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ento_zošit" defaultThemeVersion="124226"/>
  <mc:AlternateContent xmlns:mc="http://schemas.openxmlformats.org/markup-compatibility/2006">
    <mc:Choice Requires="x15">
      <x15ac:absPath xmlns:x15ac="http://schemas.microsoft.com/office/spreadsheetml/2010/11/ac" url="C:\Users\HP\Documents\Jozef SOTÁK\Resumo\Uzávierka\2021\"/>
    </mc:Choice>
  </mc:AlternateContent>
  <workbookProtection workbookPassword="9F75" lockStructure="1"/>
  <bookViews>
    <workbookView xWindow="0" yWindow="217" windowWidth="19155" windowHeight="11411" firstSheet="1" activeTab="1"/>
  </bookViews>
  <sheets>
    <sheet name="SI" sheetId="8" state="hidden" r:id="rId1"/>
    <sheet name="Poznamky_k_UZ" sheetId="3" r:id="rId2"/>
  </sheets>
  <definedNames>
    <definedName name="_xlnm._FilterDatabase" localSheetId="1" hidden="1">Poznamky_k_UZ!$CB$1:$CB$3741</definedName>
    <definedName name="_Toc530739901" localSheetId="1">Poznamky_k_UZ!$G$898</definedName>
    <definedName name="_xlnm.Print_Titles" localSheetId="1">Poznamky_k_UZ!$111:$112</definedName>
    <definedName name="_xlnm.Print_Area" localSheetId="1">Poznamky_k_UZ!$B$2:$BZ$3741</definedName>
  </definedNames>
  <calcPr calcId="162913"/>
</workbook>
</file>

<file path=xl/calcChain.xml><?xml version="1.0" encoding="utf-8"?>
<calcChain xmlns="http://schemas.openxmlformats.org/spreadsheetml/2006/main">
  <c r="BB2200" i="3" l="1"/>
  <c r="AB2200" i="3"/>
  <c r="DB897" i="3" l="1"/>
  <c r="CB897" i="3" s="1"/>
  <c r="CB110" i="3"/>
  <c r="CB109" i="3"/>
  <c r="CB108" i="3"/>
  <c r="CB107" i="3"/>
  <c r="CB106" i="3"/>
  <c r="CB105" i="3"/>
  <c r="CB104" i="3"/>
  <c r="CB103" i="3"/>
  <c r="CB102" i="3"/>
  <c r="CB101" i="3"/>
  <c r="CB100" i="3"/>
  <c r="CB99" i="3"/>
  <c r="CB98" i="3"/>
  <c r="CB97" i="3"/>
  <c r="CB96" i="3"/>
  <c r="CB95" i="3"/>
  <c r="CB94" i="3"/>
  <c r="CB93" i="3"/>
  <c r="CB92" i="3"/>
  <c r="CB91" i="3"/>
  <c r="CB90" i="3"/>
  <c r="CB89" i="3"/>
  <c r="CB88" i="3"/>
  <c r="CB87" i="3"/>
  <c r="CB86" i="3"/>
  <c r="CB85" i="3"/>
  <c r="CB84" i="3"/>
  <c r="CB83" i="3"/>
  <c r="CB82" i="3"/>
  <c r="CB81" i="3"/>
  <c r="CB80" i="3"/>
  <c r="CB79" i="3"/>
  <c r="CB78" i="3"/>
  <c r="CB77" i="3"/>
  <c r="CB76" i="3"/>
  <c r="CB75" i="3"/>
  <c r="CB74" i="3"/>
  <c r="CB73" i="3"/>
  <c r="CB72" i="3"/>
  <c r="CB71" i="3"/>
  <c r="CB70" i="3"/>
  <c r="CB69" i="3"/>
  <c r="CB68" i="3"/>
  <c r="CB67" i="3"/>
  <c r="CB66" i="3"/>
  <c r="CB65" i="3"/>
  <c r="CB64" i="3"/>
  <c r="CB63" i="3"/>
  <c r="CB62" i="3"/>
  <c r="CB61" i="3"/>
  <c r="CB60" i="3"/>
  <c r="CB59" i="3"/>
  <c r="CB58" i="3"/>
  <c r="CB57" i="3"/>
  <c r="CB56" i="3"/>
  <c r="CB55" i="3"/>
  <c r="CB54" i="3"/>
  <c r="CB53" i="3"/>
  <c r="CB52" i="3"/>
  <c r="CB51" i="3"/>
  <c r="CB50" i="3"/>
  <c r="CB49" i="3"/>
  <c r="CB48" i="3"/>
  <c r="CB47" i="3"/>
  <c r="CB46" i="3"/>
  <c r="CB45" i="3"/>
  <c r="CB44" i="3"/>
  <c r="CB43" i="3"/>
  <c r="CB42" i="3"/>
  <c r="CB41" i="3"/>
  <c r="CB40" i="3"/>
  <c r="CB39" i="3"/>
  <c r="CB38" i="3"/>
  <c r="CB37" i="3"/>
  <c r="CB36" i="3"/>
  <c r="CB35" i="3"/>
  <c r="CB34" i="3"/>
  <c r="CB33" i="3"/>
  <c r="CB32" i="3"/>
  <c r="CB31" i="3"/>
  <c r="CB30" i="3"/>
  <c r="CB29" i="3"/>
  <c r="CB28" i="3"/>
  <c r="CB27" i="3"/>
  <c r="CB26" i="3"/>
  <c r="CB25" i="3"/>
  <c r="CB24" i="3"/>
  <c r="CB23" i="3"/>
  <c r="CB22" i="3"/>
  <c r="CB21" i="3"/>
  <c r="CB20" i="3"/>
  <c r="CB19" i="3"/>
  <c r="CB18" i="3"/>
  <c r="CB17" i="3"/>
  <c r="CB16" i="3"/>
  <c r="CB15" i="3"/>
  <c r="CB14" i="3"/>
  <c r="CB13" i="3"/>
  <c r="CB12" i="3"/>
  <c r="CB11" i="3"/>
  <c r="CB10" i="3"/>
  <c r="CB9" i="3"/>
  <c r="CB8" i="3"/>
  <c r="CB7" i="3"/>
  <c r="CB6" i="3"/>
  <c r="CB5" i="3"/>
  <c r="CB4" i="3"/>
  <c r="CB3" i="3"/>
  <c r="CB2" i="3"/>
  <c r="D3" i="3"/>
  <c r="CZ1808" i="3"/>
  <c r="DA1808" i="3" s="1"/>
  <c r="DB1808" i="3"/>
  <c r="CB1808" i="3" s="1"/>
  <c r="CZ1807" i="3"/>
  <c r="DA1807" i="3" s="1"/>
  <c r="DB1807" i="3"/>
  <c r="CB1807" i="3" s="1"/>
  <c r="CW1809" i="3"/>
  <c r="DB1809" i="3"/>
  <c r="CB1809" i="3" s="1"/>
  <c r="B1809" i="3"/>
  <c r="CW306" i="3"/>
  <c r="DA306" i="3" s="1"/>
  <c r="DB306" i="3" s="1"/>
  <c r="CB306" i="3" s="1"/>
  <c r="CW850" i="3"/>
  <c r="DA850" i="3" s="1"/>
  <c r="DB850" i="3" s="1"/>
  <c r="CB850" i="3" s="1"/>
  <c r="CW849" i="3"/>
  <c r="DA849" i="3" s="1"/>
  <c r="DB849" i="3" s="1"/>
  <c r="CB849" i="3" s="1"/>
  <c r="CW848" i="3"/>
  <c r="CW3420" i="3"/>
  <c r="CW3419" i="3"/>
  <c r="DA3419" i="3" s="1"/>
  <c r="DB3419" i="3"/>
  <c r="CB3419" i="3" s="1"/>
  <c r="CW3418" i="3"/>
  <c r="DA3418" i="3" s="1"/>
  <c r="DB3418" i="3"/>
  <c r="CB3418" i="3" s="1"/>
  <c r="CW3417" i="3"/>
  <c r="DA3417" i="3" s="1"/>
  <c r="DB3417" i="3"/>
  <c r="CB3417" i="3" s="1"/>
  <c r="CW3416" i="3"/>
  <c r="DA3416" i="3" s="1"/>
  <c r="DB3416" i="3"/>
  <c r="CB3416" i="3" s="1"/>
  <c r="CW3415" i="3"/>
  <c r="DA3415" i="3" s="1"/>
  <c r="DB3415" i="3"/>
  <c r="CB3415" i="3" s="1"/>
  <c r="CW3414" i="3"/>
  <c r="DA3414" i="3" s="1"/>
  <c r="DB3414" i="3"/>
  <c r="CB3414" i="3" s="1"/>
  <c r="CW3413" i="3"/>
  <c r="DB3413" i="3"/>
  <c r="CB3413" i="3" s="1"/>
  <c r="CW3412" i="3"/>
  <c r="DA3412" i="3" s="1"/>
  <c r="DB3412" i="3"/>
  <c r="CB3412" i="3" s="1"/>
  <c r="CW3411" i="3"/>
  <c r="DA3411" i="3" s="1"/>
  <c r="DB3411" i="3"/>
  <c r="CB3411" i="3" s="1"/>
  <c r="CW3410" i="3"/>
  <c r="DA3410" i="3" s="1"/>
  <c r="DB3410" i="3"/>
  <c r="CB3410" i="3" s="1"/>
  <c r="CW3409" i="3"/>
  <c r="DA3409" i="3" s="1"/>
  <c r="DB3409" i="3"/>
  <c r="CB3409" i="3" s="1"/>
  <c r="CW3408" i="3"/>
  <c r="DA3408" i="3" s="1"/>
  <c r="DB3408" i="3"/>
  <c r="CB3408" i="3" s="1"/>
  <c r="CW3407" i="3"/>
  <c r="DA3407" i="3" s="1"/>
  <c r="CW3406" i="3"/>
  <c r="DA3406" i="3" s="1"/>
  <c r="CW3405" i="3"/>
  <c r="DA3405" i="3" s="1"/>
  <c r="DB3405" i="3"/>
  <c r="CB3405" i="3" s="1"/>
  <c r="CW3404" i="3"/>
  <c r="DA3404" i="3" s="1"/>
  <c r="DB3404" i="3"/>
  <c r="CB3404" i="3" s="1"/>
  <c r="CW3403" i="3"/>
  <c r="DA3403" i="3" s="1"/>
  <c r="CW3402" i="3"/>
  <c r="DA3402" i="3" s="1"/>
  <c r="CW3392" i="3"/>
  <c r="DA3392" i="3" s="1"/>
  <c r="DB3392" i="3"/>
  <c r="CB3392" i="3" s="1"/>
  <c r="CW3391" i="3"/>
  <c r="DA3391" i="3" s="1"/>
  <c r="DB3391" i="3"/>
  <c r="CB3391" i="3" s="1"/>
  <c r="CW3390" i="3"/>
  <c r="DA3390" i="3" s="1"/>
  <c r="CW3389" i="3"/>
  <c r="DA3389" i="3" s="1"/>
  <c r="DB3389" i="3"/>
  <c r="CB3389" i="3" s="1"/>
  <c r="CW3388" i="3"/>
  <c r="DA3388" i="3" s="1"/>
  <c r="DB3388" i="3"/>
  <c r="CB3388" i="3" s="1"/>
  <c r="CW3387" i="3"/>
  <c r="DA3387" i="3" s="1"/>
  <c r="DB3387" i="3"/>
  <c r="CB3387" i="3" s="1"/>
  <c r="CW3386" i="3"/>
  <c r="DA3386" i="3" s="1"/>
  <c r="CW3385" i="3"/>
  <c r="DA3385" i="3" s="1"/>
  <c r="DB3385" i="3"/>
  <c r="CB3385" i="3" s="1"/>
  <c r="CW3384" i="3"/>
  <c r="DA3384" i="3" s="1"/>
  <c r="DB3384" i="3"/>
  <c r="CB3384" i="3" s="1"/>
  <c r="CW3383" i="3"/>
  <c r="DA3383" i="3" s="1"/>
  <c r="DB3383" i="3"/>
  <c r="CB3383" i="3" s="1"/>
  <c r="CW3382" i="3"/>
  <c r="DA3382" i="3" s="1"/>
  <c r="DB3382" i="3"/>
  <c r="CB3382" i="3" s="1"/>
  <c r="CW3381" i="3"/>
  <c r="DA3381" i="3" s="1"/>
  <c r="DB3381" i="3"/>
  <c r="CB3381" i="3" s="1"/>
  <c r="CW3380" i="3"/>
  <c r="DA3380" i="3" s="1"/>
  <c r="DB3380" i="3"/>
  <c r="CB3380" i="3" s="1"/>
  <c r="CW3379" i="3"/>
  <c r="DA3379" i="3" s="1"/>
  <c r="DB3379" i="3"/>
  <c r="CB3379" i="3" s="1"/>
  <c r="CW3378" i="3"/>
  <c r="DA3378" i="3" s="1"/>
  <c r="CW3377" i="3"/>
  <c r="DA3377" i="3" s="1"/>
  <c r="CW3376" i="3"/>
  <c r="DA3376" i="3" s="1"/>
  <c r="CW3375" i="3"/>
  <c r="CW3374" i="3"/>
  <c r="DA3374" i="3" s="1"/>
  <c r="CZ3374" i="3"/>
  <c r="CW1964" i="3"/>
  <c r="DB1964" i="3"/>
  <c r="CB1964" i="3" s="1"/>
  <c r="CW1963" i="3"/>
  <c r="CW1883" i="3"/>
  <c r="DA1883" i="3" s="1"/>
  <c r="DB1883" i="3" s="1"/>
  <c r="CB1883" i="3" s="1"/>
  <c r="CW1882" i="3"/>
  <c r="CW1881" i="3"/>
  <c r="CW1880" i="3"/>
  <c r="CW1879" i="3"/>
  <c r="CW1878" i="3"/>
  <c r="CW1877" i="3"/>
  <c r="CW1876" i="3"/>
  <c r="CW1875" i="3"/>
  <c r="CW1874" i="3"/>
  <c r="CW1873" i="3"/>
  <c r="CW1872" i="3"/>
  <c r="CW1871" i="3"/>
  <c r="CW1870" i="3"/>
  <c r="CW1869" i="3"/>
  <c r="CW1868" i="3"/>
  <c r="CW1867" i="3"/>
  <c r="CW1866" i="3"/>
  <c r="CW1865" i="3"/>
  <c r="CW1864" i="3"/>
  <c r="CW1863" i="3"/>
  <c r="CW1862" i="3"/>
  <c r="CW1861" i="3"/>
  <c r="CW1860" i="3"/>
  <c r="CW1859" i="3"/>
  <c r="CW1858" i="3"/>
  <c r="CW1857" i="3"/>
  <c r="CW1856" i="3"/>
  <c r="CW1855" i="3"/>
  <c r="CW1854" i="3"/>
  <c r="CW1853" i="3"/>
  <c r="CW1852" i="3"/>
  <c r="CW1851" i="3"/>
  <c r="CW1850" i="3"/>
  <c r="CW1849" i="3"/>
  <c r="CW1848" i="3"/>
  <c r="CW1847" i="3"/>
  <c r="CW1846" i="3"/>
  <c r="CW1845" i="3"/>
  <c r="CW1844" i="3"/>
  <c r="CW1843" i="3"/>
  <c r="CW1842" i="3"/>
  <c r="CW1841" i="3"/>
  <c r="CW1840" i="3"/>
  <c r="CW1839" i="3"/>
  <c r="CW1838" i="3"/>
  <c r="CW1837" i="3"/>
  <c r="CW1836" i="3"/>
  <c r="CW1835" i="3"/>
  <c r="CW1834" i="3"/>
  <c r="CW1833" i="3"/>
  <c r="CW1832" i="3"/>
  <c r="CW1831" i="3"/>
  <c r="CW1830" i="3"/>
  <c r="CW1829" i="3"/>
  <c r="CW1828" i="3"/>
  <c r="CW1827" i="3"/>
  <c r="CW1826" i="3"/>
  <c r="CW1825" i="3"/>
  <c r="CW1824" i="3"/>
  <c r="CW1823" i="3"/>
  <c r="CW1822" i="3"/>
  <c r="CW1821" i="3"/>
  <c r="CW1820" i="3"/>
  <c r="CW1819" i="3"/>
  <c r="CW1818" i="3"/>
  <c r="CW1817" i="3"/>
  <c r="CW1816" i="3"/>
  <c r="CW1815" i="3"/>
  <c r="CW1814" i="3"/>
  <c r="CW1813" i="3"/>
  <c r="CW1812" i="3"/>
  <c r="CW1811" i="3"/>
  <c r="CW1810" i="3"/>
  <c r="CZ1883" i="3"/>
  <c r="CZ1882" i="3"/>
  <c r="AK1882" i="3"/>
  <c r="BO1882" i="3" s="1"/>
  <c r="CZ1881" i="3"/>
  <c r="CX1881" i="3"/>
  <c r="AK1881" i="3"/>
  <c r="BO1881" i="3" s="1"/>
  <c r="CZ1880" i="3"/>
  <c r="CX1880" i="3"/>
  <c r="AK1880" i="3"/>
  <c r="BO1880" i="3" s="1"/>
  <c r="CZ1879" i="3"/>
  <c r="CX1879" i="3"/>
  <c r="AK1879" i="3"/>
  <c r="BO1879" i="3" s="1"/>
  <c r="CZ1878" i="3"/>
  <c r="CX1878" i="3"/>
  <c r="AK1878" i="3"/>
  <c r="BO1878" i="3" s="1"/>
  <c r="CZ1877" i="3"/>
  <c r="CX1877" i="3"/>
  <c r="AK1877" i="3"/>
  <c r="BO1877" i="3" s="1"/>
  <c r="CZ1876" i="3"/>
  <c r="CX1876" i="3"/>
  <c r="AK1876" i="3"/>
  <c r="BO1876" i="3" s="1"/>
  <c r="CZ1875" i="3"/>
  <c r="CX1875" i="3"/>
  <c r="AK1875" i="3"/>
  <c r="BO1875" i="3" s="1"/>
  <c r="CZ1874" i="3"/>
  <c r="CX1874" i="3"/>
  <c r="AK1874" i="3"/>
  <c r="BO1874" i="3" s="1"/>
  <c r="CZ1873" i="3"/>
  <c r="CX1873" i="3"/>
  <c r="AK1873" i="3"/>
  <c r="BO1873" i="3" s="1"/>
  <c r="CZ1872" i="3"/>
  <c r="CZ1871" i="3"/>
  <c r="CZ1870" i="3"/>
  <c r="BO1870" i="3"/>
  <c r="AB1870" i="3"/>
  <c r="CZ1869" i="3"/>
  <c r="CX1869" i="3"/>
  <c r="BO1869" i="3"/>
  <c r="AB1869" i="3"/>
  <c r="CZ1868" i="3"/>
  <c r="CX1868" i="3"/>
  <c r="BO1868" i="3"/>
  <c r="AB1868" i="3"/>
  <c r="CZ1867" i="3"/>
  <c r="CX1867" i="3"/>
  <c r="BO1867" i="3"/>
  <c r="AB1867" i="3"/>
  <c r="CZ1866" i="3"/>
  <c r="CX1866" i="3"/>
  <c r="BO1866" i="3"/>
  <c r="AB1866" i="3"/>
  <c r="CZ1865" i="3"/>
  <c r="CX1865" i="3"/>
  <c r="BO1865" i="3"/>
  <c r="AB1865" i="3"/>
  <c r="CZ1864" i="3"/>
  <c r="CX1864" i="3"/>
  <c r="BO1864" i="3"/>
  <c r="AB1864" i="3"/>
  <c r="CZ1863" i="3"/>
  <c r="CX1863" i="3"/>
  <c r="BO1863" i="3"/>
  <c r="AB1863" i="3"/>
  <c r="CZ1862" i="3"/>
  <c r="CX1862" i="3"/>
  <c r="BO1862" i="3"/>
  <c r="AB1862" i="3"/>
  <c r="CZ1861" i="3"/>
  <c r="CX1861" i="3"/>
  <c r="CX1870" i="3" s="1"/>
  <c r="CX1859" i="3" s="1"/>
  <c r="BO1861" i="3"/>
  <c r="AB1861" i="3"/>
  <c r="CZ1860" i="3"/>
  <c r="CZ1859" i="3"/>
  <c r="CZ1858" i="3"/>
  <c r="AF1858" i="3"/>
  <c r="BO1858" i="3" s="1"/>
  <c r="CZ1857" i="3"/>
  <c r="CX1857" i="3"/>
  <c r="AF1857" i="3"/>
  <c r="BO1857" i="3" s="1"/>
  <c r="CZ1856" i="3"/>
  <c r="CX1856" i="3"/>
  <c r="AF1856" i="3"/>
  <c r="BO1856" i="3" s="1"/>
  <c r="CZ1855" i="3"/>
  <c r="CX1855" i="3"/>
  <c r="AF1855" i="3"/>
  <c r="BO1855" i="3" s="1"/>
  <c r="CZ1854" i="3"/>
  <c r="CX1854" i="3"/>
  <c r="AF1854" i="3"/>
  <c r="BO1854" i="3" s="1"/>
  <c r="CZ1853" i="3"/>
  <c r="CX1853" i="3"/>
  <c r="AF1853" i="3"/>
  <c r="BO1853" i="3" s="1"/>
  <c r="CZ1852" i="3"/>
  <c r="CX1852" i="3"/>
  <c r="AF1852" i="3"/>
  <c r="BO1852" i="3" s="1"/>
  <c r="CZ1851" i="3"/>
  <c r="CX1851" i="3"/>
  <c r="AF1851" i="3"/>
  <c r="BO1851" i="3" s="1"/>
  <c r="CZ1850" i="3"/>
  <c r="CX1850" i="3"/>
  <c r="AF1850" i="3"/>
  <c r="BO1850" i="3" s="1"/>
  <c r="CZ1849" i="3"/>
  <c r="CX1849" i="3"/>
  <c r="AF1849" i="3"/>
  <c r="BO1849" i="3" s="1"/>
  <c r="CZ1848" i="3"/>
  <c r="CZ1847" i="3"/>
  <c r="CZ1846" i="3"/>
  <c r="AF1846" i="3"/>
  <c r="BO1846" i="3" s="1"/>
  <c r="CZ1845" i="3"/>
  <c r="CX1845" i="3"/>
  <c r="AF1845" i="3"/>
  <c r="BO1845" i="3" s="1"/>
  <c r="CZ1844" i="3"/>
  <c r="CX1844" i="3"/>
  <c r="AF1844" i="3"/>
  <c r="BO1844" i="3" s="1"/>
  <c r="CZ1843" i="3"/>
  <c r="CX1843" i="3"/>
  <c r="AF1843" i="3"/>
  <c r="BO1843" i="3" s="1"/>
  <c r="CZ1842" i="3"/>
  <c r="CX1842" i="3"/>
  <c r="AF1842" i="3"/>
  <c r="BO1842" i="3" s="1"/>
  <c r="CZ1841" i="3"/>
  <c r="CX1841" i="3"/>
  <c r="AF1841" i="3"/>
  <c r="BO1841" i="3" s="1"/>
  <c r="CZ1840" i="3"/>
  <c r="CX1840" i="3"/>
  <c r="AF1840" i="3"/>
  <c r="BO1840" i="3" s="1"/>
  <c r="CZ1839" i="3"/>
  <c r="CX1839" i="3"/>
  <c r="AF1839" i="3"/>
  <c r="BO1839" i="3" s="1"/>
  <c r="CZ1838" i="3"/>
  <c r="CX1838" i="3"/>
  <c r="AF1838" i="3"/>
  <c r="BO1838" i="3" s="1"/>
  <c r="CZ1837" i="3"/>
  <c r="CX1837" i="3"/>
  <c r="AF1837" i="3"/>
  <c r="BO1837" i="3" s="1"/>
  <c r="CZ1836" i="3"/>
  <c r="CZ1835" i="3"/>
  <c r="CZ1834" i="3"/>
  <c r="CZ1833" i="3"/>
  <c r="CZ1832" i="3"/>
  <c r="CZ1831" i="3"/>
  <c r="CX1831" i="3"/>
  <c r="CZ1830" i="3"/>
  <c r="CX1830" i="3"/>
  <c r="CZ1829" i="3"/>
  <c r="CX1829" i="3"/>
  <c r="CZ1828" i="3"/>
  <c r="CX1828" i="3"/>
  <c r="CZ1827" i="3"/>
  <c r="CX1827" i="3"/>
  <c r="CZ1826" i="3"/>
  <c r="CX1826" i="3"/>
  <c r="CZ1825" i="3"/>
  <c r="CX1825" i="3"/>
  <c r="CZ1824" i="3"/>
  <c r="CX1824" i="3"/>
  <c r="CZ1823" i="3"/>
  <c r="CX1823" i="3"/>
  <c r="CZ1822" i="3"/>
  <c r="CX1822" i="3"/>
  <c r="CZ1821" i="3"/>
  <c r="CX1821" i="3"/>
  <c r="CZ1820" i="3"/>
  <c r="CX1820" i="3"/>
  <c r="CZ1819" i="3"/>
  <c r="CX1819" i="3"/>
  <c r="CZ1818" i="3"/>
  <c r="CX1818" i="3"/>
  <c r="CZ1817" i="3"/>
  <c r="CX1817" i="3"/>
  <c r="CZ1816" i="3"/>
  <c r="CX1816" i="3"/>
  <c r="CZ1815" i="3"/>
  <c r="CX1815" i="3"/>
  <c r="CZ1814" i="3"/>
  <c r="CX1814" i="3"/>
  <c r="CZ1813" i="3"/>
  <c r="CX1813" i="3"/>
  <c r="CZ1812" i="3"/>
  <c r="CX1812" i="3"/>
  <c r="CZ1811" i="3"/>
  <c r="B1811" i="3"/>
  <c r="CZ1810" i="3"/>
  <c r="S1810" i="3"/>
  <c r="CZ1809" i="3"/>
  <c r="CZ119" i="3"/>
  <c r="DA119" i="3" s="1"/>
  <c r="DB119" i="3" s="1"/>
  <c r="CB119" i="3" s="1"/>
  <c r="CZ118" i="3"/>
  <c r="DA118" i="3" s="1"/>
  <c r="DB118" i="3" s="1"/>
  <c r="CB118" i="3" s="1"/>
  <c r="CZ117" i="3"/>
  <c r="DA117" i="3" s="1"/>
  <c r="DB117" i="3" s="1"/>
  <c r="CB117" i="3" s="1"/>
  <c r="CZ116" i="3"/>
  <c r="DA116" i="3" s="1"/>
  <c r="DB116" i="3" s="1"/>
  <c r="CB116" i="3" s="1"/>
  <c r="AQ111" i="3"/>
  <c r="AN111" i="3"/>
  <c r="AL111" i="3"/>
  <c r="AJ111" i="3"/>
  <c r="AH111" i="3"/>
  <c r="AF111" i="3"/>
  <c r="AD111" i="3"/>
  <c r="AB111" i="3"/>
  <c r="D111" i="3"/>
  <c r="DZ3635" i="3"/>
  <c r="DS3635" i="3"/>
  <c r="DZ3634" i="3"/>
  <c r="DS3634" i="3"/>
  <c r="DZ3633" i="3"/>
  <c r="DS3633" i="3"/>
  <c r="DZ3632" i="3"/>
  <c r="DS3632" i="3"/>
  <c r="DZ3631" i="3"/>
  <c r="DS3631" i="3"/>
  <c r="DZ3630" i="3"/>
  <c r="DS3630" i="3"/>
  <c r="DZ3629" i="3"/>
  <c r="DS3629" i="3"/>
  <c r="DZ3628" i="3"/>
  <c r="DS3628" i="3"/>
  <c r="DZ3627" i="3"/>
  <c r="DS3627" i="3"/>
  <c r="DZ3626" i="3"/>
  <c r="DS3626" i="3"/>
  <c r="DZ3625" i="3"/>
  <c r="DS3625" i="3"/>
  <c r="DZ3624" i="3"/>
  <c r="DS3624" i="3"/>
  <c r="DZ3623" i="3"/>
  <c r="DS3623" i="3"/>
  <c r="CW3634" i="3"/>
  <c r="DA3634" i="3" s="1"/>
  <c r="DB3634" i="3"/>
  <c r="CB3634" i="3" s="1"/>
  <c r="CW3623" i="3"/>
  <c r="DA3623" i="3" s="1"/>
  <c r="DB3623" i="3"/>
  <c r="CB3623" i="3" s="1"/>
  <c r="CZ3634" i="3"/>
  <c r="CZ3633" i="3"/>
  <c r="CW3633" i="3"/>
  <c r="DA3633" i="3" s="1"/>
  <c r="DB3633" i="3"/>
  <c r="CB3633" i="3" s="1"/>
  <c r="CZ3632" i="3"/>
  <c r="CW3632" i="3"/>
  <c r="DA3632" i="3" s="1"/>
  <c r="DB3632" i="3"/>
  <c r="CB3632" i="3" s="1"/>
  <c r="CZ3631" i="3"/>
  <c r="CW3631" i="3"/>
  <c r="DA3631" i="3" s="1"/>
  <c r="DB3631" i="3"/>
  <c r="CB3631" i="3" s="1"/>
  <c r="CZ3630" i="3"/>
  <c r="CW3630" i="3"/>
  <c r="DA3630" i="3" s="1"/>
  <c r="DB3630" i="3"/>
  <c r="CB3630" i="3" s="1"/>
  <c r="CZ3629" i="3"/>
  <c r="CW3629" i="3"/>
  <c r="DA3629" i="3" s="1"/>
  <c r="DB3629" i="3"/>
  <c r="CB3629" i="3" s="1"/>
  <c r="CZ3628" i="3"/>
  <c r="CW3628" i="3"/>
  <c r="DA3628" i="3" s="1"/>
  <c r="DB3628" i="3"/>
  <c r="CB3628" i="3" s="1"/>
  <c r="CZ3627" i="3"/>
  <c r="CW3627" i="3"/>
  <c r="DA3627" i="3" s="1"/>
  <c r="DB3627" i="3"/>
  <c r="CB3627" i="3" s="1"/>
  <c r="CZ3626" i="3"/>
  <c r="CW3626" i="3"/>
  <c r="DA3626" i="3" s="1"/>
  <c r="DB3626" i="3"/>
  <c r="CB3626" i="3" s="1"/>
  <c r="CZ3625" i="3"/>
  <c r="CW3625" i="3"/>
  <c r="DA3625" i="3" s="1"/>
  <c r="DB3625" i="3"/>
  <c r="CB3625" i="3" s="1"/>
  <c r="CZ3624" i="3"/>
  <c r="CW3624" i="3"/>
  <c r="DA3624" i="3" s="1"/>
  <c r="DB3624" i="3"/>
  <c r="CB3624" i="3" s="1"/>
  <c r="CZ3623" i="3"/>
  <c r="AG3393" i="3"/>
  <c r="T3393" i="3"/>
  <c r="BP3392" i="3"/>
  <c r="BP3391" i="3"/>
  <c r="BP3390" i="3"/>
  <c r="BP3389" i="3"/>
  <c r="BP3388" i="3"/>
  <c r="BP3387" i="3"/>
  <c r="BP3386" i="3"/>
  <c r="BP3385" i="3"/>
  <c r="BP3384" i="3"/>
  <c r="BP3383" i="3"/>
  <c r="BP3382" i="3"/>
  <c r="BP3381" i="3"/>
  <c r="BP3380" i="3"/>
  <c r="BP3379" i="3"/>
  <c r="BP3378" i="3"/>
  <c r="BP3377" i="3"/>
  <c r="BP3376" i="3"/>
  <c r="BP3375" i="3"/>
  <c r="BP3374" i="3"/>
  <c r="BP3420" i="3"/>
  <c r="BP3419" i="3"/>
  <c r="BP3418" i="3"/>
  <c r="BP3417" i="3"/>
  <c r="BP3416" i="3"/>
  <c r="BP3415" i="3"/>
  <c r="BP3414" i="3"/>
  <c r="BP3413" i="3"/>
  <c r="BP3412" i="3"/>
  <c r="BP3411" i="3"/>
  <c r="BP3410" i="3"/>
  <c r="BP3409" i="3"/>
  <c r="BP3408" i="3"/>
  <c r="BP3407" i="3"/>
  <c r="BP3406" i="3"/>
  <c r="BP3405" i="3"/>
  <c r="BP3404" i="3"/>
  <c r="BP3403" i="3"/>
  <c r="BP3402" i="3"/>
  <c r="DS114" i="3"/>
  <c r="DS113" i="3"/>
  <c r="BU111" i="3"/>
  <c r="BS111" i="3"/>
  <c r="BQ111" i="3"/>
  <c r="BO111" i="3"/>
  <c r="BM111" i="3"/>
  <c r="BK111" i="3"/>
  <c r="BI111" i="3"/>
  <c r="BF111" i="3"/>
  <c r="BD111" i="3"/>
  <c r="BB111" i="3"/>
  <c r="AN167" i="3"/>
  <c r="CX163" i="3"/>
  <c r="DZ3711" i="3"/>
  <c r="DZ3710" i="3"/>
  <c r="DZ3709" i="3"/>
  <c r="DZ3708" i="3"/>
  <c r="DZ3707" i="3"/>
  <c r="DZ3706" i="3"/>
  <c r="DZ3705" i="3"/>
  <c r="DZ3704" i="3"/>
  <c r="DZ3703" i="3"/>
  <c r="DZ3702" i="3"/>
  <c r="DZ3701" i="3"/>
  <c r="DZ3700" i="3"/>
  <c r="DZ3699" i="3"/>
  <c r="DZ3698" i="3"/>
  <c r="DZ3697" i="3"/>
  <c r="DZ3696" i="3"/>
  <c r="DZ3695" i="3"/>
  <c r="DZ3694" i="3"/>
  <c r="DZ3693" i="3"/>
  <c r="DZ3692" i="3"/>
  <c r="DZ3691" i="3"/>
  <c r="DZ3690" i="3"/>
  <c r="DZ3689" i="3"/>
  <c r="DZ3688" i="3"/>
  <c r="DZ3687" i="3"/>
  <c r="DZ3686" i="3"/>
  <c r="DZ3685" i="3"/>
  <c r="DZ3684" i="3"/>
  <c r="DZ3683" i="3"/>
  <c r="DZ3682" i="3"/>
  <c r="DZ3681" i="3"/>
  <c r="DZ3680" i="3"/>
  <c r="DZ3679" i="3"/>
  <c r="DZ3678" i="3"/>
  <c r="DZ3677" i="3"/>
  <c r="DZ3676" i="3"/>
  <c r="DZ3675" i="3"/>
  <c r="DZ3674" i="3"/>
  <c r="DZ3673" i="3"/>
  <c r="DZ3672" i="3"/>
  <c r="DZ3671" i="3"/>
  <c r="DZ3670" i="3"/>
  <c r="DZ3669" i="3"/>
  <c r="DZ3668" i="3"/>
  <c r="DZ3667" i="3"/>
  <c r="DZ3666" i="3"/>
  <c r="DZ3665" i="3"/>
  <c r="DZ3664" i="3"/>
  <c r="DZ3663" i="3"/>
  <c r="DZ3662" i="3"/>
  <c r="DZ3661" i="3"/>
  <c r="DZ3660" i="3"/>
  <c r="DZ3659" i="3"/>
  <c r="DZ3658" i="3"/>
  <c r="DZ3657" i="3"/>
  <c r="DZ3656" i="3"/>
  <c r="DZ3655" i="3"/>
  <c r="DZ3654" i="3"/>
  <c r="DZ3653" i="3"/>
  <c r="DZ3652" i="3"/>
  <c r="DZ3651" i="3"/>
  <c r="DZ3650" i="3"/>
  <c r="DZ3649" i="3"/>
  <c r="DZ3648" i="3"/>
  <c r="DZ3647" i="3"/>
  <c r="DZ3646" i="3"/>
  <c r="DZ3645" i="3"/>
  <c r="DZ3644" i="3"/>
  <c r="DZ3643" i="3"/>
  <c r="DZ3642" i="3"/>
  <c r="DZ3641" i="3"/>
  <c r="DZ3640" i="3"/>
  <c r="DZ3639" i="3"/>
  <c r="DZ3638" i="3"/>
  <c r="DZ3637" i="3"/>
  <c r="DZ3636" i="3"/>
  <c r="DZ3622" i="3"/>
  <c r="DZ3621" i="3"/>
  <c r="DZ3620" i="3"/>
  <c r="DZ3619" i="3"/>
  <c r="DZ3618" i="3"/>
  <c r="DZ3617" i="3"/>
  <c r="DZ3616" i="3"/>
  <c r="DZ3615" i="3"/>
  <c r="DZ3614" i="3"/>
  <c r="DZ3613" i="3"/>
  <c r="DZ3612" i="3"/>
  <c r="DZ3611" i="3"/>
  <c r="DZ3610" i="3"/>
  <c r="DZ3609" i="3"/>
  <c r="DZ3608" i="3"/>
  <c r="DZ3607" i="3"/>
  <c r="DZ3606" i="3"/>
  <c r="DZ3605" i="3"/>
  <c r="DZ3604" i="3"/>
  <c r="DZ3603" i="3"/>
  <c r="DZ3602" i="3"/>
  <c r="DZ3601" i="3"/>
  <c r="DZ3600" i="3"/>
  <c r="DZ3599" i="3"/>
  <c r="DZ3598" i="3"/>
  <c r="DZ3597" i="3"/>
  <c r="DZ3596" i="3"/>
  <c r="DZ3595" i="3"/>
  <c r="DZ3594" i="3"/>
  <c r="DZ3593" i="3"/>
  <c r="DZ3592" i="3"/>
  <c r="DZ3591" i="3"/>
  <c r="DZ3590" i="3"/>
  <c r="DZ3589" i="3"/>
  <c r="DZ3588" i="3"/>
  <c r="DZ3587" i="3"/>
  <c r="DZ3586" i="3"/>
  <c r="DZ3585" i="3"/>
  <c r="DZ3584" i="3"/>
  <c r="DZ3583" i="3"/>
  <c r="DZ3582" i="3"/>
  <c r="DZ3581" i="3"/>
  <c r="DZ3580" i="3"/>
  <c r="DZ3579" i="3"/>
  <c r="DZ3578" i="3"/>
  <c r="DZ3577" i="3"/>
  <c r="DZ3576" i="3"/>
  <c r="DZ3575" i="3"/>
  <c r="DZ3574" i="3"/>
  <c r="DZ3573" i="3"/>
  <c r="DZ3572" i="3"/>
  <c r="DZ3571" i="3"/>
  <c r="DZ3570" i="3"/>
  <c r="DZ3569" i="3"/>
  <c r="DZ3568" i="3"/>
  <c r="DZ3567" i="3"/>
  <c r="DZ3566" i="3"/>
  <c r="DZ3565" i="3"/>
  <c r="DZ3564" i="3"/>
  <c r="DZ3563" i="3"/>
  <c r="DZ3562" i="3"/>
  <c r="DZ3561" i="3"/>
  <c r="DZ3560" i="3"/>
  <c r="DZ3559" i="3"/>
  <c r="DZ3558" i="3"/>
  <c r="DZ3557" i="3"/>
  <c r="DZ3556" i="3"/>
  <c r="DZ3555" i="3"/>
  <c r="DZ3554" i="3"/>
  <c r="DZ3553" i="3"/>
  <c r="DZ3552" i="3"/>
  <c r="DZ3551" i="3"/>
  <c r="DZ3550" i="3"/>
  <c r="DZ3549" i="3"/>
  <c r="DZ3548" i="3"/>
  <c r="DZ3547" i="3"/>
  <c r="DZ3546" i="3"/>
  <c r="DZ3545" i="3"/>
  <c r="DZ3544" i="3"/>
  <c r="DZ3543" i="3"/>
  <c r="DZ3542" i="3"/>
  <c r="DZ3541" i="3"/>
  <c r="DZ3540" i="3"/>
  <c r="DZ3539" i="3"/>
  <c r="DZ3538" i="3"/>
  <c r="DZ3537" i="3"/>
  <c r="DZ3536" i="3"/>
  <c r="DZ3535" i="3"/>
  <c r="DZ3534" i="3"/>
  <c r="DZ3533" i="3"/>
  <c r="DZ3532" i="3"/>
  <c r="DZ3531" i="3"/>
  <c r="DZ3530" i="3"/>
  <c r="DZ3529" i="3"/>
  <c r="DZ3528" i="3"/>
  <c r="DZ3527" i="3"/>
  <c r="DZ3526" i="3"/>
  <c r="DZ3525" i="3"/>
  <c r="DZ3524" i="3"/>
  <c r="DZ3523" i="3"/>
  <c r="DZ3522" i="3"/>
  <c r="DZ3521" i="3"/>
  <c r="DZ3520" i="3"/>
  <c r="DZ3519" i="3"/>
  <c r="DZ3518" i="3"/>
  <c r="DZ3517" i="3"/>
  <c r="DZ3516" i="3"/>
  <c r="DZ3515" i="3"/>
  <c r="DZ3514" i="3"/>
  <c r="DZ3513" i="3"/>
  <c r="DZ3512" i="3"/>
  <c r="DZ3511" i="3"/>
  <c r="DZ3510" i="3"/>
  <c r="DZ3509" i="3"/>
  <c r="DZ3508" i="3"/>
  <c r="DZ3507" i="3"/>
  <c r="DZ3506" i="3"/>
  <c r="DZ3505" i="3"/>
  <c r="DZ3504" i="3"/>
  <c r="DZ3503" i="3"/>
  <c r="DZ3502" i="3"/>
  <c r="DZ3501" i="3"/>
  <c r="DZ3500" i="3"/>
  <c r="DZ3499" i="3"/>
  <c r="DZ3498" i="3"/>
  <c r="DZ3497" i="3"/>
  <c r="DZ3496" i="3"/>
  <c r="DZ3495" i="3"/>
  <c r="DZ3494" i="3"/>
  <c r="DZ3493" i="3"/>
  <c r="DZ3492" i="3"/>
  <c r="DZ3491" i="3"/>
  <c r="DZ3490" i="3"/>
  <c r="DZ3489" i="3"/>
  <c r="DZ3488" i="3"/>
  <c r="DZ3487" i="3"/>
  <c r="DZ3486" i="3"/>
  <c r="DZ3485" i="3"/>
  <c r="DZ3484" i="3"/>
  <c r="DZ3483" i="3"/>
  <c r="DZ3482" i="3"/>
  <c r="DZ3481" i="3"/>
  <c r="DZ3480" i="3"/>
  <c r="DZ3479" i="3"/>
  <c r="DZ3478" i="3"/>
  <c r="DZ3477" i="3"/>
  <c r="DZ3476" i="3"/>
  <c r="DZ3475" i="3"/>
  <c r="DZ3474" i="3"/>
  <c r="DZ3473" i="3"/>
  <c r="DZ3472" i="3"/>
  <c r="DZ3471" i="3"/>
  <c r="DZ3470" i="3"/>
  <c r="DZ3469" i="3"/>
  <c r="DZ3468" i="3"/>
  <c r="DZ3467" i="3"/>
  <c r="DZ3466" i="3"/>
  <c r="DZ3465" i="3"/>
  <c r="DZ3464" i="3"/>
  <c r="DZ3463" i="3"/>
  <c r="DZ3462" i="3"/>
  <c r="DZ3461" i="3"/>
  <c r="DZ3460" i="3"/>
  <c r="DZ3459" i="3"/>
  <c r="DZ3458" i="3"/>
  <c r="DZ3457" i="3"/>
  <c r="DZ3456" i="3"/>
  <c r="DZ3455" i="3"/>
  <c r="DZ3454" i="3"/>
  <c r="DZ3453" i="3"/>
  <c r="DZ3452" i="3"/>
  <c r="DZ3451" i="3"/>
  <c r="DZ3450" i="3"/>
  <c r="DZ3449" i="3"/>
  <c r="DZ3448" i="3"/>
  <c r="DZ3447" i="3"/>
  <c r="DZ3446" i="3"/>
  <c r="DZ3445" i="3"/>
  <c r="DZ3444" i="3"/>
  <c r="DZ3443" i="3"/>
  <c r="DZ3442" i="3"/>
  <c r="DZ3441" i="3"/>
  <c r="DZ3440" i="3"/>
  <c r="DZ3439" i="3"/>
  <c r="DZ3438" i="3"/>
  <c r="DZ3437" i="3"/>
  <c r="DZ3436" i="3"/>
  <c r="DZ3435" i="3"/>
  <c r="DZ3434" i="3"/>
  <c r="DZ3433" i="3"/>
  <c r="DZ3432" i="3"/>
  <c r="DZ3431" i="3"/>
  <c r="DZ3430" i="3"/>
  <c r="DZ3429" i="3"/>
  <c r="DZ3428" i="3"/>
  <c r="DZ3427" i="3"/>
  <c r="DZ3426" i="3"/>
  <c r="DZ3425" i="3"/>
  <c r="DZ3424" i="3"/>
  <c r="DZ3423" i="3"/>
  <c r="DZ3422" i="3"/>
  <c r="DZ3421" i="3"/>
  <c r="DZ3420" i="3"/>
  <c r="B3420" i="3" s="1"/>
  <c r="DZ3419" i="3"/>
  <c r="B3419" i="3" s="1"/>
  <c r="DZ3418" i="3"/>
  <c r="B3418" i="3" s="1"/>
  <c r="DZ3417" i="3"/>
  <c r="B3417" i="3" s="1"/>
  <c r="DZ3416" i="3"/>
  <c r="B3416" i="3" s="1"/>
  <c r="DZ3415" i="3"/>
  <c r="B3415" i="3" s="1"/>
  <c r="DZ3414" i="3"/>
  <c r="B3414" i="3" s="1"/>
  <c r="DZ3413" i="3"/>
  <c r="B3413" i="3" s="1"/>
  <c r="DZ3412" i="3"/>
  <c r="B3412" i="3" s="1"/>
  <c r="DZ3411" i="3"/>
  <c r="B3411" i="3" s="1"/>
  <c r="DZ3410" i="3"/>
  <c r="B3410" i="3" s="1"/>
  <c r="DZ3409" i="3"/>
  <c r="B3409" i="3" s="1"/>
  <c r="DZ3408" i="3"/>
  <c r="B3408" i="3" s="1"/>
  <c r="DZ3407" i="3"/>
  <c r="B3407" i="3" s="1"/>
  <c r="DZ3406" i="3"/>
  <c r="B3406" i="3" s="1"/>
  <c r="DZ3405" i="3"/>
  <c r="B3405" i="3" s="1"/>
  <c r="DZ3404" i="3"/>
  <c r="B3404" i="3" s="1"/>
  <c r="DZ3403" i="3"/>
  <c r="B3403" i="3" s="1"/>
  <c r="DZ3402" i="3"/>
  <c r="B3402" i="3" s="1"/>
  <c r="DZ3401" i="3"/>
  <c r="DZ3400" i="3"/>
  <c r="DZ3399" i="3"/>
  <c r="DZ3398" i="3"/>
  <c r="DZ3397" i="3"/>
  <c r="DZ3396" i="3"/>
  <c r="DZ3395" i="3"/>
  <c r="DZ3394" i="3"/>
  <c r="DZ3393" i="3"/>
  <c r="DZ3392" i="3"/>
  <c r="B3392" i="3" s="1"/>
  <c r="DZ3391" i="3"/>
  <c r="B3391" i="3" s="1"/>
  <c r="DZ3390" i="3"/>
  <c r="B3390" i="3" s="1"/>
  <c r="DZ3389" i="3"/>
  <c r="B3389" i="3" s="1"/>
  <c r="DZ3388" i="3"/>
  <c r="B3388" i="3" s="1"/>
  <c r="DZ3387" i="3"/>
  <c r="B3387" i="3"/>
  <c r="DZ3386" i="3"/>
  <c r="B3386" i="3" s="1"/>
  <c r="DZ3385" i="3"/>
  <c r="B3385" i="3" s="1"/>
  <c r="DZ3384" i="3"/>
  <c r="B3384" i="3" s="1"/>
  <c r="DZ3383" i="3"/>
  <c r="B3383" i="3" s="1"/>
  <c r="DZ3382" i="3"/>
  <c r="B3382" i="3" s="1"/>
  <c r="DZ3381" i="3"/>
  <c r="B3381" i="3"/>
  <c r="DZ3380" i="3"/>
  <c r="B3380" i="3" s="1"/>
  <c r="DZ3379" i="3"/>
  <c r="B3379" i="3" s="1"/>
  <c r="DZ3378" i="3"/>
  <c r="B3378" i="3" s="1"/>
  <c r="DZ3377" i="3"/>
  <c r="B3377" i="3" s="1"/>
  <c r="DZ3376" i="3"/>
  <c r="B3376" i="3" s="1"/>
  <c r="DZ3375" i="3"/>
  <c r="B3375" i="3" s="1"/>
  <c r="DZ3374" i="3"/>
  <c r="B3374" i="3" s="1"/>
  <c r="DZ3373" i="3"/>
  <c r="DZ3372" i="3"/>
  <c r="DZ3371" i="3"/>
  <c r="DZ3370" i="3"/>
  <c r="DZ3369" i="3"/>
  <c r="DZ3368" i="3"/>
  <c r="DZ3367" i="3"/>
  <c r="DZ3366" i="3"/>
  <c r="DZ3365" i="3"/>
  <c r="DZ3364" i="3"/>
  <c r="DZ3363" i="3"/>
  <c r="DZ3362" i="3"/>
  <c r="DZ3361" i="3"/>
  <c r="DZ3360" i="3"/>
  <c r="DZ3359" i="3"/>
  <c r="DZ3358" i="3"/>
  <c r="DZ3357" i="3"/>
  <c r="DZ3356" i="3"/>
  <c r="DZ3355" i="3"/>
  <c r="DZ3354" i="3"/>
  <c r="DZ3353" i="3"/>
  <c r="DZ3352" i="3"/>
  <c r="DZ3351" i="3"/>
  <c r="DZ3350" i="3"/>
  <c r="DZ3349" i="3"/>
  <c r="DZ3348" i="3"/>
  <c r="DZ3347" i="3"/>
  <c r="DZ3346" i="3"/>
  <c r="DZ3345" i="3"/>
  <c r="DZ3344" i="3"/>
  <c r="DZ3343" i="3"/>
  <c r="DZ3342" i="3"/>
  <c r="DZ3341" i="3"/>
  <c r="DZ3340" i="3"/>
  <c r="DZ3339" i="3"/>
  <c r="DZ3338" i="3"/>
  <c r="DZ3337" i="3"/>
  <c r="DZ3336" i="3"/>
  <c r="DZ3335" i="3"/>
  <c r="DZ3334" i="3"/>
  <c r="DZ3333" i="3"/>
  <c r="DZ3332" i="3"/>
  <c r="DZ3331" i="3"/>
  <c r="DZ3330" i="3"/>
  <c r="DZ3329" i="3"/>
  <c r="DZ3328" i="3"/>
  <c r="DZ3327" i="3"/>
  <c r="DZ3326" i="3"/>
  <c r="DZ3325" i="3"/>
  <c r="DZ3324" i="3"/>
  <c r="DZ3323" i="3"/>
  <c r="DZ3322" i="3"/>
  <c r="DZ3321" i="3"/>
  <c r="DZ3320" i="3"/>
  <c r="DZ3319" i="3"/>
  <c r="DZ3318" i="3"/>
  <c r="DZ3317" i="3"/>
  <c r="DZ3316" i="3"/>
  <c r="DZ3315" i="3"/>
  <c r="DZ3314" i="3"/>
  <c r="DZ3313" i="3"/>
  <c r="DZ3312" i="3"/>
  <c r="DZ3311" i="3"/>
  <c r="DZ3310" i="3"/>
  <c r="DZ3309" i="3"/>
  <c r="DZ3308" i="3"/>
  <c r="DZ3307" i="3"/>
  <c r="DZ3306" i="3"/>
  <c r="DZ3305" i="3"/>
  <c r="DZ3304" i="3"/>
  <c r="DZ3303" i="3"/>
  <c r="DZ3302" i="3"/>
  <c r="DZ3301" i="3"/>
  <c r="DZ3300" i="3"/>
  <c r="DZ3299" i="3"/>
  <c r="DZ3298" i="3"/>
  <c r="DZ3297" i="3"/>
  <c r="DZ3296" i="3"/>
  <c r="DZ3295" i="3"/>
  <c r="DZ3294" i="3"/>
  <c r="DZ3293" i="3"/>
  <c r="DZ3292" i="3"/>
  <c r="DZ3291" i="3"/>
  <c r="DZ3290" i="3"/>
  <c r="DZ3289" i="3"/>
  <c r="DZ3288" i="3"/>
  <c r="DZ3287" i="3"/>
  <c r="DZ3286" i="3"/>
  <c r="DZ3285" i="3"/>
  <c r="DZ3284" i="3"/>
  <c r="DZ3283" i="3"/>
  <c r="DZ3282" i="3"/>
  <c r="DZ3281" i="3"/>
  <c r="DZ3280" i="3"/>
  <c r="DZ3279" i="3"/>
  <c r="DZ3278" i="3"/>
  <c r="DZ3277" i="3"/>
  <c r="DZ3276" i="3"/>
  <c r="DZ3275" i="3"/>
  <c r="DZ3274" i="3"/>
  <c r="DZ3273" i="3"/>
  <c r="DZ3272" i="3"/>
  <c r="DZ3271" i="3"/>
  <c r="DZ3270" i="3"/>
  <c r="DZ3269" i="3"/>
  <c r="DZ3268" i="3"/>
  <c r="DZ3267" i="3"/>
  <c r="DZ3266" i="3"/>
  <c r="DZ3265" i="3"/>
  <c r="DZ3264" i="3"/>
  <c r="DZ3263" i="3"/>
  <c r="DZ3262" i="3"/>
  <c r="DZ3261" i="3"/>
  <c r="DZ3260" i="3"/>
  <c r="DZ3259" i="3"/>
  <c r="DZ3258" i="3"/>
  <c r="DZ3257" i="3"/>
  <c r="DZ3256" i="3"/>
  <c r="DZ3255" i="3"/>
  <c r="DZ3254" i="3"/>
  <c r="DZ3253" i="3"/>
  <c r="DZ3252" i="3"/>
  <c r="DZ3251" i="3"/>
  <c r="DZ3250" i="3"/>
  <c r="DZ3249" i="3"/>
  <c r="DZ3248" i="3"/>
  <c r="DZ3247" i="3"/>
  <c r="DZ3246" i="3"/>
  <c r="DZ3245" i="3"/>
  <c r="DZ3244" i="3"/>
  <c r="DZ3243" i="3"/>
  <c r="DZ3242" i="3"/>
  <c r="DZ3241" i="3"/>
  <c r="DZ3240" i="3"/>
  <c r="DZ3239" i="3"/>
  <c r="DZ3238" i="3"/>
  <c r="DZ3237" i="3"/>
  <c r="DZ3236" i="3"/>
  <c r="DZ3235" i="3"/>
  <c r="DZ3234" i="3"/>
  <c r="DZ3233" i="3"/>
  <c r="DZ3232" i="3"/>
  <c r="DZ3231" i="3"/>
  <c r="DZ3230" i="3"/>
  <c r="DZ3229" i="3"/>
  <c r="DZ3228" i="3"/>
  <c r="DZ3227" i="3"/>
  <c r="DZ3226" i="3"/>
  <c r="DZ3225" i="3"/>
  <c r="DZ3224" i="3"/>
  <c r="DZ3223" i="3"/>
  <c r="DZ3222" i="3"/>
  <c r="DZ3221" i="3"/>
  <c r="DZ3220" i="3"/>
  <c r="DZ3219" i="3"/>
  <c r="DZ3218" i="3"/>
  <c r="DZ3217" i="3"/>
  <c r="DZ3216" i="3"/>
  <c r="DZ3215" i="3"/>
  <c r="DZ3214" i="3"/>
  <c r="DZ3213" i="3"/>
  <c r="DZ3212" i="3"/>
  <c r="DZ3211" i="3"/>
  <c r="DZ3210" i="3"/>
  <c r="DZ3209" i="3"/>
  <c r="DZ3208" i="3"/>
  <c r="DZ3207" i="3"/>
  <c r="DZ3206" i="3"/>
  <c r="DZ3205" i="3"/>
  <c r="DZ3204" i="3"/>
  <c r="DZ3203" i="3"/>
  <c r="DZ3202" i="3"/>
  <c r="DZ3201" i="3"/>
  <c r="DZ3200" i="3"/>
  <c r="DZ3199" i="3"/>
  <c r="DZ3198" i="3"/>
  <c r="DZ3197" i="3"/>
  <c r="DZ3196" i="3"/>
  <c r="DZ3195" i="3"/>
  <c r="DZ3194" i="3"/>
  <c r="DZ3193" i="3"/>
  <c r="DZ3192" i="3"/>
  <c r="DZ3191" i="3"/>
  <c r="DZ3190" i="3"/>
  <c r="DZ3189" i="3"/>
  <c r="DZ3188" i="3"/>
  <c r="DZ3187" i="3"/>
  <c r="DZ3186" i="3"/>
  <c r="DZ3185" i="3"/>
  <c r="DZ3184" i="3"/>
  <c r="DZ3183" i="3"/>
  <c r="DZ3182" i="3"/>
  <c r="DZ3181" i="3"/>
  <c r="DZ3180" i="3"/>
  <c r="DZ3179" i="3"/>
  <c r="DZ3178" i="3"/>
  <c r="DZ3177" i="3"/>
  <c r="DZ3176" i="3"/>
  <c r="DZ3175" i="3"/>
  <c r="DZ3174" i="3"/>
  <c r="DZ3173" i="3"/>
  <c r="DZ3172" i="3"/>
  <c r="DZ3171" i="3"/>
  <c r="DZ3170" i="3"/>
  <c r="DZ3169" i="3"/>
  <c r="DZ3168" i="3"/>
  <c r="DZ3167" i="3"/>
  <c r="DZ3166" i="3"/>
  <c r="DZ3165" i="3"/>
  <c r="DZ3164" i="3"/>
  <c r="DZ3163" i="3"/>
  <c r="DZ3162" i="3"/>
  <c r="DZ3161" i="3"/>
  <c r="DZ3160" i="3"/>
  <c r="DZ3159" i="3"/>
  <c r="DZ3158" i="3"/>
  <c r="DZ3157" i="3"/>
  <c r="DZ3156" i="3"/>
  <c r="DZ3155" i="3"/>
  <c r="DZ3154" i="3"/>
  <c r="DZ3153" i="3"/>
  <c r="DZ3152" i="3"/>
  <c r="DZ3151" i="3"/>
  <c r="DZ3150" i="3"/>
  <c r="DZ3149" i="3"/>
  <c r="DZ3148" i="3"/>
  <c r="DZ3147" i="3"/>
  <c r="DZ3146" i="3"/>
  <c r="DZ3145" i="3"/>
  <c r="DZ3144" i="3"/>
  <c r="DZ3143" i="3"/>
  <c r="DZ3142" i="3"/>
  <c r="DZ3141" i="3"/>
  <c r="DZ3140" i="3"/>
  <c r="DZ3139" i="3"/>
  <c r="DZ3138" i="3"/>
  <c r="DZ3137" i="3"/>
  <c r="DZ3136" i="3"/>
  <c r="DZ3135" i="3"/>
  <c r="DZ3134" i="3"/>
  <c r="DZ3133" i="3"/>
  <c r="DZ3132" i="3"/>
  <c r="DZ3131" i="3"/>
  <c r="DZ3130" i="3"/>
  <c r="DZ3129" i="3"/>
  <c r="DZ3128" i="3"/>
  <c r="DZ3127" i="3"/>
  <c r="DZ3126" i="3"/>
  <c r="DZ3125" i="3"/>
  <c r="DZ3124" i="3"/>
  <c r="DZ3123" i="3"/>
  <c r="DZ3122" i="3"/>
  <c r="DZ3121" i="3"/>
  <c r="DZ3120" i="3"/>
  <c r="DZ3119" i="3"/>
  <c r="DZ3118" i="3"/>
  <c r="DZ3117" i="3"/>
  <c r="DZ3116" i="3"/>
  <c r="DZ3115" i="3"/>
  <c r="DZ3114" i="3"/>
  <c r="DZ3113" i="3"/>
  <c r="DZ3112" i="3"/>
  <c r="DZ3111" i="3"/>
  <c r="DZ3110" i="3"/>
  <c r="DZ3109" i="3"/>
  <c r="DZ3108" i="3"/>
  <c r="DZ3107" i="3"/>
  <c r="DZ3106" i="3"/>
  <c r="DZ3105" i="3"/>
  <c r="DZ3104" i="3"/>
  <c r="DZ3103" i="3"/>
  <c r="DZ3102" i="3"/>
  <c r="DZ3101" i="3"/>
  <c r="DZ3100" i="3"/>
  <c r="DZ3099" i="3"/>
  <c r="DZ3098" i="3"/>
  <c r="DZ3097" i="3"/>
  <c r="DZ3096" i="3"/>
  <c r="DZ3095" i="3"/>
  <c r="DZ3094" i="3"/>
  <c r="DZ3093" i="3"/>
  <c r="DZ3092" i="3"/>
  <c r="DZ3091" i="3"/>
  <c r="DZ3090" i="3"/>
  <c r="DZ3089" i="3"/>
  <c r="DZ3088" i="3"/>
  <c r="DZ3087" i="3"/>
  <c r="DZ3086" i="3"/>
  <c r="DZ3085" i="3"/>
  <c r="DZ3084" i="3"/>
  <c r="DZ3083" i="3"/>
  <c r="DZ3082" i="3"/>
  <c r="DZ3081" i="3"/>
  <c r="DZ3080" i="3"/>
  <c r="DZ3079" i="3"/>
  <c r="DZ3078" i="3"/>
  <c r="DZ3077" i="3"/>
  <c r="DZ3076" i="3"/>
  <c r="DZ3075" i="3"/>
  <c r="DZ3074" i="3"/>
  <c r="DZ3073" i="3"/>
  <c r="DZ3072" i="3"/>
  <c r="DZ3071" i="3"/>
  <c r="DZ3070" i="3"/>
  <c r="DZ3069" i="3"/>
  <c r="DZ3068" i="3"/>
  <c r="DZ3067" i="3"/>
  <c r="DZ3066" i="3"/>
  <c r="DZ3065" i="3"/>
  <c r="DZ3064" i="3"/>
  <c r="DZ3063" i="3"/>
  <c r="DZ3062" i="3"/>
  <c r="DZ3061" i="3"/>
  <c r="DZ3060" i="3"/>
  <c r="DZ3059" i="3"/>
  <c r="DZ3058" i="3"/>
  <c r="DZ3057" i="3"/>
  <c r="DZ3056" i="3"/>
  <c r="DZ3055" i="3"/>
  <c r="DZ3054" i="3"/>
  <c r="DZ3053" i="3"/>
  <c r="DZ3052" i="3"/>
  <c r="DZ3051" i="3"/>
  <c r="DZ3050" i="3"/>
  <c r="DZ3049" i="3"/>
  <c r="DZ3048" i="3"/>
  <c r="DZ3047" i="3"/>
  <c r="DZ3046" i="3"/>
  <c r="DZ3045" i="3"/>
  <c r="DZ3044" i="3"/>
  <c r="DZ3043" i="3"/>
  <c r="DZ3042" i="3"/>
  <c r="DZ3041" i="3"/>
  <c r="DZ3040" i="3"/>
  <c r="DZ3039" i="3"/>
  <c r="DZ3038" i="3"/>
  <c r="DZ3037" i="3"/>
  <c r="DZ3036" i="3"/>
  <c r="DZ3035" i="3"/>
  <c r="DZ3034" i="3"/>
  <c r="DZ3033" i="3"/>
  <c r="DZ3032" i="3"/>
  <c r="DZ3031" i="3"/>
  <c r="DZ3030" i="3"/>
  <c r="DZ3029" i="3"/>
  <c r="DZ3028" i="3"/>
  <c r="DZ3027" i="3"/>
  <c r="DZ3026" i="3"/>
  <c r="DZ3025" i="3"/>
  <c r="DZ3024" i="3"/>
  <c r="DZ3023" i="3"/>
  <c r="DZ3022" i="3"/>
  <c r="DZ3021" i="3"/>
  <c r="DZ3020" i="3"/>
  <c r="DZ3019" i="3"/>
  <c r="DZ3018" i="3"/>
  <c r="DZ3017" i="3"/>
  <c r="DZ3016" i="3"/>
  <c r="DZ3015" i="3"/>
  <c r="DZ3014" i="3"/>
  <c r="DZ3013" i="3"/>
  <c r="DZ3012" i="3"/>
  <c r="DZ3011" i="3"/>
  <c r="DZ3010" i="3"/>
  <c r="DZ3009" i="3"/>
  <c r="DZ3008" i="3"/>
  <c r="DZ3007" i="3"/>
  <c r="DZ3006" i="3"/>
  <c r="DZ3005" i="3"/>
  <c r="DZ3004" i="3"/>
  <c r="DZ3003" i="3"/>
  <c r="DZ3002" i="3"/>
  <c r="DZ3001" i="3"/>
  <c r="DZ3000" i="3"/>
  <c r="DZ2999" i="3"/>
  <c r="DZ2998" i="3"/>
  <c r="DZ2997" i="3"/>
  <c r="DZ2996" i="3"/>
  <c r="DZ2995" i="3"/>
  <c r="DZ2994" i="3"/>
  <c r="DZ2993" i="3"/>
  <c r="DZ2992" i="3"/>
  <c r="DZ2991" i="3"/>
  <c r="DZ2990" i="3"/>
  <c r="DZ2989" i="3"/>
  <c r="DZ2988" i="3"/>
  <c r="DZ2987" i="3"/>
  <c r="DZ2986" i="3"/>
  <c r="DZ2985" i="3"/>
  <c r="DZ2984" i="3"/>
  <c r="DZ2983" i="3"/>
  <c r="DZ2982" i="3"/>
  <c r="DZ2981" i="3"/>
  <c r="DZ2980" i="3"/>
  <c r="DZ2979" i="3"/>
  <c r="DZ2978" i="3"/>
  <c r="DZ2977" i="3"/>
  <c r="DZ2976" i="3"/>
  <c r="DZ2975" i="3"/>
  <c r="DZ2974" i="3"/>
  <c r="DZ2973" i="3"/>
  <c r="DZ2972" i="3"/>
  <c r="DZ2971" i="3"/>
  <c r="DZ2970" i="3"/>
  <c r="DZ2969" i="3"/>
  <c r="DZ2968" i="3"/>
  <c r="DZ2967" i="3"/>
  <c r="DZ2966" i="3"/>
  <c r="DZ2965" i="3"/>
  <c r="DZ2964" i="3"/>
  <c r="DZ2963" i="3"/>
  <c r="DZ2962" i="3"/>
  <c r="DZ2961" i="3"/>
  <c r="DZ2960" i="3"/>
  <c r="DZ2959" i="3"/>
  <c r="DZ2958" i="3"/>
  <c r="DZ2957" i="3"/>
  <c r="DZ2956" i="3"/>
  <c r="DZ2955" i="3"/>
  <c r="DZ2954" i="3"/>
  <c r="DZ2953" i="3"/>
  <c r="DZ2952" i="3"/>
  <c r="DZ2951" i="3"/>
  <c r="DZ2950" i="3"/>
  <c r="DZ2949" i="3"/>
  <c r="DZ2948" i="3"/>
  <c r="DZ2947" i="3"/>
  <c r="DZ2946" i="3"/>
  <c r="DZ2945" i="3"/>
  <c r="DZ2944" i="3"/>
  <c r="DZ2943" i="3"/>
  <c r="DZ2942" i="3"/>
  <c r="DZ2941" i="3"/>
  <c r="DZ2940" i="3"/>
  <c r="DZ2939" i="3"/>
  <c r="DZ2938" i="3"/>
  <c r="DZ2937" i="3"/>
  <c r="DZ2936" i="3"/>
  <c r="DZ2935" i="3"/>
  <c r="DZ2934" i="3"/>
  <c r="DZ2933" i="3"/>
  <c r="DZ2932" i="3"/>
  <c r="DZ2931" i="3"/>
  <c r="DZ2930" i="3"/>
  <c r="DZ2929" i="3"/>
  <c r="DZ2928" i="3"/>
  <c r="DZ2927" i="3"/>
  <c r="DZ2926" i="3"/>
  <c r="DZ2925" i="3"/>
  <c r="DZ2924" i="3"/>
  <c r="DZ2923" i="3"/>
  <c r="DZ2922" i="3"/>
  <c r="DZ2921" i="3"/>
  <c r="DZ2920" i="3"/>
  <c r="DZ2919" i="3"/>
  <c r="DZ2918" i="3"/>
  <c r="DZ2917" i="3"/>
  <c r="DZ2916" i="3"/>
  <c r="DZ2915" i="3"/>
  <c r="DZ2914" i="3"/>
  <c r="DZ2913" i="3"/>
  <c r="DZ2912" i="3"/>
  <c r="DZ2911" i="3"/>
  <c r="DZ2910" i="3"/>
  <c r="DZ2909" i="3"/>
  <c r="DZ2908" i="3"/>
  <c r="DZ2907" i="3"/>
  <c r="DZ2906" i="3"/>
  <c r="DZ2905" i="3"/>
  <c r="DZ2904" i="3"/>
  <c r="DZ2903" i="3"/>
  <c r="DZ2902" i="3"/>
  <c r="DZ2901" i="3"/>
  <c r="DZ2900" i="3"/>
  <c r="DZ2899" i="3"/>
  <c r="DZ2898" i="3"/>
  <c r="DZ2897" i="3"/>
  <c r="DZ2896" i="3"/>
  <c r="DZ2895" i="3"/>
  <c r="DZ2894" i="3"/>
  <c r="DZ2893" i="3"/>
  <c r="DZ2892" i="3"/>
  <c r="DZ2891" i="3"/>
  <c r="DZ2890" i="3"/>
  <c r="DZ2889" i="3"/>
  <c r="DZ2888" i="3"/>
  <c r="DZ2887" i="3"/>
  <c r="DZ2886" i="3"/>
  <c r="DZ2885" i="3"/>
  <c r="DZ2884" i="3"/>
  <c r="DZ2883" i="3"/>
  <c r="DZ2882" i="3"/>
  <c r="DZ2881" i="3"/>
  <c r="DZ2880" i="3"/>
  <c r="DZ2879" i="3"/>
  <c r="DZ2878" i="3"/>
  <c r="DZ2877" i="3"/>
  <c r="DZ2876" i="3"/>
  <c r="DZ2875" i="3"/>
  <c r="DZ2874" i="3"/>
  <c r="DZ2873" i="3"/>
  <c r="DZ2872" i="3"/>
  <c r="DZ2871" i="3"/>
  <c r="DZ2870" i="3"/>
  <c r="DZ2869" i="3"/>
  <c r="DZ2868" i="3"/>
  <c r="DZ2867" i="3"/>
  <c r="DZ2866" i="3"/>
  <c r="DZ2865" i="3"/>
  <c r="DZ2864" i="3"/>
  <c r="DZ2863" i="3"/>
  <c r="DZ2862" i="3"/>
  <c r="DZ2861" i="3"/>
  <c r="DZ2860" i="3"/>
  <c r="DZ2859" i="3"/>
  <c r="DZ2858" i="3"/>
  <c r="DZ2857" i="3"/>
  <c r="DZ2856" i="3"/>
  <c r="DZ2855" i="3"/>
  <c r="DZ2854" i="3"/>
  <c r="DZ2853" i="3"/>
  <c r="DZ2852" i="3"/>
  <c r="DZ2851" i="3"/>
  <c r="DZ2850" i="3"/>
  <c r="DZ2849" i="3"/>
  <c r="DZ2848" i="3"/>
  <c r="DZ2847" i="3"/>
  <c r="DZ2846" i="3"/>
  <c r="DZ2845" i="3"/>
  <c r="DZ2844" i="3"/>
  <c r="DZ2843" i="3"/>
  <c r="DZ2842" i="3"/>
  <c r="DZ2841" i="3"/>
  <c r="DZ2840" i="3"/>
  <c r="DZ2839" i="3"/>
  <c r="DZ2838" i="3"/>
  <c r="DZ2837" i="3"/>
  <c r="DZ2836" i="3"/>
  <c r="DZ2835" i="3"/>
  <c r="DZ2834" i="3"/>
  <c r="DZ2833" i="3"/>
  <c r="DZ2832" i="3"/>
  <c r="DZ2831" i="3"/>
  <c r="DZ2830" i="3"/>
  <c r="DZ2829" i="3"/>
  <c r="DZ2828" i="3"/>
  <c r="DZ2827" i="3"/>
  <c r="DZ2826" i="3"/>
  <c r="DZ2825" i="3"/>
  <c r="DZ2824" i="3"/>
  <c r="DZ2823" i="3"/>
  <c r="DZ2822" i="3"/>
  <c r="DZ2821" i="3"/>
  <c r="DZ2820" i="3"/>
  <c r="DZ2819" i="3"/>
  <c r="DZ2818" i="3"/>
  <c r="DZ2817" i="3"/>
  <c r="DZ2816" i="3"/>
  <c r="DZ2815" i="3"/>
  <c r="DZ2814" i="3"/>
  <c r="DZ2813" i="3"/>
  <c r="DZ2812" i="3"/>
  <c r="DZ2811" i="3"/>
  <c r="DZ2810" i="3"/>
  <c r="DZ2809" i="3"/>
  <c r="DZ2808" i="3"/>
  <c r="DZ2807" i="3"/>
  <c r="DZ2806" i="3"/>
  <c r="DZ2805" i="3"/>
  <c r="DZ2804" i="3"/>
  <c r="DZ2803" i="3"/>
  <c r="DZ2802" i="3"/>
  <c r="DZ2801" i="3"/>
  <c r="DZ2800" i="3"/>
  <c r="DZ2799" i="3"/>
  <c r="DZ2798" i="3"/>
  <c r="DZ2797" i="3"/>
  <c r="DZ2796" i="3"/>
  <c r="DZ2795" i="3"/>
  <c r="DZ2794" i="3"/>
  <c r="DZ2793" i="3"/>
  <c r="DZ2792" i="3"/>
  <c r="DZ2791" i="3"/>
  <c r="DZ2790" i="3"/>
  <c r="DZ2789" i="3"/>
  <c r="DZ2788" i="3"/>
  <c r="DZ2787" i="3"/>
  <c r="DZ2786" i="3"/>
  <c r="DZ2785" i="3"/>
  <c r="DZ2784" i="3"/>
  <c r="DZ2783" i="3"/>
  <c r="DZ2782" i="3"/>
  <c r="DZ2781" i="3"/>
  <c r="DZ2780" i="3"/>
  <c r="DZ2779" i="3"/>
  <c r="DZ2778" i="3"/>
  <c r="DZ2777" i="3"/>
  <c r="DZ2776" i="3"/>
  <c r="DZ2775" i="3"/>
  <c r="DZ2774" i="3"/>
  <c r="DZ2773" i="3"/>
  <c r="DZ2772" i="3"/>
  <c r="DZ2771" i="3"/>
  <c r="DZ2770" i="3"/>
  <c r="DZ2769" i="3"/>
  <c r="DZ2768" i="3"/>
  <c r="DZ2767" i="3"/>
  <c r="DZ2766" i="3"/>
  <c r="DZ2765" i="3"/>
  <c r="DZ2764" i="3"/>
  <c r="DZ2763" i="3"/>
  <c r="DZ2762" i="3"/>
  <c r="DZ2761" i="3"/>
  <c r="DZ2760" i="3"/>
  <c r="DZ2759" i="3"/>
  <c r="DZ2758" i="3"/>
  <c r="DZ2757" i="3"/>
  <c r="DZ2756" i="3"/>
  <c r="DZ2755" i="3"/>
  <c r="DZ2754" i="3"/>
  <c r="DZ2753" i="3"/>
  <c r="DZ2752" i="3"/>
  <c r="DZ2751" i="3"/>
  <c r="DZ2750" i="3"/>
  <c r="DZ2749" i="3"/>
  <c r="DZ2748" i="3"/>
  <c r="DZ2747" i="3"/>
  <c r="DZ2746" i="3"/>
  <c r="DZ2745" i="3"/>
  <c r="DZ2744" i="3"/>
  <c r="DZ2743" i="3"/>
  <c r="DZ2742" i="3"/>
  <c r="DZ2741" i="3"/>
  <c r="DZ2740" i="3"/>
  <c r="DZ2739" i="3"/>
  <c r="DZ2738" i="3"/>
  <c r="DZ2737" i="3"/>
  <c r="DZ2736" i="3"/>
  <c r="DZ2735" i="3"/>
  <c r="DZ2734" i="3"/>
  <c r="DZ2733" i="3"/>
  <c r="DZ2732" i="3"/>
  <c r="DZ2731" i="3"/>
  <c r="DZ2730" i="3"/>
  <c r="DZ2729" i="3"/>
  <c r="DZ2728" i="3"/>
  <c r="DZ2727" i="3"/>
  <c r="DZ2726" i="3"/>
  <c r="DZ2725" i="3"/>
  <c r="DZ2724" i="3"/>
  <c r="DZ2723" i="3"/>
  <c r="DZ2722" i="3"/>
  <c r="DZ2721" i="3"/>
  <c r="DZ2720" i="3"/>
  <c r="DZ2719" i="3"/>
  <c r="DZ2718" i="3"/>
  <c r="DZ2717" i="3"/>
  <c r="DZ2716" i="3"/>
  <c r="DZ2715" i="3"/>
  <c r="DZ2714" i="3"/>
  <c r="DZ2713" i="3"/>
  <c r="DZ2712" i="3"/>
  <c r="DZ2711" i="3"/>
  <c r="DZ2710" i="3"/>
  <c r="DZ2709" i="3"/>
  <c r="DZ2708" i="3"/>
  <c r="DZ2707" i="3"/>
  <c r="DZ2706" i="3"/>
  <c r="DZ2705" i="3"/>
  <c r="DZ2704" i="3"/>
  <c r="DZ2703" i="3"/>
  <c r="DZ2702" i="3"/>
  <c r="DZ2701" i="3"/>
  <c r="DZ2700" i="3"/>
  <c r="DZ2699" i="3"/>
  <c r="DZ2698" i="3"/>
  <c r="DZ2697" i="3"/>
  <c r="DZ2696" i="3"/>
  <c r="DZ2695" i="3"/>
  <c r="DZ2694" i="3"/>
  <c r="DZ2693" i="3"/>
  <c r="DZ2692" i="3"/>
  <c r="DZ2691" i="3"/>
  <c r="DZ2690" i="3"/>
  <c r="DZ2689" i="3"/>
  <c r="DZ2688" i="3"/>
  <c r="DZ2687" i="3"/>
  <c r="DZ2686" i="3"/>
  <c r="DZ2685" i="3"/>
  <c r="DZ2684" i="3"/>
  <c r="DZ2683" i="3"/>
  <c r="DZ2682" i="3"/>
  <c r="DZ2681" i="3"/>
  <c r="DZ2680" i="3"/>
  <c r="DZ2679" i="3"/>
  <c r="DZ2678" i="3"/>
  <c r="DZ2677" i="3"/>
  <c r="DZ2676" i="3"/>
  <c r="DZ2675" i="3"/>
  <c r="DZ2674" i="3"/>
  <c r="DZ2673" i="3"/>
  <c r="DZ2672" i="3"/>
  <c r="DZ2671" i="3"/>
  <c r="DZ2670" i="3"/>
  <c r="DZ2669" i="3"/>
  <c r="DZ2668" i="3"/>
  <c r="DZ2667" i="3"/>
  <c r="DZ2666" i="3"/>
  <c r="DZ2665" i="3"/>
  <c r="DZ2664" i="3"/>
  <c r="DZ2663" i="3"/>
  <c r="DZ2662" i="3"/>
  <c r="DZ2661" i="3"/>
  <c r="DZ2660" i="3"/>
  <c r="DZ2659" i="3"/>
  <c r="DZ2658" i="3"/>
  <c r="DZ2657" i="3"/>
  <c r="DZ2656" i="3"/>
  <c r="DZ2655" i="3"/>
  <c r="DZ2654" i="3"/>
  <c r="DZ2653" i="3"/>
  <c r="DZ2652" i="3"/>
  <c r="DZ2651" i="3"/>
  <c r="DZ2650" i="3"/>
  <c r="DZ2649" i="3"/>
  <c r="DZ2648" i="3"/>
  <c r="DZ2647" i="3"/>
  <c r="DZ2646" i="3"/>
  <c r="DZ2645" i="3"/>
  <c r="DZ2644" i="3"/>
  <c r="DZ2643" i="3"/>
  <c r="DZ2642" i="3"/>
  <c r="DZ2641" i="3"/>
  <c r="DZ2640" i="3"/>
  <c r="DZ2639" i="3"/>
  <c r="DZ2638" i="3"/>
  <c r="DZ2637" i="3"/>
  <c r="DZ2636" i="3"/>
  <c r="DZ2635" i="3"/>
  <c r="DZ2634" i="3"/>
  <c r="DZ2633" i="3"/>
  <c r="DZ2632" i="3"/>
  <c r="DZ2631" i="3"/>
  <c r="DZ2630" i="3"/>
  <c r="DZ2629" i="3"/>
  <c r="DZ2628" i="3"/>
  <c r="DZ2627" i="3"/>
  <c r="DZ2626" i="3"/>
  <c r="DZ2625" i="3"/>
  <c r="DZ2624" i="3"/>
  <c r="DZ2623" i="3"/>
  <c r="DZ2622" i="3"/>
  <c r="DZ2621" i="3"/>
  <c r="DZ2620" i="3"/>
  <c r="DZ2619" i="3"/>
  <c r="DZ2618" i="3"/>
  <c r="DZ2617" i="3"/>
  <c r="DZ2616" i="3"/>
  <c r="DZ2615" i="3"/>
  <c r="DZ2614" i="3"/>
  <c r="DZ2613" i="3"/>
  <c r="DZ2612" i="3"/>
  <c r="DZ2611" i="3"/>
  <c r="DZ2610" i="3"/>
  <c r="DZ2609" i="3"/>
  <c r="DZ2608" i="3"/>
  <c r="DZ2607" i="3"/>
  <c r="DZ2606" i="3"/>
  <c r="DZ2605" i="3"/>
  <c r="DZ2604" i="3"/>
  <c r="DZ2603" i="3"/>
  <c r="DZ2602" i="3"/>
  <c r="DZ2601" i="3"/>
  <c r="DZ2600" i="3"/>
  <c r="DZ2599" i="3"/>
  <c r="DZ2598" i="3"/>
  <c r="DZ2597" i="3"/>
  <c r="DZ2596" i="3"/>
  <c r="DZ2595" i="3"/>
  <c r="DZ2594" i="3"/>
  <c r="DZ2593" i="3"/>
  <c r="DZ2592" i="3"/>
  <c r="DZ2591" i="3"/>
  <c r="DZ2590" i="3"/>
  <c r="DZ2589" i="3"/>
  <c r="DZ2588" i="3"/>
  <c r="DZ2587" i="3"/>
  <c r="DZ2586" i="3"/>
  <c r="DZ2585" i="3"/>
  <c r="DZ2584" i="3"/>
  <c r="DZ2583" i="3"/>
  <c r="DZ2582" i="3"/>
  <c r="DZ2581" i="3"/>
  <c r="DZ2580" i="3"/>
  <c r="DZ2579" i="3"/>
  <c r="DZ2578" i="3"/>
  <c r="DZ2577" i="3"/>
  <c r="DZ2576" i="3"/>
  <c r="DZ2575" i="3"/>
  <c r="DZ2574" i="3"/>
  <c r="DZ2573" i="3"/>
  <c r="DZ2572" i="3"/>
  <c r="DZ2571" i="3"/>
  <c r="DZ2570" i="3"/>
  <c r="DZ2569" i="3"/>
  <c r="DZ2568" i="3"/>
  <c r="DZ2567" i="3"/>
  <c r="DZ2566" i="3"/>
  <c r="DZ2565" i="3"/>
  <c r="DZ2564" i="3"/>
  <c r="DZ2563" i="3"/>
  <c r="DZ2562" i="3"/>
  <c r="DZ2561" i="3"/>
  <c r="DZ2560" i="3"/>
  <c r="DZ2559" i="3"/>
  <c r="DZ2558" i="3"/>
  <c r="DZ2557" i="3"/>
  <c r="DZ2556" i="3"/>
  <c r="DZ2555" i="3"/>
  <c r="DZ2554" i="3"/>
  <c r="DZ2553" i="3"/>
  <c r="DZ2552" i="3"/>
  <c r="DZ2551" i="3"/>
  <c r="DZ2550" i="3"/>
  <c r="DZ2549" i="3"/>
  <c r="DZ2548" i="3"/>
  <c r="DZ2547" i="3"/>
  <c r="DZ2546" i="3"/>
  <c r="DZ2545" i="3"/>
  <c r="DZ2544" i="3"/>
  <c r="DZ2543" i="3"/>
  <c r="DZ2542" i="3"/>
  <c r="DZ2541" i="3"/>
  <c r="DZ2540" i="3"/>
  <c r="DZ2539" i="3"/>
  <c r="DZ2538" i="3"/>
  <c r="DZ2537" i="3"/>
  <c r="DZ2536" i="3"/>
  <c r="DZ2535" i="3"/>
  <c r="DZ2534" i="3"/>
  <c r="DZ2533" i="3"/>
  <c r="DZ2532" i="3"/>
  <c r="DZ2531" i="3"/>
  <c r="DZ2530" i="3"/>
  <c r="DZ2529" i="3"/>
  <c r="DZ2528" i="3"/>
  <c r="DZ2527" i="3"/>
  <c r="DZ2526" i="3"/>
  <c r="DZ2525" i="3"/>
  <c r="DZ2524" i="3"/>
  <c r="DZ2523" i="3"/>
  <c r="DZ2522" i="3"/>
  <c r="DZ2521" i="3"/>
  <c r="DZ2520" i="3"/>
  <c r="DZ2519" i="3"/>
  <c r="DZ2518" i="3"/>
  <c r="DZ2517" i="3"/>
  <c r="DZ2516" i="3"/>
  <c r="DZ2515" i="3"/>
  <c r="DZ2514" i="3"/>
  <c r="DZ2513" i="3"/>
  <c r="DZ2512" i="3"/>
  <c r="DZ2511" i="3"/>
  <c r="DZ2510" i="3"/>
  <c r="DZ2509" i="3"/>
  <c r="DZ2508" i="3"/>
  <c r="DZ2507" i="3"/>
  <c r="DZ2506" i="3"/>
  <c r="DZ2505" i="3"/>
  <c r="DZ2504" i="3"/>
  <c r="DZ2503" i="3"/>
  <c r="DZ2502" i="3"/>
  <c r="DZ2501" i="3"/>
  <c r="DZ2500" i="3"/>
  <c r="DZ2499" i="3"/>
  <c r="DZ2498" i="3"/>
  <c r="DZ2497" i="3"/>
  <c r="DZ2496" i="3"/>
  <c r="DZ2495" i="3"/>
  <c r="DZ2494" i="3"/>
  <c r="DZ2493" i="3"/>
  <c r="DZ2492" i="3"/>
  <c r="DZ2491" i="3"/>
  <c r="DZ2490" i="3"/>
  <c r="DZ2489" i="3"/>
  <c r="DZ2488" i="3"/>
  <c r="DZ2487" i="3"/>
  <c r="DZ2486" i="3"/>
  <c r="DZ2485" i="3"/>
  <c r="DZ2484" i="3"/>
  <c r="DZ2483" i="3"/>
  <c r="DZ2482" i="3"/>
  <c r="DZ2481" i="3"/>
  <c r="DZ2480" i="3"/>
  <c r="DZ2479" i="3"/>
  <c r="DZ2478" i="3"/>
  <c r="DZ2477" i="3"/>
  <c r="DZ2476" i="3"/>
  <c r="DZ2475" i="3"/>
  <c r="DZ2474" i="3"/>
  <c r="DZ2473" i="3"/>
  <c r="DZ2472" i="3"/>
  <c r="DZ2471" i="3"/>
  <c r="DZ2470" i="3"/>
  <c r="DZ2469" i="3"/>
  <c r="DZ2468" i="3"/>
  <c r="DZ2467" i="3"/>
  <c r="DZ2466" i="3"/>
  <c r="DZ2465" i="3"/>
  <c r="DZ2464" i="3"/>
  <c r="DZ2463" i="3"/>
  <c r="DZ2462" i="3"/>
  <c r="DZ2461" i="3"/>
  <c r="DZ2460" i="3"/>
  <c r="DZ2459" i="3"/>
  <c r="DZ2458" i="3"/>
  <c r="DZ2457" i="3"/>
  <c r="DZ2456" i="3"/>
  <c r="DZ2455" i="3"/>
  <c r="DZ2454" i="3"/>
  <c r="DZ2453" i="3"/>
  <c r="DZ2452" i="3"/>
  <c r="DZ2451" i="3"/>
  <c r="DZ2450" i="3"/>
  <c r="DZ2449" i="3"/>
  <c r="DZ2448" i="3"/>
  <c r="DZ2447" i="3"/>
  <c r="DZ2446" i="3"/>
  <c r="DZ2445" i="3"/>
  <c r="DZ2444" i="3"/>
  <c r="DZ2443" i="3"/>
  <c r="DZ2442" i="3"/>
  <c r="DZ2441" i="3"/>
  <c r="DZ2440" i="3"/>
  <c r="DZ2439" i="3"/>
  <c r="DZ2438" i="3"/>
  <c r="DZ2437" i="3"/>
  <c r="DZ2436" i="3"/>
  <c r="DZ2435" i="3"/>
  <c r="DZ2434" i="3"/>
  <c r="DZ2433" i="3"/>
  <c r="DZ2432" i="3"/>
  <c r="DZ2431" i="3"/>
  <c r="DZ2430" i="3"/>
  <c r="DZ2429" i="3"/>
  <c r="DZ2428" i="3"/>
  <c r="DZ2427" i="3"/>
  <c r="DZ2426" i="3"/>
  <c r="DZ2425" i="3"/>
  <c r="DZ2424" i="3"/>
  <c r="DZ2423" i="3"/>
  <c r="DZ2422" i="3"/>
  <c r="DZ2421" i="3"/>
  <c r="DZ2420" i="3"/>
  <c r="DZ2419" i="3"/>
  <c r="DZ2418" i="3"/>
  <c r="DZ2417" i="3"/>
  <c r="DZ2416" i="3"/>
  <c r="DZ2415" i="3"/>
  <c r="DZ2414" i="3"/>
  <c r="DZ2413" i="3"/>
  <c r="DZ2412" i="3"/>
  <c r="DZ2411" i="3"/>
  <c r="DZ2410" i="3"/>
  <c r="DZ2409" i="3"/>
  <c r="DZ2408" i="3"/>
  <c r="DZ2407" i="3"/>
  <c r="DZ2406" i="3"/>
  <c r="DZ2405" i="3"/>
  <c r="DZ2404" i="3"/>
  <c r="DZ2403" i="3"/>
  <c r="DZ2402" i="3"/>
  <c r="DZ2401" i="3"/>
  <c r="DZ2400" i="3"/>
  <c r="DZ2399" i="3"/>
  <c r="DZ2398" i="3"/>
  <c r="DZ2397" i="3"/>
  <c r="DZ2396" i="3"/>
  <c r="DZ2395" i="3"/>
  <c r="DZ2394" i="3"/>
  <c r="DZ2393" i="3"/>
  <c r="DZ2392" i="3"/>
  <c r="DZ2391" i="3"/>
  <c r="DZ2390" i="3"/>
  <c r="DZ2389" i="3"/>
  <c r="DZ2388" i="3"/>
  <c r="DZ2387" i="3"/>
  <c r="DZ2386" i="3"/>
  <c r="DZ2385" i="3"/>
  <c r="DZ2384" i="3"/>
  <c r="DZ2383" i="3"/>
  <c r="DZ2382" i="3"/>
  <c r="DZ2381" i="3"/>
  <c r="DZ2380" i="3"/>
  <c r="DZ2379" i="3"/>
  <c r="DZ2378" i="3"/>
  <c r="DZ2377" i="3"/>
  <c r="DZ2376" i="3"/>
  <c r="DZ2375" i="3"/>
  <c r="DZ2374" i="3"/>
  <c r="DZ2373" i="3"/>
  <c r="DZ2372" i="3"/>
  <c r="DZ2371" i="3"/>
  <c r="DZ2370" i="3"/>
  <c r="DZ2369" i="3"/>
  <c r="DZ2368" i="3"/>
  <c r="DZ2367" i="3"/>
  <c r="DZ2366" i="3"/>
  <c r="DZ2365" i="3"/>
  <c r="DZ2364" i="3"/>
  <c r="DZ2363" i="3"/>
  <c r="DZ2362" i="3"/>
  <c r="DZ2361" i="3"/>
  <c r="DZ2360" i="3"/>
  <c r="DZ2359" i="3"/>
  <c r="DZ2358" i="3"/>
  <c r="DZ2357" i="3"/>
  <c r="DZ2356" i="3"/>
  <c r="DZ2355" i="3"/>
  <c r="DZ2354" i="3"/>
  <c r="DZ2353" i="3"/>
  <c r="DZ2352" i="3"/>
  <c r="DZ2351" i="3"/>
  <c r="DZ2350" i="3"/>
  <c r="DZ2349" i="3"/>
  <c r="DZ2348" i="3"/>
  <c r="DZ2347" i="3"/>
  <c r="DZ2346" i="3"/>
  <c r="DZ2345" i="3"/>
  <c r="DZ2344" i="3"/>
  <c r="DZ2343" i="3"/>
  <c r="DZ2342" i="3"/>
  <c r="DZ2341" i="3"/>
  <c r="DZ2340" i="3"/>
  <c r="DZ2339" i="3"/>
  <c r="DZ2338" i="3"/>
  <c r="DZ2337" i="3"/>
  <c r="DZ2336" i="3"/>
  <c r="DZ2335" i="3"/>
  <c r="DZ2334" i="3"/>
  <c r="DZ2333" i="3"/>
  <c r="DZ2332" i="3"/>
  <c r="DZ2331" i="3"/>
  <c r="DZ2330" i="3"/>
  <c r="DZ2329" i="3"/>
  <c r="DZ2328" i="3"/>
  <c r="DZ2327" i="3"/>
  <c r="DZ2326" i="3"/>
  <c r="DZ2325" i="3"/>
  <c r="DZ2324" i="3"/>
  <c r="DZ2323" i="3"/>
  <c r="DZ2322" i="3"/>
  <c r="DZ2321" i="3"/>
  <c r="DZ2320" i="3"/>
  <c r="DZ2319" i="3"/>
  <c r="DZ2318" i="3"/>
  <c r="DZ2317" i="3"/>
  <c r="DZ2316" i="3"/>
  <c r="DZ2315" i="3"/>
  <c r="DZ2314" i="3"/>
  <c r="DZ2313" i="3"/>
  <c r="DZ2312" i="3"/>
  <c r="DZ2311" i="3"/>
  <c r="DZ2310" i="3"/>
  <c r="DZ2309" i="3"/>
  <c r="DZ2308" i="3"/>
  <c r="DZ2307" i="3"/>
  <c r="DZ2306" i="3"/>
  <c r="DZ2305" i="3"/>
  <c r="DZ2304" i="3"/>
  <c r="DZ2303" i="3"/>
  <c r="DZ2302" i="3"/>
  <c r="DZ2301" i="3"/>
  <c r="DZ2300" i="3"/>
  <c r="DZ2299" i="3"/>
  <c r="DZ2298" i="3"/>
  <c r="DZ2297" i="3"/>
  <c r="DZ2296" i="3"/>
  <c r="DZ2295" i="3"/>
  <c r="DZ2294" i="3"/>
  <c r="DZ2293" i="3"/>
  <c r="DZ2292" i="3"/>
  <c r="DZ2291" i="3"/>
  <c r="DZ2290" i="3"/>
  <c r="DZ2289" i="3"/>
  <c r="DZ2288" i="3"/>
  <c r="DZ2287" i="3"/>
  <c r="DZ2286" i="3"/>
  <c r="DZ2285" i="3"/>
  <c r="DZ2284" i="3"/>
  <c r="DZ2283" i="3"/>
  <c r="DZ2282" i="3"/>
  <c r="DZ2281" i="3"/>
  <c r="DZ2280" i="3"/>
  <c r="DZ2279" i="3"/>
  <c r="DZ2278" i="3"/>
  <c r="DZ2277" i="3"/>
  <c r="DZ2276" i="3"/>
  <c r="DZ2275" i="3"/>
  <c r="DZ2274" i="3"/>
  <c r="DZ2273" i="3"/>
  <c r="DZ2272" i="3"/>
  <c r="DZ2271" i="3"/>
  <c r="DZ2270" i="3"/>
  <c r="DZ2269" i="3"/>
  <c r="DZ2268" i="3"/>
  <c r="DZ2267" i="3"/>
  <c r="DZ2266" i="3"/>
  <c r="DZ2265" i="3"/>
  <c r="DZ2264" i="3"/>
  <c r="DZ2263" i="3"/>
  <c r="DZ2262" i="3"/>
  <c r="DZ2261" i="3"/>
  <c r="DZ2260" i="3"/>
  <c r="DZ2259" i="3"/>
  <c r="DZ2258" i="3"/>
  <c r="DZ2257" i="3"/>
  <c r="DZ2256" i="3"/>
  <c r="DZ2255" i="3"/>
  <c r="DZ2254" i="3"/>
  <c r="DZ2253" i="3"/>
  <c r="DZ2252" i="3"/>
  <c r="DZ2251" i="3"/>
  <c r="DZ2250" i="3"/>
  <c r="DZ2249" i="3"/>
  <c r="DZ2248" i="3"/>
  <c r="DZ2247" i="3"/>
  <c r="DZ2246" i="3"/>
  <c r="DZ2245" i="3"/>
  <c r="DZ2244" i="3"/>
  <c r="DZ2243" i="3"/>
  <c r="DZ2242" i="3"/>
  <c r="DZ2241" i="3"/>
  <c r="DZ2240" i="3"/>
  <c r="DZ2239" i="3"/>
  <c r="DZ2238" i="3"/>
  <c r="DZ2237" i="3"/>
  <c r="DZ2236" i="3"/>
  <c r="DZ2235" i="3"/>
  <c r="DZ2234" i="3"/>
  <c r="DZ2233" i="3"/>
  <c r="DZ2232" i="3"/>
  <c r="DZ2231" i="3"/>
  <c r="DZ2230" i="3"/>
  <c r="DZ2229" i="3"/>
  <c r="DZ2228" i="3"/>
  <c r="DZ2227" i="3"/>
  <c r="DZ2226" i="3"/>
  <c r="DZ2225" i="3"/>
  <c r="DZ2224" i="3"/>
  <c r="DZ2223" i="3"/>
  <c r="DZ2222" i="3"/>
  <c r="DZ2221" i="3"/>
  <c r="DZ2220" i="3"/>
  <c r="DZ2219" i="3"/>
  <c r="DZ2218" i="3"/>
  <c r="DZ2217" i="3"/>
  <c r="DZ2216" i="3"/>
  <c r="DZ2215" i="3"/>
  <c r="DZ2214" i="3"/>
  <c r="DZ2213" i="3"/>
  <c r="DZ2212" i="3"/>
  <c r="DZ2211" i="3"/>
  <c r="DZ2210" i="3"/>
  <c r="DZ2209" i="3"/>
  <c r="DZ2208" i="3"/>
  <c r="DZ2207" i="3"/>
  <c r="DZ2206" i="3"/>
  <c r="DZ2205" i="3"/>
  <c r="DZ2204" i="3"/>
  <c r="DZ2203" i="3"/>
  <c r="DZ2202" i="3"/>
  <c r="DZ2201" i="3"/>
  <c r="DZ2200" i="3"/>
  <c r="DZ2199" i="3"/>
  <c r="DZ2198" i="3"/>
  <c r="DZ2197" i="3"/>
  <c r="DZ2196" i="3"/>
  <c r="DZ2195" i="3"/>
  <c r="DZ2194" i="3"/>
  <c r="DZ2193" i="3"/>
  <c r="DZ2192" i="3"/>
  <c r="DZ2191" i="3"/>
  <c r="DZ2190" i="3"/>
  <c r="DZ2189" i="3"/>
  <c r="DZ2188" i="3"/>
  <c r="DZ2187" i="3"/>
  <c r="DZ2186" i="3"/>
  <c r="DZ2185" i="3"/>
  <c r="DZ2184" i="3"/>
  <c r="DZ2183" i="3"/>
  <c r="DZ2182" i="3"/>
  <c r="DZ2181" i="3"/>
  <c r="DZ2180" i="3"/>
  <c r="DZ2179" i="3"/>
  <c r="DZ2178" i="3"/>
  <c r="DZ2177" i="3"/>
  <c r="DZ2176" i="3"/>
  <c r="DZ2175" i="3"/>
  <c r="DZ2174" i="3"/>
  <c r="DZ2173" i="3"/>
  <c r="DZ2172" i="3"/>
  <c r="DZ2171" i="3"/>
  <c r="DZ2170" i="3"/>
  <c r="DZ2169" i="3"/>
  <c r="DZ2168" i="3"/>
  <c r="DZ2167" i="3"/>
  <c r="DZ2166" i="3"/>
  <c r="DZ2165" i="3"/>
  <c r="DZ2164" i="3"/>
  <c r="DZ2163" i="3"/>
  <c r="DZ2162" i="3"/>
  <c r="DZ2161" i="3"/>
  <c r="DZ2160" i="3"/>
  <c r="DZ2159" i="3"/>
  <c r="DZ2158" i="3"/>
  <c r="DZ2157" i="3"/>
  <c r="DZ2156" i="3"/>
  <c r="DZ2155" i="3"/>
  <c r="DZ2154" i="3"/>
  <c r="DZ2153" i="3"/>
  <c r="DZ2152" i="3"/>
  <c r="DZ2151" i="3"/>
  <c r="DZ2150" i="3"/>
  <c r="DZ2149" i="3"/>
  <c r="DZ2148" i="3"/>
  <c r="DZ2147" i="3"/>
  <c r="DZ2146" i="3"/>
  <c r="DZ2145" i="3"/>
  <c r="DZ2144" i="3"/>
  <c r="DZ2143" i="3"/>
  <c r="DZ2142" i="3"/>
  <c r="DZ2141" i="3"/>
  <c r="DZ2140" i="3"/>
  <c r="DZ2139" i="3"/>
  <c r="DZ2138" i="3"/>
  <c r="DZ2137" i="3"/>
  <c r="DZ2136" i="3"/>
  <c r="DZ2135" i="3"/>
  <c r="DZ2134" i="3"/>
  <c r="DZ2133" i="3"/>
  <c r="DZ2132" i="3"/>
  <c r="DZ2131" i="3"/>
  <c r="DZ2130" i="3"/>
  <c r="DZ2129" i="3"/>
  <c r="DZ2128" i="3"/>
  <c r="DZ2127" i="3"/>
  <c r="DZ2126" i="3"/>
  <c r="DZ2125" i="3"/>
  <c r="DZ2124" i="3"/>
  <c r="DZ2123" i="3"/>
  <c r="DZ2122" i="3"/>
  <c r="DZ2121" i="3"/>
  <c r="DZ2120" i="3"/>
  <c r="DZ2119" i="3"/>
  <c r="DZ2118" i="3"/>
  <c r="DZ2117" i="3"/>
  <c r="DZ2116" i="3"/>
  <c r="DZ2115" i="3"/>
  <c r="DZ2114" i="3"/>
  <c r="DZ2113" i="3"/>
  <c r="DZ2112" i="3"/>
  <c r="DZ2111" i="3"/>
  <c r="DZ2110" i="3"/>
  <c r="DZ2109" i="3"/>
  <c r="DZ2108" i="3"/>
  <c r="DZ2107" i="3"/>
  <c r="DZ2106" i="3"/>
  <c r="DZ2105" i="3"/>
  <c r="DZ2104" i="3"/>
  <c r="DZ2103" i="3"/>
  <c r="DZ2102" i="3"/>
  <c r="DZ2101" i="3"/>
  <c r="DZ2100" i="3"/>
  <c r="DZ2099" i="3"/>
  <c r="DZ2098" i="3"/>
  <c r="DZ2097" i="3"/>
  <c r="DZ2096" i="3"/>
  <c r="DZ2095" i="3"/>
  <c r="DZ2094" i="3"/>
  <c r="DZ2093" i="3"/>
  <c r="DZ2092" i="3"/>
  <c r="DZ2091" i="3"/>
  <c r="DZ2090" i="3"/>
  <c r="DZ2089" i="3"/>
  <c r="DZ2088" i="3"/>
  <c r="DZ2087" i="3"/>
  <c r="DZ2086" i="3"/>
  <c r="DZ2085" i="3"/>
  <c r="DZ2084" i="3"/>
  <c r="DZ2083" i="3"/>
  <c r="DZ2082" i="3"/>
  <c r="DZ2081" i="3"/>
  <c r="DZ2080" i="3"/>
  <c r="DZ2079" i="3"/>
  <c r="DZ2078" i="3"/>
  <c r="DZ2077" i="3"/>
  <c r="DZ2076" i="3"/>
  <c r="DZ2075" i="3"/>
  <c r="DZ2074" i="3"/>
  <c r="DZ2073" i="3"/>
  <c r="DZ2072" i="3"/>
  <c r="DZ2071" i="3"/>
  <c r="DZ2070" i="3"/>
  <c r="DZ2069" i="3"/>
  <c r="DZ2068" i="3"/>
  <c r="DZ2067" i="3"/>
  <c r="DZ2066" i="3"/>
  <c r="DZ2065" i="3"/>
  <c r="DZ2064" i="3"/>
  <c r="DZ2063" i="3"/>
  <c r="DZ2062" i="3"/>
  <c r="DZ2061" i="3"/>
  <c r="DZ2060" i="3"/>
  <c r="DZ2059" i="3"/>
  <c r="DZ2058" i="3"/>
  <c r="DZ2057" i="3"/>
  <c r="DZ2056" i="3"/>
  <c r="DZ2055" i="3"/>
  <c r="DZ2054" i="3"/>
  <c r="DZ2053" i="3"/>
  <c r="DZ2052" i="3"/>
  <c r="DZ2051" i="3"/>
  <c r="DZ2050" i="3"/>
  <c r="DZ2049" i="3"/>
  <c r="DZ2048" i="3"/>
  <c r="DZ2047" i="3"/>
  <c r="DZ2046" i="3"/>
  <c r="DZ2045" i="3"/>
  <c r="DZ2044" i="3"/>
  <c r="DZ2043" i="3"/>
  <c r="DZ2042" i="3"/>
  <c r="DZ2041" i="3"/>
  <c r="DZ2040" i="3"/>
  <c r="DZ2039" i="3"/>
  <c r="DZ2038" i="3"/>
  <c r="DZ2037" i="3"/>
  <c r="DZ2036" i="3"/>
  <c r="DZ2035" i="3"/>
  <c r="DZ2034" i="3"/>
  <c r="DZ2033" i="3"/>
  <c r="DZ2032" i="3"/>
  <c r="DZ2031" i="3"/>
  <c r="DZ2030" i="3"/>
  <c r="DZ2029" i="3"/>
  <c r="DZ2028" i="3"/>
  <c r="DZ2027" i="3"/>
  <c r="DZ2026" i="3"/>
  <c r="DZ2025" i="3"/>
  <c r="DZ2024" i="3"/>
  <c r="DZ2023" i="3"/>
  <c r="DZ2022" i="3"/>
  <c r="DZ2021" i="3"/>
  <c r="DZ2020" i="3"/>
  <c r="DZ2019" i="3"/>
  <c r="DZ2018" i="3"/>
  <c r="DZ2017" i="3"/>
  <c r="DZ2016" i="3"/>
  <c r="DZ2015" i="3"/>
  <c r="DZ2014" i="3"/>
  <c r="DZ2013" i="3"/>
  <c r="DZ2012" i="3"/>
  <c r="DZ2011" i="3"/>
  <c r="DZ2010" i="3"/>
  <c r="DZ2009" i="3"/>
  <c r="DZ2008" i="3"/>
  <c r="DZ2007" i="3"/>
  <c r="DZ2006" i="3"/>
  <c r="DZ2005" i="3"/>
  <c r="DZ2004" i="3"/>
  <c r="DZ2003" i="3"/>
  <c r="DZ2002" i="3"/>
  <c r="DZ2001" i="3"/>
  <c r="DZ2000" i="3"/>
  <c r="DZ1999" i="3"/>
  <c r="DZ1998" i="3"/>
  <c r="DZ1997" i="3"/>
  <c r="DZ1996" i="3"/>
  <c r="DZ1995" i="3"/>
  <c r="DZ1994" i="3"/>
  <c r="DZ1993" i="3"/>
  <c r="DZ1992" i="3"/>
  <c r="DZ1991" i="3"/>
  <c r="DZ1990" i="3"/>
  <c r="DZ1989" i="3"/>
  <c r="DZ1988" i="3"/>
  <c r="DZ1987" i="3"/>
  <c r="DZ1986" i="3"/>
  <c r="DZ1985" i="3"/>
  <c r="DZ1984" i="3"/>
  <c r="DZ1983" i="3"/>
  <c r="DZ1982" i="3"/>
  <c r="DZ1981" i="3"/>
  <c r="DZ1980" i="3"/>
  <c r="DZ1979" i="3"/>
  <c r="DZ1978" i="3"/>
  <c r="B1978" i="3" s="1"/>
  <c r="DZ1977" i="3"/>
  <c r="B1977" i="3" s="1"/>
  <c r="DZ1976" i="3"/>
  <c r="B1976" i="3" s="1"/>
  <c r="DZ1975" i="3"/>
  <c r="B1975" i="3" s="1"/>
  <c r="DZ1974" i="3"/>
  <c r="B1974" i="3" s="1"/>
  <c r="DZ1973" i="3"/>
  <c r="B1973" i="3" s="1"/>
  <c r="DZ1972" i="3"/>
  <c r="B1972" i="3" s="1"/>
  <c r="DZ1971" i="3"/>
  <c r="B1971" i="3" s="1"/>
  <c r="DZ1970" i="3"/>
  <c r="B1970" i="3" s="1"/>
  <c r="DZ1969" i="3"/>
  <c r="DZ1968" i="3"/>
  <c r="DZ1967" i="3"/>
  <c r="DZ1966" i="3"/>
  <c r="DZ1965" i="3"/>
  <c r="DZ1964" i="3"/>
  <c r="DZ1963" i="3"/>
  <c r="DZ1962" i="3"/>
  <c r="DZ1961" i="3"/>
  <c r="DZ1960" i="3"/>
  <c r="DZ1959" i="3"/>
  <c r="DZ1958" i="3"/>
  <c r="DZ1957" i="3"/>
  <c r="DZ1956" i="3"/>
  <c r="DZ1955" i="3"/>
  <c r="DZ1954" i="3"/>
  <c r="DZ1953" i="3"/>
  <c r="DZ1952" i="3"/>
  <c r="DZ1951" i="3"/>
  <c r="DZ1950" i="3"/>
  <c r="DZ1949" i="3"/>
  <c r="DZ1948" i="3"/>
  <c r="DZ1947" i="3"/>
  <c r="DZ1946" i="3"/>
  <c r="DZ1945" i="3"/>
  <c r="DZ1944" i="3"/>
  <c r="DZ1943" i="3"/>
  <c r="DZ1942" i="3"/>
  <c r="DZ1941" i="3"/>
  <c r="DZ1940" i="3"/>
  <c r="DZ1939" i="3"/>
  <c r="DZ1938" i="3"/>
  <c r="DZ1937" i="3"/>
  <c r="DZ1936" i="3"/>
  <c r="DZ1935" i="3"/>
  <c r="DZ1934" i="3"/>
  <c r="DZ1933" i="3"/>
  <c r="DZ1932" i="3"/>
  <c r="DZ1931" i="3"/>
  <c r="DZ1930" i="3"/>
  <c r="DZ1929" i="3"/>
  <c r="DZ1928" i="3"/>
  <c r="DZ1927" i="3"/>
  <c r="DZ1926" i="3"/>
  <c r="DZ1925" i="3"/>
  <c r="DZ1924" i="3"/>
  <c r="DZ1923" i="3"/>
  <c r="DZ1922" i="3"/>
  <c r="DZ1921" i="3"/>
  <c r="DZ1920" i="3"/>
  <c r="DZ1919" i="3"/>
  <c r="DZ1918" i="3"/>
  <c r="DZ1917" i="3"/>
  <c r="DZ1916" i="3"/>
  <c r="DZ1915" i="3"/>
  <c r="DZ1914" i="3"/>
  <c r="DZ1913" i="3"/>
  <c r="DZ1912" i="3"/>
  <c r="DZ1911" i="3"/>
  <c r="DZ1910" i="3"/>
  <c r="DZ1909" i="3"/>
  <c r="DZ1908" i="3"/>
  <c r="DZ1907" i="3"/>
  <c r="DZ1906" i="3"/>
  <c r="DZ1905" i="3"/>
  <c r="DZ1904" i="3"/>
  <c r="DZ1903" i="3"/>
  <c r="DZ1902" i="3"/>
  <c r="DZ1901" i="3"/>
  <c r="DZ1900" i="3"/>
  <c r="DZ1899" i="3"/>
  <c r="DZ1898" i="3"/>
  <c r="DZ1897" i="3"/>
  <c r="DZ1896" i="3"/>
  <c r="DZ1895" i="3"/>
  <c r="DZ1894" i="3"/>
  <c r="DZ1893" i="3"/>
  <c r="DZ1892" i="3"/>
  <c r="DZ1891" i="3"/>
  <c r="DZ1890" i="3"/>
  <c r="DZ1889" i="3"/>
  <c r="DZ1888" i="3"/>
  <c r="DZ1887" i="3"/>
  <c r="DZ1886" i="3"/>
  <c r="DZ1885" i="3"/>
  <c r="DZ1884" i="3"/>
  <c r="DZ1806" i="3"/>
  <c r="DZ1805" i="3"/>
  <c r="DZ1804" i="3"/>
  <c r="DZ1803" i="3"/>
  <c r="DZ1802" i="3"/>
  <c r="DZ1801" i="3"/>
  <c r="DZ1800" i="3"/>
  <c r="DZ1799" i="3"/>
  <c r="DZ1798" i="3"/>
  <c r="DZ1797" i="3"/>
  <c r="DZ1796" i="3"/>
  <c r="DZ1795" i="3"/>
  <c r="DZ1794" i="3"/>
  <c r="DZ1793" i="3"/>
  <c r="DZ1792" i="3"/>
  <c r="DZ1791" i="3"/>
  <c r="DZ1790" i="3"/>
  <c r="DZ1789" i="3"/>
  <c r="DZ1788" i="3"/>
  <c r="DZ1787" i="3"/>
  <c r="DZ1786" i="3"/>
  <c r="DZ1785" i="3"/>
  <c r="DZ1784" i="3"/>
  <c r="DZ1783" i="3"/>
  <c r="DZ1782" i="3"/>
  <c r="DZ1781" i="3"/>
  <c r="DZ1780" i="3"/>
  <c r="DZ1779" i="3"/>
  <c r="DZ1778" i="3"/>
  <c r="DZ1777" i="3"/>
  <c r="DZ1776" i="3"/>
  <c r="DZ1775" i="3"/>
  <c r="DZ1774" i="3"/>
  <c r="DZ1773" i="3"/>
  <c r="DZ1772" i="3"/>
  <c r="DZ1771" i="3"/>
  <c r="DZ1770" i="3"/>
  <c r="DZ1769" i="3"/>
  <c r="DZ1768" i="3"/>
  <c r="DZ1767" i="3"/>
  <c r="DZ1766" i="3"/>
  <c r="DZ1765" i="3"/>
  <c r="DZ1764" i="3"/>
  <c r="DZ1763" i="3"/>
  <c r="DZ1762" i="3"/>
  <c r="DZ1761" i="3"/>
  <c r="DZ1760" i="3"/>
  <c r="DZ1759" i="3"/>
  <c r="DZ1758" i="3"/>
  <c r="DZ1757" i="3"/>
  <c r="DZ1756" i="3"/>
  <c r="DZ1755" i="3"/>
  <c r="DZ1754" i="3"/>
  <c r="DZ1753" i="3"/>
  <c r="DZ1752" i="3"/>
  <c r="DZ1751" i="3"/>
  <c r="B1751" i="3" s="1"/>
  <c r="DZ1750" i="3"/>
  <c r="B1750" i="3"/>
  <c r="DZ1749" i="3"/>
  <c r="B1749" i="3" s="1"/>
  <c r="DZ1748" i="3"/>
  <c r="B1748" i="3" s="1"/>
  <c r="DZ1747" i="3"/>
  <c r="B1747" i="3" s="1"/>
  <c r="DZ1746" i="3"/>
  <c r="B1746" i="3" s="1"/>
  <c r="DZ1745" i="3"/>
  <c r="B1745" i="3" s="1"/>
  <c r="DZ1744" i="3"/>
  <c r="B1744" i="3" s="1"/>
  <c r="DZ1743" i="3"/>
  <c r="DZ1742" i="3"/>
  <c r="DZ1741" i="3"/>
  <c r="B1741" i="3" s="1"/>
  <c r="DZ1740" i="3"/>
  <c r="DZ1739" i="3"/>
  <c r="B1739" i="3" s="1"/>
  <c r="DZ1738" i="3"/>
  <c r="B1738" i="3" s="1"/>
  <c r="DZ1737" i="3"/>
  <c r="B1737" i="3" s="1"/>
  <c r="DZ1736" i="3"/>
  <c r="B1736" i="3" s="1"/>
  <c r="DZ1735" i="3"/>
  <c r="B1735" i="3" s="1"/>
  <c r="DZ1734" i="3"/>
  <c r="B1734" i="3" s="1"/>
  <c r="DZ1733" i="3"/>
  <c r="B1733" i="3" s="1"/>
  <c r="DZ1732" i="3"/>
  <c r="B1732" i="3" s="1"/>
  <c r="DZ1731" i="3"/>
  <c r="DZ1730" i="3"/>
  <c r="DZ1729" i="3"/>
  <c r="B1729" i="3" s="1"/>
  <c r="DZ1728" i="3"/>
  <c r="DZ1727" i="3"/>
  <c r="DZ1726" i="3"/>
  <c r="DZ1725" i="3"/>
  <c r="DZ1724" i="3"/>
  <c r="DZ1723" i="3"/>
  <c r="DZ1722" i="3"/>
  <c r="DZ1721" i="3"/>
  <c r="DZ1720" i="3"/>
  <c r="DZ1719" i="3"/>
  <c r="DZ1718" i="3"/>
  <c r="DZ1717" i="3"/>
  <c r="DZ1716" i="3"/>
  <c r="DZ1715" i="3"/>
  <c r="DZ1714" i="3"/>
  <c r="DZ1713" i="3"/>
  <c r="DZ1712" i="3"/>
  <c r="DZ1711" i="3"/>
  <c r="DZ1710" i="3"/>
  <c r="DZ1709" i="3"/>
  <c r="DZ1708" i="3"/>
  <c r="DZ1707" i="3"/>
  <c r="DZ1706" i="3"/>
  <c r="DZ1705" i="3"/>
  <c r="DZ1704" i="3"/>
  <c r="DZ1703" i="3"/>
  <c r="DZ1702" i="3"/>
  <c r="DZ1701" i="3"/>
  <c r="DZ1700" i="3"/>
  <c r="DZ1699" i="3"/>
  <c r="DZ1698" i="3"/>
  <c r="DZ1697" i="3"/>
  <c r="DZ1696" i="3"/>
  <c r="DZ1695" i="3"/>
  <c r="DZ1694" i="3"/>
  <c r="DZ1693" i="3"/>
  <c r="DZ1692" i="3"/>
  <c r="DZ1691" i="3"/>
  <c r="DZ1690" i="3"/>
  <c r="DZ1689" i="3"/>
  <c r="DZ1688" i="3"/>
  <c r="DZ1687" i="3"/>
  <c r="DZ1686" i="3"/>
  <c r="DZ1685" i="3"/>
  <c r="DZ1684" i="3"/>
  <c r="DZ1683" i="3"/>
  <c r="DZ1682" i="3"/>
  <c r="DZ1681" i="3"/>
  <c r="DZ1680" i="3"/>
  <c r="DZ1679" i="3"/>
  <c r="DZ1678" i="3"/>
  <c r="DZ1677" i="3"/>
  <c r="DZ1676" i="3"/>
  <c r="DZ1675" i="3"/>
  <c r="DZ1674" i="3"/>
  <c r="DZ1673" i="3"/>
  <c r="DZ1672" i="3"/>
  <c r="DZ1671" i="3"/>
  <c r="DZ1670" i="3"/>
  <c r="DZ1669" i="3"/>
  <c r="DZ1668" i="3"/>
  <c r="DZ1667" i="3"/>
  <c r="DZ1666" i="3"/>
  <c r="DZ1665" i="3"/>
  <c r="DZ1664" i="3"/>
  <c r="DZ1663" i="3"/>
  <c r="DZ1662" i="3"/>
  <c r="DZ1661" i="3"/>
  <c r="DZ1660" i="3"/>
  <c r="DZ1659" i="3"/>
  <c r="DZ1658" i="3"/>
  <c r="DZ1657" i="3"/>
  <c r="DZ1656" i="3"/>
  <c r="DZ1655" i="3"/>
  <c r="DZ1654" i="3"/>
  <c r="DZ1653" i="3"/>
  <c r="DZ1652" i="3"/>
  <c r="DZ1651" i="3"/>
  <c r="DZ1650" i="3"/>
  <c r="DZ1649" i="3"/>
  <c r="DZ1648" i="3"/>
  <c r="DZ1647" i="3"/>
  <c r="DZ1646" i="3"/>
  <c r="DZ1645" i="3"/>
  <c r="DZ1644" i="3"/>
  <c r="DZ1643" i="3"/>
  <c r="DZ1642" i="3"/>
  <c r="DZ1641" i="3"/>
  <c r="DZ1640" i="3"/>
  <c r="DZ1639" i="3"/>
  <c r="DZ1638" i="3"/>
  <c r="DZ1637" i="3"/>
  <c r="DZ1636" i="3"/>
  <c r="DZ1635" i="3"/>
  <c r="DZ1634" i="3"/>
  <c r="DZ1633" i="3"/>
  <c r="DZ1632" i="3"/>
  <c r="DZ1631" i="3"/>
  <c r="DZ1630" i="3"/>
  <c r="DZ1629" i="3"/>
  <c r="DZ1628" i="3"/>
  <c r="DZ1627" i="3"/>
  <c r="DZ1626" i="3"/>
  <c r="DZ1625" i="3"/>
  <c r="DZ1624" i="3"/>
  <c r="DZ1623" i="3"/>
  <c r="DZ1622" i="3"/>
  <c r="DZ1621" i="3"/>
  <c r="DZ1620" i="3"/>
  <c r="DZ1619" i="3"/>
  <c r="DZ1618" i="3"/>
  <c r="DZ1617" i="3"/>
  <c r="DZ1616" i="3"/>
  <c r="DZ1615" i="3"/>
  <c r="DZ1614" i="3"/>
  <c r="DZ1613" i="3"/>
  <c r="DZ1612" i="3"/>
  <c r="DZ1611" i="3"/>
  <c r="DZ1610" i="3"/>
  <c r="DZ1609" i="3"/>
  <c r="DZ1608" i="3"/>
  <c r="DZ1607" i="3"/>
  <c r="DZ1606" i="3"/>
  <c r="DZ1605" i="3"/>
  <c r="DZ1604" i="3"/>
  <c r="DZ1603" i="3"/>
  <c r="DZ1602" i="3"/>
  <c r="DZ1601" i="3"/>
  <c r="DZ1600" i="3"/>
  <c r="DZ1599" i="3"/>
  <c r="DZ1598" i="3"/>
  <c r="DZ1597" i="3"/>
  <c r="DZ1596" i="3"/>
  <c r="DZ1595" i="3"/>
  <c r="DZ1594" i="3"/>
  <c r="DZ1593" i="3"/>
  <c r="DZ1592" i="3"/>
  <c r="DZ1591" i="3"/>
  <c r="DZ1590" i="3"/>
  <c r="DZ1589" i="3"/>
  <c r="DZ1588" i="3"/>
  <c r="DZ1587" i="3"/>
  <c r="DZ1586" i="3"/>
  <c r="DZ1585" i="3"/>
  <c r="DZ1584" i="3"/>
  <c r="DZ1583" i="3"/>
  <c r="DZ1582" i="3"/>
  <c r="DZ1581" i="3"/>
  <c r="DZ1580" i="3"/>
  <c r="DZ1579" i="3"/>
  <c r="DZ1578" i="3"/>
  <c r="DZ1577" i="3"/>
  <c r="DZ1576" i="3"/>
  <c r="DZ1575" i="3"/>
  <c r="DZ1574" i="3"/>
  <c r="DZ1573" i="3"/>
  <c r="DZ1572" i="3"/>
  <c r="DZ1571" i="3"/>
  <c r="DZ1570" i="3"/>
  <c r="DZ1569" i="3"/>
  <c r="DZ1568" i="3"/>
  <c r="DZ1567" i="3"/>
  <c r="DZ1566" i="3"/>
  <c r="DZ1565" i="3"/>
  <c r="DZ1564" i="3"/>
  <c r="DZ1563" i="3"/>
  <c r="DZ1562" i="3"/>
  <c r="DZ1561" i="3"/>
  <c r="DZ1560" i="3"/>
  <c r="DZ1559" i="3"/>
  <c r="DZ1558" i="3"/>
  <c r="DZ1557" i="3"/>
  <c r="DZ1556" i="3"/>
  <c r="DZ1555" i="3"/>
  <c r="DZ1554" i="3"/>
  <c r="DZ1553" i="3"/>
  <c r="DZ1552" i="3"/>
  <c r="DZ1551" i="3"/>
  <c r="DZ1550" i="3"/>
  <c r="DZ1549" i="3"/>
  <c r="DZ1548" i="3"/>
  <c r="DZ1547" i="3"/>
  <c r="DZ1546" i="3"/>
  <c r="DZ1545" i="3"/>
  <c r="DZ1544" i="3"/>
  <c r="DZ1543" i="3"/>
  <c r="DZ1542" i="3"/>
  <c r="DZ1541" i="3"/>
  <c r="DZ1540" i="3"/>
  <c r="DZ1539" i="3"/>
  <c r="DZ1538" i="3"/>
  <c r="DZ1537" i="3"/>
  <c r="DZ1536" i="3"/>
  <c r="DZ1535" i="3"/>
  <c r="DZ1534" i="3"/>
  <c r="DZ1533" i="3"/>
  <c r="DZ1532" i="3"/>
  <c r="DZ1531" i="3"/>
  <c r="DZ1530" i="3"/>
  <c r="DZ1529" i="3"/>
  <c r="DZ1528" i="3"/>
  <c r="DZ1527" i="3"/>
  <c r="DZ1526" i="3"/>
  <c r="DZ1525" i="3"/>
  <c r="DZ1524" i="3"/>
  <c r="DZ1523" i="3"/>
  <c r="DZ1522" i="3"/>
  <c r="DZ1521" i="3"/>
  <c r="DZ1520" i="3"/>
  <c r="DZ1519" i="3"/>
  <c r="DZ1518" i="3"/>
  <c r="DZ1517" i="3"/>
  <c r="DZ1516" i="3"/>
  <c r="DZ1515" i="3"/>
  <c r="DZ1514" i="3"/>
  <c r="DZ1513" i="3"/>
  <c r="DZ1512" i="3"/>
  <c r="DZ1511" i="3"/>
  <c r="DZ1510" i="3"/>
  <c r="DZ1509" i="3"/>
  <c r="DZ1508" i="3"/>
  <c r="DZ1507" i="3"/>
  <c r="DZ1506" i="3"/>
  <c r="DZ1505" i="3"/>
  <c r="DZ1504" i="3"/>
  <c r="DZ1503" i="3"/>
  <c r="DZ1502" i="3"/>
  <c r="DZ1501" i="3"/>
  <c r="DZ1500" i="3"/>
  <c r="DZ1499" i="3"/>
  <c r="DZ1498" i="3"/>
  <c r="DZ1497" i="3"/>
  <c r="DZ1496" i="3"/>
  <c r="DZ1495" i="3"/>
  <c r="DZ1494" i="3"/>
  <c r="DZ1493" i="3"/>
  <c r="DZ1492" i="3"/>
  <c r="DZ1491" i="3"/>
  <c r="DZ1490" i="3"/>
  <c r="DZ1489" i="3"/>
  <c r="DZ1488" i="3"/>
  <c r="DZ1487" i="3"/>
  <c r="DZ1486" i="3"/>
  <c r="DZ1485" i="3"/>
  <c r="DZ1484" i="3"/>
  <c r="DZ1483" i="3"/>
  <c r="DZ1482" i="3"/>
  <c r="DZ1481" i="3"/>
  <c r="DZ1480" i="3"/>
  <c r="DZ1479" i="3"/>
  <c r="DZ1478" i="3"/>
  <c r="DZ1477" i="3"/>
  <c r="DZ1476" i="3"/>
  <c r="DZ1475" i="3"/>
  <c r="DZ1474" i="3"/>
  <c r="DZ1473" i="3"/>
  <c r="DZ1472" i="3"/>
  <c r="DZ1471" i="3"/>
  <c r="DZ1470" i="3"/>
  <c r="DZ1469" i="3"/>
  <c r="DZ1468" i="3"/>
  <c r="DZ1467" i="3"/>
  <c r="DZ1466" i="3"/>
  <c r="DZ1465" i="3"/>
  <c r="DZ1464" i="3"/>
  <c r="DZ1463" i="3"/>
  <c r="DZ1462" i="3"/>
  <c r="DZ1461" i="3"/>
  <c r="DZ1460" i="3"/>
  <c r="DZ1459" i="3"/>
  <c r="DZ1458" i="3"/>
  <c r="DZ1457" i="3"/>
  <c r="DZ1456" i="3"/>
  <c r="DZ1455" i="3"/>
  <c r="DZ1454" i="3"/>
  <c r="DZ1453" i="3"/>
  <c r="DZ1452" i="3"/>
  <c r="DZ1451" i="3"/>
  <c r="DZ1450" i="3"/>
  <c r="DZ1449" i="3"/>
  <c r="DZ1448" i="3"/>
  <c r="DZ1447" i="3"/>
  <c r="DZ1446" i="3"/>
  <c r="DZ1445" i="3"/>
  <c r="DZ1444" i="3"/>
  <c r="DZ1443" i="3"/>
  <c r="DZ1442" i="3"/>
  <c r="DZ1441" i="3"/>
  <c r="DZ1440" i="3"/>
  <c r="DZ1439" i="3"/>
  <c r="DZ1438" i="3"/>
  <c r="DZ1437" i="3"/>
  <c r="DZ1436" i="3"/>
  <c r="DZ1435" i="3"/>
  <c r="DZ1434" i="3"/>
  <c r="DZ1433" i="3"/>
  <c r="DZ1432" i="3"/>
  <c r="DZ1431" i="3"/>
  <c r="DZ1430" i="3"/>
  <c r="DZ1429" i="3"/>
  <c r="DZ1428" i="3"/>
  <c r="DZ1427" i="3"/>
  <c r="DZ1426" i="3"/>
  <c r="DZ1425" i="3"/>
  <c r="DZ1424" i="3"/>
  <c r="DZ1423" i="3"/>
  <c r="DZ1422" i="3"/>
  <c r="DZ1421" i="3"/>
  <c r="DZ1420" i="3"/>
  <c r="DZ1419" i="3"/>
  <c r="DZ1418" i="3"/>
  <c r="DZ1417" i="3"/>
  <c r="DZ1416" i="3"/>
  <c r="DZ1415" i="3"/>
  <c r="DZ1414" i="3"/>
  <c r="DZ1413" i="3"/>
  <c r="DZ1412" i="3"/>
  <c r="DZ1411" i="3"/>
  <c r="DZ1410" i="3"/>
  <c r="DZ1409" i="3"/>
  <c r="DZ1408" i="3"/>
  <c r="DZ1407" i="3"/>
  <c r="DZ1406" i="3"/>
  <c r="DZ1405" i="3"/>
  <c r="DZ1404" i="3"/>
  <c r="DZ1403" i="3"/>
  <c r="DZ1402" i="3"/>
  <c r="DZ1401" i="3"/>
  <c r="DZ1400" i="3"/>
  <c r="DZ1399" i="3"/>
  <c r="DZ1398" i="3"/>
  <c r="DZ1397" i="3"/>
  <c r="DZ1396" i="3"/>
  <c r="DZ1395" i="3"/>
  <c r="DZ1394" i="3"/>
  <c r="DZ1393" i="3"/>
  <c r="DZ1392" i="3"/>
  <c r="DZ1391" i="3"/>
  <c r="DZ1390" i="3"/>
  <c r="DZ1389" i="3"/>
  <c r="DZ1388" i="3"/>
  <c r="DZ1387" i="3"/>
  <c r="DZ1386" i="3"/>
  <c r="DZ1385" i="3"/>
  <c r="DZ1384" i="3"/>
  <c r="DZ1383" i="3"/>
  <c r="DZ1382" i="3"/>
  <c r="DZ1381" i="3"/>
  <c r="DZ1380" i="3"/>
  <c r="DZ1379" i="3"/>
  <c r="DZ1378" i="3"/>
  <c r="DZ1377" i="3"/>
  <c r="DZ1376" i="3"/>
  <c r="DZ1375" i="3"/>
  <c r="DZ1374" i="3"/>
  <c r="DZ1373" i="3"/>
  <c r="DZ1372" i="3"/>
  <c r="DZ1371" i="3"/>
  <c r="DZ1370" i="3"/>
  <c r="DZ1369" i="3"/>
  <c r="DZ1368" i="3"/>
  <c r="DZ1367" i="3"/>
  <c r="DZ1366" i="3"/>
  <c r="DZ1365" i="3"/>
  <c r="DZ1364" i="3"/>
  <c r="DZ1363" i="3"/>
  <c r="DZ1362" i="3"/>
  <c r="DZ1361" i="3"/>
  <c r="DZ1360" i="3"/>
  <c r="DZ1359" i="3"/>
  <c r="DZ1358" i="3"/>
  <c r="B1358" i="3" s="1"/>
  <c r="DZ1357" i="3"/>
  <c r="B1357" i="3" s="1"/>
  <c r="DZ1356" i="3"/>
  <c r="B1355" i="3" s="1"/>
  <c r="DZ1355" i="3"/>
  <c r="DZ1354" i="3"/>
  <c r="B1354" i="3" s="1"/>
  <c r="DZ1353" i="3"/>
  <c r="B1353" i="3" s="1"/>
  <c r="DZ1352" i="3"/>
  <c r="B1352" i="3" s="1"/>
  <c r="DZ1351" i="3"/>
  <c r="DZ1350" i="3"/>
  <c r="B1349" i="3" s="1"/>
  <c r="DZ1349" i="3"/>
  <c r="DZ1348" i="3"/>
  <c r="DZ1347" i="3"/>
  <c r="DZ1346" i="3"/>
  <c r="DZ1345" i="3"/>
  <c r="DZ1344" i="3"/>
  <c r="B1344" i="3" s="1"/>
  <c r="DZ1343" i="3"/>
  <c r="B1343" i="3" s="1"/>
  <c r="DZ1342" i="3"/>
  <c r="B1342" i="3" s="1"/>
  <c r="DZ1341" i="3"/>
  <c r="B1341" i="3"/>
  <c r="DZ1340" i="3"/>
  <c r="B1340" i="3" s="1"/>
  <c r="DZ1339" i="3"/>
  <c r="B1339" i="3" s="1"/>
  <c r="DZ1338" i="3"/>
  <c r="B1338" i="3" s="1"/>
  <c r="DZ1337" i="3"/>
  <c r="DZ1336" i="3"/>
  <c r="DZ1335" i="3"/>
  <c r="B1335" i="3" s="1"/>
  <c r="DZ1334" i="3"/>
  <c r="DZ1333" i="3"/>
  <c r="DZ1332" i="3"/>
  <c r="DZ1331" i="3"/>
  <c r="DZ1330" i="3"/>
  <c r="DZ1329" i="3"/>
  <c r="DZ1328" i="3"/>
  <c r="DZ1327" i="3"/>
  <c r="DZ1326" i="3"/>
  <c r="DZ1325" i="3"/>
  <c r="DZ1324" i="3"/>
  <c r="DZ1323" i="3"/>
  <c r="DZ1322" i="3"/>
  <c r="DZ1321" i="3"/>
  <c r="DZ1320" i="3"/>
  <c r="DZ1319" i="3"/>
  <c r="DZ1318" i="3"/>
  <c r="DZ1317" i="3"/>
  <c r="DZ1316" i="3"/>
  <c r="DZ1315" i="3"/>
  <c r="DZ1314" i="3"/>
  <c r="DZ1313" i="3"/>
  <c r="DZ1312" i="3"/>
  <c r="DZ1311" i="3"/>
  <c r="DZ1310" i="3"/>
  <c r="DZ1309" i="3"/>
  <c r="DZ1308" i="3"/>
  <c r="DZ1307" i="3"/>
  <c r="DZ1306" i="3"/>
  <c r="DZ1305" i="3"/>
  <c r="DZ1304" i="3"/>
  <c r="DZ1303" i="3"/>
  <c r="DZ1302" i="3"/>
  <c r="DZ1301" i="3"/>
  <c r="DZ1300" i="3"/>
  <c r="DZ1299" i="3"/>
  <c r="DZ1298" i="3"/>
  <c r="DZ1297" i="3"/>
  <c r="DZ1296" i="3"/>
  <c r="DZ1295" i="3"/>
  <c r="DZ1294" i="3"/>
  <c r="DZ1293" i="3"/>
  <c r="DZ1292" i="3"/>
  <c r="DZ1291" i="3"/>
  <c r="DZ1290" i="3"/>
  <c r="DZ1289" i="3"/>
  <c r="DZ1288" i="3"/>
  <c r="DZ1287" i="3"/>
  <c r="DZ1286" i="3"/>
  <c r="DZ1285" i="3"/>
  <c r="DZ1284" i="3"/>
  <c r="DZ1283" i="3"/>
  <c r="DZ1282" i="3"/>
  <c r="DZ1281" i="3"/>
  <c r="DZ1280" i="3"/>
  <c r="DZ1279" i="3"/>
  <c r="DZ1278" i="3"/>
  <c r="DZ1277" i="3"/>
  <c r="DZ1276" i="3"/>
  <c r="DZ1275" i="3"/>
  <c r="DZ1274" i="3"/>
  <c r="DZ1273" i="3"/>
  <c r="DZ1272" i="3"/>
  <c r="DZ1271" i="3"/>
  <c r="DZ1270" i="3"/>
  <c r="DZ1269" i="3"/>
  <c r="DZ1268" i="3"/>
  <c r="DZ1267" i="3"/>
  <c r="DZ1266" i="3"/>
  <c r="DZ1265" i="3"/>
  <c r="DZ1264" i="3"/>
  <c r="DZ1263" i="3"/>
  <c r="DZ1262" i="3"/>
  <c r="DZ1261" i="3"/>
  <c r="DZ1260" i="3"/>
  <c r="DZ1259" i="3"/>
  <c r="DZ1258" i="3"/>
  <c r="DZ1257" i="3"/>
  <c r="DZ1256" i="3"/>
  <c r="DZ1255" i="3"/>
  <c r="DZ1254" i="3"/>
  <c r="DZ1253" i="3"/>
  <c r="DZ1252" i="3"/>
  <c r="DZ1251" i="3"/>
  <c r="DZ1250" i="3"/>
  <c r="DZ1249" i="3"/>
  <c r="DZ1248" i="3"/>
  <c r="DZ1247" i="3"/>
  <c r="DZ1246" i="3"/>
  <c r="DZ1245" i="3"/>
  <c r="DZ1244" i="3"/>
  <c r="DZ1243" i="3"/>
  <c r="DZ1242" i="3"/>
  <c r="DZ1241" i="3"/>
  <c r="DZ1240" i="3"/>
  <c r="DZ1239" i="3"/>
  <c r="DZ1238" i="3"/>
  <c r="DZ1237" i="3"/>
  <c r="DZ1236" i="3"/>
  <c r="DZ1235" i="3"/>
  <c r="DZ1234" i="3"/>
  <c r="DZ1233" i="3"/>
  <c r="DZ1232" i="3"/>
  <c r="DZ1231" i="3"/>
  <c r="DZ1230" i="3"/>
  <c r="DZ1229" i="3"/>
  <c r="DZ1228" i="3"/>
  <c r="DZ1227" i="3"/>
  <c r="DZ1226" i="3"/>
  <c r="DZ1225" i="3"/>
  <c r="DZ1224" i="3"/>
  <c r="DZ1223" i="3"/>
  <c r="DZ1222" i="3"/>
  <c r="DZ1221" i="3"/>
  <c r="DZ1220" i="3"/>
  <c r="DZ1219" i="3"/>
  <c r="DZ1218" i="3"/>
  <c r="DZ1217" i="3"/>
  <c r="DZ1216" i="3"/>
  <c r="DZ1215" i="3"/>
  <c r="DZ1214" i="3"/>
  <c r="DZ1213" i="3"/>
  <c r="DZ1212" i="3"/>
  <c r="DZ1211" i="3"/>
  <c r="DZ1210" i="3"/>
  <c r="DZ1209" i="3"/>
  <c r="DZ1208" i="3"/>
  <c r="DZ1207" i="3"/>
  <c r="DZ1206" i="3"/>
  <c r="DZ1205" i="3"/>
  <c r="DZ1204" i="3"/>
  <c r="DZ1203" i="3"/>
  <c r="DZ1202" i="3"/>
  <c r="DZ1201" i="3"/>
  <c r="DZ1200" i="3"/>
  <c r="DZ1199" i="3"/>
  <c r="DZ1198" i="3"/>
  <c r="DZ1197" i="3"/>
  <c r="DZ1196" i="3"/>
  <c r="DZ1195" i="3"/>
  <c r="DZ1194" i="3"/>
  <c r="DZ1193" i="3"/>
  <c r="DZ1192" i="3"/>
  <c r="DZ1191" i="3"/>
  <c r="DZ1190" i="3"/>
  <c r="DZ1189" i="3"/>
  <c r="DZ1188" i="3"/>
  <c r="DZ1187" i="3"/>
  <c r="DZ1186" i="3"/>
  <c r="DZ1185" i="3"/>
  <c r="DZ1184" i="3"/>
  <c r="DZ1183" i="3"/>
  <c r="DZ1182" i="3"/>
  <c r="DZ1181" i="3"/>
  <c r="DZ1180" i="3"/>
  <c r="DZ1179" i="3"/>
  <c r="DZ1178" i="3"/>
  <c r="DZ1177" i="3"/>
  <c r="DZ1176" i="3"/>
  <c r="DZ1175" i="3"/>
  <c r="DZ1174" i="3"/>
  <c r="DZ1173" i="3"/>
  <c r="DZ1172" i="3"/>
  <c r="DZ1171" i="3"/>
  <c r="DZ1170" i="3"/>
  <c r="DZ1169" i="3"/>
  <c r="DZ1168" i="3"/>
  <c r="DZ1167" i="3"/>
  <c r="DZ1166" i="3"/>
  <c r="DZ1165" i="3"/>
  <c r="DZ1164" i="3"/>
  <c r="DZ1163" i="3"/>
  <c r="DZ1162" i="3"/>
  <c r="DZ1161" i="3"/>
  <c r="DZ1160" i="3"/>
  <c r="DZ1159" i="3"/>
  <c r="DZ1158" i="3"/>
  <c r="DZ1157" i="3"/>
  <c r="DZ1156" i="3"/>
  <c r="DZ1155" i="3"/>
  <c r="DZ1154" i="3"/>
  <c r="DZ1153" i="3"/>
  <c r="DZ1152" i="3"/>
  <c r="DZ1151" i="3"/>
  <c r="DZ1150" i="3"/>
  <c r="DZ1149" i="3"/>
  <c r="DZ1148" i="3"/>
  <c r="DZ1147" i="3"/>
  <c r="DZ1146" i="3"/>
  <c r="DZ1145" i="3"/>
  <c r="DZ1144" i="3"/>
  <c r="DZ1143" i="3"/>
  <c r="DZ1142" i="3"/>
  <c r="DZ1141" i="3"/>
  <c r="DZ1140" i="3"/>
  <c r="DZ1139" i="3"/>
  <c r="DZ1138" i="3"/>
  <c r="DZ1137" i="3"/>
  <c r="DZ1136" i="3"/>
  <c r="DZ1135" i="3"/>
  <c r="DZ1134" i="3"/>
  <c r="DZ1133" i="3"/>
  <c r="DZ1132" i="3"/>
  <c r="DZ1131" i="3"/>
  <c r="DZ1130" i="3"/>
  <c r="DZ1129" i="3"/>
  <c r="DZ1128" i="3"/>
  <c r="DZ1127" i="3"/>
  <c r="DZ1126" i="3"/>
  <c r="DZ1125" i="3"/>
  <c r="DZ1124" i="3"/>
  <c r="DZ1123" i="3"/>
  <c r="DZ1122" i="3"/>
  <c r="DZ1121" i="3"/>
  <c r="DZ1120" i="3"/>
  <c r="DZ1119" i="3"/>
  <c r="DZ1118" i="3"/>
  <c r="DZ1117" i="3"/>
  <c r="DZ1116" i="3"/>
  <c r="DZ1115" i="3"/>
  <c r="DZ1114" i="3"/>
  <c r="DZ1113" i="3"/>
  <c r="DZ1112" i="3"/>
  <c r="DZ1111" i="3"/>
  <c r="DZ1110" i="3"/>
  <c r="DZ1109" i="3"/>
  <c r="DZ1108" i="3"/>
  <c r="DZ1107" i="3"/>
  <c r="DZ1106" i="3"/>
  <c r="DZ1105" i="3"/>
  <c r="DZ1104" i="3"/>
  <c r="DZ1103" i="3"/>
  <c r="DZ1102" i="3"/>
  <c r="DZ1101" i="3"/>
  <c r="DZ1100" i="3"/>
  <c r="DZ1099" i="3"/>
  <c r="DZ1098" i="3"/>
  <c r="DZ1097" i="3"/>
  <c r="DZ1096" i="3"/>
  <c r="DZ1095" i="3"/>
  <c r="DZ1094" i="3"/>
  <c r="DZ1093" i="3"/>
  <c r="DZ1092" i="3"/>
  <c r="DZ1091" i="3"/>
  <c r="DZ1090" i="3"/>
  <c r="DZ1089" i="3"/>
  <c r="DZ1088" i="3"/>
  <c r="DZ1087" i="3"/>
  <c r="DZ1086" i="3"/>
  <c r="DZ1085" i="3"/>
  <c r="DZ1084" i="3"/>
  <c r="DZ1083" i="3"/>
  <c r="DZ1082" i="3"/>
  <c r="DZ1081" i="3"/>
  <c r="DZ1080" i="3"/>
  <c r="DZ1079" i="3"/>
  <c r="DZ1078" i="3"/>
  <c r="DZ1077" i="3"/>
  <c r="DZ1076" i="3"/>
  <c r="DZ1075" i="3"/>
  <c r="DZ1074" i="3"/>
  <c r="DZ1073" i="3"/>
  <c r="DZ1072" i="3"/>
  <c r="DZ1071" i="3"/>
  <c r="DZ1070" i="3"/>
  <c r="DZ1069" i="3"/>
  <c r="DZ1068" i="3"/>
  <c r="DZ1067" i="3"/>
  <c r="DZ1066" i="3"/>
  <c r="DZ1065" i="3"/>
  <c r="DZ1064" i="3"/>
  <c r="DZ1063" i="3"/>
  <c r="DZ1062" i="3"/>
  <c r="DZ1061" i="3"/>
  <c r="DZ1060" i="3"/>
  <c r="DZ1059" i="3"/>
  <c r="DZ1058" i="3"/>
  <c r="DZ1057" i="3"/>
  <c r="DZ1056" i="3"/>
  <c r="DZ1055" i="3"/>
  <c r="DZ1054" i="3"/>
  <c r="DZ1053" i="3"/>
  <c r="DZ1052" i="3"/>
  <c r="DZ1051" i="3"/>
  <c r="DZ1050" i="3"/>
  <c r="DZ1049" i="3"/>
  <c r="DZ1048" i="3"/>
  <c r="DZ1047" i="3"/>
  <c r="DZ1046" i="3"/>
  <c r="DZ1045" i="3"/>
  <c r="DZ1044" i="3"/>
  <c r="DZ1043" i="3"/>
  <c r="DZ1042" i="3"/>
  <c r="DZ1041" i="3"/>
  <c r="DZ1040" i="3"/>
  <c r="DZ1039" i="3"/>
  <c r="DZ1038" i="3"/>
  <c r="DZ1037" i="3"/>
  <c r="DZ1036" i="3"/>
  <c r="DZ1035" i="3"/>
  <c r="DZ1034" i="3"/>
  <c r="DZ1033" i="3"/>
  <c r="DZ1032" i="3"/>
  <c r="DZ1031" i="3"/>
  <c r="DZ1030" i="3"/>
  <c r="DZ1029" i="3"/>
  <c r="DZ1028" i="3"/>
  <c r="DZ1027" i="3"/>
  <c r="DZ1026" i="3"/>
  <c r="DZ1025" i="3"/>
  <c r="DZ1024" i="3"/>
  <c r="DZ1023" i="3"/>
  <c r="DZ1022" i="3"/>
  <c r="DZ1021" i="3"/>
  <c r="DZ1020" i="3"/>
  <c r="DZ1019" i="3"/>
  <c r="DZ1018" i="3"/>
  <c r="DZ1017" i="3"/>
  <c r="DZ1016" i="3"/>
  <c r="DZ1015" i="3"/>
  <c r="DZ1014" i="3"/>
  <c r="DZ1013" i="3"/>
  <c r="DZ1012" i="3"/>
  <c r="DZ1011" i="3"/>
  <c r="DZ1010" i="3"/>
  <c r="DZ1009" i="3"/>
  <c r="DZ1008" i="3"/>
  <c r="DZ1007" i="3"/>
  <c r="DZ1006" i="3"/>
  <c r="DZ1005" i="3"/>
  <c r="DZ1004" i="3"/>
  <c r="DZ1003" i="3"/>
  <c r="DZ1002" i="3"/>
  <c r="DZ1001" i="3"/>
  <c r="DZ1000" i="3"/>
  <c r="DZ999" i="3"/>
  <c r="DZ998" i="3"/>
  <c r="DZ997" i="3"/>
  <c r="DZ996" i="3"/>
  <c r="DZ995" i="3"/>
  <c r="DZ994" i="3"/>
  <c r="DZ993" i="3"/>
  <c r="DZ992" i="3"/>
  <c r="DZ991" i="3"/>
  <c r="DZ990" i="3"/>
  <c r="DZ989" i="3"/>
  <c r="DZ988" i="3"/>
  <c r="DZ987" i="3"/>
  <c r="DZ986" i="3"/>
  <c r="DZ985" i="3"/>
  <c r="DZ984" i="3"/>
  <c r="DZ983" i="3"/>
  <c r="DZ982" i="3"/>
  <c r="DZ981" i="3"/>
  <c r="DZ980" i="3"/>
  <c r="DZ979" i="3"/>
  <c r="DZ978" i="3"/>
  <c r="DZ977" i="3"/>
  <c r="DZ976" i="3"/>
  <c r="DZ975" i="3"/>
  <c r="B975" i="3" s="1"/>
  <c r="DZ974" i="3"/>
  <c r="B974" i="3" s="1"/>
  <c r="DZ973" i="3"/>
  <c r="B973" i="3" s="1"/>
  <c r="DZ972" i="3"/>
  <c r="B972" i="3" s="1"/>
  <c r="DZ971" i="3"/>
  <c r="DZ970" i="3"/>
  <c r="B970" i="3" s="1"/>
  <c r="DZ969" i="3"/>
  <c r="B969" i="3" s="1"/>
  <c r="DZ968" i="3"/>
  <c r="B968" i="3" s="1"/>
  <c r="DZ967" i="3"/>
  <c r="B967" i="3" s="1"/>
  <c r="DZ966" i="3"/>
  <c r="B966" i="3" s="1"/>
  <c r="DZ965" i="3"/>
  <c r="DZ964" i="3"/>
  <c r="B964" i="3" s="1"/>
  <c r="DZ963" i="3"/>
  <c r="B963" i="3" s="1"/>
  <c r="DZ962" i="3"/>
  <c r="B962" i="3" s="1"/>
  <c r="DZ961" i="3"/>
  <c r="B961" i="3" s="1"/>
  <c r="DZ960" i="3"/>
  <c r="B960" i="3" s="1"/>
  <c r="DZ959" i="3"/>
  <c r="B959" i="3" s="1"/>
  <c r="DZ958" i="3"/>
  <c r="B958" i="3" s="1"/>
  <c r="DZ957" i="3"/>
  <c r="B957" i="3" s="1"/>
  <c r="DZ956" i="3"/>
  <c r="B956" i="3"/>
  <c r="DZ955" i="3"/>
  <c r="B955" i="3" s="1"/>
  <c r="DZ954" i="3"/>
  <c r="DZ953" i="3"/>
  <c r="DZ952" i="3"/>
  <c r="DZ951" i="3"/>
  <c r="B951" i="3" s="1"/>
  <c r="DZ950" i="3"/>
  <c r="DZ949" i="3"/>
  <c r="B949" i="3" s="1"/>
  <c r="DZ948" i="3"/>
  <c r="B948" i="3" s="1"/>
  <c r="DZ947" i="3"/>
  <c r="B947" i="3" s="1"/>
  <c r="DZ946" i="3"/>
  <c r="B946" i="3" s="1"/>
  <c r="DZ945" i="3"/>
  <c r="DZ944" i="3"/>
  <c r="B944" i="3" s="1"/>
  <c r="DZ943" i="3"/>
  <c r="B943" i="3" s="1"/>
  <c r="DZ942" i="3"/>
  <c r="B942" i="3" s="1"/>
  <c r="DZ941" i="3"/>
  <c r="B941" i="3" s="1"/>
  <c r="DZ940" i="3"/>
  <c r="B940" i="3" s="1"/>
  <c r="DZ939" i="3"/>
  <c r="DZ938" i="3"/>
  <c r="B938" i="3" s="1"/>
  <c r="DZ937" i="3"/>
  <c r="B937" i="3" s="1"/>
  <c r="DZ936" i="3"/>
  <c r="B936" i="3" s="1"/>
  <c r="DZ935" i="3"/>
  <c r="B935" i="3" s="1"/>
  <c r="DZ934" i="3"/>
  <c r="B934" i="3" s="1"/>
  <c r="DZ933" i="3"/>
  <c r="B933" i="3" s="1"/>
  <c r="DZ932" i="3"/>
  <c r="B932" i="3" s="1"/>
  <c r="DZ931" i="3"/>
  <c r="B931" i="3" s="1"/>
  <c r="DZ930" i="3"/>
  <c r="B930" i="3" s="1"/>
  <c r="DZ929" i="3"/>
  <c r="B929" i="3" s="1"/>
  <c r="DZ928" i="3"/>
  <c r="DZ927" i="3"/>
  <c r="DZ926" i="3"/>
  <c r="DZ925" i="3"/>
  <c r="B925" i="3" s="1"/>
  <c r="DZ924" i="3"/>
  <c r="DZ923" i="3"/>
  <c r="DZ922" i="3"/>
  <c r="DZ921" i="3"/>
  <c r="DZ920" i="3"/>
  <c r="DZ919" i="3"/>
  <c r="DZ918" i="3"/>
  <c r="DZ917" i="3"/>
  <c r="DZ916" i="3"/>
  <c r="DZ915" i="3"/>
  <c r="DZ914" i="3"/>
  <c r="DZ913" i="3"/>
  <c r="DZ912" i="3"/>
  <c r="DZ911" i="3"/>
  <c r="DZ910" i="3"/>
  <c r="DZ909" i="3"/>
  <c r="DZ908" i="3"/>
  <c r="DZ907" i="3"/>
  <c r="DZ906" i="3"/>
  <c r="DZ905" i="3"/>
  <c r="DZ904" i="3"/>
  <c r="DZ903" i="3"/>
  <c r="DZ902" i="3"/>
  <c r="DZ901" i="3"/>
  <c r="DZ900" i="3"/>
  <c r="DZ899" i="3"/>
  <c r="DZ898" i="3"/>
  <c r="DZ897" i="3"/>
  <c r="DZ896" i="3"/>
  <c r="DZ895" i="3"/>
  <c r="DZ894" i="3"/>
  <c r="DZ893" i="3"/>
  <c r="DZ892" i="3"/>
  <c r="DZ891" i="3"/>
  <c r="DZ890" i="3"/>
  <c r="DZ889" i="3"/>
  <c r="DZ888" i="3"/>
  <c r="DZ887" i="3"/>
  <c r="DZ886" i="3"/>
  <c r="DZ885" i="3"/>
  <c r="DZ884" i="3"/>
  <c r="DZ883" i="3"/>
  <c r="DZ882" i="3"/>
  <c r="DZ881" i="3"/>
  <c r="DZ880" i="3"/>
  <c r="DZ879" i="3"/>
  <c r="DZ878" i="3"/>
  <c r="DZ877" i="3"/>
  <c r="DZ876" i="3"/>
  <c r="DZ875" i="3"/>
  <c r="DZ874" i="3"/>
  <c r="DZ873" i="3"/>
  <c r="DZ872" i="3"/>
  <c r="DZ871" i="3"/>
  <c r="DZ870" i="3"/>
  <c r="DZ869" i="3"/>
  <c r="DZ868" i="3"/>
  <c r="DZ867" i="3"/>
  <c r="DZ866" i="3"/>
  <c r="DZ865" i="3"/>
  <c r="DZ864" i="3"/>
  <c r="DZ863" i="3"/>
  <c r="DZ862" i="3"/>
  <c r="DZ861" i="3"/>
  <c r="DZ860" i="3"/>
  <c r="DZ859" i="3"/>
  <c r="DZ858" i="3"/>
  <c r="DZ857" i="3"/>
  <c r="DZ856" i="3"/>
  <c r="DZ855" i="3"/>
  <c r="DZ854" i="3"/>
  <c r="DZ853" i="3"/>
  <c r="DZ852" i="3"/>
  <c r="DZ851" i="3"/>
  <c r="DZ850" i="3"/>
  <c r="DZ849" i="3"/>
  <c r="DZ848" i="3"/>
  <c r="DZ847" i="3"/>
  <c r="DZ846" i="3"/>
  <c r="DZ845" i="3"/>
  <c r="DZ844" i="3"/>
  <c r="DZ843" i="3"/>
  <c r="DZ842" i="3"/>
  <c r="DZ841" i="3"/>
  <c r="DZ840" i="3"/>
  <c r="DZ839" i="3"/>
  <c r="DZ838" i="3"/>
  <c r="DZ837" i="3"/>
  <c r="DZ836" i="3"/>
  <c r="DZ835" i="3"/>
  <c r="DZ834" i="3"/>
  <c r="DZ833" i="3"/>
  <c r="DZ832" i="3"/>
  <c r="DZ831" i="3"/>
  <c r="DZ830" i="3"/>
  <c r="DZ829" i="3"/>
  <c r="DZ828" i="3"/>
  <c r="DZ827" i="3"/>
  <c r="DZ826" i="3"/>
  <c r="DZ825" i="3"/>
  <c r="DZ824" i="3"/>
  <c r="DZ823" i="3"/>
  <c r="DZ822" i="3"/>
  <c r="DZ821" i="3"/>
  <c r="DZ820" i="3"/>
  <c r="DZ819" i="3"/>
  <c r="DZ818" i="3"/>
  <c r="DZ817" i="3"/>
  <c r="DZ816" i="3"/>
  <c r="DZ815" i="3"/>
  <c r="DZ814" i="3"/>
  <c r="DZ813" i="3"/>
  <c r="DZ812" i="3"/>
  <c r="DZ811" i="3"/>
  <c r="DZ810" i="3"/>
  <c r="DZ809" i="3"/>
  <c r="DZ808" i="3"/>
  <c r="DZ807" i="3"/>
  <c r="DZ806" i="3"/>
  <c r="DZ805" i="3"/>
  <c r="DZ804" i="3"/>
  <c r="DZ803" i="3"/>
  <c r="DZ802" i="3"/>
  <c r="DZ801" i="3"/>
  <c r="DZ800" i="3"/>
  <c r="DZ799" i="3"/>
  <c r="DZ798" i="3"/>
  <c r="DZ797" i="3"/>
  <c r="DZ796" i="3"/>
  <c r="DZ795" i="3"/>
  <c r="DZ794" i="3"/>
  <c r="DZ793" i="3"/>
  <c r="DZ792" i="3"/>
  <c r="DZ791" i="3"/>
  <c r="DZ790" i="3"/>
  <c r="DZ789" i="3"/>
  <c r="DZ788" i="3"/>
  <c r="DZ787" i="3"/>
  <c r="DZ786" i="3"/>
  <c r="DZ785" i="3"/>
  <c r="DZ784" i="3"/>
  <c r="DZ783" i="3"/>
  <c r="DZ782" i="3"/>
  <c r="DZ781" i="3"/>
  <c r="DZ780" i="3"/>
  <c r="DZ779" i="3"/>
  <c r="DZ778" i="3"/>
  <c r="DZ777" i="3"/>
  <c r="DZ776" i="3"/>
  <c r="DZ775" i="3"/>
  <c r="DZ774" i="3"/>
  <c r="DZ773" i="3"/>
  <c r="DZ772" i="3"/>
  <c r="DZ771" i="3"/>
  <c r="DZ770" i="3"/>
  <c r="DZ769" i="3"/>
  <c r="DZ768" i="3"/>
  <c r="DZ767" i="3"/>
  <c r="DZ766" i="3"/>
  <c r="DZ765" i="3"/>
  <c r="DZ764" i="3"/>
  <c r="DZ763" i="3"/>
  <c r="DZ762" i="3"/>
  <c r="DZ761" i="3"/>
  <c r="DZ760" i="3"/>
  <c r="DZ759" i="3"/>
  <c r="DZ758" i="3"/>
  <c r="DZ757" i="3"/>
  <c r="DZ756" i="3"/>
  <c r="DZ755" i="3"/>
  <c r="DZ754" i="3"/>
  <c r="DZ753" i="3"/>
  <c r="DZ752" i="3"/>
  <c r="DZ751" i="3"/>
  <c r="DZ750" i="3"/>
  <c r="DZ749" i="3"/>
  <c r="DZ748" i="3"/>
  <c r="DZ747" i="3"/>
  <c r="DZ746" i="3"/>
  <c r="DZ745" i="3"/>
  <c r="DZ744" i="3"/>
  <c r="DZ743" i="3"/>
  <c r="DZ742" i="3"/>
  <c r="DZ741" i="3"/>
  <c r="DZ740" i="3"/>
  <c r="DZ739" i="3"/>
  <c r="DZ738" i="3"/>
  <c r="DZ737" i="3"/>
  <c r="DZ736" i="3"/>
  <c r="DZ735" i="3"/>
  <c r="DZ734" i="3"/>
  <c r="DZ733" i="3"/>
  <c r="DZ732" i="3"/>
  <c r="DZ731" i="3"/>
  <c r="DZ730" i="3"/>
  <c r="DZ729" i="3"/>
  <c r="DZ728" i="3"/>
  <c r="DZ727" i="3"/>
  <c r="DZ726" i="3"/>
  <c r="DZ725" i="3"/>
  <c r="DZ724" i="3"/>
  <c r="DZ723" i="3"/>
  <c r="DZ722" i="3"/>
  <c r="DZ721" i="3"/>
  <c r="DZ720" i="3"/>
  <c r="DZ719" i="3"/>
  <c r="DZ718" i="3"/>
  <c r="DZ717" i="3"/>
  <c r="DZ716" i="3"/>
  <c r="DZ715" i="3"/>
  <c r="DZ714" i="3"/>
  <c r="DZ713" i="3"/>
  <c r="DZ712" i="3"/>
  <c r="DZ711" i="3"/>
  <c r="DZ710" i="3"/>
  <c r="DZ709" i="3"/>
  <c r="DZ708" i="3"/>
  <c r="DZ707" i="3"/>
  <c r="DZ706" i="3"/>
  <c r="DZ705" i="3"/>
  <c r="DZ704" i="3"/>
  <c r="DZ703" i="3"/>
  <c r="DZ702" i="3"/>
  <c r="DZ701" i="3"/>
  <c r="DZ700" i="3"/>
  <c r="DZ699" i="3"/>
  <c r="DZ698" i="3"/>
  <c r="DZ697" i="3"/>
  <c r="DZ696" i="3"/>
  <c r="DZ695" i="3"/>
  <c r="DZ694" i="3"/>
  <c r="DZ693" i="3"/>
  <c r="DZ692" i="3"/>
  <c r="DZ691" i="3"/>
  <c r="DZ690" i="3"/>
  <c r="DZ689" i="3"/>
  <c r="DZ688" i="3"/>
  <c r="DZ687" i="3"/>
  <c r="DZ686" i="3"/>
  <c r="DZ685" i="3"/>
  <c r="DZ684" i="3"/>
  <c r="DZ683" i="3"/>
  <c r="DZ682" i="3"/>
  <c r="DZ681" i="3"/>
  <c r="DZ680" i="3"/>
  <c r="DZ679" i="3"/>
  <c r="DZ678" i="3"/>
  <c r="DZ677" i="3"/>
  <c r="DZ676" i="3"/>
  <c r="DZ675" i="3"/>
  <c r="DZ674" i="3"/>
  <c r="DZ673" i="3"/>
  <c r="DZ672" i="3"/>
  <c r="DZ671" i="3"/>
  <c r="DZ670" i="3"/>
  <c r="DZ669" i="3"/>
  <c r="DZ668" i="3"/>
  <c r="DZ667" i="3"/>
  <c r="DZ666" i="3"/>
  <c r="DZ665" i="3"/>
  <c r="DZ664" i="3"/>
  <c r="DZ663" i="3"/>
  <c r="DZ662" i="3"/>
  <c r="DZ661" i="3"/>
  <c r="DZ660" i="3"/>
  <c r="DZ659" i="3"/>
  <c r="DZ658" i="3"/>
  <c r="DZ657" i="3"/>
  <c r="DZ656" i="3"/>
  <c r="DZ655" i="3"/>
  <c r="DZ654" i="3"/>
  <c r="DZ653" i="3"/>
  <c r="DZ652" i="3"/>
  <c r="DZ651" i="3"/>
  <c r="DZ650" i="3"/>
  <c r="DZ649" i="3"/>
  <c r="DZ648" i="3"/>
  <c r="DZ647" i="3"/>
  <c r="DZ646" i="3"/>
  <c r="DZ645" i="3"/>
  <c r="DZ644" i="3"/>
  <c r="DZ643" i="3"/>
  <c r="DZ642" i="3"/>
  <c r="DZ641" i="3"/>
  <c r="DZ640" i="3"/>
  <c r="DZ639" i="3"/>
  <c r="DZ638" i="3"/>
  <c r="DZ637" i="3"/>
  <c r="DZ636" i="3"/>
  <c r="DZ635" i="3"/>
  <c r="DZ634" i="3"/>
  <c r="DZ633" i="3"/>
  <c r="DZ632" i="3"/>
  <c r="DZ631" i="3"/>
  <c r="DZ630" i="3"/>
  <c r="DZ629" i="3"/>
  <c r="DZ628" i="3"/>
  <c r="DZ627" i="3"/>
  <c r="DZ626" i="3"/>
  <c r="DZ625" i="3"/>
  <c r="DZ624" i="3"/>
  <c r="DZ623" i="3"/>
  <c r="DZ622" i="3"/>
  <c r="DZ621" i="3"/>
  <c r="DZ620" i="3"/>
  <c r="DZ619" i="3"/>
  <c r="DZ618" i="3"/>
  <c r="DZ617" i="3"/>
  <c r="DZ616" i="3"/>
  <c r="DZ615" i="3"/>
  <c r="DZ614" i="3"/>
  <c r="DZ613" i="3"/>
  <c r="DZ612" i="3"/>
  <c r="DZ611" i="3"/>
  <c r="DZ610" i="3"/>
  <c r="DZ609" i="3"/>
  <c r="DZ608" i="3"/>
  <c r="DZ607" i="3"/>
  <c r="DZ606" i="3"/>
  <c r="DZ605" i="3"/>
  <c r="DZ604" i="3"/>
  <c r="DZ603" i="3"/>
  <c r="DZ602" i="3"/>
  <c r="DZ601" i="3"/>
  <c r="DZ600" i="3"/>
  <c r="DZ599" i="3"/>
  <c r="DZ598" i="3"/>
  <c r="DZ597" i="3"/>
  <c r="DZ596" i="3"/>
  <c r="DZ595" i="3"/>
  <c r="DZ594" i="3"/>
  <c r="DZ593" i="3"/>
  <c r="DZ592" i="3"/>
  <c r="DZ591" i="3"/>
  <c r="DZ590" i="3"/>
  <c r="DZ589" i="3"/>
  <c r="DZ588" i="3"/>
  <c r="DZ587" i="3"/>
  <c r="DZ586" i="3"/>
  <c r="DZ585" i="3"/>
  <c r="DZ584" i="3"/>
  <c r="DZ583" i="3"/>
  <c r="DZ582" i="3"/>
  <c r="DZ581" i="3"/>
  <c r="DZ580" i="3"/>
  <c r="DZ579" i="3"/>
  <c r="DZ578" i="3"/>
  <c r="DZ577" i="3"/>
  <c r="DZ576" i="3"/>
  <c r="DZ575" i="3"/>
  <c r="DZ574" i="3"/>
  <c r="DZ573" i="3"/>
  <c r="DZ572" i="3"/>
  <c r="DZ571" i="3"/>
  <c r="DZ570" i="3"/>
  <c r="DZ569" i="3"/>
  <c r="DZ568" i="3"/>
  <c r="DZ567" i="3"/>
  <c r="DZ566" i="3"/>
  <c r="DZ565" i="3"/>
  <c r="DZ564" i="3"/>
  <c r="DZ563" i="3"/>
  <c r="DZ562" i="3"/>
  <c r="DZ561" i="3"/>
  <c r="DZ560" i="3"/>
  <c r="DZ559" i="3"/>
  <c r="DZ558" i="3"/>
  <c r="DZ557" i="3"/>
  <c r="DZ556" i="3"/>
  <c r="DZ555" i="3"/>
  <c r="DZ554" i="3"/>
  <c r="DZ553" i="3"/>
  <c r="DZ552" i="3"/>
  <c r="DZ551" i="3"/>
  <c r="DZ550" i="3"/>
  <c r="DZ549" i="3"/>
  <c r="DZ548" i="3"/>
  <c r="DZ547" i="3"/>
  <c r="DZ546" i="3"/>
  <c r="DZ545" i="3"/>
  <c r="DZ544" i="3"/>
  <c r="DZ543" i="3"/>
  <c r="DZ542" i="3"/>
  <c r="DZ541" i="3"/>
  <c r="DZ540" i="3"/>
  <c r="DZ539" i="3"/>
  <c r="DZ538" i="3"/>
  <c r="DZ537" i="3"/>
  <c r="DZ536" i="3"/>
  <c r="DZ535" i="3"/>
  <c r="DZ534" i="3"/>
  <c r="DZ533" i="3"/>
  <c r="DZ532" i="3"/>
  <c r="DZ531" i="3"/>
  <c r="DZ530" i="3"/>
  <c r="DZ529" i="3"/>
  <c r="DZ528" i="3"/>
  <c r="DZ527" i="3"/>
  <c r="DZ526" i="3"/>
  <c r="DZ525" i="3"/>
  <c r="DZ524" i="3"/>
  <c r="DZ523" i="3"/>
  <c r="DZ522" i="3"/>
  <c r="DZ521" i="3"/>
  <c r="DZ520" i="3"/>
  <c r="DZ519" i="3"/>
  <c r="DZ518" i="3"/>
  <c r="DZ517" i="3"/>
  <c r="DZ516" i="3"/>
  <c r="DZ515" i="3"/>
  <c r="DZ514" i="3"/>
  <c r="DZ513" i="3"/>
  <c r="DZ512" i="3"/>
  <c r="DZ511" i="3"/>
  <c r="DZ510" i="3"/>
  <c r="DZ509" i="3"/>
  <c r="DZ508" i="3"/>
  <c r="DZ507" i="3"/>
  <c r="DZ506" i="3"/>
  <c r="DZ505" i="3"/>
  <c r="DZ504" i="3"/>
  <c r="DZ503" i="3"/>
  <c r="DZ502" i="3"/>
  <c r="DZ501" i="3"/>
  <c r="DZ500" i="3"/>
  <c r="DZ499" i="3"/>
  <c r="DZ498" i="3"/>
  <c r="DZ497" i="3"/>
  <c r="DZ496" i="3"/>
  <c r="DZ495" i="3"/>
  <c r="DZ494" i="3"/>
  <c r="DZ493" i="3"/>
  <c r="DZ492" i="3"/>
  <c r="DZ491" i="3"/>
  <c r="DZ490" i="3"/>
  <c r="DZ489" i="3"/>
  <c r="DZ488" i="3"/>
  <c r="DZ487" i="3"/>
  <c r="DZ486" i="3"/>
  <c r="DZ485" i="3"/>
  <c r="DZ484" i="3"/>
  <c r="DZ483" i="3"/>
  <c r="DZ482" i="3"/>
  <c r="DZ481" i="3"/>
  <c r="DZ480" i="3"/>
  <c r="DZ479" i="3"/>
  <c r="DZ478" i="3"/>
  <c r="DZ477" i="3"/>
  <c r="DZ476" i="3"/>
  <c r="DZ475" i="3"/>
  <c r="DZ474" i="3"/>
  <c r="DZ473" i="3"/>
  <c r="DZ472" i="3"/>
  <c r="DZ471" i="3"/>
  <c r="DZ470" i="3"/>
  <c r="DZ469" i="3"/>
  <c r="DZ468" i="3"/>
  <c r="DZ467" i="3"/>
  <c r="DZ466" i="3"/>
  <c r="DZ465" i="3"/>
  <c r="DZ464" i="3"/>
  <c r="DZ463" i="3"/>
  <c r="DZ462" i="3"/>
  <c r="DZ461" i="3"/>
  <c r="DZ460" i="3"/>
  <c r="DZ459" i="3"/>
  <c r="DZ458" i="3"/>
  <c r="DZ457" i="3"/>
  <c r="DZ456" i="3"/>
  <c r="DZ455" i="3"/>
  <c r="DZ454" i="3"/>
  <c r="DZ453" i="3"/>
  <c r="DZ452" i="3"/>
  <c r="DZ451" i="3"/>
  <c r="DZ450" i="3"/>
  <c r="DZ449" i="3"/>
  <c r="DZ448" i="3"/>
  <c r="DZ447" i="3"/>
  <c r="DZ446" i="3"/>
  <c r="DZ445" i="3"/>
  <c r="DZ444" i="3"/>
  <c r="DZ443" i="3"/>
  <c r="DZ442" i="3"/>
  <c r="DZ441" i="3"/>
  <c r="DZ440" i="3"/>
  <c r="DZ439" i="3"/>
  <c r="DZ438" i="3"/>
  <c r="DZ437" i="3"/>
  <c r="DZ436" i="3"/>
  <c r="DZ435" i="3"/>
  <c r="DZ434" i="3"/>
  <c r="DZ433" i="3"/>
  <c r="DZ432" i="3"/>
  <c r="DZ431" i="3"/>
  <c r="DZ430" i="3"/>
  <c r="DZ429" i="3"/>
  <c r="DZ428" i="3"/>
  <c r="DZ427" i="3"/>
  <c r="DZ426" i="3"/>
  <c r="DZ425" i="3"/>
  <c r="DZ424" i="3"/>
  <c r="DZ423" i="3"/>
  <c r="DZ422" i="3"/>
  <c r="DZ421" i="3"/>
  <c r="DZ420" i="3"/>
  <c r="DZ419" i="3"/>
  <c r="DZ418" i="3"/>
  <c r="DZ417" i="3"/>
  <c r="DZ416" i="3"/>
  <c r="DZ415" i="3"/>
  <c r="DZ414" i="3"/>
  <c r="DZ413" i="3"/>
  <c r="DZ412" i="3"/>
  <c r="DZ411" i="3"/>
  <c r="DZ410" i="3"/>
  <c r="DZ409" i="3"/>
  <c r="DZ408" i="3"/>
  <c r="DZ407" i="3"/>
  <c r="DZ406" i="3"/>
  <c r="DZ405" i="3"/>
  <c r="DZ404" i="3"/>
  <c r="DZ403" i="3"/>
  <c r="DZ402" i="3"/>
  <c r="DZ401" i="3"/>
  <c r="DZ400" i="3"/>
  <c r="DZ399" i="3"/>
  <c r="DZ398" i="3"/>
  <c r="DZ397" i="3"/>
  <c r="DZ396" i="3"/>
  <c r="DZ395" i="3"/>
  <c r="DZ394" i="3"/>
  <c r="DZ393" i="3"/>
  <c r="DZ392" i="3"/>
  <c r="DZ391" i="3"/>
  <c r="DZ390" i="3"/>
  <c r="DZ389" i="3"/>
  <c r="DZ388" i="3"/>
  <c r="DZ387" i="3"/>
  <c r="DZ386" i="3"/>
  <c r="DZ385" i="3"/>
  <c r="DZ384" i="3"/>
  <c r="DZ383" i="3"/>
  <c r="DZ382" i="3"/>
  <c r="DZ381" i="3"/>
  <c r="DZ380" i="3"/>
  <c r="DZ379" i="3"/>
  <c r="DZ378" i="3"/>
  <c r="DZ377" i="3"/>
  <c r="DZ376" i="3"/>
  <c r="DZ375" i="3"/>
  <c r="DZ374" i="3"/>
  <c r="DZ373" i="3"/>
  <c r="DZ372" i="3"/>
  <c r="DZ371" i="3"/>
  <c r="DZ370" i="3"/>
  <c r="DZ369" i="3"/>
  <c r="DZ368" i="3"/>
  <c r="DZ367" i="3"/>
  <c r="DZ366" i="3"/>
  <c r="DZ365" i="3"/>
  <c r="DZ364" i="3"/>
  <c r="DZ363" i="3"/>
  <c r="DZ362" i="3"/>
  <c r="DZ361" i="3"/>
  <c r="DZ360" i="3"/>
  <c r="DZ359" i="3"/>
  <c r="DZ358" i="3"/>
  <c r="DZ357" i="3"/>
  <c r="DZ356" i="3"/>
  <c r="DZ355" i="3"/>
  <c r="DZ354" i="3"/>
  <c r="DZ353" i="3"/>
  <c r="DZ352" i="3"/>
  <c r="DZ351" i="3"/>
  <c r="DZ350" i="3"/>
  <c r="DZ349" i="3"/>
  <c r="DZ348" i="3"/>
  <c r="DZ347" i="3"/>
  <c r="DZ346" i="3"/>
  <c r="DZ345" i="3"/>
  <c r="DZ344" i="3"/>
  <c r="DZ343" i="3"/>
  <c r="DZ342" i="3"/>
  <c r="DZ341" i="3"/>
  <c r="DZ340" i="3"/>
  <c r="DZ339" i="3"/>
  <c r="DZ338" i="3"/>
  <c r="DZ337" i="3"/>
  <c r="DZ336" i="3"/>
  <c r="DZ335" i="3"/>
  <c r="DZ334" i="3"/>
  <c r="DZ333" i="3"/>
  <c r="DZ332" i="3"/>
  <c r="DZ331" i="3"/>
  <c r="DZ330" i="3"/>
  <c r="DZ329" i="3"/>
  <c r="DZ328" i="3"/>
  <c r="DZ327" i="3"/>
  <c r="DZ326" i="3"/>
  <c r="DZ325" i="3"/>
  <c r="DZ324" i="3"/>
  <c r="DZ323" i="3"/>
  <c r="DZ322" i="3"/>
  <c r="DZ321" i="3"/>
  <c r="DZ320" i="3"/>
  <c r="DZ319" i="3"/>
  <c r="DZ318" i="3"/>
  <c r="DZ317" i="3"/>
  <c r="DZ316" i="3"/>
  <c r="DZ315" i="3"/>
  <c r="DZ314" i="3"/>
  <c r="DZ313" i="3"/>
  <c r="DZ312" i="3"/>
  <c r="DZ311" i="3"/>
  <c r="DZ310" i="3"/>
  <c r="DZ309" i="3"/>
  <c r="DZ308" i="3"/>
  <c r="DZ307" i="3"/>
  <c r="DZ306" i="3"/>
  <c r="DZ305" i="3"/>
  <c r="DZ304" i="3"/>
  <c r="DZ303" i="3"/>
  <c r="DZ302" i="3"/>
  <c r="DZ301" i="3"/>
  <c r="DZ300" i="3"/>
  <c r="DZ299" i="3"/>
  <c r="DZ298" i="3"/>
  <c r="DZ297" i="3"/>
  <c r="DZ296" i="3"/>
  <c r="DZ295" i="3"/>
  <c r="DZ294" i="3"/>
  <c r="DZ293" i="3"/>
  <c r="DZ292" i="3"/>
  <c r="DZ291" i="3"/>
  <c r="DZ290" i="3"/>
  <c r="DZ289" i="3"/>
  <c r="DZ288" i="3"/>
  <c r="DZ287" i="3"/>
  <c r="DZ286" i="3"/>
  <c r="DZ285" i="3"/>
  <c r="DZ284" i="3"/>
  <c r="DZ283" i="3"/>
  <c r="DZ282" i="3"/>
  <c r="DZ281" i="3"/>
  <c r="DZ280" i="3"/>
  <c r="DZ279" i="3"/>
  <c r="DZ278" i="3"/>
  <c r="DZ277" i="3"/>
  <c r="DZ276" i="3"/>
  <c r="DZ275" i="3"/>
  <c r="DZ274" i="3"/>
  <c r="DZ273" i="3"/>
  <c r="DZ272" i="3"/>
  <c r="DZ271" i="3"/>
  <c r="DZ270" i="3"/>
  <c r="DZ269" i="3"/>
  <c r="DZ268" i="3"/>
  <c r="DZ267" i="3"/>
  <c r="DZ266" i="3"/>
  <c r="DZ265" i="3"/>
  <c r="DZ264" i="3"/>
  <c r="DZ263" i="3"/>
  <c r="DZ262" i="3"/>
  <c r="DZ261" i="3"/>
  <c r="DZ260" i="3"/>
  <c r="DZ259" i="3"/>
  <c r="DZ258" i="3"/>
  <c r="DZ257" i="3"/>
  <c r="DZ256" i="3"/>
  <c r="DZ255" i="3"/>
  <c r="DZ254" i="3"/>
  <c r="DZ253" i="3"/>
  <c r="DZ252" i="3"/>
  <c r="DZ251" i="3"/>
  <c r="DZ250" i="3"/>
  <c r="DZ249" i="3"/>
  <c r="DZ248" i="3"/>
  <c r="DZ247" i="3"/>
  <c r="DZ246" i="3"/>
  <c r="DZ245" i="3"/>
  <c r="DZ244" i="3"/>
  <c r="DZ243" i="3"/>
  <c r="DZ242" i="3"/>
  <c r="DZ241" i="3"/>
  <c r="DZ240" i="3"/>
  <c r="DZ239" i="3"/>
  <c r="DZ238" i="3"/>
  <c r="DZ237" i="3"/>
  <c r="DZ236" i="3"/>
  <c r="DZ235" i="3"/>
  <c r="DZ234" i="3"/>
  <c r="DZ233" i="3"/>
  <c r="DZ232" i="3"/>
  <c r="DZ231" i="3"/>
  <c r="DZ230" i="3"/>
  <c r="DZ229" i="3"/>
  <c r="DZ228" i="3"/>
  <c r="DZ227" i="3"/>
  <c r="DZ226" i="3"/>
  <c r="DZ225" i="3"/>
  <c r="DZ224" i="3"/>
  <c r="DZ223" i="3"/>
  <c r="DZ222" i="3"/>
  <c r="DZ221" i="3"/>
  <c r="DZ220" i="3"/>
  <c r="DZ219" i="3"/>
  <c r="DZ218" i="3"/>
  <c r="DZ217" i="3"/>
  <c r="DZ216" i="3"/>
  <c r="DZ215" i="3"/>
  <c r="DZ214" i="3"/>
  <c r="DZ213" i="3"/>
  <c r="DZ212" i="3"/>
  <c r="DZ211" i="3"/>
  <c r="DZ210" i="3"/>
  <c r="DZ209" i="3"/>
  <c r="DZ208" i="3"/>
  <c r="DZ207" i="3"/>
  <c r="DZ206" i="3"/>
  <c r="DZ205" i="3"/>
  <c r="DZ204" i="3"/>
  <c r="DZ203" i="3"/>
  <c r="DZ202" i="3"/>
  <c r="DZ201" i="3"/>
  <c r="DZ200" i="3"/>
  <c r="DZ199" i="3"/>
  <c r="DZ198" i="3"/>
  <c r="DZ197" i="3"/>
  <c r="DZ196" i="3"/>
  <c r="DZ195" i="3"/>
  <c r="DZ194" i="3"/>
  <c r="DZ193" i="3"/>
  <c r="DZ192" i="3"/>
  <c r="DZ191" i="3"/>
  <c r="DZ190" i="3"/>
  <c r="DZ189" i="3"/>
  <c r="DZ188" i="3"/>
  <c r="DZ187" i="3"/>
  <c r="DZ186" i="3"/>
  <c r="DZ185" i="3"/>
  <c r="DZ184" i="3"/>
  <c r="DZ183" i="3"/>
  <c r="DZ182" i="3"/>
  <c r="DZ181" i="3"/>
  <c r="DZ180" i="3"/>
  <c r="DZ179" i="3"/>
  <c r="DZ178" i="3"/>
  <c r="DZ177" i="3"/>
  <c r="DZ176" i="3"/>
  <c r="DZ175" i="3"/>
  <c r="DZ174" i="3"/>
  <c r="DZ173" i="3"/>
  <c r="DZ172" i="3"/>
  <c r="DZ171" i="3"/>
  <c r="DZ170" i="3"/>
  <c r="DZ169" i="3"/>
  <c r="DZ168" i="3"/>
  <c r="DZ167" i="3"/>
  <c r="DZ166" i="3"/>
  <c r="DZ165" i="3"/>
  <c r="DZ164" i="3"/>
  <c r="DZ163" i="3"/>
  <c r="DZ162" i="3"/>
  <c r="DZ161" i="3"/>
  <c r="DZ160" i="3"/>
  <c r="DZ159" i="3"/>
  <c r="DZ158" i="3"/>
  <c r="DZ157" i="3"/>
  <c r="DZ156" i="3"/>
  <c r="DZ155" i="3"/>
  <c r="DZ154" i="3"/>
  <c r="DZ153" i="3"/>
  <c r="DZ152" i="3"/>
  <c r="DZ151" i="3"/>
  <c r="DZ150" i="3"/>
  <c r="DZ149" i="3"/>
  <c r="DZ148" i="3"/>
  <c r="DZ147" i="3"/>
  <c r="DZ146" i="3"/>
  <c r="DZ145" i="3"/>
  <c r="DZ144" i="3"/>
  <c r="B144" i="3" s="1"/>
  <c r="DZ143" i="3"/>
  <c r="B143" i="3" s="1"/>
  <c r="DZ142" i="3"/>
  <c r="B142" i="3" s="1"/>
  <c r="DZ141" i="3"/>
  <c r="DZ140" i="3"/>
  <c r="DZ139" i="3"/>
  <c r="DZ138" i="3"/>
  <c r="DZ137" i="3"/>
  <c r="DZ136" i="3"/>
  <c r="DZ135" i="3"/>
  <c r="DZ134" i="3"/>
  <c r="DZ133" i="3"/>
  <c r="DZ132" i="3"/>
  <c r="DZ131" i="3"/>
  <c r="DZ130" i="3"/>
  <c r="DZ129" i="3"/>
  <c r="DZ128" i="3"/>
  <c r="DZ127" i="3"/>
  <c r="DZ126" i="3"/>
  <c r="DZ125" i="3"/>
  <c r="DZ124" i="3"/>
  <c r="DZ123" i="3"/>
  <c r="DZ122" i="3"/>
  <c r="DZ121" i="3"/>
  <c r="DZ120" i="3"/>
  <c r="DZ115" i="3"/>
  <c r="DZ114" i="3"/>
  <c r="DZ112" i="3"/>
  <c r="DZ111" i="3"/>
  <c r="DZ110" i="3"/>
  <c r="DZ109" i="3"/>
  <c r="DZ108" i="3"/>
  <c r="DZ107" i="3"/>
  <c r="DZ106" i="3"/>
  <c r="DZ105" i="3"/>
  <c r="DZ104" i="3"/>
  <c r="DZ103" i="3"/>
  <c r="DZ102" i="3"/>
  <c r="DZ101" i="3"/>
  <c r="DZ100" i="3"/>
  <c r="DZ99" i="3"/>
  <c r="DZ98" i="3"/>
  <c r="DZ97" i="3"/>
  <c r="DZ96" i="3"/>
  <c r="DZ95" i="3"/>
  <c r="DZ94" i="3"/>
  <c r="DZ93" i="3"/>
  <c r="DZ92" i="3"/>
  <c r="DZ91" i="3"/>
  <c r="DZ90" i="3"/>
  <c r="DZ89" i="3"/>
  <c r="DZ88" i="3"/>
  <c r="DZ87" i="3"/>
  <c r="DZ86" i="3"/>
  <c r="DZ85" i="3"/>
  <c r="DZ84" i="3"/>
  <c r="DZ83" i="3"/>
  <c r="DZ82" i="3"/>
  <c r="DZ81" i="3"/>
  <c r="DZ80" i="3"/>
  <c r="DZ79" i="3"/>
  <c r="DZ78" i="3"/>
  <c r="DZ77" i="3"/>
  <c r="DZ76" i="3"/>
  <c r="DZ75" i="3"/>
  <c r="DZ74" i="3"/>
  <c r="DZ73" i="3"/>
  <c r="DZ72" i="3"/>
  <c r="DZ71" i="3"/>
  <c r="DZ70" i="3"/>
  <c r="DZ69" i="3"/>
  <c r="DZ68" i="3"/>
  <c r="DZ67" i="3"/>
  <c r="DZ66" i="3"/>
  <c r="DZ65" i="3"/>
  <c r="DZ64" i="3"/>
  <c r="DZ63" i="3"/>
  <c r="DZ62" i="3"/>
  <c r="DZ61" i="3"/>
  <c r="DZ60" i="3"/>
  <c r="DZ59" i="3"/>
  <c r="DZ58" i="3"/>
  <c r="DZ57" i="3"/>
  <c r="DZ56" i="3"/>
  <c r="DZ55" i="3"/>
  <c r="DZ54" i="3"/>
  <c r="DZ53" i="3"/>
  <c r="DZ52" i="3"/>
  <c r="DZ51" i="3"/>
  <c r="DZ50" i="3"/>
  <c r="DZ49" i="3"/>
  <c r="DZ48" i="3"/>
  <c r="DZ47" i="3"/>
  <c r="DZ46" i="3"/>
  <c r="DZ45" i="3"/>
  <c r="DZ44" i="3"/>
  <c r="DZ43" i="3"/>
  <c r="DZ42" i="3"/>
  <c r="DZ41" i="3"/>
  <c r="DZ40" i="3"/>
  <c r="DZ39" i="3"/>
  <c r="DZ38" i="3"/>
  <c r="DZ37" i="3"/>
  <c r="DZ36" i="3"/>
  <c r="DZ35" i="3"/>
  <c r="DZ34" i="3"/>
  <c r="DZ33" i="3"/>
  <c r="DZ32" i="3"/>
  <c r="DZ31" i="3"/>
  <c r="DZ30" i="3"/>
  <c r="DZ29" i="3"/>
  <c r="DZ28" i="3"/>
  <c r="DZ27" i="3"/>
  <c r="DZ26" i="3"/>
  <c r="DZ25" i="3"/>
  <c r="DZ24" i="3"/>
  <c r="DZ23" i="3"/>
  <c r="DZ22" i="3"/>
  <c r="DZ21" i="3"/>
  <c r="DZ20" i="3"/>
  <c r="DZ19" i="3"/>
  <c r="DZ18" i="3"/>
  <c r="DZ17" i="3"/>
  <c r="DZ16" i="3"/>
  <c r="DZ15" i="3"/>
  <c r="DZ14" i="3"/>
  <c r="DZ13" i="3"/>
  <c r="DZ12" i="3"/>
  <c r="DZ11" i="3"/>
  <c r="DZ10" i="3"/>
  <c r="DZ9" i="3"/>
  <c r="DZ8" i="3"/>
  <c r="DZ7" i="3"/>
  <c r="DZ6" i="3"/>
  <c r="DZ5" i="3"/>
  <c r="DS3711" i="3"/>
  <c r="DS3710" i="3"/>
  <c r="DS3709" i="3"/>
  <c r="DS3708" i="3"/>
  <c r="DS3707" i="3"/>
  <c r="DS3706" i="3"/>
  <c r="DS3705" i="3"/>
  <c r="DS3704" i="3"/>
  <c r="DS3703" i="3"/>
  <c r="DS3702" i="3"/>
  <c r="DS3701" i="3"/>
  <c r="DS3700" i="3"/>
  <c r="DS3699" i="3"/>
  <c r="DS3698" i="3"/>
  <c r="DS3697" i="3"/>
  <c r="DS3696" i="3"/>
  <c r="DS3695" i="3"/>
  <c r="DS3694" i="3"/>
  <c r="DS3693" i="3"/>
  <c r="DS3692" i="3"/>
  <c r="DS3691" i="3"/>
  <c r="DS3690" i="3"/>
  <c r="DS3689" i="3"/>
  <c r="DS3688" i="3"/>
  <c r="DS3687" i="3"/>
  <c r="DS3686" i="3"/>
  <c r="DS3685" i="3"/>
  <c r="DS3684" i="3"/>
  <c r="DS3683" i="3"/>
  <c r="DS3682" i="3"/>
  <c r="DS3681" i="3"/>
  <c r="DS3680" i="3"/>
  <c r="DS3679" i="3"/>
  <c r="DS3678" i="3"/>
  <c r="DS3677" i="3"/>
  <c r="DS3676" i="3"/>
  <c r="DS3675" i="3"/>
  <c r="DS3674" i="3"/>
  <c r="DS3673" i="3"/>
  <c r="DS3672" i="3"/>
  <c r="DS3671" i="3"/>
  <c r="DS3670" i="3"/>
  <c r="DS3669" i="3"/>
  <c r="DS3668" i="3"/>
  <c r="DS3667" i="3"/>
  <c r="DS3666" i="3"/>
  <c r="DS3665" i="3"/>
  <c r="DS3664" i="3"/>
  <c r="DS3663" i="3"/>
  <c r="DS3662" i="3"/>
  <c r="DS3661" i="3"/>
  <c r="DS3660" i="3"/>
  <c r="DS3659" i="3"/>
  <c r="DS3658" i="3"/>
  <c r="DS3657" i="3"/>
  <c r="DS3656" i="3"/>
  <c r="DS3655" i="3"/>
  <c r="DS3654" i="3"/>
  <c r="DS3653" i="3"/>
  <c r="DS3652" i="3"/>
  <c r="DS3651" i="3"/>
  <c r="DS3650" i="3"/>
  <c r="DS3649" i="3"/>
  <c r="DS3648" i="3"/>
  <c r="DS3647" i="3"/>
  <c r="DS3646" i="3"/>
  <c r="DS3645" i="3"/>
  <c r="DS3644" i="3"/>
  <c r="DS3643" i="3"/>
  <c r="DS3642" i="3"/>
  <c r="DS3641" i="3"/>
  <c r="DS3640" i="3"/>
  <c r="DS3639" i="3"/>
  <c r="DS3638" i="3"/>
  <c r="DS3637" i="3"/>
  <c r="DS3636" i="3"/>
  <c r="DS3622" i="3"/>
  <c r="DS3621" i="3"/>
  <c r="DS3620" i="3"/>
  <c r="DS3619" i="3"/>
  <c r="DS3618" i="3"/>
  <c r="DS3617" i="3"/>
  <c r="DS3616" i="3"/>
  <c r="DS3615" i="3"/>
  <c r="DS3614" i="3"/>
  <c r="DS3613" i="3"/>
  <c r="DS3612" i="3"/>
  <c r="DS3611" i="3"/>
  <c r="DS3610" i="3"/>
  <c r="DS3609" i="3"/>
  <c r="DS3608" i="3"/>
  <c r="DS3607" i="3"/>
  <c r="DS3606" i="3"/>
  <c r="DS3605" i="3"/>
  <c r="DS3604" i="3"/>
  <c r="DS3603" i="3"/>
  <c r="DS3602" i="3"/>
  <c r="DS3601" i="3"/>
  <c r="DS3600" i="3"/>
  <c r="DS3599" i="3"/>
  <c r="DS3598" i="3"/>
  <c r="DS3597" i="3"/>
  <c r="DS3596" i="3"/>
  <c r="DS3595" i="3"/>
  <c r="DS3594" i="3"/>
  <c r="DS3593" i="3"/>
  <c r="DS3592" i="3"/>
  <c r="DS3591" i="3"/>
  <c r="DS3590" i="3"/>
  <c r="DS3589" i="3"/>
  <c r="DS3588" i="3"/>
  <c r="DS3587" i="3"/>
  <c r="DS3586" i="3"/>
  <c r="DS3585" i="3"/>
  <c r="DS3584" i="3"/>
  <c r="DS3583" i="3"/>
  <c r="DS3582" i="3"/>
  <c r="DS3581" i="3"/>
  <c r="DS3580" i="3"/>
  <c r="DS3579" i="3"/>
  <c r="DS3578" i="3"/>
  <c r="DS3577" i="3"/>
  <c r="DS3576" i="3"/>
  <c r="DS3575" i="3"/>
  <c r="DS3574" i="3"/>
  <c r="DS3573" i="3"/>
  <c r="DS3572" i="3"/>
  <c r="DS3571" i="3"/>
  <c r="DS3570" i="3"/>
  <c r="DS3569" i="3"/>
  <c r="DS3568" i="3"/>
  <c r="DS3567" i="3"/>
  <c r="DS3566" i="3"/>
  <c r="DS3565" i="3"/>
  <c r="DS3564" i="3"/>
  <c r="DS3563" i="3"/>
  <c r="DS3562" i="3"/>
  <c r="DS3561" i="3"/>
  <c r="DS3560" i="3"/>
  <c r="DS3559" i="3"/>
  <c r="DS3558" i="3"/>
  <c r="DS3557" i="3"/>
  <c r="DS3556" i="3"/>
  <c r="DS3555" i="3"/>
  <c r="DS3554" i="3"/>
  <c r="DS3553" i="3"/>
  <c r="DS3552" i="3"/>
  <c r="DS3551" i="3"/>
  <c r="DS3550" i="3"/>
  <c r="DS3549" i="3"/>
  <c r="DS3548" i="3"/>
  <c r="DS3547" i="3"/>
  <c r="DS3546" i="3"/>
  <c r="DS3545" i="3"/>
  <c r="DS3544" i="3"/>
  <c r="DS3543" i="3"/>
  <c r="DS3542" i="3"/>
  <c r="DS3541" i="3"/>
  <c r="DS3540" i="3"/>
  <c r="DS3539" i="3"/>
  <c r="DS3538" i="3"/>
  <c r="DS3537" i="3"/>
  <c r="DS3536" i="3"/>
  <c r="DS3535" i="3"/>
  <c r="DS3534" i="3"/>
  <c r="DS3533" i="3"/>
  <c r="DS3532" i="3"/>
  <c r="DS3531" i="3"/>
  <c r="DS3530" i="3"/>
  <c r="DS3529" i="3"/>
  <c r="DS3528" i="3"/>
  <c r="DS3527" i="3"/>
  <c r="DS3526" i="3"/>
  <c r="DS3525" i="3"/>
  <c r="DS3524" i="3"/>
  <c r="DS3523" i="3"/>
  <c r="DS3522" i="3"/>
  <c r="DS3521" i="3"/>
  <c r="DS3520" i="3"/>
  <c r="DS3519" i="3"/>
  <c r="DS3518" i="3"/>
  <c r="DS3517" i="3"/>
  <c r="DS3516" i="3"/>
  <c r="DS3515" i="3"/>
  <c r="DS3514" i="3"/>
  <c r="DS3513" i="3"/>
  <c r="DS3512" i="3"/>
  <c r="DS3511" i="3"/>
  <c r="DS3510" i="3"/>
  <c r="DS3509" i="3"/>
  <c r="DS3508" i="3"/>
  <c r="DS3507" i="3"/>
  <c r="DS3506" i="3"/>
  <c r="DS3505" i="3"/>
  <c r="DS3504" i="3"/>
  <c r="DS3503" i="3"/>
  <c r="DS3502" i="3"/>
  <c r="DS3501" i="3"/>
  <c r="DS3500" i="3"/>
  <c r="DS3499" i="3"/>
  <c r="DS3498" i="3"/>
  <c r="DS3497" i="3"/>
  <c r="DS3496" i="3"/>
  <c r="DS3495" i="3"/>
  <c r="DS3494" i="3"/>
  <c r="DS3493" i="3"/>
  <c r="DS3492" i="3"/>
  <c r="DS3491" i="3"/>
  <c r="DS3490" i="3"/>
  <c r="DS3489" i="3"/>
  <c r="DS3488" i="3"/>
  <c r="DS3487" i="3"/>
  <c r="DS3486" i="3"/>
  <c r="DS3485" i="3"/>
  <c r="DS3484" i="3"/>
  <c r="DS3483" i="3"/>
  <c r="DS3482" i="3"/>
  <c r="DS3481" i="3"/>
  <c r="DS3480" i="3"/>
  <c r="DS3479" i="3"/>
  <c r="DS3478" i="3"/>
  <c r="DS3477" i="3"/>
  <c r="DS3476" i="3"/>
  <c r="DS3475" i="3"/>
  <c r="DS3474" i="3"/>
  <c r="DS3473" i="3"/>
  <c r="DS3472" i="3"/>
  <c r="DS3471" i="3"/>
  <c r="DS3470" i="3"/>
  <c r="DS3469" i="3"/>
  <c r="DS3468" i="3"/>
  <c r="DS3467" i="3"/>
  <c r="DS3466" i="3"/>
  <c r="DS3465" i="3"/>
  <c r="DS3464" i="3"/>
  <c r="DS3463" i="3"/>
  <c r="DS3462" i="3"/>
  <c r="DS3461" i="3"/>
  <c r="DS3460" i="3"/>
  <c r="DS3459" i="3"/>
  <c r="DS3458" i="3"/>
  <c r="DS3457" i="3"/>
  <c r="DS3456" i="3"/>
  <c r="DS3455" i="3"/>
  <c r="DS3454" i="3"/>
  <c r="DS3453" i="3"/>
  <c r="DS3452" i="3"/>
  <c r="DS3451" i="3"/>
  <c r="DS3450" i="3"/>
  <c r="DS3449" i="3"/>
  <c r="DS3448" i="3"/>
  <c r="DS3447" i="3"/>
  <c r="DS3446" i="3"/>
  <c r="DS3445" i="3"/>
  <c r="DS3444" i="3"/>
  <c r="DS3443" i="3"/>
  <c r="DS3442" i="3"/>
  <c r="DS3441" i="3"/>
  <c r="DS3440" i="3"/>
  <c r="DS3439" i="3"/>
  <c r="DS3438" i="3"/>
  <c r="DS3437" i="3"/>
  <c r="DS3436" i="3"/>
  <c r="DS3435" i="3"/>
  <c r="DS3434" i="3"/>
  <c r="DS3433" i="3"/>
  <c r="DS3432" i="3"/>
  <c r="DS3431" i="3"/>
  <c r="DS3430" i="3"/>
  <c r="DS3429" i="3"/>
  <c r="DS3428" i="3"/>
  <c r="DS3427" i="3"/>
  <c r="DS3426" i="3"/>
  <c r="DS3425" i="3"/>
  <c r="DS3424" i="3"/>
  <c r="DS3423" i="3"/>
  <c r="DS3422" i="3"/>
  <c r="DS3421" i="3"/>
  <c r="DS3420" i="3"/>
  <c r="DS3419" i="3"/>
  <c r="DS3418" i="3"/>
  <c r="DS3417" i="3"/>
  <c r="DS3416" i="3"/>
  <c r="DS3415" i="3"/>
  <c r="DS3414" i="3"/>
  <c r="DS3413" i="3"/>
  <c r="DS3412" i="3"/>
  <c r="DS3411" i="3"/>
  <c r="DS3410" i="3"/>
  <c r="DS3409" i="3"/>
  <c r="DS3408" i="3"/>
  <c r="DS3407" i="3"/>
  <c r="DS3406" i="3"/>
  <c r="DS3405" i="3"/>
  <c r="DS3404" i="3"/>
  <c r="DS3403" i="3"/>
  <c r="DS3402" i="3"/>
  <c r="DS3401" i="3"/>
  <c r="DS3400" i="3"/>
  <c r="DS3399" i="3"/>
  <c r="DS3398" i="3"/>
  <c r="DS3397" i="3"/>
  <c r="DS3396" i="3"/>
  <c r="DS3395" i="3"/>
  <c r="DS3394" i="3"/>
  <c r="DS3393" i="3"/>
  <c r="DS3392" i="3"/>
  <c r="DS3391" i="3"/>
  <c r="DS3390" i="3"/>
  <c r="DS3389" i="3"/>
  <c r="DS3388" i="3"/>
  <c r="DS3387" i="3"/>
  <c r="DS3386" i="3"/>
  <c r="DS3385" i="3"/>
  <c r="DS3384" i="3"/>
  <c r="DS3383" i="3"/>
  <c r="DS3382" i="3"/>
  <c r="DS3381" i="3"/>
  <c r="DS3380" i="3"/>
  <c r="DS3379" i="3"/>
  <c r="DS3378" i="3"/>
  <c r="DS3377" i="3"/>
  <c r="DS3376" i="3"/>
  <c r="DS3375" i="3"/>
  <c r="DS3374" i="3"/>
  <c r="DS3373" i="3"/>
  <c r="DS3372" i="3"/>
  <c r="DS3371" i="3"/>
  <c r="DS3370" i="3"/>
  <c r="DS3369" i="3"/>
  <c r="DS3368" i="3"/>
  <c r="DS3367" i="3"/>
  <c r="DS3366" i="3"/>
  <c r="DS3365" i="3"/>
  <c r="DS3364" i="3"/>
  <c r="DS3363" i="3"/>
  <c r="DS3362" i="3"/>
  <c r="DS3361" i="3"/>
  <c r="DS3360" i="3"/>
  <c r="DS3359" i="3"/>
  <c r="DS3358" i="3"/>
  <c r="DS3357" i="3"/>
  <c r="DS3356" i="3"/>
  <c r="DS3355" i="3"/>
  <c r="DS3354" i="3"/>
  <c r="DS3353" i="3"/>
  <c r="DS3352" i="3"/>
  <c r="DS3351" i="3"/>
  <c r="DS3350" i="3"/>
  <c r="DS3349" i="3"/>
  <c r="DS3348" i="3"/>
  <c r="DS3347" i="3"/>
  <c r="DS3346" i="3"/>
  <c r="DS3345" i="3"/>
  <c r="DS3344" i="3"/>
  <c r="DS3343" i="3"/>
  <c r="DS3342" i="3"/>
  <c r="DS3341" i="3"/>
  <c r="DS3340" i="3"/>
  <c r="DS3339" i="3"/>
  <c r="DS3338" i="3"/>
  <c r="DS3337" i="3"/>
  <c r="DS3336" i="3"/>
  <c r="DS3335" i="3"/>
  <c r="DS3334" i="3"/>
  <c r="DS3333" i="3"/>
  <c r="DS3332" i="3"/>
  <c r="DS3331" i="3"/>
  <c r="DS3330" i="3"/>
  <c r="DS3329" i="3"/>
  <c r="DS3328" i="3"/>
  <c r="DS3327" i="3"/>
  <c r="DS3326" i="3"/>
  <c r="DS3325" i="3"/>
  <c r="DS3324" i="3"/>
  <c r="DS3323" i="3"/>
  <c r="DS3322" i="3"/>
  <c r="DS3321" i="3"/>
  <c r="DS3320" i="3"/>
  <c r="DS3319" i="3"/>
  <c r="DS3318" i="3"/>
  <c r="DS3317" i="3"/>
  <c r="DS3316" i="3"/>
  <c r="DS3315" i="3"/>
  <c r="DS3314" i="3"/>
  <c r="DS3313" i="3"/>
  <c r="DS3312" i="3"/>
  <c r="DS3311" i="3"/>
  <c r="DS3310" i="3"/>
  <c r="DS3309" i="3"/>
  <c r="DS3308" i="3"/>
  <c r="DS3307" i="3"/>
  <c r="DS3306" i="3"/>
  <c r="DS3305" i="3"/>
  <c r="DS3304" i="3"/>
  <c r="DS3303" i="3"/>
  <c r="DS3302" i="3"/>
  <c r="DS3301" i="3"/>
  <c r="DS3300" i="3"/>
  <c r="DS3299" i="3"/>
  <c r="DS3298" i="3"/>
  <c r="DS3297" i="3"/>
  <c r="DS3296" i="3"/>
  <c r="DS3295" i="3"/>
  <c r="DS3294" i="3"/>
  <c r="DS3293" i="3"/>
  <c r="DS3292" i="3"/>
  <c r="DS3291" i="3"/>
  <c r="DS3290" i="3"/>
  <c r="DS3289" i="3"/>
  <c r="DS3288" i="3"/>
  <c r="DS3287" i="3"/>
  <c r="DS3286" i="3"/>
  <c r="DS3285" i="3"/>
  <c r="DS3284" i="3"/>
  <c r="DS3283" i="3"/>
  <c r="DS3282" i="3"/>
  <c r="DS3281" i="3"/>
  <c r="DS3280" i="3"/>
  <c r="DS3279" i="3"/>
  <c r="DS3278" i="3"/>
  <c r="DS3277" i="3"/>
  <c r="DS3276" i="3"/>
  <c r="DS3275" i="3"/>
  <c r="DS3274" i="3"/>
  <c r="DS3273" i="3"/>
  <c r="DS3272" i="3"/>
  <c r="DS3271" i="3"/>
  <c r="DS3270" i="3"/>
  <c r="DS3269" i="3"/>
  <c r="DS3268" i="3"/>
  <c r="DS3267" i="3"/>
  <c r="DS3266" i="3"/>
  <c r="DS3265" i="3"/>
  <c r="DS3264" i="3"/>
  <c r="DS3263" i="3"/>
  <c r="DS3262" i="3"/>
  <c r="DS3261" i="3"/>
  <c r="DS3260" i="3"/>
  <c r="DS3259" i="3"/>
  <c r="DS3258" i="3"/>
  <c r="DS3257" i="3"/>
  <c r="DS3256" i="3"/>
  <c r="DS3255" i="3"/>
  <c r="DS3254" i="3"/>
  <c r="DS3253" i="3"/>
  <c r="DS3252" i="3"/>
  <c r="DS3251" i="3"/>
  <c r="DS3250" i="3"/>
  <c r="DS3249" i="3"/>
  <c r="DS3248" i="3"/>
  <c r="DS3247" i="3"/>
  <c r="DS3246" i="3"/>
  <c r="DS3245" i="3"/>
  <c r="DS3244" i="3"/>
  <c r="DS3243" i="3"/>
  <c r="DS3242" i="3"/>
  <c r="DS3241" i="3"/>
  <c r="DS3240" i="3"/>
  <c r="DS3239" i="3"/>
  <c r="DS3238" i="3"/>
  <c r="DS3237" i="3"/>
  <c r="DS3236" i="3"/>
  <c r="DS3235" i="3"/>
  <c r="DS3234" i="3"/>
  <c r="DS3233" i="3"/>
  <c r="DS3232" i="3"/>
  <c r="DS3231" i="3"/>
  <c r="DS3230" i="3"/>
  <c r="DS3229" i="3"/>
  <c r="DS3228" i="3"/>
  <c r="DS3227" i="3"/>
  <c r="DS3226" i="3"/>
  <c r="DS3225" i="3"/>
  <c r="DS3224" i="3"/>
  <c r="DS3223" i="3"/>
  <c r="DS3222" i="3"/>
  <c r="DS3221" i="3"/>
  <c r="DS3220" i="3"/>
  <c r="DS3219" i="3"/>
  <c r="DS3218" i="3"/>
  <c r="DS3217" i="3"/>
  <c r="DS3216" i="3"/>
  <c r="DS3215" i="3"/>
  <c r="DS3214" i="3"/>
  <c r="DS3213" i="3"/>
  <c r="DS3212" i="3"/>
  <c r="DS3211" i="3"/>
  <c r="DS3210" i="3"/>
  <c r="DS3209" i="3"/>
  <c r="DS3208" i="3"/>
  <c r="DS3207" i="3"/>
  <c r="DS3206" i="3"/>
  <c r="DS3205" i="3"/>
  <c r="DS3204" i="3"/>
  <c r="DS3203" i="3"/>
  <c r="DS3202" i="3"/>
  <c r="DS3201" i="3"/>
  <c r="DS3200" i="3"/>
  <c r="DS3199" i="3"/>
  <c r="DS3198" i="3"/>
  <c r="DS3197" i="3"/>
  <c r="DS3196" i="3"/>
  <c r="DS3195" i="3"/>
  <c r="DS3194" i="3"/>
  <c r="DS3193" i="3"/>
  <c r="DS3192" i="3"/>
  <c r="DS3191" i="3"/>
  <c r="DS3190" i="3"/>
  <c r="DS3189" i="3"/>
  <c r="DS3188" i="3"/>
  <c r="DS3187" i="3"/>
  <c r="DS3186" i="3"/>
  <c r="DS3185" i="3"/>
  <c r="DS3184" i="3"/>
  <c r="DS3183" i="3"/>
  <c r="DS3182" i="3"/>
  <c r="DS3181" i="3"/>
  <c r="DS3180" i="3"/>
  <c r="DS3179" i="3"/>
  <c r="DS3178" i="3"/>
  <c r="DS3177" i="3"/>
  <c r="DS3176" i="3"/>
  <c r="DS3175" i="3"/>
  <c r="DS3174" i="3"/>
  <c r="DS3173" i="3"/>
  <c r="DS3172" i="3"/>
  <c r="DS3171" i="3"/>
  <c r="DS3170" i="3"/>
  <c r="DS3169" i="3"/>
  <c r="DS3168" i="3"/>
  <c r="DS3167" i="3"/>
  <c r="DS3166" i="3"/>
  <c r="DS3165" i="3"/>
  <c r="DS3164" i="3"/>
  <c r="DS3163" i="3"/>
  <c r="DS3162" i="3"/>
  <c r="DS3161" i="3"/>
  <c r="DS3160" i="3"/>
  <c r="DS3159" i="3"/>
  <c r="DS3158" i="3"/>
  <c r="DS3157" i="3"/>
  <c r="DS3156" i="3"/>
  <c r="DS3155" i="3"/>
  <c r="DS3154" i="3"/>
  <c r="DS3153" i="3"/>
  <c r="DS3152" i="3"/>
  <c r="DS3151" i="3"/>
  <c r="DS3150" i="3"/>
  <c r="DS3149" i="3"/>
  <c r="DS3148" i="3"/>
  <c r="DS3147" i="3"/>
  <c r="DS3146" i="3"/>
  <c r="DS3145" i="3"/>
  <c r="DS3144" i="3"/>
  <c r="DS3143" i="3"/>
  <c r="DS3142" i="3"/>
  <c r="DS3141" i="3"/>
  <c r="DS3140" i="3"/>
  <c r="DS3139" i="3"/>
  <c r="DS3138" i="3"/>
  <c r="DS3137" i="3"/>
  <c r="DS3136" i="3"/>
  <c r="DS3135" i="3"/>
  <c r="DS3134" i="3"/>
  <c r="DS3133" i="3"/>
  <c r="DS3132" i="3"/>
  <c r="DS3131" i="3"/>
  <c r="DS3130" i="3"/>
  <c r="DS3129" i="3"/>
  <c r="DS3128" i="3"/>
  <c r="DS3127" i="3"/>
  <c r="DS3126" i="3"/>
  <c r="DS3125" i="3"/>
  <c r="DS3124" i="3"/>
  <c r="DS3123" i="3"/>
  <c r="DS3122" i="3"/>
  <c r="DS3121" i="3"/>
  <c r="DS3120" i="3"/>
  <c r="DS3119" i="3"/>
  <c r="DS3118" i="3"/>
  <c r="DS3117" i="3"/>
  <c r="DS3116" i="3"/>
  <c r="DS3115" i="3"/>
  <c r="DS3114" i="3"/>
  <c r="DS3113" i="3"/>
  <c r="DS3112" i="3"/>
  <c r="DS3111" i="3"/>
  <c r="DS3110" i="3"/>
  <c r="DS3109" i="3"/>
  <c r="DS3108" i="3"/>
  <c r="DS3107" i="3"/>
  <c r="DS3106" i="3"/>
  <c r="DS3105" i="3"/>
  <c r="DS3104" i="3"/>
  <c r="DS3103" i="3"/>
  <c r="DS3102" i="3"/>
  <c r="DS3101" i="3"/>
  <c r="DS3100" i="3"/>
  <c r="DS3099" i="3"/>
  <c r="DS3098" i="3"/>
  <c r="DS3097" i="3"/>
  <c r="DS3096" i="3"/>
  <c r="DS3095" i="3"/>
  <c r="DS3094" i="3"/>
  <c r="DS3093" i="3"/>
  <c r="DS3092" i="3"/>
  <c r="DS3091" i="3"/>
  <c r="DS3090" i="3"/>
  <c r="DS3089" i="3"/>
  <c r="DS3088" i="3"/>
  <c r="DS3087" i="3"/>
  <c r="DS3086" i="3"/>
  <c r="DS3085" i="3"/>
  <c r="DS3084" i="3"/>
  <c r="DS3083" i="3"/>
  <c r="DS3082" i="3"/>
  <c r="DS3081" i="3"/>
  <c r="DS3080" i="3"/>
  <c r="DS3079" i="3"/>
  <c r="DS3078" i="3"/>
  <c r="DS3077" i="3"/>
  <c r="DS3076" i="3"/>
  <c r="DS3075" i="3"/>
  <c r="DS3074" i="3"/>
  <c r="DS3073" i="3"/>
  <c r="DS3072" i="3"/>
  <c r="DS3071" i="3"/>
  <c r="DS3070" i="3"/>
  <c r="DS3069" i="3"/>
  <c r="DS3068" i="3"/>
  <c r="DS3067" i="3"/>
  <c r="DS3066" i="3"/>
  <c r="DS3065" i="3"/>
  <c r="DS3064" i="3"/>
  <c r="DS3063" i="3"/>
  <c r="DS3062" i="3"/>
  <c r="DS3061" i="3"/>
  <c r="DS3060" i="3"/>
  <c r="DS3059" i="3"/>
  <c r="DS3058" i="3"/>
  <c r="DS3057" i="3"/>
  <c r="DS3056" i="3"/>
  <c r="DS3055" i="3"/>
  <c r="DS3054" i="3"/>
  <c r="DS3053" i="3"/>
  <c r="DS3052" i="3"/>
  <c r="DS3051" i="3"/>
  <c r="DS3050" i="3"/>
  <c r="DS3049" i="3"/>
  <c r="DS3048" i="3"/>
  <c r="DS3047" i="3"/>
  <c r="DS3046" i="3"/>
  <c r="DS3045" i="3"/>
  <c r="DS3044" i="3"/>
  <c r="DS3043" i="3"/>
  <c r="DS3042" i="3"/>
  <c r="DS3041" i="3"/>
  <c r="DS3040" i="3"/>
  <c r="DS3039" i="3"/>
  <c r="DS3038" i="3"/>
  <c r="DS3037" i="3"/>
  <c r="DS3036" i="3"/>
  <c r="DS3035" i="3"/>
  <c r="DS3034" i="3"/>
  <c r="DS3033" i="3"/>
  <c r="DS3032" i="3"/>
  <c r="DS3031" i="3"/>
  <c r="DS3030" i="3"/>
  <c r="DS3029" i="3"/>
  <c r="DS3028" i="3"/>
  <c r="DS3027" i="3"/>
  <c r="DS3026" i="3"/>
  <c r="DS3025" i="3"/>
  <c r="DS3024" i="3"/>
  <c r="DS3023" i="3"/>
  <c r="DS3022" i="3"/>
  <c r="DS3021" i="3"/>
  <c r="DS3020" i="3"/>
  <c r="DS3019" i="3"/>
  <c r="DS3018" i="3"/>
  <c r="DS3017" i="3"/>
  <c r="DS3016" i="3"/>
  <c r="DS3015" i="3"/>
  <c r="DS3014" i="3"/>
  <c r="DS3013" i="3"/>
  <c r="DS3012" i="3"/>
  <c r="DS3011" i="3"/>
  <c r="DS3010" i="3"/>
  <c r="DS3009" i="3"/>
  <c r="DS3008" i="3"/>
  <c r="DS3007" i="3"/>
  <c r="DS3006" i="3"/>
  <c r="DS3005" i="3"/>
  <c r="DS3004" i="3"/>
  <c r="DS3003" i="3"/>
  <c r="DS3002" i="3"/>
  <c r="DS3001" i="3"/>
  <c r="DS3000" i="3"/>
  <c r="DS2999" i="3"/>
  <c r="DS2998" i="3"/>
  <c r="DS2997" i="3"/>
  <c r="DS2996" i="3"/>
  <c r="DS2995" i="3"/>
  <c r="DS2994" i="3"/>
  <c r="DS2993" i="3"/>
  <c r="DS2992" i="3"/>
  <c r="DS2991" i="3"/>
  <c r="DS2990" i="3"/>
  <c r="DS2989" i="3"/>
  <c r="DS2988" i="3"/>
  <c r="DS2987" i="3"/>
  <c r="DS2986" i="3"/>
  <c r="DS2985" i="3"/>
  <c r="DS2984" i="3"/>
  <c r="DS2983" i="3"/>
  <c r="DS2982" i="3"/>
  <c r="DS2981" i="3"/>
  <c r="DS2980" i="3"/>
  <c r="DS2979" i="3"/>
  <c r="DS2978" i="3"/>
  <c r="DS2977" i="3"/>
  <c r="DS2976" i="3"/>
  <c r="DS2975" i="3"/>
  <c r="DS2974" i="3"/>
  <c r="DS2973" i="3"/>
  <c r="DS2972" i="3"/>
  <c r="DS2971" i="3"/>
  <c r="DS2970" i="3"/>
  <c r="DS2969" i="3"/>
  <c r="DS2968" i="3"/>
  <c r="DS2967" i="3"/>
  <c r="DS2966" i="3"/>
  <c r="DS2965" i="3"/>
  <c r="DS2964" i="3"/>
  <c r="DS2963" i="3"/>
  <c r="DS2962" i="3"/>
  <c r="DS2961" i="3"/>
  <c r="DS2960" i="3"/>
  <c r="DS2959" i="3"/>
  <c r="DS2958" i="3"/>
  <c r="DS2957" i="3"/>
  <c r="DS2956" i="3"/>
  <c r="DS2955" i="3"/>
  <c r="DS2954" i="3"/>
  <c r="DS2953" i="3"/>
  <c r="DS2952" i="3"/>
  <c r="DS2951" i="3"/>
  <c r="DS2950" i="3"/>
  <c r="DS2949" i="3"/>
  <c r="DS2948" i="3"/>
  <c r="DS2947" i="3"/>
  <c r="DS2946" i="3"/>
  <c r="DS2945" i="3"/>
  <c r="DS2944" i="3"/>
  <c r="DS2943" i="3"/>
  <c r="DS2942" i="3"/>
  <c r="DS2941" i="3"/>
  <c r="DS2940" i="3"/>
  <c r="DS2939" i="3"/>
  <c r="DS2938" i="3"/>
  <c r="DS2937" i="3"/>
  <c r="DS2936" i="3"/>
  <c r="DS2935" i="3"/>
  <c r="DS2934" i="3"/>
  <c r="DS2933" i="3"/>
  <c r="DS2932" i="3"/>
  <c r="DS2931" i="3"/>
  <c r="DS2930" i="3"/>
  <c r="DS2929" i="3"/>
  <c r="DS2928" i="3"/>
  <c r="DS2927" i="3"/>
  <c r="DS2926" i="3"/>
  <c r="DS2925" i="3"/>
  <c r="DS2924" i="3"/>
  <c r="DS2923" i="3"/>
  <c r="DS2922" i="3"/>
  <c r="DS2921" i="3"/>
  <c r="DS2920" i="3"/>
  <c r="DS2919" i="3"/>
  <c r="DS2918" i="3"/>
  <c r="DS2917" i="3"/>
  <c r="DS2916" i="3"/>
  <c r="DS2915" i="3"/>
  <c r="DS2914" i="3"/>
  <c r="DS2913" i="3"/>
  <c r="DS2912" i="3"/>
  <c r="DS2911" i="3"/>
  <c r="DS2910" i="3"/>
  <c r="DS2909" i="3"/>
  <c r="DS2908" i="3"/>
  <c r="DS2907" i="3"/>
  <c r="DS2906" i="3"/>
  <c r="DS2905" i="3"/>
  <c r="DS2904" i="3"/>
  <c r="DS2903" i="3"/>
  <c r="DS2902" i="3"/>
  <c r="DS2901" i="3"/>
  <c r="DS2900" i="3"/>
  <c r="DS2899" i="3"/>
  <c r="DS2898" i="3"/>
  <c r="DS2897" i="3"/>
  <c r="DS2896" i="3"/>
  <c r="DS2895" i="3"/>
  <c r="DS2894" i="3"/>
  <c r="DS2893" i="3"/>
  <c r="DS2892" i="3"/>
  <c r="DS2891" i="3"/>
  <c r="DS2890" i="3"/>
  <c r="DS2889" i="3"/>
  <c r="DS2888" i="3"/>
  <c r="DS2887" i="3"/>
  <c r="DS2886" i="3"/>
  <c r="DS2885" i="3"/>
  <c r="DS2884" i="3"/>
  <c r="DS2883" i="3"/>
  <c r="DS2882" i="3"/>
  <c r="DS2881" i="3"/>
  <c r="DS2880" i="3"/>
  <c r="DS2879" i="3"/>
  <c r="DS2878" i="3"/>
  <c r="DS2877" i="3"/>
  <c r="DS2876" i="3"/>
  <c r="DS2875" i="3"/>
  <c r="DS2874" i="3"/>
  <c r="DS2873" i="3"/>
  <c r="DS2872" i="3"/>
  <c r="DS2871" i="3"/>
  <c r="DS2870" i="3"/>
  <c r="DS2869" i="3"/>
  <c r="DS2868" i="3"/>
  <c r="DS2867" i="3"/>
  <c r="DS2866" i="3"/>
  <c r="DS2865" i="3"/>
  <c r="DS2864" i="3"/>
  <c r="DS2863" i="3"/>
  <c r="DS2862" i="3"/>
  <c r="DS2861" i="3"/>
  <c r="DS2860" i="3"/>
  <c r="DS2859" i="3"/>
  <c r="DS2858" i="3"/>
  <c r="DS2857" i="3"/>
  <c r="DS2856" i="3"/>
  <c r="DS2855" i="3"/>
  <c r="DS2854" i="3"/>
  <c r="DS2853" i="3"/>
  <c r="DS2852" i="3"/>
  <c r="DS2851" i="3"/>
  <c r="DS2850" i="3"/>
  <c r="DS2849" i="3"/>
  <c r="DS2848" i="3"/>
  <c r="DS2847" i="3"/>
  <c r="DS2846" i="3"/>
  <c r="DS2845" i="3"/>
  <c r="DS2844" i="3"/>
  <c r="DS2843" i="3"/>
  <c r="DS2842" i="3"/>
  <c r="DS2841" i="3"/>
  <c r="DS2840" i="3"/>
  <c r="DS2839" i="3"/>
  <c r="DS2838" i="3"/>
  <c r="DS2837" i="3"/>
  <c r="DS2836" i="3"/>
  <c r="DS2835" i="3"/>
  <c r="DS2834" i="3"/>
  <c r="DS2833" i="3"/>
  <c r="DS2832" i="3"/>
  <c r="DS2831" i="3"/>
  <c r="DS2830" i="3"/>
  <c r="DS2829" i="3"/>
  <c r="DS2828" i="3"/>
  <c r="DS2827" i="3"/>
  <c r="DS2826" i="3"/>
  <c r="DS2825" i="3"/>
  <c r="DS2824" i="3"/>
  <c r="DS2823" i="3"/>
  <c r="DS2822" i="3"/>
  <c r="DS2821" i="3"/>
  <c r="DS2820" i="3"/>
  <c r="DS2819" i="3"/>
  <c r="DS2818" i="3"/>
  <c r="DS2817" i="3"/>
  <c r="DS2816" i="3"/>
  <c r="DS2815" i="3"/>
  <c r="DS2814" i="3"/>
  <c r="DS2813" i="3"/>
  <c r="DS2812" i="3"/>
  <c r="DS2811" i="3"/>
  <c r="DS2810" i="3"/>
  <c r="DS2809" i="3"/>
  <c r="DS2808" i="3"/>
  <c r="DS2807" i="3"/>
  <c r="DS2806" i="3"/>
  <c r="DS2805" i="3"/>
  <c r="DS2804" i="3"/>
  <c r="DS2803" i="3"/>
  <c r="DS2802" i="3"/>
  <c r="DS2801" i="3"/>
  <c r="DS2800" i="3"/>
  <c r="DS2799" i="3"/>
  <c r="DS2798" i="3"/>
  <c r="DS2797" i="3"/>
  <c r="DS2796" i="3"/>
  <c r="DS2795" i="3"/>
  <c r="DS2794" i="3"/>
  <c r="DS2793" i="3"/>
  <c r="DS2792" i="3"/>
  <c r="DS2791" i="3"/>
  <c r="DS2790" i="3"/>
  <c r="DS2789" i="3"/>
  <c r="DS2788" i="3"/>
  <c r="DS2787" i="3"/>
  <c r="DS2786" i="3"/>
  <c r="DS2785" i="3"/>
  <c r="DS2784" i="3"/>
  <c r="DS2783" i="3"/>
  <c r="DS2782" i="3"/>
  <c r="DS2781" i="3"/>
  <c r="DS2780" i="3"/>
  <c r="DS2779" i="3"/>
  <c r="DS2778" i="3"/>
  <c r="DS2777" i="3"/>
  <c r="DS2776" i="3"/>
  <c r="DS2775" i="3"/>
  <c r="DS2774" i="3"/>
  <c r="DS2773" i="3"/>
  <c r="DS2772" i="3"/>
  <c r="DS2771" i="3"/>
  <c r="DS2770" i="3"/>
  <c r="DS2769" i="3"/>
  <c r="DS2768" i="3"/>
  <c r="DS2767" i="3"/>
  <c r="DS2766" i="3"/>
  <c r="DS2765" i="3"/>
  <c r="DS2764" i="3"/>
  <c r="DS2763" i="3"/>
  <c r="DS2762" i="3"/>
  <c r="DS2761" i="3"/>
  <c r="DS2760" i="3"/>
  <c r="DS2759" i="3"/>
  <c r="DS2758" i="3"/>
  <c r="DS2757" i="3"/>
  <c r="DS2756" i="3"/>
  <c r="DS2755" i="3"/>
  <c r="DS2754" i="3"/>
  <c r="DS2753" i="3"/>
  <c r="DS2752" i="3"/>
  <c r="DS2751" i="3"/>
  <c r="DS2750" i="3"/>
  <c r="DS2749" i="3"/>
  <c r="DS2748" i="3"/>
  <c r="DS2747" i="3"/>
  <c r="DS2746" i="3"/>
  <c r="DS2745" i="3"/>
  <c r="DS2744" i="3"/>
  <c r="DS2743" i="3"/>
  <c r="DS2742" i="3"/>
  <c r="DS2741" i="3"/>
  <c r="DS2740" i="3"/>
  <c r="DS2739" i="3"/>
  <c r="DS2738" i="3"/>
  <c r="DS2737" i="3"/>
  <c r="DS2736" i="3"/>
  <c r="DS2735" i="3"/>
  <c r="DS2734" i="3"/>
  <c r="DS2733" i="3"/>
  <c r="DS2732" i="3"/>
  <c r="DS2731" i="3"/>
  <c r="DS2730" i="3"/>
  <c r="DS2729" i="3"/>
  <c r="DS2728" i="3"/>
  <c r="DS2727" i="3"/>
  <c r="DS2726" i="3"/>
  <c r="DS2725" i="3"/>
  <c r="DS2724" i="3"/>
  <c r="DS2723" i="3"/>
  <c r="DS2722" i="3"/>
  <c r="DS2721" i="3"/>
  <c r="DS2720" i="3"/>
  <c r="DS2719" i="3"/>
  <c r="DS2718" i="3"/>
  <c r="DS2717" i="3"/>
  <c r="DS2716" i="3"/>
  <c r="DS2715" i="3"/>
  <c r="DS2714" i="3"/>
  <c r="DS2713" i="3"/>
  <c r="DS2712" i="3"/>
  <c r="DS2711" i="3"/>
  <c r="DS2710" i="3"/>
  <c r="DS2709" i="3"/>
  <c r="DS2708" i="3"/>
  <c r="DS2707" i="3"/>
  <c r="DS2706" i="3"/>
  <c r="DS2705" i="3"/>
  <c r="DS2704" i="3"/>
  <c r="DS2703" i="3"/>
  <c r="DS2702" i="3"/>
  <c r="DS2701" i="3"/>
  <c r="DS2700" i="3"/>
  <c r="DS2699" i="3"/>
  <c r="DS2698" i="3"/>
  <c r="DS2697" i="3"/>
  <c r="DS2696" i="3"/>
  <c r="DS2695" i="3"/>
  <c r="DS2694" i="3"/>
  <c r="DS2693" i="3"/>
  <c r="DS2692" i="3"/>
  <c r="DS2691" i="3"/>
  <c r="DS2690" i="3"/>
  <c r="DS2689" i="3"/>
  <c r="DS2688" i="3"/>
  <c r="DS2687" i="3"/>
  <c r="DS2686" i="3"/>
  <c r="DS2685" i="3"/>
  <c r="DS2684" i="3"/>
  <c r="DS2683" i="3"/>
  <c r="DS2682" i="3"/>
  <c r="DS2681" i="3"/>
  <c r="DS2680" i="3"/>
  <c r="DS2679" i="3"/>
  <c r="DS2678" i="3"/>
  <c r="DS2677" i="3"/>
  <c r="DS2676" i="3"/>
  <c r="DS2675" i="3"/>
  <c r="DS2674" i="3"/>
  <c r="DS2673" i="3"/>
  <c r="DS2672" i="3"/>
  <c r="DS2671" i="3"/>
  <c r="DS2670" i="3"/>
  <c r="DS2669" i="3"/>
  <c r="DS2668" i="3"/>
  <c r="DS2667" i="3"/>
  <c r="DS2666" i="3"/>
  <c r="DS2665" i="3"/>
  <c r="DS2664" i="3"/>
  <c r="DS2663" i="3"/>
  <c r="DS2662" i="3"/>
  <c r="DS2661" i="3"/>
  <c r="DS2660" i="3"/>
  <c r="DS2659" i="3"/>
  <c r="DS2658" i="3"/>
  <c r="DS2657" i="3"/>
  <c r="DS2656" i="3"/>
  <c r="DS2655" i="3"/>
  <c r="DS2654" i="3"/>
  <c r="DS2653" i="3"/>
  <c r="DS2652" i="3"/>
  <c r="DS2651" i="3"/>
  <c r="DS2650" i="3"/>
  <c r="DS2649" i="3"/>
  <c r="DS2648" i="3"/>
  <c r="DS2647" i="3"/>
  <c r="DS2646" i="3"/>
  <c r="DS2645" i="3"/>
  <c r="DS2644" i="3"/>
  <c r="DS2643" i="3"/>
  <c r="DS2642" i="3"/>
  <c r="DS2641" i="3"/>
  <c r="DS2640" i="3"/>
  <c r="DS2639" i="3"/>
  <c r="DS2638" i="3"/>
  <c r="DS2637" i="3"/>
  <c r="DS2636" i="3"/>
  <c r="DS2635" i="3"/>
  <c r="DS2634" i="3"/>
  <c r="DS2633" i="3"/>
  <c r="DS2632" i="3"/>
  <c r="DS2631" i="3"/>
  <c r="DS2630" i="3"/>
  <c r="DS2629" i="3"/>
  <c r="DS2628" i="3"/>
  <c r="DS2627" i="3"/>
  <c r="DS2626" i="3"/>
  <c r="DS2625" i="3"/>
  <c r="DS2624" i="3"/>
  <c r="DS2623" i="3"/>
  <c r="DS2622" i="3"/>
  <c r="DS2621" i="3"/>
  <c r="DS2620" i="3"/>
  <c r="DS2619" i="3"/>
  <c r="DS2618" i="3"/>
  <c r="DS2617" i="3"/>
  <c r="DS2616" i="3"/>
  <c r="DS2615" i="3"/>
  <c r="DS2614" i="3"/>
  <c r="DS2613" i="3"/>
  <c r="DS2612" i="3"/>
  <c r="DS2611" i="3"/>
  <c r="DS2610" i="3"/>
  <c r="DS2609" i="3"/>
  <c r="DS2608" i="3"/>
  <c r="DS2607" i="3"/>
  <c r="DS2606" i="3"/>
  <c r="DS2605" i="3"/>
  <c r="DS2604" i="3"/>
  <c r="DS2603" i="3"/>
  <c r="DS2602" i="3"/>
  <c r="DS2601" i="3"/>
  <c r="DS2600" i="3"/>
  <c r="DS2599" i="3"/>
  <c r="DS2598" i="3"/>
  <c r="DS2597" i="3"/>
  <c r="DS2596" i="3"/>
  <c r="DS2595" i="3"/>
  <c r="DS2594" i="3"/>
  <c r="DS2593" i="3"/>
  <c r="DS2592" i="3"/>
  <c r="DS2591" i="3"/>
  <c r="DS2590" i="3"/>
  <c r="DS2589" i="3"/>
  <c r="DS2588" i="3"/>
  <c r="DS2587" i="3"/>
  <c r="DS2586" i="3"/>
  <c r="DS2585" i="3"/>
  <c r="DS2584" i="3"/>
  <c r="DS2583" i="3"/>
  <c r="DS2582" i="3"/>
  <c r="DS2581" i="3"/>
  <c r="DS2580" i="3"/>
  <c r="DS2579" i="3"/>
  <c r="DS2578" i="3"/>
  <c r="DS2577" i="3"/>
  <c r="DS2576" i="3"/>
  <c r="DS2575" i="3"/>
  <c r="DS2574" i="3"/>
  <c r="DS2573" i="3"/>
  <c r="DS2572" i="3"/>
  <c r="DS2571" i="3"/>
  <c r="DS2570" i="3"/>
  <c r="DS2569" i="3"/>
  <c r="DS2568" i="3"/>
  <c r="DS2567" i="3"/>
  <c r="DS2566" i="3"/>
  <c r="DS2565" i="3"/>
  <c r="DS2564" i="3"/>
  <c r="DS2563" i="3"/>
  <c r="DS2562" i="3"/>
  <c r="DS2561" i="3"/>
  <c r="DS2560" i="3"/>
  <c r="DS2559" i="3"/>
  <c r="DS2558" i="3"/>
  <c r="DS2557" i="3"/>
  <c r="DS2556" i="3"/>
  <c r="DS2555" i="3"/>
  <c r="DS2554" i="3"/>
  <c r="DS2553" i="3"/>
  <c r="DS2552" i="3"/>
  <c r="DS2551" i="3"/>
  <c r="DS2550" i="3"/>
  <c r="DS2549" i="3"/>
  <c r="DS2548" i="3"/>
  <c r="DS2547" i="3"/>
  <c r="DS2546" i="3"/>
  <c r="DS2545" i="3"/>
  <c r="DS2544" i="3"/>
  <c r="DS2543" i="3"/>
  <c r="DS2542" i="3"/>
  <c r="DS2541" i="3"/>
  <c r="DS2540" i="3"/>
  <c r="DS2539" i="3"/>
  <c r="DS2538" i="3"/>
  <c r="DS2537" i="3"/>
  <c r="DS2536" i="3"/>
  <c r="DS2535" i="3"/>
  <c r="DS2534" i="3"/>
  <c r="DS2533" i="3"/>
  <c r="DS2532" i="3"/>
  <c r="DS2531" i="3"/>
  <c r="DS2530" i="3"/>
  <c r="DS2529" i="3"/>
  <c r="DS2528" i="3"/>
  <c r="DS2527" i="3"/>
  <c r="DS2526" i="3"/>
  <c r="DS2525" i="3"/>
  <c r="DS2524" i="3"/>
  <c r="DS2523" i="3"/>
  <c r="DS2522" i="3"/>
  <c r="DS2521" i="3"/>
  <c r="DS2520" i="3"/>
  <c r="DS2519" i="3"/>
  <c r="DS2518" i="3"/>
  <c r="DS2517" i="3"/>
  <c r="DS2516" i="3"/>
  <c r="DS2515" i="3"/>
  <c r="DS2514" i="3"/>
  <c r="DS2513" i="3"/>
  <c r="DS2512" i="3"/>
  <c r="DS2511" i="3"/>
  <c r="DS2510" i="3"/>
  <c r="DS2509" i="3"/>
  <c r="DS2508" i="3"/>
  <c r="DS2507" i="3"/>
  <c r="DS2506" i="3"/>
  <c r="DS2505" i="3"/>
  <c r="DS2504" i="3"/>
  <c r="DS2503" i="3"/>
  <c r="DS2502" i="3"/>
  <c r="DS2501" i="3"/>
  <c r="DS2500" i="3"/>
  <c r="DS2499" i="3"/>
  <c r="DS2498" i="3"/>
  <c r="DS2497" i="3"/>
  <c r="DS2496" i="3"/>
  <c r="DS2495" i="3"/>
  <c r="DS2494" i="3"/>
  <c r="DS2493" i="3"/>
  <c r="DS2492" i="3"/>
  <c r="DS2491" i="3"/>
  <c r="DS2490" i="3"/>
  <c r="DS2489" i="3"/>
  <c r="DS2488" i="3"/>
  <c r="DS2487" i="3"/>
  <c r="DS2486" i="3"/>
  <c r="DS2485" i="3"/>
  <c r="DS2484" i="3"/>
  <c r="DS2483" i="3"/>
  <c r="DS2482" i="3"/>
  <c r="DS2481" i="3"/>
  <c r="DS2480" i="3"/>
  <c r="DS2479" i="3"/>
  <c r="DS2478" i="3"/>
  <c r="DS2477" i="3"/>
  <c r="DS2476" i="3"/>
  <c r="DS2475" i="3"/>
  <c r="DS2474" i="3"/>
  <c r="DS2473" i="3"/>
  <c r="DS2472" i="3"/>
  <c r="DS2471" i="3"/>
  <c r="DS2470" i="3"/>
  <c r="DS2469" i="3"/>
  <c r="DS2468" i="3"/>
  <c r="DS2467" i="3"/>
  <c r="DS2466" i="3"/>
  <c r="DS2465" i="3"/>
  <c r="DS2464" i="3"/>
  <c r="DS2463" i="3"/>
  <c r="DS2462" i="3"/>
  <c r="DS2461" i="3"/>
  <c r="DS2460" i="3"/>
  <c r="DS2459" i="3"/>
  <c r="DS2458" i="3"/>
  <c r="DS2457" i="3"/>
  <c r="DS2456" i="3"/>
  <c r="DS2455" i="3"/>
  <c r="DS2454" i="3"/>
  <c r="DS2453" i="3"/>
  <c r="DS2452" i="3"/>
  <c r="DS2451" i="3"/>
  <c r="DS2450" i="3"/>
  <c r="DS2449" i="3"/>
  <c r="DS2448" i="3"/>
  <c r="DS2447" i="3"/>
  <c r="DS2446" i="3"/>
  <c r="DS2445" i="3"/>
  <c r="DS2444" i="3"/>
  <c r="DS2443" i="3"/>
  <c r="DS2442" i="3"/>
  <c r="DS2441" i="3"/>
  <c r="DS2440" i="3"/>
  <c r="DS2439" i="3"/>
  <c r="DS2438" i="3"/>
  <c r="DS2437" i="3"/>
  <c r="DS2436" i="3"/>
  <c r="DS2435" i="3"/>
  <c r="DS2434" i="3"/>
  <c r="DS2433" i="3"/>
  <c r="DS2432" i="3"/>
  <c r="DS2431" i="3"/>
  <c r="DS2430" i="3"/>
  <c r="DS2429" i="3"/>
  <c r="DS2428" i="3"/>
  <c r="DS2427" i="3"/>
  <c r="DS2426" i="3"/>
  <c r="DS2425" i="3"/>
  <c r="DS2424" i="3"/>
  <c r="DS2423" i="3"/>
  <c r="DS2422" i="3"/>
  <c r="DS2421" i="3"/>
  <c r="DS2420" i="3"/>
  <c r="DS2419" i="3"/>
  <c r="DS2418" i="3"/>
  <c r="DS2417" i="3"/>
  <c r="DS2416" i="3"/>
  <c r="DS2415" i="3"/>
  <c r="DS2414" i="3"/>
  <c r="DS2413" i="3"/>
  <c r="DS2412" i="3"/>
  <c r="DS2411" i="3"/>
  <c r="DS2410" i="3"/>
  <c r="DS2409" i="3"/>
  <c r="DS2408" i="3"/>
  <c r="DS2407" i="3"/>
  <c r="DS2406" i="3"/>
  <c r="DS2405" i="3"/>
  <c r="DS2404" i="3"/>
  <c r="DS2403" i="3"/>
  <c r="DS2402" i="3"/>
  <c r="DS2401" i="3"/>
  <c r="DS2400" i="3"/>
  <c r="DS2399" i="3"/>
  <c r="DS2398" i="3"/>
  <c r="DS2397" i="3"/>
  <c r="DS2396" i="3"/>
  <c r="DS2395" i="3"/>
  <c r="DS2394" i="3"/>
  <c r="DS2393" i="3"/>
  <c r="DS2392" i="3"/>
  <c r="DS2391" i="3"/>
  <c r="DS2390" i="3"/>
  <c r="DS2389" i="3"/>
  <c r="DS2388" i="3"/>
  <c r="DS2387" i="3"/>
  <c r="DS2386" i="3"/>
  <c r="DS2385" i="3"/>
  <c r="DS2384" i="3"/>
  <c r="DS2383" i="3"/>
  <c r="DS2382" i="3"/>
  <c r="DS2381" i="3"/>
  <c r="DS2380" i="3"/>
  <c r="DS2379" i="3"/>
  <c r="DS2378" i="3"/>
  <c r="DS2377" i="3"/>
  <c r="DS2376" i="3"/>
  <c r="DS2375" i="3"/>
  <c r="DS2374" i="3"/>
  <c r="DS2373" i="3"/>
  <c r="DS2372" i="3"/>
  <c r="DS2371" i="3"/>
  <c r="DS2370" i="3"/>
  <c r="DS2369" i="3"/>
  <c r="DS2368" i="3"/>
  <c r="DS2367" i="3"/>
  <c r="DS2366" i="3"/>
  <c r="DS2365" i="3"/>
  <c r="DS2364" i="3"/>
  <c r="DS2363" i="3"/>
  <c r="DS2362" i="3"/>
  <c r="DS2361" i="3"/>
  <c r="DS2360" i="3"/>
  <c r="DS2359" i="3"/>
  <c r="DS2358" i="3"/>
  <c r="DS2357" i="3"/>
  <c r="DS2356" i="3"/>
  <c r="DS2355" i="3"/>
  <c r="DS2354" i="3"/>
  <c r="DS2353" i="3"/>
  <c r="DS2352" i="3"/>
  <c r="DS2351" i="3"/>
  <c r="DS2350" i="3"/>
  <c r="DS2349" i="3"/>
  <c r="DS2348" i="3"/>
  <c r="DS2347" i="3"/>
  <c r="DS2346" i="3"/>
  <c r="DS2345" i="3"/>
  <c r="DS2344" i="3"/>
  <c r="DS2343" i="3"/>
  <c r="DS2342" i="3"/>
  <c r="DS2341" i="3"/>
  <c r="DS2340" i="3"/>
  <c r="DS2339" i="3"/>
  <c r="DS2338" i="3"/>
  <c r="DS2337" i="3"/>
  <c r="DS2336" i="3"/>
  <c r="DS2335" i="3"/>
  <c r="DS2334" i="3"/>
  <c r="DS2333" i="3"/>
  <c r="DS2332" i="3"/>
  <c r="DS2331" i="3"/>
  <c r="DS2330" i="3"/>
  <c r="DS2329" i="3"/>
  <c r="DS2328" i="3"/>
  <c r="DS2327" i="3"/>
  <c r="DS2326" i="3"/>
  <c r="DS2325" i="3"/>
  <c r="DS2324" i="3"/>
  <c r="DS2323" i="3"/>
  <c r="DS2322" i="3"/>
  <c r="DS2321" i="3"/>
  <c r="DS2320" i="3"/>
  <c r="DS2319" i="3"/>
  <c r="DS2318" i="3"/>
  <c r="DS2317" i="3"/>
  <c r="DS2316" i="3"/>
  <c r="DS2315" i="3"/>
  <c r="DS2314" i="3"/>
  <c r="DS2313" i="3"/>
  <c r="DS2312" i="3"/>
  <c r="DS2311" i="3"/>
  <c r="DS2310" i="3"/>
  <c r="DS2309" i="3"/>
  <c r="DS2308" i="3"/>
  <c r="DS2307" i="3"/>
  <c r="DS2306" i="3"/>
  <c r="DS2305" i="3"/>
  <c r="DS2304" i="3"/>
  <c r="DS2303" i="3"/>
  <c r="DS2302" i="3"/>
  <c r="DS2301" i="3"/>
  <c r="DS2300" i="3"/>
  <c r="DS2299" i="3"/>
  <c r="DS2298" i="3"/>
  <c r="DS2297" i="3"/>
  <c r="DS2296" i="3"/>
  <c r="DS2295" i="3"/>
  <c r="DS2294" i="3"/>
  <c r="DS2293" i="3"/>
  <c r="DS2292" i="3"/>
  <c r="DS2291" i="3"/>
  <c r="DS2290" i="3"/>
  <c r="DS2289" i="3"/>
  <c r="DS2288" i="3"/>
  <c r="DS2287" i="3"/>
  <c r="DS2286" i="3"/>
  <c r="DS2285" i="3"/>
  <c r="DS2284" i="3"/>
  <c r="DS2283" i="3"/>
  <c r="DS2282" i="3"/>
  <c r="DS2281" i="3"/>
  <c r="DS2280" i="3"/>
  <c r="DS2279" i="3"/>
  <c r="DS2278" i="3"/>
  <c r="DS2277" i="3"/>
  <c r="DS2276" i="3"/>
  <c r="DS2275" i="3"/>
  <c r="DS2274" i="3"/>
  <c r="DS2273" i="3"/>
  <c r="DS2272" i="3"/>
  <c r="DS2271" i="3"/>
  <c r="DS2270" i="3"/>
  <c r="DS2269" i="3"/>
  <c r="DS2268" i="3"/>
  <c r="DS2267" i="3"/>
  <c r="DS2266" i="3"/>
  <c r="DS2265" i="3"/>
  <c r="DS2264" i="3"/>
  <c r="DS2263" i="3"/>
  <c r="DS2262" i="3"/>
  <c r="DS2261" i="3"/>
  <c r="DS2260" i="3"/>
  <c r="DS2259" i="3"/>
  <c r="DS2258" i="3"/>
  <c r="DS2257" i="3"/>
  <c r="DS2256" i="3"/>
  <c r="DS2255" i="3"/>
  <c r="DS2254" i="3"/>
  <c r="DS2253" i="3"/>
  <c r="DS2252" i="3"/>
  <c r="DS2251" i="3"/>
  <c r="DS2250" i="3"/>
  <c r="DS2249" i="3"/>
  <c r="DS2248" i="3"/>
  <c r="DS2247" i="3"/>
  <c r="DS2246" i="3"/>
  <c r="DS2245" i="3"/>
  <c r="DS2244" i="3"/>
  <c r="DS2243" i="3"/>
  <c r="DS2242" i="3"/>
  <c r="DS2241" i="3"/>
  <c r="DS2240" i="3"/>
  <c r="DS2239" i="3"/>
  <c r="DS2238" i="3"/>
  <c r="DS2237" i="3"/>
  <c r="DS2236" i="3"/>
  <c r="DS2235" i="3"/>
  <c r="DS2234" i="3"/>
  <c r="DS2233" i="3"/>
  <c r="DS2232" i="3"/>
  <c r="DS2231" i="3"/>
  <c r="DS2230" i="3"/>
  <c r="DS2229" i="3"/>
  <c r="DS2228" i="3"/>
  <c r="DS2227" i="3"/>
  <c r="DS2226" i="3"/>
  <c r="DS2225" i="3"/>
  <c r="DS2224" i="3"/>
  <c r="DS2223" i="3"/>
  <c r="DS2222" i="3"/>
  <c r="DS2221" i="3"/>
  <c r="DS2220" i="3"/>
  <c r="DS2219" i="3"/>
  <c r="DS2218" i="3"/>
  <c r="DS2217" i="3"/>
  <c r="DS2216" i="3"/>
  <c r="DS2215" i="3"/>
  <c r="DS2214" i="3"/>
  <c r="DS2213" i="3"/>
  <c r="DS2212" i="3"/>
  <c r="DS2211" i="3"/>
  <c r="DS2210" i="3"/>
  <c r="DS2209" i="3"/>
  <c r="DS2208" i="3"/>
  <c r="DS2207" i="3"/>
  <c r="DS2206" i="3"/>
  <c r="DS2205" i="3"/>
  <c r="DS2204" i="3"/>
  <c r="DS2203" i="3"/>
  <c r="DS2202" i="3"/>
  <c r="DS2201" i="3"/>
  <c r="DS2200" i="3"/>
  <c r="DS2199" i="3"/>
  <c r="DS2198" i="3"/>
  <c r="DS2197" i="3"/>
  <c r="DS2196" i="3"/>
  <c r="DS2195" i="3"/>
  <c r="DS2194" i="3"/>
  <c r="DS2193" i="3"/>
  <c r="DS2192" i="3"/>
  <c r="DS2191" i="3"/>
  <c r="DS2190" i="3"/>
  <c r="DS2189" i="3"/>
  <c r="DS2188" i="3"/>
  <c r="DS2187" i="3"/>
  <c r="DS2186" i="3"/>
  <c r="DS2185" i="3"/>
  <c r="DS2184" i="3"/>
  <c r="DS2183" i="3"/>
  <c r="DS2182" i="3"/>
  <c r="DS2181" i="3"/>
  <c r="DS2180" i="3"/>
  <c r="DS2179" i="3"/>
  <c r="DS2178" i="3"/>
  <c r="DS2177" i="3"/>
  <c r="DS2176" i="3"/>
  <c r="DS2175" i="3"/>
  <c r="DS2174" i="3"/>
  <c r="DS2173" i="3"/>
  <c r="DS2172" i="3"/>
  <c r="DS2171" i="3"/>
  <c r="DS2170" i="3"/>
  <c r="DS2169" i="3"/>
  <c r="DS2168" i="3"/>
  <c r="DS2167" i="3"/>
  <c r="DS2166" i="3"/>
  <c r="DS2165" i="3"/>
  <c r="DS2164" i="3"/>
  <c r="DS2163" i="3"/>
  <c r="DS2162" i="3"/>
  <c r="DS2161" i="3"/>
  <c r="DS2160" i="3"/>
  <c r="DS2159" i="3"/>
  <c r="DS2158" i="3"/>
  <c r="DS2157" i="3"/>
  <c r="DS2156" i="3"/>
  <c r="DS2155" i="3"/>
  <c r="DS2154" i="3"/>
  <c r="DS2153" i="3"/>
  <c r="DS2152" i="3"/>
  <c r="DS2151" i="3"/>
  <c r="DS2150" i="3"/>
  <c r="DS2149" i="3"/>
  <c r="DS2148" i="3"/>
  <c r="DS2147" i="3"/>
  <c r="DS2146" i="3"/>
  <c r="DS2145" i="3"/>
  <c r="DS2144" i="3"/>
  <c r="DS2143" i="3"/>
  <c r="DS2142" i="3"/>
  <c r="DS2141" i="3"/>
  <c r="DS2140" i="3"/>
  <c r="DS2139" i="3"/>
  <c r="DS2138" i="3"/>
  <c r="DS2137" i="3"/>
  <c r="DS2136" i="3"/>
  <c r="DS2135" i="3"/>
  <c r="DS2134" i="3"/>
  <c r="DS2133" i="3"/>
  <c r="DS2132" i="3"/>
  <c r="DS2131" i="3"/>
  <c r="DS2130" i="3"/>
  <c r="DS2129" i="3"/>
  <c r="DS2128" i="3"/>
  <c r="DS2127" i="3"/>
  <c r="DS2126" i="3"/>
  <c r="DS2125" i="3"/>
  <c r="DS2124" i="3"/>
  <c r="DS2123" i="3"/>
  <c r="DS2122" i="3"/>
  <c r="DS2121" i="3"/>
  <c r="DS2120" i="3"/>
  <c r="DS2119" i="3"/>
  <c r="DS2118" i="3"/>
  <c r="DS2117" i="3"/>
  <c r="DS2116" i="3"/>
  <c r="DS2115" i="3"/>
  <c r="DS2114" i="3"/>
  <c r="DS2113" i="3"/>
  <c r="DS2112" i="3"/>
  <c r="DS2111" i="3"/>
  <c r="DS2110" i="3"/>
  <c r="DS2109" i="3"/>
  <c r="DS2108" i="3"/>
  <c r="DS2107" i="3"/>
  <c r="DS2106" i="3"/>
  <c r="DS2105" i="3"/>
  <c r="DS2104" i="3"/>
  <c r="DS2103" i="3"/>
  <c r="DS2102" i="3"/>
  <c r="DS2101" i="3"/>
  <c r="DS2100" i="3"/>
  <c r="DS2099" i="3"/>
  <c r="DS2098" i="3"/>
  <c r="DS2097" i="3"/>
  <c r="DS2096" i="3"/>
  <c r="DS2095" i="3"/>
  <c r="DS2094" i="3"/>
  <c r="DS2093" i="3"/>
  <c r="DS2092" i="3"/>
  <c r="DS2091" i="3"/>
  <c r="DS2090" i="3"/>
  <c r="DS2089" i="3"/>
  <c r="DS2088" i="3"/>
  <c r="DS2087" i="3"/>
  <c r="DS2086" i="3"/>
  <c r="DS2085" i="3"/>
  <c r="DS2084" i="3"/>
  <c r="DS2083" i="3"/>
  <c r="DS2082" i="3"/>
  <c r="DS2081" i="3"/>
  <c r="DS2080" i="3"/>
  <c r="DS2079" i="3"/>
  <c r="DS2078" i="3"/>
  <c r="DS2077" i="3"/>
  <c r="DS2076" i="3"/>
  <c r="DS2075" i="3"/>
  <c r="DS2074" i="3"/>
  <c r="DS2073" i="3"/>
  <c r="DS2072" i="3"/>
  <c r="DS2071" i="3"/>
  <c r="DS2070" i="3"/>
  <c r="DS2069" i="3"/>
  <c r="DS2068" i="3"/>
  <c r="DS2067" i="3"/>
  <c r="DS2066" i="3"/>
  <c r="DS2065" i="3"/>
  <c r="DS2064" i="3"/>
  <c r="DS2063" i="3"/>
  <c r="DS2062" i="3"/>
  <c r="DS2061" i="3"/>
  <c r="DS2060" i="3"/>
  <c r="DS2059" i="3"/>
  <c r="DS2058" i="3"/>
  <c r="DS2057" i="3"/>
  <c r="DS2056" i="3"/>
  <c r="DS2055" i="3"/>
  <c r="DS2054" i="3"/>
  <c r="DS2053" i="3"/>
  <c r="DS2052" i="3"/>
  <c r="DS2051" i="3"/>
  <c r="DS2050" i="3"/>
  <c r="DS2049" i="3"/>
  <c r="DS2048" i="3"/>
  <c r="DS2047" i="3"/>
  <c r="DS2046" i="3"/>
  <c r="DS2045" i="3"/>
  <c r="DS2044" i="3"/>
  <c r="DS2043" i="3"/>
  <c r="DS2042" i="3"/>
  <c r="DS2041" i="3"/>
  <c r="DS2040" i="3"/>
  <c r="DS2039" i="3"/>
  <c r="DS2038" i="3"/>
  <c r="DS2037" i="3"/>
  <c r="DS2036" i="3"/>
  <c r="DS2035" i="3"/>
  <c r="DS2034" i="3"/>
  <c r="DS2033" i="3"/>
  <c r="DS2032" i="3"/>
  <c r="DS2031" i="3"/>
  <c r="DS2030" i="3"/>
  <c r="DS2029" i="3"/>
  <c r="DS2028" i="3"/>
  <c r="DS2027" i="3"/>
  <c r="DS2026" i="3"/>
  <c r="DS2025" i="3"/>
  <c r="DS2024" i="3"/>
  <c r="DS2023" i="3"/>
  <c r="DS2022" i="3"/>
  <c r="DS2021" i="3"/>
  <c r="DS2020" i="3"/>
  <c r="DS2019" i="3"/>
  <c r="DS2018" i="3"/>
  <c r="DS2017" i="3"/>
  <c r="DS2016" i="3"/>
  <c r="DS2015" i="3"/>
  <c r="DS2014" i="3"/>
  <c r="DS2013" i="3"/>
  <c r="DS2012" i="3"/>
  <c r="DS2011" i="3"/>
  <c r="DS2010" i="3"/>
  <c r="DS2009" i="3"/>
  <c r="DS2008" i="3"/>
  <c r="DS2007" i="3"/>
  <c r="DS2006" i="3"/>
  <c r="DS2005" i="3"/>
  <c r="DS2004" i="3"/>
  <c r="DS2003" i="3"/>
  <c r="DS2002" i="3"/>
  <c r="DS2001" i="3"/>
  <c r="DS2000" i="3"/>
  <c r="DS1999" i="3"/>
  <c r="DS1998" i="3"/>
  <c r="DS1997" i="3"/>
  <c r="DS1996" i="3"/>
  <c r="DS1995" i="3"/>
  <c r="DS1994" i="3"/>
  <c r="DS1993" i="3"/>
  <c r="DS1992" i="3"/>
  <c r="DS1991" i="3"/>
  <c r="DS1990" i="3"/>
  <c r="DS1989" i="3"/>
  <c r="DS1988" i="3"/>
  <c r="DS1987" i="3"/>
  <c r="DS1986" i="3"/>
  <c r="DS1985" i="3"/>
  <c r="DS1984" i="3"/>
  <c r="DS1983" i="3"/>
  <c r="DS1982" i="3"/>
  <c r="DS1981" i="3"/>
  <c r="DS1980" i="3"/>
  <c r="DS1979" i="3"/>
  <c r="DS1978" i="3"/>
  <c r="DS1977" i="3"/>
  <c r="DS1976" i="3"/>
  <c r="DS1975" i="3"/>
  <c r="DS1974" i="3"/>
  <c r="DS1973" i="3"/>
  <c r="DS1972" i="3"/>
  <c r="DS1971" i="3"/>
  <c r="DS1970" i="3"/>
  <c r="DS1969" i="3"/>
  <c r="DS1968" i="3"/>
  <c r="DS1967" i="3"/>
  <c r="DS1966" i="3"/>
  <c r="DS1965" i="3"/>
  <c r="DS1964" i="3"/>
  <c r="DS1963" i="3"/>
  <c r="DS1962" i="3"/>
  <c r="DS1961" i="3"/>
  <c r="DS1960" i="3"/>
  <c r="DS1959" i="3"/>
  <c r="DS1958" i="3"/>
  <c r="DS1957" i="3"/>
  <c r="DS1956" i="3"/>
  <c r="DS1955" i="3"/>
  <c r="DS1954" i="3"/>
  <c r="DS1953" i="3"/>
  <c r="DS1952" i="3"/>
  <c r="DS1951" i="3"/>
  <c r="DS1950" i="3"/>
  <c r="DS1949" i="3"/>
  <c r="DS1948" i="3"/>
  <c r="DS1947" i="3"/>
  <c r="DS1946" i="3"/>
  <c r="DS1945" i="3"/>
  <c r="DS1944" i="3"/>
  <c r="DS1943" i="3"/>
  <c r="DS1942" i="3"/>
  <c r="DS1941" i="3"/>
  <c r="DS1940" i="3"/>
  <c r="DS1939" i="3"/>
  <c r="DS1938" i="3"/>
  <c r="DS1937" i="3"/>
  <c r="DS1936" i="3"/>
  <c r="DS1935" i="3"/>
  <c r="DS1934" i="3"/>
  <c r="DS1933" i="3"/>
  <c r="DS1932" i="3"/>
  <c r="DS1931" i="3"/>
  <c r="DS1930" i="3"/>
  <c r="DS1929" i="3"/>
  <c r="DS1928" i="3"/>
  <c r="DS1927" i="3"/>
  <c r="DS1926" i="3"/>
  <c r="DS1925" i="3"/>
  <c r="DS1924" i="3"/>
  <c r="DS1923" i="3"/>
  <c r="DS1922" i="3"/>
  <c r="DS1921" i="3"/>
  <c r="DS1920" i="3"/>
  <c r="DS1919" i="3"/>
  <c r="DS1918" i="3"/>
  <c r="DS1917" i="3"/>
  <c r="DS1916" i="3"/>
  <c r="DS1915" i="3"/>
  <c r="DS1914" i="3"/>
  <c r="DS1913" i="3"/>
  <c r="DS1912" i="3"/>
  <c r="DS1911" i="3"/>
  <c r="DS1910" i="3"/>
  <c r="DS1909" i="3"/>
  <c r="DS1908" i="3"/>
  <c r="DS1907" i="3"/>
  <c r="DS1906" i="3"/>
  <c r="DS1905" i="3"/>
  <c r="DS1904" i="3"/>
  <c r="DS1903" i="3"/>
  <c r="DS1902" i="3"/>
  <c r="DS1901" i="3"/>
  <c r="DS1900" i="3"/>
  <c r="DS1899" i="3"/>
  <c r="DS1898" i="3"/>
  <c r="DS1897" i="3"/>
  <c r="DS1896" i="3"/>
  <c r="DS1895" i="3"/>
  <c r="DS1894" i="3"/>
  <c r="DS1893" i="3"/>
  <c r="DS1892" i="3"/>
  <c r="DS1891" i="3"/>
  <c r="DS1890" i="3"/>
  <c r="DS1889" i="3"/>
  <c r="DS1888" i="3"/>
  <c r="DS1887" i="3"/>
  <c r="DS1886" i="3"/>
  <c r="DS1885" i="3"/>
  <c r="DS1884" i="3"/>
  <c r="DS1806" i="3"/>
  <c r="DS1805" i="3"/>
  <c r="DS1804" i="3"/>
  <c r="DS1803" i="3"/>
  <c r="DS1802" i="3"/>
  <c r="DS1801" i="3"/>
  <c r="DS1800" i="3"/>
  <c r="DS1799" i="3"/>
  <c r="DS1798" i="3"/>
  <c r="DS1797" i="3"/>
  <c r="DS1796" i="3"/>
  <c r="DS1795" i="3"/>
  <c r="DS1794" i="3"/>
  <c r="DS1793" i="3"/>
  <c r="DS1792" i="3"/>
  <c r="DS1791" i="3"/>
  <c r="DS1790" i="3"/>
  <c r="DS1789" i="3"/>
  <c r="DS1788" i="3"/>
  <c r="DS1787" i="3"/>
  <c r="DS1786" i="3"/>
  <c r="DS1785" i="3"/>
  <c r="DS1784" i="3"/>
  <c r="DS1783" i="3"/>
  <c r="DS1782" i="3"/>
  <c r="DS1781" i="3"/>
  <c r="DS1780" i="3"/>
  <c r="DS1779" i="3"/>
  <c r="DS1778" i="3"/>
  <c r="DS1777" i="3"/>
  <c r="DS1776" i="3"/>
  <c r="DS1775" i="3"/>
  <c r="DS1774" i="3"/>
  <c r="DS1773" i="3"/>
  <c r="DS1772" i="3"/>
  <c r="DS1771" i="3"/>
  <c r="DS1770" i="3"/>
  <c r="DS1769" i="3"/>
  <c r="DS1768" i="3"/>
  <c r="DS1767" i="3"/>
  <c r="DS1766" i="3"/>
  <c r="DS1765" i="3"/>
  <c r="DS1764" i="3"/>
  <c r="DS1763" i="3"/>
  <c r="DS1762" i="3"/>
  <c r="DS1761" i="3"/>
  <c r="DS1760" i="3"/>
  <c r="DS1759" i="3"/>
  <c r="DS1758" i="3"/>
  <c r="DS1757" i="3"/>
  <c r="DS1756" i="3"/>
  <c r="DS1755" i="3"/>
  <c r="DS1754" i="3"/>
  <c r="DS1753" i="3"/>
  <c r="DS1752" i="3"/>
  <c r="DS1751" i="3"/>
  <c r="DS1750" i="3"/>
  <c r="DS1749" i="3"/>
  <c r="DS1748" i="3"/>
  <c r="DS1747" i="3"/>
  <c r="DS1746" i="3"/>
  <c r="DS1745" i="3"/>
  <c r="DS1744" i="3"/>
  <c r="DS1743" i="3"/>
  <c r="DS1742" i="3"/>
  <c r="DS1741" i="3"/>
  <c r="DS1740" i="3"/>
  <c r="DS1739" i="3"/>
  <c r="DS1738" i="3"/>
  <c r="DS1737" i="3"/>
  <c r="DS1736" i="3"/>
  <c r="DS1735" i="3"/>
  <c r="DS1734" i="3"/>
  <c r="DS1733" i="3"/>
  <c r="DS1732" i="3"/>
  <c r="DS1731" i="3"/>
  <c r="DS1730" i="3"/>
  <c r="DS1729" i="3"/>
  <c r="DS1728" i="3"/>
  <c r="DS1727" i="3"/>
  <c r="DS1726" i="3"/>
  <c r="DS1725" i="3"/>
  <c r="DS1724" i="3"/>
  <c r="DS1723" i="3"/>
  <c r="DS1722" i="3"/>
  <c r="DS1721" i="3"/>
  <c r="DS1720" i="3"/>
  <c r="DS1719" i="3"/>
  <c r="DS1718" i="3"/>
  <c r="DS1717" i="3"/>
  <c r="DS1716" i="3"/>
  <c r="DS1715" i="3"/>
  <c r="DS1714" i="3"/>
  <c r="DS1713" i="3"/>
  <c r="DS1712" i="3"/>
  <c r="DS1711" i="3"/>
  <c r="DS1710" i="3"/>
  <c r="DS1709" i="3"/>
  <c r="DS1708" i="3"/>
  <c r="DS1707" i="3"/>
  <c r="DS1706" i="3"/>
  <c r="DS1705" i="3"/>
  <c r="DS1704" i="3"/>
  <c r="DS1703" i="3"/>
  <c r="DS1702" i="3"/>
  <c r="DS1701" i="3"/>
  <c r="DS1700" i="3"/>
  <c r="DS1699" i="3"/>
  <c r="DS1698" i="3"/>
  <c r="DS1697" i="3"/>
  <c r="DS1696" i="3"/>
  <c r="DS1695" i="3"/>
  <c r="DS1694" i="3"/>
  <c r="DS1693" i="3"/>
  <c r="DS1692" i="3"/>
  <c r="DS1691" i="3"/>
  <c r="DS1690" i="3"/>
  <c r="DS1689" i="3"/>
  <c r="DS1688" i="3"/>
  <c r="DS1687" i="3"/>
  <c r="DS1686" i="3"/>
  <c r="DS1685" i="3"/>
  <c r="DS1684" i="3"/>
  <c r="DS1683" i="3"/>
  <c r="DS1682" i="3"/>
  <c r="DS1681" i="3"/>
  <c r="DS1680" i="3"/>
  <c r="DS1679" i="3"/>
  <c r="DS1678" i="3"/>
  <c r="DS1677" i="3"/>
  <c r="DS1676" i="3"/>
  <c r="DS1675" i="3"/>
  <c r="DS1674" i="3"/>
  <c r="DS1673" i="3"/>
  <c r="DS1672" i="3"/>
  <c r="DS1671" i="3"/>
  <c r="DS1670" i="3"/>
  <c r="DS1669" i="3"/>
  <c r="DS1668" i="3"/>
  <c r="DS1667" i="3"/>
  <c r="DS1666" i="3"/>
  <c r="DS1665" i="3"/>
  <c r="DS1664" i="3"/>
  <c r="DS1663" i="3"/>
  <c r="DS1662" i="3"/>
  <c r="DS1661" i="3"/>
  <c r="DS1660" i="3"/>
  <c r="DS1659" i="3"/>
  <c r="DS1658" i="3"/>
  <c r="DS1657" i="3"/>
  <c r="DS1656" i="3"/>
  <c r="DS1655" i="3"/>
  <c r="DS1654" i="3"/>
  <c r="DS1653" i="3"/>
  <c r="DS1652" i="3"/>
  <c r="DS1651" i="3"/>
  <c r="DS1650" i="3"/>
  <c r="DS1649" i="3"/>
  <c r="DS1648" i="3"/>
  <c r="DS1647" i="3"/>
  <c r="DS1646" i="3"/>
  <c r="DS1645" i="3"/>
  <c r="DS1644" i="3"/>
  <c r="DS1643" i="3"/>
  <c r="DS1642" i="3"/>
  <c r="DS1641" i="3"/>
  <c r="DS1640" i="3"/>
  <c r="DS1639" i="3"/>
  <c r="DS1638" i="3"/>
  <c r="DS1637" i="3"/>
  <c r="DS1636" i="3"/>
  <c r="DS1635" i="3"/>
  <c r="DS1634" i="3"/>
  <c r="DS1633" i="3"/>
  <c r="DS1632" i="3"/>
  <c r="DS1631" i="3"/>
  <c r="DS1630" i="3"/>
  <c r="DS1629" i="3"/>
  <c r="DS1628" i="3"/>
  <c r="DS1627" i="3"/>
  <c r="DS1626" i="3"/>
  <c r="DS1625" i="3"/>
  <c r="DS1624" i="3"/>
  <c r="DS1623" i="3"/>
  <c r="DS1622" i="3"/>
  <c r="DS1621" i="3"/>
  <c r="DS1620" i="3"/>
  <c r="DS1619" i="3"/>
  <c r="DS1618" i="3"/>
  <c r="DS1617" i="3"/>
  <c r="DS1616" i="3"/>
  <c r="DS1615" i="3"/>
  <c r="DS1614" i="3"/>
  <c r="DS1613" i="3"/>
  <c r="DS1612" i="3"/>
  <c r="DS1611" i="3"/>
  <c r="DS1610" i="3"/>
  <c r="DS1609" i="3"/>
  <c r="DS1608" i="3"/>
  <c r="DS1607" i="3"/>
  <c r="DS1606" i="3"/>
  <c r="DS1605" i="3"/>
  <c r="DS1604" i="3"/>
  <c r="DS1603" i="3"/>
  <c r="DS1602" i="3"/>
  <c r="DS1601" i="3"/>
  <c r="DS1600" i="3"/>
  <c r="DS1599" i="3"/>
  <c r="DS1598" i="3"/>
  <c r="DS1597" i="3"/>
  <c r="DS1596" i="3"/>
  <c r="DS1595" i="3"/>
  <c r="DS1594" i="3"/>
  <c r="DS1593" i="3"/>
  <c r="DS1592" i="3"/>
  <c r="DS1591" i="3"/>
  <c r="DS1590" i="3"/>
  <c r="DS1589" i="3"/>
  <c r="DS1588" i="3"/>
  <c r="DS1587" i="3"/>
  <c r="DS1586" i="3"/>
  <c r="DS1585" i="3"/>
  <c r="DS1584" i="3"/>
  <c r="DS1583" i="3"/>
  <c r="DS1582" i="3"/>
  <c r="DS1581" i="3"/>
  <c r="DS1580" i="3"/>
  <c r="DS1579" i="3"/>
  <c r="DS1578" i="3"/>
  <c r="DS1577" i="3"/>
  <c r="DS1576" i="3"/>
  <c r="DS1575" i="3"/>
  <c r="DS1574" i="3"/>
  <c r="DS1573" i="3"/>
  <c r="DS1572" i="3"/>
  <c r="DS1571" i="3"/>
  <c r="DS1570" i="3"/>
  <c r="DS1569" i="3"/>
  <c r="DS1568" i="3"/>
  <c r="DS1567" i="3"/>
  <c r="DS1566" i="3"/>
  <c r="DS1565" i="3"/>
  <c r="DS1564" i="3"/>
  <c r="DS1563" i="3"/>
  <c r="DS1562" i="3"/>
  <c r="DS1561" i="3"/>
  <c r="DS1560" i="3"/>
  <c r="DS1559" i="3"/>
  <c r="DS1558" i="3"/>
  <c r="DS1557" i="3"/>
  <c r="DS1556" i="3"/>
  <c r="DS1555" i="3"/>
  <c r="DS1554" i="3"/>
  <c r="DS1553" i="3"/>
  <c r="DS1552" i="3"/>
  <c r="DS1551" i="3"/>
  <c r="DS1550" i="3"/>
  <c r="DS1549" i="3"/>
  <c r="DS1548" i="3"/>
  <c r="DS1547" i="3"/>
  <c r="DS1546" i="3"/>
  <c r="DS1545" i="3"/>
  <c r="DS1544" i="3"/>
  <c r="DS1543" i="3"/>
  <c r="DS1542" i="3"/>
  <c r="DS1541" i="3"/>
  <c r="DS1540" i="3"/>
  <c r="DS1539" i="3"/>
  <c r="DS1538" i="3"/>
  <c r="DS1537" i="3"/>
  <c r="DS1536" i="3"/>
  <c r="DS1535" i="3"/>
  <c r="DS1534" i="3"/>
  <c r="DS1533" i="3"/>
  <c r="DS1532" i="3"/>
  <c r="DS1531" i="3"/>
  <c r="DS1530" i="3"/>
  <c r="DS1529" i="3"/>
  <c r="DS1528" i="3"/>
  <c r="DS1527" i="3"/>
  <c r="DS1526" i="3"/>
  <c r="DS1525" i="3"/>
  <c r="DS1524" i="3"/>
  <c r="DS1523" i="3"/>
  <c r="DS1522" i="3"/>
  <c r="DS1521" i="3"/>
  <c r="DS1520" i="3"/>
  <c r="DS1519" i="3"/>
  <c r="DS1518" i="3"/>
  <c r="DS1517" i="3"/>
  <c r="DS1516" i="3"/>
  <c r="DS1515" i="3"/>
  <c r="DS1514" i="3"/>
  <c r="DS1513" i="3"/>
  <c r="DS1512" i="3"/>
  <c r="DS1511" i="3"/>
  <c r="DS1510" i="3"/>
  <c r="DS1509" i="3"/>
  <c r="DS1508" i="3"/>
  <c r="DS1507" i="3"/>
  <c r="DS1506" i="3"/>
  <c r="DS1505" i="3"/>
  <c r="DS1504" i="3"/>
  <c r="DS1503" i="3"/>
  <c r="DS1502" i="3"/>
  <c r="DS1501" i="3"/>
  <c r="DS1500" i="3"/>
  <c r="DS1499" i="3"/>
  <c r="DS1498" i="3"/>
  <c r="DS1497" i="3"/>
  <c r="DS1496" i="3"/>
  <c r="DS1495" i="3"/>
  <c r="DS1494" i="3"/>
  <c r="DS1493" i="3"/>
  <c r="DS1492" i="3"/>
  <c r="DS1491" i="3"/>
  <c r="DS1490" i="3"/>
  <c r="DS1489" i="3"/>
  <c r="DS1488" i="3"/>
  <c r="DS1487" i="3"/>
  <c r="DS1486" i="3"/>
  <c r="DS1485" i="3"/>
  <c r="DS1484" i="3"/>
  <c r="DS1483" i="3"/>
  <c r="DS1482" i="3"/>
  <c r="DS1481" i="3"/>
  <c r="DS1480" i="3"/>
  <c r="DS1479" i="3"/>
  <c r="DS1478" i="3"/>
  <c r="DS1477" i="3"/>
  <c r="DS1476" i="3"/>
  <c r="DS1475" i="3"/>
  <c r="DS1474" i="3"/>
  <c r="DS1473" i="3"/>
  <c r="DS1472" i="3"/>
  <c r="DS1471" i="3"/>
  <c r="DS1470" i="3"/>
  <c r="DS1469" i="3"/>
  <c r="DS1468" i="3"/>
  <c r="DS1467" i="3"/>
  <c r="DS1466" i="3"/>
  <c r="DS1465" i="3"/>
  <c r="DS1464" i="3"/>
  <c r="DS1463" i="3"/>
  <c r="DS1462" i="3"/>
  <c r="DS1461" i="3"/>
  <c r="DS1460" i="3"/>
  <c r="DS1459" i="3"/>
  <c r="DS1458" i="3"/>
  <c r="DS1457" i="3"/>
  <c r="DS1456" i="3"/>
  <c r="DS1455" i="3"/>
  <c r="DS1454" i="3"/>
  <c r="DS1453" i="3"/>
  <c r="DS1452" i="3"/>
  <c r="DS1451" i="3"/>
  <c r="DS1450" i="3"/>
  <c r="DS1449" i="3"/>
  <c r="DS1448" i="3"/>
  <c r="DS1447" i="3"/>
  <c r="DS1446" i="3"/>
  <c r="DS1445" i="3"/>
  <c r="DS1444" i="3"/>
  <c r="DS1443" i="3"/>
  <c r="DS1442" i="3"/>
  <c r="DS1441" i="3"/>
  <c r="DS1440" i="3"/>
  <c r="DS1439" i="3"/>
  <c r="DS1438" i="3"/>
  <c r="DS1437" i="3"/>
  <c r="DS1436" i="3"/>
  <c r="DS1435" i="3"/>
  <c r="DS1434" i="3"/>
  <c r="DS1433" i="3"/>
  <c r="DS1432" i="3"/>
  <c r="DS1431" i="3"/>
  <c r="DS1430" i="3"/>
  <c r="DS1429" i="3"/>
  <c r="DS1428" i="3"/>
  <c r="DS1427" i="3"/>
  <c r="DS1426" i="3"/>
  <c r="DS1425" i="3"/>
  <c r="DS1424" i="3"/>
  <c r="DS1423" i="3"/>
  <c r="DS1422" i="3"/>
  <c r="DS1421" i="3"/>
  <c r="DS1420" i="3"/>
  <c r="DS1419" i="3"/>
  <c r="DS1418" i="3"/>
  <c r="DS1417" i="3"/>
  <c r="DS1416" i="3"/>
  <c r="DS1415" i="3"/>
  <c r="DS1414" i="3"/>
  <c r="DS1413" i="3"/>
  <c r="DS1412" i="3"/>
  <c r="DS1411" i="3"/>
  <c r="DS1410" i="3"/>
  <c r="DS1409" i="3"/>
  <c r="DS1408" i="3"/>
  <c r="DS1407" i="3"/>
  <c r="DS1406" i="3"/>
  <c r="DS1405" i="3"/>
  <c r="DS1404" i="3"/>
  <c r="DS1403" i="3"/>
  <c r="DS1402" i="3"/>
  <c r="DS1401" i="3"/>
  <c r="DS1400" i="3"/>
  <c r="DS1399" i="3"/>
  <c r="DS1398" i="3"/>
  <c r="DS1397" i="3"/>
  <c r="DS1396" i="3"/>
  <c r="DS1395" i="3"/>
  <c r="DS1394" i="3"/>
  <c r="DS1393" i="3"/>
  <c r="DS1392" i="3"/>
  <c r="DS1391" i="3"/>
  <c r="DS1390" i="3"/>
  <c r="DS1389" i="3"/>
  <c r="DS1388" i="3"/>
  <c r="DS1387" i="3"/>
  <c r="DS1386" i="3"/>
  <c r="DS1385" i="3"/>
  <c r="DS1384" i="3"/>
  <c r="DS1383" i="3"/>
  <c r="DS1382" i="3"/>
  <c r="DS1381" i="3"/>
  <c r="DS1380" i="3"/>
  <c r="DS1379" i="3"/>
  <c r="DS1378" i="3"/>
  <c r="DS1377" i="3"/>
  <c r="DS1376" i="3"/>
  <c r="DS1375" i="3"/>
  <c r="DS1374" i="3"/>
  <c r="DS1373" i="3"/>
  <c r="DS1372" i="3"/>
  <c r="DS1371" i="3"/>
  <c r="DS1370" i="3"/>
  <c r="DS1369" i="3"/>
  <c r="DS1368" i="3"/>
  <c r="DS1367" i="3"/>
  <c r="DS1366" i="3"/>
  <c r="DS1365" i="3"/>
  <c r="DS1364" i="3"/>
  <c r="DS1363" i="3"/>
  <c r="DS1362" i="3"/>
  <c r="DS1361" i="3"/>
  <c r="DS1360" i="3"/>
  <c r="DS1359" i="3"/>
  <c r="DS1358" i="3"/>
  <c r="DS1357" i="3"/>
  <c r="DS1356" i="3"/>
  <c r="DS1355" i="3"/>
  <c r="DS1354" i="3"/>
  <c r="DS1353" i="3"/>
  <c r="DS1352" i="3"/>
  <c r="DS1351" i="3"/>
  <c r="DS1350" i="3"/>
  <c r="DS1349" i="3"/>
  <c r="DS1348" i="3"/>
  <c r="DS1347" i="3"/>
  <c r="DS1346" i="3"/>
  <c r="DS1345" i="3"/>
  <c r="DS1344" i="3"/>
  <c r="DS1343" i="3"/>
  <c r="DS1342" i="3"/>
  <c r="DS1341" i="3"/>
  <c r="DS1340" i="3"/>
  <c r="DS1339" i="3"/>
  <c r="DS1338" i="3"/>
  <c r="DS1337" i="3"/>
  <c r="DS1336" i="3"/>
  <c r="DS1335" i="3"/>
  <c r="DS1334" i="3"/>
  <c r="DS1333" i="3"/>
  <c r="DS1332" i="3"/>
  <c r="DS1331" i="3"/>
  <c r="DS1330" i="3"/>
  <c r="DS1329" i="3"/>
  <c r="DS1328" i="3"/>
  <c r="DS1327" i="3"/>
  <c r="DS1326" i="3"/>
  <c r="DS1325" i="3"/>
  <c r="DS1324" i="3"/>
  <c r="DS1323" i="3"/>
  <c r="DS1322" i="3"/>
  <c r="DS1321" i="3"/>
  <c r="DS1320" i="3"/>
  <c r="DS1319" i="3"/>
  <c r="DS1318" i="3"/>
  <c r="DS1317" i="3"/>
  <c r="DS1316" i="3"/>
  <c r="DS1315" i="3"/>
  <c r="DS1314" i="3"/>
  <c r="DS1313" i="3"/>
  <c r="DS1312" i="3"/>
  <c r="DS1311" i="3"/>
  <c r="DS1310" i="3"/>
  <c r="DS1309" i="3"/>
  <c r="DS1308" i="3"/>
  <c r="DS1307" i="3"/>
  <c r="DS1306" i="3"/>
  <c r="DS1305" i="3"/>
  <c r="DS1304" i="3"/>
  <c r="DS1303" i="3"/>
  <c r="DS1302" i="3"/>
  <c r="DS1301" i="3"/>
  <c r="DS1300" i="3"/>
  <c r="DS1299" i="3"/>
  <c r="DS1298" i="3"/>
  <c r="DS1297" i="3"/>
  <c r="DS1296" i="3"/>
  <c r="DS1295" i="3"/>
  <c r="DS1294" i="3"/>
  <c r="DS1293" i="3"/>
  <c r="DS1292" i="3"/>
  <c r="DS1291" i="3"/>
  <c r="DS1290" i="3"/>
  <c r="DS1289" i="3"/>
  <c r="DS1288" i="3"/>
  <c r="DS1287" i="3"/>
  <c r="DS1286" i="3"/>
  <c r="DS1285" i="3"/>
  <c r="DS1284" i="3"/>
  <c r="DS1283" i="3"/>
  <c r="DS1282" i="3"/>
  <c r="DS1281" i="3"/>
  <c r="DS1280" i="3"/>
  <c r="DS1279" i="3"/>
  <c r="DS1278" i="3"/>
  <c r="DS1277" i="3"/>
  <c r="DS1276" i="3"/>
  <c r="DS1275" i="3"/>
  <c r="DS1274" i="3"/>
  <c r="DS1273" i="3"/>
  <c r="DS1272" i="3"/>
  <c r="DS1271" i="3"/>
  <c r="DS1270" i="3"/>
  <c r="DS1269" i="3"/>
  <c r="DS1268" i="3"/>
  <c r="DS1267" i="3"/>
  <c r="DS1266" i="3"/>
  <c r="DS1265" i="3"/>
  <c r="DS1264" i="3"/>
  <c r="DS1263" i="3"/>
  <c r="DS1262" i="3"/>
  <c r="DS1261" i="3"/>
  <c r="DS1260" i="3"/>
  <c r="DS1259" i="3"/>
  <c r="DS1258" i="3"/>
  <c r="DS1257" i="3"/>
  <c r="DS1256" i="3"/>
  <c r="DS1255" i="3"/>
  <c r="DS1254" i="3"/>
  <c r="DS1253" i="3"/>
  <c r="DS1252" i="3"/>
  <c r="DS1251" i="3"/>
  <c r="DS1250" i="3"/>
  <c r="DS1249" i="3"/>
  <c r="DS1248" i="3"/>
  <c r="DS1247" i="3"/>
  <c r="DS1246" i="3"/>
  <c r="DS1245" i="3"/>
  <c r="DS1244" i="3"/>
  <c r="DS1243" i="3"/>
  <c r="DS1242" i="3"/>
  <c r="DS1241" i="3"/>
  <c r="DS1240" i="3"/>
  <c r="DS1239" i="3"/>
  <c r="DS1238" i="3"/>
  <c r="DS1237" i="3"/>
  <c r="DS1236" i="3"/>
  <c r="DS1235" i="3"/>
  <c r="DS1234" i="3"/>
  <c r="DS1233" i="3"/>
  <c r="DS1232" i="3"/>
  <c r="DS1231" i="3"/>
  <c r="DS1230" i="3"/>
  <c r="DS1229" i="3"/>
  <c r="DS1228" i="3"/>
  <c r="DS1227" i="3"/>
  <c r="DS1226" i="3"/>
  <c r="DS1225" i="3"/>
  <c r="DS1224" i="3"/>
  <c r="DS1223" i="3"/>
  <c r="DS1222" i="3"/>
  <c r="DS1221" i="3"/>
  <c r="DS1220" i="3"/>
  <c r="DS1219" i="3"/>
  <c r="DS1218" i="3"/>
  <c r="DS1217" i="3"/>
  <c r="DS1216" i="3"/>
  <c r="DS1215" i="3"/>
  <c r="DS1214" i="3"/>
  <c r="DS1213" i="3"/>
  <c r="DS1212" i="3"/>
  <c r="DS1211" i="3"/>
  <c r="DS1210" i="3"/>
  <c r="DS1209" i="3"/>
  <c r="DS1208" i="3"/>
  <c r="DS1207" i="3"/>
  <c r="DS1206" i="3"/>
  <c r="DS1205" i="3"/>
  <c r="DS1204" i="3"/>
  <c r="DS1203" i="3"/>
  <c r="DS1202" i="3"/>
  <c r="DS1201" i="3"/>
  <c r="DS1200" i="3"/>
  <c r="DS1199" i="3"/>
  <c r="DS1198" i="3"/>
  <c r="DS1197" i="3"/>
  <c r="DS1196" i="3"/>
  <c r="DS1195" i="3"/>
  <c r="DS1194" i="3"/>
  <c r="DS1193" i="3"/>
  <c r="DS1192" i="3"/>
  <c r="DS1191" i="3"/>
  <c r="DS1190" i="3"/>
  <c r="DS1189" i="3"/>
  <c r="DS1188" i="3"/>
  <c r="DS1187" i="3"/>
  <c r="DS1186" i="3"/>
  <c r="DS1185" i="3"/>
  <c r="DS1184" i="3"/>
  <c r="DS1183" i="3"/>
  <c r="DS1182" i="3"/>
  <c r="DS1181" i="3"/>
  <c r="DS1180" i="3"/>
  <c r="DS1179" i="3"/>
  <c r="DS1178" i="3"/>
  <c r="DS1177" i="3"/>
  <c r="DS1176" i="3"/>
  <c r="DS1175" i="3"/>
  <c r="DS1174" i="3"/>
  <c r="DS1173" i="3"/>
  <c r="DS1172" i="3"/>
  <c r="DS1171" i="3"/>
  <c r="DS1170" i="3"/>
  <c r="DS1169" i="3"/>
  <c r="DS1168" i="3"/>
  <c r="DS1167" i="3"/>
  <c r="DS1166" i="3"/>
  <c r="DS1165" i="3"/>
  <c r="DS1164" i="3"/>
  <c r="DS1163" i="3"/>
  <c r="DS1162" i="3"/>
  <c r="DS1161" i="3"/>
  <c r="DS1160" i="3"/>
  <c r="DS1159" i="3"/>
  <c r="DS1158" i="3"/>
  <c r="DS1157" i="3"/>
  <c r="DS1156" i="3"/>
  <c r="DS1155" i="3"/>
  <c r="DS1154" i="3"/>
  <c r="DS1153" i="3"/>
  <c r="DS1152" i="3"/>
  <c r="DS1151" i="3"/>
  <c r="DS1150" i="3"/>
  <c r="DS1149" i="3"/>
  <c r="DS1148" i="3"/>
  <c r="DS1147" i="3"/>
  <c r="DS1146" i="3"/>
  <c r="DS1145" i="3"/>
  <c r="DS1144" i="3"/>
  <c r="DS1143" i="3"/>
  <c r="DS1142" i="3"/>
  <c r="DS1141" i="3"/>
  <c r="DS1140" i="3"/>
  <c r="DS1139" i="3"/>
  <c r="DS1138" i="3"/>
  <c r="DS1137" i="3"/>
  <c r="DS1136" i="3"/>
  <c r="DS1135" i="3"/>
  <c r="DS1134" i="3"/>
  <c r="DS1133" i="3"/>
  <c r="DS1132" i="3"/>
  <c r="DS1131" i="3"/>
  <c r="DS1130" i="3"/>
  <c r="DS1129" i="3"/>
  <c r="DS1128" i="3"/>
  <c r="DS1127" i="3"/>
  <c r="DS1126" i="3"/>
  <c r="DS1125" i="3"/>
  <c r="DS1124" i="3"/>
  <c r="DS1123" i="3"/>
  <c r="DS1122" i="3"/>
  <c r="DS1121" i="3"/>
  <c r="DS1120" i="3"/>
  <c r="DS1119" i="3"/>
  <c r="DS1118" i="3"/>
  <c r="DS1117" i="3"/>
  <c r="DS1116" i="3"/>
  <c r="DS1115" i="3"/>
  <c r="DS1114" i="3"/>
  <c r="DS1113" i="3"/>
  <c r="DS1112" i="3"/>
  <c r="DS1111" i="3"/>
  <c r="DS1110" i="3"/>
  <c r="DS1109" i="3"/>
  <c r="DS1108" i="3"/>
  <c r="DS1107" i="3"/>
  <c r="DS1106" i="3"/>
  <c r="DS1105" i="3"/>
  <c r="DS1104" i="3"/>
  <c r="DS1103" i="3"/>
  <c r="DS1102" i="3"/>
  <c r="DS1101" i="3"/>
  <c r="DS1100" i="3"/>
  <c r="DS1099" i="3"/>
  <c r="DS1098" i="3"/>
  <c r="DS1097" i="3"/>
  <c r="DS1096" i="3"/>
  <c r="DS1095" i="3"/>
  <c r="DS1094" i="3"/>
  <c r="DS1093" i="3"/>
  <c r="DS1092" i="3"/>
  <c r="DS1091" i="3"/>
  <c r="DS1090" i="3"/>
  <c r="DS1089" i="3"/>
  <c r="DS1088" i="3"/>
  <c r="DS1087" i="3"/>
  <c r="DS1086" i="3"/>
  <c r="DS1085" i="3"/>
  <c r="DS1084" i="3"/>
  <c r="DS1083" i="3"/>
  <c r="DS1082" i="3"/>
  <c r="DS1081" i="3"/>
  <c r="DS1080" i="3"/>
  <c r="DS1079" i="3"/>
  <c r="DS1078" i="3"/>
  <c r="DS1077" i="3"/>
  <c r="DS1076" i="3"/>
  <c r="DS1075" i="3"/>
  <c r="DS1074" i="3"/>
  <c r="DS1073" i="3"/>
  <c r="DS1072" i="3"/>
  <c r="DS1071" i="3"/>
  <c r="DS1070" i="3"/>
  <c r="DS1069" i="3"/>
  <c r="DS1068" i="3"/>
  <c r="DS1067" i="3"/>
  <c r="DS1066" i="3"/>
  <c r="DS1065" i="3"/>
  <c r="DS1064" i="3"/>
  <c r="DS1063" i="3"/>
  <c r="DS1062" i="3"/>
  <c r="DS1061" i="3"/>
  <c r="DS1060" i="3"/>
  <c r="DS1059" i="3"/>
  <c r="DS1058" i="3"/>
  <c r="DS1057" i="3"/>
  <c r="DS1056" i="3"/>
  <c r="DS1055" i="3"/>
  <c r="DS1054" i="3"/>
  <c r="DS1053" i="3"/>
  <c r="DS1052" i="3"/>
  <c r="DS1051" i="3"/>
  <c r="DS1050" i="3"/>
  <c r="DS1049" i="3"/>
  <c r="DS1048" i="3"/>
  <c r="DS1047" i="3"/>
  <c r="DS1046" i="3"/>
  <c r="DS1045" i="3"/>
  <c r="DS1044" i="3"/>
  <c r="DS1043" i="3"/>
  <c r="DS1042" i="3"/>
  <c r="DS1041" i="3"/>
  <c r="DS1040" i="3"/>
  <c r="DS1039" i="3"/>
  <c r="DS1038" i="3"/>
  <c r="DS1037" i="3"/>
  <c r="DS1036" i="3"/>
  <c r="DS1035" i="3"/>
  <c r="DS1034" i="3"/>
  <c r="DS1033" i="3"/>
  <c r="DS1032" i="3"/>
  <c r="DS1031" i="3"/>
  <c r="DS1030" i="3"/>
  <c r="DS1029" i="3"/>
  <c r="DS1028" i="3"/>
  <c r="DS1027" i="3"/>
  <c r="DS1026" i="3"/>
  <c r="DS1025" i="3"/>
  <c r="DS1024" i="3"/>
  <c r="DS1023" i="3"/>
  <c r="DS1022" i="3"/>
  <c r="DS1021" i="3"/>
  <c r="DS1020" i="3"/>
  <c r="DS1019" i="3"/>
  <c r="DS1018" i="3"/>
  <c r="DS1017" i="3"/>
  <c r="DS1016" i="3"/>
  <c r="DS1015" i="3"/>
  <c r="DS1014" i="3"/>
  <c r="DS1013" i="3"/>
  <c r="DS1012" i="3"/>
  <c r="DS1011" i="3"/>
  <c r="DS1010" i="3"/>
  <c r="DS1009" i="3"/>
  <c r="DS1008" i="3"/>
  <c r="DS1007" i="3"/>
  <c r="DS1006" i="3"/>
  <c r="DS1005" i="3"/>
  <c r="DS1004" i="3"/>
  <c r="DS1003" i="3"/>
  <c r="DS1002" i="3"/>
  <c r="DS1001" i="3"/>
  <c r="DS1000" i="3"/>
  <c r="DS999" i="3"/>
  <c r="DS998" i="3"/>
  <c r="DS997" i="3"/>
  <c r="DS996" i="3"/>
  <c r="DS995" i="3"/>
  <c r="DS994" i="3"/>
  <c r="DS993" i="3"/>
  <c r="DS992" i="3"/>
  <c r="DS991" i="3"/>
  <c r="DS990" i="3"/>
  <c r="DS989" i="3"/>
  <c r="DS988" i="3"/>
  <c r="DS987" i="3"/>
  <c r="DS986" i="3"/>
  <c r="DS985" i="3"/>
  <c r="DS984" i="3"/>
  <c r="DS983" i="3"/>
  <c r="DS982" i="3"/>
  <c r="DS981" i="3"/>
  <c r="DS980" i="3"/>
  <c r="DS979" i="3"/>
  <c r="DS978" i="3"/>
  <c r="DS977" i="3"/>
  <c r="DS976" i="3"/>
  <c r="DS975" i="3"/>
  <c r="DS974" i="3"/>
  <c r="DS973" i="3"/>
  <c r="DS972" i="3"/>
  <c r="DS971" i="3"/>
  <c r="DS970" i="3"/>
  <c r="DS969" i="3"/>
  <c r="DS968" i="3"/>
  <c r="DS967" i="3"/>
  <c r="DS966" i="3"/>
  <c r="DS965" i="3"/>
  <c r="DS964" i="3"/>
  <c r="DS963" i="3"/>
  <c r="DS962" i="3"/>
  <c r="DS961" i="3"/>
  <c r="DS960" i="3"/>
  <c r="DS959" i="3"/>
  <c r="DS958" i="3"/>
  <c r="DS957" i="3"/>
  <c r="DS956" i="3"/>
  <c r="DS955" i="3"/>
  <c r="DS954" i="3"/>
  <c r="DS953" i="3"/>
  <c r="DS952" i="3"/>
  <c r="DS951" i="3"/>
  <c r="DS950" i="3"/>
  <c r="DS949" i="3"/>
  <c r="DS948" i="3"/>
  <c r="DS947" i="3"/>
  <c r="DS946" i="3"/>
  <c r="DS945" i="3"/>
  <c r="DS944" i="3"/>
  <c r="DS943" i="3"/>
  <c r="DS942" i="3"/>
  <c r="DS941" i="3"/>
  <c r="DS940" i="3"/>
  <c r="DS939" i="3"/>
  <c r="DS938" i="3"/>
  <c r="DS937" i="3"/>
  <c r="DS936" i="3"/>
  <c r="DS935" i="3"/>
  <c r="DS934" i="3"/>
  <c r="DS933" i="3"/>
  <c r="DS932" i="3"/>
  <c r="DS931" i="3"/>
  <c r="DS930" i="3"/>
  <c r="DS929" i="3"/>
  <c r="DS928" i="3"/>
  <c r="DS927" i="3"/>
  <c r="DS926" i="3"/>
  <c r="DS925" i="3"/>
  <c r="DS924" i="3"/>
  <c r="DS923" i="3"/>
  <c r="DS922" i="3"/>
  <c r="DS921" i="3"/>
  <c r="DS920" i="3"/>
  <c r="DS919" i="3"/>
  <c r="DS918" i="3"/>
  <c r="DS917" i="3"/>
  <c r="DS916" i="3"/>
  <c r="DS915" i="3"/>
  <c r="DS914" i="3"/>
  <c r="DS913" i="3"/>
  <c r="DS912" i="3"/>
  <c r="DS911" i="3"/>
  <c r="DS910" i="3"/>
  <c r="DS909" i="3"/>
  <c r="DS908" i="3"/>
  <c r="DS907" i="3"/>
  <c r="DS906" i="3"/>
  <c r="DS905" i="3"/>
  <c r="DS904" i="3"/>
  <c r="DS903" i="3"/>
  <c r="DS902" i="3"/>
  <c r="DS901" i="3"/>
  <c r="DS900" i="3"/>
  <c r="DS899" i="3"/>
  <c r="DS898" i="3"/>
  <c r="DS897" i="3"/>
  <c r="DS896" i="3"/>
  <c r="DS895" i="3"/>
  <c r="DS894" i="3"/>
  <c r="DS893" i="3"/>
  <c r="DS892" i="3"/>
  <c r="DS891" i="3"/>
  <c r="DS890" i="3"/>
  <c r="DS889" i="3"/>
  <c r="DS888" i="3"/>
  <c r="DS887" i="3"/>
  <c r="DS886" i="3"/>
  <c r="DS885" i="3"/>
  <c r="DS884" i="3"/>
  <c r="DS883" i="3"/>
  <c r="DS882" i="3"/>
  <c r="DS881" i="3"/>
  <c r="DS880" i="3"/>
  <c r="DS879" i="3"/>
  <c r="DS878" i="3"/>
  <c r="DS877" i="3"/>
  <c r="DS876" i="3"/>
  <c r="DS875" i="3"/>
  <c r="DS874" i="3"/>
  <c r="DS873" i="3"/>
  <c r="DS872" i="3"/>
  <c r="DS871" i="3"/>
  <c r="DS870" i="3"/>
  <c r="DS869" i="3"/>
  <c r="DS868" i="3"/>
  <c r="DS867" i="3"/>
  <c r="DS866" i="3"/>
  <c r="DS865" i="3"/>
  <c r="DS864" i="3"/>
  <c r="DS863" i="3"/>
  <c r="DS862" i="3"/>
  <c r="DS861" i="3"/>
  <c r="DS860" i="3"/>
  <c r="DS859" i="3"/>
  <c r="DS858" i="3"/>
  <c r="DS857" i="3"/>
  <c r="DS856" i="3"/>
  <c r="DS855" i="3"/>
  <c r="DS854" i="3"/>
  <c r="DS853" i="3"/>
  <c r="DS852" i="3"/>
  <c r="DS851" i="3"/>
  <c r="DS850" i="3"/>
  <c r="DS849" i="3"/>
  <c r="DS848" i="3"/>
  <c r="DS847" i="3"/>
  <c r="DS846" i="3"/>
  <c r="DS845" i="3"/>
  <c r="DS844" i="3"/>
  <c r="DS843" i="3"/>
  <c r="DS842" i="3"/>
  <c r="DS841" i="3"/>
  <c r="DS840" i="3"/>
  <c r="DS839" i="3"/>
  <c r="DS838" i="3"/>
  <c r="DS837" i="3"/>
  <c r="DS836" i="3"/>
  <c r="DS835" i="3"/>
  <c r="DS834" i="3"/>
  <c r="DS833" i="3"/>
  <c r="DS832" i="3"/>
  <c r="DS831" i="3"/>
  <c r="DS830" i="3"/>
  <c r="DS829" i="3"/>
  <c r="DS828" i="3"/>
  <c r="DS827" i="3"/>
  <c r="DS826" i="3"/>
  <c r="DS825" i="3"/>
  <c r="DS824" i="3"/>
  <c r="DS823" i="3"/>
  <c r="DS822" i="3"/>
  <c r="DS821" i="3"/>
  <c r="DS820" i="3"/>
  <c r="DS819" i="3"/>
  <c r="DS818" i="3"/>
  <c r="DS817" i="3"/>
  <c r="DS816" i="3"/>
  <c r="DS815" i="3"/>
  <c r="DS814" i="3"/>
  <c r="DS813" i="3"/>
  <c r="DS812" i="3"/>
  <c r="DS811" i="3"/>
  <c r="DS810" i="3"/>
  <c r="DS809" i="3"/>
  <c r="DS808" i="3"/>
  <c r="DS807" i="3"/>
  <c r="DS806" i="3"/>
  <c r="DS805" i="3"/>
  <c r="DS804" i="3"/>
  <c r="DS803" i="3"/>
  <c r="DS802" i="3"/>
  <c r="DS801" i="3"/>
  <c r="DS800" i="3"/>
  <c r="DS799" i="3"/>
  <c r="DS798" i="3"/>
  <c r="DS797" i="3"/>
  <c r="DS796" i="3"/>
  <c r="DS795" i="3"/>
  <c r="DS794" i="3"/>
  <c r="DS793" i="3"/>
  <c r="DS792" i="3"/>
  <c r="DS791" i="3"/>
  <c r="DS790" i="3"/>
  <c r="DS789" i="3"/>
  <c r="DS788" i="3"/>
  <c r="DS787" i="3"/>
  <c r="DS786" i="3"/>
  <c r="DS785" i="3"/>
  <c r="DS784" i="3"/>
  <c r="DS783" i="3"/>
  <c r="DS782" i="3"/>
  <c r="DS781" i="3"/>
  <c r="DS780" i="3"/>
  <c r="DS779" i="3"/>
  <c r="DS778" i="3"/>
  <c r="DS777" i="3"/>
  <c r="DS776" i="3"/>
  <c r="DS775" i="3"/>
  <c r="DS774" i="3"/>
  <c r="DS773" i="3"/>
  <c r="DS772" i="3"/>
  <c r="DS771" i="3"/>
  <c r="DS770" i="3"/>
  <c r="DS769" i="3"/>
  <c r="DS768" i="3"/>
  <c r="DS767" i="3"/>
  <c r="DS766" i="3"/>
  <c r="DS765" i="3"/>
  <c r="DS764" i="3"/>
  <c r="DS763" i="3"/>
  <c r="DS762" i="3"/>
  <c r="DS761" i="3"/>
  <c r="DS760" i="3"/>
  <c r="DS759" i="3"/>
  <c r="DS758" i="3"/>
  <c r="DS757" i="3"/>
  <c r="DS756" i="3"/>
  <c r="DS755" i="3"/>
  <c r="DS754" i="3"/>
  <c r="DS753" i="3"/>
  <c r="DS752" i="3"/>
  <c r="DS751" i="3"/>
  <c r="DS750" i="3"/>
  <c r="DS749" i="3"/>
  <c r="DS748" i="3"/>
  <c r="DS747" i="3"/>
  <c r="DS746" i="3"/>
  <c r="DS745" i="3"/>
  <c r="DS744" i="3"/>
  <c r="DS743" i="3"/>
  <c r="DS742" i="3"/>
  <c r="DS741" i="3"/>
  <c r="DS740" i="3"/>
  <c r="DS739" i="3"/>
  <c r="DS738" i="3"/>
  <c r="DS737" i="3"/>
  <c r="DS736" i="3"/>
  <c r="DS735" i="3"/>
  <c r="DS734" i="3"/>
  <c r="DS733" i="3"/>
  <c r="DS732" i="3"/>
  <c r="DS731" i="3"/>
  <c r="DS730" i="3"/>
  <c r="DS729" i="3"/>
  <c r="DS728" i="3"/>
  <c r="DS727" i="3"/>
  <c r="DS726" i="3"/>
  <c r="DS725" i="3"/>
  <c r="DS724" i="3"/>
  <c r="DS723" i="3"/>
  <c r="DS722" i="3"/>
  <c r="DS721" i="3"/>
  <c r="DS720" i="3"/>
  <c r="DS719" i="3"/>
  <c r="DS718" i="3"/>
  <c r="DS717" i="3"/>
  <c r="DS716" i="3"/>
  <c r="DS715" i="3"/>
  <c r="DS714" i="3"/>
  <c r="DS713" i="3"/>
  <c r="DS712" i="3"/>
  <c r="DS711" i="3"/>
  <c r="DS710" i="3"/>
  <c r="DS709" i="3"/>
  <c r="DS708" i="3"/>
  <c r="DS707" i="3"/>
  <c r="DS706" i="3"/>
  <c r="DS705" i="3"/>
  <c r="DS704" i="3"/>
  <c r="DS703" i="3"/>
  <c r="DS702" i="3"/>
  <c r="DS701" i="3"/>
  <c r="DS700" i="3"/>
  <c r="DS699" i="3"/>
  <c r="DS698" i="3"/>
  <c r="DS697" i="3"/>
  <c r="DS696" i="3"/>
  <c r="DS695" i="3"/>
  <c r="DS694" i="3"/>
  <c r="DS693" i="3"/>
  <c r="DS692" i="3"/>
  <c r="DS691" i="3"/>
  <c r="DS690" i="3"/>
  <c r="DS689" i="3"/>
  <c r="DS688" i="3"/>
  <c r="DS687" i="3"/>
  <c r="DS686" i="3"/>
  <c r="DS685" i="3"/>
  <c r="DS684" i="3"/>
  <c r="DS683" i="3"/>
  <c r="DS682" i="3"/>
  <c r="DS681" i="3"/>
  <c r="DS680" i="3"/>
  <c r="DS679" i="3"/>
  <c r="DS678" i="3"/>
  <c r="DS677" i="3"/>
  <c r="DS676" i="3"/>
  <c r="DS675" i="3"/>
  <c r="DS674" i="3"/>
  <c r="DS673" i="3"/>
  <c r="DS672" i="3"/>
  <c r="DS671" i="3"/>
  <c r="DS670" i="3"/>
  <c r="DS669" i="3"/>
  <c r="DS668" i="3"/>
  <c r="DS667" i="3"/>
  <c r="DS666" i="3"/>
  <c r="DS665" i="3"/>
  <c r="DS664" i="3"/>
  <c r="DS663" i="3"/>
  <c r="DS662" i="3"/>
  <c r="DS661" i="3"/>
  <c r="DS660" i="3"/>
  <c r="DS659" i="3"/>
  <c r="DS658" i="3"/>
  <c r="DS657" i="3"/>
  <c r="DS656" i="3"/>
  <c r="DS655" i="3"/>
  <c r="DS654" i="3"/>
  <c r="DS653" i="3"/>
  <c r="DS652" i="3"/>
  <c r="DS651" i="3"/>
  <c r="DS650" i="3"/>
  <c r="DS649" i="3"/>
  <c r="DS648" i="3"/>
  <c r="DS647" i="3"/>
  <c r="DS646" i="3"/>
  <c r="DS645" i="3"/>
  <c r="DS644" i="3"/>
  <c r="DS643" i="3"/>
  <c r="DS642" i="3"/>
  <c r="DS641" i="3"/>
  <c r="DS640" i="3"/>
  <c r="DS639" i="3"/>
  <c r="DS638" i="3"/>
  <c r="DS637" i="3"/>
  <c r="DS636" i="3"/>
  <c r="DS635" i="3"/>
  <c r="DS634" i="3"/>
  <c r="DS633" i="3"/>
  <c r="DS632" i="3"/>
  <c r="DS631" i="3"/>
  <c r="DS630" i="3"/>
  <c r="DS629" i="3"/>
  <c r="DS628" i="3"/>
  <c r="DS627" i="3"/>
  <c r="DS626" i="3"/>
  <c r="DS625" i="3"/>
  <c r="DS624" i="3"/>
  <c r="DS623" i="3"/>
  <c r="DS622" i="3"/>
  <c r="DS621" i="3"/>
  <c r="DS620" i="3"/>
  <c r="DS619" i="3"/>
  <c r="DS618" i="3"/>
  <c r="DS617" i="3"/>
  <c r="DS616" i="3"/>
  <c r="DS615" i="3"/>
  <c r="DS614" i="3"/>
  <c r="DS613" i="3"/>
  <c r="DS612" i="3"/>
  <c r="DS611" i="3"/>
  <c r="DS610" i="3"/>
  <c r="DS609" i="3"/>
  <c r="DS608" i="3"/>
  <c r="DS607" i="3"/>
  <c r="DS606" i="3"/>
  <c r="DS605" i="3"/>
  <c r="DS604" i="3"/>
  <c r="DS603" i="3"/>
  <c r="DS602" i="3"/>
  <c r="DS601" i="3"/>
  <c r="DS600" i="3"/>
  <c r="DS599" i="3"/>
  <c r="DS598" i="3"/>
  <c r="DS597" i="3"/>
  <c r="DS596" i="3"/>
  <c r="DS595" i="3"/>
  <c r="DS594" i="3"/>
  <c r="DS593" i="3"/>
  <c r="DS592" i="3"/>
  <c r="DS591" i="3"/>
  <c r="DS590" i="3"/>
  <c r="DS589" i="3"/>
  <c r="DS588" i="3"/>
  <c r="DS587" i="3"/>
  <c r="DS586" i="3"/>
  <c r="DS585" i="3"/>
  <c r="DS584" i="3"/>
  <c r="DS583" i="3"/>
  <c r="DS582" i="3"/>
  <c r="DS581" i="3"/>
  <c r="DS580" i="3"/>
  <c r="DS579" i="3"/>
  <c r="DS578" i="3"/>
  <c r="DS577" i="3"/>
  <c r="DS576" i="3"/>
  <c r="DS575" i="3"/>
  <c r="DS574" i="3"/>
  <c r="DS573" i="3"/>
  <c r="DS572" i="3"/>
  <c r="DS571" i="3"/>
  <c r="DS570" i="3"/>
  <c r="DS569" i="3"/>
  <c r="DS568" i="3"/>
  <c r="DS567" i="3"/>
  <c r="DS566" i="3"/>
  <c r="DS565" i="3"/>
  <c r="DS564" i="3"/>
  <c r="DS563" i="3"/>
  <c r="DS562" i="3"/>
  <c r="DS561" i="3"/>
  <c r="DS560" i="3"/>
  <c r="DS559" i="3"/>
  <c r="DS558" i="3"/>
  <c r="DS557" i="3"/>
  <c r="DS556" i="3"/>
  <c r="DS555" i="3"/>
  <c r="DS554" i="3"/>
  <c r="DS553" i="3"/>
  <c r="DS552" i="3"/>
  <c r="DS551" i="3"/>
  <c r="DS550" i="3"/>
  <c r="DS549" i="3"/>
  <c r="DS548" i="3"/>
  <c r="DS547" i="3"/>
  <c r="DS546" i="3"/>
  <c r="DS545" i="3"/>
  <c r="DS544" i="3"/>
  <c r="DS543" i="3"/>
  <c r="DS542" i="3"/>
  <c r="DS541" i="3"/>
  <c r="DS540" i="3"/>
  <c r="DS539" i="3"/>
  <c r="DS538" i="3"/>
  <c r="DS537" i="3"/>
  <c r="DS536" i="3"/>
  <c r="DS535" i="3"/>
  <c r="DS534" i="3"/>
  <c r="DS533" i="3"/>
  <c r="DS532" i="3"/>
  <c r="DS531" i="3"/>
  <c r="DS530" i="3"/>
  <c r="DS529" i="3"/>
  <c r="DS528" i="3"/>
  <c r="DS527" i="3"/>
  <c r="DS526" i="3"/>
  <c r="DS525" i="3"/>
  <c r="DS524" i="3"/>
  <c r="DS523" i="3"/>
  <c r="DS522" i="3"/>
  <c r="DS521" i="3"/>
  <c r="DS520" i="3"/>
  <c r="DS519" i="3"/>
  <c r="DS518" i="3"/>
  <c r="DS517" i="3"/>
  <c r="DS516" i="3"/>
  <c r="DS515" i="3"/>
  <c r="DS514" i="3"/>
  <c r="DS513" i="3"/>
  <c r="DS512" i="3"/>
  <c r="DS511" i="3"/>
  <c r="DS510" i="3"/>
  <c r="DS509" i="3"/>
  <c r="DS508" i="3"/>
  <c r="DS507" i="3"/>
  <c r="DS506" i="3"/>
  <c r="DS505" i="3"/>
  <c r="DS504" i="3"/>
  <c r="DS503" i="3"/>
  <c r="DS502" i="3"/>
  <c r="DS501" i="3"/>
  <c r="DS500" i="3"/>
  <c r="DS499" i="3"/>
  <c r="DS498" i="3"/>
  <c r="DS497" i="3"/>
  <c r="DS496" i="3"/>
  <c r="DS495" i="3"/>
  <c r="DS494" i="3"/>
  <c r="DS493" i="3"/>
  <c r="DS492" i="3"/>
  <c r="DS491" i="3"/>
  <c r="DS490" i="3"/>
  <c r="DS489" i="3"/>
  <c r="DS488" i="3"/>
  <c r="DS487" i="3"/>
  <c r="DS486" i="3"/>
  <c r="DS485" i="3"/>
  <c r="DS484" i="3"/>
  <c r="DS483" i="3"/>
  <c r="DS482" i="3"/>
  <c r="DS481" i="3"/>
  <c r="DS480" i="3"/>
  <c r="DS479" i="3"/>
  <c r="DS478" i="3"/>
  <c r="DS477" i="3"/>
  <c r="DS476" i="3"/>
  <c r="DS475" i="3"/>
  <c r="DS474" i="3"/>
  <c r="DS473" i="3"/>
  <c r="DS472" i="3"/>
  <c r="DS471" i="3"/>
  <c r="DS470" i="3"/>
  <c r="DS469" i="3"/>
  <c r="DS468" i="3"/>
  <c r="DS467" i="3"/>
  <c r="DS466" i="3"/>
  <c r="DS465" i="3"/>
  <c r="DS464" i="3"/>
  <c r="DS463" i="3"/>
  <c r="DS462" i="3"/>
  <c r="DS461" i="3"/>
  <c r="DS460" i="3"/>
  <c r="DS459" i="3"/>
  <c r="DS458" i="3"/>
  <c r="DS457" i="3"/>
  <c r="DS456" i="3"/>
  <c r="DS455" i="3"/>
  <c r="DS454" i="3"/>
  <c r="DS453" i="3"/>
  <c r="DS452" i="3"/>
  <c r="DS451" i="3"/>
  <c r="DS450" i="3"/>
  <c r="DS449" i="3"/>
  <c r="DS448" i="3"/>
  <c r="DS447" i="3"/>
  <c r="DS446" i="3"/>
  <c r="DS445" i="3"/>
  <c r="DS444" i="3"/>
  <c r="DS443" i="3"/>
  <c r="DS442" i="3"/>
  <c r="DS441" i="3"/>
  <c r="DS440" i="3"/>
  <c r="DS439" i="3"/>
  <c r="DS438" i="3"/>
  <c r="DS437" i="3"/>
  <c r="DS436" i="3"/>
  <c r="DS435" i="3"/>
  <c r="DS434" i="3"/>
  <c r="DS433" i="3"/>
  <c r="DS432" i="3"/>
  <c r="DS431" i="3"/>
  <c r="DS430" i="3"/>
  <c r="DS429" i="3"/>
  <c r="DS428" i="3"/>
  <c r="DS427" i="3"/>
  <c r="DS426" i="3"/>
  <c r="DS425" i="3"/>
  <c r="DS424" i="3"/>
  <c r="DS423" i="3"/>
  <c r="DS422" i="3"/>
  <c r="DS421" i="3"/>
  <c r="DS420" i="3"/>
  <c r="DS419" i="3"/>
  <c r="DS418" i="3"/>
  <c r="DS417" i="3"/>
  <c r="DS416" i="3"/>
  <c r="DS415" i="3"/>
  <c r="DS414" i="3"/>
  <c r="DS413" i="3"/>
  <c r="DS412" i="3"/>
  <c r="DS411" i="3"/>
  <c r="DS410" i="3"/>
  <c r="DS409" i="3"/>
  <c r="DS408" i="3"/>
  <c r="DS407" i="3"/>
  <c r="DS406" i="3"/>
  <c r="DS405" i="3"/>
  <c r="DS404" i="3"/>
  <c r="DS403" i="3"/>
  <c r="DS402" i="3"/>
  <c r="DS401" i="3"/>
  <c r="DS400" i="3"/>
  <c r="DS399" i="3"/>
  <c r="DS398" i="3"/>
  <c r="DS397" i="3"/>
  <c r="DS396" i="3"/>
  <c r="DS395" i="3"/>
  <c r="DS394" i="3"/>
  <c r="DS393" i="3"/>
  <c r="DS392" i="3"/>
  <c r="DS391" i="3"/>
  <c r="DS390" i="3"/>
  <c r="DS389" i="3"/>
  <c r="DS388" i="3"/>
  <c r="DS387" i="3"/>
  <c r="DS386" i="3"/>
  <c r="DS385" i="3"/>
  <c r="DS384" i="3"/>
  <c r="DS383" i="3"/>
  <c r="DS382" i="3"/>
  <c r="DS381" i="3"/>
  <c r="DS380" i="3"/>
  <c r="DS379" i="3"/>
  <c r="DS378" i="3"/>
  <c r="DS377" i="3"/>
  <c r="DS376" i="3"/>
  <c r="DS375" i="3"/>
  <c r="DS374" i="3"/>
  <c r="DS373" i="3"/>
  <c r="DS372" i="3"/>
  <c r="DS371" i="3"/>
  <c r="DS370" i="3"/>
  <c r="DS369" i="3"/>
  <c r="DS368" i="3"/>
  <c r="DS367" i="3"/>
  <c r="DS366" i="3"/>
  <c r="DS365" i="3"/>
  <c r="DS364" i="3"/>
  <c r="DS363" i="3"/>
  <c r="DS362" i="3"/>
  <c r="DS361" i="3"/>
  <c r="DS360" i="3"/>
  <c r="DS359" i="3"/>
  <c r="DS358" i="3"/>
  <c r="DS357" i="3"/>
  <c r="DS356" i="3"/>
  <c r="DS355" i="3"/>
  <c r="DS354" i="3"/>
  <c r="DS353" i="3"/>
  <c r="DS352" i="3"/>
  <c r="DS351" i="3"/>
  <c r="DS350" i="3"/>
  <c r="DS349" i="3"/>
  <c r="DS348" i="3"/>
  <c r="DS347" i="3"/>
  <c r="DS346" i="3"/>
  <c r="DS345" i="3"/>
  <c r="DS344" i="3"/>
  <c r="DS343" i="3"/>
  <c r="DS342" i="3"/>
  <c r="DS341" i="3"/>
  <c r="DS340" i="3"/>
  <c r="DS339" i="3"/>
  <c r="DS338" i="3"/>
  <c r="DS337" i="3"/>
  <c r="DS336" i="3"/>
  <c r="DS335" i="3"/>
  <c r="DS334" i="3"/>
  <c r="DS333" i="3"/>
  <c r="DS332" i="3"/>
  <c r="DS331" i="3"/>
  <c r="DS330" i="3"/>
  <c r="DS329" i="3"/>
  <c r="DS328" i="3"/>
  <c r="DS327" i="3"/>
  <c r="DS326" i="3"/>
  <c r="DS325" i="3"/>
  <c r="DS324" i="3"/>
  <c r="DS323" i="3"/>
  <c r="DS322" i="3"/>
  <c r="DS321" i="3"/>
  <c r="DS320" i="3"/>
  <c r="DS319" i="3"/>
  <c r="DS318" i="3"/>
  <c r="DS317" i="3"/>
  <c r="DS316" i="3"/>
  <c r="DS315" i="3"/>
  <c r="DS314" i="3"/>
  <c r="DS313" i="3"/>
  <c r="DS312" i="3"/>
  <c r="DS311" i="3"/>
  <c r="DS310" i="3"/>
  <c r="DS309" i="3"/>
  <c r="DS308" i="3"/>
  <c r="DS307" i="3"/>
  <c r="DS306" i="3"/>
  <c r="DS305" i="3"/>
  <c r="DS304" i="3"/>
  <c r="DS303" i="3"/>
  <c r="DS302" i="3"/>
  <c r="DS301" i="3"/>
  <c r="DS300" i="3"/>
  <c r="DS299" i="3"/>
  <c r="DS298" i="3"/>
  <c r="DS297" i="3"/>
  <c r="DS296" i="3"/>
  <c r="DS295" i="3"/>
  <c r="DS294" i="3"/>
  <c r="DS293" i="3"/>
  <c r="DS292" i="3"/>
  <c r="DS291" i="3"/>
  <c r="DS290" i="3"/>
  <c r="DS289" i="3"/>
  <c r="DS288" i="3"/>
  <c r="DS287" i="3"/>
  <c r="DS286" i="3"/>
  <c r="DS285" i="3"/>
  <c r="DS284" i="3"/>
  <c r="DS283" i="3"/>
  <c r="DS282" i="3"/>
  <c r="DS281" i="3"/>
  <c r="DS280" i="3"/>
  <c r="DS279" i="3"/>
  <c r="DS278" i="3"/>
  <c r="DS277" i="3"/>
  <c r="DS276" i="3"/>
  <c r="DS275" i="3"/>
  <c r="DS274" i="3"/>
  <c r="DS273" i="3"/>
  <c r="DS272" i="3"/>
  <c r="DS271" i="3"/>
  <c r="DS270" i="3"/>
  <c r="DS269" i="3"/>
  <c r="DS268" i="3"/>
  <c r="DS267" i="3"/>
  <c r="DS266" i="3"/>
  <c r="DS265" i="3"/>
  <c r="DS264" i="3"/>
  <c r="DS263" i="3"/>
  <c r="DS262" i="3"/>
  <c r="DS261" i="3"/>
  <c r="DS260" i="3"/>
  <c r="DS259" i="3"/>
  <c r="DS258" i="3"/>
  <c r="DS257" i="3"/>
  <c r="DS256" i="3"/>
  <c r="DS255" i="3"/>
  <c r="DS254" i="3"/>
  <c r="DS253" i="3"/>
  <c r="DS252" i="3"/>
  <c r="DS251" i="3"/>
  <c r="DS250" i="3"/>
  <c r="DS249" i="3"/>
  <c r="DS248" i="3"/>
  <c r="DS247" i="3"/>
  <c r="DS246" i="3"/>
  <c r="DS245" i="3"/>
  <c r="DS244" i="3"/>
  <c r="DS243" i="3"/>
  <c r="DS242" i="3"/>
  <c r="DS241" i="3"/>
  <c r="DS240" i="3"/>
  <c r="DS239" i="3"/>
  <c r="DS238" i="3"/>
  <c r="DS237" i="3"/>
  <c r="DS236" i="3"/>
  <c r="DS235" i="3"/>
  <c r="DS234" i="3"/>
  <c r="DS233" i="3"/>
  <c r="DS232" i="3"/>
  <c r="DS231" i="3"/>
  <c r="DS230" i="3"/>
  <c r="DS229" i="3"/>
  <c r="DS228" i="3"/>
  <c r="DS227" i="3"/>
  <c r="DS226" i="3"/>
  <c r="DS225" i="3"/>
  <c r="DS224" i="3"/>
  <c r="DS223" i="3"/>
  <c r="DS222" i="3"/>
  <c r="DS221" i="3"/>
  <c r="DS220" i="3"/>
  <c r="DS219" i="3"/>
  <c r="DS218" i="3"/>
  <c r="DS217" i="3"/>
  <c r="DS216" i="3"/>
  <c r="DS215" i="3"/>
  <c r="DS214" i="3"/>
  <c r="DS213" i="3"/>
  <c r="DS212" i="3"/>
  <c r="DS211" i="3"/>
  <c r="DS210" i="3"/>
  <c r="DS209" i="3"/>
  <c r="DS208" i="3"/>
  <c r="DS207" i="3"/>
  <c r="DS206" i="3"/>
  <c r="DS205" i="3"/>
  <c r="DS204" i="3"/>
  <c r="DS203" i="3"/>
  <c r="DS202" i="3"/>
  <c r="DS201" i="3"/>
  <c r="DS200" i="3"/>
  <c r="DS199" i="3"/>
  <c r="DS198" i="3"/>
  <c r="DS197" i="3"/>
  <c r="DS196" i="3"/>
  <c r="DS195" i="3"/>
  <c r="DS194" i="3"/>
  <c r="DS193" i="3"/>
  <c r="DS192" i="3"/>
  <c r="DS191" i="3"/>
  <c r="DS190" i="3"/>
  <c r="DS189" i="3"/>
  <c r="DS188" i="3"/>
  <c r="DS187" i="3"/>
  <c r="DS186" i="3"/>
  <c r="DS185" i="3"/>
  <c r="DS184" i="3"/>
  <c r="DS183" i="3"/>
  <c r="DS182" i="3"/>
  <c r="DS181" i="3"/>
  <c r="DS180" i="3"/>
  <c r="DS179" i="3"/>
  <c r="DS178" i="3"/>
  <c r="DS177" i="3"/>
  <c r="DS176" i="3"/>
  <c r="DS175" i="3"/>
  <c r="DS174" i="3"/>
  <c r="DS173" i="3"/>
  <c r="DS172" i="3"/>
  <c r="DS171" i="3"/>
  <c r="DS170" i="3"/>
  <c r="DS169" i="3"/>
  <c r="DS168" i="3"/>
  <c r="DS167" i="3"/>
  <c r="DS166" i="3"/>
  <c r="DS165" i="3"/>
  <c r="DS164" i="3"/>
  <c r="DS163" i="3"/>
  <c r="DS162" i="3"/>
  <c r="DS161" i="3"/>
  <c r="DS160" i="3"/>
  <c r="DS159" i="3"/>
  <c r="DS158" i="3"/>
  <c r="DS157" i="3"/>
  <c r="DS156" i="3"/>
  <c r="DS155" i="3"/>
  <c r="DS154" i="3"/>
  <c r="DS153" i="3"/>
  <c r="DS152" i="3"/>
  <c r="DS151" i="3"/>
  <c r="DS150" i="3"/>
  <c r="DS149" i="3"/>
  <c r="DS148" i="3"/>
  <c r="DS147" i="3"/>
  <c r="DS146" i="3"/>
  <c r="DS145" i="3"/>
  <c r="DS144" i="3"/>
  <c r="DS143" i="3"/>
  <c r="DS142" i="3"/>
  <c r="DS141" i="3"/>
  <c r="DS140" i="3"/>
  <c r="DS139" i="3"/>
  <c r="DS138" i="3"/>
  <c r="DS137" i="3"/>
  <c r="DS136" i="3"/>
  <c r="DS135" i="3"/>
  <c r="DS134" i="3"/>
  <c r="DS133" i="3"/>
  <c r="DS132" i="3"/>
  <c r="DS131" i="3"/>
  <c r="DS130" i="3"/>
  <c r="DS129" i="3"/>
  <c r="DS128" i="3"/>
  <c r="DS127" i="3"/>
  <c r="DS126" i="3"/>
  <c r="DS125" i="3"/>
  <c r="DS124" i="3"/>
  <c r="DS123" i="3"/>
  <c r="DS122" i="3"/>
  <c r="DS121" i="3"/>
  <c r="DS120" i="3"/>
  <c r="DS115" i="3"/>
  <c r="DS112" i="3"/>
  <c r="DS111" i="3"/>
  <c r="DS110" i="3"/>
  <c r="DS109" i="3"/>
  <c r="DS108" i="3"/>
  <c r="DS107" i="3"/>
  <c r="DS106" i="3"/>
  <c r="DS105" i="3"/>
  <c r="DS104" i="3"/>
  <c r="DS103" i="3"/>
  <c r="DS102" i="3"/>
  <c r="DS101" i="3"/>
  <c r="DS100" i="3"/>
  <c r="DS99" i="3"/>
  <c r="DS98" i="3"/>
  <c r="DS97" i="3"/>
  <c r="DS96" i="3"/>
  <c r="DS95" i="3"/>
  <c r="DS94" i="3"/>
  <c r="DS93" i="3"/>
  <c r="DS92" i="3"/>
  <c r="DS91" i="3"/>
  <c r="DS90" i="3"/>
  <c r="DS89" i="3"/>
  <c r="DS88" i="3"/>
  <c r="DS87" i="3"/>
  <c r="DS86" i="3"/>
  <c r="DS85" i="3"/>
  <c r="DS84" i="3"/>
  <c r="DS83" i="3"/>
  <c r="DS82" i="3"/>
  <c r="DS81" i="3"/>
  <c r="DS80" i="3"/>
  <c r="DS79" i="3"/>
  <c r="DS78" i="3"/>
  <c r="DS77" i="3"/>
  <c r="DS76" i="3"/>
  <c r="DS75" i="3"/>
  <c r="DS74" i="3"/>
  <c r="DS73" i="3"/>
  <c r="DS72" i="3"/>
  <c r="DS71" i="3"/>
  <c r="DS70" i="3"/>
  <c r="DS69" i="3"/>
  <c r="DS68" i="3"/>
  <c r="DS67" i="3"/>
  <c r="DS66" i="3"/>
  <c r="DS65" i="3"/>
  <c r="DS64" i="3"/>
  <c r="DS63" i="3"/>
  <c r="DS62" i="3"/>
  <c r="DS61" i="3"/>
  <c r="DS60" i="3"/>
  <c r="DS59" i="3"/>
  <c r="DS58" i="3"/>
  <c r="DS57" i="3"/>
  <c r="DS56" i="3"/>
  <c r="DS55" i="3"/>
  <c r="DS54" i="3"/>
  <c r="DS53" i="3"/>
  <c r="DS52" i="3"/>
  <c r="DS51" i="3"/>
  <c r="DS50" i="3"/>
  <c r="DS49" i="3"/>
  <c r="DS48" i="3"/>
  <c r="DS47" i="3"/>
  <c r="DS46" i="3"/>
  <c r="DS45" i="3"/>
  <c r="DS44" i="3"/>
  <c r="DS43" i="3"/>
  <c r="DS42" i="3"/>
  <c r="DS41" i="3"/>
  <c r="DS40" i="3"/>
  <c r="DS39" i="3"/>
  <c r="DS38" i="3"/>
  <c r="DS37" i="3"/>
  <c r="DS36" i="3"/>
  <c r="DS35" i="3"/>
  <c r="DS34" i="3"/>
  <c r="DS33" i="3"/>
  <c r="DS32" i="3"/>
  <c r="DS31" i="3"/>
  <c r="DS30" i="3"/>
  <c r="DS29" i="3"/>
  <c r="DS28" i="3"/>
  <c r="DS27" i="3"/>
  <c r="DS26" i="3"/>
  <c r="DS25" i="3"/>
  <c r="DS24" i="3"/>
  <c r="DS23" i="3"/>
  <c r="DS22" i="3"/>
  <c r="DS21" i="3"/>
  <c r="DS20" i="3"/>
  <c r="DS19" i="3"/>
  <c r="DS18" i="3"/>
  <c r="DS17" i="3"/>
  <c r="DS16" i="3"/>
  <c r="DS15" i="3"/>
  <c r="DS14" i="3"/>
  <c r="DS13" i="3"/>
  <c r="DS12" i="3"/>
  <c r="DS11" i="3"/>
  <c r="DS10" i="3"/>
  <c r="DS9" i="3"/>
  <c r="DS8" i="3"/>
  <c r="DS7" i="3"/>
  <c r="DS6" i="3"/>
  <c r="DS5" i="3"/>
  <c r="DS4" i="3"/>
  <c r="CZ3288" i="3"/>
  <c r="CY3288" i="3"/>
  <c r="CX3288" i="3"/>
  <c r="CW3288" i="3"/>
  <c r="DB3288" i="3"/>
  <c r="CB3288" i="3" s="1"/>
  <c r="CZ3287" i="3"/>
  <c r="CY3287" i="3"/>
  <c r="CX3287" i="3"/>
  <c r="CW3287" i="3"/>
  <c r="B3282" i="3"/>
  <c r="BM3242" i="3"/>
  <c r="AY3242" i="3"/>
  <c r="AK3242" i="3"/>
  <c r="CZ1229" i="3"/>
  <c r="CW1229" i="3"/>
  <c r="CZ1250" i="3"/>
  <c r="CW1250" i="3"/>
  <c r="CZ1093" i="3"/>
  <c r="CW1093" i="3"/>
  <c r="CZ1087" i="3"/>
  <c r="CW1087" i="3"/>
  <c r="CZ1067" i="3"/>
  <c r="CW1067" i="3"/>
  <c r="CZ1061" i="3"/>
  <c r="CW1061" i="3"/>
  <c r="CZ971" i="3"/>
  <c r="CW971" i="3"/>
  <c r="CZ965" i="3"/>
  <c r="CW965" i="3"/>
  <c r="CZ945" i="3"/>
  <c r="CW945" i="3"/>
  <c r="CZ939" i="3"/>
  <c r="CW939" i="3"/>
  <c r="CZ2936" i="3"/>
  <c r="CW2936" i="3"/>
  <c r="DB2936" i="3"/>
  <c r="CB2936" i="3" s="1"/>
  <c r="CZ2986" i="3"/>
  <c r="CW2986" i="3"/>
  <c r="CZ2985" i="3"/>
  <c r="CW2985" i="3"/>
  <c r="BT2986" i="3"/>
  <c r="BT2985" i="3"/>
  <c r="BO2986" i="3"/>
  <c r="BO2985" i="3"/>
  <c r="AW2986" i="3"/>
  <c r="AW2985" i="3"/>
  <c r="AR2986" i="3"/>
  <c r="AR2985" i="3"/>
  <c r="CZ2983" i="3"/>
  <c r="CW2983" i="3"/>
  <c r="BT2983" i="3"/>
  <c r="BO2983" i="3"/>
  <c r="AR2983" i="3"/>
  <c r="AW2983" i="3"/>
  <c r="BB2933" i="3"/>
  <c r="CW2404" i="3"/>
  <c r="DA2404" i="3" s="1"/>
  <c r="DB2404" i="3"/>
  <c r="CB2404" i="3" s="1"/>
  <c r="CW2403" i="3"/>
  <c r="DA2403" i="3" s="1"/>
  <c r="DB2403" i="3"/>
  <c r="CB2403" i="3" s="1"/>
  <c r="CZ2214" i="3"/>
  <c r="DA2214" i="3" s="1"/>
  <c r="DB2214" i="3" s="1"/>
  <c r="CB2214" i="3" s="1"/>
  <c r="CZ2213" i="3"/>
  <c r="CZ2212" i="3"/>
  <c r="CZ2211" i="3"/>
  <c r="CZ2210" i="3"/>
  <c r="CZ2209" i="3"/>
  <c r="CZ2208" i="3"/>
  <c r="CZ2207" i="3"/>
  <c r="DA2207" i="3" s="1"/>
  <c r="DB2207" i="3" s="1"/>
  <c r="CB2207" i="3" s="1"/>
  <c r="CW2213" i="3"/>
  <c r="DA2213" i="3" s="1"/>
  <c r="DB2213" i="3" s="1"/>
  <c r="CB2213" i="3" s="1"/>
  <c r="CW2212" i="3"/>
  <c r="DA2212" i="3" s="1"/>
  <c r="DB2212" i="3" s="1"/>
  <c r="CB2212" i="3" s="1"/>
  <c r="CW2211" i="3"/>
  <c r="CW2210" i="3"/>
  <c r="DA2210" i="3" s="1"/>
  <c r="DB2210" i="3" s="1"/>
  <c r="CB2210" i="3" s="1"/>
  <c r="CW2209" i="3"/>
  <c r="DA2209" i="3" s="1"/>
  <c r="DB2209" i="3" s="1"/>
  <c r="CB2209" i="3" s="1"/>
  <c r="CW2208" i="3"/>
  <c r="DA2208" i="3" s="1"/>
  <c r="DB2208" i="3" s="1"/>
  <c r="CB2208" i="3" s="1"/>
  <c r="B2208" i="3"/>
  <c r="B1774" i="3"/>
  <c r="CX862" i="3"/>
  <c r="CX861" i="3"/>
  <c r="CX860" i="3"/>
  <c r="CX859" i="3"/>
  <c r="CX858" i="3"/>
  <c r="CX857" i="3"/>
  <c r="CX856" i="3"/>
  <c r="CX855" i="3"/>
  <c r="CX854" i="3"/>
  <c r="CW864" i="3"/>
  <c r="DA864" i="3" s="1"/>
  <c r="DB864" i="3" s="1"/>
  <c r="CB864" i="3" s="1"/>
  <c r="CW865" i="3"/>
  <c r="DA865" i="3" s="1"/>
  <c r="DB865" i="3" s="1"/>
  <c r="CB865" i="3" s="1"/>
  <c r="CW863" i="3"/>
  <c r="CW862" i="3"/>
  <c r="CW861" i="3"/>
  <c r="CW860" i="3"/>
  <c r="CW859" i="3"/>
  <c r="CW858" i="3"/>
  <c r="CW857" i="3"/>
  <c r="CW856" i="3"/>
  <c r="CW855" i="3"/>
  <c r="CW854" i="3"/>
  <c r="CW853" i="3"/>
  <c r="CW852" i="3"/>
  <c r="CW851" i="3"/>
  <c r="B851" i="3"/>
  <c r="CZ177" i="3"/>
  <c r="DA177" i="3" s="1"/>
  <c r="DB177" i="3"/>
  <c r="CB177" i="3" s="1"/>
  <c r="BN172" i="3"/>
  <c r="BE3421" i="3"/>
  <c r="AS3421" i="3"/>
  <c r="AG3421" i="3"/>
  <c r="T3421" i="3"/>
  <c r="BE3393" i="3"/>
  <c r="AS3393" i="3"/>
  <c r="BT2989" i="3"/>
  <c r="BT2990" i="3" s="1"/>
  <c r="BT2984" i="3"/>
  <c r="BO2984" i="3"/>
  <c r="BO2982" i="3"/>
  <c r="BT2982" i="3"/>
  <c r="BO2981" i="3"/>
  <c r="BT2981" i="3"/>
  <c r="BO2980" i="3"/>
  <c r="BB2929" i="3"/>
  <c r="AB2929" i="3"/>
  <c r="AW2854" i="3"/>
  <c r="AW2843" i="3"/>
  <c r="AW2840" i="3" s="1"/>
  <c r="AW2829" i="3"/>
  <c r="AW2818" i="3"/>
  <c r="AW2812" i="3"/>
  <c r="BG2722" i="3"/>
  <c r="AL2722" i="3"/>
  <c r="BG2711" i="3"/>
  <c r="BG2708" i="3" s="1"/>
  <c r="AL2711" i="3"/>
  <c r="AL2708" i="3" s="1"/>
  <c r="BG2697" i="3"/>
  <c r="AL2697" i="3"/>
  <c r="BD2648" i="3"/>
  <c r="BD2647" i="3"/>
  <c r="BD2646" i="3"/>
  <c r="AF2649" i="3"/>
  <c r="T2649" i="3"/>
  <c r="BR2612" i="3"/>
  <c r="BG2612" i="3"/>
  <c r="AW2612" i="3"/>
  <c r="AM2612" i="3"/>
  <c r="AC2612" i="3"/>
  <c r="S2612" i="3"/>
  <c r="CX2611" i="3"/>
  <c r="BP2544" i="3"/>
  <c r="BC2544" i="3"/>
  <c r="AQ2544" i="3"/>
  <c r="AE2544" i="3"/>
  <c r="BP2533" i="3"/>
  <c r="BC2533" i="3"/>
  <c r="AE2533" i="3"/>
  <c r="BG2442" i="3"/>
  <c r="AM2442" i="3"/>
  <c r="BG2431" i="3"/>
  <c r="AM2431" i="3"/>
  <c r="BG2420" i="3"/>
  <c r="AM2420" i="3"/>
  <c r="BQ2226" i="3"/>
  <c r="BG2226" i="3"/>
  <c r="AX2226" i="3"/>
  <c r="AL2226" i="3"/>
  <c r="AD2226" i="3"/>
  <c r="U2226" i="3"/>
  <c r="BB2203" i="3"/>
  <c r="AB2203" i="3"/>
  <c r="BN2147" i="3"/>
  <c r="BN2146" i="3"/>
  <c r="BN2145" i="3"/>
  <c r="BN2144" i="3"/>
  <c r="BN2143" i="3"/>
  <c r="BN2142" i="3"/>
  <c r="BN2141" i="3"/>
  <c r="BN2140" i="3"/>
  <c r="BN2139" i="3"/>
  <c r="BN2138" i="3"/>
  <c r="BD2137" i="3"/>
  <c r="AS2137" i="3"/>
  <c r="AG2137" i="3"/>
  <c r="T2137" i="3"/>
  <c r="BN2136" i="3"/>
  <c r="BN2135" i="3"/>
  <c r="BN2134" i="3"/>
  <c r="BN2133" i="3"/>
  <c r="BN2132" i="3"/>
  <c r="BN2131" i="3"/>
  <c r="BN2130" i="3"/>
  <c r="BN2129" i="3"/>
  <c r="BN2128" i="3"/>
  <c r="BN2127" i="3"/>
  <c r="BD2126" i="3"/>
  <c r="AS2126" i="3"/>
  <c r="AG2126" i="3"/>
  <c r="T2126" i="3"/>
  <c r="BN2118" i="3"/>
  <c r="BN2117" i="3"/>
  <c r="BN2116" i="3"/>
  <c r="BN2115" i="3"/>
  <c r="BN2114" i="3"/>
  <c r="BN2113" i="3"/>
  <c r="BN2112" i="3"/>
  <c r="BN2111" i="3"/>
  <c r="BN2110" i="3"/>
  <c r="BN2109" i="3"/>
  <c r="BD2108" i="3"/>
  <c r="AS2108" i="3"/>
  <c r="AG2108" i="3"/>
  <c r="T2108" i="3"/>
  <c r="BD2097" i="3"/>
  <c r="BN2107" i="3"/>
  <c r="BN2106" i="3"/>
  <c r="BN2105" i="3"/>
  <c r="BN2104" i="3"/>
  <c r="BN2103" i="3"/>
  <c r="BN2102" i="3"/>
  <c r="BN2101" i="3"/>
  <c r="BN2100" i="3"/>
  <c r="BN2099" i="3"/>
  <c r="BN2098" i="3"/>
  <c r="T2097" i="3"/>
  <c r="BB2034" i="3"/>
  <c r="BG1925" i="3"/>
  <c r="AL1925" i="3"/>
  <c r="BG1914" i="3"/>
  <c r="AL1914" i="3"/>
  <c r="BG1903" i="3"/>
  <c r="AL1903" i="3"/>
  <c r="BG1892" i="3"/>
  <c r="AL1892" i="3"/>
  <c r="BG1783" i="3"/>
  <c r="BP1760" i="3"/>
  <c r="BP1759" i="3"/>
  <c r="BD1761" i="3"/>
  <c r="AT1761" i="3"/>
  <c r="AH1761" i="3"/>
  <c r="BE1751" i="3"/>
  <c r="AT1751" i="3"/>
  <c r="AH1751" i="3"/>
  <c r="BP1750" i="3"/>
  <c r="BP1749" i="3"/>
  <c r="BP1748" i="3"/>
  <c r="BP1747" i="3"/>
  <c r="BP1746" i="3"/>
  <c r="BP1745" i="3"/>
  <c r="BP1738" i="3"/>
  <c r="BP1737" i="3"/>
  <c r="BP1736" i="3"/>
  <c r="BP1735" i="3"/>
  <c r="BP1734" i="3"/>
  <c r="BP1733" i="3"/>
  <c r="BE1739" i="3"/>
  <c r="BQ1644" i="3"/>
  <c r="BG1644" i="3"/>
  <c r="AX1644" i="3"/>
  <c r="AT1609" i="3"/>
  <c r="Y1609" i="3"/>
  <c r="BM1608" i="3"/>
  <c r="BM1607" i="3"/>
  <c r="BM1606" i="3"/>
  <c r="BM1605" i="3"/>
  <c r="BM1604" i="3"/>
  <c r="BM1603" i="3"/>
  <c r="BM1602" i="3"/>
  <c r="AT1600" i="3"/>
  <c r="Y1600" i="3"/>
  <c r="BM1599" i="3"/>
  <c r="BM1598" i="3"/>
  <c r="BM1597" i="3"/>
  <c r="BM1596" i="3"/>
  <c r="BM1595" i="3"/>
  <c r="AT1587" i="3"/>
  <c r="Y1587" i="3"/>
  <c r="AT1578" i="3"/>
  <c r="Y1578" i="3"/>
  <c r="BD1565" i="3"/>
  <c r="AS1565" i="3"/>
  <c r="AG1565" i="3"/>
  <c r="T1565" i="3"/>
  <c r="BP1564" i="3"/>
  <c r="BP1563" i="3"/>
  <c r="BP1562" i="3"/>
  <c r="BP1561" i="3"/>
  <c r="BP1560" i="3"/>
  <c r="BD1554" i="3"/>
  <c r="BP1553" i="3"/>
  <c r="BP1552" i="3"/>
  <c r="BP1551" i="3"/>
  <c r="BP1550" i="3"/>
  <c r="BP1549" i="3"/>
  <c r="BD1401" i="3"/>
  <c r="U1401" i="3"/>
  <c r="BQ1400" i="3"/>
  <c r="BQ1399" i="3"/>
  <c r="BQ1398" i="3"/>
  <c r="BQ1397" i="3"/>
  <c r="BQ1396" i="3"/>
  <c r="BQ1395" i="3"/>
  <c r="BQ1394" i="3"/>
  <c r="BN1357" i="3"/>
  <c r="BN1356" i="3"/>
  <c r="BN1355" i="3"/>
  <c r="BN1354" i="3"/>
  <c r="BF1344" i="3"/>
  <c r="AV1344" i="3"/>
  <c r="AM1344" i="3"/>
  <c r="AD1344" i="3"/>
  <c r="BQ1343" i="3"/>
  <c r="BQ1342" i="3"/>
  <c r="BQ1341" i="3"/>
  <c r="BR1330" i="3"/>
  <c r="BO1276" i="3"/>
  <c r="BO1275" i="3"/>
  <c r="BO1274" i="3"/>
  <c r="BO1273" i="3"/>
  <c r="BO1272" i="3"/>
  <c r="BO1271" i="3"/>
  <c r="BO1270" i="3"/>
  <c r="BO1269" i="3"/>
  <c r="BO1268" i="3"/>
  <c r="BO1267" i="3"/>
  <c r="BL1253" i="3"/>
  <c r="BF1253" i="3"/>
  <c r="AZ1253" i="3"/>
  <c r="AT1253" i="3"/>
  <c r="AL1253" i="3"/>
  <c r="AD1253" i="3"/>
  <c r="W1253" i="3"/>
  <c r="Q1253" i="3"/>
  <c r="BL1251" i="3"/>
  <c r="BF1251" i="3"/>
  <c r="AZ1251" i="3"/>
  <c r="AT1251" i="3"/>
  <c r="AL1251" i="3"/>
  <c r="AD1251" i="3"/>
  <c r="W1251" i="3"/>
  <c r="Q1251" i="3"/>
  <c r="BS1250" i="3"/>
  <c r="BS1249" i="3"/>
  <c r="BS1248" i="3"/>
  <c r="BS1247" i="3"/>
  <c r="BL1245" i="3"/>
  <c r="BF1245" i="3"/>
  <c r="BF1254" i="3" s="1"/>
  <c r="AZ1245" i="3"/>
  <c r="AZ1254" i="3" s="1"/>
  <c r="AT1245" i="3"/>
  <c r="AT1254" i="3" s="1"/>
  <c r="AL1245" i="3"/>
  <c r="AL1254" i="3" s="1"/>
  <c r="AD1245" i="3"/>
  <c r="AD1254" i="3" s="1"/>
  <c r="W1245" i="3"/>
  <c r="W1254" i="3" s="1"/>
  <c r="Q1245" i="3"/>
  <c r="Q1254" i="3" s="1"/>
  <c r="BS1244" i="3"/>
  <c r="BS1243" i="3"/>
  <c r="BS1242" i="3"/>
  <c r="BS1241" i="3"/>
  <c r="BL1233" i="3"/>
  <c r="BF1233" i="3"/>
  <c r="AZ1233" i="3"/>
  <c r="AT1233" i="3"/>
  <c r="AL1233" i="3"/>
  <c r="AD1233" i="3"/>
  <c r="W1233" i="3"/>
  <c r="Q1233" i="3"/>
  <c r="BL1231" i="3"/>
  <c r="BF1231" i="3"/>
  <c r="AZ1231" i="3"/>
  <c r="AT1231" i="3"/>
  <c r="AL1231" i="3"/>
  <c r="AD1231" i="3"/>
  <c r="W1231" i="3"/>
  <c r="Q1231" i="3"/>
  <c r="BS1230" i="3"/>
  <c r="BS1229" i="3"/>
  <c r="BS1228" i="3"/>
  <c r="BS1227" i="3"/>
  <c r="BL1094" i="3"/>
  <c r="BF1094" i="3"/>
  <c r="AZ1094" i="3"/>
  <c r="AT1094" i="3"/>
  <c r="AL1094" i="3"/>
  <c r="AD1094" i="3"/>
  <c r="W1094" i="3"/>
  <c r="Q1094" i="3"/>
  <c r="BL1088" i="3"/>
  <c r="BF1088" i="3"/>
  <c r="AZ1088" i="3"/>
  <c r="AT1088" i="3"/>
  <c r="AL1088" i="3"/>
  <c r="AD1088" i="3"/>
  <c r="W1088" i="3"/>
  <c r="Q1088" i="3"/>
  <c r="BS1093" i="3"/>
  <c r="BS1087" i="3"/>
  <c r="BL1068" i="3"/>
  <c r="BF1068" i="3"/>
  <c r="AZ1068" i="3"/>
  <c r="AT1068" i="3"/>
  <c r="AL1068" i="3"/>
  <c r="AD1068" i="3"/>
  <c r="W1068" i="3"/>
  <c r="Q1068" i="3"/>
  <c r="BL1062" i="3"/>
  <c r="BF1062" i="3"/>
  <c r="AZ1062" i="3"/>
  <c r="AT1062" i="3"/>
  <c r="AL1062" i="3"/>
  <c r="AD1062" i="3"/>
  <c r="W1062" i="3"/>
  <c r="Q1062" i="3"/>
  <c r="BS1067" i="3"/>
  <c r="BS1061" i="3"/>
  <c r="BJ972" i="3"/>
  <c r="BC972" i="3"/>
  <c r="AW972" i="3"/>
  <c r="AR972" i="3"/>
  <c r="AJ972" i="3"/>
  <c r="AD972" i="3"/>
  <c r="W972" i="3"/>
  <c r="BJ966" i="3"/>
  <c r="BC966" i="3"/>
  <c r="AW966" i="3"/>
  <c r="AR966" i="3"/>
  <c r="AJ966" i="3"/>
  <c r="AD966" i="3"/>
  <c r="W966" i="3"/>
  <c r="BQ971" i="3"/>
  <c r="BQ965" i="3"/>
  <c r="BJ946" i="3"/>
  <c r="BC946" i="3"/>
  <c r="AW946" i="3"/>
  <c r="AR946" i="3"/>
  <c r="AJ946" i="3"/>
  <c r="AD946" i="3"/>
  <c r="W946" i="3"/>
  <c r="BQ945" i="3"/>
  <c r="BJ940" i="3"/>
  <c r="BC940" i="3"/>
  <c r="AW940" i="3"/>
  <c r="AR940" i="3"/>
  <c r="AJ940" i="3"/>
  <c r="AD940" i="3"/>
  <c r="W940" i="3"/>
  <c r="BQ939" i="3"/>
  <c r="BQ938" i="3"/>
  <c r="BL1225" i="3"/>
  <c r="BF1225" i="3"/>
  <c r="AZ1225" i="3"/>
  <c r="AT1225" i="3"/>
  <c r="AL1225" i="3"/>
  <c r="AD1225" i="3"/>
  <c r="W1225" i="3"/>
  <c r="Q1225" i="3"/>
  <c r="BS1224" i="3"/>
  <c r="BS1223" i="3"/>
  <c r="BS1222" i="3"/>
  <c r="BS1221" i="3"/>
  <c r="BO1134" i="3"/>
  <c r="BO1133" i="3"/>
  <c r="BO1132" i="3"/>
  <c r="BO1131" i="3"/>
  <c r="BO1130" i="3"/>
  <c r="BO1129" i="3"/>
  <c r="BO1128" i="3"/>
  <c r="BO1127" i="3"/>
  <c r="BO1126" i="3"/>
  <c r="BO1125" i="3"/>
  <c r="BL1096" i="3"/>
  <c r="BF1096" i="3"/>
  <c r="AZ1096" i="3"/>
  <c r="AT1096" i="3"/>
  <c r="AL1096" i="3"/>
  <c r="AD1096" i="3"/>
  <c r="W1096" i="3"/>
  <c r="Q1096" i="3"/>
  <c r="BS1092" i="3"/>
  <c r="BS1091" i="3"/>
  <c r="BS1090" i="3"/>
  <c r="BS1086" i="3"/>
  <c r="BS1085" i="3"/>
  <c r="BS1084" i="3"/>
  <c r="BL1082" i="3"/>
  <c r="BF1082" i="3"/>
  <c r="AZ1082" i="3"/>
  <c r="AT1082" i="3"/>
  <c r="AL1082" i="3"/>
  <c r="AD1082" i="3"/>
  <c r="W1082" i="3"/>
  <c r="Q1082" i="3"/>
  <c r="BS1081" i="3"/>
  <c r="BS1080" i="3"/>
  <c r="BS1079" i="3"/>
  <c r="BS1078" i="3"/>
  <c r="BL1070" i="3"/>
  <c r="BF1070" i="3"/>
  <c r="AZ1070" i="3"/>
  <c r="AT1070" i="3"/>
  <c r="AL1070" i="3"/>
  <c r="AD1070" i="3"/>
  <c r="W1070" i="3"/>
  <c r="Q1070" i="3"/>
  <c r="BS1065" i="3"/>
  <c r="BS1066" i="3"/>
  <c r="BS1064" i="3"/>
  <c r="BS1060" i="3"/>
  <c r="BS1059" i="3"/>
  <c r="BS1058" i="3"/>
  <c r="BS1055" i="3"/>
  <c r="BS1054" i="3"/>
  <c r="BS1053" i="3"/>
  <c r="BS1052" i="3"/>
  <c r="BL1056" i="3"/>
  <c r="BF1056" i="3"/>
  <c r="AZ1056" i="3"/>
  <c r="AT1056" i="3"/>
  <c r="AL1056" i="3"/>
  <c r="AD1056" i="3"/>
  <c r="W1056" i="3"/>
  <c r="Q1056" i="3"/>
  <c r="BO1020" i="3"/>
  <c r="BO1019" i="3"/>
  <c r="BO1018" i="3"/>
  <c r="BO1017" i="3"/>
  <c r="BO1016" i="3"/>
  <c r="BO1015" i="3"/>
  <c r="BO1014" i="3"/>
  <c r="BO1013" i="3"/>
  <c r="BO1012" i="3"/>
  <c r="BO1011" i="3"/>
  <c r="BQ943" i="3"/>
  <c r="BQ942" i="3"/>
  <c r="BJ974" i="3"/>
  <c r="BC974" i="3"/>
  <c r="AW974" i="3"/>
  <c r="AR974" i="3"/>
  <c r="AJ974" i="3"/>
  <c r="AD974" i="3"/>
  <c r="W974" i="3"/>
  <c r="BQ970" i="3"/>
  <c r="BQ969" i="3"/>
  <c r="BQ968" i="3"/>
  <c r="BQ964" i="3"/>
  <c r="BQ963" i="3"/>
  <c r="BQ962" i="3"/>
  <c r="BJ960" i="3"/>
  <c r="BC960" i="3"/>
  <c r="AW960" i="3"/>
  <c r="AR960" i="3"/>
  <c r="AJ960" i="3"/>
  <c r="AD960" i="3"/>
  <c r="W960" i="3"/>
  <c r="BQ959" i="3"/>
  <c r="BQ958" i="3"/>
  <c r="BQ957" i="3"/>
  <c r="BQ956" i="3"/>
  <c r="BJ948" i="3"/>
  <c r="BC948" i="3"/>
  <c r="AW948" i="3"/>
  <c r="AR948" i="3"/>
  <c r="AJ948" i="3"/>
  <c r="AD948" i="3"/>
  <c r="W948" i="3"/>
  <c r="BQ944" i="3"/>
  <c r="AD934" i="3"/>
  <c r="BQ937" i="3"/>
  <c r="BQ936" i="3"/>
  <c r="BQ933" i="3"/>
  <c r="BQ932" i="3"/>
  <c r="BQ931" i="3"/>
  <c r="BQ930" i="3"/>
  <c r="BJ934" i="3"/>
  <c r="BC934" i="3"/>
  <c r="AW934" i="3"/>
  <c r="AR934" i="3"/>
  <c r="AJ934" i="3"/>
  <c r="W934" i="3"/>
  <c r="CX200" i="3"/>
  <c r="B124" i="3"/>
  <c r="BL283" i="3"/>
  <c r="B163" i="3"/>
  <c r="BO124" i="3"/>
  <c r="AQ9" i="8"/>
  <c r="BY69" i="3" s="1"/>
  <c r="AP9" i="8"/>
  <c r="BW69" i="3" s="1"/>
  <c r="AO9" i="8"/>
  <c r="BU69" i="3" s="1"/>
  <c r="AN9" i="8"/>
  <c r="BS69" i="3" s="1"/>
  <c r="AM9" i="8"/>
  <c r="BQ69" i="3" s="1"/>
  <c r="AL9" i="8"/>
  <c r="BO69" i="3" s="1"/>
  <c r="AN6" i="8"/>
  <c r="BF64" i="3" s="1"/>
  <c r="AM6" i="8"/>
  <c r="BD64" i="3" s="1"/>
  <c r="AL6" i="8"/>
  <c r="BB64" i="3" s="1"/>
  <c r="AK6" i="8"/>
  <c r="AZ64" i="3" s="1"/>
  <c r="AJ6" i="8"/>
  <c r="AX64" i="3" s="1"/>
  <c r="AI6" i="8"/>
  <c r="AV64" i="3" s="1"/>
  <c r="DI3" i="3"/>
  <c r="DF3" i="3"/>
  <c r="DC3" i="3"/>
  <c r="AW5" i="8"/>
  <c r="BY57" i="3"/>
  <c r="AV5" i="8"/>
  <c r="BW57" i="3" s="1"/>
  <c r="AU5" i="8"/>
  <c r="BU57" i="3" s="1"/>
  <c r="AT5" i="8"/>
  <c r="BS57" i="3" s="1"/>
  <c r="AS5" i="8"/>
  <c r="BQ57" i="3" s="1"/>
  <c r="AR5" i="8"/>
  <c r="BO57" i="3" s="1"/>
  <c r="AW4" i="8"/>
  <c r="BY52" i="3" s="1"/>
  <c r="AV4" i="8"/>
  <c r="BW52" i="3" s="1"/>
  <c r="AU4" i="8"/>
  <c r="BU52" i="3"/>
  <c r="AT4" i="8"/>
  <c r="BS52" i="3" s="1"/>
  <c r="AS4" i="8"/>
  <c r="BQ52" i="3" s="1"/>
  <c r="AR4" i="8"/>
  <c r="BO52" i="3" s="1"/>
  <c r="CZ2769" i="3"/>
  <c r="CW2769" i="3"/>
  <c r="CZ1329" i="3"/>
  <c r="CX1329" i="3"/>
  <c r="CW1329" i="3"/>
  <c r="CZ1318" i="3"/>
  <c r="CX1318" i="3"/>
  <c r="CW1318" i="3"/>
  <c r="CZ1307" i="3"/>
  <c r="CX1307" i="3"/>
  <c r="CW1307" i="3"/>
  <c r="CZ1296" i="3"/>
  <c r="CX1296" i="3"/>
  <c r="CW1296" i="3"/>
  <c r="CZ1267" i="3"/>
  <c r="CX1267" i="3"/>
  <c r="CW1267" i="3"/>
  <c r="CZ1158" i="3"/>
  <c r="CW1158" i="3"/>
  <c r="CZ1141" i="3"/>
  <c r="CX1141" i="3"/>
  <c r="CW1141" i="3"/>
  <c r="CZ1125" i="3"/>
  <c r="CX1125" i="3"/>
  <c r="CW1125" i="3"/>
  <c r="DB1125" i="3"/>
  <c r="CB1125" i="3" s="1"/>
  <c r="CZ1110" i="3"/>
  <c r="CX1110" i="3"/>
  <c r="CW1110" i="3"/>
  <c r="CZ1011" i="3"/>
  <c r="CX1011" i="3"/>
  <c r="CW1011" i="3"/>
  <c r="CX3143" i="3"/>
  <c r="CZ3013" i="3"/>
  <c r="DA3013" i="3" s="1"/>
  <c r="DB3013" i="3"/>
  <c r="CB3013" i="3" s="1"/>
  <c r="CZ2855" i="3"/>
  <c r="CW2855" i="3"/>
  <c r="CZ2723" i="3"/>
  <c r="CW2723" i="3"/>
  <c r="CZ2721" i="3"/>
  <c r="CW2721" i="3"/>
  <c r="CZ2707" i="3"/>
  <c r="CW2707" i="3"/>
  <c r="CZ2696" i="3"/>
  <c r="CW2696" i="3"/>
  <c r="CZ2543" i="3"/>
  <c r="CW2543" i="3"/>
  <c r="DA2543" i="3" s="1"/>
  <c r="DB2543" i="3" s="1"/>
  <c r="CB2543" i="3" s="1"/>
  <c r="CZ2516" i="3"/>
  <c r="CW2516" i="3"/>
  <c r="DA2516" i="3" s="1"/>
  <c r="DB2516" i="3" s="1"/>
  <c r="CB2516" i="3" s="1"/>
  <c r="CZ2387" i="3"/>
  <c r="CX2387" i="3"/>
  <c r="CW2387" i="3"/>
  <c r="CZ2376" i="3"/>
  <c r="CX2376" i="3"/>
  <c r="CW2376" i="3"/>
  <c r="CZ2357" i="3"/>
  <c r="CX2357" i="3"/>
  <c r="CW2357" i="3"/>
  <c r="CZ2346" i="3"/>
  <c r="CX2346" i="3"/>
  <c r="CW2346" i="3"/>
  <c r="B2231" i="3"/>
  <c r="CY330" i="3"/>
  <c r="CY329" i="3"/>
  <c r="CY328" i="3"/>
  <c r="CY327" i="3"/>
  <c r="CY326" i="3"/>
  <c r="CY325" i="3"/>
  <c r="CY324" i="3"/>
  <c r="CY323" i="3"/>
  <c r="CY331" i="3"/>
  <c r="B322" i="3"/>
  <c r="CX317" i="3"/>
  <c r="CX318" i="3"/>
  <c r="CX319" i="3"/>
  <c r="CX314" i="3"/>
  <c r="CX315" i="3"/>
  <c r="CX310" i="3"/>
  <c r="CX311" i="3"/>
  <c r="CX312" i="3"/>
  <c r="CX331" i="3"/>
  <c r="CX330" i="3"/>
  <c r="CX329" i="3"/>
  <c r="CX328" i="3"/>
  <c r="CX327" i="3"/>
  <c r="CX326" i="3"/>
  <c r="CX325" i="3"/>
  <c r="CX324" i="3"/>
  <c r="CX323" i="3"/>
  <c r="CX322" i="3"/>
  <c r="V321" i="3"/>
  <c r="CZ332" i="3"/>
  <c r="CZ331" i="3"/>
  <c r="CZ330" i="3"/>
  <c r="CZ329" i="3"/>
  <c r="CZ328" i="3"/>
  <c r="CZ327" i="3"/>
  <c r="CZ326" i="3"/>
  <c r="CZ325" i="3"/>
  <c r="CZ324" i="3"/>
  <c r="CZ323" i="3"/>
  <c r="CZ322" i="3"/>
  <c r="CZ321" i="3"/>
  <c r="CZ320" i="3"/>
  <c r="CZ319" i="3"/>
  <c r="CZ318" i="3"/>
  <c r="CW332" i="3"/>
  <c r="DA332" i="3" s="1"/>
  <c r="DB332" i="3" s="1"/>
  <c r="CB332" i="3" s="1"/>
  <c r="CW331" i="3"/>
  <c r="CW330" i="3"/>
  <c r="CW329" i="3"/>
  <c r="CW328" i="3"/>
  <c r="CW327" i="3"/>
  <c r="CW326" i="3"/>
  <c r="CW325" i="3"/>
  <c r="CW324" i="3"/>
  <c r="CW323" i="3"/>
  <c r="CW322" i="3"/>
  <c r="CW321" i="3"/>
  <c r="DA321" i="3" s="1"/>
  <c r="DB321" i="3" s="1"/>
  <c r="CB321" i="3" s="1"/>
  <c r="CW320" i="3"/>
  <c r="DA320" i="3" s="1"/>
  <c r="DB320" i="3" s="1"/>
  <c r="CB320" i="3" s="1"/>
  <c r="CW319" i="3"/>
  <c r="CW318" i="3"/>
  <c r="BH306" i="3"/>
  <c r="CW317" i="3"/>
  <c r="CW316" i="3"/>
  <c r="CW315" i="3"/>
  <c r="DA315" i="3" s="1"/>
  <c r="DB315" i="3" s="1"/>
  <c r="CB315" i="3" s="1"/>
  <c r="CW314" i="3"/>
  <c r="CW313" i="3"/>
  <c r="CW312" i="3"/>
  <c r="DA312" i="3" s="1"/>
  <c r="DB312" i="3" s="1"/>
  <c r="CB312" i="3" s="1"/>
  <c r="CW311" i="3"/>
  <c r="CW310" i="3"/>
  <c r="DA310" i="3" s="1"/>
  <c r="DB310" i="3" s="1"/>
  <c r="CB310" i="3" s="1"/>
  <c r="CW309" i="3"/>
  <c r="CW308" i="3"/>
  <c r="DA308" i="3" s="1"/>
  <c r="DB308" i="3" s="1"/>
  <c r="CB308" i="3" s="1"/>
  <c r="CW307" i="3"/>
  <c r="CX316" i="3"/>
  <c r="CX313" i="3"/>
  <c r="CX309" i="3"/>
  <c r="CX149" i="3"/>
  <c r="CX150" i="3"/>
  <c r="CY5" i="8"/>
  <c r="CY4" i="8"/>
  <c r="CY3" i="8"/>
  <c r="CY2" i="8"/>
  <c r="CY1" i="8"/>
  <c r="DZ4" i="3"/>
  <c r="DZ3" i="3"/>
  <c r="DZ2" i="3"/>
  <c r="DZ1" i="3"/>
  <c r="DS3" i="3"/>
  <c r="DS2" i="3"/>
  <c r="DS1" i="3"/>
  <c r="CW123" i="3"/>
  <c r="BA124" i="3"/>
  <c r="CX1151" i="3"/>
  <c r="DB1151" i="3"/>
  <c r="CB1151" i="3" s="1"/>
  <c r="CW1154" i="3"/>
  <c r="CX1137" i="3"/>
  <c r="CX1122" i="3"/>
  <c r="CX1107" i="3"/>
  <c r="CX1100" i="3"/>
  <c r="B168" i="3"/>
  <c r="CZ416" i="3"/>
  <c r="CZ415" i="3"/>
  <c r="CZ414" i="3"/>
  <c r="CZ413" i="3"/>
  <c r="CW413" i="3"/>
  <c r="DA413" i="3" s="1"/>
  <c r="DB413" i="3" s="1"/>
  <c r="CB413" i="3" s="1"/>
  <c r="CZ412" i="3"/>
  <c r="CW412" i="3"/>
  <c r="DA412" i="3" s="1"/>
  <c r="DB412" i="3" s="1"/>
  <c r="CB412" i="3" s="1"/>
  <c r="CZ378" i="3"/>
  <c r="CZ377" i="3"/>
  <c r="CW377" i="3"/>
  <c r="DA377" i="3" s="1"/>
  <c r="DB377" i="3" s="1"/>
  <c r="CB377" i="3" s="1"/>
  <c r="CX355" i="3"/>
  <c r="CY301" i="3"/>
  <c r="CX282" i="3"/>
  <c r="CZ3741" i="3"/>
  <c r="DA3741" i="3" s="1"/>
  <c r="DB3741" i="3"/>
  <c r="CB3741" i="3" s="1"/>
  <c r="CZ3740" i="3"/>
  <c r="DA3740" i="3" s="1"/>
  <c r="DB3740" i="3"/>
  <c r="CB3740" i="3" s="1"/>
  <c r="CZ3739" i="3"/>
  <c r="DA3739" i="3" s="1"/>
  <c r="DB3739" i="3"/>
  <c r="CB3739" i="3" s="1"/>
  <c r="CZ3738" i="3"/>
  <c r="DA3738" i="3" s="1"/>
  <c r="DB3738" i="3"/>
  <c r="CB3738" i="3" s="1"/>
  <c r="CZ3737" i="3"/>
  <c r="DA3737" i="3" s="1"/>
  <c r="DB3737" i="3"/>
  <c r="CB3737" i="3" s="1"/>
  <c r="CZ3736" i="3"/>
  <c r="DA3736" i="3" s="1"/>
  <c r="DB3736" i="3"/>
  <c r="CB3736" i="3" s="1"/>
  <c r="CZ3735" i="3"/>
  <c r="DA3735" i="3" s="1"/>
  <c r="DB3735" i="3"/>
  <c r="CB3735" i="3" s="1"/>
  <c r="CZ3734" i="3"/>
  <c r="DA3734" i="3" s="1"/>
  <c r="DB3734" i="3"/>
  <c r="CB3734" i="3" s="1"/>
  <c r="CZ3733" i="3"/>
  <c r="DA3733" i="3" s="1"/>
  <c r="DB3733" i="3"/>
  <c r="CB3733" i="3" s="1"/>
  <c r="CZ3732" i="3"/>
  <c r="DA3732" i="3" s="1"/>
  <c r="DB3732" i="3"/>
  <c r="CB3732" i="3" s="1"/>
  <c r="CZ3731" i="3"/>
  <c r="DA3731" i="3" s="1"/>
  <c r="DB3731" i="3"/>
  <c r="CB3731" i="3" s="1"/>
  <c r="CZ3730" i="3"/>
  <c r="DA3730" i="3" s="1"/>
  <c r="DB3730" i="3"/>
  <c r="CB3730" i="3" s="1"/>
  <c r="CZ3729" i="3"/>
  <c r="DA3729" i="3" s="1"/>
  <c r="DB3729" i="3"/>
  <c r="CB3729" i="3" s="1"/>
  <c r="CZ3728" i="3"/>
  <c r="DA3728" i="3" s="1"/>
  <c r="DB3728" i="3"/>
  <c r="CB3728" i="3" s="1"/>
  <c r="CZ3727" i="3"/>
  <c r="DA3727" i="3" s="1"/>
  <c r="DB3727" i="3"/>
  <c r="CB3727" i="3" s="1"/>
  <c r="CZ3726" i="3"/>
  <c r="DA3726" i="3" s="1"/>
  <c r="DB3726" i="3"/>
  <c r="CB3726" i="3" s="1"/>
  <c r="CZ3725" i="3"/>
  <c r="DA3725" i="3" s="1"/>
  <c r="DB3725" i="3"/>
  <c r="CB3725" i="3" s="1"/>
  <c r="CZ3724" i="3"/>
  <c r="DA3724" i="3" s="1"/>
  <c r="DB3724" i="3"/>
  <c r="CB3724" i="3" s="1"/>
  <c r="CZ3723" i="3"/>
  <c r="DA3723" i="3" s="1"/>
  <c r="DB3723" i="3"/>
  <c r="CB3723" i="3" s="1"/>
  <c r="CZ3722" i="3"/>
  <c r="DA3722" i="3" s="1"/>
  <c r="DB3722" i="3"/>
  <c r="CB3722" i="3" s="1"/>
  <c r="CZ3721" i="3"/>
  <c r="DA3721" i="3" s="1"/>
  <c r="DB3721" i="3"/>
  <c r="CB3721" i="3" s="1"/>
  <c r="CZ3720" i="3"/>
  <c r="DA3720" i="3" s="1"/>
  <c r="DB3720" i="3"/>
  <c r="CB3720" i="3" s="1"/>
  <c r="CZ3719" i="3"/>
  <c r="DA3719" i="3" s="1"/>
  <c r="DB3719" i="3"/>
  <c r="CB3719" i="3" s="1"/>
  <c r="CZ3718" i="3"/>
  <c r="DA3718" i="3" s="1"/>
  <c r="DB3718" i="3"/>
  <c r="CB3718" i="3" s="1"/>
  <c r="CZ3717" i="3"/>
  <c r="DA3717" i="3" s="1"/>
  <c r="DB3717" i="3"/>
  <c r="CB3717" i="3" s="1"/>
  <c r="CZ3716" i="3"/>
  <c r="DA3716" i="3" s="1"/>
  <c r="DB3716" i="3"/>
  <c r="CB3716" i="3" s="1"/>
  <c r="CZ3715" i="3"/>
  <c r="DA3715" i="3" s="1"/>
  <c r="DB3715" i="3"/>
  <c r="CB3715" i="3" s="1"/>
  <c r="CZ3714" i="3"/>
  <c r="DA3714" i="3" s="1"/>
  <c r="DB3714" i="3"/>
  <c r="CB3714" i="3" s="1"/>
  <c r="CZ3713" i="3"/>
  <c r="DA3713" i="3" s="1"/>
  <c r="DB3713" i="3"/>
  <c r="CB3713" i="3" s="1"/>
  <c r="CZ3712" i="3"/>
  <c r="DA3712" i="3" s="1"/>
  <c r="DB3712" i="3" s="1"/>
  <c r="CB3712" i="3" s="1"/>
  <c r="CX2242" i="3"/>
  <c r="CX2243" i="3"/>
  <c r="CX2148" i="3"/>
  <c r="CX2149" i="3"/>
  <c r="CW1979" i="3"/>
  <c r="DA1979" i="3" s="1"/>
  <c r="DB1979" i="3"/>
  <c r="CB1979" i="3" s="1"/>
  <c r="CW1980" i="3"/>
  <c r="DA1980" i="3" s="1"/>
  <c r="DB1980" i="3"/>
  <c r="CB1980" i="3" s="1"/>
  <c r="CX1645" i="3"/>
  <c r="CX1646" i="3"/>
  <c r="CX1416" i="3"/>
  <c r="CX1417" i="3"/>
  <c r="CX1359" i="3"/>
  <c r="CX1360" i="3"/>
  <c r="CW1168" i="3"/>
  <c r="DA1168" i="3" s="1"/>
  <c r="DB1168" i="3"/>
  <c r="CB1168" i="3" s="1"/>
  <c r="CW1169" i="3"/>
  <c r="DA1169" i="3" s="1"/>
  <c r="DB1169" i="3"/>
  <c r="CB1169" i="3" s="1"/>
  <c r="CY3163" i="3"/>
  <c r="CY3164" i="3"/>
  <c r="CX3198" i="3"/>
  <c r="CX3199" i="3"/>
  <c r="CX2991" i="3"/>
  <c r="CX2992" i="3"/>
  <c r="CX2865" i="3"/>
  <c r="CX2866" i="3"/>
  <c r="CX2770" i="3"/>
  <c r="CX2453" i="3"/>
  <c r="CX2454" i="3"/>
  <c r="CX2282" i="3"/>
  <c r="CX2283" i="3"/>
  <c r="CX2284" i="3"/>
  <c r="CX2174" i="3"/>
  <c r="CX2150" i="3"/>
  <c r="CW2043" i="3"/>
  <c r="DA2043" i="3" s="1"/>
  <c r="DB2043" i="3"/>
  <c r="CB2043" i="3" s="1"/>
  <c r="CW2044" i="3"/>
  <c r="DA2044" i="3" s="1"/>
  <c r="DB2044" i="3"/>
  <c r="CB2044" i="3" s="1"/>
  <c r="CZ1965" i="3"/>
  <c r="CX1936" i="3"/>
  <c r="CX1937" i="3"/>
  <c r="CX1784" i="3"/>
  <c r="CX1785" i="3"/>
  <c r="CW1707" i="3"/>
  <c r="CW1442" i="3"/>
  <c r="DB1442" i="3"/>
  <c r="CB1442" i="3" s="1"/>
  <c r="CW1170" i="3"/>
  <c r="DA1170" i="3" s="1"/>
  <c r="DB1170" i="3"/>
  <c r="CB1170" i="3" s="1"/>
  <c r="CW3704" i="3"/>
  <c r="DA3704" i="3" s="1"/>
  <c r="DB3704" i="3" s="1"/>
  <c r="CB3704" i="3" s="1"/>
  <c r="CW3696" i="3"/>
  <c r="DA3696" i="3" s="1"/>
  <c r="DB3696" i="3" s="1"/>
  <c r="CB3696" i="3" s="1"/>
  <c r="CW3688" i="3"/>
  <c r="DA3688" i="3" s="1"/>
  <c r="DB3688" i="3" s="1"/>
  <c r="CB3688" i="3" s="1"/>
  <c r="CW3673" i="3"/>
  <c r="DA3673" i="3" s="1"/>
  <c r="DB3673" i="3" s="1"/>
  <c r="CB3673" i="3" s="1"/>
  <c r="CW3665" i="3"/>
  <c r="DA3665" i="3" s="1"/>
  <c r="DB3665" i="3" s="1"/>
  <c r="CB3665" i="3" s="1"/>
  <c r="CW3657" i="3"/>
  <c r="DA3657" i="3" s="1"/>
  <c r="DB3657" i="3" s="1"/>
  <c r="CB3657" i="3" s="1"/>
  <c r="CW3649" i="3"/>
  <c r="DA3649" i="3" s="1"/>
  <c r="DB3649" i="3" s="1"/>
  <c r="CB3649" i="3" s="1"/>
  <c r="CW3641" i="3"/>
  <c r="DA3641" i="3" s="1"/>
  <c r="DB3641" i="3" s="1"/>
  <c r="CB3641" i="3" s="1"/>
  <c r="CW3642" i="3"/>
  <c r="DA3642" i="3" s="1"/>
  <c r="DB3642" i="3" s="1"/>
  <c r="CB3642" i="3" s="1"/>
  <c r="CW3424" i="3"/>
  <c r="DA3424" i="3" s="1"/>
  <c r="CX3211" i="3"/>
  <c r="CY3169" i="3"/>
  <c r="CY3168" i="3"/>
  <c r="CY3167" i="3"/>
  <c r="CY3166" i="3"/>
  <c r="CY3165" i="3"/>
  <c r="CW2263" i="3"/>
  <c r="CW2262" i="3"/>
  <c r="CW2261" i="3"/>
  <c r="CW2260" i="3"/>
  <c r="CW2259" i="3"/>
  <c r="CW2258" i="3"/>
  <c r="CW2257" i="3"/>
  <c r="CW2256" i="3"/>
  <c r="CW2255" i="3"/>
  <c r="CW2254" i="3"/>
  <c r="CW2253" i="3"/>
  <c r="CW2252" i="3"/>
  <c r="CW2251" i="3"/>
  <c r="CW2250" i="3"/>
  <c r="CW2249" i="3"/>
  <c r="CW2248" i="3"/>
  <c r="CW2247" i="3"/>
  <c r="CW2246" i="3"/>
  <c r="CW2245" i="3"/>
  <c r="CW2244" i="3"/>
  <c r="CW2243" i="3"/>
  <c r="CW2242" i="3"/>
  <c r="DB2242" i="3"/>
  <c r="CB2242" i="3" s="1"/>
  <c r="CW2241" i="3"/>
  <c r="DB2241" i="3"/>
  <c r="CB2241" i="3" s="1"/>
  <c r="CW2240" i="3"/>
  <c r="DB2240" i="3"/>
  <c r="CB2240" i="3" s="1"/>
  <c r="CW2239" i="3"/>
  <c r="DB2239" i="3"/>
  <c r="CB2239" i="3" s="1"/>
  <c r="CW2238" i="3"/>
  <c r="DB2238" i="3"/>
  <c r="CB2238" i="3" s="1"/>
  <c r="CW2237" i="3"/>
  <c r="DB2237" i="3"/>
  <c r="CB2237" i="3" s="1"/>
  <c r="CW2236" i="3"/>
  <c r="DB2236" i="3"/>
  <c r="CB2236" i="3" s="1"/>
  <c r="CW2235" i="3"/>
  <c r="DB2235" i="3"/>
  <c r="CB2235" i="3" s="1"/>
  <c r="CW2234" i="3"/>
  <c r="DB2234" i="3"/>
  <c r="CB2234" i="3" s="1"/>
  <c r="CW2233" i="3"/>
  <c r="DB2233" i="3"/>
  <c r="CB2233" i="3" s="1"/>
  <c r="CX2244" i="3"/>
  <c r="CX2175" i="3"/>
  <c r="CX2070" i="3"/>
  <c r="CX2037" i="3"/>
  <c r="CX2038" i="3"/>
  <c r="CW2045" i="3"/>
  <c r="DA2045" i="3" s="1"/>
  <c r="DB2045" i="3"/>
  <c r="CB2045" i="3" s="1"/>
  <c r="CX1647" i="3"/>
  <c r="CW3184" i="3"/>
  <c r="DA3184" i="3" s="1"/>
  <c r="DB3184" i="3" s="1"/>
  <c r="CB3184" i="3" s="1"/>
  <c r="CZ3093" i="3"/>
  <c r="CY3093" i="3"/>
  <c r="CX3093" i="3"/>
  <c r="CW3093" i="3"/>
  <c r="CZ3092" i="3"/>
  <c r="CY3092" i="3"/>
  <c r="CX3092" i="3"/>
  <c r="CW3092" i="3"/>
  <c r="CZ3091" i="3"/>
  <c r="CY3091" i="3"/>
  <c r="CX3091" i="3"/>
  <c r="CW3091" i="3"/>
  <c r="CZ3090" i="3"/>
  <c r="CY3090" i="3"/>
  <c r="CX3090" i="3"/>
  <c r="CW3090" i="3"/>
  <c r="CX2993" i="3"/>
  <c r="CX2864" i="3"/>
  <c r="CX2610" i="3"/>
  <c r="CX2609" i="3"/>
  <c r="CX2608" i="3"/>
  <c r="CX2607" i="3"/>
  <c r="CX2606" i="3"/>
  <c r="CX2605" i="3"/>
  <c r="CX2604" i="3"/>
  <c r="CX2603" i="3"/>
  <c r="CX2280" i="3"/>
  <c r="CX2279" i="3"/>
  <c r="CX2278" i="3"/>
  <c r="CX2277" i="3"/>
  <c r="CX2276" i="3"/>
  <c r="CX2275" i="3"/>
  <c r="CX2274" i="3"/>
  <c r="CX2273" i="3"/>
  <c r="CW2042" i="3"/>
  <c r="CW2041" i="3"/>
  <c r="CW2040" i="3"/>
  <c r="CW2039" i="3"/>
  <c r="CW2038" i="3"/>
  <c r="CW2037" i="3"/>
  <c r="CZ1894" i="3"/>
  <c r="CZ1895" i="3"/>
  <c r="CZ1896" i="3"/>
  <c r="CZ1897" i="3"/>
  <c r="CZ1898" i="3"/>
  <c r="CZ1899" i="3"/>
  <c r="CZ1900" i="3"/>
  <c r="CZ1901" i="3"/>
  <c r="CZ1905" i="3"/>
  <c r="CZ1906" i="3"/>
  <c r="CZ1907" i="3"/>
  <c r="CZ1908" i="3"/>
  <c r="CZ1909" i="3"/>
  <c r="CZ1910" i="3"/>
  <c r="CZ1911" i="3"/>
  <c r="CZ1912" i="3"/>
  <c r="CZ1916" i="3"/>
  <c r="CZ1917" i="3"/>
  <c r="CZ1918" i="3"/>
  <c r="CZ1919" i="3"/>
  <c r="CZ1920" i="3"/>
  <c r="CZ1921" i="3"/>
  <c r="CZ1922" i="3"/>
  <c r="CZ1923" i="3"/>
  <c r="CW1702" i="3"/>
  <c r="CW1701" i="3"/>
  <c r="CW1700" i="3"/>
  <c r="DB1700" i="3"/>
  <c r="CB1700" i="3" s="1"/>
  <c r="CW1699" i="3"/>
  <c r="CW1698" i="3"/>
  <c r="CW1697" i="3"/>
  <c r="CW1696" i="3"/>
  <c r="CW1695" i="3"/>
  <c r="CW1694" i="3"/>
  <c r="CW1693" i="3"/>
  <c r="CW1692" i="3"/>
  <c r="CW1691" i="3"/>
  <c r="CW1690" i="3"/>
  <c r="CW1689" i="3"/>
  <c r="CW1688" i="3"/>
  <c r="CW1687" i="3"/>
  <c r="CW1686" i="3"/>
  <c r="CW1685" i="3"/>
  <c r="CW1684" i="3"/>
  <c r="CW1683" i="3"/>
  <c r="CW1682" i="3"/>
  <c r="CW1681" i="3"/>
  <c r="CW1680" i="3"/>
  <c r="CW1679" i="3"/>
  <c r="CW1678" i="3"/>
  <c r="DB1678" i="3"/>
  <c r="CB1678" i="3" s="1"/>
  <c r="CW1677" i="3"/>
  <c r="CW1676" i="3"/>
  <c r="CW1675" i="3"/>
  <c r="CW1674" i="3"/>
  <c r="CW1673" i="3"/>
  <c r="CW1672" i="3"/>
  <c r="CX1633" i="3"/>
  <c r="CX1623" i="3"/>
  <c r="DB1623" i="3"/>
  <c r="CB1623" i="3" s="1"/>
  <c r="CW1479" i="3"/>
  <c r="CX1410" i="3"/>
  <c r="CX1403" i="3"/>
  <c r="CX1388" i="3"/>
  <c r="CX1346" i="3"/>
  <c r="CX1332" i="3"/>
  <c r="CX1263" i="3"/>
  <c r="CX1256" i="3"/>
  <c r="CX1278" i="3"/>
  <c r="CW1238" i="3"/>
  <c r="CW1153" i="3"/>
  <c r="CW1152" i="3"/>
  <c r="CX1136" i="3"/>
  <c r="CX1121" i="3"/>
  <c r="CX1106" i="3"/>
  <c r="CY1118" i="3"/>
  <c r="CY1117" i="3"/>
  <c r="CY1116" i="3"/>
  <c r="CY1115" i="3"/>
  <c r="CY1114" i="3"/>
  <c r="CY1113" i="3"/>
  <c r="CY1112" i="3"/>
  <c r="CY1111" i="3"/>
  <c r="CX1099" i="3"/>
  <c r="CZ1018" i="3"/>
  <c r="CY1018" i="3"/>
  <c r="CX1018" i="3"/>
  <c r="CW1018" i="3"/>
  <c r="CZ1017" i="3"/>
  <c r="CY1017" i="3"/>
  <c r="CX1017" i="3"/>
  <c r="CW1017" i="3"/>
  <c r="CZ1016" i="3"/>
  <c r="CY1016" i="3"/>
  <c r="CX1016" i="3"/>
  <c r="CW1016" i="3"/>
  <c r="CZ1015" i="3"/>
  <c r="CY1015" i="3"/>
  <c r="CX1015" i="3"/>
  <c r="CW1015" i="3"/>
  <c r="CZ1014" i="3"/>
  <c r="CY1014" i="3"/>
  <c r="CX1014" i="3"/>
  <c r="CW1014" i="3"/>
  <c r="CZ1013" i="3"/>
  <c r="CY1013" i="3"/>
  <c r="CX1013" i="3"/>
  <c r="CW1013" i="3"/>
  <c r="CZ1012" i="3"/>
  <c r="CY1012" i="3"/>
  <c r="DB1012" i="3"/>
  <c r="CB1012" i="3" s="1"/>
  <c r="CX1012" i="3"/>
  <c r="CW1012" i="3"/>
  <c r="CY1019" i="3"/>
  <c r="CX1007" i="3"/>
  <c r="CX1000" i="3"/>
  <c r="CX979" i="3"/>
  <c r="CX977" i="3"/>
  <c r="CW428" i="3"/>
  <c r="DA428" i="3" s="1"/>
  <c r="DB428" i="3" s="1"/>
  <c r="CB428" i="3" s="1"/>
  <c r="CW427" i="3"/>
  <c r="DA427" i="3" s="1"/>
  <c r="DB427" i="3" s="1"/>
  <c r="CB427" i="3" s="1"/>
  <c r="CW426" i="3"/>
  <c r="DA426" i="3" s="1"/>
  <c r="DB426" i="3" s="1"/>
  <c r="CB426" i="3" s="1"/>
  <c r="CW425" i="3"/>
  <c r="DA425" i="3" s="1"/>
  <c r="DB425" i="3" s="1"/>
  <c r="CB425" i="3" s="1"/>
  <c r="CW424" i="3"/>
  <c r="DA424" i="3" s="1"/>
  <c r="DB424" i="3" s="1"/>
  <c r="CB424" i="3" s="1"/>
  <c r="CW423" i="3"/>
  <c r="DA423" i="3" s="1"/>
  <c r="DB423" i="3" s="1"/>
  <c r="CB423" i="3" s="1"/>
  <c r="CW422" i="3"/>
  <c r="DA422" i="3" s="1"/>
  <c r="DB422" i="3" s="1"/>
  <c r="CB422" i="3" s="1"/>
  <c r="CW421" i="3"/>
  <c r="DA421" i="3" s="1"/>
  <c r="DB421" i="3" s="1"/>
  <c r="CB421" i="3" s="1"/>
  <c r="CW420" i="3"/>
  <c r="DA420" i="3" s="1"/>
  <c r="DB420" i="3" s="1"/>
  <c r="CB420" i="3" s="1"/>
  <c r="CW419" i="3"/>
  <c r="DA419" i="3" s="1"/>
  <c r="DB419" i="3" s="1"/>
  <c r="CB419" i="3" s="1"/>
  <c r="CW391" i="3"/>
  <c r="DA391" i="3" s="1"/>
  <c r="DB391" i="3" s="1"/>
  <c r="CB391" i="3" s="1"/>
  <c r="CW390" i="3"/>
  <c r="DA390" i="3" s="1"/>
  <c r="DB390" i="3" s="1"/>
  <c r="CB390" i="3" s="1"/>
  <c r="CW389" i="3"/>
  <c r="DA389" i="3" s="1"/>
  <c r="DB389" i="3" s="1"/>
  <c r="CB389" i="3" s="1"/>
  <c r="CW388" i="3"/>
  <c r="DA388" i="3" s="1"/>
  <c r="DB388" i="3" s="1"/>
  <c r="CB388" i="3" s="1"/>
  <c r="CW387" i="3"/>
  <c r="DA387" i="3" s="1"/>
  <c r="DB387" i="3" s="1"/>
  <c r="CB387" i="3" s="1"/>
  <c r="CW386" i="3"/>
  <c r="DA386" i="3" s="1"/>
  <c r="DB386" i="3" s="1"/>
  <c r="CB386" i="3" s="1"/>
  <c r="CW385" i="3"/>
  <c r="DA385" i="3" s="1"/>
  <c r="DB385" i="3" s="1"/>
  <c r="CB385" i="3" s="1"/>
  <c r="CW384" i="3"/>
  <c r="DA384" i="3" s="1"/>
  <c r="DB384" i="3" s="1"/>
  <c r="CB384" i="3" s="1"/>
  <c r="CW383" i="3"/>
  <c r="CX247" i="3"/>
  <c r="CX248" i="3"/>
  <c r="CX249" i="3"/>
  <c r="CX225" i="3"/>
  <c r="CX226" i="3"/>
  <c r="CX227" i="3"/>
  <c r="CX224" i="3"/>
  <c r="DA224" i="3" s="1"/>
  <c r="DB224" i="3"/>
  <c r="CB224" i="3" s="1"/>
  <c r="CX205" i="3"/>
  <c r="CX202" i="3"/>
  <c r="CX203" i="3"/>
  <c r="CX204" i="3"/>
  <c r="CW869" i="3"/>
  <c r="DA869" i="3" s="1"/>
  <c r="DB869" i="3" s="1"/>
  <c r="CB869" i="3" s="1"/>
  <c r="CW398" i="3"/>
  <c r="DA398" i="3" s="1"/>
  <c r="DB398" i="3" s="1"/>
  <c r="CB398" i="3" s="1"/>
  <c r="CZ3711" i="3"/>
  <c r="CZ3710" i="3"/>
  <c r="CZ3709" i="3"/>
  <c r="CZ3708" i="3"/>
  <c r="CZ3707" i="3"/>
  <c r="CZ3706" i="3"/>
  <c r="CZ3705" i="3"/>
  <c r="CZ3704" i="3"/>
  <c r="CZ3703" i="3"/>
  <c r="CZ3702" i="3"/>
  <c r="CZ3701" i="3"/>
  <c r="CZ3700" i="3"/>
  <c r="CZ3699" i="3"/>
  <c r="CZ3698" i="3"/>
  <c r="CZ3697" i="3"/>
  <c r="CZ3696" i="3"/>
  <c r="CZ3695" i="3"/>
  <c r="CZ3694" i="3"/>
  <c r="CZ3693" i="3"/>
  <c r="CZ3692" i="3"/>
  <c r="CZ3691" i="3"/>
  <c r="CZ3690" i="3"/>
  <c r="CZ3689" i="3"/>
  <c r="CZ3688" i="3"/>
  <c r="CZ3687" i="3"/>
  <c r="CZ3686" i="3"/>
  <c r="DA3686" i="3" s="1"/>
  <c r="DB3686" i="3" s="1"/>
  <c r="CB3686" i="3" s="1"/>
  <c r="CZ3685" i="3"/>
  <c r="DA3685" i="3" s="1"/>
  <c r="DB3685" i="3" s="1"/>
  <c r="CB3685" i="3" s="1"/>
  <c r="CZ3684" i="3"/>
  <c r="DA3684" i="3" s="1"/>
  <c r="DB3684" i="3" s="1"/>
  <c r="CB3684" i="3" s="1"/>
  <c r="CZ3683" i="3"/>
  <c r="DA3683" i="3" s="1"/>
  <c r="DB3683" i="3"/>
  <c r="CB3683" i="3" s="1"/>
  <c r="CZ3682" i="3"/>
  <c r="DA3682" i="3" s="1"/>
  <c r="DB3682" i="3"/>
  <c r="CB3682" i="3" s="1"/>
  <c r="CZ3681" i="3"/>
  <c r="DA3681" i="3" s="1"/>
  <c r="DB3681" i="3" s="1"/>
  <c r="CB3681" i="3" s="1"/>
  <c r="CZ3680" i="3"/>
  <c r="CZ3679" i="3"/>
  <c r="CZ3678" i="3"/>
  <c r="CZ3677" i="3"/>
  <c r="CZ3676" i="3"/>
  <c r="CZ3675" i="3"/>
  <c r="CZ3674" i="3"/>
  <c r="CZ3673" i="3"/>
  <c r="CZ3672" i="3"/>
  <c r="CZ3671" i="3"/>
  <c r="CZ3670" i="3"/>
  <c r="CZ3669" i="3"/>
  <c r="CZ3668" i="3"/>
  <c r="CZ3667" i="3"/>
  <c r="CZ3666" i="3"/>
  <c r="CZ3665" i="3"/>
  <c r="CZ3664" i="3"/>
  <c r="CZ3663" i="3"/>
  <c r="CZ3662" i="3"/>
  <c r="CZ3661" i="3"/>
  <c r="CZ3660" i="3"/>
  <c r="CZ3659" i="3"/>
  <c r="CZ3658" i="3"/>
  <c r="CZ3657" i="3"/>
  <c r="CZ3656" i="3"/>
  <c r="CZ3655" i="3"/>
  <c r="CZ3654" i="3"/>
  <c r="CZ3653" i="3"/>
  <c r="CZ3652" i="3"/>
  <c r="CZ3651" i="3"/>
  <c r="CZ3650" i="3"/>
  <c r="CZ3649" i="3"/>
  <c r="CZ3648" i="3"/>
  <c r="CZ3647" i="3"/>
  <c r="CZ3646" i="3"/>
  <c r="CZ3645" i="3"/>
  <c r="CZ3644" i="3"/>
  <c r="CZ3643" i="3"/>
  <c r="CZ3642" i="3"/>
  <c r="CZ3641" i="3"/>
  <c r="CZ3640" i="3"/>
  <c r="CZ3639" i="3"/>
  <c r="DA3639" i="3" s="1"/>
  <c r="DB3639" i="3" s="1"/>
  <c r="CB3639" i="3" s="1"/>
  <c r="CZ3638" i="3"/>
  <c r="DA3638" i="3" s="1"/>
  <c r="DB3638" i="3" s="1"/>
  <c r="CB3638" i="3" s="1"/>
  <c r="CZ3637" i="3"/>
  <c r="DA3637" i="3" s="1"/>
  <c r="DB3637" i="3" s="1"/>
  <c r="CB3637" i="3" s="1"/>
  <c r="CZ3636" i="3"/>
  <c r="DA3636" i="3" s="1"/>
  <c r="DB3636" i="3"/>
  <c r="CB3636" i="3" s="1"/>
  <c r="CZ3635" i="3"/>
  <c r="DA3635" i="3" s="1"/>
  <c r="DB3635" i="3"/>
  <c r="CB3635" i="3" s="1"/>
  <c r="CZ3622" i="3"/>
  <c r="DA3622" i="3" s="1"/>
  <c r="DB3622" i="3"/>
  <c r="CB3622" i="3" s="1"/>
  <c r="CZ3621" i="3"/>
  <c r="CZ3620" i="3"/>
  <c r="CZ3619" i="3"/>
  <c r="CZ3618" i="3"/>
  <c r="CZ3617" i="3"/>
  <c r="CZ3616" i="3"/>
  <c r="CZ3615" i="3"/>
  <c r="CZ3614" i="3"/>
  <c r="CZ3613" i="3"/>
  <c r="CZ3612" i="3"/>
  <c r="DB3612" i="3"/>
  <c r="CB3612" i="3" s="1"/>
  <c r="CZ3611" i="3"/>
  <c r="CZ3610" i="3"/>
  <c r="CZ3609" i="3"/>
  <c r="CZ3608" i="3"/>
  <c r="CZ3607" i="3"/>
  <c r="CZ3606" i="3"/>
  <c r="CZ3605" i="3"/>
  <c r="CZ3604" i="3"/>
  <c r="CZ3603" i="3"/>
  <c r="CZ3602" i="3"/>
  <c r="CZ3601" i="3"/>
  <c r="CZ3600" i="3"/>
  <c r="CZ3599" i="3"/>
  <c r="CZ3598" i="3"/>
  <c r="CZ3597" i="3"/>
  <c r="CZ3596" i="3"/>
  <c r="CZ3595" i="3"/>
  <c r="CZ3594" i="3"/>
  <c r="CZ3593" i="3"/>
  <c r="CZ3592" i="3"/>
  <c r="CZ3591" i="3"/>
  <c r="CZ3590" i="3"/>
  <c r="CZ3589" i="3"/>
  <c r="CZ3588" i="3"/>
  <c r="CZ3587" i="3"/>
  <c r="CZ3586" i="3"/>
  <c r="CZ3585" i="3"/>
  <c r="CZ3584" i="3"/>
  <c r="CZ3583" i="3"/>
  <c r="CZ3582" i="3"/>
  <c r="CZ3581" i="3"/>
  <c r="CZ3580" i="3"/>
  <c r="CZ3579" i="3"/>
  <c r="CZ3578" i="3"/>
  <c r="CZ3577" i="3"/>
  <c r="CZ3576" i="3"/>
  <c r="CZ3575" i="3"/>
  <c r="CZ3574" i="3"/>
  <c r="CZ3573" i="3"/>
  <c r="CZ3572" i="3"/>
  <c r="CZ3571" i="3"/>
  <c r="CZ3570" i="3"/>
  <c r="CZ3569" i="3"/>
  <c r="CZ3568" i="3"/>
  <c r="CZ3567" i="3"/>
  <c r="CZ3566" i="3"/>
  <c r="CZ3565" i="3"/>
  <c r="CZ3564" i="3"/>
  <c r="CZ3563" i="3"/>
  <c r="CZ3562" i="3"/>
  <c r="CZ3561" i="3"/>
  <c r="CZ3560" i="3"/>
  <c r="CZ3559" i="3"/>
  <c r="CZ3558" i="3"/>
  <c r="CZ3557" i="3"/>
  <c r="CZ3556" i="3"/>
  <c r="CZ3555" i="3"/>
  <c r="CZ3554" i="3"/>
  <c r="CZ3553" i="3"/>
  <c r="CZ3552" i="3"/>
  <c r="CZ3551" i="3"/>
  <c r="CZ3550" i="3"/>
  <c r="CZ3549" i="3"/>
  <c r="CZ3548" i="3"/>
  <c r="CZ3547" i="3"/>
  <c r="CZ3546" i="3"/>
  <c r="CZ3545" i="3"/>
  <c r="CZ3544" i="3"/>
  <c r="CZ3543" i="3"/>
  <c r="CZ3542" i="3"/>
  <c r="CZ3541" i="3"/>
  <c r="CZ3540" i="3"/>
  <c r="CZ3539" i="3"/>
  <c r="CZ3538" i="3"/>
  <c r="CZ3537" i="3"/>
  <c r="CZ3536" i="3"/>
  <c r="CZ3535" i="3"/>
  <c r="CZ3534" i="3"/>
  <c r="CZ3533" i="3"/>
  <c r="CZ3532" i="3"/>
  <c r="CZ3531" i="3"/>
  <c r="CZ3530" i="3"/>
  <c r="CZ3529" i="3"/>
  <c r="CZ3528" i="3"/>
  <c r="CZ3527" i="3"/>
  <c r="CZ3526" i="3"/>
  <c r="CZ3525" i="3"/>
  <c r="CZ3524" i="3"/>
  <c r="CZ3523" i="3"/>
  <c r="CZ3522" i="3"/>
  <c r="CZ3521" i="3"/>
  <c r="CZ3520" i="3"/>
  <c r="CZ3519" i="3"/>
  <c r="CZ3518" i="3"/>
  <c r="CZ3517" i="3"/>
  <c r="CZ3516" i="3"/>
  <c r="CZ3515" i="3"/>
  <c r="CZ3514" i="3"/>
  <c r="CZ3513" i="3"/>
  <c r="CZ3512" i="3"/>
  <c r="CZ3511" i="3"/>
  <c r="CZ3510" i="3"/>
  <c r="CZ3509" i="3"/>
  <c r="CZ3508" i="3"/>
  <c r="CZ3507" i="3"/>
  <c r="CZ3506" i="3"/>
  <c r="CZ3505" i="3"/>
  <c r="CZ3504" i="3"/>
  <c r="CZ3503" i="3"/>
  <c r="CZ3502" i="3"/>
  <c r="CZ3501" i="3"/>
  <c r="CZ3500" i="3"/>
  <c r="CZ3499" i="3"/>
  <c r="CZ3498" i="3"/>
  <c r="CZ3497" i="3"/>
  <c r="CZ3496" i="3"/>
  <c r="CZ3495" i="3"/>
  <c r="CZ3494" i="3"/>
  <c r="CZ3493" i="3"/>
  <c r="CZ3492" i="3"/>
  <c r="CZ3491" i="3"/>
  <c r="CZ3490" i="3"/>
  <c r="CZ3489" i="3"/>
  <c r="CZ3488" i="3"/>
  <c r="CZ3487" i="3"/>
  <c r="CZ3486" i="3"/>
  <c r="CZ3485" i="3"/>
  <c r="CZ3484" i="3"/>
  <c r="CZ3483" i="3"/>
  <c r="CZ3482" i="3"/>
  <c r="CZ3481" i="3"/>
  <c r="CZ3480" i="3"/>
  <c r="CZ3479" i="3"/>
  <c r="CZ3478" i="3"/>
  <c r="CZ3477" i="3"/>
  <c r="CZ3476" i="3"/>
  <c r="CZ3475" i="3"/>
  <c r="CZ3474" i="3"/>
  <c r="CZ3473" i="3"/>
  <c r="CZ3472" i="3"/>
  <c r="CZ3471" i="3"/>
  <c r="CZ3470" i="3"/>
  <c r="CZ3469" i="3"/>
  <c r="CZ3468" i="3"/>
  <c r="CZ3467" i="3"/>
  <c r="CZ3466" i="3"/>
  <c r="CZ3465" i="3"/>
  <c r="CZ3464" i="3"/>
  <c r="CZ3463" i="3"/>
  <c r="CZ3462" i="3"/>
  <c r="CZ3461" i="3"/>
  <c r="CZ3460" i="3"/>
  <c r="CZ3459" i="3"/>
  <c r="CZ3458" i="3"/>
  <c r="CZ3457" i="3"/>
  <c r="CZ3456" i="3"/>
  <c r="CZ3455" i="3"/>
  <c r="CZ3454" i="3"/>
  <c r="CZ3453" i="3"/>
  <c r="CZ3452" i="3"/>
  <c r="CZ3451" i="3"/>
  <c r="CZ3450" i="3"/>
  <c r="CZ3449" i="3"/>
  <c r="CZ3448" i="3"/>
  <c r="CZ3447" i="3"/>
  <c r="DA3447" i="3" s="1"/>
  <c r="DB3447" i="3"/>
  <c r="CB3447" i="3" s="1"/>
  <c r="CZ3446" i="3"/>
  <c r="DA3446" i="3" s="1"/>
  <c r="DB3446" i="3"/>
  <c r="CB3446" i="3" s="1"/>
  <c r="CZ3445" i="3"/>
  <c r="DA3445" i="3" s="1"/>
  <c r="DB3445" i="3"/>
  <c r="CB3445" i="3" s="1"/>
  <c r="CZ3444" i="3"/>
  <c r="CZ3443" i="3"/>
  <c r="CZ3442" i="3"/>
  <c r="CZ3441" i="3"/>
  <c r="CZ3440" i="3"/>
  <c r="CZ3439" i="3"/>
  <c r="CZ3438" i="3"/>
  <c r="CZ3437" i="3"/>
  <c r="CZ3436" i="3"/>
  <c r="CZ3435" i="3"/>
  <c r="CZ3434" i="3"/>
  <c r="CZ3433" i="3"/>
  <c r="CZ3432" i="3"/>
  <c r="CZ3431" i="3"/>
  <c r="CZ3430" i="3"/>
  <c r="CZ3429" i="3"/>
  <c r="CZ3428" i="3"/>
  <c r="CZ3427" i="3"/>
  <c r="CZ3426" i="3"/>
  <c r="CZ3425" i="3"/>
  <c r="CZ3424" i="3"/>
  <c r="CZ3423" i="3"/>
  <c r="CZ3422" i="3"/>
  <c r="CZ3421" i="3"/>
  <c r="CZ3420" i="3"/>
  <c r="CZ3419" i="3"/>
  <c r="CZ3418" i="3"/>
  <c r="CZ3417" i="3"/>
  <c r="CZ3416" i="3"/>
  <c r="CZ3415" i="3"/>
  <c r="CZ3414" i="3"/>
  <c r="CZ3413" i="3"/>
  <c r="CZ3412" i="3"/>
  <c r="CZ3411" i="3"/>
  <c r="CZ3410" i="3"/>
  <c r="CZ3409" i="3"/>
  <c r="CZ3408" i="3"/>
  <c r="CZ3407" i="3"/>
  <c r="CZ3406" i="3"/>
  <c r="CZ3405" i="3"/>
  <c r="CZ3404" i="3"/>
  <c r="CZ3403" i="3"/>
  <c r="CZ3402" i="3"/>
  <c r="CZ3401" i="3"/>
  <c r="CZ3400" i="3"/>
  <c r="CZ3399" i="3"/>
  <c r="CZ3398" i="3"/>
  <c r="CZ3397" i="3"/>
  <c r="CZ3396" i="3"/>
  <c r="CZ3395" i="3"/>
  <c r="CZ3394" i="3"/>
  <c r="CZ3393" i="3"/>
  <c r="CZ3392" i="3"/>
  <c r="CZ3391" i="3"/>
  <c r="CZ3390" i="3"/>
  <c r="CZ3389" i="3"/>
  <c r="CZ3388" i="3"/>
  <c r="CZ3387" i="3"/>
  <c r="CZ3386" i="3"/>
  <c r="CZ3385" i="3"/>
  <c r="CZ3384" i="3"/>
  <c r="CZ3383" i="3"/>
  <c r="CZ3382" i="3"/>
  <c r="CZ3381" i="3"/>
  <c r="CZ3380" i="3"/>
  <c r="CZ3379" i="3"/>
  <c r="CZ3378" i="3"/>
  <c r="CZ3377" i="3"/>
  <c r="CZ3376" i="3"/>
  <c r="CZ3375" i="3"/>
  <c r="CZ3373" i="3"/>
  <c r="CZ3372" i="3"/>
  <c r="CZ3371" i="3"/>
  <c r="CZ3370" i="3"/>
  <c r="CZ3369" i="3"/>
  <c r="CZ3368" i="3"/>
  <c r="CZ3367" i="3"/>
  <c r="DA3367" i="3" s="1"/>
  <c r="DB3367" i="3"/>
  <c r="CB3367" i="3" s="1"/>
  <c r="CZ3366" i="3"/>
  <c r="DA3366" i="3" s="1"/>
  <c r="DB3366" i="3"/>
  <c r="CB3366" i="3" s="1"/>
  <c r="CZ3365" i="3"/>
  <c r="DA3365" i="3" s="1"/>
  <c r="DB3365" i="3" s="1"/>
  <c r="CB3365" i="3" s="1"/>
  <c r="CZ3364" i="3"/>
  <c r="CZ3363" i="3"/>
  <c r="CZ3362" i="3"/>
  <c r="CZ3361" i="3"/>
  <c r="CZ3360" i="3"/>
  <c r="CZ3359" i="3"/>
  <c r="CZ3358" i="3"/>
  <c r="CZ3357" i="3"/>
  <c r="CZ3356" i="3"/>
  <c r="CZ3355" i="3"/>
  <c r="CZ3354" i="3"/>
  <c r="CZ3353" i="3"/>
  <c r="CZ3352" i="3"/>
  <c r="CZ3351" i="3"/>
  <c r="CZ3350" i="3"/>
  <c r="CZ3349" i="3"/>
  <c r="CZ3348" i="3"/>
  <c r="CZ3347" i="3"/>
  <c r="CZ3346" i="3"/>
  <c r="CZ3345" i="3"/>
  <c r="CZ3344" i="3"/>
  <c r="CZ3343" i="3"/>
  <c r="DA3343" i="3" s="1"/>
  <c r="DB3343" i="3" s="1"/>
  <c r="CB3343" i="3" s="1"/>
  <c r="CZ3342" i="3"/>
  <c r="DA3342" i="3" s="1"/>
  <c r="DB3342" i="3" s="1"/>
  <c r="CB3342" i="3" s="1"/>
  <c r="CZ3341" i="3"/>
  <c r="DA3341" i="3" s="1"/>
  <c r="DB3341" i="3"/>
  <c r="CB3341" i="3" s="1"/>
  <c r="CZ3340" i="3"/>
  <c r="DA3340" i="3" s="1"/>
  <c r="DB3340" i="3"/>
  <c r="CB3340" i="3" s="1"/>
  <c r="CZ3339" i="3"/>
  <c r="DA3339" i="3" s="1"/>
  <c r="DB3339" i="3"/>
  <c r="CB3339" i="3" s="1"/>
  <c r="CZ3338" i="3"/>
  <c r="DA3338" i="3" s="1"/>
  <c r="DB3338" i="3"/>
  <c r="CB3338" i="3" s="1"/>
  <c r="CZ3337" i="3"/>
  <c r="CZ3336" i="3"/>
  <c r="CZ3335" i="3"/>
  <c r="CZ3334" i="3"/>
  <c r="CZ3333" i="3"/>
  <c r="CZ3332" i="3"/>
  <c r="CZ3331" i="3"/>
  <c r="CZ3330" i="3"/>
  <c r="CZ3329" i="3"/>
  <c r="CZ3328" i="3"/>
  <c r="CZ3327" i="3"/>
  <c r="CZ3326" i="3"/>
  <c r="CZ3325" i="3"/>
  <c r="CZ3324" i="3"/>
  <c r="CZ3323" i="3"/>
  <c r="CZ3322" i="3"/>
  <c r="CZ3321" i="3"/>
  <c r="CZ3320" i="3"/>
  <c r="CZ3319" i="3"/>
  <c r="CZ3318" i="3"/>
  <c r="CZ3317" i="3"/>
  <c r="CZ3316" i="3"/>
  <c r="CZ3315" i="3"/>
  <c r="CZ3314" i="3"/>
  <c r="CZ3313" i="3"/>
  <c r="CZ3312" i="3"/>
  <c r="CZ3311" i="3"/>
  <c r="CZ3310" i="3"/>
  <c r="CZ3309" i="3"/>
  <c r="CZ3308" i="3"/>
  <c r="CZ3307" i="3"/>
  <c r="CZ3306" i="3"/>
  <c r="CZ3305" i="3"/>
  <c r="CZ3304" i="3"/>
  <c r="CZ3303" i="3"/>
  <c r="CZ3302" i="3"/>
  <c r="CZ3301" i="3"/>
  <c r="CZ3300" i="3"/>
  <c r="CZ3299" i="3"/>
  <c r="CZ3298" i="3"/>
  <c r="CZ3297" i="3"/>
  <c r="CZ3296" i="3"/>
  <c r="CZ3295" i="3"/>
  <c r="CZ3294" i="3"/>
  <c r="CZ3293" i="3"/>
  <c r="CZ3292" i="3"/>
  <c r="CZ3291" i="3"/>
  <c r="CZ3290" i="3"/>
  <c r="CZ3289" i="3"/>
  <c r="CZ3286" i="3"/>
  <c r="CZ3285" i="3"/>
  <c r="CZ3284" i="3"/>
  <c r="CZ3283" i="3"/>
  <c r="CZ3282" i="3"/>
  <c r="CZ3281" i="3"/>
  <c r="CZ3280" i="3"/>
  <c r="CZ3279" i="3"/>
  <c r="CZ3278" i="3"/>
  <c r="DB3278" i="3"/>
  <c r="CB3278" i="3" s="1"/>
  <c r="CZ3277" i="3"/>
  <c r="CZ3276" i="3"/>
  <c r="CZ3275" i="3"/>
  <c r="CZ3274" i="3"/>
  <c r="CZ3273" i="3"/>
  <c r="CZ3272" i="3"/>
  <c r="CZ3271" i="3"/>
  <c r="CZ3270" i="3"/>
  <c r="CZ3269" i="3"/>
  <c r="CZ3268" i="3"/>
  <c r="CZ3267" i="3"/>
  <c r="CZ3266" i="3"/>
  <c r="CZ3265" i="3"/>
  <c r="CZ3264" i="3"/>
  <c r="CZ3263" i="3"/>
  <c r="CZ3262" i="3"/>
  <c r="CZ3261" i="3"/>
  <c r="CZ3260" i="3"/>
  <c r="CZ3259" i="3"/>
  <c r="CZ3258" i="3"/>
  <c r="CZ3257" i="3"/>
  <c r="CZ3256" i="3"/>
  <c r="DA3256" i="3" s="1"/>
  <c r="DB3256" i="3"/>
  <c r="CB3256" i="3" s="1"/>
  <c r="CZ3255" i="3"/>
  <c r="DA3255" i="3" s="1"/>
  <c r="DB3255" i="3"/>
  <c r="CB3255" i="3" s="1"/>
  <c r="CZ3254" i="3"/>
  <c r="DA3254" i="3" s="1"/>
  <c r="DB3254" i="3"/>
  <c r="CB3254" i="3" s="1"/>
  <c r="CZ3253" i="3"/>
  <c r="DA3253" i="3" s="1"/>
  <c r="DB3253" i="3" s="1"/>
  <c r="CB3253" i="3" s="1"/>
  <c r="CZ3252" i="3"/>
  <c r="CZ3251" i="3"/>
  <c r="CZ3250" i="3"/>
  <c r="CZ3249" i="3"/>
  <c r="CZ3248" i="3"/>
  <c r="CZ3247" i="3"/>
  <c r="CZ3246" i="3"/>
  <c r="CZ3245" i="3"/>
  <c r="CZ3244" i="3"/>
  <c r="CZ3243" i="3"/>
  <c r="CZ3242" i="3"/>
  <c r="CZ3241" i="3"/>
  <c r="CZ3240" i="3"/>
  <c r="CZ3239" i="3"/>
  <c r="CZ3238" i="3"/>
  <c r="CZ3237" i="3"/>
  <c r="CZ3236" i="3"/>
  <c r="CZ3235" i="3"/>
  <c r="CZ3234" i="3"/>
  <c r="CZ3233" i="3"/>
  <c r="CZ3232" i="3"/>
  <c r="CZ3231" i="3"/>
  <c r="CZ3230" i="3"/>
  <c r="CZ3229" i="3"/>
  <c r="CZ3228" i="3"/>
  <c r="CZ3227" i="3"/>
  <c r="CZ3226" i="3"/>
  <c r="CZ3225" i="3"/>
  <c r="CZ3224" i="3"/>
  <c r="CZ3223" i="3"/>
  <c r="CZ3222" i="3"/>
  <c r="CZ3221" i="3"/>
  <c r="CZ3220" i="3"/>
  <c r="CZ3219" i="3"/>
  <c r="CZ3218" i="3"/>
  <c r="CZ3217" i="3"/>
  <c r="CZ3216" i="3"/>
  <c r="CZ3215" i="3"/>
  <c r="CZ3214" i="3"/>
  <c r="CZ3213" i="3"/>
  <c r="CZ3212" i="3"/>
  <c r="CZ3211" i="3"/>
  <c r="CZ3210" i="3"/>
  <c r="CZ3209" i="3"/>
  <c r="DA3209" i="3" s="1"/>
  <c r="DB3209" i="3" s="1"/>
  <c r="CB3209" i="3" s="1"/>
  <c r="CZ3208" i="3"/>
  <c r="DA3208" i="3" s="1"/>
  <c r="DB3208" i="3"/>
  <c r="CB3208" i="3" s="1"/>
  <c r="CZ3207" i="3"/>
  <c r="DA3207" i="3" s="1"/>
  <c r="DB3207" i="3"/>
  <c r="CB3207" i="3" s="1"/>
  <c r="CZ3206" i="3"/>
  <c r="DA3206" i="3" s="1"/>
  <c r="DB3206" i="3"/>
  <c r="CB3206" i="3" s="1"/>
  <c r="CZ3205" i="3"/>
  <c r="CZ3204" i="3"/>
  <c r="CZ3203" i="3"/>
  <c r="CZ3202" i="3"/>
  <c r="CZ3201" i="3"/>
  <c r="CZ3200" i="3"/>
  <c r="CZ3199" i="3"/>
  <c r="CZ3198" i="3"/>
  <c r="CZ3197" i="3"/>
  <c r="CZ3196" i="3"/>
  <c r="CZ3195" i="3"/>
  <c r="CZ3194" i="3"/>
  <c r="CZ3193" i="3"/>
  <c r="CZ3192" i="3"/>
  <c r="CZ3191" i="3"/>
  <c r="CZ3190" i="3"/>
  <c r="CZ3189" i="3"/>
  <c r="CZ3188" i="3"/>
  <c r="CZ3187" i="3"/>
  <c r="CZ3186" i="3"/>
  <c r="CZ3185" i="3"/>
  <c r="CZ3184" i="3"/>
  <c r="CZ3183" i="3"/>
  <c r="CZ3182" i="3"/>
  <c r="CZ3181" i="3"/>
  <c r="CZ3180" i="3"/>
  <c r="CZ3179" i="3"/>
  <c r="CZ3178" i="3"/>
  <c r="CZ3177" i="3"/>
  <c r="CZ3176" i="3"/>
  <c r="CZ3175" i="3"/>
  <c r="CZ3174" i="3"/>
  <c r="CZ3173" i="3"/>
  <c r="CZ3172" i="3"/>
  <c r="CZ3171" i="3"/>
  <c r="CZ3170" i="3"/>
  <c r="CZ3169" i="3"/>
  <c r="CZ3168" i="3"/>
  <c r="CZ3167" i="3"/>
  <c r="CZ3166" i="3"/>
  <c r="CZ3165" i="3"/>
  <c r="CZ3164" i="3"/>
  <c r="CZ3163" i="3"/>
  <c r="CZ3162" i="3"/>
  <c r="CZ3161" i="3"/>
  <c r="CZ3160" i="3"/>
  <c r="CZ3159" i="3"/>
  <c r="CZ3158" i="3"/>
  <c r="CZ3157" i="3"/>
  <c r="CZ3156" i="3"/>
  <c r="CZ3155" i="3"/>
  <c r="CZ3154" i="3"/>
  <c r="CZ3153" i="3"/>
  <c r="CZ3152" i="3"/>
  <c r="CZ3151" i="3"/>
  <c r="CZ3150" i="3"/>
  <c r="CZ3149" i="3"/>
  <c r="CZ3148" i="3"/>
  <c r="CZ3147" i="3"/>
  <c r="CZ3146" i="3"/>
  <c r="CZ3145" i="3"/>
  <c r="CZ3144" i="3"/>
  <c r="CZ3143" i="3"/>
  <c r="CZ3142" i="3"/>
  <c r="CZ3141" i="3"/>
  <c r="CZ3140" i="3"/>
  <c r="CZ3139" i="3"/>
  <c r="CZ3138" i="3"/>
  <c r="CZ3137" i="3"/>
  <c r="CZ3136" i="3"/>
  <c r="CZ3135" i="3"/>
  <c r="CZ3134" i="3"/>
  <c r="CZ3133" i="3"/>
  <c r="CZ3132" i="3"/>
  <c r="CZ3131" i="3"/>
  <c r="CZ3130" i="3"/>
  <c r="CZ3129" i="3"/>
  <c r="CZ3128" i="3"/>
  <c r="CZ3127" i="3"/>
  <c r="CZ3126" i="3"/>
  <c r="CZ3125" i="3"/>
  <c r="CZ3124" i="3"/>
  <c r="CZ3123" i="3"/>
  <c r="CZ3122" i="3"/>
  <c r="CZ3121" i="3"/>
  <c r="CZ3120" i="3"/>
  <c r="CZ3119" i="3"/>
  <c r="CZ3118" i="3"/>
  <c r="CZ3117" i="3"/>
  <c r="DA3117" i="3" s="1"/>
  <c r="DB3117" i="3" s="1"/>
  <c r="CB3117" i="3" s="1"/>
  <c r="CZ3116" i="3"/>
  <c r="DA3116" i="3" s="1"/>
  <c r="DB3116" i="3"/>
  <c r="CB3116" i="3" s="1"/>
  <c r="CZ3115" i="3"/>
  <c r="DA3115" i="3" s="1"/>
  <c r="DB3115" i="3"/>
  <c r="CB3115" i="3" s="1"/>
  <c r="CZ3114" i="3"/>
  <c r="DA3114" i="3" s="1"/>
  <c r="DB3114" i="3" s="1"/>
  <c r="CB3114" i="3" s="1"/>
  <c r="CZ3113" i="3"/>
  <c r="CZ3112" i="3"/>
  <c r="CZ3111" i="3"/>
  <c r="CZ3110" i="3"/>
  <c r="CZ3109" i="3"/>
  <c r="CZ3108" i="3"/>
  <c r="CZ3107" i="3"/>
  <c r="CZ3106" i="3"/>
  <c r="CZ3105" i="3"/>
  <c r="CZ3104" i="3"/>
  <c r="CZ3103" i="3"/>
  <c r="CZ3102" i="3"/>
  <c r="CZ3101" i="3"/>
  <c r="CZ3100" i="3"/>
  <c r="CZ3099" i="3"/>
  <c r="CZ3098" i="3"/>
  <c r="CZ3097" i="3"/>
  <c r="CZ3096" i="3"/>
  <c r="CZ3095" i="3"/>
  <c r="CZ3094" i="3"/>
  <c r="CZ3089" i="3"/>
  <c r="CZ3088" i="3"/>
  <c r="CZ3087" i="3"/>
  <c r="CZ3086" i="3"/>
  <c r="CZ3085" i="3"/>
  <c r="CZ3084" i="3"/>
  <c r="CZ3083" i="3"/>
  <c r="CZ3082" i="3"/>
  <c r="CZ3081" i="3"/>
  <c r="CZ3080" i="3"/>
  <c r="CZ3079" i="3"/>
  <c r="CZ3078" i="3"/>
  <c r="CZ3077" i="3"/>
  <c r="CZ3076" i="3"/>
  <c r="CZ3075" i="3"/>
  <c r="CZ3074" i="3"/>
  <c r="CZ3073" i="3"/>
  <c r="CZ3072" i="3"/>
  <c r="CZ3071" i="3"/>
  <c r="CZ3070" i="3"/>
  <c r="CZ3069" i="3"/>
  <c r="CZ3068" i="3"/>
  <c r="CZ3067" i="3"/>
  <c r="CZ3066" i="3"/>
  <c r="CZ3065" i="3"/>
  <c r="CZ3064" i="3"/>
  <c r="CZ3063" i="3"/>
  <c r="CZ3062" i="3"/>
  <c r="CZ3061" i="3"/>
  <c r="CZ3060" i="3"/>
  <c r="CZ3059" i="3"/>
  <c r="CZ3058" i="3"/>
  <c r="CZ3057" i="3"/>
  <c r="CZ3056" i="3"/>
  <c r="CZ3055" i="3"/>
  <c r="CZ3054" i="3"/>
  <c r="CZ3053" i="3"/>
  <c r="CZ3052" i="3"/>
  <c r="CZ3051" i="3"/>
  <c r="CZ3050" i="3"/>
  <c r="CZ3049" i="3"/>
  <c r="CZ3048" i="3"/>
  <c r="CZ3047" i="3"/>
  <c r="CZ3046" i="3"/>
  <c r="CZ3045" i="3"/>
  <c r="CZ3044" i="3"/>
  <c r="CZ3043" i="3"/>
  <c r="CZ3042" i="3"/>
  <c r="CZ3041" i="3"/>
  <c r="CZ3040" i="3"/>
  <c r="CZ3039" i="3"/>
  <c r="CZ3038" i="3"/>
  <c r="CZ3037" i="3"/>
  <c r="CZ3036" i="3"/>
  <c r="CZ3035" i="3"/>
  <c r="CZ3034" i="3"/>
  <c r="CZ3033" i="3"/>
  <c r="CZ3032" i="3"/>
  <c r="CZ3031" i="3"/>
  <c r="CZ3030" i="3"/>
  <c r="CZ3029" i="3"/>
  <c r="CZ3028" i="3"/>
  <c r="CZ3027" i="3"/>
  <c r="CZ3026" i="3"/>
  <c r="CZ3025" i="3"/>
  <c r="CZ3024" i="3"/>
  <c r="CZ3023" i="3"/>
  <c r="CZ3022" i="3"/>
  <c r="CZ3021" i="3"/>
  <c r="CZ3020" i="3"/>
  <c r="CZ3019" i="3"/>
  <c r="CZ3018" i="3"/>
  <c r="CZ3017" i="3"/>
  <c r="CZ3016" i="3"/>
  <c r="DA3016" i="3" s="1"/>
  <c r="DB3016" i="3" s="1"/>
  <c r="CB3016" i="3" s="1"/>
  <c r="CZ3015" i="3"/>
  <c r="DA3015" i="3" s="1"/>
  <c r="DB3015" i="3"/>
  <c r="CB3015" i="3" s="1"/>
  <c r="CZ3014" i="3"/>
  <c r="DA3014" i="3" s="1"/>
  <c r="DB3014" i="3"/>
  <c r="CB3014" i="3" s="1"/>
  <c r="CZ3012" i="3"/>
  <c r="CZ3011" i="3"/>
  <c r="CZ3010" i="3"/>
  <c r="CZ3009" i="3"/>
  <c r="CZ3008" i="3"/>
  <c r="CZ3007" i="3"/>
  <c r="CZ3006" i="3"/>
  <c r="CZ3005" i="3"/>
  <c r="CZ3004" i="3"/>
  <c r="CZ3003" i="3"/>
  <c r="CZ3002" i="3"/>
  <c r="CZ3001" i="3"/>
  <c r="CZ3000" i="3"/>
  <c r="CZ2999" i="3"/>
  <c r="CZ2998" i="3"/>
  <c r="CZ2997" i="3"/>
  <c r="CZ2996" i="3"/>
  <c r="CZ2995" i="3"/>
  <c r="CZ2994" i="3"/>
  <c r="CZ2993" i="3"/>
  <c r="CZ2992" i="3"/>
  <c r="CZ2991" i="3"/>
  <c r="CZ2990" i="3"/>
  <c r="CZ2989" i="3"/>
  <c r="CZ2988" i="3"/>
  <c r="CZ2987" i="3"/>
  <c r="CZ2984" i="3"/>
  <c r="CZ2982" i="3"/>
  <c r="CZ2981" i="3"/>
  <c r="CZ2980" i="3"/>
  <c r="CZ2979" i="3"/>
  <c r="CZ2978" i="3"/>
  <c r="CZ2977" i="3"/>
  <c r="CZ2976" i="3"/>
  <c r="CZ2975" i="3"/>
  <c r="CZ2974" i="3"/>
  <c r="CZ2973" i="3"/>
  <c r="CZ2972" i="3"/>
  <c r="CZ2971" i="3"/>
  <c r="CZ2970" i="3"/>
  <c r="CZ2969" i="3"/>
  <c r="CZ2968" i="3"/>
  <c r="CZ2967" i="3"/>
  <c r="CZ2966" i="3"/>
  <c r="CZ2965" i="3"/>
  <c r="CZ2964" i="3"/>
  <c r="CZ2963" i="3"/>
  <c r="CZ2962" i="3"/>
  <c r="CZ2961" i="3"/>
  <c r="CZ2960" i="3"/>
  <c r="CZ2959" i="3"/>
  <c r="CZ2958" i="3"/>
  <c r="CZ2957" i="3"/>
  <c r="CZ2956" i="3"/>
  <c r="CZ2955" i="3"/>
  <c r="CZ2954" i="3"/>
  <c r="CZ2953" i="3"/>
  <c r="CZ2952" i="3"/>
  <c r="CZ2951" i="3"/>
  <c r="DA2951" i="3" s="1"/>
  <c r="DB2951" i="3"/>
  <c r="CB2951" i="3" s="1"/>
  <c r="CZ2950" i="3"/>
  <c r="DA2950" i="3" s="1"/>
  <c r="DB2950" i="3"/>
  <c r="CB2950" i="3" s="1"/>
  <c r="CZ2949" i="3"/>
  <c r="DA2949" i="3" s="1"/>
  <c r="DB2949" i="3"/>
  <c r="CB2949" i="3" s="1"/>
  <c r="CZ2948" i="3"/>
  <c r="DA2948" i="3" s="1"/>
  <c r="DB2948" i="3"/>
  <c r="CB2948" i="3" s="1"/>
  <c r="CZ2947" i="3"/>
  <c r="CZ2946" i="3"/>
  <c r="CZ2945" i="3"/>
  <c r="DB2945" i="3"/>
  <c r="CB2945" i="3" s="1"/>
  <c r="CZ2944" i="3"/>
  <c r="CZ2943" i="3"/>
  <c r="CZ2942" i="3"/>
  <c r="CZ2941" i="3"/>
  <c r="CZ2940" i="3"/>
  <c r="CZ2939" i="3"/>
  <c r="CZ2938" i="3"/>
  <c r="CZ2937" i="3"/>
  <c r="DB2937" i="3"/>
  <c r="CB2937" i="3" s="1"/>
  <c r="CZ2935" i="3"/>
  <c r="CZ2934" i="3"/>
  <c r="CZ2933" i="3"/>
  <c r="CZ2932" i="3"/>
  <c r="CZ2931" i="3"/>
  <c r="CZ2930" i="3"/>
  <c r="CZ2929" i="3"/>
  <c r="CZ2928" i="3"/>
  <c r="DB2928" i="3"/>
  <c r="CB2928" i="3" s="1"/>
  <c r="CZ2927" i="3"/>
  <c r="CZ2926" i="3"/>
  <c r="CZ2925" i="3"/>
  <c r="CZ2924" i="3"/>
  <c r="CZ2923" i="3"/>
  <c r="CZ2922" i="3"/>
  <c r="CZ2921" i="3"/>
  <c r="CZ2920" i="3"/>
  <c r="DB2920" i="3"/>
  <c r="CB2920" i="3" s="1"/>
  <c r="CZ2919" i="3"/>
  <c r="CZ2918" i="3"/>
  <c r="CZ2917" i="3"/>
  <c r="CZ2916" i="3"/>
  <c r="CZ2915" i="3"/>
  <c r="CZ2914" i="3"/>
  <c r="CZ2913" i="3"/>
  <c r="CZ2912" i="3"/>
  <c r="CZ2911" i="3"/>
  <c r="CZ2910" i="3"/>
  <c r="CZ2909" i="3"/>
  <c r="CZ2908" i="3"/>
  <c r="CZ2907" i="3"/>
  <c r="CZ2906" i="3"/>
  <c r="CZ2905" i="3"/>
  <c r="CZ2904" i="3"/>
  <c r="CZ2903" i="3"/>
  <c r="CZ2902" i="3"/>
  <c r="CZ2901" i="3"/>
  <c r="CZ2900" i="3"/>
  <c r="CZ2899" i="3"/>
  <c r="CZ2898" i="3"/>
  <c r="CZ2897" i="3"/>
  <c r="CZ2896" i="3"/>
  <c r="CZ2895" i="3"/>
  <c r="CZ2894" i="3"/>
  <c r="CZ2893" i="3"/>
  <c r="CZ2892" i="3"/>
  <c r="DA2892" i="3" s="1"/>
  <c r="DB2892" i="3"/>
  <c r="CB2892" i="3" s="1"/>
  <c r="CZ2891" i="3"/>
  <c r="DA2891" i="3" s="1"/>
  <c r="DB2891" i="3"/>
  <c r="CB2891" i="3" s="1"/>
  <c r="CZ2890" i="3"/>
  <c r="DA2890" i="3" s="1"/>
  <c r="DB2890" i="3"/>
  <c r="CB2890" i="3" s="1"/>
  <c r="CZ2889" i="3"/>
  <c r="DA2889" i="3" s="1"/>
  <c r="DB2889" i="3"/>
  <c r="CB2889" i="3" s="1"/>
  <c r="CZ2888" i="3"/>
  <c r="DA2888" i="3" s="1"/>
  <c r="DB2888" i="3"/>
  <c r="CB2888" i="3" s="1"/>
  <c r="CZ2887" i="3"/>
  <c r="DA2887" i="3" s="1"/>
  <c r="DB2887" i="3"/>
  <c r="CB2887" i="3" s="1"/>
  <c r="CZ2886" i="3"/>
  <c r="CZ2885" i="3"/>
  <c r="CZ2884" i="3"/>
  <c r="CZ2883" i="3"/>
  <c r="CZ2882" i="3"/>
  <c r="CZ2881" i="3"/>
  <c r="CZ2880" i="3"/>
  <c r="CZ2879" i="3"/>
  <c r="CZ2878" i="3"/>
  <c r="CZ2877" i="3"/>
  <c r="CZ2876" i="3"/>
  <c r="CZ2875" i="3"/>
  <c r="CZ2874" i="3"/>
  <c r="CZ2873" i="3"/>
  <c r="CZ2872" i="3"/>
  <c r="CZ2871" i="3"/>
  <c r="CZ2870" i="3"/>
  <c r="CZ2869" i="3"/>
  <c r="CZ2868" i="3"/>
  <c r="CZ2867" i="3"/>
  <c r="CZ2866" i="3"/>
  <c r="CZ2865" i="3"/>
  <c r="CZ2864" i="3"/>
  <c r="CZ2863" i="3"/>
  <c r="CZ2862" i="3"/>
  <c r="CZ2861" i="3"/>
  <c r="CZ2860" i="3"/>
  <c r="CZ2859" i="3"/>
  <c r="CZ2858" i="3"/>
  <c r="CZ2857" i="3"/>
  <c r="CZ2856" i="3"/>
  <c r="CZ2854" i="3"/>
  <c r="CZ2853" i="3"/>
  <c r="CZ2852" i="3"/>
  <c r="CZ2851" i="3"/>
  <c r="CZ2850" i="3"/>
  <c r="CZ2849" i="3"/>
  <c r="CZ2848" i="3"/>
  <c r="CZ2847" i="3"/>
  <c r="CZ2846" i="3"/>
  <c r="CZ2845" i="3"/>
  <c r="CZ2844" i="3"/>
  <c r="CZ2843" i="3"/>
  <c r="CZ2842" i="3"/>
  <c r="CZ2841" i="3"/>
  <c r="CZ2840" i="3"/>
  <c r="CZ2839" i="3"/>
  <c r="CZ2838" i="3"/>
  <c r="CZ2837" i="3"/>
  <c r="CZ2836" i="3"/>
  <c r="CZ2835" i="3"/>
  <c r="CZ2834" i="3"/>
  <c r="CZ2833" i="3"/>
  <c r="CZ2832" i="3"/>
  <c r="CZ2831" i="3"/>
  <c r="CZ2830" i="3"/>
  <c r="CZ2829" i="3"/>
  <c r="CZ2828" i="3"/>
  <c r="CZ2827" i="3"/>
  <c r="CZ2826" i="3"/>
  <c r="CZ2825" i="3"/>
  <c r="CZ2824" i="3"/>
  <c r="CZ2823" i="3"/>
  <c r="CZ2822" i="3"/>
  <c r="CZ2821" i="3"/>
  <c r="CZ2820" i="3"/>
  <c r="CZ2819" i="3"/>
  <c r="CZ2818" i="3"/>
  <c r="CZ2817" i="3"/>
  <c r="CZ2816" i="3"/>
  <c r="CZ2815" i="3"/>
  <c r="CZ2814" i="3"/>
  <c r="CZ2813" i="3"/>
  <c r="CZ2812" i="3"/>
  <c r="CZ2811" i="3"/>
  <c r="CZ2810" i="3"/>
  <c r="CZ2809" i="3"/>
  <c r="CZ2808" i="3"/>
  <c r="CZ2807" i="3"/>
  <c r="CZ2806" i="3"/>
  <c r="CZ2805" i="3"/>
  <c r="CZ2804" i="3"/>
  <c r="CZ2803" i="3"/>
  <c r="CZ2802" i="3"/>
  <c r="CZ2801" i="3"/>
  <c r="CZ2800" i="3"/>
  <c r="CZ2799" i="3"/>
  <c r="CZ2798" i="3"/>
  <c r="CZ2797" i="3"/>
  <c r="CZ2796" i="3"/>
  <c r="CZ2795" i="3"/>
  <c r="CZ2794" i="3"/>
  <c r="CZ2793" i="3"/>
  <c r="CZ2792" i="3"/>
  <c r="CZ2791" i="3"/>
  <c r="CZ2790" i="3"/>
  <c r="CZ2789" i="3"/>
  <c r="CZ2788" i="3"/>
  <c r="CZ2787" i="3"/>
  <c r="CZ2786" i="3"/>
  <c r="CZ2785" i="3"/>
  <c r="CZ2784" i="3"/>
  <c r="CZ2783" i="3"/>
  <c r="DA2783" i="3" s="1"/>
  <c r="DB2783" i="3" s="1"/>
  <c r="CB2783" i="3" s="1"/>
  <c r="CZ2782" i="3"/>
  <c r="DA2782" i="3" s="1"/>
  <c r="DB2782" i="3" s="1"/>
  <c r="CB2782" i="3" s="1"/>
  <c r="CZ2781" i="3"/>
  <c r="DA2781" i="3" s="1"/>
  <c r="DB2781" i="3"/>
  <c r="CB2781" i="3" s="1"/>
  <c r="CZ2780" i="3"/>
  <c r="DA2780" i="3" s="1"/>
  <c r="DB2780" i="3"/>
  <c r="CB2780" i="3" s="1"/>
  <c r="CZ2779" i="3"/>
  <c r="DA2779" i="3" s="1"/>
  <c r="DB2779" i="3"/>
  <c r="CB2779" i="3" s="1"/>
  <c r="CZ2778" i="3"/>
  <c r="DA2778" i="3" s="1"/>
  <c r="DB2778" i="3"/>
  <c r="CB2778" i="3" s="1"/>
  <c r="CZ2777" i="3"/>
  <c r="DA2777" i="3" s="1"/>
  <c r="DB2777" i="3"/>
  <c r="CB2777" i="3" s="1"/>
  <c r="CZ2776" i="3"/>
  <c r="CZ2775" i="3"/>
  <c r="CZ2774" i="3"/>
  <c r="CZ2773" i="3"/>
  <c r="CZ2772" i="3"/>
  <c r="CZ2771" i="3"/>
  <c r="CZ2770" i="3"/>
  <c r="CZ2768" i="3"/>
  <c r="CZ2767" i="3"/>
  <c r="CZ2766" i="3"/>
  <c r="CZ2765" i="3"/>
  <c r="CZ2764" i="3"/>
  <c r="CZ2763" i="3"/>
  <c r="CZ2762" i="3"/>
  <c r="CZ2761" i="3"/>
  <c r="CZ2760" i="3"/>
  <c r="CZ2759" i="3"/>
  <c r="CZ2758" i="3"/>
  <c r="CZ2757" i="3"/>
  <c r="CZ2756" i="3"/>
  <c r="CZ2755" i="3"/>
  <c r="CZ2754" i="3"/>
  <c r="CZ2753" i="3"/>
  <c r="CZ2752" i="3"/>
  <c r="CZ2751" i="3"/>
  <c r="CZ2750" i="3"/>
  <c r="CZ2749" i="3"/>
  <c r="CZ2748" i="3"/>
  <c r="CZ2747" i="3"/>
  <c r="CZ2746" i="3"/>
  <c r="CZ2745" i="3"/>
  <c r="CZ2744" i="3"/>
  <c r="CZ2743" i="3"/>
  <c r="CZ2742" i="3"/>
  <c r="CZ2741" i="3"/>
  <c r="CZ2740" i="3"/>
  <c r="CZ2739" i="3"/>
  <c r="CZ2738" i="3"/>
  <c r="CZ2737" i="3"/>
  <c r="CZ2736" i="3"/>
  <c r="DA2736" i="3" s="1"/>
  <c r="DB2736" i="3"/>
  <c r="CB2736" i="3" s="1"/>
  <c r="CZ2735" i="3"/>
  <c r="DA2735" i="3" s="1"/>
  <c r="DB2735" i="3"/>
  <c r="CB2735" i="3" s="1"/>
  <c r="CZ2734" i="3"/>
  <c r="DA2734" i="3" s="1"/>
  <c r="DB2734" i="3"/>
  <c r="CB2734" i="3" s="1"/>
  <c r="CZ2733" i="3"/>
  <c r="DA2733" i="3" s="1"/>
  <c r="DB2733" i="3"/>
  <c r="CB2733" i="3" s="1"/>
  <c r="CZ2732" i="3"/>
  <c r="CZ2731" i="3"/>
  <c r="CZ2730" i="3"/>
  <c r="CZ2729" i="3"/>
  <c r="CZ2728" i="3"/>
  <c r="CZ2727" i="3"/>
  <c r="CZ2726" i="3"/>
  <c r="CZ2725" i="3"/>
  <c r="CZ2724" i="3"/>
  <c r="CZ2722" i="3"/>
  <c r="CZ2720" i="3"/>
  <c r="CZ2719" i="3"/>
  <c r="CZ2718" i="3"/>
  <c r="CZ2717" i="3"/>
  <c r="CZ2716" i="3"/>
  <c r="CZ2715" i="3"/>
  <c r="CZ2714" i="3"/>
  <c r="CZ2713" i="3"/>
  <c r="CZ2712" i="3"/>
  <c r="DB2712" i="3"/>
  <c r="CB2712" i="3" s="1"/>
  <c r="CZ2711" i="3"/>
  <c r="CZ2710" i="3"/>
  <c r="CZ2709" i="3"/>
  <c r="CZ2708" i="3"/>
  <c r="CZ2706" i="3"/>
  <c r="CZ2705" i="3"/>
  <c r="CZ2704" i="3"/>
  <c r="CZ2703" i="3"/>
  <c r="CZ2702" i="3"/>
  <c r="CZ2701" i="3"/>
  <c r="CZ2700" i="3"/>
  <c r="CZ2699" i="3"/>
  <c r="CZ2698" i="3"/>
  <c r="CZ2697" i="3"/>
  <c r="CZ2695" i="3"/>
  <c r="CZ2694" i="3"/>
  <c r="CZ2693" i="3"/>
  <c r="CZ2692" i="3"/>
  <c r="CZ2691" i="3"/>
  <c r="CZ2690" i="3"/>
  <c r="CZ2689" i="3"/>
  <c r="CZ2688" i="3"/>
  <c r="CZ2687" i="3"/>
  <c r="CZ2686" i="3"/>
  <c r="CZ2685" i="3"/>
  <c r="CZ2684" i="3"/>
  <c r="CZ2683" i="3"/>
  <c r="CZ2682" i="3"/>
  <c r="CZ2681" i="3"/>
  <c r="CZ2680" i="3"/>
  <c r="CZ2679" i="3"/>
  <c r="CZ2678" i="3"/>
  <c r="CZ2677" i="3"/>
  <c r="CZ2676" i="3"/>
  <c r="CZ2675" i="3"/>
  <c r="CZ2674" i="3"/>
  <c r="CZ2673" i="3"/>
  <c r="CZ2672" i="3"/>
  <c r="CZ2671" i="3"/>
  <c r="CZ2670" i="3"/>
  <c r="CZ2669" i="3"/>
  <c r="CZ2668" i="3"/>
  <c r="CZ2667" i="3"/>
  <c r="CZ2666" i="3"/>
  <c r="CZ2665" i="3"/>
  <c r="CZ2664" i="3"/>
  <c r="CZ2663" i="3"/>
  <c r="CZ2662" i="3"/>
  <c r="CZ2661" i="3"/>
  <c r="CZ2660" i="3"/>
  <c r="CZ2659" i="3"/>
  <c r="CZ2658" i="3"/>
  <c r="DA2658" i="3" s="1"/>
  <c r="DB2658" i="3"/>
  <c r="CB2658" i="3" s="1"/>
  <c r="CZ2657" i="3"/>
  <c r="DA2657" i="3" s="1"/>
  <c r="DB2657" i="3"/>
  <c r="CB2657" i="3" s="1"/>
  <c r="CZ2656" i="3"/>
  <c r="DA2656" i="3" s="1"/>
  <c r="DB2656" i="3"/>
  <c r="CB2656" i="3" s="1"/>
  <c r="CZ2655" i="3"/>
  <c r="DA2655" i="3" s="1"/>
  <c r="DB2655" i="3"/>
  <c r="CB2655" i="3" s="1"/>
  <c r="CZ2654" i="3"/>
  <c r="CZ2653" i="3"/>
  <c r="CZ2652" i="3"/>
  <c r="CZ2651" i="3"/>
  <c r="CZ2650" i="3"/>
  <c r="CZ2649" i="3"/>
  <c r="CZ2648" i="3"/>
  <c r="CZ2647" i="3"/>
  <c r="CZ2646" i="3"/>
  <c r="CZ2645" i="3"/>
  <c r="CZ2644" i="3"/>
  <c r="CZ2643" i="3"/>
  <c r="CZ2642" i="3"/>
  <c r="CZ2641" i="3"/>
  <c r="CZ2640" i="3"/>
  <c r="CZ2639" i="3"/>
  <c r="CZ2638" i="3"/>
  <c r="CZ2637" i="3"/>
  <c r="CZ2636" i="3"/>
  <c r="CZ2635" i="3"/>
  <c r="CZ2634" i="3"/>
  <c r="CZ2633" i="3"/>
  <c r="CZ2632" i="3"/>
  <c r="CZ2631" i="3"/>
  <c r="CZ2630" i="3"/>
  <c r="CZ2629" i="3"/>
  <c r="CZ2628" i="3"/>
  <c r="CZ2627" i="3"/>
  <c r="CZ2626" i="3"/>
  <c r="CZ2625" i="3"/>
  <c r="CZ2624" i="3"/>
  <c r="CZ2623" i="3"/>
  <c r="CZ2622" i="3"/>
  <c r="CZ2621" i="3"/>
  <c r="CZ2620" i="3"/>
  <c r="CZ2619" i="3"/>
  <c r="CZ2618" i="3"/>
  <c r="CZ2617" i="3"/>
  <c r="CZ2616" i="3"/>
  <c r="DA2616" i="3" s="1"/>
  <c r="DB2616" i="3"/>
  <c r="CB2616" i="3" s="1"/>
  <c r="CZ2615" i="3"/>
  <c r="DA2615" i="3" s="1"/>
  <c r="DB2615" i="3"/>
  <c r="CB2615" i="3" s="1"/>
  <c r="CZ2614" i="3"/>
  <c r="DA2614" i="3" s="1"/>
  <c r="DB2614" i="3"/>
  <c r="CB2614" i="3" s="1"/>
  <c r="CZ2613" i="3"/>
  <c r="DA2613" i="3" s="1"/>
  <c r="DB2613" i="3"/>
  <c r="CB2613" i="3" s="1"/>
  <c r="CZ2612" i="3"/>
  <c r="CZ2611" i="3"/>
  <c r="CZ2610" i="3"/>
  <c r="CZ2609" i="3"/>
  <c r="CZ2608" i="3"/>
  <c r="CZ2607" i="3"/>
  <c r="CZ2606" i="3"/>
  <c r="CZ2605" i="3"/>
  <c r="CZ2604" i="3"/>
  <c r="CZ2603" i="3"/>
  <c r="CZ2602" i="3"/>
  <c r="CZ2601" i="3"/>
  <c r="CZ2600" i="3"/>
  <c r="CZ2599" i="3"/>
  <c r="CZ2598" i="3"/>
  <c r="CZ2597" i="3"/>
  <c r="CZ2596" i="3"/>
  <c r="CZ2595" i="3"/>
  <c r="CZ2594" i="3"/>
  <c r="CZ2593" i="3"/>
  <c r="CZ2592" i="3"/>
  <c r="CZ2591" i="3"/>
  <c r="CZ2590" i="3"/>
  <c r="CZ2589" i="3"/>
  <c r="CZ2588" i="3"/>
  <c r="CZ2587" i="3"/>
  <c r="CZ2586" i="3"/>
  <c r="CZ2585" i="3"/>
  <c r="CZ2584" i="3"/>
  <c r="CZ2583" i="3"/>
  <c r="CZ2582" i="3"/>
  <c r="CZ2581" i="3"/>
  <c r="CZ2580" i="3"/>
  <c r="CZ2579" i="3"/>
  <c r="CZ2578" i="3"/>
  <c r="CZ2577" i="3"/>
  <c r="CZ2576" i="3"/>
  <c r="CZ2575" i="3"/>
  <c r="CZ2574" i="3"/>
  <c r="CZ2573" i="3"/>
  <c r="CZ2572" i="3"/>
  <c r="CZ2571" i="3"/>
  <c r="DA2571" i="3" s="1"/>
  <c r="DB2571" i="3"/>
  <c r="CB2571" i="3" s="1"/>
  <c r="CZ2570" i="3"/>
  <c r="DA2570" i="3" s="1"/>
  <c r="DB2570" i="3"/>
  <c r="CB2570" i="3" s="1"/>
  <c r="CZ2569" i="3"/>
  <c r="DA2569" i="3" s="1"/>
  <c r="DB2569" i="3"/>
  <c r="CB2569" i="3" s="1"/>
  <c r="CZ2568" i="3"/>
  <c r="DA2568" i="3" s="1"/>
  <c r="DB2568" i="3"/>
  <c r="CB2568" i="3" s="1"/>
  <c r="CZ2567" i="3"/>
  <c r="DA2567" i="3" s="1"/>
  <c r="DB2567" i="3"/>
  <c r="CB2567" i="3" s="1"/>
  <c r="CZ2566" i="3"/>
  <c r="DA2566" i="3" s="1"/>
  <c r="DB2566" i="3" s="1"/>
  <c r="CB2566" i="3" s="1"/>
  <c r="CZ2565" i="3"/>
  <c r="CZ2564" i="3"/>
  <c r="CZ2563" i="3"/>
  <c r="CZ2562" i="3"/>
  <c r="CZ2561" i="3"/>
  <c r="CZ2560" i="3"/>
  <c r="CZ2559" i="3"/>
  <c r="CZ2558" i="3"/>
  <c r="CZ2557" i="3"/>
  <c r="CZ2556" i="3"/>
  <c r="CZ2555" i="3"/>
  <c r="CZ2554" i="3"/>
  <c r="CZ2553" i="3"/>
  <c r="CZ2552" i="3"/>
  <c r="CZ2551" i="3"/>
  <c r="CZ2550" i="3"/>
  <c r="CZ2549" i="3"/>
  <c r="CZ2548" i="3"/>
  <c r="CZ2547" i="3"/>
  <c r="CZ2546" i="3"/>
  <c r="CZ2545" i="3"/>
  <c r="CZ2544" i="3"/>
  <c r="CZ2542" i="3"/>
  <c r="CZ2541" i="3"/>
  <c r="CZ2540" i="3"/>
  <c r="CZ2539" i="3"/>
  <c r="CZ2538" i="3"/>
  <c r="CZ2537" i="3"/>
  <c r="CZ2536" i="3"/>
  <c r="CZ2535" i="3"/>
  <c r="CZ2534" i="3"/>
  <c r="CZ2533" i="3"/>
  <c r="CZ2532" i="3"/>
  <c r="CZ2531" i="3"/>
  <c r="CZ2530" i="3"/>
  <c r="CZ2529" i="3"/>
  <c r="CZ2528" i="3"/>
  <c r="CZ2527" i="3"/>
  <c r="CZ2526" i="3"/>
  <c r="CZ2525" i="3"/>
  <c r="CZ2524" i="3"/>
  <c r="CZ2523" i="3"/>
  <c r="CZ2522" i="3"/>
  <c r="CZ2521" i="3"/>
  <c r="CZ2520" i="3"/>
  <c r="CZ2519" i="3"/>
  <c r="CZ2518" i="3"/>
  <c r="CZ2517" i="3"/>
  <c r="CZ2515" i="3"/>
  <c r="CZ2514" i="3"/>
  <c r="CZ2513" i="3"/>
  <c r="CZ2512" i="3"/>
  <c r="CZ2511" i="3"/>
  <c r="CZ2510" i="3"/>
  <c r="CZ2509" i="3"/>
  <c r="CZ2508" i="3"/>
  <c r="CZ2507" i="3"/>
  <c r="CZ2506" i="3"/>
  <c r="CZ2505" i="3"/>
  <c r="CZ2504" i="3"/>
  <c r="CZ2503" i="3"/>
  <c r="CZ2502" i="3"/>
  <c r="CZ2501" i="3"/>
  <c r="CZ2500" i="3"/>
  <c r="CZ2499" i="3"/>
  <c r="CZ2498" i="3"/>
  <c r="CZ2497" i="3"/>
  <c r="CZ2496" i="3"/>
  <c r="CZ2495" i="3"/>
  <c r="CZ2494" i="3"/>
  <c r="CZ2493" i="3"/>
  <c r="CZ2492" i="3"/>
  <c r="CZ2491" i="3"/>
  <c r="CZ2490" i="3"/>
  <c r="CZ2489" i="3"/>
  <c r="CZ2488" i="3"/>
  <c r="CZ2487" i="3"/>
  <c r="CZ2486" i="3"/>
  <c r="CZ2485" i="3"/>
  <c r="CZ2484" i="3"/>
  <c r="CZ2483" i="3"/>
  <c r="CZ2482" i="3"/>
  <c r="CZ2481" i="3"/>
  <c r="CZ2480" i="3"/>
  <c r="CZ2479" i="3"/>
  <c r="CZ2478" i="3"/>
  <c r="DA2478" i="3" s="1"/>
  <c r="DB2478" i="3" s="1"/>
  <c r="CB2478" i="3" s="1"/>
  <c r="CZ2477" i="3"/>
  <c r="DA2477" i="3" s="1"/>
  <c r="DB2477" i="3"/>
  <c r="CB2477" i="3" s="1"/>
  <c r="CZ2476" i="3"/>
  <c r="DA2476" i="3" s="1"/>
  <c r="DB2476" i="3"/>
  <c r="CB2476" i="3" s="1"/>
  <c r="CZ2475" i="3"/>
  <c r="DA2475" i="3" s="1"/>
  <c r="DB2475" i="3"/>
  <c r="CB2475" i="3" s="1"/>
  <c r="CZ2474" i="3"/>
  <c r="CZ2473" i="3"/>
  <c r="CZ2472" i="3"/>
  <c r="CZ2471" i="3"/>
  <c r="CZ2470" i="3"/>
  <c r="CZ2469" i="3"/>
  <c r="CZ2468" i="3"/>
  <c r="CZ2467" i="3"/>
  <c r="CZ2466" i="3"/>
  <c r="CZ2465" i="3"/>
  <c r="CZ2464" i="3"/>
  <c r="CZ2463" i="3"/>
  <c r="CZ2462" i="3"/>
  <c r="CZ2461" i="3"/>
  <c r="CZ2460" i="3"/>
  <c r="CZ2459" i="3"/>
  <c r="CZ2458" i="3"/>
  <c r="CZ2457" i="3"/>
  <c r="CZ2456" i="3"/>
  <c r="CZ2455" i="3"/>
  <c r="CZ2454" i="3"/>
  <c r="CZ2453" i="3"/>
  <c r="CZ2452" i="3"/>
  <c r="CZ2451" i="3"/>
  <c r="CZ2450" i="3"/>
  <c r="CZ2449" i="3"/>
  <c r="CZ2448" i="3"/>
  <c r="CZ2447" i="3"/>
  <c r="CZ2446" i="3"/>
  <c r="CZ2445" i="3"/>
  <c r="CZ2444" i="3"/>
  <c r="CZ2443" i="3"/>
  <c r="CZ2442" i="3"/>
  <c r="CZ2441" i="3"/>
  <c r="CZ2440" i="3"/>
  <c r="CZ2439" i="3"/>
  <c r="CZ2438" i="3"/>
  <c r="CZ2437" i="3"/>
  <c r="CZ2436" i="3"/>
  <c r="CZ2435" i="3"/>
  <c r="CZ2434" i="3"/>
  <c r="CZ2433" i="3"/>
  <c r="CZ2432" i="3"/>
  <c r="CZ2431" i="3"/>
  <c r="CZ2430" i="3"/>
  <c r="CZ2429" i="3"/>
  <c r="CZ2428" i="3"/>
  <c r="CZ2427" i="3"/>
  <c r="CZ2426" i="3"/>
  <c r="CZ2425" i="3"/>
  <c r="CZ2424" i="3"/>
  <c r="CZ2423" i="3"/>
  <c r="CZ2422" i="3"/>
  <c r="CZ2421" i="3"/>
  <c r="DB2421" i="3"/>
  <c r="CB2421" i="3" s="1"/>
  <c r="CZ2420" i="3"/>
  <c r="CZ2419" i="3"/>
  <c r="CZ2418" i="3"/>
  <c r="CZ2417" i="3"/>
  <c r="CZ2416" i="3"/>
  <c r="CZ2415" i="3"/>
  <c r="CZ2414" i="3"/>
  <c r="CZ2413" i="3"/>
  <c r="CZ2412" i="3"/>
  <c r="CZ2411" i="3"/>
  <c r="CZ2410" i="3"/>
  <c r="CZ2409" i="3"/>
  <c r="CZ2408" i="3"/>
  <c r="CZ2407" i="3"/>
  <c r="CZ2406" i="3"/>
  <c r="CZ2405" i="3"/>
  <c r="DB2405" i="3"/>
  <c r="CB2405" i="3" s="1"/>
  <c r="CZ2404" i="3"/>
  <c r="CZ2403" i="3"/>
  <c r="CZ2402" i="3"/>
  <c r="DA2402" i="3" s="1"/>
  <c r="DB2402" i="3"/>
  <c r="CB2402" i="3" s="1"/>
  <c r="CZ2401" i="3"/>
  <c r="DA2401" i="3" s="1"/>
  <c r="DB2401" i="3"/>
  <c r="CB2401" i="3" s="1"/>
  <c r="CZ2400" i="3"/>
  <c r="DA2400" i="3" s="1"/>
  <c r="DB2400" i="3"/>
  <c r="CB2400" i="3" s="1"/>
  <c r="CZ2399" i="3"/>
  <c r="DA2399" i="3" s="1"/>
  <c r="DB2399" i="3"/>
  <c r="CB2399" i="3" s="1"/>
  <c r="CZ2398" i="3"/>
  <c r="CZ2397" i="3"/>
  <c r="CZ2396" i="3"/>
  <c r="CZ2395" i="3"/>
  <c r="CZ2394" i="3"/>
  <c r="CZ2393" i="3"/>
  <c r="CZ2392" i="3"/>
  <c r="CZ2391" i="3"/>
  <c r="CZ2390" i="3"/>
  <c r="CZ2389" i="3"/>
  <c r="CZ2388" i="3"/>
  <c r="CZ2386" i="3"/>
  <c r="CZ2385" i="3"/>
  <c r="CZ2384" i="3"/>
  <c r="CZ2383" i="3"/>
  <c r="CZ2382" i="3"/>
  <c r="CZ2381" i="3"/>
  <c r="CZ2380" i="3"/>
  <c r="CZ2379" i="3"/>
  <c r="CZ2378" i="3"/>
  <c r="CZ2377" i="3"/>
  <c r="CZ2375" i="3"/>
  <c r="CZ2374" i="3"/>
  <c r="CZ2373" i="3"/>
  <c r="CZ2372" i="3"/>
  <c r="CZ2371" i="3"/>
  <c r="CZ2370" i="3"/>
  <c r="CZ2369" i="3"/>
  <c r="CZ2368" i="3"/>
  <c r="CZ2367" i="3"/>
  <c r="CZ2366" i="3"/>
  <c r="CZ2365" i="3"/>
  <c r="CZ2364" i="3"/>
  <c r="CZ2363" i="3"/>
  <c r="CZ2362" i="3"/>
  <c r="CZ2361" i="3"/>
  <c r="CZ2360" i="3"/>
  <c r="CZ2359" i="3"/>
  <c r="CZ2358" i="3"/>
  <c r="CZ2356" i="3"/>
  <c r="CZ2355" i="3"/>
  <c r="CZ2354" i="3"/>
  <c r="CZ2353" i="3"/>
  <c r="CZ2352" i="3"/>
  <c r="CZ2351" i="3"/>
  <c r="CZ2350" i="3"/>
  <c r="CZ2349" i="3"/>
  <c r="CZ2348" i="3"/>
  <c r="CZ2347" i="3"/>
  <c r="CZ2345" i="3"/>
  <c r="CZ2344" i="3"/>
  <c r="CZ2343" i="3"/>
  <c r="CZ2342" i="3"/>
  <c r="CZ2341" i="3"/>
  <c r="CZ2340" i="3"/>
  <c r="CZ2339" i="3"/>
  <c r="CZ2338" i="3"/>
  <c r="CZ2337" i="3"/>
  <c r="CZ2336" i="3"/>
  <c r="CZ2335" i="3"/>
  <c r="CZ2334" i="3"/>
  <c r="CZ2333" i="3"/>
  <c r="CZ2332" i="3"/>
  <c r="CZ2331" i="3"/>
  <c r="CZ2330" i="3"/>
  <c r="CZ2329" i="3"/>
  <c r="CZ2328" i="3"/>
  <c r="CZ2327" i="3"/>
  <c r="CZ2326" i="3"/>
  <c r="CZ2325" i="3"/>
  <c r="CZ2324" i="3"/>
  <c r="CZ2323" i="3"/>
  <c r="CZ2322" i="3"/>
  <c r="CZ2321" i="3"/>
  <c r="CZ2320" i="3"/>
  <c r="CZ2319" i="3"/>
  <c r="CZ2318" i="3"/>
  <c r="CZ2317" i="3"/>
  <c r="CZ2316" i="3"/>
  <c r="CZ2315" i="3"/>
  <c r="CZ2314" i="3"/>
  <c r="CZ2313" i="3"/>
  <c r="CZ2312" i="3"/>
  <c r="CZ2311" i="3"/>
  <c r="CZ2310" i="3"/>
  <c r="CZ2309" i="3"/>
  <c r="CZ2308" i="3"/>
  <c r="CZ2307" i="3"/>
  <c r="DA2307" i="3" s="1"/>
  <c r="DB2307" i="3"/>
  <c r="CB2307" i="3" s="1"/>
  <c r="CZ2306" i="3"/>
  <c r="DA2306" i="3" s="1"/>
  <c r="DB2306" i="3"/>
  <c r="CB2306" i="3" s="1"/>
  <c r="CZ2305" i="3"/>
  <c r="DA2305" i="3" s="1"/>
  <c r="DB2305" i="3"/>
  <c r="CB2305" i="3" s="1"/>
  <c r="CZ2304" i="3"/>
  <c r="DA2304" i="3" s="1"/>
  <c r="DB2304" i="3"/>
  <c r="CB2304" i="3" s="1"/>
  <c r="CZ2303" i="3"/>
  <c r="CZ2302" i="3"/>
  <c r="CZ2301" i="3"/>
  <c r="CZ2300" i="3"/>
  <c r="CZ2299" i="3"/>
  <c r="CZ2298" i="3"/>
  <c r="CZ2297" i="3"/>
  <c r="CZ2296" i="3"/>
  <c r="CZ2295" i="3"/>
  <c r="CZ2294" i="3"/>
  <c r="CZ2293" i="3"/>
  <c r="CZ2292" i="3"/>
  <c r="CZ2291" i="3"/>
  <c r="CZ2290" i="3"/>
  <c r="CZ2289" i="3"/>
  <c r="CZ2288" i="3"/>
  <c r="CZ2287" i="3"/>
  <c r="CZ2286" i="3"/>
  <c r="CZ2285" i="3"/>
  <c r="CZ2284" i="3"/>
  <c r="CZ2283" i="3"/>
  <c r="CZ2282" i="3"/>
  <c r="CZ2281" i="3"/>
  <c r="CZ2280" i="3"/>
  <c r="CZ2279" i="3"/>
  <c r="CZ2278" i="3"/>
  <c r="CZ2277" i="3"/>
  <c r="CZ2276" i="3"/>
  <c r="CZ2275" i="3"/>
  <c r="CZ2274" i="3"/>
  <c r="CZ2273" i="3"/>
  <c r="CZ2272" i="3"/>
  <c r="CZ2271" i="3"/>
  <c r="CZ2270" i="3"/>
  <c r="CZ2269" i="3"/>
  <c r="CZ2268" i="3"/>
  <c r="CZ2267" i="3"/>
  <c r="DA2267" i="3" s="1"/>
  <c r="DB2267" i="3"/>
  <c r="CB2267" i="3" s="1"/>
  <c r="CZ2266" i="3"/>
  <c r="DA2266" i="3" s="1"/>
  <c r="DB2266" i="3"/>
  <c r="CB2266" i="3" s="1"/>
  <c r="CZ2265" i="3"/>
  <c r="DA2265" i="3" s="1"/>
  <c r="DB2265" i="3"/>
  <c r="CB2265" i="3" s="1"/>
  <c r="CZ2264" i="3"/>
  <c r="DA2264" i="3" s="1"/>
  <c r="DB2264" i="3"/>
  <c r="CB2264" i="3" s="1"/>
  <c r="CZ2263" i="3"/>
  <c r="CZ2262" i="3"/>
  <c r="CZ2261" i="3"/>
  <c r="CZ2260" i="3"/>
  <c r="CZ2259" i="3"/>
  <c r="CZ2258" i="3"/>
  <c r="CZ2257" i="3"/>
  <c r="CZ2256" i="3"/>
  <c r="CZ2255" i="3"/>
  <c r="CZ2254" i="3"/>
  <c r="CZ2253" i="3"/>
  <c r="CZ2252" i="3"/>
  <c r="CZ2251" i="3"/>
  <c r="CZ2250" i="3"/>
  <c r="CZ2249" i="3"/>
  <c r="CZ2248" i="3"/>
  <c r="CZ2247" i="3"/>
  <c r="CZ2246" i="3"/>
  <c r="CZ2245" i="3"/>
  <c r="CZ2244" i="3"/>
  <c r="CZ2243" i="3"/>
  <c r="CZ2242" i="3"/>
  <c r="CZ2241" i="3"/>
  <c r="CZ2240" i="3"/>
  <c r="CZ2239" i="3"/>
  <c r="CZ2238" i="3"/>
  <c r="CZ2237" i="3"/>
  <c r="CZ2236" i="3"/>
  <c r="CZ2235" i="3"/>
  <c r="CZ2234" i="3"/>
  <c r="CZ2233" i="3"/>
  <c r="CZ2232" i="3"/>
  <c r="CZ2231" i="3"/>
  <c r="DA2231" i="3" s="1"/>
  <c r="DB2231" i="3"/>
  <c r="CB2231" i="3" s="1"/>
  <c r="CZ2230" i="3"/>
  <c r="DA2230" i="3" s="1"/>
  <c r="DB2230" i="3"/>
  <c r="CB2230" i="3" s="1"/>
  <c r="CZ2229" i="3"/>
  <c r="DA2229" i="3" s="1"/>
  <c r="DB2229" i="3"/>
  <c r="CB2229" i="3" s="1"/>
  <c r="CZ2228" i="3"/>
  <c r="DA2228" i="3" s="1"/>
  <c r="DB2228" i="3"/>
  <c r="CB2228" i="3" s="1"/>
  <c r="CZ2227" i="3"/>
  <c r="DA2227" i="3" s="1"/>
  <c r="DB2227" i="3"/>
  <c r="CB2227" i="3" s="1"/>
  <c r="CZ2226" i="3"/>
  <c r="CZ2225" i="3"/>
  <c r="CZ2224" i="3"/>
  <c r="CZ2223" i="3"/>
  <c r="CZ2222" i="3"/>
  <c r="CZ2221" i="3"/>
  <c r="CZ2220" i="3"/>
  <c r="CZ2219" i="3"/>
  <c r="CZ2218" i="3"/>
  <c r="CZ2217" i="3"/>
  <c r="CZ2216" i="3"/>
  <c r="CZ2215" i="3"/>
  <c r="CZ2206" i="3"/>
  <c r="CZ2205" i="3"/>
  <c r="CZ2204" i="3"/>
  <c r="CZ2203" i="3"/>
  <c r="CZ2202" i="3"/>
  <c r="CZ2201" i="3"/>
  <c r="CZ2200" i="3"/>
  <c r="CZ2199" i="3"/>
  <c r="CZ2198" i="3"/>
  <c r="CZ2197" i="3"/>
  <c r="CZ2196" i="3"/>
  <c r="CZ2195" i="3"/>
  <c r="CZ2194" i="3"/>
  <c r="CZ2193" i="3"/>
  <c r="CZ2192" i="3"/>
  <c r="CZ2191" i="3"/>
  <c r="CZ2190" i="3"/>
  <c r="CZ2189" i="3"/>
  <c r="CZ2188" i="3"/>
  <c r="CZ2187" i="3"/>
  <c r="CZ2186" i="3"/>
  <c r="CZ2185" i="3"/>
  <c r="CZ2184" i="3"/>
  <c r="CZ2183" i="3"/>
  <c r="CZ2182" i="3"/>
  <c r="CZ2181" i="3"/>
  <c r="CZ2180" i="3"/>
  <c r="CZ2179" i="3"/>
  <c r="CZ2178" i="3"/>
  <c r="CZ2177" i="3"/>
  <c r="CZ2176" i="3"/>
  <c r="CZ2175" i="3"/>
  <c r="CZ2174" i="3"/>
  <c r="CZ2173" i="3"/>
  <c r="DA2173" i="3" s="1"/>
  <c r="DB2173" i="3" s="1"/>
  <c r="CB2173" i="3" s="1"/>
  <c r="CZ2172" i="3"/>
  <c r="DA2172" i="3" s="1"/>
  <c r="DB2172" i="3"/>
  <c r="CB2172" i="3" s="1"/>
  <c r="CZ2171" i="3"/>
  <c r="DA2171" i="3" s="1"/>
  <c r="DB2171" i="3"/>
  <c r="CB2171" i="3" s="1"/>
  <c r="CZ2170" i="3"/>
  <c r="DA2170" i="3" s="1"/>
  <c r="DB2170" i="3"/>
  <c r="CB2170" i="3" s="1"/>
  <c r="CZ2169" i="3"/>
  <c r="CZ2168" i="3"/>
  <c r="CZ2167" i="3"/>
  <c r="CZ2166" i="3"/>
  <c r="CZ2165" i="3"/>
  <c r="CZ2164" i="3"/>
  <c r="CZ2163" i="3"/>
  <c r="CZ2162" i="3"/>
  <c r="CZ2161" i="3"/>
  <c r="CZ2160" i="3"/>
  <c r="CZ2159" i="3"/>
  <c r="CZ2158" i="3"/>
  <c r="CZ2157" i="3"/>
  <c r="CZ2156" i="3"/>
  <c r="CZ2155" i="3"/>
  <c r="CZ2154" i="3"/>
  <c r="CZ2153" i="3"/>
  <c r="CZ2152" i="3"/>
  <c r="CZ2151" i="3"/>
  <c r="CZ2150" i="3"/>
  <c r="CZ2149" i="3"/>
  <c r="CZ2148" i="3"/>
  <c r="CZ2147" i="3"/>
  <c r="CZ2146" i="3"/>
  <c r="CZ2145" i="3"/>
  <c r="CZ2144" i="3"/>
  <c r="CZ2143" i="3"/>
  <c r="CZ2142" i="3"/>
  <c r="CZ2141" i="3"/>
  <c r="CZ2140" i="3"/>
  <c r="CZ2139" i="3"/>
  <c r="CZ2138" i="3"/>
  <c r="CZ2137" i="3"/>
  <c r="CZ2136" i="3"/>
  <c r="CZ2135" i="3"/>
  <c r="CZ2134" i="3"/>
  <c r="CZ2133" i="3"/>
  <c r="CZ2132" i="3"/>
  <c r="CZ2131" i="3"/>
  <c r="CZ2130" i="3"/>
  <c r="CZ2129" i="3"/>
  <c r="CZ2128" i="3"/>
  <c r="CZ2127" i="3"/>
  <c r="CZ2126" i="3"/>
  <c r="CZ2125" i="3"/>
  <c r="CZ2124" i="3"/>
  <c r="CZ2123" i="3"/>
  <c r="CZ2122" i="3"/>
  <c r="CZ2121" i="3"/>
  <c r="CZ2120" i="3"/>
  <c r="CZ2119" i="3"/>
  <c r="CZ2118" i="3"/>
  <c r="CZ2117" i="3"/>
  <c r="CZ2116" i="3"/>
  <c r="CZ2115" i="3"/>
  <c r="CZ2114" i="3"/>
  <c r="CZ2113" i="3"/>
  <c r="CZ2112" i="3"/>
  <c r="CZ2111" i="3"/>
  <c r="CZ2110" i="3"/>
  <c r="CZ2109" i="3"/>
  <c r="CZ2108" i="3"/>
  <c r="CZ2107" i="3"/>
  <c r="CZ2106" i="3"/>
  <c r="CZ2105" i="3"/>
  <c r="CZ2104" i="3"/>
  <c r="CZ2103" i="3"/>
  <c r="CZ2102" i="3"/>
  <c r="CZ2101" i="3"/>
  <c r="CZ2100" i="3"/>
  <c r="CZ2099" i="3"/>
  <c r="CZ2098" i="3"/>
  <c r="CZ2097" i="3"/>
  <c r="CZ2096" i="3"/>
  <c r="CZ2095" i="3"/>
  <c r="CZ2094" i="3"/>
  <c r="CZ2093" i="3"/>
  <c r="CZ2092" i="3"/>
  <c r="CZ2091" i="3"/>
  <c r="CZ2090" i="3"/>
  <c r="CZ2089" i="3"/>
  <c r="CZ2088" i="3"/>
  <c r="CZ2087" i="3"/>
  <c r="CZ2086" i="3"/>
  <c r="CZ2085" i="3"/>
  <c r="CZ2084" i="3"/>
  <c r="CZ2083" i="3"/>
  <c r="CZ2082" i="3"/>
  <c r="CZ2081" i="3"/>
  <c r="CZ2080" i="3"/>
  <c r="CZ2079" i="3"/>
  <c r="CZ2078" i="3"/>
  <c r="CZ2077" i="3"/>
  <c r="CZ2076" i="3"/>
  <c r="CZ2075" i="3"/>
  <c r="CZ2074" i="3"/>
  <c r="CZ2073" i="3"/>
  <c r="CZ2072" i="3"/>
  <c r="CZ2071" i="3"/>
  <c r="CZ2070" i="3"/>
  <c r="CZ2069" i="3"/>
  <c r="CZ2068" i="3"/>
  <c r="DA2068" i="3" s="1"/>
  <c r="DB2068" i="3"/>
  <c r="CB2068" i="3" s="1"/>
  <c r="CZ2067" i="3"/>
  <c r="DA2067" i="3" s="1"/>
  <c r="DB2067" i="3"/>
  <c r="CB2067" i="3" s="1"/>
  <c r="CZ2066" i="3"/>
  <c r="DA2066" i="3" s="1"/>
  <c r="DB2066" i="3"/>
  <c r="CB2066" i="3" s="1"/>
  <c r="CZ2065" i="3"/>
  <c r="DA2065" i="3" s="1"/>
  <c r="DB2065" i="3"/>
  <c r="CB2065" i="3" s="1"/>
  <c r="CZ2064" i="3"/>
  <c r="CZ2063" i="3"/>
  <c r="CZ2062" i="3"/>
  <c r="CZ2061" i="3"/>
  <c r="CZ2060" i="3"/>
  <c r="CZ2059" i="3"/>
  <c r="CZ2058" i="3"/>
  <c r="CZ2057" i="3"/>
  <c r="CZ2056" i="3"/>
  <c r="CZ2055" i="3"/>
  <c r="CZ2054" i="3"/>
  <c r="CZ2053" i="3"/>
  <c r="CZ2052" i="3"/>
  <c r="CZ2051" i="3"/>
  <c r="CZ2050" i="3"/>
  <c r="CZ2049" i="3"/>
  <c r="CZ2048" i="3"/>
  <c r="CZ2047" i="3"/>
  <c r="CZ2046" i="3"/>
  <c r="CZ2045" i="3"/>
  <c r="CZ2044" i="3"/>
  <c r="CZ2043" i="3"/>
  <c r="CZ2042" i="3"/>
  <c r="CZ2041" i="3"/>
  <c r="CZ2040" i="3"/>
  <c r="CZ2039" i="3"/>
  <c r="CZ2038" i="3"/>
  <c r="CZ2037" i="3"/>
  <c r="CZ2036" i="3"/>
  <c r="DA2036" i="3" s="1"/>
  <c r="DB2036" i="3"/>
  <c r="CB2036" i="3" s="1"/>
  <c r="CZ2035" i="3"/>
  <c r="DA2035" i="3" s="1"/>
  <c r="DB2035" i="3"/>
  <c r="CB2035" i="3" s="1"/>
  <c r="CZ2034" i="3"/>
  <c r="CZ2033" i="3"/>
  <c r="CZ2032" i="3"/>
  <c r="CZ2031" i="3"/>
  <c r="CZ2030" i="3"/>
  <c r="CZ2029" i="3"/>
  <c r="CZ2028" i="3"/>
  <c r="CZ2027" i="3"/>
  <c r="CZ2026" i="3"/>
  <c r="CZ2025" i="3"/>
  <c r="CZ2024" i="3"/>
  <c r="CZ2023" i="3"/>
  <c r="CZ2022" i="3"/>
  <c r="CZ2021" i="3"/>
  <c r="CZ2020" i="3"/>
  <c r="CZ2019" i="3"/>
  <c r="CZ2018" i="3"/>
  <c r="CZ2017" i="3"/>
  <c r="CZ2016" i="3"/>
  <c r="CZ2015" i="3"/>
  <c r="CZ2014" i="3"/>
  <c r="CZ2013" i="3"/>
  <c r="CZ2012" i="3"/>
  <c r="CZ2011" i="3"/>
  <c r="CZ2010" i="3"/>
  <c r="CZ2009" i="3"/>
  <c r="CZ2008" i="3"/>
  <c r="CZ2007" i="3"/>
  <c r="CZ2006" i="3"/>
  <c r="CZ2005" i="3"/>
  <c r="CZ2004" i="3"/>
  <c r="CZ2003" i="3"/>
  <c r="DA2003" i="3" s="1"/>
  <c r="DB2003" i="3"/>
  <c r="CB2003" i="3" s="1"/>
  <c r="CZ2002" i="3"/>
  <c r="DA2002" i="3" s="1"/>
  <c r="DB2002" i="3"/>
  <c r="CB2002" i="3" s="1"/>
  <c r="CZ2001" i="3"/>
  <c r="DA2001" i="3" s="1"/>
  <c r="DB2001" i="3"/>
  <c r="CB2001" i="3" s="1"/>
  <c r="CZ2000" i="3"/>
  <c r="CZ1999" i="3"/>
  <c r="CZ1998" i="3"/>
  <c r="CZ1997" i="3"/>
  <c r="CZ1996" i="3"/>
  <c r="CZ1995" i="3"/>
  <c r="CZ1994" i="3"/>
  <c r="CZ1993" i="3"/>
  <c r="CZ1992" i="3"/>
  <c r="CZ1991" i="3"/>
  <c r="CZ1990" i="3"/>
  <c r="CZ1989" i="3"/>
  <c r="CZ1988" i="3"/>
  <c r="CZ1987" i="3"/>
  <c r="CZ1986" i="3"/>
  <c r="CZ1985" i="3"/>
  <c r="CZ1984" i="3"/>
  <c r="CZ1983" i="3"/>
  <c r="CZ1982" i="3"/>
  <c r="CZ1981" i="3"/>
  <c r="CZ1980" i="3"/>
  <c r="CZ1979" i="3"/>
  <c r="CZ1978" i="3"/>
  <c r="CZ1977" i="3"/>
  <c r="CZ1976" i="3"/>
  <c r="CZ1975" i="3"/>
  <c r="CZ1974" i="3"/>
  <c r="CZ1973" i="3"/>
  <c r="CZ1972" i="3"/>
  <c r="CZ1971" i="3"/>
  <c r="CZ1970" i="3"/>
  <c r="CZ1969" i="3"/>
  <c r="CZ1968" i="3"/>
  <c r="CZ1967" i="3"/>
  <c r="CZ1966" i="3"/>
  <c r="CZ1964" i="3"/>
  <c r="CZ1963" i="3"/>
  <c r="CZ1962" i="3"/>
  <c r="DA1962" i="3" s="1"/>
  <c r="DB1962" i="3"/>
  <c r="CB1962" i="3" s="1"/>
  <c r="CZ1961" i="3"/>
  <c r="DA1961" i="3" s="1"/>
  <c r="DB1961" i="3"/>
  <c r="CB1961" i="3" s="1"/>
  <c r="CZ1960" i="3"/>
  <c r="DA1960" i="3" s="1"/>
  <c r="DB1960" i="3"/>
  <c r="CB1960" i="3" s="1"/>
  <c r="CZ1959" i="3"/>
  <c r="DA1959" i="3" s="1"/>
  <c r="DB1959" i="3"/>
  <c r="CB1959" i="3" s="1"/>
  <c r="CZ1958" i="3"/>
  <c r="DA1958" i="3" s="1"/>
  <c r="DB1958" i="3"/>
  <c r="CB1958" i="3" s="1"/>
  <c r="CZ1957" i="3"/>
  <c r="CZ1956" i="3"/>
  <c r="CZ1955" i="3"/>
  <c r="CZ1954" i="3"/>
  <c r="CZ1953" i="3"/>
  <c r="CZ1952" i="3"/>
  <c r="CZ1951" i="3"/>
  <c r="CZ1950" i="3"/>
  <c r="CZ1949" i="3"/>
  <c r="CZ1948" i="3"/>
  <c r="CZ1947" i="3"/>
  <c r="CZ1946" i="3"/>
  <c r="CZ1945" i="3"/>
  <c r="CZ1944" i="3"/>
  <c r="CZ1943" i="3"/>
  <c r="CZ1942" i="3"/>
  <c r="CZ1941" i="3"/>
  <c r="CZ1940" i="3"/>
  <c r="CZ1939" i="3"/>
  <c r="CZ1938" i="3"/>
  <c r="CZ1937" i="3"/>
  <c r="CZ1936" i="3"/>
  <c r="CZ1935" i="3"/>
  <c r="CZ1934" i="3"/>
  <c r="CZ1933" i="3"/>
  <c r="CZ1932" i="3"/>
  <c r="CZ1931" i="3"/>
  <c r="CZ1930" i="3"/>
  <c r="CZ1929" i="3"/>
  <c r="CZ1928" i="3"/>
  <c r="CZ1927" i="3"/>
  <c r="CZ1926" i="3"/>
  <c r="CZ1925" i="3"/>
  <c r="CZ1924" i="3"/>
  <c r="CZ1915" i="3"/>
  <c r="CZ1914" i="3"/>
  <c r="CZ1913" i="3"/>
  <c r="CZ1904" i="3"/>
  <c r="CZ1903" i="3"/>
  <c r="CZ1902" i="3"/>
  <c r="CZ1893" i="3"/>
  <c r="CZ1892" i="3"/>
  <c r="CZ1891" i="3"/>
  <c r="CZ1890" i="3"/>
  <c r="CZ1889" i="3"/>
  <c r="CZ1888" i="3"/>
  <c r="CZ1887" i="3"/>
  <c r="DA1887" i="3" s="1"/>
  <c r="DB1887" i="3"/>
  <c r="CB1887" i="3" s="1"/>
  <c r="CZ1886" i="3"/>
  <c r="DA1886" i="3" s="1"/>
  <c r="DB1886" i="3"/>
  <c r="CB1886" i="3" s="1"/>
  <c r="CZ1885" i="3"/>
  <c r="DA1885" i="3" s="1"/>
  <c r="DB1885" i="3"/>
  <c r="CB1885" i="3" s="1"/>
  <c r="CZ1884" i="3"/>
  <c r="DA1884" i="3" s="1"/>
  <c r="DB1884" i="3"/>
  <c r="CB1884" i="3" s="1"/>
  <c r="CZ1806" i="3"/>
  <c r="DA1806" i="3" s="1"/>
  <c r="DB1806" i="3"/>
  <c r="CB1806" i="3" s="1"/>
  <c r="CZ1805" i="3"/>
  <c r="CZ1804" i="3"/>
  <c r="CZ1803" i="3"/>
  <c r="CZ1802" i="3"/>
  <c r="CZ1801" i="3"/>
  <c r="CZ1800" i="3"/>
  <c r="CZ1799" i="3"/>
  <c r="CZ1798" i="3"/>
  <c r="CZ1797" i="3"/>
  <c r="CZ1796" i="3"/>
  <c r="CZ1795" i="3"/>
  <c r="CZ1794" i="3"/>
  <c r="CZ1793" i="3"/>
  <c r="CZ1792" i="3"/>
  <c r="CZ1791" i="3"/>
  <c r="CZ1790" i="3"/>
  <c r="CZ1789" i="3"/>
  <c r="CZ1788" i="3"/>
  <c r="CZ1787" i="3"/>
  <c r="CZ1786" i="3"/>
  <c r="CZ1785" i="3"/>
  <c r="CZ1784" i="3"/>
  <c r="CZ1783" i="3"/>
  <c r="CZ1782" i="3"/>
  <c r="CZ1781" i="3"/>
  <c r="CZ1780" i="3"/>
  <c r="CZ1779" i="3"/>
  <c r="CZ1778" i="3"/>
  <c r="CZ1777" i="3"/>
  <c r="CZ1776" i="3"/>
  <c r="CZ1775" i="3"/>
  <c r="CZ1774" i="3"/>
  <c r="CZ1773" i="3"/>
  <c r="CZ1772" i="3"/>
  <c r="CZ1771" i="3"/>
  <c r="CZ1770" i="3"/>
  <c r="CZ1769" i="3"/>
  <c r="CZ1768" i="3"/>
  <c r="CZ1767" i="3"/>
  <c r="CZ1766" i="3"/>
  <c r="CZ1765" i="3"/>
  <c r="CZ1764" i="3"/>
  <c r="CZ1763" i="3"/>
  <c r="CZ1762" i="3"/>
  <c r="CZ1761" i="3"/>
  <c r="CZ1760" i="3"/>
  <c r="CZ1759" i="3"/>
  <c r="CZ1758" i="3"/>
  <c r="CZ1757" i="3"/>
  <c r="CZ1756" i="3"/>
  <c r="CZ1755" i="3"/>
  <c r="CZ1754" i="3"/>
  <c r="CZ1753" i="3"/>
  <c r="CZ1752" i="3"/>
  <c r="CZ1751" i="3"/>
  <c r="CZ1750" i="3"/>
  <c r="CZ1749" i="3"/>
  <c r="CZ1748" i="3"/>
  <c r="CZ1747" i="3"/>
  <c r="CZ1746" i="3"/>
  <c r="CZ1745" i="3"/>
  <c r="CZ1744" i="3"/>
  <c r="CZ1743" i="3"/>
  <c r="CZ1742" i="3"/>
  <c r="CZ1741" i="3"/>
  <c r="CZ1740" i="3"/>
  <c r="CZ1739" i="3"/>
  <c r="CZ1738" i="3"/>
  <c r="CZ1737" i="3"/>
  <c r="CZ1736" i="3"/>
  <c r="CZ1735" i="3"/>
  <c r="CZ1734" i="3"/>
  <c r="CZ1733" i="3"/>
  <c r="CZ1732" i="3"/>
  <c r="CZ1731" i="3"/>
  <c r="CZ1730" i="3"/>
  <c r="CZ1729" i="3"/>
  <c r="CZ1728" i="3"/>
  <c r="CZ1727" i="3"/>
  <c r="CZ1726" i="3"/>
  <c r="CZ1725" i="3"/>
  <c r="CZ1724" i="3"/>
  <c r="CZ1723" i="3"/>
  <c r="CZ1722" i="3"/>
  <c r="CZ1721" i="3"/>
  <c r="CZ1720" i="3"/>
  <c r="CZ1719" i="3"/>
  <c r="CZ1718" i="3"/>
  <c r="CZ1717" i="3"/>
  <c r="CZ1716" i="3"/>
  <c r="CZ1715" i="3"/>
  <c r="CZ1714" i="3"/>
  <c r="CZ1713" i="3"/>
  <c r="CZ1712" i="3"/>
  <c r="CZ1711" i="3"/>
  <c r="CZ1710" i="3"/>
  <c r="CZ1709" i="3"/>
  <c r="CZ1708" i="3"/>
  <c r="CZ1707" i="3"/>
  <c r="DB1707" i="3"/>
  <c r="CB1707" i="3" s="1"/>
  <c r="CZ1706" i="3"/>
  <c r="DA1706" i="3" s="1"/>
  <c r="DB1706" i="3"/>
  <c r="CB1706" i="3" s="1"/>
  <c r="CZ1705" i="3"/>
  <c r="DA1705" i="3" s="1"/>
  <c r="DB1705" i="3"/>
  <c r="CB1705" i="3" s="1"/>
  <c r="CZ1704" i="3"/>
  <c r="DA1704" i="3" s="1"/>
  <c r="DB1704" i="3"/>
  <c r="CB1704" i="3" s="1"/>
  <c r="CZ1703" i="3"/>
  <c r="DA1703" i="3" s="1"/>
  <c r="DB1703" i="3"/>
  <c r="CB1703" i="3" s="1"/>
  <c r="CZ1702" i="3"/>
  <c r="CZ1701" i="3"/>
  <c r="CZ1700" i="3"/>
  <c r="CZ1699" i="3"/>
  <c r="DB1699" i="3"/>
  <c r="CB1699" i="3" s="1"/>
  <c r="CZ1698" i="3"/>
  <c r="DB1698" i="3"/>
  <c r="CB1698" i="3" s="1"/>
  <c r="CZ1697" i="3"/>
  <c r="CZ1696" i="3"/>
  <c r="DA1696" i="3" s="1"/>
  <c r="DB1696" i="3"/>
  <c r="CB1696" i="3" s="1"/>
  <c r="CZ1695" i="3"/>
  <c r="CZ1694" i="3"/>
  <c r="DB1694" i="3"/>
  <c r="CB1694" i="3" s="1"/>
  <c r="CZ1693" i="3"/>
  <c r="CZ1692" i="3"/>
  <c r="DB1692" i="3"/>
  <c r="CB1692" i="3" s="1"/>
  <c r="CZ1691" i="3"/>
  <c r="CZ1690" i="3"/>
  <c r="CZ1689" i="3"/>
  <c r="CZ1688" i="3"/>
  <c r="CZ1687" i="3"/>
  <c r="CZ1686" i="3"/>
  <c r="CZ1685" i="3"/>
  <c r="CZ1684" i="3"/>
  <c r="CZ1683" i="3"/>
  <c r="CZ1682" i="3"/>
  <c r="CZ1681" i="3"/>
  <c r="CZ1680" i="3"/>
  <c r="CZ1679" i="3"/>
  <c r="CZ1678" i="3"/>
  <c r="CZ1677" i="3"/>
  <c r="CZ1676" i="3"/>
  <c r="CZ1675" i="3"/>
  <c r="CZ1674" i="3"/>
  <c r="CZ1673" i="3"/>
  <c r="CZ1672" i="3"/>
  <c r="CZ1671" i="3"/>
  <c r="CZ1670" i="3"/>
  <c r="DA1670" i="3" s="1"/>
  <c r="DB1670" i="3"/>
  <c r="CB1670" i="3" s="1"/>
  <c r="CZ1669" i="3"/>
  <c r="DA1669" i="3" s="1"/>
  <c r="DB1669" i="3"/>
  <c r="CB1669" i="3" s="1"/>
  <c r="CZ1668" i="3"/>
  <c r="DA1668" i="3" s="1"/>
  <c r="DB1668" i="3"/>
  <c r="CB1668" i="3" s="1"/>
  <c r="CZ1667" i="3"/>
  <c r="DA1667" i="3" s="1"/>
  <c r="DB1667" i="3"/>
  <c r="CB1667" i="3" s="1"/>
  <c r="CZ1666" i="3"/>
  <c r="CZ1665" i="3"/>
  <c r="CZ1664" i="3"/>
  <c r="CZ1663" i="3"/>
  <c r="CZ1662" i="3"/>
  <c r="CZ1661" i="3"/>
  <c r="CZ1660" i="3"/>
  <c r="CZ1659" i="3"/>
  <c r="CZ1658" i="3"/>
  <c r="CZ1657" i="3"/>
  <c r="CZ1656" i="3"/>
  <c r="CZ1655" i="3"/>
  <c r="CZ1654" i="3"/>
  <c r="CZ1653" i="3"/>
  <c r="CZ1652" i="3"/>
  <c r="CZ1651" i="3"/>
  <c r="CZ1650" i="3"/>
  <c r="CZ1649" i="3"/>
  <c r="CZ1648" i="3"/>
  <c r="CZ1647" i="3"/>
  <c r="CZ1646" i="3"/>
  <c r="CZ1645" i="3"/>
  <c r="CZ1644" i="3"/>
  <c r="CZ1643" i="3"/>
  <c r="CZ1642" i="3"/>
  <c r="CZ1641" i="3"/>
  <c r="CZ1640" i="3"/>
  <c r="CZ1639" i="3"/>
  <c r="CZ1638" i="3"/>
  <c r="CZ1637" i="3"/>
  <c r="CZ1636" i="3"/>
  <c r="CZ1635" i="3"/>
  <c r="CZ1634" i="3"/>
  <c r="CZ1633" i="3"/>
  <c r="CZ1632" i="3"/>
  <c r="CZ1631" i="3"/>
  <c r="CZ1630" i="3"/>
  <c r="CZ1629" i="3"/>
  <c r="CZ1628" i="3"/>
  <c r="CZ1627" i="3"/>
  <c r="CZ1626" i="3"/>
  <c r="CZ1625" i="3"/>
  <c r="CZ1624" i="3"/>
  <c r="CZ1623" i="3"/>
  <c r="CZ1622" i="3"/>
  <c r="CZ1621" i="3"/>
  <c r="CZ1620" i="3"/>
  <c r="CZ1619" i="3"/>
  <c r="CZ1618" i="3"/>
  <c r="CZ1617" i="3"/>
  <c r="CZ1616" i="3"/>
  <c r="CZ1615" i="3"/>
  <c r="CZ1614" i="3"/>
  <c r="CZ1613" i="3"/>
  <c r="CZ1612" i="3"/>
  <c r="CZ1611" i="3"/>
  <c r="CZ1610" i="3"/>
  <c r="CZ1609" i="3"/>
  <c r="CZ1608" i="3"/>
  <c r="CZ1607" i="3"/>
  <c r="CZ1606" i="3"/>
  <c r="CZ1605" i="3"/>
  <c r="CZ1604" i="3"/>
  <c r="CZ1603" i="3"/>
  <c r="CZ1602" i="3"/>
  <c r="CZ1601" i="3"/>
  <c r="CZ1600" i="3"/>
  <c r="CZ1599" i="3"/>
  <c r="CZ1598" i="3"/>
  <c r="CZ1597" i="3"/>
  <c r="CZ1596" i="3"/>
  <c r="CZ1595" i="3"/>
  <c r="CZ1594" i="3"/>
  <c r="CZ1593" i="3"/>
  <c r="CZ1592" i="3"/>
  <c r="CZ1591" i="3"/>
  <c r="CZ1590" i="3"/>
  <c r="CZ1589" i="3"/>
  <c r="CZ1588" i="3"/>
  <c r="CZ1587" i="3"/>
  <c r="CZ1586" i="3"/>
  <c r="CZ1585" i="3"/>
  <c r="CZ1584" i="3"/>
  <c r="CZ1583" i="3"/>
  <c r="CZ1582" i="3"/>
  <c r="CZ1581" i="3"/>
  <c r="CZ1580" i="3"/>
  <c r="CZ1579" i="3"/>
  <c r="CZ1578" i="3"/>
  <c r="CZ1577" i="3"/>
  <c r="CZ1576" i="3"/>
  <c r="CZ1575" i="3"/>
  <c r="CZ1574" i="3"/>
  <c r="CZ1573" i="3"/>
  <c r="CZ1572" i="3"/>
  <c r="CZ1571" i="3"/>
  <c r="CZ1570" i="3"/>
  <c r="CZ1569" i="3"/>
  <c r="CZ1568" i="3"/>
  <c r="CZ1567" i="3"/>
  <c r="CZ1566" i="3"/>
  <c r="CZ1565" i="3"/>
  <c r="CZ1564" i="3"/>
  <c r="CZ1563" i="3"/>
  <c r="CZ1562" i="3"/>
  <c r="CZ1561" i="3"/>
  <c r="CZ1560" i="3"/>
  <c r="CZ1559" i="3"/>
  <c r="CZ1558" i="3"/>
  <c r="CZ1557" i="3"/>
  <c r="CZ1556" i="3"/>
  <c r="CZ1555" i="3"/>
  <c r="CZ1554" i="3"/>
  <c r="CZ1553" i="3"/>
  <c r="CZ1552" i="3"/>
  <c r="CZ1551" i="3"/>
  <c r="CZ1550" i="3"/>
  <c r="CZ1549" i="3"/>
  <c r="CZ1548" i="3"/>
  <c r="CZ1547" i="3"/>
  <c r="CZ1546" i="3"/>
  <c r="CZ1545" i="3"/>
  <c r="CZ1544" i="3"/>
  <c r="CZ1543" i="3"/>
  <c r="CZ1542" i="3"/>
  <c r="CZ1541" i="3"/>
  <c r="CZ1540" i="3"/>
  <c r="CZ1539" i="3"/>
  <c r="CZ1538" i="3"/>
  <c r="CZ1537" i="3"/>
  <c r="CZ1536" i="3"/>
  <c r="CZ1535" i="3"/>
  <c r="CZ1534" i="3"/>
  <c r="CZ1533" i="3"/>
  <c r="CZ1532" i="3"/>
  <c r="CZ1531" i="3"/>
  <c r="CZ1530" i="3"/>
  <c r="CZ1529" i="3"/>
  <c r="CZ1528" i="3"/>
  <c r="CZ1527" i="3"/>
  <c r="CZ1526" i="3"/>
  <c r="CZ1525" i="3"/>
  <c r="CZ1524" i="3"/>
  <c r="CZ1523" i="3"/>
  <c r="CZ1522" i="3"/>
  <c r="CZ1521" i="3"/>
  <c r="CZ1520" i="3"/>
  <c r="CZ1519" i="3"/>
  <c r="DA1519" i="3" s="1"/>
  <c r="DB1519" i="3"/>
  <c r="CB1519" i="3" s="1"/>
  <c r="CZ1518" i="3"/>
  <c r="DA1518" i="3" s="1"/>
  <c r="DB1518" i="3"/>
  <c r="CB1518" i="3" s="1"/>
  <c r="CZ1517" i="3"/>
  <c r="DA1517" i="3" s="1"/>
  <c r="DB1517" i="3"/>
  <c r="CB1517" i="3" s="1"/>
  <c r="CZ1516" i="3"/>
  <c r="DA1516" i="3" s="1"/>
  <c r="DB1516" i="3"/>
  <c r="CB1516" i="3" s="1"/>
  <c r="CZ1515" i="3"/>
  <c r="CZ1514" i="3"/>
  <c r="CZ1513" i="3"/>
  <c r="CZ1512" i="3"/>
  <c r="CZ1511" i="3"/>
  <c r="CZ1510" i="3"/>
  <c r="CZ1509" i="3"/>
  <c r="CZ1508" i="3"/>
  <c r="CZ1507" i="3"/>
  <c r="CZ1506" i="3"/>
  <c r="CZ1505" i="3"/>
  <c r="CZ1504" i="3"/>
  <c r="CZ1503" i="3"/>
  <c r="CZ1502" i="3"/>
  <c r="CZ1501" i="3"/>
  <c r="CZ1500" i="3"/>
  <c r="CZ1499" i="3"/>
  <c r="CZ1498" i="3"/>
  <c r="CZ1497" i="3"/>
  <c r="CZ1496" i="3"/>
  <c r="CZ1495" i="3"/>
  <c r="CZ1494" i="3"/>
  <c r="CZ1493" i="3"/>
  <c r="CZ1492" i="3"/>
  <c r="CZ1491" i="3"/>
  <c r="CZ1490" i="3"/>
  <c r="CZ1489" i="3"/>
  <c r="CZ1488" i="3"/>
  <c r="CZ1487" i="3"/>
  <c r="CZ1486" i="3"/>
  <c r="CZ1485" i="3"/>
  <c r="CZ1484" i="3"/>
  <c r="CZ1483" i="3"/>
  <c r="CZ1482" i="3"/>
  <c r="CZ1481" i="3"/>
  <c r="CZ1480" i="3"/>
  <c r="DA1480" i="3" s="1"/>
  <c r="DB1480" i="3"/>
  <c r="CB1480" i="3" s="1"/>
  <c r="CZ1479" i="3"/>
  <c r="CZ1478" i="3"/>
  <c r="DA1478" i="3" s="1"/>
  <c r="DB1478" i="3"/>
  <c r="CB1478" i="3" s="1"/>
  <c r="CZ1477" i="3"/>
  <c r="CZ1476" i="3"/>
  <c r="CZ1475" i="3"/>
  <c r="CZ1474" i="3"/>
  <c r="CZ1473" i="3"/>
  <c r="CZ1472" i="3"/>
  <c r="CZ1471" i="3"/>
  <c r="CZ1470" i="3"/>
  <c r="CZ1469" i="3"/>
  <c r="CZ1468" i="3"/>
  <c r="CZ1467" i="3"/>
  <c r="CZ1466" i="3"/>
  <c r="CZ1465" i="3"/>
  <c r="CZ1464" i="3"/>
  <c r="CZ1463" i="3"/>
  <c r="CZ1462" i="3"/>
  <c r="CZ1461" i="3"/>
  <c r="CZ1460" i="3"/>
  <c r="CZ1459" i="3"/>
  <c r="CZ1458" i="3"/>
  <c r="CZ1457" i="3"/>
  <c r="CZ1456" i="3"/>
  <c r="CZ1455" i="3"/>
  <c r="CZ1454" i="3"/>
  <c r="CZ1453" i="3"/>
  <c r="CZ1452" i="3"/>
  <c r="CZ1451" i="3"/>
  <c r="CZ1450" i="3"/>
  <c r="CZ1449" i="3"/>
  <c r="CZ1448" i="3"/>
  <c r="CZ1447" i="3"/>
  <c r="CZ1446" i="3"/>
  <c r="CZ1445" i="3"/>
  <c r="CZ1444" i="3"/>
  <c r="CZ1443" i="3"/>
  <c r="CZ1442" i="3"/>
  <c r="CZ1441" i="3"/>
  <c r="DA1441" i="3" s="1"/>
  <c r="DB1441" i="3"/>
  <c r="CB1441" i="3" s="1"/>
  <c r="CZ1440" i="3"/>
  <c r="DA1440" i="3" s="1"/>
  <c r="DB1440" i="3"/>
  <c r="CB1440" i="3" s="1"/>
  <c r="CZ1439" i="3"/>
  <c r="DA1439" i="3" s="1"/>
  <c r="DB1439" i="3"/>
  <c r="CB1439" i="3" s="1"/>
  <c r="CZ1438" i="3"/>
  <c r="DA1438" i="3" s="1"/>
  <c r="DB1438" i="3"/>
  <c r="CB1438" i="3" s="1"/>
  <c r="CZ1437" i="3"/>
  <c r="CZ1436" i="3"/>
  <c r="CZ1435" i="3"/>
  <c r="CZ1434" i="3"/>
  <c r="CZ1433" i="3"/>
  <c r="CZ1432" i="3"/>
  <c r="CZ1431" i="3"/>
  <c r="CZ1430" i="3"/>
  <c r="CZ1429" i="3"/>
  <c r="CZ1428" i="3"/>
  <c r="CZ1427" i="3"/>
  <c r="CZ1426" i="3"/>
  <c r="CZ1425" i="3"/>
  <c r="CZ1424" i="3"/>
  <c r="CZ1423" i="3"/>
  <c r="CZ1422" i="3"/>
  <c r="CZ1421" i="3"/>
  <c r="CZ1420" i="3"/>
  <c r="CZ1419" i="3"/>
  <c r="CZ1418" i="3"/>
  <c r="CZ1417" i="3"/>
  <c r="CZ1416" i="3"/>
  <c r="CZ1415" i="3"/>
  <c r="CZ1414" i="3"/>
  <c r="CZ1413" i="3"/>
  <c r="CZ1412" i="3"/>
  <c r="CZ1411" i="3"/>
  <c r="CZ1410" i="3"/>
  <c r="CZ1409" i="3"/>
  <c r="CZ1408" i="3"/>
  <c r="CZ1407" i="3"/>
  <c r="CZ1406" i="3"/>
  <c r="CZ1405" i="3"/>
  <c r="CZ1404" i="3"/>
  <c r="CZ1403" i="3"/>
  <c r="CZ1402" i="3"/>
  <c r="CZ1401" i="3"/>
  <c r="CZ1400" i="3"/>
  <c r="CZ1399" i="3"/>
  <c r="CZ1398" i="3"/>
  <c r="CZ1397" i="3"/>
  <c r="CZ1396" i="3"/>
  <c r="CZ1395" i="3"/>
  <c r="CZ1394" i="3"/>
  <c r="CZ1393" i="3"/>
  <c r="CZ1392" i="3"/>
  <c r="CZ1391" i="3"/>
  <c r="CZ1390" i="3"/>
  <c r="CZ1389" i="3"/>
  <c r="CZ1388" i="3"/>
  <c r="CZ1387" i="3"/>
  <c r="CZ1386" i="3"/>
  <c r="CZ1385" i="3"/>
  <c r="CZ1384" i="3"/>
  <c r="DA1384" i="3" s="1"/>
  <c r="DB1384" i="3"/>
  <c r="CB1384" i="3" s="1"/>
  <c r="CZ1383" i="3"/>
  <c r="DA1383" i="3" s="1"/>
  <c r="DB1383" i="3"/>
  <c r="CB1383" i="3" s="1"/>
  <c r="CZ1382" i="3"/>
  <c r="DA1382" i="3" s="1"/>
  <c r="DB1382" i="3"/>
  <c r="CB1382" i="3" s="1"/>
  <c r="CZ1381" i="3"/>
  <c r="DA1381" i="3" s="1"/>
  <c r="DB1381" i="3"/>
  <c r="CB1381" i="3" s="1"/>
  <c r="CZ1380" i="3"/>
  <c r="CZ1379" i="3"/>
  <c r="CZ1378" i="3"/>
  <c r="CZ1377" i="3"/>
  <c r="CZ1376" i="3"/>
  <c r="CZ1375" i="3"/>
  <c r="CZ1374" i="3"/>
  <c r="CZ1373" i="3"/>
  <c r="CZ1372" i="3"/>
  <c r="CZ1371" i="3"/>
  <c r="CZ1370" i="3"/>
  <c r="CZ1369" i="3"/>
  <c r="CZ1368" i="3"/>
  <c r="CZ1367" i="3"/>
  <c r="CZ1366" i="3"/>
  <c r="CZ1365" i="3"/>
  <c r="CZ1364" i="3"/>
  <c r="CZ1363" i="3"/>
  <c r="CZ1362" i="3"/>
  <c r="CZ1361" i="3"/>
  <c r="CZ1360" i="3"/>
  <c r="CZ1359" i="3"/>
  <c r="CZ1358" i="3"/>
  <c r="CZ1357" i="3"/>
  <c r="CZ1356" i="3"/>
  <c r="CZ1355" i="3"/>
  <c r="CZ1354" i="3"/>
  <c r="CZ1353" i="3"/>
  <c r="CZ1352" i="3"/>
  <c r="CZ1351" i="3"/>
  <c r="CZ1350" i="3"/>
  <c r="CZ1349" i="3"/>
  <c r="CZ1348" i="3"/>
  <c r="CZ1347" i="3"/>
  <c r="CZ1346" i="3"/>
  <c r="CZ1345" i="3"/>
  <c r="CZ1344" i="3"/>
  <c r="CZ1343" i="3"/>
  <c r="CZ1342" i="3"/>
  <c r="CZ1341" i="3"/>
  <c r="CZ1340" i="3"/>
  <c r="CZ1339" i="3"/>
  <c r="CZ1338" i="3"/>
  <c r="CZ1337" i="3"/>
  <c r="CZ1336" i="3"/>
  <c r="CZ1335" i="3"/>
  <c r="CZ1334" i="3"/>
  <c r="CZ1333" i="3"/>
  <c r="CZ1332" i="3"/>
  <c r="CZ1331" i="3"/>
  <c r="CZ1330" i="3"/>
  <c r="CZ1328" i="3"/>
  <c r="CZ1327" i="3"/>
  <c r="CZ1326" i="3"/>
  <c r="CZ1325" i="3"/>
  <c r="CZ1324" i="3"/>
  <c r="CZ1323" i="3"/>
  <c r="CZ1322" i="3"/>
  <c r="CZ1321" i="3"/>
  <c r="CZ1320" i="3"/>
  <c r="CZ1319" i="3"/>
  <c r="CZ1317" i="3"/>
  <c r="CZ1316" i="3"/>
  <c r="CZ1315" i="3"/>
  <c r="CZ1314" i="3"/>
  <c r="CZ1313" i="3"/>
  <c r="CZ1312" i="3"/>
  <c r="CZ1311" i="3"/>
  <c r="CZ1310" i="3"/>
  <c r="CZ1309" i="3"/>
  <c r="CZ1308" i="3"/>
  <c r="CZ1306" i="3"/>
  <c r="CZ1305" i="3"/>
  <c r="CZ1304" i="3"/>
  <c r="CZ1303" i="3"/>
  <c r="CZ1302" i="3"/>
  <c r="CZ1301" i="3"/>
  <c r="CZ1300" i="3"/>
  <c r="CZ1299" i="3"/>
  <c r="CZ1298" i="3"/>
  <c r="CZ1297" i="3"/>
  <c r="CZ1295" i="3"/>
  <c r="CZ1294" i="3"/>
  <c r="CZ1293" i="3"/>
  <c r="CZ1292" i="3"/>
  <c r="CZ1291" i="3"/>
  <c r="CZ1290" i="3"/>
  <c r="CZ1289" i="3"/>
  <c r="CZ1288" i="3"/>
  <c r="CZ1287" i="3"/>
  <c r="CZ1286" i="3"/>
  <c r="CZ1285" i="3"/>
  <c r="CZ1284" i="3"/>
  <c r="CZ1283" i="3"/>
  <c r="CZ1282" i="3"/>
  <c r="CZ1281" i="3"/>
  <c r="CZ1280" i="3"/>
  <c r="CZ1279" i="3"/>
  <c r="CZ1278" i="3"/>
  <c r="CZ1277" i="3"/>
  <c r="CZ1276" i="3"/>
  <c r="CZ1275" i="3"/>
  <c r="CZ1274" i="3"/>
  <c r="CZ1273" i="3"/>
  <c r="CZ1272" i="3"/>
  <c r="CZ1271" i="3"/>
  <c r="CZ1270" i="3"/>
  <c r="CZ1269" i="3"/>
  <c r="CZ1268" i="3"/>
  <c r="CZ1266" i="3"/>
  <c r="CZ1265" i="3"/>
  <c r="CZ1264" i="3"/>
  <c r="CZ1263" i="3"/>
  <c r="CZ1262" i="3"/>
  <c r="CZ1261" i="3"/>
  <c r="CZ1260" i="3"/>
  <c r="CZ1259" i="3"/>
  <c r="CZ1258" i="3"/>
  <c r="CZ1257" i="3"/>
  <c r="CZ1256" i="3"/>
  <c r="CZ1255" i="3"/>
  <c r="CZ1254" i="3"/>
  <c r="CZ1253" i="3"/>
  <c r="CZ1252" i="3"/>
  <c r="CZ1251" i="3"/>
  <c r="CZ1249" i="3"/>
  <c r="CZ1248" i="3"/>
  <c r="CZ1247" i="3"/>
  <c r="CZ1246" i="3"/>
  <c r="CZ1245" i="3"/>
  <c r="CZ1244" i="3"/>
  <c r="CZ1243" i="3"/>
  <c r="CZ1242" i="3"/>
  <c r="CZ1241" i="3"/>
  <c r="CZ1240" i="3"/>
  <c r="CZ1239" i="3"/>
  <c r="CZ1238" i="3"/>
  <c r="CZ1237" i="3"/>
  <c r="CZ1236" i="3"/>
  <c r="CZ1235" i="3"/>
  <c r="CZ1234" i="3"/>
  <c r="CZ1233" i="3"/>
  <c r="CZ1232" i="3"/>
  <c r="CZ1231" i="3"/>
  <c r="CZ1230" i="3"/>
  <c r="CZ1228" i="3"/>
  <c r="CZ1227" i="3"/>
  <c r="CZ1226" i="3"/>
  <c r="CZ1225" i="3"/>
  <c r="CZ1224" i="3"/>
  <c r="CZ1223" i="3"/>
  <c r="CZ1222" i="3"/>
  <c r="CZ1221" i="3"/>
  <c r="CZ1220" i="3"/>
  <c r="CZ1219" i="3"/>
  <c r="CZ1218" i="3"/>
  <c r="CZ1217" i="3"/>
  <c r="CZ1216" i="3"/>
  <c r="CZ1215" i="3"/>
  <c r="CZ1214" i="3"/>
  <c r="CZ1213" i="3"/>
  <c r="CZ1212" i="3"/>
  <c r="CZ1211" i="3"/>
  <c r="CZ1210" i="3"/>
  <c r="CZ1209" i="3"/>
  <c r="CZ1208" i="3"/>
  <c r="CZ1207" i="3"/>
  <c r="CZ1206" i="3"/>
  <c r="CZ1205" i="3"/>
  <c r="CZ1204" i="3"/>
  <c r="CZ1203" i="3"/>
  <c r="CZ1202" i="3"/>
  <c r="CZ1201" i="3"/>
  <c r="CZ1200" i="3"/>
  <c r="CZ1199" i="3"/>
  <c r="CZ1198" i="3"/>
  <c r="CZ1197" i="3"/>
  <c r="CZ1196" i="3"/>
  <c r="CZ1195" i="3"/>
  <c r="CZ1194" i="3"/>
  <c r="CZ1193" i="3"/>
  <c r="DA1193" i="3" s="1"/>
  <c r="DB1193" i="3"/>
  <c r="CB1193" i="3" s="1"/>
  <c r="CZ1192" i="3"/>
  <c r="DA1192" i="3" s="1"/>
  <c r="DB1192" i="3"/>
  <c r="CB1192" i="3" s="1"/>
  <c r="CZ1191" i="3"/>
  <c r="DA1191" i="3" s="1"/>
  <c r="DB1191" i="3"/>
  <c r="CB1191" i="3" s="1"/>
  <c r="CZ1190" i="3"/>
  <c r="DA1190" i="3" s="1"/>
  <c r="DB1190" i="3"/>
  <c r="CB1190" i="3" s="1"/>
  <c r="CZ1189" i="3"/>
  <c r="CZ1188" i="3"/>
  <c r="CZ1187" i="3"/>
  <c r="CZ1186" i="3"/>
  <c r="CZ1185" i="3"/>
  <c r="CZ1184" i="3"/>
  <c r="CZ1183" i="3"/>
  <c r="CZ1182" i="3"/>
  <c r="CZ1181" i="3"/>
  <c r="CZ1180" i="3"/>
  <c r="CZ1179" i="3"/>
  <c r="CZ1178" i="3"/>
  <c r="CZ1177" i="3"/>
  <c r="CZ1176" i="3"/>
  <c r="CZ1175" i="3"/>
  <c r="CZ1174" i="3"/>
  <c r="CZ1173" i="3"/>
  <c r="CZ1172" i="3"/>
  <c r="CZ1171" i="3"/>
  <c r="CZ1170" i="3"/>
  <c r="CZ1169" i="3"/>
  <c r="CZ1168" i="3"/>
  <c r="CZ1167" i="3"/>
  <c r="CZ1166" i="3"/>
  <c r="CZ1165" i="3"/>
  <c r="CZ1164" i="3"/>
  <c r="CZ1163" i="3"/>
  <c r="CZ1162" i="3"/>
  <c r="CZ1161" i="3"/>
  <c r="CZ1160" i="3"/>
  <c r="CZ1159" i="3"/>
  <c r="CZ1157" i="3"/>
  <c r="CZ1156" i="3"/>
  <c r="CZ1155" i="3"/>
  <c r="CZ1154" i="3"/>
  <c r="DA1154" i="3" s="1"/>
  <c r="CZ1153" i="3"/>
  <c r="CZ1152" i="3"/>
  <c r="CZ1151" i="3"/>
  <c r="CZ1150" i="3"/>
  <c r="CZ1149" i="3"/>
  <c r="CZ1148" i="3"/>
  <c r="CZ1147" i="3"/>
  <c r="CZ1146" i="3"/>
  <c r="CZ1145" i="3"/>
  <c r="CZ1144" i="3"/>
  <c r="CZ1143" i="3"/>
  <c r="CZ1142" i="3"/>
  <c r="CZ1140" i="3"/>
  <c r="CZ1139" i="3"/>
  <c r="CZ1138" i="3"/>
  <c r="CZ1137" i="3"/>
  <c r="CZ1136" i="3"/>
  <c r="CZ1135" i="3"/>
  <c r="CZ1134" i="3"/>
  <c r="CZ1133" i="3"/>
  <c r="CZ1132" i="3"/>
  <c r="CZ1131" i="3"/>
  <c r="CZ1130" i="3"/>
  <c r="CZ1129" i="3"/>
  <c r="CZ1128" i="3"/>
  <c r="CZ1127" i="3"/>
  <c r="CZ1126" i="3"/>
  <c r="CZ1124" i="3"/>
  <c r="CZ1123" i="3"/>
  <c r="CZ1122" i="3"/>
  <c r="CZ1121" i="3"/>
  <c r="CZ1120" i="3"/>
  <c r="CZ1119" i="3"/>
  <c r="CZ1118" i="3"/>
  <c r="CZ1117" i="3"/>
  <c r="CZ1116" i="3"/>
  <c r="CZ1115" i="3"/>
  <c r="CZ1114" i="3"/>
  <c r="CZ1113" i="3"/>
  <c r="CZ1112" i="3"/>
  <c r="CZ1111" i="3"/>
  <c r="CZ1109" i="3"/>
  <c r="CZ1108" i="3"/>
  <c r="CZ1107" i="3"/>
  <c r="CZ1106" i="3"/>
  <c r="CZ1105" i="3"/>
  <c r="CZ1104" i="3"/>
  <c r="CZ1103" i="3"/>
  <c r="CZ1102" i="3"/>
  <c r="CZ1101" i="3"/>
  <c r="CZ1100" i="3"/>
  <c r="CZ1099" i="3"/>
  <c r="CZ1098" i="3"/>
  <c r="CZ1097" i="3"/>
  <c r="CZ1096" i="3"/>
  <c r="CZ1095" i="3"/>
  <c r="CZ1094" i="3"/>
  <c r="CZ1092" i="3"/>
  <c r="CZ1091" i="3"/>
  <c r="CZ1090" i="3"/>
  <c r="CZ1089" i="3"/>
  <c r="CZ1088" i="3"/>
  <c r="CZ1086" i="3"/>
  <c r="CZ1085" i="3"/>
  <c r="CZ1084" i="3"/>
  <c r="CZ1083" i="3"/>
  <c r="CZ1082" i="3"/>
  <c r="CZ1081" i="3"/>
  <c r="CZ1080" i="3"/>
  <c r="CZ1079" i="3"/>
  <c r="CZ1078" i="3"/>
  <c r="CZ1077" i="3"/>
  <c r="CZ1076" i="3"/>
  <c r="CZ1075" i="3"/>
  <c r="CZ1074" i="3"/>
  <c r="CZ1073" i="3"/>
  <c r="CZ1072" i="3"/>
  <c r="CZ1071" i="3"/>
  <c r="CZ1070" i="3"/>
  <c r="CZ1069" i="3"/>
  <c r="CZ1068" i="3"/>
  <c r="CZ1066" i="3"/>
  <c r="CZ1065" i="3"/>
  <c r="CZ1064" i="3"/>
  <c r="CZ1063" i="3"/>
  <c r="CZ1062" i="3"/>
  <c r="CZ1060" i="3"/>
  <c r="CZ1059" i="3"/>
  <c r="CZ1058" i="3"/>
  <c r="CZ1057" i="3"/>
  <c r="CZ1056" i="3"/>
  <c r="CZ1055" i="3"/>
  <c r="CZ1054" i="3"/>
  <c r="CZ1053" i="3"/>
  <c r="CZ1052" i="3"/>
  <c r="CZ1051" i="3"/>
  <c r="CZ1050" i="3"/>
  <c r="CZ1049" i="3"/>
  <c r="CZ1048" i="3"/>
  <c r="CZ1047" i="3"/>
  <c r="CZ1046" i="3"/>
  <c r="CZ1045" i="3"/>
  <c r="CZ1044" i="3"/>
  <c r="CZ1043" i="3"/>
  <c r="CZ1042" i="3"/>
  <c r="CZ1041" i="3"/>
  <c r="CZ1040" i="3"/>
  <c r="CZ1039" i="3"/>
  <c r="CZ1038" i="3"/>
  <c r="CZ1037" i="3"/>
  <c r="CZ1036" i="3"/>
  <c r="CZ1035" i="3"/>
  <c r="CZ1034" i="3"/>
  <c r="CZ1033" i="3"/>
  <c r="CZ1032" i="3"/>
  <c r="CZ1031" i="3"/>
  <c r="CZ1030" i="3"/>
  <c r="CZ1029" i="3"/>
  <c r="CZ1028" i="3"/>
  <c r="CZ1027" i="3"/>
  <c r="CZ1026" i="3"/>
  <c r="CZ1025" i="3"/>
  <c r="CZ1024" i="3"/>
  <c r="DA1024" i="3" s="1"/>
  <c r="DB1024" i="3"/>
  <c r="CB1024" i="3" s="1"/>
  <c r="CZ1023" i="3"/>
  <c r="DA1023" i="3" s="1"/>
  <c r="DB1023" i="3"/>
  <c r="CB1023" i="3" s="1"/>
  <c r="CZ1022" i="3"/>
  <c r="DA1022" i="3" s="1"/>
  <c r="DB1022" i="3"/>
  <c r="CB1022" i="3" s="1"/>
  <c r="CZ1021" i="3"/>
  <c r="CZ1020" i="3"/>
  <c r="CZ1019" i="3"/>
  <c r="CZ1010" i="3"/>
  <c r="CZ1009" i="3"/>
  <c r="CZ1008" i="3"/>
  <c r="CZ1007" i="3"/>
  <c r="CZ1006" i="3"/>
  <c r="CZ1005" i="3"/>
  <c r="CZ1004" i="3"/>
  <c r="CZ1003" i="3"/>
  <c r="CZ1002" i="3"/>
  <c r="CZ1001" i="3"/>
  <c r="CZ1000" i="3"/>
  <c r="CZ999" i="3"/>
  <c r="CZ998" i="3"/>
  <c r="CZ997" i="3"/>
  <c r="CZ996" i="3"/>
  <c r="CZ995" i="3"/>
  <c r="CZ994" i="3"/>
  <c r="CZ993" i="3"/>
  <c r="CZ992" i="3"/>
  <c r="CZ991" i="3"/>
  <c r="CZ990" i="3"/>
  <c r="CZ989" i="3"/>
  <c r="CZ988" i="3"/>
  <c r="CZ987" i="3"/>
  <c r="CZ986" i="3"/>
  <c r="CZ985" i="3"/>
  <c r="CZ984" i="3"/>
  <c r="CZ983" i="3"/>
  <c r="CZ982" i="3"/>
  <c r="CZ981" i="3"/>
  <c r="CZ980" i="3"/>
  <c r="CZ979" i="3"/>
  <c r="CZ978" i="3"/>
  <c r="CZ977" i="3"/>
  <c r="CZ976" i="3"/>
  <c r="CZ975" i="3"/>
  <c r="CZ974" i="3"/>
  <c r="CZ973" i="3"/>
  <c r="CZ972" i="3"/>
  <c r="CZ970" i="3"/>
  <c r="CZ969" i="3"/>
  <c r="CZ968" i="3"/>
  <c r="CZ967" i="3"/>
  <c r="CZ966" i="3"/>
  <c r="CZ964" i="3"/>
  <c r="CZ963" i="3"/>
  <c r="CZ962" i="3"/>
  <c r="CZ961" i="3"/>
  <c r="CZ960" i="3"/>
  <c r="CZ959" i="3"/>
  <c r="CZ958" i="3"/>
  <c r="CZ957" i="3"/>
  <c r="CZ956" i="3"/>
  <c r="CZ955" i="3"/>
  <c r="CZ954" i="3"/>
  <c r="CZ953" i="3"/>
  <c r="CZ952" i="3"/>
  <c r="CZ951" i="3"/>
  <c r="CZ950" i="3"/>
  <c r="CZ949" i="3"/>
  <c r="CZ948" i="3"/>
  <c r="CZ947" i="3"/>
  <c r="CZ946" i="3"/>
  <c r="CZ944" i="3"/>
  <c r="CZ943" i="3"/>
  <c r="CZ942" i="3"/>
  <c r="CZ941" i="3"/>
  <c r="CZ940" i="3"/>
  <c r="CZ938" i="3"/>
  <c r="CZ937" i="3"/>
  <c r="CZ936" i="3"/>
  <c r="CZ935" i="3"/>
  <c r="CZ934" i="3"/>
  <c r="CZ933" i="3"/>
  <c r="CZ932" i="3"/>
  <c r="CZ931" i="3"/>
  <c r="CZ930" i="3"/>
  <c r="CZ929" i="3"/>
  <c r="CZ928" i="3"/>
  <c r="CZ927" i="3"/>
  <c r="CZ926" i="3"/>
  <c r="CZ925" i="3"/>
  <c r="CZ924" i="3"/>
  <c r="CZ923" i="3"/>
  <c r="CZ922" i="3"/>
  <c r="CZ921" i="3"/>
  <c r="CZ920" i="3"/>
  <c r="CZ919" i="3"/>
  <c r="CZ918" i="3"/>
  <c r="CZ917" i="3"/>
  <c r="CZ916" i="3"/>
  <c r="CZ915" i="3"/>
  <c r="CZ914" i="3"/>
  <c r="CZ913" i="3"/>
  <c r="CZ912" i="3"/>
  <c r="CZ911" i="3"/>
  <c r="CZ910" i="3"/>
  <c r="CZ909" i="3"/>
  <c r="CZ908" i="3"/>
  <c r="CZ907" i="3"/>
  <c r="CZ906" i="3"/>
  <c r="CZ905" i="3"/>
  <c r="CZ904" i="3"/>
  <c r="CZ903" i="3"/>
  <c r="CZ902" i="3"/>
  <c r="CZ901" i="3"/>
  <c r="CZ900" i="3"/>
  <c r="DA900" i="3" s="1"/>
  <c r="DB900" i="3"/>
  <c r="CB900" i="3" s="1"/>
  <c r="CZ899" i="3"/>
  <c r="DA899" i="3" s="1"/>
  <c r="DB899" i="3"/>
  <c r="CB899" i="3" s="1"/>
  <c r="CZ898" i="3"/>
  <c r="DA898" i="3" s="1"/>
  <c r="DB898" i="3"/>
  <c r="CB898" i="3" s="1"/>
  <c r="CZ897" i="3"/>
  <c r="DA897" i="3" s="1"/>
  <c r="CZ896" i="3"/>
  <c r="DA896" i="3" s="1"/>
  <c r="DB896" i="3"/>
  <c r="CB896" i="3" s="1"/>
  <c r="CZ895" i="3"/>
  <c r="DA895" i="3" s="1"/>
  <c r="DB895" i="3"/>
  <c r="CB895" i="3" s="1"/>
  <c r="CZ894" i="3"/>
  <c r="DA894" i="3" s="1"/>
  <c r="DB894" i="3"/>
  <c r="CB894" i="3" s="1"/>
  <c r="CZ893" i="3"/>
  <c r="DA893" i="3" s="1"/>
  <c r="DB893" i="3"/>
  <c r="CB893" i="3" s="1"/>
  <c r="CZ892" i="3"/>
  <c r="DA892" i="3" s="1"/>
  <c r="DB892" i="3" s="1"/>
  <c r="CB892" i="3" s="1"/>
  <c r="CZ891" i="3"/>
  <c r="CZ890" i="3"/>
  <c r="CZ889" i="3"/>
  <c r="CZ888" i="3"/>
  <c r="CZ887" i="3"/>
  <c r="CZ886" i="3"/>
  <c r="CZ885" i="3"/>
  <c r="CZ884" i="3"/>
  <c r="CZ883" i="3"/>
  <c r="CZ882" i="3"/>
  <c r="CZ881" i="3"/>
  <c r="CZ880" i="3"/>
  <c r="CZ879" i="3"/>
  <c r="CZ878" i="3"/>
  <c r="CZ877" i="3"/>
  <c r="CZ876" i="3"/>
  <c r="CZ875" i="3"/>
  <c r="CZ874" i="3"/>
  <c r="CZ873" i="3"/>
  <c r="CZ872" i="3"/>
  <c r="CZ871" i="3"/>
  <c r="CZ870" i="3"/>
  <c r="CZ869" i="3"/>
  <c r="CZ868" i="3"/>
  <c r="CZ867" i="3"/>
  <c r="CZ866" i="3"/>
  <c r="CZ865" i="3"/>
  <c r="CZ864" i="3"/>
  <c r="CZ863" i="3"/>
  <c r="CZ862" i="3"/>
  <c r="CZ861" i="3"/>
  <c r="CZ860" i="3"/>
  <c r="CZ859" i="3"/>
  <c r="CZ858" i="3"/>
  <c r="CZ857" i="3"/>
  <c r="CZ856" i="3"/>
  <c r="CZ855" i="3"/>
  <c r="CZ854" i="3"/>
  <c r="CZ853" i="3"/>
  <c r="CZ852" i="3"/>
  <c r="CZ851" i="3"/>
  <c r="CZ850" i="3"/>
  <c r="CZ849" i="3"/>
  <c r="CZ848" i="3"/>
  <c r="CZ847" i="3"/>
  <c r="CZ846" i="3"/>
  <c r="CZ845" i="3"/>
  <c r="CZ844" i="3"/>
  <c r="CZ843" i="3"/>
  <c r="CZ842" i="3"/>
  <c r="CZ841" i="3"/>
  <c r="CZ840" i="3"/>
  <c r="CZ839" i="3"/>
  <c r="CZ838" i="3"/>
  <c r="CZ837" i="3"/>
  <c r="CZ836" i="3"/>
  <c r="CZ835" i="3"/>
  <c r="CZ834" i="3"/>
  <c r="CZ833" i="3"/>
  <c r="CZ832" i="3"/>
  <c r="CZ831" i="3"/>
  <c r="CZ830" i="3"/>
  <c r="CZ829" i="3"/>
  <c r="CZ828" i="3"/>
  <c r="CZ827" i="3"/>
  <c r="CZ826" i="3"/>
  <c r="CZ825" i="3"/>
  <c r="CZ824" i="3"/>
  <c r="CZ823" i="3"/>
  <c r="CZ822" i="3"/>
  <c r="CZ821" i="3"/>
  <c r="CZ820" i="3"/>
  <c r="CZ819" i="3"/>
  <c r="CZ818" i="3"/>
  <c r="CZ817" i="3"/>
  <c r="CZ816" i="3"/>
  <c r="CZ815" i="3"/>
  <c r="CZ814" i="3"/>
  <c r="CZ813" i="3"/>
  <c r="CZ812" i="3"/>
  <c r="CZ811" i="3"/>
  <c r="CZ810" i="3"/>
  <c r="CZ809" i="3"/>
  <c r="CZ808" i="3"/>
  <c r="CZ807" i="3"/>
  <c r="CZ806" i="3"/>
  <c r="CZ805" i="3"/>
  <c r="CZ804" i="3"/>
  <c r="CZ803" i="3"/>
  <c r="CZ802" i="3"/>
  <c r="CZ801" i="3"/>
  <c r="CZ800" i="3"/>
  <c r="CZ799" i="3"/>
  <c r="CZ798" i="3"/>
  <c r="CZ797" i="3"/>
  <c r="CZ796" i="3"/>
  <c r="CZ795" i="3"/>
  <c r="CZ794" i="3"/>
  <c r="CZ793" i="3"/>
  <c r="CZ792" i="3"/>
  <c r="CZ791" i="3"/>
  <c r="CZ790" i="3"/>
  <c r="CZ789" i="3"/>
  <c r="CZ788" i="3"/>
  <c r="CZ787" i="3"/>
  <c r="CZ786" i="3"/>
  <c r="CZ785" i="3"/>
  <c r="CZ784" i="3"/>
  <c r="CZ783" i="3"/>
  <c r="CZ782" i="3"/>
  <c r="CZ781" i="3"/>
  <c r="CZ780" i="3"/>
  <c r="CZ779" i="3"/>
  <c r="CZ778" i="3"/>
  <c r="CZ777" i="3"/>
  <c r="CZ776" i="3"/>
  <c r="CZ775" i="3"/>
  <c r="CZ774" i="3"/>
  <c r="CZ773" i="3"/>
  <c r="CZ772" i="3"/>
  <c r="CZ771" i="3"/>
  <c r="CZ770" i="3"/>
  <c r="CZ769" i="3"/>
  <c r="CZ768" i="3"/>
  <c r="CZ767" i="3"/>
  <c r="CZ766" i="3"/>
  <c r="CZ765" i="3"/>
  <c r="CZ764" i="3"/>
  <c r="CZ763" i="3"/>
  <c r="CZ762" i="3"/>
  <c r="CZ761" i="3"/>
  <c r="CZ760" i="3"/>
  <c r="CZ759" i="3"/>
  <c r="CZ758" i="3"/>
  <c r="CZ757" i="3"/>
  <c r="CZ756" i="3"/>
  <c r="CZ755" i="3"/>
  <c r="CZ754" i="3"/>
  <c r="CZ753" i="3"/>
  <c r="CZ752" i="3"/>
  <c r="CZ751" i="3"/>
  <c r="CZ750" i="3"/>
  <c r="CZ749" i="3"/>
  <c r="CZ748" i="3"/>
  <c r="CZ747" i="3"/>
  <c r="CZ746" i="3"/>
  <c r="CZ745" i="3"/>
  <c r="CZ744" i="3"/>
  <c r="CZ743" i="3"/>
  <c r="CZ742" i="3"/>
  <c r="CZ741" i="3"/>
  <c r="CZ740" i="3"/>
  <c r="CZ739" i="3"/>
  <c r="CZ738" i="3"/>
  <c r="CZ737" i="3"/>
  <c r="CZ736" i="3"/>
  <c r="CZ735" i="3"/>
  <c r="CZ734" i="3"/>
  <c r="CZ733" i="3"/>
  <c r="CZ732" i="3"/>
  <c r="CZ731" i="3"/>
  <c r="CZ730" i="3"/>
  <c r="CZ729" i="3"/>
  <c r="CZ728" i="3"/>
  <c r="CZ727" i="3"/>
  <c r="CZ726" i="3"/>
  <c r="CZ725" i="3"/>
  <c r="CZ724" i="3"/>
  <c r="CZ723" i="3"/>
  <c r="CZ722" i="3"/>
  <c r="CZ721" i="3"/>
  <c r="CZ720" i="3"/>
  <c r="CZ719" i="3"/>
  <c r="CZ718" i="3"/>
  <c r="CZ717" i="3"/>
  <c r="CZ716" i="3"/>
  <c r="CZ715" i="3"/>
  <c r="CZ714" i="3"/>
  <c r="CZ713" i="3"/>
  <c r="CZ712" i="3"/>
  <c r="CZ711" i="3"/>
  <c r="CZ710" i="3"/>
  <c r="CZ709" i="3"/>
  <c r="CZ708" i="3"/>
  <c r="CZ707" i="3"/>
  <c r="CZ706" i="3"/>
  <c r="CZ705" i="3"/>
  <c r="CZ704" i="3"/>
  <c r="CZ703" i="3"/>
  <c r="CZ702" i="3"/>
  <c r="CZ701" i="3"/>
  <c r="CZ700" i="3"/>
  <c r="CZ699" i="3"/>
  <c r="CZ698" i="3"/>
  <c r="CZ697" i="3"/>
  <c r="CZ696" i="3"/>
  <c r="CZ695" i="3"/>
  <c r="CZ694" i="3"/>
  <c r="CZ693" i="3"/>
  <c r="CZ692" i="3"/>
  <c r="CZ691" i="3"/>
  <c r="CZ690" i="3"/>
  <c r="CZ689" i="3"/>
  <c r="CZ688" i="3"/>
  <c r="CZ687" i="3"/>
  <c r="CZ686" i="3"/>
  <c r="CZ685" i="3"/>
  <c r="CZ684" i="3"/>
  <c r="CZ683" i="3"/>
  <c r="CZ682" i="3"/>
  <c r="CZ681" i="3"/>
  <c r="CZ680" i="3"/>
  <c r="CZ679" i="3"/>
  <c r="CZ678" i="3"/>
  <c r="CZ677" i="3"/>
  <c r="CZ676" i="3"/>
  <c r="CZ675" i="3"/>
  <c r="CZ674" i="3"/>
  <c r="CZ673" i="3"/>
  <c r="CZ672" i="3"/>
  <c r="CZ671" i="3"/>
  <c r="CZ670" i="3"/>
  <c r="CZ669" i="3"/>
  <c r="CZ668" i="3"/>
  <c r="CZ667" i="3"/>
  <c r="CZ666" i="3"/>
  <c r="CZ665" i="3"/>
  <c r="CZ664" i="3"/>
  <c r="CZ663" i="3"/>
  <c r="CZ662" i="3"/>
  <c r="CZ661" i="3"/>
  <c r="CZ660" i="3"/>
  <c r="CZ659" i="3"/>
  <c r="CZ658" i="3"/>
  <c r="CZ657" i="3"/>
  <c r="CZ656" i="3"/>
  <c r="CZ655" i="3"/>
  <c r="CZ654" i="3"/>
  <c r="CZ653" i="3"/>
  <c r="CZ652" i="3"/>
  <c r="CZ651" i="3"/>
  <c r="CZ650" i="3"/>
  <c r="CZ649" i="3"/>
  <c r="CZ648" i="3"/>
  <c r="CZ647" i="3"/>
  <c r="CZ646" i="3"/>
  <c r="CZ645" i="3"/>
  <c r="CZ644" i="3"/>
  <c r="CZ643" i="3"/>
  <c r="CZ642" i="3"/>
  <c r="CZ641" i="3"/>
  <c r="CZ640" i="3"/>
  <c r="CZ639" i="3"/>
  <c r="CZ638" i="3"/>
  <c r="CZ637" i="3"/>
  <c r="CZ636" i="3"/>
  <c r="CZ635" i="3"/>
  <c r="CZ634" i="3"/>
  <c r="CZ633" i="3"/>
  <c r="CZ632" i="3"/>
  <c r="CZ631" i="3"/>
  <c r="CZ630" i="3"/>
  <c r="CZ629" i="3"/>
  <c r="CZ628" i="3"/>
  <c r="CZ627" i="3"/>
  <c r="CZ626" i="3"/>
  <c r="CZ625" i="3"/>
  <c r="CZ624" i="3"/>
  <c r="CZ623" i="3"/>
  <c r="CZ622" i="3"/>
  <c r="CZ621" i="3"/>
  <c r="CZ620" i="3"/>
  <c r="CZ619" i="3"/>
  <c r="CZ618" i="3"/>
  <c r="CZ617" i="3"/>
  <c r="CZ616" i="3"/>
  <c r="CZ615" i="3"/>
  <c r="CZ614" i="3"/>
  <c r="CZ613" i="3"/>
  <c r="CZ612" i="3"/>
  <c r="CZ611" i="3"/>
  <c r="CZ610" i="3"/>
  <c r="CZ609" i="3"/>
  <c r="CZ608" i="3"/>
  <c r="CZ607" i="3"/>
  <c r="CZ606" i="3"/>
  <c r="CZ605" i="3"/>
  <c r="CZ604" i="3"/>
  <c r="CZ603" i="3"/>
  <c r="CZ602" i="3"/>
  <c r="CZ601" i="3"/>
  <c r="CZ600" i="3"/>
  <c r="CZ599" i="3"/>
  <c r="CZ598" i="3"/>
  <c r="CZ597" i="3"/>
  <c r="CZ596" i="3"/>
  <c r="CZ595" i="3"/>
  <c r="CZ594" i="3"/>
  <c r="CZ593" i="3"/>
  <c r="CZ592" i="3"/>
  <c r="CZ591" i="3"/>
  <c r="CZ590" i="3"/>
  <c r="CZ589" i="3"/>
  <c r="CZ588" i="3"/>
  <c r="CZ587" i="3"/>
  <c r="CZ586" i="3"/>
  <c r="CZ585" i="3"/>
  <c r="CZ584" i="3"/>
  <c r="CZ583" i="3"/>
  <c r="CZ582" i="3"/>
  <c r="CZ581" i="3"/>
  <c r="CZ580" i="3"/>
  <c r="CZ579" i="3"/>
  <c r="CZ578" i="3"/>
  <c r="CZ577" i="3"/>
  <c r="CZ576" i="3"/>
  <c r="CZ575" i="3"/>
  <c r="CZ574" i="3"/>
  <c r="CZ573" i="3"/>
  <c r="CZ572" i="3"/>
  <c r="CZ571" i="3"/>
  <c r="CZ570" i="3"/>
  <c r="CZ569" i="3"/>
  <c r="CZ568" i="3"/>
  <c r="CZ567" i="3"/>
  <c r="CZ566" i="3"/>
  <c r="CZ565" i="3"/>
  <c r="CZ564" i="3"/>
  <c r="CZ563" i="3"/>
  <c r="CZ562" i="3"/>
  <c r="CZ561" i="3"/>
  <c r="CZ560" i="3"/>
  <c r="CZ559" i="3"/>
  <c r="CZ558" i="3"/>
  <c r="CZ557" i="3"/>
  <c r="CZ556" i="3"/>
  <c r="CZ555" i="3"/>
  <c r="CZ554" i="3"/>
  <c r="CZ553" i="3"/>
  <c r="CZ552" i="3"/>
  <c r="CZ551" i="3"/>
  <c r="CZ550" i="3"/>
  <c r="CZ549" i="3"/>
  <c r="CZ548" i="3"/>
  <c r="CZ547" i="3"/>
  <c r="CZ546" i="3"/>
  <c r="CZ545" i="3"/>
  <c r="CZ544" i="3"/>
  <c r="CZ543" i="3"/>
  <c r="CZ542" i="3"/>
  <c r="CZ541" i="3"/>
  <c r="CZ540" i="3"/>
  <c r="CZ539" i="3"/>
  <c r="CZ538" i="3"/>
  <c r="CZ537" i="3"/>
  <c r="CZ536" i="3"/>
  <c r="CZ535" i="3"/>
  <c r="CZ534" i="3"/>
  <c r="CZ533" i="3"/>
  <c r="CZ532" i="3"/>
  <c r="CZ531" i="3"/>
  <c r="CZ530" i="3"/>
  <c r="CZ529" i="3"/>
  <c r="CZ528" i="3"/>
  <c r="CZ527" i="3"/>
  <c r="CZ526" i="3"/>
  <c r="CZ525" i="3"/>
  <c r="CZ524" i="3"/>
  <c r="CZ523" i="3"/>
  <c r="CZ522" i="3"/>
  <c r="CZ521" i="3"/>
  <c r="CZ520" i="3"/>
  <c r="CZ519" i="3"/>
  <c r="CZ518" i="3"/>
  <c r="CZ517" i="3"/>
  <c r="CZ516" i="3"/>
  <c r="CZ515" i="3"/>
  <c r="CZ514" i="3"/>
  <c r="CZ513" i="3"/>
  <c r="CZ512" i="3"/>
  <c r="CZ511" i="3"/>
  <c r="CZ510" i="3"/>
  <c r="CZ509" i="3"/>
  <c r="CZ508" i="3"/>
  <c r="CZ507" i="3"/>
  <c r="CZ506" i="3"/>
  <c r="CZ505" i="3"/>
  <c r="CZ504" i="3"/>
  <c r="CZ503" i="3"/>
  <c r="CZ502" i="3"/>
  <c r="CZ501" i="3"/>
  <c r="CZ500" i="3"/>
  <c r="CZ499" i="3"/>
  <c r="CZ498" i="3"/>
  <c r="CZ497" i="3"/>
  <c r="CZ496" i="3"/>
  <c r="CZ495" i="3"/>
  <c r="CZ494" i="3"/>
  <c r="CZ493" i="3"/>
  <c r="CZ492" i="3"/>
  <c r="CZ491" i="3"/>
  <c r="CZ490" i="3"/>
  <c r="CZ489" i="3"/>
  <c r="CZ488" i="3"/>
  <c r="CZ487" i="3"/>
  <c r="CZ486" i="3"/>
  <c r="CZ485" i="3"/>
  <c r="CZ484" i="3"/>
  <c r="CZ483" i="3"/>
  <c r="CZ482" i="3"/>
  <c r="CZ481" i="3"/>
  <c r="CZ480" i="3"/>
  <c r="CZ479" i="3"/>
  <c r="CZ478" i="3"/>
  <c r="CZ477" i="3"/>
  <c r="CZ476" i="3"/>
  <c r="CZ475" i="3"/>
  <c r="CZ474" i="3"/>
  <c r="CZ473" i="3"/>
  <c r="CZ472" i="3"/>
  <c r="CZ471" i="3"/>
  <c r="CZ470" i="3"/>
  <c r="CZ469" i="3"/>
  <c r="CZ468" i="3"/>
  <c r="CZ467" i="3"/>
  <c r="CZ466" i="3"/>
  <c r="CZ465" i="3"/>
  <c r="CZ464" i="3"/>
  <c r="CZ463" i="3"/>
  <c r="CZ462" i="3"/>
  <c r="CZ461" i="3"/>
  <c r="CZ460" i="3"/>
  <c r="CZ459" i="3"/>
  <c r="CZ458" i="3"/>
  <c r="CZ457" i="3"/>
  <c r="CZ456" i="3"/>
  <c r="CZ455" i="3"/>
  <c r="CZ454" i="3"/>
  <c r="CZ453" i="3"/>
  <c r="CZ452" i="3"/>
  <c r="CZ451" i="3"/>
  <c r="CZ450" i="3"/>
  <c r="CZ449" i="3"/>
  <c r="CZ448" i="3"/>
  <c r="CZ447" i="3"/>
  <c r="CZ446" i="3"/>
  <c r="CZ445" i="3"/>
  <c r="CZ444" i="3"/>
  <c r="CZ443" i="3"/>
  <c r="CZ442" i="3"/>
  <c r="CZ441" i="3"/>
  <c r="CZ440" i="3"/>
  <c r="CZ439" i="3"/>
  <c r="CZ438" i="3"/>
  <c r="CZ437" i="3"/>
  <c r="CZ436" i="3"/>
  <c r="CZ435" i="3"/>
  <c r="CZ434" i="3"/>
  <c r="CZ433" i="3"/>
  <c r="CZ432" i="3"/>
  <c r="CZ431" i="3"/>
  <c r="CZ430" i="3"/>
  <c r="CZ429" i="3"/>
  <c r="CZ428" i="3"/>
  <c r="CZ427" i="3"/>
  <c r="CZ426" i="3"/>
  <c r="CZ425" i="3"/>
  <c r="CZ424" i="3"/>
  <c r="CZ423" i="3"/>
  <c r="CZ422" i="3"/>
  <c r="CZ421" i="3"/>
  <c r="CZ420" i="3"/>
  <c r="CZ419" i="3"/>
  <c r="CZ418" i="3"/>
  <c r="CZ417" i="3"/>
  <c r="CZ411" i="3"/>
  <c r="CZ410" i="3"/>
  <c r="CZ409" i="3"/>
  <c r="CZ408" i="3"/>
  <c r="CZ407" i="3"/>
  <c r="CZ406" i="3"/>
  <c r="CZ405" i="3"/>
  <c r="CZ404" i="3"/>
  <c r="CZ403" i="3"/>
  <c r="CZ402" i="3"/>
  <c r="CZ401" i="3"/>
  <c r="CZ400" i="3"/>
  <c r="CZ399" i="3"/>
  <c r="CZ398" i="3"/>
  <c r="CZ397" i="3"/>
  <c r="CZ396" i="3"/>
  <c r="CZ395" i="3"/>
  <c r="CZ394" i="3"/>
  <c r="CZ393" i="3"/>
  <c r="CZ392" i="3"/>
  <c r="CZ391" i="3"/>
  <c r="CZ390" i="3"/>
  <c r="CZ389" i="3"/>
  <c r="CZ388" i="3"/>
  <c r="CZ387" i="3"/>
  <c r="CZ386" i="3"/>
  <c r="CZ385" i="3"/>
  <c r="CZ384" i="3"/>
  <c r="CZ383" i="3"/>
  <c r="CZ382" i="3"/>
  <c r="CZ381" i="3"/>
  <c r="CZ380" i="3"/>
  <c r="CZ379" i="3"/>
  <c r="CZ376" i="3"/>
  <c r="CZ375" i="3"/>
  <c r="CZ374" i="3"/>
  <c r="CZ373" i="3"/>
  <c r="CZ372" i="3"/>
  <c r="CZ371" i="3"/>
  <c r="CZ370" i="3"/>
  <c r="CZ369" i="3"/>
  <c r="CZ368" i="3"/>
  <c r="CZ367" i="3"/>
  <c r="CZ366" i="3"/>
  <c r="CZ365" i="3"/>
  <c r="CZ364" i="3"/>
  <c r="CZ363" i="3"/>
  <c r="CZ362" i="3"/>
  <c r="CZ361" i="3"/>
  <c r="CZ360" i="3"/>
  <c r="CZ359" i="3"/>
  <c r="CZ358" i="3"/>
  <c r="CZ357" i="3"/>
  <c r="CZ356" i="3"/>
  <c r="CZ355" i="3"/>
  <c r="CZ354" i="3"/>
  <c r="CZ353" i="3"/>
  <c r="CZ352" i="3"/>
  <c r="CZ351" i="3"/>
  <c r="CZ350" i="3"/>
  <c r="CZ349" i="3"/>
  <c r="CZ348" i="3"/>
  <c r="CZ347" i="3"/>
  <c r="CZ346" i="3"/>
  <c r="CZ345" i="3"/>
  <c r="CZ344" i="3"/>
  <c r="CZ343" i="3"/>
  <c r="DA343" i="3" s="1"/>
  <c r="DB343" i="3" s="1"/>
  <c r="CB343" i="3" s="1"/>
  <c r="CZ342" i="3"/>
  <c r="DA342" i="3" s="1"/>
  <c r="DB342" i="3" s="1"/>
  <c r="CB342" i="3" s="1"/>
  <c r="CZ341" i="3"/>
  <c r="DA341" i="3" s="1"/>
  <c r="DB341" i="3" s="1"/>
  <c r="CB341" i="3" s="1"/>
  <c r="CZ340" i="3"/>
  <c r="CZ339" i="3"/>
  <c r="DA339" i="3" s="1"/>
  <c r="DB339" i="3" s="1"/>
  <c r="CB339" i="3" s="1"/>
  <c r="CZ338" i="3"/>
  <c r="DA338" i="3" s="1"/>
  <c r="DB338" i="3" s="1"/>
  <c r="CB338" i="3" s="1"/>
  <c r="CZ337" i="3"/>
  <c r="DA337" i="3" s="1"/>
  <c r="DB337" i="3" s="1"/>
  <c r="CB337" i="3" s="1"/>
  <c r="CZ336" i="3"/>
  <c r="DA336" i="3" s="1"/>
  <c r="DB336" i="3" s="1"/>
  <c r="CB336" i="3" s="1"/>
  <c r="CZ335" i="3"/>
  <c r="DA335" i="3" s="1"/>
  <c r="DB335" i="3" s="1"/>
  <c r="CB335" i="3" s="1"/>
  <c r="CZ334" i="3"/>
  <c r="DA334" i="3" s="1"/>
  <c r="DB334" i="3" s="1"/>
  <c r="CB334" i="3" s="1"/>
  <c r="CZ333" i="3"/>
  <c r="DA333" i="3" s="1"/>
  <c r="DB333" i="3" s="1"/>
  <c r="CB333" i="3" s="1"/>
  <c r="CZ317" i="3"/>
  <c r="CZ316" i="3"/>
  <c r="CZ315" i="3"/>
  <c r="CZ314" i="3"/>
  <c r="CZ313" i="3"/>
  <c r="CZ312" i="3"/>
  <c r="CZ311" i="3"/>
  <c r="CZ310" i="3"/>
  <c r="CZ309" i="3"/>
  <c r="CZ308" i="3"/>
  <c r="CZ307" i="3"/>
  <c r="CZ306" i="3"/>
  <c r="CZ305" i="3"/>
  <c r="DA305" i="3" s="1"/>
  <c r="DB305" i="3" s="1"/>
  <c r="CB305" i="3" s="1"/>
  <c r="CZ304" i="3"/>
  <c r="DA304" i="3" s="1"/>
  <c r="DB304" i="3" s="1"/>
  <c r="CB304" i="3" s="1"/>
  <c r="CZ303" i="3"/>
  <c r="CZ302" i="3"/>
  <c r="CZ301" i="3"/>
  <c r="CZ300" i="3"/>
  <c r="CZ299" i="3"/>
  <c r="CZ298" i="3"/>
  <c r="CZ297" i="3"/>
  <c r="CZ296" i="3"/>
  <c r="CZ295" i="3"/>
  <c r="CZ294" i="3"/>
  <c r="CZ293" i="3"/>
  <c r="CZ292" i="3"/>
  <c r="CZ291" i="3"/>
  <c r="CZ290" i="3"/>
  <c r="CZ289" i="3"/>
  <c r="CZ288" i="3"/>
  <c r="CZ287" i="3"/>
  <c r="CZ286" i="3"/>
  <c r="CZ285" i="3"/>
  <c r="CZ284" i="3"/>
  <c r="CZ283" i="3"/>
  <c r="DB283" i="3"/>
  <c r="CB283" i="3" s="1"/>
  <c r="CZ282" i="3"/>
  <c r="CZ281" i="3"/>
  <c r="CZ280" i="3"/>
  <c r="CZ279" i="3"/>
  <c r="CZ278" i="3"/>
  <c r="CZ277" i="3"/>
  <c r="CZ276" i="3"/>
  <c r="CZ275" i="3"/>
  <c r="CZ274" i="3"/>
  <c r="CZ273" i="3"/>
  <c r="CZ272" i="3"/>
  <c r="CZ271" i="3"/>
  <c r="CZ270" i="3"/>
  <c r="CZ269" i="3"/>
  <c r="CZ268" i="3"/>
  <c r="CZ267" i="3"/>
  <c r="CZ266" i="3"/>
  <c r="CZ265" i="3"/>
  <c r="CZ264" i="3"/>
  <c r="CZ263" i="3"/>
  <c r="CZ262" i="3"/>
  <c r="CZ261" i="3"/>
  <c r="CZ260" i="3"/>
  <c r="CZ259" i="3"/>
  <c r="CZ258" i="3"/>
  <c r="CZ257" i="3"/>
  <c r="CZ256" i="3"/>
  <c r="CZ255" i="3"/>
  <c r="CZ254" i="3"/>
  <c r="CZ253" i="3"/>
  <c r="CZ252" i="3"/>
  <c r="CZ251" i="3"/>
  <c r="CZ250" i="3"/>
  <c r="CZ249" i="3"/>
  <c r="CZ248" i="3"/>
  <c r="CZ247" i="3"/>
  <c r="CZ246" i="3"/>
  <c r="CZ245" i="3"/>
  <c r="CZ244" i="3"/>
  <c r="CZ243" i="3"/>
  <c r="CZ242" i="3"/>
  <c r="CZ241" i="3"/>
  <c r="CZ240" i="3"/>
  <c r="CZ239" i="3"/>
  <c r="CZ238" i="3"/>
  <c r="CZ237" i="3"/>
  <c r="CZ236" i="3"/>
  <c r="CZ235" i="3"/>
  <c r="CZ234" i="3"/>
  <c r="CZ233" i="3"/>
  <c r="CZ232" i="3"/>
  <c r="CZ231" i="3"/>
  <c r="CZ230" i="3"/>
  <c r="CZ229" i="3"/>
  <c r="CZ228" i="3"/>
  <c r="CZ227" i="3"/>
  <c r="CZ226" i="3"/>
  <c r="CZ225" i="3"/>
  <c r="CZ224" i="3"/>
  <c r="CZ223" i="3"/>
  <c r="CZ222" i="3"/>
  <c r="CZ221" i="3"/>
  <c r="CZ220" i="3"/>
  <c r="CZ219" i="3"/>
  <c r="CZ218" i="3"/>
  <c r="CZ217" i="3"/>
  <c r="CZ216" i="3"/>
  <c r="CZ215" i="3"/>
  <c r="CZ214" i="3"/>
  <c r="CZ213" i="3"/>
  <c r="CZ212" i="3"/>
  <c r="CZ211" i="3"/>
  <c r="CZ210" i="3"/>
  <c r="CZ209" i="3"/>
  <c r="CZ208" i="3"/>
  <c r="CZ207" i="3"/>
  <c r="CZ206" i="3"/>
  <c r="CZ205" i="3"/>
  <c r="CZ204" i="3"/>
  <c r="CZ203" i="3"/>
  <c r="CZ202" i="3"/>
  <c r="CZ201" i="3"/>
  <c r="CZ200" i="3"/>
  <c r="DA200" i="3" s="1"/>
  <c r="DB200" i="3"/>
  <c r="CB200" i="3" s="1"/>
  <c r="CZ199" i="3"/>
  <c r="CZ198" i="3"/>
  <c r="CZ197" i="3"/>
  <c r="CZ196" i="3"/>
  <c r="CZ195" i="3"/>
  <c r="CZ194" i="3"/>
  <c r="CZ193" i="3"/>
  <c r="CZ192" i="3"/>
  <c r="CZ191" i="3"/>
  <c r="CZ190" i="3"/>
  <c r="CZ189" i="3"/>
  <c r="CZ188" i="3"/>
  <c r="CZ187" i="3"/>
  <c r="CZ186" i="3"/>
  <c r="CZ185" i="3"/>
  <c r="CZ184" i="3"/>
  <c r="CZ183" i="3"/>
  <c r="CZ182" i="3"/>
  <c r="CZ181" i="3"/>
  <c r="DA181" i="3" s="1"/>
  <c r="DB181" i="3"/>
  <c r="CB181" i="3" s="1"/>
  <c r="CZ180" i="3"/>
  <c r="DA180" i="3" s="1"/>
  <c r="DB180" i="3"/>
  <c r="CB180" i="3" s="1"/>
  <c r="CZ179" i="3"/>
  <c r="DA179" i="3" s="1"/>
  <c r="DB179" i="3"/>
  <c r="CB179" i="3" s="1"/>
  <c r="CZ178" i="3"/>
  <c r="DA178" i="3" s="1"/>
  <c r="DB178" i="3"/>
  <c r="CB178" i="3" s="1"/>
  <c r="CZ176" i="3"/>
  <c r="DA176" i="3" s="1"/>
  <c r="DB176" i="3"/>
  <c r="CB176" i="3" s="1"/>
  <c r="CZ175" i="3"/>
  <c r="DA175" i="3" s="1"/>
  <c r="DB175" i="3"/>
  <c r="CB175" i="3" s="1"/>
  <c r="CZ174" i="3"/>
  <c r="DA174" i="3" s="1"/>
  <c r="DB174" i="3" s="1"/>
  <c r="CB174" i="3" s="1"/>
  <c r="CZ173" i="3"/>
  <c r="CZ172" i="3"/>
  <c r="CZ171" i="3"/>
  <c r="CZ170" i="3"/>
  <c r="CZ169" i="3"/>
  <c r="CZ168" i="3"/>
  <c r="CZ167" i="3"/>
  <c r="CZ166" i="3"/>
  <c r="CZ165" i="3"/>
  <c r="CZ164" i="3"/>
  <c r="CZ163" i="3"/>
  <c r="CZ162" i="3"/>
  <c r="CZ161" i="3"/>
  <c r="CZ160" i="3"/>
  <c r="CZ159" i="3"/>
  <c r="CZ158" i="3"/>
  <c r="CZ157" i="3"/>
  <c r="CZ156" i="3"/>
  <c r="CZ155" i="3"/>
  <c r="DA155" i="3" s="1"/>
  <c r="DB155" i="3" s="1"/>
  <c r="CB155" i="3" s="1"/>
  <c r="CZ154" i="3"/>
  <c r="DA154" i="3" s="1"/>
  <c r="DB154" i="3" s="1"/>
  <c r="CB154" i="3" s="1"/>
  <c r="CZ153" i="3"/>
  <c r="DA153" i="3" s="1"/>
  <c r="DB153" i="3" s="1"/>
  <c r="CB153" i="3" s="1"/>
  <c r="CZ152" i="3"/>
  <c r="DA152" i="3" s="1"/>
  <c r="DB152" i="3"/>
  <c r="CB152" i="3" s="1"/>
  <c r="CZ151" i="3"/>
  <c r="CZ150" i="3"/>
  <c r="CZ149" i="3"/>
  <c r="CZ148" i="3"/>
  <c r="CZ147" i="3"/>
  <c r="DA147" i="3" s="1"/>
  <c r="DB147" i="3"/>
  <c r="CB147" i="3" s="1"/>
  <c r="CZ146" i="3"/>
  <c r="DA146" i="3" s="1"/>
  <c r="DB146" i="3"/>
  <c r="CB146" i="3" s="1"/>
  <c r="CZ145" i="3"/>
  <c r="DA145" i="3" s="1"/>
  <c r="DB145" i="3"/>
  <c r="CB145" i="3" s="1"/>
  <c r="CZ144" i="3"/>
  <c r="DA144" i="3" s="1"/>
  <c r="DB144" i="3"/>
  <c r="CB144" i="3" s="1"/>
  <c r="CZ143" i="3"/>
  <c r="DA143" i="3" s="1"/>
  <c r="DB143" i="3"/>
  <c r="CB143" i="3" s="1"/>
  <c r="CZ142" i="3"/>
  <c r="DA142" i="3" s="1"/>
  <c r="DB142" i="3" s="1"/>
  <c r="CB142" i="3" s="1"/>
  <c r="CZ141" i="3"/>
  <c r="DA141" i="3" s="1"/>
  <c r="DB141" i="3" s="1"/>
  <c r="CB141" i="3" s="1"/>
  <c r="CZ140" i="3"/>
  <c r="DA140" i="3" s="1"/>
  <c r="DB140" i="3" s="1"/>
  <c r="CB140" i="3" s="1"/>
  <c r="CZ139" i="3"/>
  <c r="DA139" i="3" s="1"/>
  <c r="DB139" i="3" s="1"/>
  <c r="CB139" i="3" s="1"/>
  <c r="CZ138" i="3"/>
  <c r="CZ137" i="3"/>
  <c r="CZ136" i="3"/>
  <c r="CZ135" i="3"/>
  <c r="CZ134" i="3"/>
  <c r="CZ133" i="3"/>
  <c r="CZ132" i="3"/>
  <c r="CZ131" i="3"/>
  <c r="CZ130" i="3"/>
  <c r="CZ129" i="3"/>
  <c r="DA129" i="3" s="1"/>
  <c r="DB129" i="3" s="1"/>
  <c r="CB129" i="3" s="1"/>
  <c r="CZ128" i="3"/>
  <c r="DA128" i="3" s="1"/>
  <c r="DB128" i="3" s="1"/>
  <c r="CB128" i="3" s="1"/>
  <c r="CZ127" i="3"/>
  <c r="DA127" i="3" s="1"/>
  <c r="DB127" i="3" s="1"/>
  <c r="CB127" i="3" s="1"/>
  <c r="CZ126" i="3"/>
  <c r="CZ125" i="3"/>
  <c r="CZ124" i="3"/>
  <c r="CZ123" i="3"/>
  <c r="CZ120" i="3"/>
  <c r="DA120" i="3" s="1"/>
  <c r="DB120" i="3" s="1"/>
  <c r="CB120" i="3" s="1"/>
  <c r="CZ115" i="3"/>
  <c r="DA115" i="3" s="1"/>
  <c r="DB115" i="3" s="1"/>
  <c r="CB115" i="3" s="1"/>
  <c r="CZ114" i="3"/>
  <c r="DA114" i="3" s="1"/>
  <c r="DB114" i="3" s="1"/>
  <c r="CB114" i="3" s="1"/>
  <c r="CZ121" i="3"/>
  <c r="DA121" i="3" s="1"/>
  <c r="DB121" i="3" s="1"/>
  <c r="CB121" i="3" s="1"/>
  <c r="CZ122" i="3"/>
  <c r="CW122" i="3"/>
  <c r="CW136" i="3"/>
  <c r="DA136" i="3" s="1"/>
  <c r="DB136" i="3" s="1"/>
  <c r="CB136" i="3" s="1"/>
  <c r="CW135" i="3"/>
  <c r="DA135" i="3" s="1"/>
  <c r="DB135" i="3" s="1"/>
  <c r="CB135" i="3" s="1"/>
  <c r="CW134" i="3"/>
  <c r="DA134" i="3" s="1"/>
  <c r="DB134" i="3" s="1"/>
  <c r="CB134" i="3" s="1"/>
  <c r="CW133" i="3"/>
  <c r="DA133" i="3" s="1"/>
  <c r="DB133" i="3" s="1"/>
  <c r="CB133" i="3" s="1"/>
  <c r="CW132" i="3"/>
  <c r="DA132" i="3" s="1"/>
  <c r="DB132" i="3" s="1"/>
  <c r="CB132" i="3" s="1"/>
  <c r="CX268" i="3"/>
  <c r="CW268" i="3"/>
  <c r="CX267" i="3"/>
  <c r="CW267" i="3"/>
  <c r="DB267" i="3"/>
  <c r="CB267" i="3" s="1"/>
  <c r="CX266" i="3"/>
  <c r="CW266" i="3"/>
  <c r="CX265" i="3"/>
  <c r="DB265" i="3"/>
  <c r="CB265" i="3" s="1"/>
  <c r="CW265" i="3"/>
  <c r="CX264" i="3"/>
  <c r="CW264" i="3"/>
  <c r="CX263" i="3"/>
  <c r="CW263" i="3"/>
  <c r="CX262" i="3"/>
  <c r="CW262" i="3"/>
  <c r="DB262" i="3"/>
  <c r="CB262" i="3" s="1"/>
  <c r="CX261" i="3"/>
  <c r="CW261" i="3"/>
  <c r="CX260" i="3"/>
  <c r="CW260" i="3"/>
  <c r="CX259" i="3"/>
  <c r="CW259" i="3"/>
  <c r="DB259" i="3"/>
  <c r="CB259" i="3" s="1"/>
  <c r="CX258" i="3"/>
  <c r="DB258" i="3"/>
  <c r="CB258" i="3" s="1"/>
  <c r="CW258" i="3"/>
  <c r="CX257" i="3"/>
  <c r="CW257" i="3"/>
  <c r="CX256" i="3"/>
  <c r="CW256" i="3"/>
  <c r="CX255" i="3"/>
  <c r="DB255" i="3"/>
  <c r="CB255" i="3" s="1"/>
  <c r="CW255" i="3"/>
  <c r="CX254" i="3"/>
  <c r="CW254" i="3"/>
  <c r="CX253" i="3"/>
  <c r="CW253" i="3"/>
  <c r="CX252" i="3"/>
  <c r="CW252" i="3"/>
  <c r="CX251" i="3"/>
  <c r="CW251" i="3"/>
  <c r="CX250" i="3"/>
  <c r="CW250" i="3"/>
  <c r="CW249" i="3"/>
  <c r="CW226" i="3"/>
  <c r="CW225" i="3"/>
  <c r="DB225" i="3"/>
  <c r="CB225" i="3" s="1"/>
  <c r="CX241" i="3"/>
  <c r="CW241" i="3"/>
  <c r="CX240" i="3"/>
  <c r="CW240" i="3"/>
  <c r="CX239" i="3"/>
  <c r="CW239" i="3"/>
  <c r="CX238" i="3"/>
  <c r="CW238" i="3"/>
  <c r="DB238" i="3"/>
  <c r="CB238" i="3" s="1"/>
  <c r="CX237" i="3"/>
  <c r="DB237" i="3"/>
  <c r="CB237" i="3" s="1"/>
  <c r="CW237" i="3"/>
  <c r="CX236" i="3"/>
  <c r="CW236" i="3"/>
  <c r="CX235" i="3"/>
  <c r="CW235" i="3"/>
  <c r="CX234" i="3"/>
  <c r="CW234" i="3"/>
  <c r="CX233" i="3"/>
  <c r="CW233" i="3"/>
  <c r="CX232" i="3"/>
  <c r="CW232" i="3"/>
  <c r="CX231" i="3"/>
  <c r="CW231" i="3"/>
  <c r="CX230" i="3"/>
  <c r="CW230" i="3"/>
  <c r="CX229" i="3"/>
  <c r="CW229" i="3"/>
  <c r="DB229" i="3"/>
  <c r="CB229" i="3" s="1"/>
  <c r="CX228" i="3"/>
  <c r="CW228" i="3"/>
  <c r="CW227" i="3"/>
  <c r="B183" i="3"/>
  <c r="CX196" i="3"/>
  <c r="CW196" i="3"/>
  <c r="CX195" i="3"/>
  <c r="DB195" i="3"/>
  <c r="CB195" i="3" s="1"/>
  <c r="CW195" i="3"/>
  <c r="CX194" i="3"/>
  <c r="CW194" i="3"/>
  <c r="CX193" i="3"/>
  <c r="CW193" i="3"/>
  <c r="CX187" i="3"/>
  <c r="CW187" i="3"/>
  <c r="CX186" i="3"/>
  <c r="CW186" i="3"/>
  <c r="CX185" i="3"/>
  <c r="CW185" i="3"/>
  <c r="CX184" i="3"/>
  <c r="CW184" i="3"/>
  <c r="CX183" i="3"/>
  <c r="CW183" i="3"/>
  <c r="CX182" i="3"/>
  <c r="CW182" i="3"/>
  <c r="B200" i="3"/>
  <c r="CW203" i="3"/>
  <c r="CX201" i="3"/>
  <c r="CW201" i="3"/>
  <c r="CW303" i="3"/>
  <c r="CW302" i="3"/>
  <c r="CW301" i="3"/>
  <c r="CW300" i="3"/>
  <c r="CW299" i="3"/>
  <c r="CW298" i="3"/>
  <c r="CW297" i="3"/>
  <c r="CW296" i="3"/>
  <c r="CW295" i="3"/>
  <c r="CW294" i="3"/>
  <c r="CW293" i="3"/>
  <c r="CW292" i="3"/>
  <c r="CW291" i="3"/>
  <c r="CW290" i="3"/>
  <c r="CW289" i="3"/>
  <c r="CW288" i="3"/>
  <c r="CW287" i="3"/>
  <c r="CW286" i="3"/>
  <c r="CW285" i="3"/>
  <c r="CW284" i="3"/>
  <c r="CW283" i="3"/>
  <c r="CW282" i="3"/>
  <c r="CW281" i="3"/>
  <c r="CW280" i="3"/>
  <c r="CW279" i="3"/>
  <c r="CW278" i="3"/>
  <c r="CW277" i="3"/>
  <c r="CW276" i="3"/>
  <c r="CW275" i="3"/>
  <c r="CW274" i="3"/>
  <c r="CW273" i="3"/>
  <c r="DB273" i="3"/>
  <c r="CB273" i="3" s="1"/>
  <c r="CW272" i="3"/>
  <c r="CW271" i="3"/>
  <c r="DB271" i="3"/>
  <c r="CB271" i="3" s="1"/>
  <c r="CW270" i="3"/>
  <c r="CW269" i="3"/>
  <c r="DA269" i="3" s="1"/>
  <c r="DB269" i="3"/>
  <c r="CB269" i="3" s="1"/>
  <c r="CW248" i="3"/>
  <c r="CW247" i="3"/>
  <c r="DB247" i="3"/>
  <c r="CB247" i="3" s="1"/>
  <c r="CW246" i="3"/>
  <c r="CW245" i="3"/>
  <c r="CW244" i="3"/>
  <c r="CW243" i="3"/>
  <c r="CW242" i="3"/>
  <c r="CW223" i="3"/>
  <c r="CW222" i="3"/>
  <c r="CW221" i="3"/>
  <c r="CW220" i="3"/>
  <c r="CW219" i="3"/>
  <c r="CW218" i="3"/>
  <c r="CW217" i="3"/>
  <c r="CW216" i="3"/>
  <c r="CW215" i="3"/>
  <c r="DB215" i="3"/>
  <c r="CB215" i="3" s="1"/>
  <c r="CW214" i="3"/>
  <c r="DB214" i="3"/>
  <c r="CB214" i="3" s="1"/>
  <c r="CW213" i="3"/>
  <c r="CW212" i="3"/>
  <c r="CW211" i="3"/>
  <c r="CW210" i="3"/>
  <c r="CW209" i="3"/>
  <c r="CW208" i="3"/>
  <c r="DB208" i="3"/>
  <c r="CB208" i="3" s="1"/>
  <c r="CW207" i="3"/>
  <c r="DB207" i="3"/>
  <c r="CB207" i="3" s="1"/>
  <c r="CW206" i="3"/>
  <c r="CW205" i="3"/>
  <c r="CW204" i="3"/>
  <c r="DB204" i="3"/>
  <c r="CB204" i="3" s="1"/>
  <c r="CW202" i="3"/>
  <c r="DB202" i="3"/>
  <c r="CB202" i="3" s="1"/>
  <c r="CW199" i="3"/>
  <c r="CW198" i="3"/>
  <c r="CW197" i="3"/>
  <c r="CW192" i="3"/>
  <c r="CW191" i="3"/>
  <c r="CW190" i="3"/>
  <c r="CW189" i="3"/>
  <c r="CW188" i="3"/>
  <c r="CX217" i="3"/>
  <c r="CX216" i="3"/>
  <c r="CX215" i="3"/>
  <c r="CX214" i="3"/>
  <c r="CX213" i="3"/>
  <c r="CX212" i="3"/>
  <c r="CX211" i="3"/>
  <c r="CX210" i="3"/>
  <c r="CX209" i="3"/>
  <c r="CX208" i="3"/>
  <c r="CX207" i="3"/>
  <c r="CW3621" i="3"/>
  <c r="DB3621" i="3"/>
  <c r="CB3621" i="3" s="1"/>
  <c r="CW3620" i="3"/>
  <c r="CW3619" i="3"/>
  <c r="CW3618" i="3"/>
  <c r="DB3618" i="3"/>
  <c r="CB3618" i="3" s="1"/>
  <c r="CW3617" i="3"/>
  <c r="DB3617" i="3"/>
  <c r="CB3617" i="3" s="1"/>
  <c r="CW3616" i="3"/>
  <c r="DB3616" i="3"/>
  <c r="CB3616" i="3" s="1"/>
  <c r="CW3615" i="3"/>
  <c r="CW3614" i="3"/>
  <c r="CW3613" i="3"/>
  <c r="CW3612" i="3"/>
  <c r="CW3611" i="3"/>
  <c r="DB3611" i="3"/>
  <c r="CB3611" i="3" s="1"/>
  <c r="CW3610" i="3"/>
  <c r="DB3610" i="3"/>
  <c r="CB3610" i="3" s="1"/>
  <c r="CW3609" i="3"/>
  <c r="DB3609" i="3"/>
  <c r="CB3609" i="3" s="1"/>
  <c r="CW3608" i="3"/>
  <c r="CW3607" i="3"/>
  <c r="DB3607" i="3"/>
  <c r="CB3607" i="3" s="1"/>
  <c r="CW3606" i="3"/>
  <c r="CW3605" i="3"/>
  <c r="CW3604" i="3"/>
  <c r="DB3604" i="3"/>
  <c r="CB3604" i="3" s="1"/>
  <c r="CW3603" i="3"/>
  <c r="DB3603" i="3"/>
  <c r="CB3603" i="3" s="1"/>
  <c r="CW3602" i="3"/>
  <c r="DB3602" i="3"/>
  <c r="CB3602" i="3" s="1"/>
  <c r="CW3601" i="3"/>
  <c r="CW3600" i="3"/>
  <c r="CW3599" i="3"/>
  <c r="DB3599" i="3"/>
  <c r="CB3599" i="3" s="1"/>
  <c r="CW3598" i="3"/>
  <c r="CW3597" i="3"/>
  <c r="DB3597" i="3"/>
  <c r="CB3597" i="3" s="1"/>
  <c r="CW3596" i="3"/>
  <c r="DB3596" i="3"/>
  <c r="CB3596" i="3" s="1"/>
  <c r="CW3595" i="3"/>
  <c r="DB3595" i="3"/>
  <c r="CB3595" i="3" s="1"/>
  <c r="CW3594" i="3"/>
  <c r="CW3593" i="3"/>
  <c r="DB3593" i="3"/>
  <c r="CB3593" i="3" s="1"/>
  <c r="CW3592" i="3"/>
  <c r="CW3591" i="3"/>
  <c r="DB3591" i="3"/>
  <c r="CB3591" i="3" s="1"/>
  <c r="CW3590" i="3"/>
  <c r="CW3589" i="3"/>
  <c r="DB3589" i="3"/>
  <c r="CB3589" i="3" s="1"/>
  <c r="CW3588" i="3"/>
  <c r="DB3588" i="3"/>
  <c r="CB3588" i="3" s="1"/>
  <c r="CW3587" i="3"/>
  <c r="DB3587" i="3"/>
  <c r="CB3587" i="3" s="1"/>
  <c r="CW3586" i="3"/>
  <c r="DB3586" i="3"/>
  <c r="CB3586" i="3" s="1"/>
  <c r="CW3585" i="3"/>
  <c r="DB3585" i="3"/>
  <c r="CB3585" i="3" s="1"/>
  <c r="CW3584" i="3"/>
  <c r="CW3583" i="3"/>
  <c r="DB3583" i="3"/>
  <c r="CB3583" i="3" s="1"/>
  <c r="CW3582" i="3"/>
  <c r="CW3581" i="3"/>
  <c r="DB3581" i="3"/>
  <c r="CB3581" i="3" s="1"/>
  <c r="CW3580" i="3"/>
  <c r="CW3579" i="3"/>
  <c r="DB3579" i="3"/>
  <c r="CB3579" i="3" s="1"/>
  <c r="CW3578" i="3"/>
  <c r="DB3578" i="3"/>
  <c r="CB3578" i="3" s="1"/>
  <c r="CW3577" i="3"/>
  <c r="CW3576" i="3"/>
  <c r="DB3576" i="3"/>
  <c r="CB3576" i="3" s="1"/>
  <c r="CW3575" i="3"/>
  <c r="DB3575" i="3"/>
  <c r="CB3575" i="3" s="1"/>
  <c r="CW3574" i="3"/>
  <c r="CW3573" i="3"/>
  <c r="CW3572" i="3"/>
  <c r="CW3571" i="3"/>
  <c r="DB3571" i="3"/>
  <c r="CB3571" i="3" s="1"/>
  <c r="CW3570" i="3"/>
  <c r="CW3569" i="3"/>
  <c r="DB3569" i="3"/>
  <c r="CB3569" i="3" s="1"/>
  <c r="CW3568" i="3"/>
  <c r="DB3568" i="3"/>
  <c r="CB3568" i="3" s="1"/>
  <c r="CW3567" i="3"/>
  <c r="DB3567" i="3"/>
  <c r="CB3567" i="3" s="1"/>
  <c r="CW3566" i="3"/>
  <c r="DB3566" i="3"/>
  <c r="CB3566" i="3" s="1"/>
  <c r="CW3565" i="3"/>
  <c r="CW3564" i="3"/>
  <c r="DB3564" i="3"/>
  <c r="CB3564" i="3" s="1"/>
  <c r="CW3563" i="3"/>
  <c r="DB3563" i="3"/>
  <c r="CB3563" i="3" s="1"/>
  <c r="CW3562" i="3"/>
  <c r="DB3562" i="3"/>
  <c r="CB3562" i="3" s="1"/>
  <c r="CW3561" i="3"/>
  <c r="DB3561" i="3"/>
  <c r="CB3561" i="3" s="1"/>
  <c r="CW3560" i="3"/>
  <c r="CW3559" i="3"/>
  <c r="DB3559" i="3"/>
  <c r="CB3559" i="3" s="1"/>
  <c r="CW3558" i="3"/>
  <c r="DB3558" i="3"/>
  <c r="CB3558" i="3" s="1"/>
  <c r="CW3557" i="3"/>
  <c r="CW3556" i="3"/>
  <c r="CW3555" i="3"/>
  <c r="DA3555" i="3" s="1"/>
  <c r="DB3555" i="3"/>
  <c r="CB3555" i="3" s="1"/>
  <c r="CW3554" i="3"/>
  <c r="CW3553" i="3"/>
  <c r="CW3552" i="3"/>
  <c r="CW3551" i="3"/>
  <c r="DB3551" i="3"/>
  <c r="CB3551" i="3" s="1"/>
  <c r="CW3550" i="3"/>
  <c r="CW3549" i="3"/>
  <c r="CW3548" i="3"/>
  <c r="DB3548" i="3"/>
  <c r="CB3548" i="3" s="1"/>
  <c r="CW3547" i="3"/>
  <c r="DB3547" i="3"/>
  <c r="CB3547" i="3" s="1"/>
  <c r="CW3546" i="3"/>
  <c r="CW3545" i="3"/>
  <c r="DB3545" i="3"/>
  <c r="CB3545" i="3" s="1"/>
  <c r="CW3544" i="3"/>
  <c r="CW3543" i="3"/>
  <c r="DB3543" i="3"/>
  <c r="CB3543" i="3" s="1"/>
  <c r="CW3542" i="3"/>
  <c r="CW3541" i="3"/>
  <c r="DB3541" i="3"/>
  <c r="CB3541" i="3" s="1"/>
  <c r="CW3540" i="3"/>
  <c r="CW3539" i="3"/>
  <c r="DB3539" i="3"/>
  <c r="CB3539" i="3" s="1"/>
  <c r="CW3538" i="3"/>
  <c r="DB3538" i="3"/>
  <c r="CB3538" i="3" s="1"/>
  <c r="CW3537" i="3"/>
  <c r="DB3537" i="3"/>
  <c r="CB3537" i="3" s="1"/>
  <c r="CW3536" i="3"/>
  <c r="DB3536" i="3"/>
  <c r="CB3536" i="3" s="1"/>
  <c r="CW3535" i="3"/>
  <c r="DB3535" i="3"/>
  <c r="CB3535" i="3" s="1"/>
  <c r="CW3534" i="3"/>
  <c r="DA3534" i="3" s="1"/>
  <c r="DB3534" i="3"/>
  <c r="CB3534" i="3" s="1"/>
  <c r="CW3533" i="3"/>
  <c r="DA3533" i="3" s="1"/>
  <c r="DB3533" i="3"/>
  <c r="CB3533" i="3" s="1"/>
  <c r="CW3532" i="3"/>
  <c r="DA3532" i="3" s="1"/>
  <c r="DB3532" i="3"/>
  <c r="CB3532" i="3" s="1"/>
  <c r="CW3531" i="3"/>
  <c r="DA3531" i="3" s="1"/>
  <c r="DB3531" i="3"/>
  <c r="CB3531" i="3" s="1"/>
  <c r="CW3530" i="3"/>
  <c r="DA3530" i="3" s="1"/>
  <c r="DB3530" i="3"/>
  <c r="CB3530" i="3" s="1"/>
  <c r="CW3529" i="3"/>
  <c r="DA3529" i="3" s="1"/>
  <c r="DB3529" i="3"/>
  <c r="CB3529" i="3" s="1"/>
  <c r="CW3528" i="3"/>
  <c r="DA3528" i="3" s="1"/>
  <c r="DB3528" i="3"/>
  <c r="CB3528" i="3" s="1"/>
  <c r="CW3527" i="3"/>
  <c r="DA3527" i="3" s="1"/>
  <c r="DB3527" i="3"/>
  <c r="CB3527" i="3" s="1"/>
  <c r="CW3526" i="3"/>
  <c r="DA3526" i="3" s="1"/>
  <c r="DB3526" i="3"/>
  <c r="CB3526" i="3" s="1"/>
  <c r="CW3525" i="3"/>
  <c r="DA3525" i="3" s="1"/>
  <c r="DB3525" i="3"/>
  <c r="CB3525" i="3" s="1"/>
  <c r="CW3524" i="3"/>
  <c r="DA3524" i="3" s="1"/>
  <c r="DB3524" i="3"/>
  <c r="CB3524" i="3" s="1"/>
  <c r="CW3523" i="3"/>
  <c r="DA3523" i="3" s="1"/>
  <c r="DB3523" i="3"/>
  <c r="CB3523" i="3" s="1"/>
  <c r="CW3522" i="3"/>
  <c r="DA3522" i="3" s="1"/>
  <c r="DB3522" i="3"/>
  <c r="CB3522" i="3" s="1"/>
  <c r="CW3521" i="3"/>
  <c r="DA3521" i="3" s="1"/>
  <c r="DB3521" i="3"/>
  <c r="CB3521" i="3" s="1"/>
  <c r="CW3520" i="3"/>
  <c r="DA3520" i="3" s="1"/>
  <c r="DB3520" i="3"/>
  <c r="CB3520" i="3" s="1"/>
  <c r="CW3519" i="3"/>
  <c r="DA3519" i="3" s="1"/>
  <c r="DB3519" i="3"/>
  <c r="CB3519" i="3" s="1"/>
  <c r="CW3518" i="3"/>
  <c r="DA3518" i="3" s="1"/>
  <c r="DB3518" i="3"/>
  <c r="CB3518" i="3" s="1"/>
  <c r="CW3517" i="3"/>
  <c r="DA3517" i="3" s="1"/>
  <c r="DB3517" i="3"/>
  <c r="CB3517" i="3" s="1"/>
  <c r="CW3516" i="3"/>
  <c r="DA3516" i="3" s="1"/>
  <c r="DB3516" i="3"/>
  <c r="CB3516" i="3" s="1"/>
  <c r="CW3515" i="3"/>
  <c r="DA3515" i="3" s="1"/>
  <c r="DB3515" i="3"/>
  <c r="CB3515" i="3" s="1"/>
  <c r="CW3514" i="3"/>
  <c r="DA3514" i="3" s="1"/>
  <c r="DB3514" i="3"/>
  <c r="CB3514" i="3" s="1"/>
  <c r="CW3513" i="3"/>
  <c r="DA3513" i="3" s="1"/>
  <c r="DB3513" i="3"/>
  <c r="CB3513" i="3" s="1"/>
  <c r="CW3512" i="3"/>
  <c r="DA3512" i="3" s="1"/>
  <c r="DB3512" i="3"/>
  <c r="CB3512" i="3" s="1"/>
  <c r="CW3511" i="3"/>
  <c r="DA3511" i="3" s="1"/>
  <c r="DB3511" i="3"/>
  <c r="CB3511" i="3" s="1"/>
  <c r="CW3510" i="3"/>
  <c r="DA3510" i="3" s="1"/>
  <c r="DB3510" i="3"/>
  <c r="CB3510" i="3" s="1"/>
  <c r="CW3509" i="3"/>
  <c r="DA3509" i="3" s="1"/>
  <c r="DB3509" i="3"/>
  <c r="CB3509" i="3" s="1"/>
  <c r="CW3508" i="3"/>
  <c r="DA3508" i="3" s="1"/>
  <c r="DB3508" i="3"/>
  <c r="CB3508" i="3" s="1"/>
  <c r="CW3507" i="3"/>
  <c r="DA3507" i="3" s="1"/>
  <c r="DB3507" i="3"/>
  <c r="CB3507" i="3" s="1"/>
  <c r="CW3506" i="3"/>
  <c r="DA3506" i="3" s="1"/>
  <c r="DB3506" i="3"/>
  <c r="CB3506" i="3" s="1"/>
  <c r="CW3505" i="3"/>
  <c r="DA3505" i="3" s="1"/>
  <c r="DB3505" i="3"/>
  <c r="CB3505" i="3" s="1"/>
  <c r="CW3504" i="3"/>
  <c r="DA3504" i="3" s="1"/>
  <c r="DB3504" i="3"/>
  <c r="CB3504" i="3" s="1"/>
  <c r="CW3503" i="3"/>
  <c r="DA3503" i="3" s="1"/>
  <c r="DB3503" i="3"/>
  <c r="CB3503" i="3" s="1"/>
  <c r="CW3502" i="3"/>
  <c r="DA3502" i="3" s="1"/>
  <c r="DB3502" i="3"/>
  <c r="CB3502" i="3" s="1"/>
  <c r="CW3501" i="3"/>
  <c r="DA3501" i="3" s="1"/>
  <c r="DB3501" i="3"/>
  <c r="CB3501" i="3" s="1"/>
  <c r="CW3500" i="3"/>
  <c r="DA3500" i="3" s="1"/>
  <c r="DB3500" i="3"/>
  <c r="CB3500" i="3" s="1"/>
  <c r="CW3499" i="3"/>
  <c r="DA3499" i="3" s="1"/>
  <c r="DB3499" i="3"/>
  <c r="CB3499" i="3" s="1"/>
  <c r="CW3498" i="3"/>
  <c r="DA3498" i="3" s="1"/>
  <c r="DB3498" i="3"/>
  <c r="CB3498" i="3" s="1"/>
  <c r="CW3497" i="3"/>
  <c r="DA3497" i="3" s="1"/>
  <c r="DB3497" i="3"/>
  <c r="CB3497" i="3" s="1"/>
  <c r="CW3496" i="3"/>
  <c r="DA3496" i="3" s="1"/>
  <c r="DB3496" i="3"/>
  <c r="CB3496" i="3" s="1"/>
  <c r="CW3495" i="3"/>
  <c r="DA3495" i="3" s="1"/>
  <c r="DB3495" i="3"/>
  <c r="CB3495" i="3" s="1"/>
  <c r="CW3494" i="3"/>
  <c r="DA3494" i="3" s="1"/>
  <c r="DB3494" i="3"/>
  <c r="CB3494" i="3" s="1"/>
  <c r="CW3493" i="3"/>
  <c r="DA3493" i="3" s="1"/>
  <c r="DB3493" i="3"/>
  <c r="CB3493" i="3" s="1"/>
  <c r="CW3492" i="3"/>
  <c r="DA3492" i="3" s="1"/>
  <c r="DB3492" i="3"/>
  <c r="CB3492" i="3" s="1"/>
  <c r="CW3491" i="3"/>
  <c r="DA3491" i="3" s="1"/>
  <c r="DB3491" i="3"/>
  <c r="CB3491" i="3" s="1"/>
  <c r="CW3490" i="3"/>
  <c r="DA3490" i="3" s="1"/>
  <c r="DB3490" i="3"/>
  <c r="CB3490" i="3" s="1"/>
  <c r="CW3489" i="3"/>
  <c r="DA3489" i="3" s="1"/>
  <c r="DB3489" i="3"/>
  <c r="CB3489" i="3" s="1"/>
  <c r="CW3488" i="3"/>
  <c r="DA3488" i="3" s="1"/>
  <c r="DB3488" i="3"/>
  <c r="CB3488" i="3" s="1"/>
  <c r="CW3487" i="3"/>
  <c r="DA3487" i="3" s="1"/>
  <c r="DB3487" i="3"/>
  <c r="CB3487" i="3" s="1"/>
  <c r="CW3486" i="3"/>
  <c r="DA3486" i="3" s="1"/>
  <c r="DB3486" i="3"/>
  <c r="CB3486" i="3" s="1"/>
  <c r="CW3485" i="3"/>
  <c r="DA3485" i="3" s="1"/>
  <c r="DB3485" i="3"/>
  <c r="CB3485" i="3" s="1"/>
  <c r="CW3484" i="3"/>
  <c r="DA3484" i="3" s="1"/>
  <c r="DB3484" i="3"/>
  <c r="CB3484" i="3" s="1"/>
  <c r="CW3483" i="3"/>
  <c r="DA3483" i="3" s="1"/>
  <c r="DB3483" i="3"/>
  <c r="CB3483" i="3" s="1"/>
  <c r="CW3482" i="3"/>
  <c r="DA3482" i="3" s="1"/>
  <c r="DB3482" i="3"/>
  <c r="CB3482" i="3" s="1"/>
  <c r="CW3481" i="3"/>
  <c r="DA3481" i="3" s="1"/>
  <c r="DB3481" i="3"/>
  <c r="CB3481" i="3" s="1"/>
  <c r="CW3480" i="3"/>
  <c r="DA3480" i="3" s="1"/>
  <c r="DB3480" i="3"/>
  <c r="CB3480" i="3" s="1"/>
  <c r="CW3479" i="3"/>
  <c r="DA3479" i="3" s="1"/>
  <c r="DB3479" i="3"/>
  <c r="CB3479" i="3" s="1"/>
  <c r="CW3478" i="3"/>
  <c r="DA3478" i="3" s="1"/>
  <c r="DB3478" i="3"/>
  <c r="CB3478" i="3" s="1"/>
  <c r="CW3477" i="3"/>
  <c r="DA3477" i="3" s="1"/>
  <c r="DB3477" i="3"/>
  <c r="CB3477" i="3" s="1"/>
  <c r="CW3476" i="3"/>
  <c r="DA3476" i="3" s="1"/>
  <c r="DB3476" i="3"/>
  <c r="CB3476" i="3" s="1"/>
  <c r="CW3475" i="3"/>
  <c r="DA3475" i="3" s="1"/>
  <c r="DB3475" i="3"/>
  <c r="CB3475" i="3" s="1"/>
  <c r="CW3474" i="3"/>
  <c r="DA3474" i="3" s="1"/>
  <c r="DB3474" i="3"/>
  <c r="CB3474" i="3" s="1"/>
  <c r="CW3473" i="3"/>
  <c r="DA3473" i="3" s="1"/>
  <c r="DB3473" i="3"/>
  <c r="CB3473" i="3" s="1"/>
  <c r="CW3472" i="3"/>
  <c r="DA3472" i="3" s="1"/>
  <c r="DB3472" i="3"/>
  <c r="CB3472" i="3" s="1"/>
  <c r="CW3471" i="3"/>
  <c r="DA3471" i="3" s="1"/>
  <c r="DB3471" i="3"/>
  <c r="CB3471" i="3" s="1"/>
  <c r="CW3470" i="3"/>
  <c r="DA3470" i="3" s="1"/>
  <c r="DB3470" i="3"/>
  <c r="CB3470" i="3" s="1"/>
  <c r="CW3469" i="3"/>
  <c r="DA3469" i="3" s="1"/>
  <c r="DB3469" i="3"/>
  <c r="CB3469" i="3" s="1"/>
  <c r="CW3468" i="3"/>
  <c r="DA3468" i="3" s="1"/>
  <c r="DB3468" i="3"/>
  <c r="CB3468" i="3" s="1"/>
  <c r="CW3467" i="3"/>
  <c r="DA3467" i="3" s="1"/>
  <c r="DB3467" i="3"/>
  <c r="CB3467" i="3" s="1"/>
  <c r="CW3466" i="3"/>
  <c r="DA3466" i="3" s="1"/>
  <c r="DB3466" i="3"/>
  <c r="CB3466" i="3" s="1"/>
  <c r="CW3465" i="3"/>
  <c r="DA3465" i="3" s="1"/>
  <c r="DB3465" i="3"/>
  <c r="CB3465" i="3" s="1"/>
  <c r="CW3464" i="3"/>
  <c r="DA3464" i="3" s="1"/>
  <c r="DB3464" i="3"/>
  <c r="CB3464" i="3" s="1"/>
  <c r="CW3463" i="3"/>
  <c r="DA3463" i="3" s="1"/>
  <c r="DB3463" i="3"/>
  <c r="CB3463" i="3" s="1"/>
  <c r="CW3462" i="3"/>
  <c r="DA3462" i="3" s="1"/>
  <c r="DB3462" i="3"/>
  <c r="CB3462" i="3" s="1"/>
  <c r="CW3461" i="3"/>
  <c r="DA3461" i="3" s="1"/>
  <c r="DB3461" i="3"/>
  <c r="CB3461" i="3" s="1"/>
  <c r="CW3460" i="3"/>
  <c r="DA3460" i="3" s="1"/>
  <c r="DB3460" i="3"/>
  <c r="CB3460" i="3" s="1"/>
  <c r="CW3459" i="3"/>
  <c r="DA3459" i="3" s="1"/>
  <c r="DB3459" i="3"/>
  <c r="CB3459" i="3" s="1"/>
  <c r="CW3458" i="3"/>
  <c r="DA3458" i="3" s="1"/>
  <c r="DB3458" i="3"/>
  <c r="CB3458" i="3" s="1"/>
  <c r="CW3457" i="3"/>
  <c r="DA3457" i="3" s="1"/>
  <c r="DB3457" i="3"/>
  <c r="CB3457" i="3" s="1"/>
  <c r="CW3456" i="3"/>
  <c r="DA3456" i="3" s="1"/>
  <c r="DB3456" i="3"/>
  <c r="CB3456" i="3" s="1"/>
  <c r="CW3455" i="3"/>
  <c r="DA3455" i="3" s="1"/>
  <c r="DB3455" i="3"/>
  <c r="CB3455" i="3" s="1"/>
  <c r="CW3454" i="3"/>
  <c r="DA3454" i="3" s="1"/>
  <c r="DB3454" i="3"/>
  <c r="CB3454" i="3" s="1"/>
  <c r="CW3453" i="3"/>
  <c r="DA3453" i="3" s="1"/>
  <c r="DB3453" i="3"/>
  <c r="CB3453" i="3" s="1"/>
  <c r="CW3452" i="3"/>
  <c r="DA3452" i="3" s="1"/>
  <c r="DB3452" i="3"/>
  <c r="CB3452" i="3" s="1"/>
  <c r="CW3451" i="3"/>
  <c r="DA3451" i="3" s="1"/>
  <c r="DB3451" i="3"/>
  <c r="CB3451" i="3" s="1"/>
  <c r="CW3450" i="3"/>
  <c r="DA3450" i="3" s="1"/>
  <c r="DB3450" i="3"/>
  <c r="CB3450" i="3" s="1"/>
  <c r="CW3448" i="3"/>
  <c r="CW3443" i="3"/>
  <c r="DA3443" i="3" s="1"/>
  <c r="DB3443" i="3"/>
  <c r="CB3443" i="3" s="1"/>
  <c r="CW3442" i="3"/>
  <c r="DA3442" i="3" s="1"/>
  <c r="DB3442" i="3"/>
  <c r="CB3442" i="3" s="1"/>
  <c r="CW3441" i="3"/>
  <c r="DA3441" i="3" s="1"/>
  <c r="DB3441" i="3"/>
  <c r="CB3441" i="3" s="1"/>
  <c r="CW3440" i="3"/>
  <c r="DA3440" i="3" s="1"/>
  <c r="DB3440" i="3"/>
  <c r="CB3440" i="3" s="1"/>
  <c r="CW3439" i="3"/>
  <c r="DA3439" i="3" s="1"/>
  <c r="DB3439" i="3"/>
  <c r="CB3439" i="3" s="1"/>
  <c r="CW3438" i="3"/>
  <c r="DA3438" i="3" s="1"/>
  <c r="DB3438" i="3"/>
  <c r="CB3438" i="3" s="1"/>
  <c r="CW3437" i="3"/>
  <c r="DA3437" i="3" s="1"/>
  <c r="DB3437" i="3"/>
  <c r="CB3437" i="3" s="1"/>
  <c r="CW3436" i="3"/>
  <c r="DA3436" i="3" s="1"/>
  <c r="DB3436" i="3"/>
  <c r="CB3436" i="3" s="1"/>
  <c r="CW3435" i="3"/>
  <c r="DA3435" i="3" s="1"/>
  <c r="DB3435" i="3"/>
  <c r="CB3435" i="3" s="1"/>
  <c r="CW3434" i="3"/>
  <c r="DA3434" i="3" s="1"/>
  <c r="DB3434" i="3"/>
  <c r="CB3434" i="3" s="1"/>
  <c r="CW3433" i="3"/>
  <c r="DA3433" i="3" s="1"/>
  <c r="DB3433" i="3"/>
  <c r="CB3433" i="3" s="1"/>
  <c r="CW3432" i="3"/>
  <c r="DA3432" i="3" s="1"/>
  <c r="DB3432" i="3"/>
  <c r="CB3432" i="3" s="1"/>
  <c r="CW3431" i="3"/>
  <c r="DA3431" i="3" s="1"/>
  <c r="DB3431" i="3"/>
  <c r="CB3431" i="3" s="1"/>
  <c r="CW3430" i="3"/>
  <c r="DA3430" i="3" s="1"/>
  <c r="DB3430" i="3"/>
  <c r="CB3430" i="3" s="1"/>
  <c r="CW3429" i="3"/>
  <c r="DA3429" i="3" s="1"/>
  <c r="DB3429" i="3"/>
  <c r="CB3429" i="3" s="1"/>
  <c r="CW3428" i="3"/>
  <c r="DA3428" i="3" s="1"/>
  <c r="CW3427" i="3"/>
  <c r="DA3427" i="3" s="1"/>
  <c r="DB3427" i="3"/>
  <c r="CB3427" i="3" s="1"/>
  <c r="CW3426" i="3"/>
  <c r="DA3426" i="3" s="1"/>
  <c r="DB3426" i="3"/>
  <c r="CB3426" i="3" s="1"/>
  <c r="CW3425" i="3"/>
  <c r="DA3425" i="3" s="1"/>
  <c r="DB3425" i="3"/>
  <c r="CB3425" i="3" s="1"/>
  <c r="CW3359" i="3"/>
  <c r="DA3359" i="3" s="1"/>
  <c r="DB3359" i="3" s="1"/>
  <c r="CB3359" i="3" s="1"/>
  <c r="CW3358" i="3"/>
  <c r="DA3358" i="3" s="1"/>
  <c r="DB3358" i="3" s="1"/>
  <c r="CB3358" i="3" s="1"/>
  <c r="CW3357" i="3"/>
  <c r="DA3357" i="3" s="1"/>
  <c r="DB3357" i="3" s="1"/>
  <c r="CB3357" i="3" s="1"/>
  <c r="CW3356" i="3"/>
  <c r="DA3356" i="3" s="1"/>
  <c r="DB3356" i="3" s="1"/>
  <c r="CB3356" i="3" s="1"/>
  <c r="CW3355" i="3"/>
  <c r="DA3355" i="3" s="1"/>
  <c r="DB3355" i="3" s="1"/>
  <c r="CB3355" i="3" s="1"/>
  <c r="CW3354" i="3"/>
  <c r="DA3354" i="3" s="1"/>
  <c r="DB3354" i="3" s="1"/>
  <c r="CB3354" i="3" s="1"/>
  <c r="CW3353" i="3"/>
  <c r="DA3353" i="3" s="1"/>
  <c r="DB3353" i="3" s="1"/>
  <c r="CB3353" i="3" s="1"/>
  <c r="CW3352" i="3"/>
  <c r="DA3352" i="3" s="1"/>
  <c r="DB3352" i="3" s="1"/>
  <c r="CB3352" i="3" s="1"/>
  <c r="CW3351" i="3"/>
  <c r="DA3351" i="3" s="1"/>
  <c r="DB3351" i="3" s="1"/>
  <c r="CB3351" i="3" s="1"/>
  <c r="CW3350" i="3"/>
  <c r="DA3350" i="3" s="1"/>
  <c r="DB3350" i="3" s="1"/>
  <c r="CB3350" i="3" s="1"/>
  <c r="CW3349" i="3"/>
  <c r="DA3349" i="3" s="1"/>
  <c r="DB3349" i="3" s="1"/>
  <c r="CB3349" i="3" s="1"/>
  <c r="CW3348" i="3"/>
  <c r="DA3348" i="3" s="1"/>
  <c r="DB3348" i="3" s="1"/>
  <c r="CB3348" i="3" s="1"/>
  <c r="CW3347" i="3"/>
  <c r="DA3347" i="3" s="1"/>
  <c r="DB3347" i="3" s="1"/>
  <c r="CB3347" i="3" s="1"/>
  <c r="CW3346" i="3"/>
  <c r="DA3346" i="3" s="1"/>
  <c r="DB3346" i="3" s="1"/>
  <c r="CB3346" i="3" s="1"/>
  <c r="CW3344" i="3"/>
  <c r="DA3344" i="3" s="1"/>
  <c r="DB3344" i="3" s="1"/>
  <c r="CB3344" i="3" s="1"/>
  <c r="CY3329" i="3"/>
  <c r="CX3329" i="3"/>
  <c r="CW3329" i="3"/>
  <c r="CY3328" i="3"/>
  <c r="CX3328" i="3"/>
  <c r="CW3328" i="3"/>
  <c r="CY3327" i="3"/>
  <c r="DB3327" i="3"/>
  <c r="CB3327" i="3" s="1"/>
  <c r="CX3327" i="3"/>
  <c r="CW3327" i="3"/>
  <c r="CY3326" i="3"/>
  <c r="CX3326" i="3"/>
  <c r="CW3326" i="3"/>
  <c r="DB3326" i="3"/>
  <c r="CB3326" i="3" s="1"/>
  <c r="CY3325" i="3"/>
  <c r="CX3325" i="3"/>
  <c r="CW3325" i="3"/>
  <c r="CY3324" i="3"/>
  <c r="CX3324" i="3"/>
  <c r="CW3324" i="3"/>
  <c r="CY3323" i="3"/>
  <c r="CX3323" i="3"/>
  <c r="CW3323" i="3"/>
  <c r="CY3322" i="3"/>
  <c r="CX3322" i="3"/>
  <c r="CW3322" i="3"/>
  <c r="CY3321" i="3"/>
  <c r="CX3321" i="3"/>
  <c r="CW3321" i="3"/>
  <c r="CY3320" i="3"/>
  <c r="CX3320" i="3"/>
  <c r="CW3320" i="3"/>
  <c r="CY3319" i="3"/>
  <c r="CX3319" i="3"/>
  <c r="CW3319" i="3"/>
  <c r="DB3319" i="3"/>
  <c r="CB3319" i="3" s="1"/>
  <c r="CY3299" i="3"/>
  <c r="CX3299" i="3"/>
  <c r="CW3299" i="3"/>
  <c r="DB3299" i="3"/>
  <c r="CB3299" i="3" s="1"/>
  <c r="CY3298" i="3"/>
  <c r="CX3298" i="3"/>
  <c r="CW3298" i="3"/>
  <c r="CY3297" i="3"/>
  <c r="CX3297" i="3"/>
  <c r="CW3297" i="3"/>
  <c r="DB3297" i="3"/>
  <c r="CB3297" i="3" s="1"/>
  <c r="CY3296" i="3"/>
  <c r="CX3296" i="3"/>
  <c r="CW3296" i="3"/>
  <c r="CY3295" i="3"/>
  <c r="CX3295" i="3"/>
  <c r="CW3295" i="3"/>
  <c r="CY3294" i="3"/>
  <c r="CX3294" i="3"/>
  <c r="CW3294" i="3"/>
  <c r="CY3293" i="3"/>
  <c r="CX3293" i="3"/>
  <c r="CW3293" i="3"/>
  <c r="CY3292" i="3"/>
  <c r="CX3292" i="3"/>
  <c r="CW3292" i="3"/>
  <c r="CY3291" i="3"/>
  <c r="CX3291" i="3"/>
  <c r="CW3291" i="3"/>
  <c r="CY3290" i="3"/>
  <c r="CX3290" i="3"/>
  <c r="CW3290" i="3"/>
  <c r="CY3289" i="3"/>
  <c r="CX3289" i="3"/>
  <c r="CW3289" i="3"/>
  <c r="CW3337" i="3"/>
  <c r="CW3336" i="3"/>
  <c r="CW3335" i="3"/>
  <c r="CW3334" i="3"/>
  <c r="CW3333" i="3"/>
  <c r="CW3332" i="3"/>
  <c r="CW3331" i="3"/>
  <c r="CW3330" i="3"/>
  <c r="CW3318" i="3"/>
  <c r="CW3317" i="3"/>
  <c r="CW3316" i="3"/>
  <c r="CW3315" i="3"/>
  <c r="CW3314" i="3"/>
  <c r="CW3313" i="3"/>
  <c r="CW3312" i="3"/>
  <c r="CW3311" i="3"/>
  <c r="CW3310" i="3"/>
  <c r="DA3310" i="3" s="1"/>
  <c r="CW3309" i="3"/>
  <c r="DA3309" i="3" s="1"/>
  <c r="CW3308" i="3"/>
  <c r="DA3308" i="3" s="1"/>
  <c r="CW3307" i="3"/>
  <c r="CW3306" i="3"/>
  <c r="CW3305" i="3"/>
  <c r="CW3304" i="3"/>
  <c r="CW3303" i="3"/>
  <c r="CW3302" i="3"/>
  <c r="CW3301" i="3"/>
  <c r="CW3300" i="3"/>
  <c r="CW3286" i="3"/>
  <c r="CW3285" i="3"/>
  <c r="CW3284" i="3"/>
  <c r="CW3283" i="3"/>
  <c r="CW3282" i="3"/>
  <c r="CW3281" i="3"/>
  <c r="CW3280" i="3"/>
  <c r="DA3280" i="3" s="1"/>
  <c r="DB3280" i="3"/>
  <c r="CB3280" i="3" s="1"/>
  <c r="CW3279" i="3"/>
  <c r="DA3279" i="3" s="1"/>
  <c r="CW3278" i="3"/>
  <c r="DA3278" i="3" s="1"/>
  <c r="CW3277" i="3"/>
  <c r="CW3276" i="3"/>
  <c r="CW3275" i="3"/>
  <c r="DB3275" i="3"/>
  <c r="CB3275" i="3" s="1"/>
  <c r="CW3274" i="3"/>
  <c r="CW3273" i="3"/>
  <c r="DB3273" i="3"/>
  <c r="CB3273" i="3" s="1"/>
  <c r="CW3272" i="3"/>
  <c r="CW3271" i="3"/>
  <c r="CW3270" i="3"/>
  <c r="CW3269" i="3"/>
  <c r="DB3269" i="3"/>
  <c r="CB3269" i="3" s="1"/>
  <c r="CW3268" i="3"/>
  <c r="CW3267" i="3"/>
  <c r="DB3267" i="3"/>
  <c r="CB3267" i="3" s="1"/>
  <c r="CW3266" i="3"/>
  <c r="CW3265" i="3"/>
  <c r="CW3264" i="3"/>
  <c r="CW3263" i="3"/>
  <c r="CW3262" i="3"/>
  <c r="CW3261" i="3"/>
  <c r="CW3260" i="3"/>
  <c r="CW3259" i="3"/>
  <c r="DB3259" i="3"/>
  <c r="CB3259" i="3" s="1"/>
  <c r="CW3258" i="3"/>
  <c r="CX3277" i="3"/>
  <c r="CX3276" i="3"/>
  <c r="CX3275" i="3"/>
  <c r="CX3274" i="3"/>
  <c r="CX3273" i="3"/>
  <c r="CX3272" i="3"/>
  <c r="CX3271" i="3"/>
  <c r="DB3271" i="3"/>
  <c r="CB3271" i="3" s="1"/>
  <c r="CX3270" i="3"/>
  <c r="CX3269" i="3"/>
  <c r="CX3268" i="3"/>
  <c r="CX3267" i="3"/>
  <c r="CX3266" i="3"/>
  <c r="CX3265" i="3"/>
  <c r="CX3264" i="3"/>
  <c r="CX3263" i="3"/>
  <c r="CX3262" i="3"/>
  <c r="CX3261" i="3"/>
  <c r="CX3260" i="3"/>
  <c r="CX3259" i="3"/>
  <c r="CX3258" i="3"/>
  <c r="CW3257" i="3"/>
  <c r="DB3257" i="3"/>
  <c r="CB3257" i="3" s="1"/>
  <c r="CW3252" i="3"/>
  <c r="CW3251" i="3"/>
  <c r="DA3251" i="3" s="1"/>
  <c r="DB3251" i="3" s="1"/>
  <c r="CB3251" i="3" s="1"/>
  <c r="CW3250" i="3"/>
  <c r="CW3249" i="3"/>
  <c r="CW3248" i="3"/>
  <c r="CW3247" i="3"/>
  <c r="DA3247" i="3" s="1"/>
  <c r="DB3247" i="3" s="1"/>
  <c r="CB3247" i="3" s="1"/>
  <c r="CW3246" i="3"/>
  <c r="CW3245" i="3"/>
  <c r="CW3244" i="3"/>
  <c r="CW3243" i="3"/>
  <c r="DA3243" i="3" s="1"/>
  <c r="DB3243" i="3" s="1"/>
  <c r="CB3243" i="3" s="1"/>
  <c r="CW3242" i="3"/>
  <c r="CW3241" i="3"/>
  <c r="CW3240" i="3"/>
  <c r="CW3239" i="3"/>
  <c r="DA3239" i="3" s="1"/>
  <c r="DB3239" i="3" s="1"/>
  <c r="CB3239" i="3" s="1"/>
  <c r="CW3238" i="3"/>
  <c r="CW3237" i="3"/>
  <c r="CW3236" i="3"/>
  <c r="CW3235" i="3"/>
  <c r="DA3235" i="3" s="1"/>
  <c r="DB3235" i="3" s="1"/>
  <c r="CB3235" i="3" s="1"/>
  <c r="CW3234" i="3"/>
  <c r="CW3233" i="3"/>
  <c r="CW3232" i="3"/>
  <c r="CW3231" i="3"/>
  <c r="DA3231" i="3" s="1"/>
  <c r="DB3231" i="3" s="1"/>
  <c r="CB3231" i="3" s="1"/>
  <c r="CW3230" i="3"/>
  <c r="CW3229" i="3"/>
  <c r="CW3228" i="3"/>
  <c r="CW3227" i="3"/>
  <c r="CW3226" i="3"/>
  <c r="CW3225" i="3"/>
  <c r="CW3224" i="3"/>
  <c r="CW3223" i="3"/>
  <c r="CW3222" i="3"/>
  <c r="CW3221" i="3"/>
  <c r="CW3220" i="3"/>
  <c r="CW3219" i="3"/>
  <c r="CW3218" i="3"/>
  <c r="CW3217" i="3"/>
  <c r="CW3216" i="3"/>
  <c r="CW3215" i="3"/>
  <c r="CW3214" i="3"/>
  <c r="CW3213" i="3"/>
  <c r="CW3212" i="3"/>
  <c r="CW3211" i="3"/>
  <c r="DA3211" i="3" s="1"/>
  <c r="DB3211" i="3" s="1"/>
  <c r="CB3211" i="3" s="1"/>
  <c r="CW3210" i="3"/>
  <c r="CX3230" i="3"/>
  <c r="CX3229" i="3"/>
  <c r="CX3228" i="3"/>
  <c r="CX3227" i="3"/>
  <c r="CX3226" i="3"/>
  <c r="CX3225" i="3"/>
  <c r="CX3224" i="3"/>
  <c r="CX3223" i="3"/>
  <c r="CX3222" i="3"/>
  <c r="CX3221" i="3"/>
  <c r="CX3220" i="3"/>
  <c r="CX3219" i="3"/>
  <c r="CX3218" i="3"/>
  <c r="CX3217" i="3"/>
  <c r="CX3216" i="3"/>
  <c r="CX3215" i="3"/>
  <c r="CX3214" i="3"/>
  <c r="CX3213" i="3"/>
  <c r="CX3212" i="3"/>
  <c r="CW3139" i="3"/>
  <c r="DA3139" i="3" s="1"/>
  <c r="DB3139" i="3"/>
  <c r="CB3139" i="3" s="1"/>
  <c r="CW3138" i="3"/>
  <c r="CW3137" i="3"/>
  <c r="CW3136" i="3"/>
  <c r="CW3135" i="3"/>
  <c r="CW3134" i="3"/>
  <c r="CW3133" i="3"/>
  <c r="CW3132" i="3"/>
  <c r="CW3131" i="3"/>
  <c r="CW3130" i="3"/>
  <c r="CW3129" i="3"/>
  <c r="CW3128" i="3"/>
  <c r="CW3127" i="3"/>
  <c r="CW3126" i="3"/>
  <c r="CW3125" i="3"/>
  <c r="CW3124" i="3"/>
  <c r="CW3123" i="3"/>
  <c r="CW3122" i="3"/>
  <c r="CW3121" i="3"/>
  <c r="CW3120" i="3"/>
  <c r="CW3119" i="3"/>
  <c r="CX3138" i="3"/>
  <c r="CX3137" i="3"/>
  <c r="CX3136" i="3"/>
  <c r="CX3135" i="3"/>
  <c r="CX3134" i="3"/>
  <c r="CX3133" i="3"/>
  <c r="CX3132" i="3"/>
  <c r="CX3131" i="3"/>
  <c r="CX3130" i="3"/>
  <c r="CX3129" i="3"/>
  <c r="CX3128" i="3"/>
  <c r="CX3127" i="3"/>
  <c r="CX3126" i="3"/>
  <c r="CX3125" i="3"/>
  <c r="CX3124" i="3"/>
  <c r="CX3123" i="3"/>
  <c r="CX3122" i="3"/>
  <c r="CX3121" i="3"/>
  <c r="CX3120" i="3"/>
  <c r="CX3119" i="3"/>
  <c r="CW3204" i="3"/>
  <c r="CW3203" i="3"/>
  <c r="CW3202" i="3"/>
  <c r="CW3201" i="3"/>
  <c r="CW3200" i="3"/>
  <c r="CW3199" i="3"/>
  <c r="CW3198" i="3"/>
  <c r="CW3197" i="3"/>
  <c r="CW3196" i="3"/>
  <c r="CW3195" i="3"/>
  <c r="CW3194" i="3"/>
  <c r="CW3193" i="3"/>
  <c r="CW3192" i="3"/>
  <c r="CW3191" i="3"/>
  <c r="CW3190" i="3"/>
  <c r="CW3189" i="3"/>
  <c r="CW3188" i="3"/>
  <c r="CW3187" i="3"/>
  <c r="CW3186" i="3"/>
  <c r="CW3185" i="3"/>
  <c r="CW3183" i="3"/>
  <c r="DA3183" i="3" s="1"/>
  <c r="DB3183" i="3"/>
  <c r="CB3183" i="3" s="1"/>
  <c r="CW3182" i="3"/>
  <c r="DA3182" i="3" s="1"/>
  <c r="CW3181" i="3"/>
  <c r="DA3181" i="3" s="1"/>
  <c r="DB3181" i="3" s="1"/>
  <c r="CB3181" i="3" s="1"/>
  <c r="CW3180" i="3"/>
  <c r="CW3179" i="3"/>
  <c r="CW3178" i="3"/>
  <c r="CW3177" i="3"/>
  <c r="CW3176" i="3"/>
  <c r="CW3175" i="3"/>
  <c r="CW3174" i="3"/>
  <c r="CW3173" i="3"/>
  <c r="DA3173" i="3" s="1"/>
  <c r="DB3173" i="3" s="1"/>
  <c r="CB3173" i="3" s="1"/>
  <c r="CW3172" i="3"/>
  <c r="DA3172" i="3" s="1"/>
  <c r="CW3171" i="3"/>
  <c r="DA3171" i="3" s="1"/>
  <c r="DB3171" i="3"/>
  <c r="CB3171" i="3" s="1"/>
  <c r="CW3170" i="3"/>
  <c r="CW3169" i="3"/>
  <c r="CW3168" i="3"/>
  <c r="CW3167" i="3"/>
  <c r="CW3166" i="3"/>
  <c r="CW3165" i="3"/>
  <c r="CW3164" i="3"/>
  <c r="CW3163" i="3"/>
  <c r="CW3162" i="3"/>
  <c r="CW3161" i="3"/>
  <c r="CW3160" i="3"/>
  <c r="CW3159" i="3"/>
  <c r="CW3158" i="3"/>
  <c r="CW3157" i="3"/>
  <c r="CW3156" i="3"/>
  <c r="CW3155" i="3"/>
  <c r="CW3154" i="3"/>
  <c r="CW3153" i="3"/>
  <c r="CW3152" i="3"/>
  <c r="CW3151" i="3"/>
  <c r="CW3150" i="3"/>
  <c r="CW3149" i="3"/>
  <c r="CW3148" i="3"/>
  <c r="CW3147" i="3"/>
  <c r="CW3146" i="3"/>
  <c r="CW3145" i="3"/>
  <c r="CW3144" i="3"/>
  <c r="CW3143" i="3"/>
  <c r="CW3142" i="3"/>
  <c r="DA3142" i="3" s="1"/>
  <c r="DB3142" i="3" s="1"/>
  <c r="CB3142" i="3" s="1"/>
  <c r="CW3141" i="3"/>
  <c r="DA3141" i="3" s="1"/>
  <c r="DB3141" i="3"/>
  <c r="CB3141" i="3" s="1"/>
  <c r="CW3140" i="3"/>
  <c r="DA3140" i="3" s="1"/>
  <c r="CW3118" i="3"/>
  <c r="CY3077" i="3"/>
  <c r="CX3077" i="3"/>
  <c r="CW3077" i="3"/>
  <c r="CY3076" i="3"/>
  <c r="CX3076" i="3"/>
  <c r="CW3076" i="3"/>
  <c r="CY3075" i="3"/>
  <c r="CX3075" i="3"/>
  <c r="CW3075" i="3"/>
  <c r="CY3074" i="3"/>
  <c r="CX3074" i="3"/>
  <c r="CW3074" i="3"/>
  <c r="CY3073" i="3"/>
  <c r="CX3073" i="3"/>
  <c r="CW3073" i="3"/>
  <c r="CY3064" i="3"/>
  <c r="CX3064" i="3"/>
  <c r="CW3064" i="3"/>
  <c r="CY3063" i="3"/>
  <c r="CX3063" i="3"/>
  <c r="CW3063" i="3"/>
  <c r="CY3062" i="3"/>
  <c r="CX3062" i="3"/>
  <c r="CW3062" i="3"/>
  <c r="CY3061" i="3"/>
  <c r="CX3061" i="3"/>
  <c r="CW3061" i="3"/>
  <c r="CY3060" i="3"/>
  <c r="CX3060" i="3"/>
  <c r="CW3060" i="3"/>
  <c r="CY3059" i="3"/>
  <c r="CX3059" i="3"/>
  <c r="CW3059" i="3"/>
  <c r="CY3049" i="3"/>
  <c r="CX3049" i="3"/>
  <c r="CW3049" i="3"/>
  <c r="CY3048" i="3"/>
  <c r="CX3048" i="3"/>
  <c r="CW3048" i="3"/>
  <c r="CY3047" i="3"/>
  <c r="CX3047" i="3"/>
  <c r="CW3047" i="3"/>
  <c r="CY3046" i="3"/>
  <c r="CX3046" i="3"/>
  <c r="CW3046" i="3"/>
  <c r="CY3045" i="3"/>
  <c r="CX3045" i="3"/>
  <c r="CW3045" i="3"/>
  <c r="CW3037" i="3"/>
  <c r="CW3036" i="3"/>
  <c r="CW3035" i="3"/>
  <c r="CW3034" i="3"/>
  <c r="CW3033" i="3"/>
  <c r="CW3032" i="3"/>
  <c r="CW3031" i="3"/>
  <c r="CW3030" i="3"/>
  <c r="CW3029" i="3"/>
  <c r="CW3028" i="3"/>
  <c r="CW3027" i="3"/>
  <c r="CW3026" i="3"/>
  <c r="CW3025" i="3"/>
  <c r="CW3024" i="3"/>
  <c r="CW3023" i="3"/>
  <c r="CW3022" i="3"/>
  <c r="CW3021" i="3"/>
  <c r="CW3020" i="3"/>
  <c r="CW3019" i="3"/>
  <c r="CW3018" i="3"/>
  <c r="CX3037" i="3"/>
  <c r="CX3036" i="3"/>
  <c r="CX3035" i="3"/>
  <c r="CX3034" i="3"/>
  <c r="CX3033" i="3"/>
  <c r="CX3032" i="3"/>
  <c r="CX3031" i="3"/>
  <c r="CX3030" i="3"/>
  <c r="CX3029" i="3"/>
  <c r="CX3028" i="3"/>
  <c r="CX3027" i="3"/>
  <c r="CX3026" i="3"/>
  <c r="CX3025" i="3"/>
  <c r="CX3024" i="3"/>
  <c r="CX3023" i="3"/>
  <c r="CX3022" i="3"/>
  <c r="CX3021" i="3"/>
  <c r="CX3020" i="3"/>
  <c r="CX3019" i="3"/>
  <c r="CX3018" i="3"/>
  <c r="CW3113" i="3"/>
  <c r="CW3112" i="3"/>
  <c r="CW3111" i="3"/>
  <c r="CW3110" i="3"/>
  <c r="CW3109" i="3"/>
  <c r="CW3108" i="3"/>
  <c r="CW3107" i="3"/>
  <c r="CW3106" i="3"/>
  <c r="CW3105" i="3"/>
  <c r="CW3104" i="3"/>
  <c r="CW3103" i="3"/>
  <c r="CW3102" i="3"/>
  <c r="CW3101" i="3"/>
  <c r="DA3101" i="3" s="1"/>
  <c r="DB3101" i="3" s="1"/>
  <c r="CB3101" i="3" s="1"/>
  <c r="CW3100" i="3"/>
  <c r="DA3100" i="3" s="1"/>
  <c r="DB3100" i="3"/>
  <c r="CB3100" i="3" s="1"/>
  <c r="CW3099" i="3"/>
  <c r="DA3099" i="3" s="1"/>
  <c r="CW3098" i="3"/>
  <c r="DA3098" i="3" s="1"/>
  <c r="DB3098" i="3" s="1"/>
  <c r="CB3098" i="3" s="1"/>
  <c r="CW3097" i="3"/>
  <c r="CW3096" i="3"/>
  <c r="CW3095" i="3"/>
  <c r="CW3094" i="3"/>
  <c r="CW3089" i="3"/>
  <c r="CW3088" i="3"/>
  <c r="CW3087" i="3"/>
  <c r="CW3086" i="3"/>
  <c r="CW3085" i="3"/>
  <c r="DA3085" i="3" s="1"/>
  <c r="DB3085" i="3" s="1"/>
  <c r="CB3085" i="3" s="1"/>
  <c r="CW3084" i="3"/>
  <c r="DA3084" i="3" s="1"/>
  <c r="DB3084" i="3"/>
  <c r="CB3084" i="3" s="1"/>
  <c r="CW3083" i="3"/>
  <c r="DA3083" i="3" s="1"/>
  <c r="DB3083" i="3"/>
  <c r="CB3083" i="3" s="1"/>
  <c r="CW3082" i="3"/>
  <c r="DA3082" i="3" s="1"/>
  <c r="DB3082" i="3" s="1"/>
  <c r="CB3082" i="3" s="1"/>
  <c r="CW3081" i="3"/>
  <c r="CW3080" i="3"/>
  <c r="CW3079" i="3"/>
  <c r="CW3078" i="3"/>
  <c r="CW3072" i="3"/>
  <c r="CW3071" i="3"/>
  <c r="CW3070" i="3"/>
  <c r="CW3069" i="3"/>
  <c r="CW3068" i="3"/>
  <c r="DA3068" i="3" s="1"/>
  <c r="DB3068" i="3" s="1"/>
  <c r="CB3068" i="3" s="1"/>
  <c r="CW3067" i="3"/>
  <c r="CW3066" i="3"/>
  <c r="CW3065" i="3"/>
  <c r="CW3058" i="3"/>
  <c r="CW3057" i="3"/>
  <c r="CW3056" i="3"/>
  <c r="CW3055" i="3"/>
  <c r="DA3055" i="3" s="1"/>
  <c r="DB3055" i="3" s="1"/>
  <c r="CB3055" i="3" s="1"/>
  <c r="CW3054" i="3"/>
  <c r="DA3054" i="3" s="1"/>
  <c r="DB3054" i="3" s="1"/>
  <c r="CB3054" i="3" s="1"/>
  <c r="CW3053" i="3"/>
  <c r="CW3052" i="3"/>
  <c r="CW3051" i="3"/>
  <c r="CW3050" i="3"/>
  <c r="CW3044" i="3"/>
  <c r="CW3043" i="3"/>
  <c r="CW3042" i="3"/>
  <c r="CW3041" i="3"/>
  <c r="DA3041" i="3" s="1"/>
  <c r="DB3041" i="3" s="1"/>
  <c r="CB3041" i="3" s="1"/>
  <c r="CW3040" i="3"/>
  <c r="DA3040" i="3" s="1"/>
  <c r="CW3039" i="3"/>
  <c r="DA3039" i="3" s="1"/>
  <c r="CW3038" i="3"/>
  <c r="DA3038" i="3" s="1"/>
  <c r="DB3038" i="3" s="1"/>
  <c r="CB3038" i="3" s="1"/>
  <c r="CW3017" i="3"/>
  <c r="CX3010" i="3"/>
  <c r="DB3010" i="3"/>
  <c r="CB3010" i="3" s="1"/>
  <c r="CW3010" i="3"/>
  <c r="CX3009" i="3"/>
  <c r="CW3009" i="3"/>
  <c r="CX3008" i="3"/>
  <c r="CW3008" i="3"/>
  <c r="CX3007" i="3"/>
  <c r="CW3007" i="3"/>
  <c r="CX3006" i="3"/>
  <c r="CW3006" i="3"/>
  <c r="CX3005" i="3"/>
  <c r="DB3005" i="3"/>
  <c r="CB3005" i="3" s="1"/>
  <c r="CW3005" i="3"/>
  <c r="CX3004" i="3"/>
  <c r="CW3004" i="3"/>
  <c r="DB3004" i="3"/>
  <c r="CB3004" i="3" s="1"/>
  <c r="CX3003" i="3"/>
  <c r="CW3003" i="3"/>
  <c r="CX3002" i="3"/>
  <c r="CW3002" i="3"/>
  <c r="CX3001" i="3"/>
  <c r="DB3001" i="3"/>
  <c r="CB3001" i="3" s="1"/>
  <c r="CW3001" i="3"/>
  <c r="CX3000" i="3"/>
  <c r="CW3000" i="3"/>
  <c r="CX2999" i="3"/>
  <c r="DB2999" i="3"/>
  <c r="CB2999" i="3" s="1"/>
  <c r="CW2999" i="3"/>
  <c r="CX2998" i="3"/>
  <c r="CW2998" i="3"/>
  <c r="CX2997" i="3"/>
  <c r="CW2997" i="3"/>
  <c r="CX2996" i="3"/>
  <c r="CW2996" i="3"/>
  <c r="DB2996" i="3"/>
  <c r="CB2996" i="3" s="1"/>
  <c r="CX2995" i="3"/>
  <c r="CW2995" i="3"/>
  <c r="CX2994" i="3"/>
  <c r="DB2994" i="3"/>
  <c r="CB2994" i="3" s="1"/>
  <c r="CW2994" i="3"/>
  <c r="CW2993" i="3"/>
  <c r="DB2993" i="3"/>
  <c r="CB2993" i="3" s="1"/>
  <c r="CW3012" i="3"/>
  <c r="CW3011" i="3"/>
  <c r="CW2992" i="3"/>
  <c r="CW2991" i="3"/>
  <c r="CW2990" i="3"/>
  <c r="CW2989" i="3"/>
  <c r="DB2989" i="3"/>
  <c r="CB2989" i="3" s="1"/>
  <c r="CW2988" i="3"/>
  <c r="CW2987" i="3"/>
  <c r="CW2984" i="3"/>
  <c r="CW2982" i="3"/>
  <c r="DB2982" i="3"/>
  <c r="CB2982" i="3" s="1"/>
  <c r="CW2981" i="3"/>
  <c r="DB2981" i="3"/>
  <c r="CB2981" i="3" s="1"/>
  <c r="CW2980" i="3"/>
  <c r="CW2979" i="3"/>
  <c r="DB2979" i="3"/>
  <c r="CB2979" i="3" s="1"/>
  <c r="CW2978" i="3"/>
  <c r="CW2977" i="3"/>
  <c r="CW2976" i="3"/>
  <c r="DB2976" i="3"/>
  <c r="CB2976" i="3" s="1"/>
  <c r="CW2975" i="3"/>
  <c r="DB2975" i="3"/>
  <c r="CB2975" i="3" s="1"/>
  <c r="CW2974" i="3"/>
  <c r="DB2974" i="3"/>
  <c r="CB2974" i="3" s="1"/>
  <c r="CW2973" i="3"/>
  <c r="CW2972" i="3"/>
  <c r="CW2971" i="3"/>
  <c r="CW2970" i="3"/>
  <c r="CW2969" i="3"/>
  <c r="CW2968" i="3"/>
  <c r="CW2967" i="3"/>
  <c r="CW2966" i="3"/>
  <c r="CW2965" i="3"/>
  <c r="CW2964" i="3"/>
  <c r="DB2964" i="3"/>
  <c r="CB2964" i="3" s="1"/>
  <c r="CW2963" i="3"/>
  <c r="DB2963" i="3"/>
  <c r="CB2963" i="3" s="1"/>
  <c r="CW2962" i="3"/>
  <c r="DB2962" i="3"/>
  <c r="CB2962" i="3" s="1"/>
  <c r="CW2961" i="3"/>
  <c r="CW2960" i="3"/>
  <c r="CW2959" i="3"/>
  <c r="CW2958" i="3"/>
  <c r="DB2958" i="3"/>
  <c r="CB2958" i="3" s="1"/>
  <c r="CW2957" i="3"/>
  <c r="DB2957" i="3"/>
  <c r="CB2957" i="3" s="1"/>
  <c r="CW2956" i="3"/>
  <c r="DB2956" i="3"/>
  <c r="CB2956" i="3" s="1"/>
  <c r="CW2955" i="3"/>
  <c r="CW2954" i="3"/>
  <c r="CW2953" i="3"/>
  <c r="CW2952" i="3"/>
  <c r="CX2972" i="3"/>
  <c r="CX2971" i="3"/>
  <c r="DB2971" i="3"/>
  <c r="CB2971" i="3" s="1"/>
  <c r="CX2970" i="3"/>
  <c r="CX2969" i="3"/>
  <c r="CX2968" i="3"/>
  <c r="CX2967" i="3"/>
  <c r="CX2966" i="3"/>
  <c r="DB2966" i="3"/>
  <c r="CB2966" i="3" s="1"/>
  <c r="CX2965" i="3"/>
  <c r="CX2964" i="3"/>
  <c r="CX2963" i="3"/>
  <c r="CX2962" i="3"/>
  <c r="CX2961" i="3"/>
  <c r="CX2960" i="3"/>
  <c r="CX2959" i="3"/>
  <c r="CX2958" i="3"/>
  <c r="CX2957" i="3"/>
  <c r="CX2956" i="3"/>
  <c r="CX2955" i="3"/>
  <c r="CX2954" i="3"/>
  <c r="CX2953" i="3"/>
  <c r="CW2915" i="3"/>
  <c r="CW2914" i="3"/>
  <c r="DB2914" i="3"/>
  <c r="CB2914" i="3" s="1"/>
  <c r="CW2913" i="3"/>
  <c r="CW2912" i="3"/>
  <c r="CW2911" i="3"/>
  <c r="CW2910" i="3"/>
  <c r="CW2909" i="3"/>
  <c r="CW2908" i="3"/>
  <c r="CW2907" i="3"/>
  <c r="DB2907" i="3"/>
  <c r="CB2907" i="3" s="1"/>
  <c r="CW2906" i="3"/>
  <c r="DB2906" i="3"/>
  <c r="CB2906" i="3" s="1"/>
  <c r="CW2905" i="3"/>
  <c r="CW2904" i="3"/>
  <c r="DB2904" i="3"/>
  <c r="CB2904" i="3" s="1"/>
  <c r="CW2903" i="3"/>
  <c r="DB2903" i="3"/>
  <c r="CB2903" i="3" s="1"/>
  <c r="CW2902" i="3"/>
  <c r="CW2901" i="3"/>
  <c r="DB2901" i="3"/>
  <c r="CB2901" i="3" s="1"/>
  <c r="CW2900" i="3"/>
  <c r="CW2899" i="3"/>
  <c r="CW2898" i="3"/>
  <c r="CW2897" i="3"/>
  <c r="CW2896" i="3"/>
  <c r="CW2895" i="3"/>
  <c r="CW2893" i="3"/>
  <c r="DB2893" i="3"/>
  <c r="CB2893" i="3" s="1"/>
  <c r="CW2894" i="3"/>
  <c r="CX2913" i="3"/>
  <c r="CX2912" i="3"/>
  <c r="CX2911" i="3"/>
  <c r="CX2910" i="3"/>
  <c r="CX2909" i="3"/>
  <c r="CX2908" i="3"/>
  <c r="CX2907" i="3"/>
  <c r="CX2906" i="3"/>
  <c r="CX2905" i="3"/>
  <c r="CX2904" i="3"/>
  <c r="CX2903" i="3"/>
  <c r="CX2902" i="3"/>
  <c r="CX2901" i="3"/>
  <c r="CX2900" i="3"/>
  <c r="CX2899" i="3"/>
  <c r="DB2899" i="3"/>
  <c r="CB2899" i="3" s="1"/>
  <c r="CX2898" i="3"/>
  <c r="CX2897" i="3"/>
  <c r="CX2896" i="3"/>
  <c r="CX2895" i="3"/>
  <c r="CX2894" i="3"/>
  <c r="CX2884" i="3"/>
  <c r="DB2884" i="3"/>
  <c r="CB2884" i="3" s="1"/>
  <c r="CW2884" i="3"/>
  <c r="CX2883" i="3"/>
  <c r="CW2883" i="3"/>
  <c r="CX2882" i="3"/>
  <c r="CW2882" i="3"/>
  <c r="CX2881" i="3"/>
  <c r="CW2881" i="3"/>
  <c r="CX2880" i="3"/>
  <c r="CW2880" i="3"/>
  <c r="DB2880" i="3"/>
  <c r="CB2880" i="3" s="1"/>
  <c r="CX2879" i="3"/>
  <c r="CW2879" i="3"/>
  <c r="CX2878" i="3"/>
  <c r="CW2878" i="3"/>
  <c r="CX2877" i="3"/>
  <c r="CW2877" i="3"/>
  <c r="CX2876" i="3"/>
  <c r="CW2876" i="3"/>
  <c r="DB2876" i="3"/>
  <c r="CB2876" i="3" s="1"/>
  <c r="CX2875" i="3"/>
  <c r="CW2875" i="3"/>
  <c r="CX2874" i="3"/>
  <c r="CW2874" i="3"/>
  <c r="CX2873" i="3"/>
  <c r="CW2873" i="3"/>
  <c r="CX2872" i="3"/>
  <c r="CW2872" i="3"/>
  <c r="DB2872" i="3"/>
  <c r="CB2872" i="3" s="1"/>
  <c r="CX2871" i="3"/>
  <c r="CW2871" i="3"/>
  <c r="CX2870" i="3"/>
  <c r="CW2870" i="3"/>
  <c r="CX2869" i="3"/>
  <c r="CW2869" i="3"/>
  <c r="CX2868" i="3"/>
  <c r="CW2868" i="3"/>
  <c r="CW2886" i="3"/>
  <c r="CW2885" i="3"/>
  <c r="CW2867" i="3"/>
  <c r="CW2866" i="3"/>
  <c r="CW2865" i="3"/>
  <c r="CW2864" i="3"/>
  <c r="CW2863" i="3"/>
  <c r="CW2862" i="3"/>
  <c r="CW2861" i="3"/>
  <c r="CW2860" i="3"/>
  <c r="CW2859" i="3"/>
  <c r="CW2858" i="3"/>
  <c r="CW2857" i="3"/>
  <c r="CW2856" i="3"/>
  <c r="CW2854" i="3"/>
  <c r="CW2853" i="3"/>
  <c r="DB2853" i="3"/>
  <c r="CB2853" i="3" s="1"/>
  <c r="CW2852" i="3"/>
  <c r="CW2851" i="3"/>
  <c r="CW2850" i="3"/>
  <c r="CW2849" i="3"/>
  <c r="CW2848" i="3"/>
  <c r="CW2847" i="3"/>
  <c r="CW2846" i="3"/>
  <c r="CW2845" i="3"/>
  <c r="CW2844" i="3"/>
  <c r="DB2844" i="3"/>
  <c r="CB2844" i="3" s="1"/>
  <c r="CW2843" i="3"/>
  <c r="DB2843" i="3"/>
  <c r="CB2843" i="3" s="1"/>
  <c r="CW2842" i="3"/>
  <c r="CW2841" i="3"/>
  <c r="CW2840" i="3"/>
  <c r="CW2839" i="3"/>
  <c r="CW2838" i="3"/>
  <c r="DB2838" i="3"/>
  <c r="CB2838" i="3" s="1"/>
  <c r="CW2837" i="3"/>
  <c r="CW2836" i="3"/>
  <c r="DB2836" i="3"/>
  <c r="CB2836" i="3" s="1"/>
  <c r="CW2835" i="3"/>
  <c r="CW2834" i="3"/>
  <c r="CW2833" i="3"/>
  <c r="CW2832" i="3"/>
  <c r="CW2831" i="3"/>
  <c r="CW2830" i="3"/>
  <c r="DB2830" i="3"/>
  <c r="CB2830" i="3" s="1"/>
  <c r="CW2829" i="3"/>
  <c r="CW2828" i="3"/>
  <c r="DA2828" i="3" s="1"/>
  <c r="CW2827" i="3"/>
  <c r="CW2826" i="3"/>
  <c r="CW2825" i="3"/>
  <c r="CW2824" i="3"/>
  <c r="CW2823" i="3"/>
  <c r="CW2822" i="3"/>
  <c r="DB2822" i="3"/>
  <c r="CB2822" i="3" s="1"/>
  <c r="CW2821" i="3"/>
  <c r="CW2820" i="3"/>
  <c r="CW2819" i="3"/>
  <c r="DB2819" i="3"/>
  <c r="CB2819" i="3" s="1"/>
  <c r="CW2818" i="3"/>
  <c r="DB2818" i="3"/>
  <c r="CB2818" i="3" s="1"/>
  <c r="CW2817" i="3"/>
  <c r="CW2816" i="3"/>
  <c r="CW2815" i="3"/>
  <c r="CW2814" i="3"/>
  <c r="DB2814" i="3"/>
  <c r="CB2814" i="3" s="1"/>
  <c r="CW2813" i="3"/>
  <c r="CW2812" i="3"/>
  <c r="DA2812" i="3" s="1"/>
  <c r="CW2811" i="3"/>
  <c r="CW2810" i="3"/>
  <c r="CW2809" i="3"/>
  <c r="CW2808" i="3"/>
  <c r="DB2808" i="3"/>
  <c r="CB2808" i="3" s="1"/>
  <c r="CW2807" i="3"/>
  <c r="DB2807" i="3"/>
  <c r="CB2807" i="3" s="1"/>
  <c r="CW2806" i="3"/>
  <c r="CW2805" i="3"/>
  <c r="CW2804" i="3"/>
  <c r="CW2803" i="3"/>
  <c r="CW2802" i="3"/>
  <c r="CW2801" i="3"/>
  <c r="CW2800" i="3"/>
  <c r="CW2799" i="3"/>
  <c r="CW2798" i="3"/>
  <c r="CW2797" i="3"/>
  <c r="CW2796" i="3"/>
  <c r="CW2795" i="3"/>
  <c r="CW2794" i="3"/>
  <c r="CW2793" i="3"/>
  <c r="CW2792" i="3"/>
  <c r="CW2791" i="3"/>
  <c r="CW2790" i="3"/>
  <c r="CW2789" i="3"/>
  <c r="CW2788" i="3"/>
  <c r="CW2787" i="3"/>
  <c r="CW2786" i="3"/>
  <c r="CW2785" i="3"/>
  <c r="CX2804" i="3"/>
  <c r="CX2803" i="3"/>
  <c r="CX2802" i="3"/>
  <c r="CX2801" i="3"/>
  <c r="DA2801" i="3" s="1"/>
  <c r="DB2801" i="3" s="1"/>
  <c r="CB2801" i="3" s="1"/>
  <c r="CX2800" i="3"/>
  <c r="CX2799" i="3"/>
  <c r="CX2798" i="3"/>
  <c r="CX2797" i="3"/>
  <c r="CX2796" i="3"/>
  <c r="CX2795" i="3"/>
  <c r="CX2794" i="3"/>
  <c r="CX2793" i="3"/>
  <c r="CX2792" i="3"/>
  <c r="CX2791" i="3"/>
  <c r="CX2790" i="3"/>
  <c r="CX2789" i="3"/>
  <c r="CX2788" i="3"/>
  <c r="CX2787" i="3"/>
  <c r="CX2786" i="3"/>
  <c r="CX2785" i="3"/>
  <c r="CW2784" i="3"/>
  <c r="CX2863" i="3"/>
  <c r="CX2862" i="3"/>
  <c r="CX2861" i="3"/>
  <c r="CX2860" i="3"/>
  <c r="CX2859" i="3"/>
  <c r="CX2858" i="3"/>
  <c r="CX2857" i="3"/>
  <c r="CX2856" i="3"/>
  <c r="CX2851" i="3"/>
  <c r="CX2850" i="3"/>
  <c r="CX2849" i="3"/>
  <c r="CX2848" i="3"/>
  <c r="CX2847" i="3"/>
  <c r="CX2846" i="3"/>
  <c r="CW2775" i="3"/>
  <c r="CW2774" i="3"/>
  <c r="CW2773" i="3"/>
  <c r="CW2772" i="3"/>
  <c r="CW2771" i="3"/>
  <c r="CW2770" i="3"/>
  <c r="DB2770" i="3"/>
  <c r="CB2770" i="3" s="1"/>
  <c r="CW2768" i="3"/>
  <c r="CW2767" i="3"/>
  <c r="DB2767" i="3"/>
  <c r="CB2767" i="3" s="1"/>
  <c r="CW2766" i="3"/>
  <c r="CW2765" i="3"/>
  <c r="CW2764" i="3"/>
  <c r="DB2764" i="3"/>
  <c r="CB2764" i="3" s="1"/>
  <c r="CW2763" i="3"/>
  <c r="DB2763" i="3"/>
  <c r="CB2763" i="3" s="1"/>
  <c r="CW2762" i="3"/>
  <c r="CW2761" i="3"/>
  <c r="CW2760" i="3"/>
  <c r="CW2759" i="3"/>
  <c r="CW2758" i="3"/>
  <c r="CW2757" i="3"/>
  <c r="DB2757" i="3"/>
  <c r="CB2757" i="3" s="1"/>
  <c r="CW2756" i="3"/>
  <c r="CX2756" i="3"/>
  <c r="DB2756" i="3"/>
  <c r="CB2756" i="3" s="1"/>
  <c r="CX2755" i="3"/>
  <c r="CW2755" i="3"/>
  <c r="CX2754" i="3"/>
  <c r="CW2754" i="3"/>
  <c r="CX2753" i="3"/>
  <c r="CW2753" i="3"/>
  <c r="CX2752" i="3"/>
  <c r="CW2752" i="3"/>
  <c r="CX2751" i="3"/>
  <c r="CW2751" i="3"/>
  <c r="CX2750" i="3"/>
  <c r="CW2750" i="3"/>
  <c r="CX2749" i="3"/>
  <c r="CW2749" i="3"/>
  <c r="CX2748" i="3"/>
  <c r="CW2748" i="3"/>
  <c r="CX2747" i="3"/>
  <c r="CW2747" i="3"/>
  <c r="CX2746" i="3"/>
  <c r="CW2746" i="3"/>
  <c r="CX2745" i="3"/>
  <c r="CW2745" i="3"/>
  <c r="CX2744" i="3"/>
  <c r="CW2744" i="3"/>
  <c r="CX2743" i="3"/>
  <c r="CW2743" i="3"/>
  <c r="CX2742" i="3"/>
  <c r="CW2742" i="3"/>
  <c r="DB2742" i="3"/>
  <c r="CB2742" i="3" s="1"/>
  <c r="CX2741" i="3"/>
  <c r="CW2741" i="3"/>
  <c r="CX2740" i="3"/>
  <c r="CW2740" i="3"/>
  <c r="DB2740" i="3"/>
  <c r="CB2740" i="3" s="1"/>
  <c r="CX2739" i="3"/>
  <c r="CW2739" i="3"/>
  <c r="CX2738" i="3"/>
  <c r="CW2738" i="3"/>
  <c r="CX2737" i="3"/>
  <c r="CW2737" i="3"/>
  <c r="DB2737" i="3"/>
  <c r="CB2737" i="3" s="1"/>
  <c r="CX2731" i="3"/>
  <c r="CX2730" i="3"/>
  <c r="DB2730" i="3"/>
  <c r="CB2730" i="3" s="1"/>
  <c r="CX2729" i="3"/>
  <c r="CX2728" i="3"/>
  <c r="DB2728" i="3"/>
  <c r="CB2728" i="3" s="1"/>
  <c r="CX2727" i="3"/>
  <c r="CX2726" i="3"/>
  <c r="CX2725" i="3"/>
  <c r="DB2725" i="3"/>
  <c r="CB2725" i="3" s="1"/>
  <c r="CX2724" i="3"/>
  <c r="CX2719" i="3"/>
  <c r="CX2718" i="3"/>
  <c r="CX2717" i="3"/>
  <c r="CX2716" i="3"/>
  <c r="CX2715" i="3"/>
  <c r="CX2714" i="3"/>
  <c r="CX2713" i="3"/>
  <c r="CX2703" i="3"/>
  <c r="CX2702" i="3"/>
  <c r="CX2701" i="3"/>
  <c r="CX2700" i="3"/>
  <c r="CX2699" i="3"/>
  <c r="CX2692" i="3"/>
  <c r="CX2691" i="3"/>
  <c r="CX2690" i="3"/>
  <c r="CX2689" i="3"/>
  <c r="DB2689" i="3"/>
  <c r="CB2689" i="3" s="1"/>
  <c r="CX2688" i="3"/>
  <c r="CW2732" i="3"/>
  <c r="DB2732" i="3"/>
  <c r="CB2732" i="3" s="1"/>
  <c r="CW2731" i="3"/>
  <c r="DB2731" i="3"/>
  <c r="CB2731" i="3" s="1"/>
  <c r="CW2730" i="3"/>
  <c r="CW2729" i="3"/>
  <c r="CW2728" i="3"/>
  <c r="CW2727" i="3"/>
  <c r="CW2726" i="3"/>
  <c r="CW2725" i="3"/>
  <c r="CW2724" i="3"/>
  <c r="CW2722" i="3"/>
  <c r="DB2722" i="3"/>
  <c r="CB2722" i="3" s="1"/>
  <c r="CW2720" i="3"/>
  <c r="CW2719" i="3"/>
  <c r="CW2718" i="3"/>
  <c r="DA2718" i="3" s="1"/>
  <c r="CW2717" i="3"/>
  <c r="CW2716" i="3"/>
  <c r="CW2715" i="3"/>
  <c r="DA2715" i="3" s="1"/>
  <c r="CW2714" i="3"/>
  <c r="CW2713" i="3"/>
  <c r="CW2712" i="3"/>
  <c r="CW2711" i="3"/>
  <c r="CW2710" i="3"/>
  <c r="DA2710" i="3" s="1"/>
  <c r="CW2709" i="3"/>
  <c r="DB2709" i="3"/>
  <c r="CB2709" i="3" s="1"/>
  <c r="CW2708" i="3"/>
  <c r="DA2708" i="3" s="1"/>
  <c r="DB2708" i="3"/>
  <c r="CB2708" i="3" s="1"/>
  <c r="CW2706" i="3"/>
  <c r="CW2705" i="3"/>
  <c r="CW2704" i="3"/>
  <c r="DA2704" i="3" s="1"/>
  <c r="CW2703" i="3"/>
  <c r="CW2702" i="3"/>
  <c r="CW2701" i="3"/>
  <c r="CW2700" i="3"/>
  <c r="DB2700" i="3"/>
  <c r="CB2700" i="3" s="1"/>
  <c r="CW2699" i="3"/>
  <c r="CW2698" i="3"/>
  <c r="DB2698" i="3"/>
  <c r="CB2698" i="3" s="1"/>
  <c r="CW2697" i="3"/>
  <c r="CW2695" i="3"/>
  <c r="CW2694" i="3"/>
  <c r="CW2693" i="3"/>
  <c r="CW2692" i="3"/>
  <c r="CW2691" i="3"/>
  <c r="CW2690" i="3"/>
  <c r="CW2689" i="3"/>
  <c r="CW2688" i="3"/>
  <c r="CX2679" i="3"/>
  <c r="DB2679" i="3"/>
  <c r="CB2679" i="3" s="1"/>
  <c r="CW2687" i="3"/>
  <c r="CW2686" i="3"/>
  <c r="DB2686" i="3"/>
  <c r="CB2686" i="3" s="1"/>
  <c r="CW2685" i="3"/>
  <c r="CW2684" i="3"/>
  <c r="CW2683" i="3"/>
  <c r="CW2682" i="3"/>
  <c r="DB2682" i="3"/>
  <c r="CB2682" i="3" s="1"/>
  <c r="CW2681" i="3"/>
  <c r="CW2680" i="3"/>
  <c r="DB2680" i="3"/>
  <c r="CB2680" i="3" s="1"/>
  <c r="CW2679" i="3"/>
  <c r="CW2678" i="3"/>
  <c r="CW2677" i="3"/>
  <c r="CW2676" i="3"/>
  <c r="DB2676" i="3"/>
  <c r="CB2676" i="3" s="1"/>
  <c r="CW2675" i="3"/>
  <c r="CW2674" i="3"/>
  <c r="CW2673" i="3"/>
  <c r="CW2672" i="3"/>
  <c r="DB2672" i="3"/>
  <c r="CB2672" i="3" s="1"/>
  <c r="CW2671" i="3"/>
  <c r="CW2670" i="3"/>
  <c r="CW2669" i="3"/>
  <c r="CW2668" i="3"/>
  <c r="CW2667" i="3"/>
  <c r="CW2666" i="3"/>
  <c r="CW2665" i="3"/>
  <c r="DB2665" i="3"/>
  <c r="CB2665" i="3" s="1"/>
  <c r="CW2664" i="3"/>
  <c r="CW2663" i="3"/>
  <c r="CW2662" i="3"/>
  <c r="CW2661" i="3"/>
  <c r="CW2659" i="3"/>
  <c r="DB2659" i="3"/>
  <c r="CB2659" i="3" s="1"/>
  <c r="CW2660" i="3"/>
  <c r="CX2678" i="3"/>
  <c r="DB2678" i="3"/>
  <c r="CB2678" i="3" s="1"/>
  <c r="CX2677" i="3"/>
  <c r="CX2676" i="3"/>
  <c r="CX2675" i="3"/>
  <c r="CX2674" i="3"/>
  <c r="CX2673" i="3"/>
  <c r="CX2672" i="3"/>
  <c r="CX2671" i="3"/>
  <c r="DB2671" i="3"/>
  <c r="CB2671" i="3" s="1"/>
  <c r="CX2670" i="3"/>
  <c r="DB2670" i="3"/>
  <c r="CB2670" i="3" s="1"/>
  <c r="CX2669" i="3"/>
  <c r="CX2668" i="3"/>
  <c r="CX2667" i="3"/>
  <c r="CX2666" i="3"/>
  <c r="CX2665" i="3"/>
  <c r="CX2664" i="3"/>
  <c r="CX2663" i="3"/>
  <c r="CX2662" i="3"/>
  <c r="CX2661" i="3"/>
  <c r="CX2660" i="3"/>
  <c r="CW2638" i="3"/>
  <c r="DB2638" i="3"/>
  <c r="CB2638" i="3" s="1"/>
  <c r="CW2637" i="3"/>
  <c r="CW2636" i="3"/>
  <c r="CW2635" i="3"/>
  <c r="CW2634" i="3"/>
  <c r="CW2633" i="3"/>
  <c r="DB2633" i="3"/>
  <c r="CB2633" i="3" s="1"/>
  <c r="CW2632" i="3"/>
  <c r="CW2631" i="3"/>
  <c r="CW2630" i="3"/>
  <c r="CW2629" i="3"/>
  <c r="DB2629" i="3"/>
  <c r="CB2629" i="3" s="1"/>
  <c r="CW2628" i="3"/>
  <c r="CW2627" i="3"/>
  <c r="CW2626" i="3"/>
  <c r="DB2626" i="3"/>
  <c r="CB2626" i="3" s="1"/>
  <c r="CW2625" i="3"/>
  <c r="CW2624" i="3"/>
  <c r="CW2623" i="3"/>
  <c r="DB2623" i="3"/>
  <c r="CB2623" i="3" s="1"/>
  <c r="CW2622" i="3"/>
  <c r="CW2621" i="3"/>
  <c r="CW2620" i="3"/>
  <c r="CW2619" i="3"/>
  <c r="CW2618" i="3"/>
  <c r="DB2618" i="3"/>
  <c r="CB2618" i="3" s="1"/>
  <c r="CX2637" i="3"/>
  <c r="DB2637" i="3"/>
  <c r="CB2637" i="3" s="1"/>
  <c r="CX2636" i="3"/>
  <c r="DB2636" i="3"/>
  <c r="CB2636" i="3" s="1"/>
  <c r="CX2635" i="3"/>
  <c r="CX2634" i="3"/>
  <c r="CX2633" i="3"/>
  <c r="CX2632" i="3"/>
  <c r="CX2631" i="3"/>
  <c r="CX2630" i="3"/>
  <c r="CX2629" i="3"/>
  <c r="CX2628" i="3"/>
  <c r="DB2628" i="3"/>
  <c r="CB2628" i="3" s="1"/>
  <c r="CX2627" i="3"/>
  <c r="CX2626" i="3"/>
  <c r="CX2625" i="3"/>
  <c r="CX2624" i="3"/>
  <c r="CX2623" i="3"/>
  <c r="CX2622" i="3"/>
  <c r="DB2622" i="3"/>
  <c r="CB2622" i="3" s="1"/>
  <c r="CX2621" i="3"/>
  <c r="DB2621" i="3"/>
  <c r="CB2621" i="3" s="1"/>
  <c r="CX2620" i="3"/>
  <c r="DB2620" i="3"/>
  <c r="CB2620" i="3" s="1"/>
  <c r="CX2619" i="3"/>
  <c r="CX2618" i="3"/>
  <c r="CW2617" i="3"/>
  <c r="CW2593" i="3"/>
  <c r="CW2592" i="3"/>
  <c r="CW2591" i="3"/>
  <c r="CW2590" i="3"/>
  <c r="CW2589" i="3"/>
  <c r="CW2588" i="3"/>
  <c r="CW2587" i="3"/>
  <c r="CW2586" i="3"/>
  <c r="DB2586" i="3"/>
  <c r="CB2586" i="3" s="1"/>
  <c r="CW2585" i="3"/>
  <c r="CW2584" i="3"/>
  <c r="DB2584" i="3"/>
  <c r="CB2584" i="3" s="1"/>
  <c r="CW2583" i="3"/>
  <c r="CW2582" i="3"/>
  <c r="CW2581" i="3"/>
  <c r="CW2580" i="3"/>
  <c r="CW2579" i="3"/>
  <c r="DB2579" i="3"/>
  <c r="CB2579" i="3" s="1"/>
  <c r="CW2578" i="3"/>
  <c r="DB2578" i="3"/>
  <c r="CB2578" i="3" s="1"/>
  <c r="CW2577" i="3"/>
  <c r="CW2576" i="3"/>
  <c r="CW2575" i="3"/>
  <c r="CW2574" i="3"/>
  <c r="DB2574" i="3"/>
  <c r="CB2574" i="3" s="1"/>
  <c r="CW2573" i="3"/>
  <c r="CW2609" i="3"/>
  <c r="DB2609" i="3"/>
  <c r="CB2609" i="3" s="1"/>
  <c r="CW2608" i="3"/>
  <c r="CW2607" i="3"/>
  <c r="DB2607" i="3"/>
  <c r="CB2607" i="3" s="1"/>
  <c r="CW2606" i="3"/>
  <c r="CW2605" i="3"/>
  <c r="CW2604" i="3"/>
  <c r="DA2604" i="3" s="1"/>
  <c r="CW2603" i="3"/>
  <c r="CX2592" i="3"/>
  <c r="CX2591" i="3"/>
  <c r="CX2590" i="3"/>
  <c r="CX2589" i="3"/>
  <c r="CX2588" i="3"/>
  <c r="CX2587" i="3"/>
  <c r="CX2586" i="3"/>
  <c r="CX2585" i="3"/>
  <c r="DB2585" i="3"/>
  <c r="CB2585" i="3" s="1"/>
  <c r="CX2584" i="3"/>
  <c r="CX2583" i="3"/>
  <c r="CX2582" i="3"/>
  <c r="CX2581" i="3"/>
  <c r="CX2580" i="3"/>
  <c r="CX2579" i="3"/>
  <c r="CX2578" i="3"/>
  <c r="CX2577" i="3"/>
  <c r="DB2577" i="3"/>
  <c r="CB2577" i="3" s="1"/>
  <c r="CX2576" i="3"/>
  <c r="CX2575" i="3"/>
  <c r="CX2574" i="3"/>
  <c r="CX2573" i="3"/>
  <c r="CW2612" i="3"/>
  <c r="DB2612" i="3"/>
  <c r="CB2612" i="3" s="1"/>
  <c r="CW2611" i="3"/>
  <c r="CW2610" i="3"/>
  <c r="DB2610" i="3"/>
  <c r="CB2610" i="3" s="1"/>
  <c r="CW2602" i="3"/>
  <c r="CW2601" i="3"/>
  <c r="DB2601" i="3"/>
  <c r="CB2601" i="3" s="1"/>
  <c r="CW2600" i="3"/>
  <c r="DB2600" i="3"/>
  <c r="CB2600" i="3" s="1"/>
  <c r="CW2599" i="3"/>
  <c r="DB2599" i="3"/>
  <c r="CB2599" i="3" s="1"/>
  <c r="CW2598" i="3"/>
  <c r="CW2597" i="3"/>
  <c r="CW2596" i="3"/>
  <c r="CW2595" i="3"/>
  <c r="DB2595" i="3"/>
  <c r="CB2595" i="3" s="1"/>
  <c r="CW2594" i="3"/>
  <c r="CW2572" i="3"/>
  <c r="CX2551" i="3"/>
  <c r="CX2550" i="3"/>
  <c r="CX2549" i="3"/>
  <c r="CX2548" i="3"/>
  <c r="CX2547" i="3"/>
  <c r="CX2546" i="3"/>
  <c r="CX2540" i="3"/>
  <c r="CX2539" i="3"/>
  <c r="CX2538" i="3"/>
  <c r="CX2537" i="3"/>
  <c r="CX2536" i="3"/>
  <c r="CX2535" i="3"/>
  <c r="CX2524" i="3"/>
  <c r="CX2523" i="3"/>
  <c r="CX2522" i="3"/>
  <c r="CX2521" i="3"/>
  <c r="CX2520" i="3"/>
  <c r="CX2519" i="3"/>
  <c r="CX2514" i="3"/>
  <c r="CX2513" i="3"/>
  <c r="CX2512" i="3"/>
  <c r="CX2511" i="3"/>
  <c r="CX2510" i="3"/>
  <c r="CX2509" i="3"/>
  <c r="CX2508" i="3"/>
  <c r="CW2565" i="3"/>
  <c r="DA2565" i="3" s="1"/>
  <c r="DB2565" i="3" s="1"/>
  <c r="CB2565" i="3" s="1"/>
  <c r="CW2564" i="3"/>
  <c r="DA2564" i="3" s="1"/>
  <c r="DB2564" i="3" s="1"/>
  <c r="CB2564" i="3" s="1"/>
  <c r="CW2563" i="3"/>
  <c r="DA2563" i="3" s="1"/>
  <c r="DB2563" i="3" s="1"/>
  <c r="CB2563" i="3" s="1"/>
  <c r="CW2562" i="3"/>
  <c r="DA2562" i="3" s="1"/>
  <c r="DB2562" i="3" s="1"/>
  <c r="CB2562" i="3" s="1"/>
  <c r="CW2561" i="3"/>
  <c r="DA2561" i="3" s="1"/>
  <c r="DB2561" i="3" s="1"/>
  <c r="CB2561" i="3" s="1"/>
  <c r="CW2560" i="3"/>
  <c r="DA2560" i="3" s="1"/>
  <c r="DB2560" i="3" s="1"/>
  <c r="CB2560" i="3" s="1"/>
  <c r="CW2559" i="3"/>
  <c r="DA2559" i="3" s="1"/>
  <c r="DB2559" i="3" s="1"/>
  <c r="CB2559" i="3" s="1"/>
  <c r="CW2558" i="3"/>
  <c r="DA2558" i="3" s="1"/>
  <c r="DB2558" i="3" s="1"/>
  <c r="CB2558" i="3" s="1"/>
  <c r="CW2557" i="3"/>
  <c r="DA2557" i="3" s="1"/>
  <c r="DB2557" i="3" s="1"/>
  <c r="CB2557" i="3" s="1"/>
  <c r="CW2556" i="3"/>
  <c r="DA2556" i="3" s="1"/>
  <c r="DB2556" i="3" s="1"/>
  <c r="CB2556" i="3" s="1"/>
  <c r="CW2555" i="3"/>
  <c r="DA2555" i="3" s="1"/>
  <c r="DB2555" i="3" s="1"/>
  <c r="CB2555" i="3" s="1"/>
  <c r="CW2554" i="3"/>
  <c r="DA2554" i="3" s="1"/>
  <c r="DB2554" i="3" s="1"/>
  <c r="CB2554" i="3" s="1"/>
  <c r="CW2553" i="3"/>
  <c r="CW2552" i="3"/>
  <c r="CW2551" i="3"/>
  <c r="CW2550" i="3"/>
  <c r="CW2549" i="3"/>
  <c r="CW2548" i="3"/>
  <c r="CW2547" i="3"/>
  <c r="CW2546" i="3"/>
  <c r="CW2545" i="3"/>
  <c r="DA2545" i="3" s="1"/>
  <c r="DB2545" i="3" s="1"/>
  <c r="CB2545" i="3" s="1"/>
  <c r="CW2544" i="3"/>
  <c r="DA2544" i="3" s="1"/>
  <c r="DB2544" i="3" s="1"/>
  <c r="CB2544" i="3" s="1"/>
  <c r="CW2542" i="3"/>
  <c r="CW2541" i="3"/>
  <c r="CW2540" i="3"/>
  <c r="CW2539" i="3"/>
  <c r="CW2538" i="3"/>
  <c r="CW2537" i="3"/>
  <c r="CW2536" i="3"/>
  <c r="CW2535" i="3"/>
  <c r="CW2534" i="3"/>
  <c r="DA2534" i="3" s="1"/>
  <c r="DB2534" i="3" s="1"/>
  <c r="CB2534" i="3" s="1"/>
  <c r="CW2533" i="3"/>
  <c r="DA2533" i="3" s="1"/>
  <c r="DB2533" i="3" s="1"/>
  <c r="CB2533" i="3" s="1"/>
  <c r="CW2532" i="3"/>
  <c r="DA2532" i="3" s="1"/>
  <c r="DB2532" i="3" s="1"/>
  <c r="CB2532" i="3" s="1"/>
  <c r="CW2531" i="3"/>
  <c r="DA2531" i="3" s="1"/>
  <c r="DB2531" i="3" s="1"/>
  <c r="CB2531" i="3" s="1"/>
  <c r="CW2530" i="3"/>
  <c r="DA2530" i="3" s="1"/>
  <c r="DB2530" i="3" s="1"/>
  <c r="CB2530" i="3" s="1"/>
  <c r="CW2529" i="3"/>
  <c r="DA2529" i="3" s="1"/>
  <c r="DB2529" i="3" s="1"/>
  <c r="CB2529" i="3" s="1"/>
  <c r="CW2528" i="3"/>
  <c r="DA2528" i="3" s="1"/>
  <c r="DB2528" i="3" s="1"/>
  <c r="CB2528" i="3" s="1"/>
  <c r="CW2527" i="3"/>
  <c r="DA2527" i="3" s="1"/>
  <c r="DB2527" i="3" s="1"/>
  <c r="CB2527" i="3" s="1"/>
  <c r="CW2526" i="3"/>
  <c r="CW2525" i="3"/>
  <c r="CW2524" i="3"/>
  <c r="CW2523" i="3"/>
  <c r="CW2522" i="3"/>
  <c r="CW2521" i="3"/>
  <c r="CW2520" i="3"/>
  <c r="CW2519" i="3"/>
  <c r="CW2518" i="3"/>
  <c r="DA2518" i="3" s="1"/>
  <c r="DB2518" i="3" s="1"/>
  <c r="CB2518" i="3" s="1"/>
  <c r="CW2517" i="3"/>
  <c r="DA2517" i="3" s="1"/>
  <c r="DB2517" i="3" s="1"/>
  <c r="CB2517" i="3" s="1"/>
  <c r="CW2515" i="3"/>
  <c r="CW2514" i="3"/>
  <c r="DA2514" i="3" s="1"/>
  <c r="DB2514" i="3" s="1"/>
  <c r="CB2514" i="3" s="1"/>
  <c r="CW2513" i="3"/>
  <c r="DA2513" i="3" s="1"/>
  <c r="DB2513" i="3" s="1"/>
  <c r="CB2513" i="3" s="1"/>
  <c r="CW2512" i="3"/>
  <c r="DA2512" i="3" s="1"/>
  <c r="DB2512" i="3" s="1"/>
  <c r="CB2512" i="3" s="1"/>
  <c r="CW2511" i="3"/>
  <c r="CW2510" i="3"/>
  <c r="DA2510" i="3" s="1"/>
  <c r="DB2510" i="3" s="1"/>
  <c r="CB2510" i="3" s="1"/>
  <c r="CW2509" i="3"/>
  <c r="DA2509" i="3" s="1"/>
  <c r="DB2509" i="3" s="1"/>
  <c r="CB2509" i="3" s="1"/>
  <c r="CW2508" i="3"/>
  <c r="DA2508" i="3" s="1"/>
  <c r="DB2508" i="3" s="1"/>
  <c r="CB2508" i="3" s="1"/>
  <c r="CW2502" i="3"/>
  <c r="DA2502" i="3" s="1"/>
  <c r="DB2502" i="3" s="1"/>
  <c r="CB2502" i="3" s="1"/>
  <c r="CW2501" i="3"/>
  <c r="DA2501" i="3" s="1"/>
  <c r="DB2501" i="3" s="1"/>
  <c r="CB2501" i="3" s="1"/>
  <c r="CW2500" i="3"/>
  <c r="DA2500" i="3" s="1"/>
  <c r="DB2500" i="3" s="1"/>
  <c r="CB2500" i="3" s="1"/>
  <c r="CW2499" i="3"/>
  <c r="CW2498" i="3"/>
  <c r="CW2497" i="3"/>
  <c r="CW2496" i="3"/>
  <c r="CW2495" i="3"/>
  <c r="CW2494" i="3"/>
  <c r="CW2493" i="3"/>
  <c r="CW2492" i="3"/>
  <c r="CW2491" i="3"/>
  <c r="CW2490" i="3"/>
  <c r="CW2489" i="3"/>
  <c r="CW2488" i="3"/>
  <c r="CW2487" i="3"/>
  <c r="CW2486" i="3"/>
  <c r="CW2485" i="3"/>
  <c r="CW2484" i="3"/>
  <c r="CW2483" i="3"/>
  <c r="CW2482" i="3"/>
  <c r="CW2481" i="3"/>
  <c r="CW2480" i="3"/>
  <c r="CX2499" i="3"/>
  <c r="CX2498" i="3"/>
  <c r="CX2497" i="3"/>
  <c r="CX2496" i="3"/>
  <c r="CX2495" i="3"/>
  <c r="CX2494" i="3"/>
  <c r="CX2493" i="3"/>
  <c r="CX2492" i="3"/>
  <c r="CX2491" i="3"/>
  <c r="CX2490" i="3"/>
  <c r="CX2489" i="3"/>
  <c r="CX2488" i="3"/>
  <c r="CX2487" i="3"/>
  <c r="CX2486" i="3"/>
  <c r="CX2485" i="3"/>
  <c r="CX2484" i="3"/>
  <c r="CX2483" i="3"/>
  <c r="CX2482" i="3"/>
  <c r="CX2481" i="3"/>
  <c r="CX2480" i="3"/>
  <c r="CW2479" i="3"/>
  <c r="CW2474" i="3"/>
  <c r="CW2473" i="3"/>
  <c r="CW2472" i="3"/>
  <c r="DB2472" i="3"/>
  <c r="CB2472" i="3" s="1"/>
  <c r="CW2471" i="3"/>
  <c r="CW2470" i="3"/>
  <c r="CW2469" i="3"/>
  <c r="CW2468" i="3"/>
  <c r="CW2467" i="3"/>
  <c r="CW2466" i="3"/>
  <c r="CW2465" i="3"/>
  <c r="DB2465" i="3"/>
  <c r="CB2465" i="3" s="1"/>
  <c r="CW2464" i="3"/>
  <c r="DB2464" i="3"/>
  <c r="CB2464" i="3" s="1"/>
  <c r="CW2463" i="3"/>
  <c r="DB2463" i="3"/>
  <c r="CB2463" i="3" s="1"/>
  <c r="CW2462" i="3"/>
  <c r="CW2461" i="3"/>
  <c r="CW2460" i="3"/>
  <c r="CW2459" i="3"/>
  <c r="DB2459" i="3"/>
  <c r="CB2459" i="3" s="1"/>
  <c r="CW2458" i="3"/>
  <c r="CW2457" i="3"/>
  <c r="DB2457" i="3"/>
  <c r="CB2457" i="3" s="1"/>
  <c r="CW2456" i="3"/>
  <c r="DB2456" i="3"/>
  <c r="CB2456" i="3" s="1"/>
  <c r="CW2455" i="3"/>
  <c r="DB2455" i="3"/>
  <c r="CB2455" i="3" s="1"/>
  <c r="CW2454" i="3"/>
  <c r="DB2454" i="3"/>
  <c r="CB2454" i="3" s="1"/>
  <c r="CW2453" i="3"/>
  <c r="DB2453" i="3"/>
  <c r="CB2453" i="3" s="1"/>
  <c r="CW2452" i="3"/>
  <c r="DB2452" i="3"/>
  <c r="CB2452" i="3" s="1"/>
  <c r="CX2474" i="3"/>
  <c r="CX2473" i="3"/>
  <c r="CX2472" i="3"/>
  <c r="CX2471" i="3"/>
  <c r="CX2470" i="3"/>
  <c r="CX2469" i="3"/>
  <c r="CX2468" i="3"/>
  <c r="CX2467" i="3"/>
  <c r="CX2466" i="3"/>
  <c r="CX2465" i="3"/>
  <c r="CX2464" i="3"/>
  <c r="CX2463" i="3"/>
  <c r="CX2462" i="3"/>
  <c r="CX2461" i="3"/>
  <c r="CX2460" i="3"/>
  <c r="CX2459" i="3"/>
  <c r="CX2458" i="3"/>
  <c r="CX2457" i="3"/>
  <c r="CX2456" i="3"/>
  <c r="CX2455" i="3"/>
  <c r="CW2451" i="3"/>
  <c r="CW2450" i="3"/>
  <c r="CW2449" i="3"/>
  <c r="CW2448" i="3"/>
  <c r="CW2447" i="3"/>
  <c r="CW2446" i="3"/>
  <c r="CW2445" i="3"/>
  <c r="CW2444" i="3"/>
  <c r="CW2443" i="3"/>
  <c r="DB2443" i="3"/>
  <c r="CB2443" i="3" s="1"/>
  <c r="CW2442" i="3"/>
  <c r="CW2441" i="3"/>
  <c r="CW2440" i="3"/>
  <c r="CW2439" i="3"/>
  <c r="CW2438" i="3"/>
  <c r="CW2437" i="3"/>
  <c r="CW2436" i="3"/>
  <c r="CW2435" i="3"/>
  <c r="CW2434" i="3"/>
  <c r="CW2433" i="3"/>
  <c r="CW2432" i="3"/>
  <c r="CW2431" i="3"/>
  <c r="CW2430" i="3"/>
  <c r="DB2430" i="3"/>
  <c r="CB2430" i="3" s="1"/>
  <c r="CW2429" i="3"/>
  <c r="CW2428" i="3"/>
  <c r="CW2427" i="3"/>
  <c r="CW2426" i="3"/>
  <c r="CW2425" i="3"/>
  <c r="CW2424" i="3"/>
  <c r="CW2423" i="3"/>
  <c r="CW2422" i="3"/>
  <c r="CW2421" i="3"/>
  <c r="CW2420" i="3"/>
  <c r="CW2419" i="3"/>
  <c r="DB2419" i="3"/>
  <c r="CB2419" i="3" s="1"/>
  <c r="CW2418" i="3"/>
  <c r="CW2417" i="3"/>
  <c r="CW2416" i="3"/>
  <c r="CW2415" i="3"/>
  <c r="CW2414" i="3"/>
  <c r="CW2413" i="3"/>
  <c r="CW2412" i="3"/>
  <c r="CW2411" i="3"/>
  <c r="CW2410" i="3"/>
  <c r="CW2409" i="3"/>
  <c r="DB2409" i="3"/>
  <c r="CB2409" i="3" s="1"/>
  <c r="CW2408" i="3"/>
  <c r="CW2407" i="3"/>
  <c r="CW2406" i="3"/>
  <c r="CW2405" i="3"/>
  <c r="CY2356" i="3"/>
  <c r="CY2394" i="3"/>
  <c r="CY2393" i="3"/>
  <c r="CY2392" i="3"/>
  <c r="CY2391" i="3"/>
  <c r="CY2390" i="3"/>
  <c r="CY2383" i="3"/>
  <c r="CY2382" i="3"/>
  <c r="CY2381" i="3"/>
  <c r="CY2380" i="3"/>
  <c r="CY2379" i="3"/>
  <c r="CY2372" i="3"/>
  <c r="CY2371" i="3"/>
  <c r="CY2370" i="3"/>
  <c r="CY2369" i="3"/>
  <c r="CY2368" i="3"/>
  <c r="CX2395" i="3"/>
  <c r="CX2394" i="3"/>
  <c r="CX2393" i="3"/>
  <c r="DB2393" i="3"/>
  <c r="CB2393" i="3" s="1"/>
  <c r="CX2392" i="3"/>
  <c r="CX2391" i="3"/>
  <c r="CX2390" i="3"/>
  <c r="CX2389" i="3"/>
  <c r="CX2388" i="3"/>
  <c r="DB2388" i="3"/>
  <c r="CB2388" i="3" s="1"/>
  <c r="CX2386" i="3"/>
  <c r="CX2385" i="3"/>
  <c r="CX2384" i="3"/>
  <c r="CX2383" i="3"/>
  <c r="CX2382" i="3"/>
  <c r="CX2381" i="3"/>
  <c r="CX2380" i="3"/>
  <c r="CX2379" i="3"/>
  <c r="DB2379" i="3"/>
  <c r="CB2379" i="3" s="1"/>
  <c r="CX2378" i="3"/>
  <c r="CX2377" i="3"/>
  <c r="CX2375" i="3"/>
  <c r="CX2374" i="3"/>
  <c r="CX2373" i="3"/>
  <c r="CX2372" i="3"/>
  <c r="CX2371" i="3"/>
  <c r="CX2370" i="3"/>
  <c r="CX2369" i="3"/>
  <c r="CX2368" i="3"/>
  <c r="CW2395" i="3"/>
  <c r="CW2394" i="3"/>
  <c r="CW2393" i="3"/>
  <c r="CW2392" i="3"/>
  <c r="CW2391" i="3"/>
  <c r="DB2391" i="3"/>
  <c r="CB2391" i="3" s="1"/>
  <c r="CW2390" i="3"/>
  <c r="CW2389" i="3"/>
  <c r="CW2388" i="3"/>
  <c r="CW2386" i="3"/>
  <c r="CW2385" i="3"/>
  <c r="CW2384" i="3"/>
  <c r="CW2383" i="3"/>
  <c r="CW2382" i="3"/>
  <c r="DB2382" i="3"/>
  <c r="CB2382" i="3" s="1"/>
  <c r="CW2381" i="3"/>
  <c r="CW2380" i="3"/>
  <c r="CW2379" i="3"/>
  <c r="CW2378" i="3"/>
  <c r="CW2377" i="3"/>
  <c r="CW2375" i="3"/>
  <c r="CW2374" i="3"/>
  <c r="CW2373" i="3"/>
  <c r="CW2372" i="3"/>
  <c r="CW2371" i="3"/>
  <c r="CW2370" i="3"/>
  <c r="DB2370" i="3"/>
  <c r="CB2370" i="3" s="1"/>
  <c r="CW2369" i="3"/>
  <c r="CW2368" i="3"/>
  <c r="DB2368" i="3"/>
  <c r="CB2368" i="3" s="1"/>
  <c r="CY2353" i="3"/>
  <c r="CY2352" i="3"/>
  <c r="CY2351" i="3"/>
  <c r="CY2350" i="3"/>
  <c r="CY2349" i="3"/>
  <c r="CY2343" i="3"/>
  <c r="CY2342" i="3"/>
  <c r="CY2341" i="3"/>
  <c r="CY2340" i="3"/>
  <c r="CY2339" i="3"/>
  <c r="CX2354" i="3"/>
  <c r="CX2353" i="3"/>
  <c r="CX2352" i="3"/>
  <c r="CX2351" i="3"/>
  <c r="CX2350" i="3"/>
  <c r="CX2349" i="3"/>
  <c r="CX2348" i="3"/>
  <c r="CX2347" i="3"/>
  <c r="CX2345" i="3"/>
  <c r="CX2344" i="3"/>
  <c r="CX2343" i="3"/>
  <c r="CX2342" i="3"/>
  <c r="CX2341" i="3"/>
  <c r="DB2341" i="3"/>
  <c r="CB2341" i="3" s="1"/>
  <c r="CX2340" i="3"/>
  <c r="CX2339" i="3"/>
  <c r="CW2354" i="3"/>
  <c r="CW2353" i="3"/>
  <c r="DB2353" i="3"/>
  <c r="CB2353" i="3" s="1"/>
  <c r="CW2352" i="3"/>
  <c r="DB2352" i="3"/>
  <c r="CB2352" i="3" s="1"/>
  <c r="CW2351" i="3"/>
  <c r="CW2350" i="3"/>
  <c r="CW2349" i="3"/>
  <c r="CW2348" i="3"/>
  <c r="CW2347" i="3"/>
  <c r="CW2345" i="3"/>
  <c r="CW2344" i="3"/>
  <c r="CW2343" i="3"/>
  <c r="DB2343" i="3"/>
  <c r="CB2343" i="3" s="1"/>
  <c r="CW2342" i="3"/>
  <c r="CW2341" i="3"/>
  <c r="CW2340" i="3"/>
  <c r="CW2339" i="3"/>
  <c r="CW2398" i="3"/>
  <c r="CW2397" i="3"/>
  <c r="CW2396" i="3"/>
  <c r="CW2367" i="3"/>
  <c r="CW2366" i="3"/>
  <c r="CW2365" i="3"/>
  <c r="CW2364" i="3"/>
  <c r="CW2363" i="3"/>
  <c r="DB2363" i="3"/>
  <c r="CB2363" i="3" s="1"/>
  <c r="CW2362" i="3"/>
  <c r="CW2361" i="3"/>
  <c r="CW2360" i="3"/>
  <c r="CW2359" i="3"/>
  <c r="CW2358" i="3"/>
  <c r="DA2358" i="3" s="1"/>
  <c r="CW2356" i="3"/>
  <c r="CW2355" i="3"/>
  <c r="CW2338" i="3"/>
  <c r="DB2338" i="3"/>
  <c r="CB2338" i="3" s="1"/>
  <c r="CW2337" i="3"/>
  <c r="CW2336" i="3"/>
  <c r="CW2335" i="3"/>
  <c r="CW2334" i="3"/>
  <c r="CW2333" i="3"/>
  <c r="CW2332" i="3"/>
  <c r="CW2331" i="3"/>
  <c r="CW2330" i="3"/>
  <c r="CW2329" i="3"/>
  <c r="CW2328" i="3"/>
  <c r="CW2327" i="3"/>
  <c r="CW2326" i="3"/>
  <c r="DB2326" i="3"/>
  <c r="CB2326" i="3" s="1"/>
  <c r="CW2325" i="3"/>
  <c r="DB2325" i="3"/>
  <c r="CB2325" i="3" s="1"/>
  <c r="CW2324" i="3"/>
  <c r="CW2323" i="3"/>
  <c r="CW2322" i="3"/>
  <c r="CW2321" i="3"/>
  <c r="CW2320" i="3"/>
  <c r="CW2319" i="3"/>
  <c r="CW2318" i="3"/>
  <c r="DB2318" i="3"/>
  <c r="CB2318" i="3" s="1"/>
  <c r="CW2317" i="3"/>
  <c r="DB2317" i="3"/>
  <c r="CB2317" i="3" s="1"/>
  <c r="CW2316" i="3"/>
  <c r="CW2315" i="3"/>
  <c r="CW2314" i="3"/>
  <c r="CW2313" i="3"/>
  <c r="CW2312" i="3"/>
  <c r="CW2311" i="3"/>
  <c r="CW2310" i="3"/>
  <c r="DB2310" i="3"/>
  <c r="CB2310" i="3" s="1"/>
  <c r="CW2309" i="3"/>
  <c r="DB2309" i="3"/>
  <c r="CB2309" i="3" s="1"/>
  <c r="CW2308" i="3"/>
  <c r="DA2308" i="3" s="1"/>
  <c r="CX2328" i="3"/>
  <c r="CX2327" i="3"/>
  <c r="CX2326" i="3"/>
  <c r="CX2325" i="3"/>
  <c r="CX2324" i="3"/>
  <c r="CX2323" i="3"/>
  <c r="CX2322" i="3"/>
  <c r="CX2321" i="3"/>
  <c r="CX2320" i="3"/>
  <c r="CX2319" i="3"/>
  <c r="CX2318" i="3"/>
  <c r="CX2317" i="3"/>
  <c r="CX2316" i="3"/>
  <c r="CX2315" i="3"/>
  <c r="CX2314" i="3"/>
  <c r="CX2313" i="3"/>
  <c r="CX2312" i="3"/>
  <c r="CX2311" i="3"/>
  <c r="CX2310" i="3"/>
  <c r="CX2309" i="3"/>
  <c r="CX2331" i="3"/>
  <c r="DB2331" i="3"/>
  <c r="CB2331" i="3" s="1"/>
  <c r="CW2280" i="3"/>
  <c r="DB2280" i="3"/>
  <c r="CB2280" i="3" s="1"/>
  <c r="CW2279" i="3"/>
  <c r="DB2279" i="3"/>
  <c r="CB2279" i="3" s="1"/>
  <c r="CW2278" i="3"/>
  <c r="CW2277" i="3"/>
  <c r="CW2276" i="3"/>
  <c r="CW2275" i="3"/>
  <c r="CW2274" i="3"/>
  <c r="DB2274" i="3"/>
  <c r="CB2274" i="3" s="1"/>
  <c r="CY2143" i="3"/>
  <c r="CY2142" i="3"/>
  <c r="CY2141" i="3"/>
  <c r="CY2140" i="3"/>
  <c r="CY2135" i="3"/>
  <c r="CY2134" i="3"/>
  <c r="CY2133" i="3"/>
  <c r="CY2132" i="3"/>
  <c r="CY2131" i="3"/>
  <c r="CY2130" i="3"/>
  <c r="CY2129" i="3"/>
  <c r="CW2144" i="3"/>
  <c r="CW2143" i="3"/>
  <c r="CW2142" i="3"/>
  <c r="CW2141" i="3"/>
  <c r="CW2140" i="3"/>
  <c r="CW2139" i="3"/>
  <c r="CW2138" i="3"/>
  <c r="CW2137" i="3"/>
  <c r="CW2136" i="3"/>
  <c r="CW2135" i="3"/>
  <c r="CW2134" i="3"/>
  <c r="CW2133" i="3"/>
  <c r="CW2132" i="3"/>
  <c r="CW2131" i="3"/>
  <c r="CW2130" i="3"/>
  <c r="CW2129" i="3"/>
  <c r="CX2113" i="3"/>
  <c r="CX2112" i="3"/>
  <c r="CX2111" i="3"/>
  <c r="CX2110" i="3"/>
  <c r="CX2104" i="3"/>
  <c r="CX2103" i="3"/>
  <c r="CX2102" i="3"/>
  <c r="CX2101" i="3"/>
  <c r="CX2100" i="3"/>
  <c r="CX2099" i="3"/>
  <c r="CW2115" i="3"/>
  <c r="CW2114" i="3"/>
  <c r="CW2113" i="3"/>
  <c r="DA2113" i="3" s="1"/>
  <c r="CW2112" i="3"/>
  <c r="DA2112" i="3" s="1"/>
  <c r="CW2111" i="3"/>
  <c r="DA2111" i="3" s="1"/>
  <c r="CW2110" i="3"/>
  <c r="DA2110" i="3" s="1"/>
  <c r="CW2109" i="3"/>
  <c r="DB2109" i="3"/>
  <c r="CB2109" i="3" s="1"/>
  <c r="CW2108" i="3"/>
  <c r="CW2107" i="3"/>
  <c r="DA2107" i="3" s="1"/>
  <c r="DB2107" i="3"/>
  <c r="CB2107" i="3" s="1"/>
  <c r="CW2106" i="3"/>
  <c r="CW2105" i="3"/>
  <c r="CW2104" i="3"/>
  <c r="CW2103" i="3"/>
  <c r="CW2102" i="3"/>
  <c r="CW2101" i="3"/>
  <c r="CW2100" i="3"/>
  <c r="CW2099" i="3"/>
  <c r="CW2098" i="3"/>
  <c r="DA2098" i="3" s="1"/>
  <c r="CW2268" i="3"/>
  <c r="DB2268" i="3"/>
  <c r="CB2268" i="3" s="1"/>
  <c r="CW2303" i="3"/>
  <c r="CW2302" i="3"/>
  <c r="CW2301" i="3"/>
  <c r="CW2300" i="3"/>
  <c r="DB2300" i="3"/>
  <c r="CB2300" i="3" s="1"/>
  <c r="CW2299" i="3"/>
  <c r="CW2298" i="3"/>
  <c r="CW2297" i="3"/>
  <c r="CW2296" i="3"/>
  <c r="CW2295" i="3"/>
  <c r="CW2294" i="3"/>
  <c r="DB2294" i="3"/>
  <c r="CB2294" i="3" s="1"/>
  <c r="CW2293" i="3"/>
  <c r="CW2292" i="3"/>
  <c r="CW2291" i="3"/>
  <c r="DB2291" i="3"/>
  <c r="CB2291" i="3" s="1"/>
  <c r="CW2290" i="3"/>
  <c r="CW2289" i="3"/>
  <c r="CW2288" i="3"/>
  <c r="DB2288" i="3"/>
  <c r="CB2288" i="3" s="1"/>
  <c r="CW2287" i="3"/>
  <c r="DB2287" i="3"/>
  <c r="CB2287" i="3" s="1"/>
  <c r="CW2286" i="3"/>
  <c r="DB2286" i="3"/>
  <c r="CB2286" i="3" s="1"/>
  <c r="CW2285" i="3"/>
  <c r="CW2284" i="3"/>
  <c r="DB2284" i="3"/>
  <c r="CB2284" i="3" s="1"/>
  <c r="CW2283" i="3"/>
  <c r="DA2283" i="3" s="1"/>
  <c r="DB2283" i="3"/>
  <c r="CB2283" i="3" s="1"/>
  <c r="CW2282" i="3"/>
  <c r="DB2282" i="3"/>
  <c r="CB2282" i="3" s="1"/>
  <c r="CW2281" i="3"/>
  <c r="CW2273" i="3"/>
  <c r="CW2272" i="3"/>
  <c r="CW2271" i="3"/>
  <c r="CW2270" i="3"/>
  <c r="CW2269" i="3"/>
  <c r="DB2269" i="3"/>
  <c r="CB2269" i="3" s="1"/>
  <c r="CX2285" i="3"/>
  <c r="DB2285" i="3"/>
  <c r="CB2285" i="3" s="1"/>
  <c r="CX2286" i="3"/>
  <c r="CX2287" i="3"/>
  <c r="CX2288" i="3"/>
  <c r="CX2289" i="3"/>
  <c r="CX2290" i="3"/>
  <c r="CX2291" i="3"/>
  <c r="CX2292" i="3"/>
  <c r="DB2292" i="3"/>
  <c r="CB2292" i="3" s="1"/>
  <c r="CX2293" i="3"/>
  <c r="CX2294" i="3"/>
  <c r="CX2295" i="3"/>
  <c r="CX2296" i="3"/>
  <c r="CX2297" i="3"/>
  <c r="CX2298" i="3"/>
  <c r="CX2299" i="3"/>
  <c r="CX2300" i="3"/>
  <c r="CX2301" i="3"/>
  <c r="CX2302" i="3"/>
  <c r="CX2303" i="3"/>
  <c r="CX2262" i="3"/>
  <c r="DB2262" i="3"/>
  <c r="CB2262" i="3" s="1"/>
  <c r="CX2261" i="3"/>
  <c r="DB2261" i="3"/>
  <c r="CB2261" i="3" s="1"/>
  <c r="CX2260" i="3"/>
  <c r="DB2260" i="3"/>
  <c r="CB2260" i="3" s="1"/>
  <c r="CX2259" i="3"/>
  <c r="CX2258" i="3"/>
  <c r="DB2258" i="3"/>
  <c r="CB2258" i="3" s="1"/>
  <c r="CX2257" i="3"/>
  <c r="DA2257" i="3" s="1"/>
  <c r="CX2256" i="3"/>
  <c r="CX2255" i="3"/>
  <c r="CX2254" i="3"/>
  <c r="DB2254" i="3"/>
  <c r="CB2254" i="3" s="1"/>
  <c r="CX2253" i="3"/>
  <c r="DB2253" i="3"/>
  <c r="CB2253" i="3" s="1"/>
  <c r="CX2252" i="3"/>
  <c r="CX2251" i="3"/>
  <c r="CX2250" i="3"/>
  <c r="DB2250" i="3"/>
  <c r="CB2250" i="3" s="1"/>
  <c r="CX2249" i="3"/>
  <c r="CX2248" i="3"/>
  <c r="CX2247" i="3"/>
  <c r="CX2246" i="3"/>
  <c r="DB2246" i="3"/>
  <c r="CB2246" i="3" s="1"/>
  <c r="CX2245" i="3"/>
  <c r="DB2245" i="3"/>
  <c r="CB2245" i="3" s="1"/>
  <c r="CW2226" i="3"/>
  <c r="CW2225" i="3"/>
  <c r="CW2224" i="3"/>
  <c r="CW2223" i="3"/>
  <c r="CW2222" i="3"/>
  <c r="CW2221" i="3"/>
  <c r="CW2220" i="3"/>
  <c r="CW2219" i="3"/>
  <c r="CW2218" i="3"/>
  <c r="CW2217" i="3"/>
  <c r="CW2216" i="3"/>
  <c r="CW2215" i="3"/>
  <c r="DA2215" i="3" s="1"/>
  <c r="CW2206" i="3"/>
  <c r="DA2206" i="3" s="1"/>
  <c r="CW2205" i="3"/>
  <c r="DB2205" i="3"/>
  <c r="CB2205" i="3" s="1"/>
  <c r="CW2204" i="3"/>
  <c r="CW2203" i="3"/>
  <c r="DA2203" i="3" s="1"/>
  <c r="DB2203" i="3"/>
  <c r="CB2203" i="3" s="1"/>
  <c r="CW2202" i="3"/>
  <c r="CW2201" i="3"/>
  <c r="CW2200" i="3"/>
  <c r="CW2199" i="3"/>
  <c r="DA2199" i="3" s="1"/>
  <c r="DB2199" i="3" s="1"/>
  <c r="CB2199" i="3" s="1"/>
  <c r="CW2198" i="3"/>
  <c r="CW2197" i="3"/>
  <c r="CW2196" i="3"/>
  <c r="CW2195" i="3"/>
  <c r="DA2195" i="3" s="1"/>
  <c r="DB2195" i="3" s="1"/>
  <c r="CB2195" i="3" s="1"/>
  <c r="CW2194" i="3"/>
  <c r="CW2193" i="3"/>
  <c r="CW2192" i="3"/>
  <c r="CW2191" i="3"/>
  <c r="CW2190" i="3"/>
  <c r="CW2189" i="3"/>
  <c r="CW2188" i="3"/>
  <c r="CW2187" i="3"/>
  <c r="CW2186" i="3"/>
  <c r="CW2185" i="3"/>
  <c r="CW2184" i="3"/>
  <c r="CW2183" i="3"/>
  <c r="CW2182" i="3"/>
  <c r="CW2181" i="3"/>
  <c r="CW2180" i="3"/>
  <c r="CW2179" i="3"/>
  <c r="CW2178" i="3"/>
  <c r="CW2177" i="3"/>
  <c r="CW2176" i="3"/>
  <c r="CW2175" i="3"/>
  <c r="CX2194" i="3"/>
  <c r="CX2193" i="3"/>
  <c r="CX2192" i="3"/>
  <c r="CX2191" i="3"/>
  <c r="CX2190" i="3"/>
  <c r="CX2189" i="3"/>
  <c r="CX2188" i="3"/>
  <c r="CX2187" i="3"/>
  <c r="CX2186" i="3"/>
  <c r="CX2185" i="3"/>
  <c r="CX2184" i="3"/>
  <c r="CX2183" i="3"/>
  <c r="CX2182" i="3"/>
  <c r="CX2181" i="3"/>
  <c r="CX2180" i="3"/>
  <c r="CX2179" i="3"/>
  <c r="CX2178" i="3"/>
  <c r="CX2177" i="3"/>
  <c r="CX2176" i="3"/>
  <c r="CW2174" i="3"/>
  <c r="CW2148" i="3"/>
  <c r="DB2148" i="3"/>
  <c r="CB2148" i="3" s="1"/>
  <c r="CX2167" i="3"/>
  <c r="CW2167" i="3"/>
  <c r="CX2166" i="3"/>
  <c r="CW2166" i="3"/>
  <c r="CX2165" i="3"/>
  <c r="CW2165" i="3"/>
  <c r="CX2164" i="3"/>
  <c r="CW2164" i="3"/>
  <c r="CX2163" i="3"/>
  <c r="CW2163" i="3"/>
  <c r="CX2162" i="3"/>
  <c r="CW2162" i="3"/>
  <c r="CX2161" i="3"/>
  <c r="CW2161" i="3"/>
  <c r="CX2160" i="3"/>
  <c r="DB2160" i="3"/>
  <c r="CB2160" i="3" s="1"/>
  <c r="CW2160" i="3"/>
  <c r="CX2159" i="3"/>
  <c r="CW2159" i="3"/>
  <c r="CX2158" i="3"/>
  <c r="CW2158" i="3"/>
  <c r="DB2158" i="3"/>
  <c r="CB2158" i="3" s="1"/>
  <c r="CX2157" i="3"/>
  <c r="CW2157" i="3"/>
  <c r="CX2156" i="3"/>
  <c r="CW2156" i="3"/>
  <c r="CX2155" i="3"/>
  <c r="CW2155" i="3"/>
  <c r="CX2154" i="3"/>
  <c r="CW2154" i="3"/>
  <c r="CX2153" i="3"/>
  <c r="CW2153" i="3"/>
  <c r="CX2152" i="3"/>
  <c r="DB2152" i="3"/>
  <c r="CB2152" i="3" s="1"/>
  <c r="CW2152" i="3"/>
  <c r="CX2151" i="3"/>
  <c r="CW2151" i="3"/>
  <c r="CW2169" i="3"/>
  <c r="CW2168" i="3"/>
  <c r="CW2150" i="3"/>
  <c r="CW2149" i="3"/>
  <c r="CW2147" i="3"/>
  <c r="CW2146" i="3"/>
  <c r="CW2145" i="3"/>
  <c r="CW2128" i="3"/>
  <c r="CW2127" i="3"/>
  <c r="CW2126" i="3"/>
  <c r="CW2125" i="3"/>
  <c r="CW2124" i="3"/>
  <c r="CW2123" i="3"/>
  <c r="CW2122" i="3"/>
  <c r="CW2121" i="3"/>
  <c r="CW2120" i="3"/>
  <c r="CW2119" i="3"/>
  <c r="CW2118" i="3"/>
  <c r="CW2117" i="3"/>
  <c r="CW2116" i="3"/>
  <c r="CW2097" i="3"/>
  <c r="DB2097" i="3"/>
  <c r="CB2097" i="3" s="1"/>
  <c r="CW2096" i="3"/>
  <c r="CW2095" i="3"/>
  <c r="CW2094" i="3"/>
  <c r="DA2094" i="3" s="1"/>
  <c r="CW2093" i="3"/>
  <c r="DB2093" i="3"/>
  <c r="CB2093" i="3" s="1"/>
  <c r="CW2092" i="3"/>
  <c r="DB2092" i="3"/>
  <c r="CB2092" i="3" s="1"/>
  <c r="CW2090" i="3"/>
  <c r="CW2089" i="3"/>
  <c r="CW2088" i="3"/>
  <c r="DB2088" i="3"/>
  <c r="CB2088" i="3" s="1"/>
  <c r="CW2087" i="3"/>
  <c r="DB2087" i="3"/>
  <c r="CB2087" i="3" s="1"/>
  <c r="CW2086" i="3"/>
  <c r="CW2085" i="3"/>
  <c r="DB2085" i="3"/>
  <c r="CB2085" i="3" s="1"/>
  <c r="CW2084" i="3"/>
  <c r="CW2083" i="3"/>
  <c r="DA2083" i="3" s="1"/>
  <c r="DB2083" i="3"/>
  <c r="CB2083" i="3" s="1"/>
  <c r="CW2082" i="3"/>
  <c r="CW2081" i="3"/>
  <c r="CW2080" i="3"/>
  <c r="DB2080" i="3"/>
  <c r="CB2080" i="3" s="1"/>
  <c r="CW2079" i="3"/>
  <c r="CW2078" i="3"/>
  <c r="CW2077" i="3"/>
  <c r="CW2076" i="3"/>
  <c r="CW2075" i="3"/>
  <c r="CW2074" i="3"/>
  <c r="DB2074" i="3"/>
  <c r="CB2074" i="3" s="1"/>
  <c r="CW2073" i="3"/>
  <c r="CW2072" i="3"/>
  <c r="CW2071" i="3"/>
  <c r="CW2070" i="3"/>
  <c r="DA2070" i="3" s="1"/>
  <c r="CX2089" i="3"/>
  <c r="CX2088" i="3"/>
  <c r="CX2087" i="3"/>
  <c r="CX2086" i="3"/>
  <c r="CX2085" i="3"/>
  <c r="CX2084" i="3"/>
  <c r="CX2083" i="3"/>
  <c r="CX2082" i="3"/>
  <c r="CX2081" i="3"/>
  <c r="CX2080" i="3"/>
  <c r="CX2079" i="3"/>
  <c r="CX2078" i="3"/>
  <c r="CX2077" i="3"/>
  <c r="CX2076" i="3"/>
  <c r="DB2076" i="3"/>
  <c r="CB2076" i="3" s="1"/>
  <c r="CX2075" i="3"/>
  <c r="CX2074" i="3"/>
  <c r="CX2073" i="3"/>
  <c r="CX2072" i="3"/>
  <c r="CX2071" i="3"/>
  <c r="CW2091" i="3"/>
  <c r="DB2091" i="3"/>
  <c r="CB2091" i="3" s="1"/>
  <c r="CW2069" i="3"/>
  <c r="CX2041" i="3"/>
  <c r="DB2041" i="3"/>
  <c r="CB2041" i="3" s="1"/>
  <c r="CW2064" i="3"/>
  <c r="DA2064" i="3" s="1"/>
  <c r="DB2064" i="3"/>
  <c r="CB2064" i="3" s="1"/>
  <c r="CW2063" i="3"/>
  <c r="DA2063" i="3" s="1"/>
  <c r="DB2063" i="3"/>
  <c r="CB2063" i="3" s="1"/>
  <c r="CW2062" i="3"/>
  <c r="DA2062" i="3" s="1"/>
  <c r="DB2062" i="3"/>
  <c r="CB2062" i="3" s="1"/>
  <c r="CW2061" i="3"/>
  <c r="DA2061" i="3" s="1"/>
  <c r="DB2061" i="3"/>
  <c r="CB2061" i="3" s="1"/>
  <c r="CW2060" i="3"/>
  <c r="DA2060" i="3" s="1"/>
  <c r="DB2060" i="3"/>
  <c r="CB2060" i="3" s="1"/>
  <c r="CW2059" i="3"/>
  <c r="DA2059" i="3" s="1"/>
  <c r="DB2059" i="3"/>
  <c r="CB2059" i="3" s="1"/>
  <c r="CW2058" i="3"/>
  <c r="DA2058" i="3" s="1"/>
  <c r="DB2058" i="3"/>
  <c r="CB2058" i="3" s="1"/>
  <c r="CW2057" i="3"/>
  <c r="DA2057" i="3" s="1"/>
  <c r="DB2057" i="3"/>
  <c r="CB2057" i="3" s="1"/>
  <c r="CW2056" i="3"/>
  <c r="DA2056" i="3" s="1"/>
  <c r="DB2056" i="3"/>
  <c r="CB2056" i="3" s="1"/>
  <c r="CW2055" i="3"/>
  <c r="DA2055" i="3" s="1"/>
  <c r="DB2055" i="3"/>
  <c r="CB2055" i="3" s="1"/>
  <c r="CW2054" i="3"/>
  <c r="DA2054" i="3" s="1"/>
  <c r="DB2054" i="3"/>
  <c r="CB2054" i="3" s="1"/>
  <c r="CW2053" i="3"/>
  <c r="DA2053" i="3" s="1"/>
  <c r="DB2053" i="3"/>
  <c r="CB2053" i="3" s="1"/>
  <c r="CW2052" i="3"/>
  <c r="DA2052" i="3" s="1"/>
  <c r="DB2052" i="3"/>
  <c r="CB2052" i="3" s="1"/>
  <c r="CW2051" i="3"/>
  <c r="DA2051" i="3" s="1"/>
  <c r="DB2051" i="3"/>
  <c r="CB2051" i="3" s="1"/>
  <c r="CW2050" i="3"/>
  <c r="DA2050" i="3" s="1"/>
  <c r="DB2050" i="3"/>
  <c r="CB2050" i="3" s="1"/>
  <c r="CW2049" i="3"/>
  <c r="DA2049" i="3" s="1"/>
  <c r="DB2049" i="3"/>
  <c r="CB2049" i="3" s="1"/>
  <c r="CW2048" i="3"/>
  <c r="DA2048" i="3" s="1"/>
  <c r="DB2048" i="3"/>
  <c r="CB2048" i="3" s="1"/>
  <c r="CW2047" i="3"/>
  <c r="DA2047" i="3" s="1"/>
  <c r="DB2047" i="3"/>
  <c r="CB2047" i="3" s="1"/>
  <c r="CW2046" i="3"/>
  <c r="DA2046" i="3" s="1"/>
  <c r="DB2046" i="3"/>
  <c r="CB2046" i="3" s="1"/>
  <c r="CX2034" i="3"/>
  <c r="CX2033" i="3"/>
  <c r="CX2032" i="3"/>
  <c r="CX2031" i="3"/>
  <c r="CX2030" i="3"/>
  <c r="CX2029" i="3"/>
  <c r="CX2028" i="3"/>
  <c r="CX2027" i="3"/>
  <c r="CX2026" i="3"/>
  <c r="CX2025" i="3"/>
  <c r="CX2024" i="3"/>
  <c r="CX2023" i="3"/>
  <c r="CX2022" i="3"/>
  <c r="CW1999" i="3"/>
  <c r="DA1999" i="3" s="1"/>
  <c r="DB1999" i="3"/>
  <c r="CB1999" i="3" s="1"/>
  <c r="CW1998" i="3"/>
  <c r="DA1998" i="3" s="1"/>
  <c r="DB1998" i="3"/>
  <c r="CB1998" i="3" s="1"/>
  <c r="CW1997" i="3"/>
  <c r="DA1997" i="3" s="1"/>
  <c r="DB1997" i="3"/>
  <c r="CB1997" i="3" s="1"/>
  <c r="CW1996" i="3"/>
  <c r="DA1996" i="3" s="1"/>
  <c r="DB1996" i="3"/>
  <c r="CB1996" i="3" s="1"/>
  <c r="CW1995" i="3"/>
  <c r="DA1995" i="3" s="1"/>
  <c r="DB1995" i="3"/>
  <c r="CB1995" i="3" s="1"/>
  <c r="CW1994" i="3"/>
  <c r="DA1994" i="3" s="1"/>
  <c r="DB1994" i="3"/>
  <c r="CB1994" i="3" s="1"/>
  <c r="CW1993" i="3"/>
  <c r="DA1993" i="3" s="1"/>
  <c r="DB1993" i="3"/>
  <c r="CB1993" i="3" s="1"/>
  <c r="CW1992" i="3"/>
  <c r="DA1992" i="3" s="1"/>
  <c r="DB1992" i="3"/>
  <c r="CB1992" i="3" s="1"/>
  <c r="CW1991" i="3"/>
  <c r="DA1991" i="3" s="1"/>
  <c r="DB1991" i="3"/>
  <c r="CB1991" i="3" s="1"/>
  <c r="CW1990" i="3"/>
  <c r="DA1990" i="3" s="1"/>
  <c r="DB1990" i="3"/>
  <c r="CB1990" i="3" s="1"/>
  <c r="CW1989" i="3"/>
  <c r="DA1989" i="3" s="1"/>
  <c r="DB1989" i="3"/>
  <c r="CB1989" i="3" s="1"/>
  <c r="CW1988" i="3"/>
  <c r="DA1988" i="3" s="1"/>
  <c r="DB1988" i="3"/>
  <c r="CB1988" i="3" s="1"/>
  <c r="CW1987" i="3"/>
  <c r="DA1987" i="3" s="1"/>
  <c r="DB1987" i="3"/>
  <c r="CB1987" i="3" s="1"/>
  <c r="CW1986" i="3"/>
  <c r="DA1986" i="3" s="1"/>
  <c r="DB1986" i="3"/>
  <c r="CB1986" i="3" s="1"/>
  <c r="CW1985" i="3"/>
  <c r="DA1985" i="3" s="1"/>
  <c r="DB1985" i="3"/>
  <c r="CB1985" i="3" s="1"/>
  <c r="CW1984" i="3"/>
  <c r="DA1984" i="3" s="1"/>
  <c r="DB1984" i="3"/>
  <c r="CB1984" i="3" s="1"/>
  <c r="CW1983" i="3"/>
  <c r="DA1983" i="3" s="1"/>
  <c r="DB1983" i="3"/>
  <c r="CB1983" i="3" s="1"/>
  <c r="CW1982" i="3"/>
  <c r="DA1982" i="3" s="1"/>
  <c r="DB1982" i="3"/>
  <c r="CB1982" i="3" s="1"/>
  <c r="CW1727" i="3"/>
  <c r="CW1726" i="3"/>
  <c r="CW1725" i="3"/>
  <c r="DB1725" i="3"/>
  <c r="CB1725" i="3" s="1"/>
  <c r="CW1724" i="3"/>
  <c r="CW1723" i="3"/>
  <c r="CW1722" i="3"/>
  <c r="CW1721" i="3"/>
  <c r="CW1720" i="3"/>
  <c r="CW1719" i="3"/>
  <c r="CW1718" i="3"/>
  <c r="CW1717" i="3"/>
  <c r="DB1717" i="3"/>
  <c r="CB1717" i="3" s="1"/>
  <c r="CW1716" i="3"/>
  <c r="CW1715" i="3"/>
  <c r="CW1714" i="3"/>
  <c r="CW1713" i="3"/>
  <c r="CW1712" i="3"/>
  <c r="CW1711" i="3"/>
  <c r="CW1710" i="3"/>
  <c r="CW1709" i="3"/>
  <c r="CW1708" i="3"/>
  <c r="CX1727" i="3"/>
  <c r="CX1726" i="3"/>
  <c r="CX1725" i="3"/>
  <c r="CX1724" i="3"/>
  <c r="CX1723" i="3"/>
  <c r="CX1722" i="3"/>
  <c r="CX1721" i="3"/>
  <c r="DB1721" i="3"/>
  <c r="CB1721" i="3" s="1"/>
  <c r="CX1720" i="3"/>
  <c r="CX1719" i="3"/>
  <c r="CX1718" i="3"/>
  <c r="CX1717" i="3"/>
  <c r="CX1716" i="3"/>
  <c r="CX1715" i="3"/>
  <c r="CX1714" i="3"/>
  <c r="DB1714" i="3"/>
  <c r="CB1714" i="3" s="1"/>
  <c r="CX1713" i="3"/>
  <c r="DB1713" i="3"/>
  <c r="CB1713" i="3" s="1"/>
  <c r="CX1712" i="3"/>
  <c r="CX1711" i="3"/>
  <c r="CX1710" i="3"/>
  <c r="CX1709" i="3"/>
  <c r="CX1708" i="3"/>
  <c r="CW1957" i="3"/>
  <c r="CW1956" i="3"/>
  <c r="CW1955" i="3"/>
  <c r="CW1954" i="3"/>
  <c r="CW1953" i="3"/>
  <c r="DB1953" i="3"/>
  <c r="CB1953" i="3" s="1"/>
  <c r="CW1952" i="3"/>
  <c r="CW1951" i="3"/>
  <c r="CW1950" i="3"/>
  <c r="CW1949" i="3"/>
  <c r="CW1948" i="3"/>
  <c r="CW1947" i="3"/>
  <c r="DB1947" i="3"/>
  <c r="CB1947" i="3" s="1"/>
  <c r="CW1946" i="3"/>
  <c r="CW1945" i="3"/>
  <c r="CW1944" i="3"/>
  <c r="CW1943" i="3"/>
  <c r="CW1942" i="3"/>
  <c r="CW1941" i="3"/>
  <c r="CW1940" i="3"/>
  <c r="CW1939" i="3"/>
  <c r="DB1939" i="3"/>
  <c r="CB1939" i="3" s="1"/>
  <c r="CW1938" i="3"/>
  <c r="CW1937" i="3"/>
  <c r="CW1936" i="3"/>
  <c r="DB1936" i="3"/>
  <c r="CB1936" i="3" s="1"/>
  <c r="CW1935" i="3"/>
  <c r="CW1934" i="3"/>
  <c r="CW1933" i="3"/>
  <c r="CW1932" i="3"/>
  <c r="CW1931" i="3"/>
  <c r="CW1930" i="3"/>
  <c r="CW1929" i="3"/>
  <c r="CW1928" i="3"/>
  <c r="CW1927" i="3"/>
  <c r="CW1926" i="3"/>
  <c r="DB1926" i="3"/>
  <c r="CB1926" i="3" s="1"/>
  <c r="CW1925" i="3"/>
  <c r="DB1925" i="3"/>
  <c r="CB1925" i="3" s="1"/>
  <c r="CW1924" i="3"/>
  <c r="DA1924" i="3" s="1"/>
  <c r="CW1923" i="3"/>
  <c r="CW1922" i="3"/>
  <c r="CW1921" i="3"/>
  <c r="CW1920" i="3"/>
  <c r="CW1919" i="3"/>
  <c r="CW1918" i="3"/>
  <c r="CW1917" i="3"/>
  <c r="CW1916" i="3"/>
  <c r="DB1916" i="3"/>
  <c r="CB1916" i="3" s="1"/>
  <c r="CW1915" i="3"/>
  <c r="CW1914" i="3"/>
  <c r="DB1914" i="3"/>
  <c r="CB1914" i="3" s="1"/>
  <c r="CW1913" i="3"/>
  <c r="CW1912" i="3"/>
  <c r="CW1911" i="3"/>
  <c r="CW1910" i="3"/>
  <c r="CW1909" i="3"/>
  <c r="DB1909" i="3"/>
  <c r="CB1909" i="3" s="1"/>
  <c r="CW1908" i="3"/>
  <c r="DB1908" i="3"/>
  <c r="CB1908" i="3" s="1"/>
  <c r="CW1907" i="3"/>
  <c r="CW1906" i="3"/>
  <c r="CW1905" i="3"/>
  <c r="CW1904" i="3"/>
  <c r="CW1903" i="3"/>
  <c r="DB1903" i="3"/>
  <c r="CB1903" i="3" s="1"/>
  <c r="CW1902" i="3"/>
  <c r="DA1902" i="3" s="1"/>
  <c r="DB1902" i="3"/>
  <c r="CB1902" i="3" s="1"/>
  <c r="CW1901" i="3"/>
  <c r="DB1901" i="3"/>
  <c r="CB1901" i="3" s="1"/>
  <c r="CW1900" i="3"/>
  <c r="DB1900" i="3"/>
  <c r="CB1900" i="3" s="1"/>
  <c r="CW1899" i="3"/>
  <c r="CW1898" i="3"/>
  <c r="CW1897" i="3"/>
  <c r="CW1896" i="3"/>
  <c r="CW1895" i="3"/>
  <c r="CW1894" i="3"/>
  <c r="CW1893" i="3"/>
  <c r="DB1893" i="3"/>
  <c r="CB1893" i="3" s="1"/>
  <c r="CW1892" i="3"/>
  <c r="DB1892" i="3"/>
  <c r="CB1892" i="3" s="1"/>
  <c r="CW1891" i="3"/>
  <c r="DA1891" i="3" s="1"/>
  <c r="CW1890" i="3"/>
  <c r="DB1890" i="3"/>
  <c r="CB1890" i="3" s="1"/>
  <c r="CW1889" i="3"/>
  <c r="CW1888" i="3"/>
  <c r="CX1957" i="3"/>
  <c r="CX1956" i="3"/>
  <c r="CX1955" i="3"/>
  <c r="CX1954" i="3"/>
  <c r="CX1953" i="3"/>
  <c r="CX1952" i="3"/>
  <c r="CX1951" i="3"/>
  <c r="CX1950" i="3"/>
  <c r="CX1949" i="3"/>
  <c r="DB1949" i="3"/>
  <c r="CB1949" i="3" s="1"/>
  <c r="CX1948" i="3"/>
  <c r="CX1947" i="3"/>
  <c r="CX1946" i="3"/>
  <c r="DB1946" i="3"/>
  <c r="CB1946" i="3" s="1"/>
  <c r="CX1945" i="3"/>
  <c r="CX1944" i="3"/>
  <c r="CX1943" i="3"/>
  <c r="CX1942" i="3"/>
  <c r="CX1941" i="3"/>
  <c r="CX1940" i="3"/>
  <c r="CX1939" i="3"/>
  <c r="CX1938" i="3"/>
  <c r="CX1801" i="3"/>
  <c r="DB1801" i="3"/>
  <c r="CB1801" i="3" s="1"/>
  <c r="CW1801" i="3"/>
  <c r="CX1800" i="3"/>
  <c r="CW1800" i="3"/>
  <c r="CX1799" i="3"/>
  <c r="CW1799" i="3"/>
  <c r="CX1798" i="3"/>
  <c r="CW1798" i="3"/>
  <c r="CX1797" i="3"/>
  <c r="DB1797" i="3"/>
  <c r="CB1797" i="3" s="1"/>
  <c r="CW1797" i="3"/>
  <c r="CX1796" i="3"/>
  <c r="CW1796" i="3"/>
  <c r="CX1795" i="3"/>
  <c r="CW1795" i="3"/>
  <c r="CX1794" i="3"/>
  <c r="CW1794" i="3"/>
  <c r="DB1794" i="3"/>
  <c r="CB1794" i="3" s="1"/>
  <c r="CX1793" i="3"/>
  <c r="CW1793" i="3"/>
  <c r="DB1793" i="3"/>
  <c r="CB1793" i="3" s="1"/>
  <c r="CX1792" i="3"/>
  <c r="CW1792" i="3"/>
  <c r="DB1792" i="3"/>
  <c r="CB1792" i="3" s="1"/>
  <c r="CX1791" i="3"/>
  <c r="CW1791" i="3"/>
  <c r="CX1790" i="3"/>
  <c r="CW1790" i="3"/>
  <c r="CX1789" i="3"/>
  <c r="CW1789" i="3"/>
  <c r="CX1788" i="3"/>
  <c r="CW1788" i="3"/>
  <c r="DB1788" i="3"/>
  <c r="CB1788" i="3" s="1"/>
  <c r="CX1787" i="3"/>
  <c r="CW1787" i="3"/>
  <c r="CW1671" i="3"/>
  <c r="DB1671" i="3"/>
  <c r="CB1671" i="3" s="1"/>
  <c r="CW1520" i="3"/>
  <c r="CW1541" i="3"/>
  <c r="DB1541" i="3"/>
  <c r="CB1541" i="3" s="1"/>
  <c r="CW1540" i="3"/>
  <c r="CW1539" i="3"/>
  <c r="CW1538" i="3"/>
  <c r="CW1537" i="3"/>
  <c r="CW1536" i="3"/>
  <c r="CW1535" i="3"/>
  <c r="CW1534" i="3"/>
  <c r="CW1533" i="3"/>
  <c r="DB1533" i="3"/>
  <c r="CB1533" i="3" s="1"/>
  <c r="CW1532" i="3"/>
  <c r="CW1531" i="3"/>
  <c r="CW1530" i="3"/>
  <c r="CW1529" i="3"/>
  <c r="CW1528" i="3"/>
  <c r="CW1527" i="3"/>
  <c r="CW1526" i="3"/>
  <c r="CW1525" i="3"/>
  <c r="CW1524" i="3"/>
  <c r="CW1523" i="3"/>
  <c r="CW1522" i="3"/>
  <c r="CW1521" i="3"/>
  <c r="CX1540" i="3"/>
  <c r="CX1539" i="3"/>
  <c r="CX1538" i="3"/>
  <c r="CX1537" i="3"/>
  <c r="CX1536" i="3"/>
  <c r="CX1535" i="3"/>
  <c r="CX1534" i="3"/>
  <c r="CX1533" i="3"/>
  <c r="CX1532" i="3"/>
  <c r="CX1531" i="3"/>
  <c r="CX1530" i="3"/>
  <c r="DB1530" i="3"/>
  <c r="CB1530" i="3" s="1"/>
  <c r="CX1529" i="3"/>
  <c r="CX1528" i="3"/>
  <c r="CX1527" i="3"/>
  <c r="CX1526" i="3"/>
  <c r="CX1525" i="3"/>
  <c r="CX1524" i="3"/>
  <c r="DB1524" i="3"/>
  <c r="CB1524" i="3" s="1"/>
  <c r="CX1523" i="3"/>
  <c r="CX1522" i="3"/>
  <c r="CX1521" i="3"/>
  <c r="CW1666" i="3"/>
  <c r="CW1665" i="3"/>
  <c r="CW1664" i="3"/>
  <c r="CW1663" i="3"/>
  <c r="CW1662" i="3"/>
  <c r="CW1661" i="3"/>
  <c r="CW1660" i="3"/>
  <c r="CW1659" i="3"/>
  <c r="CW1658" i="3"/>
  <c r="CW1657" i="3"/>
  <c r="CW1656" i="3"/>
  <c r="CW1655" i="3"/>
  <c r="CW1654" i="3"/>
  <c r="CW1653" i="3"/>
  <c r="CW1652" i="3"/>
  <c r="CW1651" i="3"/>
  <c r="CW1650" i="3"/>
  <c r="CW1649" i="3"/>
  <c r="CW1648" i="3"/>
  <c r="CW1647" i="3"/>
  <c r="CW1646" i="3"/>
  <c r="DB1646" i="3"/>
  <c r="CB1646" i="3" s="1"/>
  <c r="CW1645" i="3"/>
  <c r="DA1645" i="3" s="1"/>
  <c r="CW1644" i="3"/>
  <c r="CW1643" i="3"/>
  <c r="CW1642" i="3"/>
  <c r="CW1641" i="3"/>
  <c r="CW1640" i="3"/>
  <c r="CW1639" i="3"/>
  <c r="CW1638" i="3"/>
  <c r="CW1637" i="3"/>
  <c r="CW1636" i="3"/>
  <c r="CW1635" i="3"/>
  <c r="CW1634" i="3"/>
  <c r="CW1633" i="3"/>
  <c r="CW1632" i="3"/>
  <c r="DB1632" i="3"/>
  <c r="CB1632" i="3" s="1"/>
  <c r="CW1631" i="3"/>
  <c r="CW1630" i="3"/>
  <c r="CW1629" i="3"/>
  <c r="CW1628" i="3"/>
  <c r="CW1627" i="3"/>
  <c r="CW1626" i="3"/>
  <c r="CW1625" i="3"/>
  <c r="CW1624" i="3"/>
  <c r="CW1623" i="3"/>
  <c r="CW1622" i="3"/>
  <c r="DA1622" i="3" s="1"/>
  <c r="DB1622" i="3"/>
  <c r="CB1622" i="3" s="1"/>
  <c r="CW1621" i="3"/>
  <c r="DA1621" i="3" s="1"/>
  <c r="CW1620" i="3"/>
  <c r="CW1619" i="3"/>
  <c r="CW1618" i="3"/>
  <c r="DA1618" i="3" s="1"/>
  <c r="CW1617" i="3"/>
  <c r="DA1617" i="3" s="1"/>
  <c r="CW1616" i="3"/>
  <c r="DB1616" i="3"/>
  <c r="CB1616" i="3" s="1"/>
  <c r="CW1615" i="3"/>
  <c r="DB1615" i="3"/>
  <c r="CB1615" i="3" s="1"/>
  <c r="CW1614" i="3"/>
  <c r="DB1614" i="3"/>
  <c r="CB1614" i="3" s="1"/>
  <c r="CW1613" i="3"/>
  <c r="DB1613" i="3"/>
  <c r="CB1613" i="3" s="1"/>
  <c r="CW1612" i="3"/>
  <c r="CW1611" i="3"/>
  <c r="CW1610" i="3"/>
  <c r="CW1609" i="3"/>
  <c r="CW1608" i="3"/>
  <c r="CW1607" i="3"/>
  <c r="CW1606" i="3"/>
  <c r="CW1605" i="3"/>
  <c r="CW1604" i="3"/>
  <c r="CW1603" i="3"/>
  <c r="CW1602" i="3"/>
  <c r="CW1601" i="3"/>
  <c r="CW1600" i="3"/>
  <c r="CW1599" i="3"/>
  <c r="CW1598" i="3"/>
  <c r="CW1597" i="3"/>
  <c r="CW1596" i="3"/>
  <c r="CW1595" i="3"/>
  <c r="CW1594" i="3"/>
  <c r="CW1593" i="3"/>
  <c r="CW1592" i="3"/>
  <c r="CW1591" i="3"/>
  <c r="CW1590" i="3"/>
  <c r="CW1589" i="3"/>
  <c r="CW1588" i="3"/>
  <c r="DA1588" i="3" s="1"/>
  <c r="CW1587" i="3"/>
  <c r="DA1587" i="3" s="1"/>
  <c r="CW1586" i="3"/>
  <c r="DA1586" i="3" s="1"/>
  <c r="CW1585" i="3"/>
  <c r="DB1585" i="3"/>
  <c r="CB1585" i="3" s="1"/>
  <c r="CW1584" i="3"/>
  <c r="DB1584" i="3"/>
  <c r="CB1584" i="3" s="1"/>
  <c r="CW1583" i="3"/>
  <c r="DB1583" i="3"/>
  <c r="CB1583" i="3" s="1"/>
  <c r="CW1582" i="3"/>
  <c r="DB1582" i="3"/>
  <c r="CB1582" i="3" s="1"/>
  <c r="CW1581" i="3"/>
  <c r="DB1581" i="3"/>
  <c r="CB1581" i="3" s="1"/>
  <c r="CW1580" i="3"/>
  <c r="CW1579" i="3"/>
  <c r="CW1578" i="3"/>
  <c r="DB1578" i="3"/>
  <c r="CB1578" i="3" s="1"/>
  <c r="CW1577" i="3"/>
  <c r="DA1577" i="3" s="1"/>
  <c r="CW1576" i="3"/>
  <c r="DB1576" i="3"/>
  <c r="CB1576" i="3" s="1"/>
  <c r="CW1575" i="3"/>
  <c r="CW1574" i="3"/>
  <c r="DB1574" i="3"/>
  <c r="CB1574" i="3" s="1"/>
  <c r="CW1573" i="3"/>
  <c r="DA1573" i="3" s="1"/>
  <c r="CW1572" i="3"/>
  <c r="DB1572" i="3"/>
  <c r="CB1572" i="3" s="1"/>
  <c r="CW1571" i="3"/>
  <c r="CW1570" i="3"/>
  <c r="CW1569" i="3"/>
  <c r="DA1569" i="3" s="1"/>
  <c r="CW1568" i="3"/>
  <c r="DB1568" i="3"/>
  <c r="CB1568" i="3" s="1"/>
  <c r="CW1567" i="3"/>
  <c r="DB1567" i="3"/>
  <c r="CB1567" i="3" s="1"/>
  <c r="CW1566" i="3"/>
  <c r="CW1565" i="3"/>
  <c r="CW1564" i="3"/>
  <c r="CW1563" i="3"/>
  <c r="CW1562" i="3"/>
  <c r="CW1561" i="3"/>
  <c r="CW1560" i="3"/>
  <c r="CW1559" i="3"/>
  <c r="CW1558" i="3"/>
  <c r="CW1557" i="3"/>
  <c r="CW1556" i="3"/>
  <c r="CW1555" i="3"/>
  <c r="CW1554" i="3"/>
  <c r="CW1553" i="3"/>
  <c r="CW1552" i="3"/>
  <c r="CW1551" i="3"/>
  <c r="DB1551" i="3"/>
  <c r="CB1551" i="3" s="1"/>
  <c r="CW1550" i="3"/>
  <c r="CW1549" i="3"/>
  <c r="CW1548" i="3"/>
  <c r="CW1547" i="3"/>
  <c r="CW1546" i="3"/>
  <c r="CW1545" i="3"/>
  <c r="CW1544" i="3"/>
  <c r="CW1543" i="3"/>
  <c r="DB1543" i="3"/>
  <c r="CB1543" i="3" s="1"/>
  <c r="CW1542" i="3"/>
  <c r="B1442" i="3"/>
  <c r="CW1387" i="3"/>
  <c r="CW1385" i="3"/>
  <c r="DA1385" i="3" s="1"/>
  <c r="DB1385" i="3"/>
  <c r="CB1385" i="3" s="1"/>
  <c r="B1385" i="3"/>
  <c r="CX1347" i="3"/>
  <c r="CX1348" i="3"/>
  <c r="CX1333" i="3"/>
  <c r="CW1194" i="3"/>
  <c r="CW1045" i="3"/>
  <c r="CW1044" i="3"/>
  <c r="CW1043" i="3"/>
  <c r="CW1042" i="3"/>
  <c r="CW1041" i="3"/>
  <c r="CW1040" i="3"/>
  <c r="CW1039" i="3"/>
  <c r="CW1038" i="3"/>
  <c r="CW1037" i="3"/>
  <c r="CW1036" i="3"/>
  <c r="CW1035" i="3"/>
  <c r="CW1034" i="3"/>
  <c r="CW1033" i="3"/>
  <c r="CW1032" i="3"/>
  <c r="CW1031" i="3"/>
  <c r="DB1031" i="3"/>
  <c r="CB1031" i="3" s="1"/>
  <c r="CW1030" i="3"/>
  <c r="DB1030" i="3"/>
  <c r="CB1030" i="3" s="1"/>
  <c r="CW1029" i="3"/>
  <c r="CW1028" i="3"/>
  <c r="CW1027" i="3"/>
  <c r="CW1026" i="3"/>
  <c r="CW1214" i="3"/>
  <c r="DB1214" i="3"/>
  <c r="CB1214" i="3" s="1"/>
  <c r="CW1213" i="3"/>
  <c r="CW1212" i="3"/>
  <c r="CW1211" i="3"/>
  <c r="CW1210" i="3"/>
  <c r="CW1209" i="3"/>
  <c r="CW1208" i="3"/>
  <c r="CW1207" i="3"/>
  <c r="DB1207" i="3"/>
  <c r="CB1207" i="3" s="1"/>
  <c r="CW1206" i="3"/>
  <c r="DB1206" i="3"/>
  <c r="CB1206" i="3" s="1"/>
  <c r="CW1205" i="3"/>
  <c r="DB1205" i="3"/>
  <c r="CB1205" i="3" s="1"/>
  <c r="CW1204" i="3"/>
  <c r="CW1203" i="3"/>
  <c r="CW1202" i="3"/>
  <c r="CW1201" i="3"/>
  <c r="DB1201" i="3"/>
  <c r="CB1201" i="3" s="1"/>
  <c r="CW1200" i="3"/>
  <c r="DB1200" i="3"/>
  <c r="CB1200" i="3" s="1"/>
  <c r="CW1199" i="3"/>
  <c r="CW1198" i="3"/>
  <c r="CW1197" i="3"/>
  <c r="CW1196" i="3"/>
  <c r="CW1195" i="3"/>
  <c r="CX1214" i="3"/>
  <c r="CX1213" i="3"/>
  <c r="CX1212" i="3"/>
  <c r="CX1211" i="3"/>
  <c r="CX1210" i="3"/>
  <c r="CX1209" i="3"/>
  <c r="CX1208" i="3"/>
  <c r="CX1207" i="3"/>
  <c r="CX1206" i="3"/>
  <c r="CX1205" i="3"/>
  <c r="CX1204" i="3"/>
  <c r="CX1203" i="3"/>
  <c r="CX1202" i="3"/>
  <c r="DB1202" i="3"/>
  <c r="CB1202" i="3" s="1"/>
  <c r="CX1201" i="3"/>
  <c r="CX1200" i="3"/>
  <c r="CX1199" i="3"/>
  <c r="CX1198" i="3"/>
  <c r="CX1197" i="3"/>
  <c r="CX1196" i="3"/>
  <c r="CX1195" i="3"/>
  <c r="CX1045" i="3"/>
  <c r="CX1044" i="3"/>
  <c r="CX1043" i="3"/>
  <c r="CX1042" i="3"/>
  <c r="CX1041" i="3"/>
  <c r="CX1040" i="3"/>
  <c r="CX1039" i="3"/>
  <c r="CX1038" i="3"/>
  <c r="CX1037" i="3"/>
  <c r="DB1037" i="3"/>
  <c r="CB1037" i="3" s="1"/>
  <c r="CX1036" i="3"/>
  <c r="CX1035" i="3"/>
  <c r="CX1034" i="3"/>
  <c r="CX1033" i="3"/>
  <c r="DB1033" i="3"/>
  <c r="CB1033" i="3" s="1"/>
  <c r="CX1032" i="3"/>
  <c r="CX1031" i="3"/>
  <c r="CX1030" i="3"/>
  <c r="CX1029" i="3"/>
  <c r="CX1028" i="3"/>
  <c r="CX1027" i="3"/>
  <c r="CX1026" i="3"/>
  <c r="CX1021" i="3"/>
  <c r="DB1021" i="3"/>
  <c r="CB1021" i="3" s="1"/>
  <c r="CX1105" i="3"/>
  <c r="CX1120" i="3"/>
  <c r="CX1135" i="3"/>
  <c r="CX978" i="3"/>
  <c r="B978" i="3"/>
  <c r="CX1001" i="3"/>
  <c r="CX1008" i="3"/>
  <c r="B1008" i="3"/>
  <c r="B1100" i="3"/>
  <c r="B1107" i="3"/>
  <c r="B1122" i="3"/>
  <c r="B1137" i="3"/>
  <c r="CW1025" i="3"/>
  <c r="DB1025" i="3"/>
  <c r="CB1025" i="3" s="1"/>
  <c r="CX1020" i="3"/>
  <c r="CX1019" i="3"/>
  <c r="CX1010" i="3"/>
  <c r="CX1009" i="3"/>
  <c r="CX1005" i="3"/>
  <c r="CX1004" i="3"/>
  <c r="CX1003" i="3"/>
  <c r="CX1002" i="3"/>
  <c r="CW1020" i="3"/>
  <c r="CW1019" i="3"/>
  <c r="DB1019" i="3"/>
  <c r="CB1019" i="3" s="1"/>
  <c r="CW1010" i="3"/>
  <c r="DB1010" i="3"/>
  <c r="CB1010" i="3" s="1"/>
  <c r="CW1009" i="3"/>
  <c r="CW1008" i="3"/>
  <c r="CW1007" i="3"/>
  <c r="CW1006" i="3"/>
  <c r="CW1005" i="3"/>
  <c r="CW1004" i="3"/>
  <c r="CW1003" i="3"/>
  <c r="CW1002" i="3"/>
  <c r="CW1001" i="3"/>
  <c r="CW1000" i="3"/>
  <c r="CW999" i="3"/>
  <c r="CW998" i="3"/>
  <c r="CW997" i="3"/>
  <c r="CW996" i="3"/>
  <c r="CW995" i="3"/>
  <c r="CW994" i="3"/>
  <c r="CW993" i="3"/>
  <c r="CW992" i="3"/>
  <c r="CW991" i="3"/>
  <c r="CW990" i="3"/>
  <c r="CW989" i="3"/>
  <c r="CW988" i="3"/>
  <c r="CW987" i="3"/>
  <c r="CW986" i="3"/>
  <c r="CW985" i="3"/>
  <c r="CW984" i="3"/>
  <c r="CW983" i="3"/>
  <c r="CW982" i="3"/>
  <c r="CW981" i="3"/>
  <c r="CW980" i="3"/>
  <c r="CW979" i="3"/>
  <c r="CW978" i="3"/>
  <c r="CW977" i="3"/>
  <c r="CW976" i="3"/>
  <c r="CW975" i="3"/>
  <c r="CW974" i="3"/>
  <c r="CW973" i="3"/>
  <c r="CW972" i="3"/>
  <c r="CW970" i="3"/>
  <c r="CW969" i="3"/>
  <c r="CW968" i="3"/>
  <c r="CW967" i="3"/>
  <c r="CW966" i="3"/>
  <c r="CW964" i="3"/>
  <c r="CW963" i="3"/>
  <c r="CW962" i="3"/>
  <c r="CW961" i="3"/>
  <c r="CW960" i="3"/>
  <c r="CW959" i="3"/>
  <c r="CW958" i="3"/>
  <c r="CW957" i="3"/>
  <c r="CW956" i="3"/>
  <c r="CW955" i="3"/>
  <c r="CW954" i="3"/>
  <c r="CW953" i="3"/>
  <c r="CW952" i="3"/>
  <c r="CW951" i="3"/>
  <c r="CW950" i="3"/>
  <c r="CW949" i="3"/>
  <c r="CW948" i="3"/>
  <c r="CW947" i="3"/>
  <c r="DB947" i="3"/>
  <c r="CB947" i="3" s="1"/>
  <c r="CW946" i="3"/>
  <c r="CW944" i="3"/>
  <c r="CW943" i="3"/>
  <c r="CW942" i="3"/>
  <c r="CW941" i="3"/>
  <c r="CW940" i="3"/>
  <c r="CW938" i="3"/>
  <c r="DB938" i="3"/>
  <c r="CB938" i="3" s="1"/>
  <c r="CW937" i="3"/>
  <c r="DB937" i="3"/>
  <c r="CB937" i="3" s="1"/>
  <c r="CW936" i="3"/>
  <c r="CW935" i="3"/>
  <c r="CW934" i="3"/>
  <c r="DB934" i="3"/>
  <c r="CB934" i="3" s="1"/>
  <c r="CW933" i="3"/>
  <c r="DA933" i="3" s="1"/>
  <c r="DB933" i="3"/>
  <c r="CB933" i="3" s="1"/>
  <c r="CW932" i="3"/>
  <c r="DB932" i="3"/>
  <c r="CB932" i="3" s="1"/>
  <c r="CW931" i="3"/>
  <c r="DB931" i="3"/>
  <c r="CB931" i="3" s="1"/>
  <c r="CW930" i="3"/>
  <c r="DB930" i="3"/>
  <c r="CB930" i="3" s="1"/>
  <c r="CW929" i="3"/>
  <c r="CW928" i="3"/>
  <c r="CW927" i="3"/>
  <c r="CW926" i="3"/>
  <c r="DB926" i="3"/>
  <c r="CB926" i="3" s="1"/>
  <c r="CW925" i="3"/>
  <c r="CW924" i="3"/>
  <c r="CW923" i="3"/>
  <c r="CW922" i="3"/>
  <c r="DB922" i="3"/>
  <c r="CB922" i="3" s="1"/>
  <c r="CW921" i="3"/>
  <c r="CW920" i="3"/>
  <c r="CW919" i="3"/>
  <c r="CW918" i="3"/>
  <c r="CW917" i="3"/>
  <c r="CW916" i="3"/>
  <c r="CW915" i="3"/>
  <c r="CW914" i="3"/>
  <c r="CW913" i="3"/>
  <c r="CW912" i="3"/>
  <c r="CW911" i="3"/>
  <c r="CW910" i="3"/>
  <c r="CW909" i="3"/>
  <c r="CW908" i="3"/>
  <c r="CW907" i="3"/>
  <c r="CW906" i="3"/>
  <c r="CW905" i="3"/>
  <c r="CW904" i="3"/>
  <c r="CW903" i="3"/>
  <c r="CW902" i="3"/>
  <c r="B923" i="3"/>
  <c r="CX922" i="3"/>
  <c r="CX921" i="3"/>
  <c r="CX906" i="3"/>
  <c r="DA906" i="3" s="1"/>
  <c r="CX920" i="3"/>
  <c r="CX919" i="3"/>
  <c r="DB919" i="3"/>
  <c r="CB919" i="3" s="1"/>
  <c r="CX918" i="3"/>
  <c r="DA918" i="3" s="1"/>
  <c r="CX917" i="3"/>
  <c r="CX916" i="3"/>
  <c r="CX915" i="3"/>
  <c r="CX914" i="3"/>
  <c r="DB914" i="3"/>
  <c r="CB914" i="3" s="1"/>
  <c r="CX913" i="3"/>
  <c r="CX912" i="3"/>
  <c r="CX911" i="3"/>
  <c r="CX910" i="3"/>
  <c r="CX909" i="3"/>
  <c r="CX908" i="3"/>
  <c r="CX907" i="3"/>
  <c r="CX905" i="3"/>
  <c r="DB905" i="3"/>
  <c r="CB905" i="3" s="1"/>
  <c r="CX904" i="3"/>
  <c r="CX903" i="3"/>
  <c r="CX902" i="3"/>
  <c r="CX1690" i="3"/>
  <c r="DA1690" i="3" s="1"/>
  <c r="DB1690" i="3"/>
  <c r="CB1690" i="3" s="1"/>
  <c r="CX1689" i="3"/>
  <c r="CX1688" i="3"/>
  <c r="DB1688" i="3"/>
  <c r="CB1688" i="3" s="1"/>
  <c r="CX1687" i="3"/>
  <c r="DB1687" i="3"/>
  <c r="CB1687" i="3" s="1"/>
  <c r="CX1686" i="3"/>
  <c r="CX1685" i="3"/>
  <c r="CX1684" i="3"/>
  <c r="CX1683" i="3"/>
  <c r="DB1683" i="3"/>
  <c r="CB1683" i="3" s="1"/>
  <c r="CX1682" i="3"/>
  <c r="CX1681" i="3"/>
  <c r="CX1680" i="3"/>
  <c r="DB1680" i="3"/>
  <c r="CB1680" i="3" s="1"/>
  <c r="CX1679" i="3"/>
  <c r="DA1679" i="3" s="1"/>
  <c r="CX1678" i="3"/>
  <c r="CX1677" i="3"/>
  <c r="CX1676" i="3"/>
  <c r="CX1675" i="3"/>
  <c r="DA1675" i="3" s="1"/>
  <c r="CX1674" i="3"/>
  <c r="DB1674" i="3"/>
  <c r="CB1674" i="3" s="1"/>
  <c r="CX1663" i="3"/>
  <c r="DB1663" i="3"/>
  <c r="CB1663" i="3" s="1"/>
  <c r="CX1662" i="3"/>
  <c r="CX1661" i="3"/>
  <c r="CX1660" i="3"/>
  <c r="CX1659" i="3"/>
  <c r="CX1658" i="3"/>
  <c r="CX1657" i="3"/>
  <c r="CX1656" i="3"/>
  <c r="CX1655" i="3"/>
  <c r="DB1655" i="3"/>
  <c r="CB1655" i="3" s="1"/>
  <c r="CX1654" i="3"/>
  <c r="CX1653" i="3"/>
  <c r="CX1652" i="3"/>
  <c r="CX1651" i="3"/>
  <c r="CX1650" i="3"/>
  <c r="CX1649" i="3"/>
  <c r="CX1648" i="3"/>
  <c r="CW1499" i="3"/>
  <c r="DA1499" i="3" s="1"/>
  <c r="DB1499" i="3"/>
  <c r="CB1499" i="3" s="1"/>
  <c r="CW1498" i="3"/>
  <c r="DA1498" i="3" s="1"/>
  <c r="DB1498" i="3"/>
  <c r="CB1498" i="3" s="1"/>
  <c r="CW1497" i="3"/>
  <c r="DA1497" i="3" s="1"/>
  <c r="DB1497" i="3"/>
  <c r="CB1497" i="3" s="1"/>
  <c r="CW1496" i="3"/>
  <c r="DA1496" i="3" s="1"/>
  <c r="DB1496" i="3"/>
  <c r="CB1496" i="3" s="1"/>
  <c r="CW1495" i="3"/>
  <c r="DA1495" i="3" s="1"/>
  <c r="DB1495" i="3"/>
  <c r="CB1495" i="3" s="1"/>
  <c r="CW1494" i="3"/>
  <c r="DA1494" i="3" s="1"/>
  <c r="DB1494" i="3"/>
  <c r="CB1494" i="3" s="1"/>
  <c r="CW1493" i="3"/>
  <c r="DA1493" i="3" s="1"/>
  <c r="DB1493" i="3"/>
  <c r="CB1493" i="3" s="1"/>
  <c r="CW1492" i="3"/>
  <c r="DA1492" i="3" s="1"/>
  <c r="DB1492" i="3"/>
  <c r="CB1492" i="3" s="1"/>
  <c r="CW1491" i="3"/>
  <c r="DA1491" i="3" s="1"/>
  <c r="DB1491" i="3"/>
  <c r="CB1491" i="3" s="1"/>
  <c r="CW1490" i="3"/>
  <c r="DA1490" i="3" s="1"/>
  <c r="DB1490" i="3"/>
  <c r="CB1490" i="3" s="1"/>
  <c r="CW1489" i="3"/>
  <c r="DA1489" i="3" s="1"/>
  <c r="DB1489" i="3"/>
  <c r="CB1489" i="3" s="1"/>
  <c r="CW1488" i="3"/>
  <c r="DA1488" i="3" s="1"/>
  <c r="DB1488" i="3"/>
  <c r="CB1488" i="3" s="1"/>
  <c r="CW1487" i="3"/>
  <c r="DA1487" i="3" s="1"/>
  <c r="DB1487" i="3"/>
  <c r="CB1487" i="3" s="1"/>
  <c r="CW1486" i="3"/>
  <c r="DA1486" i="3" s="1"/>
  <c r="DB1486" i="3"/>
  <c r="CB1486" i="3" s="1"/>
  <c r="CW1485" i="3"/>
  <c r="DA1485" i="3" s="1"/>
  <c r="DB1485" i="3"/>
  <c r="CB1485" i="3" s="1"/>
  <c r="CW1484" i="3"/>
  <c r="DA1484" i="3" s="1"/>
  <c r="DB1484" i="3"/>
  <c r="CB1484" i="3" s="1"/>
  <c r="CW1483" i="3"/>
  <c r="DA1483" i="3" s="1"/>
  <c r="DB1483" i="3"/>
  <c r="CB1483" i="3" s="1"/>
  <c r="CW1461" i="3"/>
  <c r="DA1461" i="3" s="1"/>
  <c r="DB1461" i="3"/>
  <c r="CB1461" i="3" s="1"/>
  <c r="CW1460" i="3"/>
  <c r="DA1460" i="3" s="1"/>
  <c r="DB1460" i="3"/>
  <c r="CB1460" i="3" s="1"/>
  <c r="CW1459" i="3"/>
  <c r="DA1459" i="3" s="1"/>
  <c r="DB1459" i="3"/>
  <c r="CB1459" i="3" s="1"/>
  <c r="CW1458" i="3"/>
  <c r="DA1458" i="3" s="1"/>
  <c r="DB1458" i="3"/>
  <c r="CB1458" i="3" s="1"/>
  <c r="CW1457" i="3"/>
  <c r="DA1457" i="3" s="1"/>
  <c r="DB1457" i="3"/>
  <c r="CB1457" i="3" s="1"/>
  <c r="CW1456" i="3"/>
  <c r="DA1456" i="3" s="1"/>
  <c r="DB1456" i="3"/>
  <c r="CB1456" i="3" s="1"/>
  <c r="CW1455" i="3"/>
  <c r="DA1455" i="3" s="1"/>
  <c r="DB1455" i="3"/>
  <c r="CB1455" i="3" s="1"/>
  <c r="CW1454" i="3"/>
  <c r="DA1454" i="3" s="1"/>
  <c r="DB1454" i="3"/>
  <c r="CB1454" i="3" s="1"/>
  <c r="CW1453" i="3"/>
  <c r="DA1453" i="3" s="1"/>
  <c r="DB1453" i="3"/>
  <c r="CB1453" i="3" s="1"/>
  <c r="CW1452" i="3"/>
  <c r="DA1452" i="3" s="1"/>
  <c r="DB1452" i="3"/>
  <c r="CB1452" i="3" s="1"/>
  <c r="CW1451" i="3"/>
  <c r="DA1451" i="3" s="1"/>
  <c r="DB1451" i="3"/>
  <c r="CB1451" i="3" s="1"/>
  <c r="CW1450" i="3"/>
  <c r="DA1450" i="3" s="1"/>
  <c r="DB1450" i="3"/>
  <c r="CB1450" i="3" s="1"/>
  <c r="CW1449" i="3"/>
  <c r="DA1449" i="3" s="1"/>
  <c r="DB1449" i="3"/>
  <c r="CB1449" i="3" s="1"/>
  <c r="CW1448" i="3"/>
  <c r="DA1448" i="3" s="1"/>
  <c r="DB1448" i="3"/>
  <c r="CB1448" i="3" s="1"/>
  <c r="CW1447" i="3"/>
  <c r="DA1447" i="3" s="1"/>
  <c r="DB1447" i="3"/>
  <c r="CB1447" i="3" s="1"/>
  <c r="CW1446" i="3"/>
  <c r="DA1446" i="3" s="1"/>
  <c r="DB1446" i="3"/>
  <c r="CB1446" i="3" s="1"/>
  <c r="CW1445" i="3"/>
  <c r="DA1445" i="3" s="1"/>
  <c r="DB1445" i="3"/>
  <c r="CB1445" i="3" s="1"/>
  <c r="CX1435" i="3"/>
  <c r="DB1435" i="3"/>
  <c r="CB1435" i="3" s="1"/>
  <c r="CW1435" i="3"/>
  <c r="CX1434" i="3"/>
  <c r="CW1434" i="3"/>
  <c r="DB1434" i="3"/>
  <c r="CB1434" i="3" s="1"/>
  <c r="CX1433" i="3"/>
  <c r="CW1433" i="3"/>
  <c r="CX1432" i="3"/>
  <c r="CW1432" i="3"/>
  <c r="CX1431" i="3"/>
  <c r="CW1431" i="3"/>
  <c r="CX1430" i="3"/>
  <c r="CW1430" i="3"/>
  <c r="CX1429" i="3"/>
  <c r="CW1429" i="3"/>
  <c r="CX1428" i="3"/>
  <c r="CW1428" i="3"/>
  <c r="CX1427" i="3"/>
  <c r="CW1427" i="3"/>
  <c r="CX1426" i="3"/>
  <c r="CW1426" i="3"/>
  <c r="CX1425" i="3"/>
  <c r="CW1425" i="3"/>
  <c r="CX1424" i="3"/>
  <c r="CW1424" i="3"/>
  <c r="CX1423" i="3"/>
  <c r="CW1423" i="3"/>
  <c r="CX1422" i="3"/>
  <c r="DB1422" i="3"/>
  <c r="CB1422" i="3" s="1"/>
  <c r="CW1422" i="3"/>
  <c r="CX1421" i="3"/>
  <c r="CW1421" i="3"/>
  <c r="CX1420" i="3"/>
  <c r="CW1420" i="3"/>
  <c r="CX1419" i="3"/>
  <c r="CW1419" i="3"/>
  <c r="CX1378" i="3"/>
  <c r="CW1378" i="3"/>
  <c r="CX1377" i="3"/>
  <c r="CW1377" i="3"/>
  <c r="CX1376" i="3"/>
  <c r="CW1376" i="3"/>
  <c r="CX1375" i="3"/>
  <c r="CW1375" i="3"/>
  <c r="CX1374" i="3"/>
  <c r="CW1374" i="3"/>
  <c r="CX1373" i="3"/>
  <c r="CW1373" i="3"/>
  <c r="CX1372" i="3"/>
  <c r="CW1372" i="3"/>
  <c r="CX1371" i="3"/>
  <c r="CW1371" i="3"/>
  <c r="DB1371" i="3"/>
  <c r="CB1371" i="3" s="1"/>
  <c r="CX1370" i="3"/>
  <c r="DB1370" i="3"/>
  <c r="CB1370" i="3" s="1"/>
  <c r="CW1370" i="3"/>
  <c r="CX1369" i="3"/>
  <c r="CW1369" i="3"/>
  <c r="CX1368" i="3"/>
  <c r="CW1368" i="3"/>
  <c r="DB1368" i="3"/>
  <c r="CB1368" i="3" s="1"/>
  <c r="CX1367" i="3"/>
  <c r="CW1367" i="3"/>
  <c r="CX1366" i="3"/>
  <c r="CW1366" i="3"/>
  <c r="DB1366" i="3"/>
  <c r="CB1366" i="3" s="1"/>
  <c r="CX1365" i="3"/>
  <c r="CW1365" i="3"/>
  <c r="CX1364" i="3"/>
  <c r="CW1364" i="3"/>
  <c r="CX1363" i="3"/>
  <c r="CW1363" i="3"/>
  <c r="CX1362" i="3"/>
  <c r="CW1362" i="3"/>
  <c r="CY1327" i="3"/>
  <c r="CX1327" i="3"/>
  <c r="CW1327" i="3"/>
  <c r="DB1327" i="3"/>
  <c r="CB1327" i="3" s="1"/>
  <c r="CY1326" i="3"/>
  <c r="CX1326" i="3"/>
  <c r="CW1326" i="3"/>
  <c r="CY1325" i="3"/>
  <c r="CX1325" i="3"/>
  <c r="CW1325" i="3"/>
  <c r="CY1324" i="3"/>
  <c r="CX1324" i="3"/>
  <c r="DB1324" i="3"/>
  <c r="CB1324" i="3" s="1"/>
  <c r="CW1324" i="3"/>
  <c r="CY1323" i="3"/>
  <c r="CX1323" i="3"/>
  <c r="CW1323" i="3"/>
  <c r="DB1323" i="3"/>
  <c r="CB1323" i="3" s="1"/>
  <c r="CY1322" i="3"/>
  <c r="CX1322" i="3"/>
  <c r="CW1322" i="3"/>
  <c r="CY1321" i="3"/>
  <c r="CX1321" i="3"/>
  <c r="CW1321" i="3"/>
  <c r="CY1316" i="3"/>
  <c r="CX1316" i="3"/>
  <c r="CW1316" i="3"/>
  <c r="CY1315" i="3"/>
  <c r="CX1315" i="3"/>
  <c r="CW1315" i="3"/>
  <c r="CY1314" i="3"/>
  <c r="CX1314" i="3"/>
  <c r="CW1314" i="3"/>
  <c r="CY1313" i="3"/>
  <c r="CX1313" i="3"/>
  <c r="CW1313" i="3"/>
  <c r="CY1312" i="3"/>
  <c r="CX1312" i="3"/>
  <c r="CW1312" i="3"/>
  <c r="CY1311" i="3"/>
  <c r="CX1311" i="3"/>
  <c r="CW1311" i="3"/>
  <c r="CY1310" i="3"/>
  <c r="CX1310" i="3"/>
  <c r="CW1310" i="3"/>
  <c r="CY1305" i="3"/>
  <c r="CX1305" i="3"/>
  <c r="CW1305" i="3"/>
  <c r="CY1304" i="3"/>
  <c r="CX1304" i="3"/>
  <c r="CW1304" i="3"/>
  <c r="CY1303" i="3"/>
  <c r="DB1303" i="3"/>
  <c r="CB1303" i="3" s="1"/>
  <c r="CX1303" i="3"/>
  <c r="CW1303" i="3"/>
  <c r="CY1302" i="3"/>
  <c r="CX1302" i="3"/>
  <c r="CW1302" i="3"/>
  <c r="CY1301" i="3"/>
  <c r="CX1301" i="3"/>
  <c r="CW1301" i="3"/>
  <c r="CY1300" i="3"/>
  <c r="CX1300" i="3"/>
  <c r="CW1300" i="3"/>
  <c r="CY1299" i="3"/>
  <c r="CX1299" i="3"/>
  <c r="CW1299" i="3"/>
  <c r="CY1294" i="3"/>
  <c r="CX1294" i="3"/>
  <c r="CW1294" i="3"/>
  <c r="CY1293" i="3"/>
  <c r="CX1293" i="3"/>
  <c r="CW1293" i="3"/>
  <c r="CY1292" i="3"/>
  <c r="CX1292" i="3"/>
  <c r="CW1292" i="3"/>
  <c r="CY1291" i="3"/>
  <c r="CX1291" i="3"/>
  <c r="CW1291" i="3"/>
  <c r="DB1291" i="3"/>
  <c r="CB1291" i="3" s="1"/>
  <c r="CY1290" i="3"/>
  <c r="CX1290" i="3"/>
  <c r="CW1290" i="3"/>
  <c r="CY1289" i="3"/>
  <c r="CX1289" i="3"/>
  <c r="CW1289" i="3"/>
  <c r="CY1288" i="3"/>
  <c r="CX1288" i="3"/>
  <c r="CW1288" i="3"/>
  <c r="CY1275" i="3"/>
  <c r="CY1274" i="3"/>
  <c r="CY1273" i="3"/>
  <c r="CY1272" i="3"/>
  <c r="CY1271" i="3"/>
  <c r="CY1270" i="3"/>
  <c r="CY1269" i="3"/>
  <c r="CY1268" i="3"/>
  <c r="CX1274" i="3"/>
  <c r="CW1274" i="3"/>
  <c r="DB1274" i="3"/>
  <c r="CB1274" i="3" s="1"/>
  <c r="CX1273" i="3"/>
  <c r="CW1273" i="3"/>
  <c r="CX1272" i="3"/>
  <c r="CW1272" i="3"/>
  <c r="CX1271" i="3"/>
  <c r="CW1271" i="3"/>
  <c r="CX1270" i="3"/>
  <c r="CW1270" i="3"/>
  <c r="CX1269" i="3"/>
  <c r="CW1269" i="3"/>
  <c r="CX1268" i="3"/>
  <c r="CW1268" i="3"/>
  <c r="CW1187" i="3"/>
  <c r="DA1187" i="3" s="1"/>
  <c r="DB1187" i="3"/>
  <c r="CB1187" i="3" s="1"/>
  <c r="CW1186" i="3"/>
  <c r="DA1186" i="3" s="1"/>
  <c r="DB1186" i="3"/>
  <c r="CB1186" i="3" s="1"/>
  <c r="CW1185" i="3"/>
  <c r="DA1185" i="3" s="1"/>
  <c r="DB1185" i="3"/>
  <c r="CB1185" i="3" s="1"/>
  <c r="CW1184" i="3"/>
  <c r="DA1184" i="3" s="1"/>
  <c r="DB1184" i="3"/>
  <c r="CB1184" i="3" s="1"/>
  <c r="CW1183" i="3"/>
  <c r="DA1183" i="3" s="1"/>
  <c r="DB1183" i="3"/>
  <c r="CB1183" i="3" s="1"/>
  <c r="CW1182" i="3"/>
  <c r="DA1182" i="3" s="1"/>
  <c r="DB1182" i="3"/>
  <c r="CB1182" i="3" s="1"/>
  <c r="CW1181" i="3"/>
  <c r="DA1181" i="3" s="1"/>
  <c r="DB1181" i="3"/>
  <c r="CB1181" i="3" s="1"/>
  <c r="CW1180" i="3"/>
  <c r="DA1180" i="3" s="1"/>
  <c r="DB1180" i="3"/>
  <c r="CB1180" i="3" s="1"/>
  <c r="CW1179" i="3"/>
  <c r="DA1179" i="3" s="1"/>
  <c r="DB1179" i="3"/>
  <c r="CB1179" i="3" s="1"/>
  <c r="CW1178" i="3"/>
  <c r="DA1178" i="3" s="1"/>
  <c r="DB1178" i="3"/>
  <c r="CB1178" i="3" s="1"/>
  <c r="CW1177" i="3"/>
  <c r="DA1177" i="3" s="1"/>
  <c r="DB1177" i="3"/>
  <c r="CB1177" i="3" s="1"/>
  <c r="CW1176" i="3"/>
  <c r="DA1176" i="3" s="1"/>
  <c r="DB1176" i="3"/>
  <c r="CB1176" i="3" s="1"/>
  <c r="CW1175" i="3"/>
  <c r="DA1175" i="3" s="1"/>
  <c r="DB1175" i="3"/>
  <c r="CB1175" i="3" s="1"/>
  <c r="CW1174" i="3"/>
  <c r="DA1174" i="3" s="1"/>
  <c r="DB1174" i="3"/>
  <c r="CB1174" i="3" s="1"/>
  <c r="CW1173" i="3"/>
  <c r="DA1173" i="3" s="1"/>
  <c r="DB1173" i="3"/>
  <c r="CB1173" i="3" s="1"/>
  <c r="CW1172" i="3"/>
  <c r="DA1172" i="3" s="1"/>
  <c r="DB1172" i="3"/>
  <c r="CB1172" i="3" s="1"/>
  <c r="CW1159" i="3"/>
  <c r="DB1159" i="3"/>
  <c r="CB1159" i="3" s="1"/>
  <c r="CX1163" i="3"/>
  <c r="CW1163" i="3"/>
  <c r="DB1163" i="3"/>
  <c r="CB1163" i="3" s="1"/>
  <c r="CX1162" i="3"/>
  <c r="CW1162" i="3"/>
  <c r="CX1161" i="3"/>
  <c r="CW1161" i="3"/>
  <c r="CX1160" i="3"/>
  <c r="CW1160" i="3"/>
  <c r="CX1159" i="3"/>
  <c r="CY1147" i="3"/>
  <c r="CX1147" i="3"/>
  <c r="CW1147" i="3"/>
  <c r="CY1146" i="3"/>
  <c r="CX1146" i="3"/>
  <c r="CW1146" i="3"/>
  <c r="CY1145" i="3"/>
  <c r="CX1145" i="3"/>
  <c r="CW1145" i="3"/>
  <c r="DB1145" i="3"/>
  <c r="CB1145" i="3" s="1"/>
  <c r="CY1144" i="3"/>
  <c r="CX1144" i="3"/>
  <c r="CW1144" i="3"/>
  <c r="CY1143" i="3"/>
  <c r="CX1143" i="3"/>
  <c r="CW1143" i="3"/>
  <c r="CY1142" i="3"/>
  <c r="CX1142" i="3"/>
  <c r="DB1142" i="3"/>
  <c r="CB1142" i="3" s="1"/>
  <c r="CW1142" i="3"/>
  <c r="CY1133" i="3"/>
  <c r="CY1132" i="3"/>
  <c r="CY1131" i="3"/>
  <c r="CY1130" i="3"/>
  <c r="CY1129" i="3"/>
  <c r="CY1128" i="3"/>
  <c r="DB1128" i="3"/>
  <c r="CB1128" i="3" s="1"/>
  <c r="CY1127" i="3"/>
  <c r="CY1126" i="3"/>
  <c r="CX1132" i="3"/>
  <c r="CW1132" i="3"/>
  <c r="CX1131" i="3"/>
  <c r="CW1131" i="3"/>
  <c r="DB1131" i="3"/>
  <c r="CB1131" i="3" s="1"/>
  <c r="CX1130" i="3"/>
  <c r="CW1130" i="3"/>
  <c r="CX1129" i="3"/>
  <c r="CW1129" i="3"/>
  <c r="DB1129" i="3"/>
  <c r="CB1129" i="3" s="1"/>
  <c r="CX1128" i="3"/>
  <c r="CW1128" i="3"/>
  <c r="CX1127" i="3"/>
  <c r="CW1127" i="3"/>
  <c r="CX1126" i="3"/>
  <c r="CW1126" i="3"/>
  <c r="CX1117" i="3"/>
  <c r="CW1117" i="3"/>
  <c r="CX1116" i="3"/>
  <c r="CW1116" i="3"/>
  <c r="CX1115" i="3"/>
  <c r="CW1115" i="3"/>
  <c r="CX1114" i="3"/>
  <c r="CW1114" i="3"/>
  <c r="CX1113" i="3"/>
  <c r="CW1113" i="3"/>
  <c r="CX1112" i="3"/>
  <c r="CW1112" i="3"/>
  <c r="CX1111" i="3"/>
  <c r="CW1111" i="3"/>
  <c r="DB1111" i="3"/>
  <c r="CB1111" i="3" s="1"/>
  <c r="CX996" i="3"/>
  <c r="CX995" i="3"/>
  <c r="CX994" i="3"/>
  <c r="CX993" i="3"/>
  <c r="CX992" i="3"/>
  <c r="CX991" i="3"/>
  <c r="CX990" i="3"/>
  <c r="CX989" i="3"/>
  <c r="CX988" i="3"/>
  <c r="CX987" i="3"/>
  <c r="CX986" i="3"/>
  <c r="CX985" i="3"/>
  <c r="CX984" i="3"/>
  <c r="CX983" i="3"/>
  <c r="CW891" i="3"/>
  <c r="DA891" i="3" s="1"/>
  <c r="DB891" i="3" s="1"/>
  <c r="CB891" i="3" s="1"/>
  <c r="CW890" i="3"/>
  <c r="DA890" i="3" s="1"/>
  <c r="DB890" i="3" s="1"/>
  <c r="CB890" i="3" s="1"/>
  <c r="CW889" i="3"/>
  <c r="DA889" i="3" s="1"/>
  <c r="DB889" i="3" s="1"/>
  <c r="CB889" i="3" s="1"/>
  <c r="CW888" i="3"/>
  <c r="DA888" i="3" s="1"/>
  <c r="DB888" i="3" s="1"/>
  <c r="CB888" i="3" s="1"/>
  <c r="CW887" i="3"/>
  <c r="DA887" i="3" s="1"/>
  <c r="DB887" i="3" s="1"/>
  <c r="CB887" i="3" s="1"/>
  <c r="CW886" i="3"/>
  <c r="DA886" i="3" s="1"/>
  <c r="DB886" i="3" s="1"/>
  <c r="CB886" i="3" s="1"/>
  <c r="CW885" i="3"/>
  <c r="DA885" i="3" s="1"/>
  <c r="DB885" i="3" s="1"/>
  <c r="CB885" i="3" s="1"/>
  <c r="CW884" i="3"/>
  <c r="DA884" i="3" s="1"/>
  <c r="DB884" i="3" s="1"/>
  <c r="CB884" i="3" s="1"/>
  <c r="CW883" i="3"/>
  <c r="DA883" i="3" s="1"/>
  <c r="DB883" i="3" s="1"/>
  <c r="CB883" i="3" s="1"/>
  <c r="CW882" i="3"/>
  <c r="DA882" i="3" s="1"/>
  <c r="DB882" i="3" s="1"/>
  <c r="CB882" i="3" s="1"/>
  <c r="CW881" i="3"/>
  <c r="DA881" i="3" s="1"/>
  <c r="DB881" i="3" s="1"/>
  <c r="CB881" i="3" s="1"/>
  <c r="CW880" i="3"/>
  <c r="DA880" i="3" s="1"/>
  <c r="DB880" i="3" s="1"/>
  <c r="CB880" i="3" s="1"/>
  <c r="CW879" i="3"/>
  <c r="DA879" i="3" s="1"/>
  <c r="DB879" i="3" s="1"/>
  <c r="CB879" i="3" s="1"/>
  <c r="CW878" i="3"/>
  <c r="DA878" i="3" s="1"/>
  <c r="DB878" i="3" s="1"/>
  <c r="CB878" i="3" s="1"/>
  <c r="CW877" i="3"/>
  <c r="DA877" i="3" s="1"/>
  <c r="DB877" i="3" s="1"/>
  <c r="CB877" i="3" s="1"/>
  <c r="CW876" i="3"/>
  <c r="CW875" i="3"/>
  <c r="CW874" i="3"/>
  <c r="DA874" i="3" s="1"/>
  <c r="DB874" i="3" s="1"/>
  <c r="CB874" i="3" s="1"/>
  <c r="CW873" i="3"/>
  <c r="DA873" i="3" s="1"/>
  <c r="DB873" i="3" s="1"/>
  <c r="CB873" i="3" s="1"/>
  <c r="CW872" i="3"/>
  <c r="CW842" i="3"/>
  <c r="DA842" i="3" s="1"/>
  <c r="DB842" i="3" s="1"/>
  <c r="CB842" i="3" s="1"/>
  <c r="CW841" i="3"/>
  <c r="DA841" i="3" s="1"/>
  <c r="DB841" i="3" s="1"/>
  <c r="CB841" i="3" s="1"/>
  <c r="CW840" i="3"/>
  <c r="DA840" i="3" s="1"/>
  <c r="DB840" i="3" s="1"/>
  <c r="CB840" i="3" s="1"/>
  <c r="CW839" i="3"/>
  <c r="DA839" i="3" s="1"/>
  <c r="DB839" i="3" s="1"/>
  <c r="CB839" i="3" s="1"/>
  <c r="CW838" i="3"/>
  <c r="DA838" i="3" s="1"/>
  <c r="DB838" i="3" s="1"/>
  <c r="CB838" i="3" s="1"/>
  <c r="CW837" i="3"/>
  <c r="DA837" i="3" s="1"/>
  <c r="DB837" i="3" s="1"/>
  <c r="CB837" i="3" s="1"/>
  <c r="CW836" i="3"/>
  <c r="DA836" i="3" s="1"/>
  <c r="DB836" i="3" s="1"/>
  <c r="CB836" i="3" s="1"/>
  <c r="CW835" i="3"/>
  <c r="DA835" i="3" s="1"/>
  <c r="DB835" i="3" s="1"/>
  <c r="CB835" i="3" s="1"/>
  <c r="CW834" i="3"/>
  <c r="DA834" i="3" s="1"/>
  <c r="DB834" i="3" s="1"/>
  <c r="CB834" i="3" s="1"/>
  <c r="CW833" i="3"/>
  <c r="DA833" i="3" s="1"/>
  <c r="DB833" i="3" s="1"/>
  <c r="CB833" i="3" s="1"/>
  <c r="CW832" i="3"/>
  <c r="DA832" i="3" s="1"/>
  <c r="DB832" i="3" s="1"/>
  <c r="CB832" i="3" s="1"/>
  <c r="CW831" i="3"/>
  <c r="CW830" i="3"/>
  <c r="DA830" i="3" s="1"/>
  <c r="DB830" i="3" s="1"/>
  <c r="CB830" i="3" s="1"/>
  <c r="CW823" i="3"/>
  <c r="DA823" i="3" s="1"/>
  <c r="DB823" i="3" s="1"/>
  <c r="CB823" i="3" s="1"/>
  <c r="CW822" i="3"/>
  <c r="DA822" i="3" s="1"/>
  <c r="DB822" i="3" s="1"/>
  <c r="CB822" i="3" s="1"/>
  <c r="CW821" i="3"/>
  <c r="DA821" i="3" s="1"/>
  <c r="DB821" i="3" s="1"/>
  <c r="CB821" i="3" s="1"/>
  <c r="CW820" i="3"/>
  <c r="DA820" i="3" s="1"/>
  <c r="DB820" i="3" s="1"/>
  <c r="CB820" i="3" s="1"/>
  <c r="CW819" i="3"/>
  <c r="DA819" i="3" s="1"/>
  <c r="DB819" i="3" s="1"/>
  <c r="CB819" i="3" s="1"/>
  <c r="CW799" i="3"/>
  <c r="DA799" i="3" s="1"/>
  <c r="DB799" i="3" s="1"/>
  <c r="CB799" i="3" s="1"/>
  <c r="CW798" i="3"/>
  <c r="DA798" i="3" s="1"/>
  <c r="DB798" i="3" s="1"/>
  <c r="CB798" i="3" s="1"/>
  <c r="CW797" i="3"/>
  <c r="DA797" i="3" s="1"/>
  <c r="DB797" i="3" s="1"/>
  <c r="CB797" i="3" s="1"/>
  <c r="CW796" i="3"/>
  <c r="CW795" i="3"/>
  <c r="CW794" i="3"/>
  <c r="CW793" i="3"/>
  <c r="CW792" i="3"/>
  <c r="CW791" i="3"/>
  <c r="CW790" i="3"/>
  <c r="CW789" i="3"/>
  <c r="CW788" i="3"/>
  <c r="CW787" i="3"/>
  <c r="CW786" i="3"/>
  <c r="CW777" i="3"/>
  <c r="DA777" i="3" s="1"/>
  <c r="DB777" i="3" s="1"/>
  <c r="CB777" i="3" s="1"/>
  <c r="CW776" i="3"/>
  <c r="DA776" i="3" s="1"/>
  <c r="DB776" i="3" s="1"/>
  <c r="CB776" i="3" s="1"/>
  <c r="CW775" i="3"/>
  <c r="DA775" i="3" s="1"/>
  <c r="DB775" i="3" s="1"/>
  <c r="CB775" i="3" s="1"/>
  <c r="CW774" i="3"/>
  <c r="DA774" i="3" s="1"/>
  <c r="DB774" i="3" s="1"/>
  <c r="CB774" i="3" s="1"/>
  <c r="CW773" i="3"/>
  <c r="DA773" i="3" s="1"/>
  <c r="DB773" i="3" s="1"/>
  <c r="CB773" i="3" s="1"/>
  <c r="CW772" i="3"/>
  <c r="DA772" i="3" s="1"/>
  <c r="DB772" i="3" s="1"/>
  <c r="CB772" i="3" s="1"/>
  <c r="CW771" i="3"/>
  <c r="DA771" i="3" s="1"/>
  <c r="DB771" i="3" s="1"/>
  <c r="CB771" i="3" s="1"/>
  <c r="CW770" i="3"/>
  <c r="DA770" i="3" s="1"/>
  <c r="DB770" i="3" s="1"/>
  <c r="CB770" i="3" s="1"/>
  <c r="CW769" i="3"/>
  <c r="DA769" i="3" s="1"/>
  <c r="DB769" i="3" s="1"/>
  <c r="CB769" i="3" s="1"/>
  <c r="CW768" i="3"/>
  <c r="DA768" i="3" s="1"/>
  <c r="DB768" i="3" s="1"/>
  <c r="CB768" i="3" s="1"/>
  <c r="CW767" i="3"/>
  <c r="DA767" i="3" s="1"/>
  <c r="DB767" i="3" s="1"/>
  <c r="CB767" i="3" s="1"/>
  <c r="CW766" i="3"/>
  <c r="DA766" i="3" s="1"/>
  <c r="DB766" i="3" s="1"/>
  <c r="CB766" i="3" s="1"/>
  <c r="CW753" i="3"/>
  <c r="DA753" i="3" s="1"/>
  <c r="DB753" i="3" s="1"/>
  <c r="CB753" i="3" s="1"/>
  <c r="CW752" i="3"/>
  <c r="DA752" i="3" s="1"/>
  <c r="DB752" i="3" s="1"/>
  <c r="CB752" i="3" s="1"/>
  <c r="CW751" i="3"/>
  <c r="DA751" i="3" s="1"/>
  <c r="DB751" i="3" s="1"/>
  <c r="CB751" i="3" s="1"/>
  <c r="CW750" i="3"/>
  <c r="DA750" i="3" s="1"/>
  <c r="DB750" i="3" s="1"/>
  <c r="CB750" i="3" s="1"/>
  <c r="CW749" i="3"/>
  <c r="DA749" i="3" s="1"/>
  <c r="DB749" i="3" s="1"/>
  <c r="CB749" i="3" s="1"/>
  <c r="CW748" i="3"/>
  <c r="DA748" i="3" s="1"/>
  <c r="DB748" i="3" s="1"/>
  <c r="CB748" i="3" s="1"/>
  <c r="CW747" i="3"/>
  <c r="DA747" i="3" s="1"/>
  <c r="DB747" i="3" s="1"/>
  <c r="CB747" i="3" s="1"/>
  <c r="CW746" i="3"/>
  <c r="DA746" i="3" s="1"/>
  <c r="DB746" i="3" s="1"/>
  <c r="CB746" i="3" s="1"/>
  <c r="CW745" i="3"/>
  <c r="DA745" i="3" s="1"/>
  <c r="DB745" i="3" s="1"/>
  <c r="CB745" i="3" s="1"/>
  <c r="CW744" i="3"/>
  <c r="CW743" i="3"/>
  <c r="CW742" i="3"/>
  <c r="CW731" i="3"/>
  <c r="DA731" i="3" s="1"/>
  <c r="DB731" i="3" s="1"/>
  <c r="CB731" i="3" s="1"/>
  <c r="CW730" i="3"/>
  <c r="DA730" i="3" s="1"/>
  <c r="DB730" i="3" s="1"/>
  <c r="CB730" i="3" s="1"/>
  <c r="CW729" i="3"/>
  <c r="DA729" i="3" s="1"/>
  <c r="DB729" i="3" s="1"/>
  <c r="CB729" i="3" s="1"/>
  <c r="CW728" i="3"/>
  <c r="DA728" i="3" s="1"/>
  <c r="DB728" i="3" s="1"/>
  <c r="CB728" i="3" s="1"/>
  <c r="CW727" i="3"/>
  <c r="DA727" i="3" s="1"/>
  <c r="DB727" i="3" s="1"/>
  <c r="CB727" i="3" s="1"/>
  <c r="CW726" i="3"/>
  <c r="DA726" i="3" s="1"/>
  <c r="DB726" i="3" s="1"/>
  <c r="CB726" i="3" s="1"/>
  <c r="CW725" i="3"/>
  <c r="DA725" i="3" s="1"/>
  <c r="DB725" i="3" s="1"/>
  <c r="CB725" i="3" s="1"/>
  <c r="CW724" i="3"/>
  <c r="DA724" i="3" s="1"/>
  <c r="DB724" i="3" s="1"/>
  <c r="CB724" i="3" s="1"/>
  <c r="CW723" i="3"/>
  <c r="DA723" i="3" s="1"/>
  <c r="DB723" i="3" s="1"/>
  <c r="CB723" i="3" s="1"/>
  <c r="CW722" i="3"/>
  <c r="DA722" i="3" s="1"/>
  <c r="DB722" i="3" s="1"/>
  <c r="CB722" i="3" s="1"/>
  <c r="CW721" i="3"/>
  <c r="DA721" i="3" s="1"/>
  <c r="DB721" i="3" s="1"/>
  <c r="CB721" i="3" s="1"/>
  <c r="CW720" i="3"/>
  <c r="CW719" i="3"/>
  <c r="CW711" i="3"/>
  <c r="DA711" i="3" s="1"/>
  <c r="DB711" i="3" s="1"/>
  <c r="CB711" i="3" s="1"/>
  <c r="CW710" i="3"/>
  <c r="DA710" i="3" s="1"/>
  <c r="DB710" i="3" s="1"/>
  <c r="CB710" i="3" s="1"/>
  <c r="CW709" i="3"/>
  <c r="DA709" i="3" s="1"/>
  <c r="DB709" i="3" s="1"/>
  <c r="CB709" i="3" s="1"/>
  <c r="CW708" i="3"/>
  <c r="DA708" i="3" s="1"/>
  <c r="DB708" i="3" s="1"/>
  <c r="CB708" i="3" s="1"/>
  <c r="CW707" i="3"/>
  <c r="DA707" i="3" s="1"/>
  <c r="DB707" i="3" s="1"/>
  <c r="CB707" i="3" s="1"/>
  <c r="CW706" i="3"/>
  <c r="DA706" i="3" s="1"/>
  <c r="DB706" i="3" s="1"/>
  <c r="CB706" i="3" s="1"/>
  <c r="CW705" i="3"/>
  <c r="DA705" i="3" s="1"/>
  <c r="DB705" i="3" s="1"/>
  <c r="CB705" i="3" s="1"/>
  <c r="CW704" i="3"/>
  <c r="DA704" i="3" s="1"/>
  <c r="DB704" i="3" s="1"/>
  <c r="CB704" i="3" s="1"/>
  <c r="CW703" i="3"/>
  <c r="DA703" i="3" s="1"/>
  <c r="DB703" i="3" s="1"/>
  <c r="CB703" i="3" s="1"/>
  <c r="CW702" i="3"/>
  <c r="DA702" i="3" s="1"/>
  <c r="DB702" i="3" s="1"/>
  <c r="CB702" i="3" s="1"/>
  <c r="CW701" i="3"/>
  <c r="DA701" i="3" s="1"/>
  <c r="DB701" i="3" s="1"/>
  <c r="CB701" i="3" s="1"/>
  <c r="CW687" i="3"/>
  <c r="DA687" i="3" s="1"/>
  <c r="DB687" i="3" s="1"/>
  <c r="CB687" i="3" s="1"/>
  <c r="CW686" i="3"/>
  <c r="DA686" i="3" s="1"/>
  <c r="DB686" i="3" s="1"/>
  <c r="CB686" i="3" s="1"/>
  <c r="CW685" i="3"/>
  <c r="DA685" i="3" s="1"/>
  <c r="DB685" i="3" s="1"/>
  <c r="CB685" i="3" s="1"/>
  <c r="CW684" i="3"/>
  <c r="DA684" i="3" s="1"/>
  <c r="DB684" i="3" s="1"/>
  <c r="CB684" i="3" s="1"/>
  <c r="CW683" i="3"/>
  <c r="DA683" i="3" s="1"/>
  <c r="DB683" i="3" s="1"/>
  <c r="CB683" i="3" s="1"/>
  <c r="CW682" i="3"/>
  <c r="DA682" i="3" s="1"/>
  <c r="DB682" i="3" s="1"/>
  <c r="CB682" i="3" s="1"/>
  <c r="CW681" i="3"/>
  <c r="DA681" i="3" s="1"/>
  <c r="DB681" i="3" s="1"/>
  <c r="CB681" i="3" s="1"/>
  <c r="CW680" i="3"/>
  <c r="DA680" i="3" s="1"/>
  <c r="DB680" i="3" s="1"/>
  <c r="CB680" i="3" s="1"/>
  <c r="CW679" i="3"/>
  <c r="DA679" i="3" s="1"/>
  <c r="DB679" i="3" s="1"/>
  <c r="CB679" i="3" s="1"/>
  <c r="CW678" i="3"/>
  <c r="DA678" i="3" s="1"/>
  <c r="DB678" i="3" s="1"/>
  <c r="CB678" i="3" s="1"/>
  <c r="CW677" i="3"/>
  <c r="CW676" i="3"/>
  <c r="DA676" i="3" s="1"/>
  <c r="DB676" i="3" s="1"/>
  <c r="CB676" i="3" s="1"/>
  <c r="CW665" i="3"/>
  <c r="DA665" i="3" s="1"/>
  <c r="DB665" i="3" s="1"/>
  <c r="CB665" i="3" s="1"/>
  <c r="CW664" i="3"/>
  <c r="DA664" i="3" s="1"/>
  <c r="DB664" i="3" s="1"/>
  <c r="CB664" i="3" s="1"/>
  <c r="CW663" i="3"/>
  <c r="DA663" i="3" s="1"/>
  <c r="DB663" i="3" s="1"/>
  <c r="CB663" i="3" s="1"/>
  <c r="CW662" i="3"/>
  <c r="DA662" i="3" s="1"/>
  <c r="DB662" i="3" s="1"/>
  <c r="CB662" i="3" s="1"/>
  <c r="CW661" i="3"/>
  <c r="DA661" i="3" s="1"/>
  <c r="DB661" i="3" s="1"/>
  <c r="CB661" i="3" s="1"/>
  <c r="CW660" i="3"/>
  <c r="DA660" i="3" s="1"/>
  <c r="DB660" i="3" s="1"/>
  <c r="CB660" i="3" s="1"/>
  <c r="CW659" i="3"/>
  <c r="DA659" i="3" s="1"/>
  <c r="DB659" i="3" s="1"/>
  <c r="CB659" i="3" s="1"/>
  <c r="CW658" i="3"/>
  <c r="DA658" i="3" s="1"/>
  <c r="DB658" i="3" s="1"/>
  <c r="CB658" i="3" s="1"/>
  <c r="CW657" i="3"/>
  <c r="DA657" i="3" s="1"/>
  <c r="DB657" i="3" s="1"/>
  <c r="CB657" i="3" s="1"/>
  <c r="CW656" i="3"/>
  <c r="DA656" i="3" s="1"/>
  <c r="DB656" i="3" s="1"/>
  <c r="CB656" i="3" s="1"/>
  <c r="CW655" i="3"/>
  <c r="DA655" i="3" s="1"/>
  <c r="DB655" i="3" s="1"/>
  <c r="CB655" i="3" s="1"/>
  <c r="CW654" i="3"/>
  <c r="DA654" i="3" s="1"/>
  <c r="DB654" i="3" s="1"/>
  <c r="CB654" i="3" s="1"/>
  <c r="CW644" i="3"/>
  <c r="DA644" i="3" s="1"/>
  <c r="DB644" i="3" s="1"/>
  <c r="CB644" i="3" s="1"/>
  <c r="CW643" i="3"/>
  <c r="DA643" i="3" s="1"/>
  <c r="DB643" i="3" s="1"/>
  <c r="CB643" i="3" s="1"/>
  <c r="CW642" i="3"/>
  <c r="DA642" i="3" s="1"/>
  <c r="DB642" i="3" s="1"/>
  <c r="CB642" i="3" s="1"/>
  <c r="CW641" i="3"/>
  <c r="DA641" i="3" s="1"/>
  <c r="DB641" i="3" s="1"/>
  <c r="CB641" i="3" s="1"/>
  <c r="CW640" i="3"/>
  <c r="DA640" i="3" s="1"/>
  <c r="DB640" i="3" s="1"/>
  <c r="CB640" i="3" s="1"/>
  <c r="CW639" i="3"/>
  <c r="DA639" i="3" s="1"/>
  <c r="DB639" i="3" s="1"/>
  <c r="CB639" i="3" s="1"/>
  <c r="CW638" i="3"/>
  <c r="DA638" i="3" s="1"/>
  <c r="DB638" i="3" s="1"/>
  <c r="CB638" i="3" s="1"/>
  <c r="CW637" i="3"/>
  <c r="DA637" i="3" s="1"/>
  <c r="DB637" i="3" s="1"/>
  <c r="CB637" i="3" s="1"/>
  <c r="CW636" i="3"/>
  <c r="DA636" i="3" s="1"/>
  <c r="DB636" i="3" s="1"/>
  <c r="CB636" i="3" s="1"/>
  <c r="CW635" i="3"/>
  <c r="DA635" i="3" s="1"/>
  <c r="DB635" i="3" s="1"/>
  <c r="CB635" i="3" s="1"/>
  <c r="CW634" i="3"/>
  <c r="DA634" i="3" s="1"/>
  <c r="DB634" i="3" s="1"/>
  <c r="CB634" i="3" s="1"/>
  <c r="CW620" i="3"/>
  <c r="DA620" i="3" s="1"/>
  <c r="DB620" i="3" s="1"/>
  <c r="CB620" i="3" s="1"/>
  <c r="CW619" i="3"/>
  <c r="DA619" i="3" s="1"/>
  <c r="DB619" i="3" s="1"/>
  <c r="CB619" i="3" s="1"/>
  <c r="CW618" i="3"/>
  <c r="DA618" i="3" s="1"/>
  <c r="DB618" i="3" s="1"/>
  <c r="CB618" i="3" s="1"/>
  <c r="CW617" i="3"/>
  <c r="DA617" i="3" s="1"/>
  <c r="DB617" i="3" s="1"/>
  <c r="CB617" i="3" s="1"/>
  <c r="CW616" i="3"/>
  <c r="DA616" i="3" s="1"/>
  <c r="DB616" i="3" s="1"/>
  <c r="CB616" i="3" s="1"/>
  <c r="CW615" i="3"/>
  <c r="DA615" i="3" s="1"/>
  <c r="DB615" i="3" s="1"/>
  <c r="CB615" i="3" s="1"/>
  <c r="CW614" i="3"/>
  <c r="DA614" i="3" s="1"/>
  <c r="DB614" i="3" s="1"/>
  <c r="CB614" i="3" s="1"/>
  <c r="CW613" i="3"/>
  <c r="DA613" i="3" s="1"/>
  <c r="DB613" i="3" s="1"/>
  <c r="CB613" i="3" s="1"/>
  <c r="CW612" i="3"/>
  <c r="DA612" i="3" s="1"/>
  <c r="DB612" i="3" s="1"/>
  <c r="CB612" i="3" s="1"/>
  <c r="CW611" i="3"/>
  <c r="DA611" i="3" s="1"/>
  <c r="DB611" i="3" s="1"/>
  <c r="CB611" i="3" s="1"/>
  <c r="CW600" i="3"/>
  <c r="DA600" i="3" s="1"/>
  <c r="DB600" i="3" s="1"/>
  <c r="CB600" i="3" s="1"/>
  <c r="CW599" i="3"/>
  <c r="DA599" i="3" s="1"/>
  <c r="DB599" i="3" s="1"/>
  <c r="CB599" i="3" s="1"/>
  <c r="CW598" i="3"/>
  <c r="DA598" i="3" s="1"/>
  <c r="DB598" i="3" s="1"/>
  <c r="CB598" i="3" s="1"/>
  <c r="CW597" i="3"/>
  <c r="DA597" i="3" s="1"/>
  <c r="DB597" i="3" s="1"/>
  <c r="CB597" i="3" s="1"/>
  <c r="CW596" i="3"/>
  <c r="DA596" i="3" s="1"/>
  <c r="DB596" i="3" s="1"/>
  <c r="CB596" i="3" s="1"/>
  <c r="CW595" i="3"/>
  <c r="DA595" i="3" s="1"/>
  <c r="DB595" i="3" s="1"/>
  <c r="CB595" i="3" s="1"/>
  <c r="CW594" i="3"/>
  <c r="DA594" i="3" s="1"/>
  <c r="DB594" i="3" s="1"/>
  <c r="CB594" i="3" s="1"/>
  <c r="CW593" i="3"/>
  <c r="DA593" i="3" s="1"/>
  <c r="DB593" i="3" s="1"/>
  <c r="CB593" i="3" s="1"/>
  <c r="CW592" i="3"/>
  <c r="DA592" i="3" s="1"/>
  <c r="DB592" i="3" s="1"/>
  <c r="CB592" i="3" s="1"/>
  <c r="CW591" i="3"/>
  <c r="DA591" i="3" s="1"/>
  <c r="DB591" i="3" s="1"/>
  <c r="CB591" i="3" s="1"/>
  <c r="CW590" i="3"/>
  <c r="DA590" i="3" s="1"/>
  <c r="DB590" i="3" s="1"/>
  <c r="CB590" i="3" s="1"/>
  <c r="CW589" i="3"/>
  <c r="DA589" i="3" s="1"/>
  <c r="DB589" i="3" s="1"/>
  <c r="CB589" i="3" s="1"/>
  <c r="CW578" i="3"/>
  <c r="DA578" i="3" s="1"/>
  <c r="DB578" i="3" s="1"/>
  <c r="CB578" i="3" s="1"/>
  <c r="CW577" i="3"/>
  <c r="DA577" i="3" s="1"/>
  <c r="DB577" i="3" s="1"/>
  <c r="CB577" i="3" s="1"/>
  <c r="CW576" i="3"/>
  <c r="DA576" i="3" s="1"/>
  <c r="DB576" i="3" s="1"/>
  <c r="CB576" i="3" s="1"/>
  <c r="CW575" i="3"/>
  <c r="DA575" i="3" s="1"/>
  <c r="DB575" i="3" s="1"/>
  <c r="CB575" i="3" s="1"/>
  <c r="CW574" i="3"/>
  <c r="DA574" i="3" s="1"/>
  <c r="DB574" i="3" s="1"/>
  <c r="CB574" i="3" s="1"/>
  <c r="CW573" i="3"/>
  <c r="DA573" i="3" s="1"/>
  <c r="DB573" i="3" s="1"/>
  <c r="CB573" i="3" s="1"/>
  <c r="CW572" i="3"/>
  <c r="DA572" i="3" s="1"/>
  <c r="DB572" i="3" s="1"/>
  <c r="CB572" i="3" s="1"/>
  <c r="CW571" i="3"/>
  <c r="DA571" i="3" s="1"/>
  <c r="DB571" i="3" s="1"/>
  <c r="CB571" i="3" s="1"/>
  <c r="CW570" i="3"/>
  <c r="DA570" i="3" s="1"/>
  <c r="DB570" i="3" s="1"/>
  <c r="CB570" i="3" s="1"/>
  <c r="CW569" i="3"/>
  <c r="DA569" i="3" s="1"/>
  <c r="DB569" i="3" s="1"/>
  <c r="CB569" i="3" s="1"/>
  <c r="CW568" i="3"/>
  <c r="DA568" i="3" s="1"/>
  <c r="DB568" i="3" s="1"/>
  <c r="CB568" i="3" s="1"/>
  <c r="CW567" i="3"/>
  <c r="DA567" i="3" s="1"/>
  <c r="DB567" i="3" s="1"/>
  <c r="CB567" i="3" s="1"/>
  <c r="CW566" i="3"/>
  <c r="DA566" i="3" s="1"/>
  <c r="DB566" i="3" s="1"/>
  <c r="CB566" i="3" s="1"/>
  <c r="CW556" i="3"/>
  <c r="DA556" i="3" s="1"/>
  <c r="DB556" i="3" s="1"/>
  <c r="CB556" i="3" s="1"/>
  <c r="CW555" i="3"/>
  <c r="DA555" i="3" s="1"/>
  <c r="DB555" i="3" s="1"/>
  <c r="CB555" i="3" s="1"/>
  <c r="CW554" i="3"/>
  <c r="DA554" i="3" s="1"/>
  <c r="DB554" i="3" s="1"/>
  <c r="CB554" i="3" s="1"/>
  <c r="CW553" i="3"/>
  <c r="DA553" i="3" s="1"/>
  <c r="DB553" i="3" s="1"/>
  <c r="CB553" i="3" s="1"/>
  <c r="CW552" i="3"/>
  <c r="DA552" i="3" s="1"/>
  <c r="DB552" i="3" s="1"/>
  <c r="CB552" i="3" s="1"/>
  <c r="CW551" i="3"/>
  <c r="DA551" i="3" s="1"/>
  <c r="DB551" i="3" s="1"/>
  <c r="CB551" i="3" s="1"/>
  <c r="CW550" i="3"/>
  <c r="DA550" i="3" s="1"/>
  <c r="DB550" i="3" s="1"/>
  <c r="CB550" i="3" s="1"/>
  <c r="CW549" i="3"/>
  <c r="DA549" i="3" s="1"/>
  <c r="DB549" i="3" s="1"/>
  <c r="CB549" i="3" s="1"/>
  <c r="CW548" i="3"/>
  <c r="DA548" i="3" s="1"/>
  <c r="DB548" i="3" s="1"/>
  <c r="CB548" i="3" s="1"/>
  <c r="CW547" i="3"/>
  <c r="DA547" i="3" s="1"/>
  <c r="DB547" i="3" s="1"/>
  <c r="CB547" i="3" s="1"/>
  <c r="CW546" i="3"/>
  <c r="DA546" i="3" s="1"/>
  <c r="DB546" i="3" s="1"/>
  <c r="CB546" i="3" s="1"/>
  <c r="CW545" i="3"/>
  <c r="DA545" i="3" s="1"/>
  <c r="DB545" i="3" s="1"/>
  <c r="CB545" i="3" s="1"/>
  <c r="CW533" i="3"/>
  <c r="DA533" i="3" s="1"/>
  <c r="DB533" i="3" s="1"/>
  <c r="CB533" i="3" s="1"/>
  <c r="CW532" i="3"/>
  <c r="DA532" i="3" s="1"/>
  <c r="DB532" i="3" s="1"/>
  <c r="CB532" i="3" s="1"/>
  <c r="CW531" i="3"/>
  <c r="DA531" i="3" s="1"/>
  <c r="DB531" i="3" s="1"/>
  <c r="CB531" i="3" s="1"/>
  <c r="CW530" i="3"/>
  <c r="DA530" i="3" s="1"/>
  <c r="DB530" i="3" s="1"/>
  <c r="CB530" i="3" s="1"/>
  <c r="CW529" i="3"/>
  <c r="DA529" i="3" s="1"/>
  <c r="DB529" i="3" s="1"/>
  <c r="CB529" i="3" s="1"/>
  <c r="CW528" i="3"/>
  <c r="DA528" i="3" s="1"/>
  <c r="DB528" i="3" s="1"/>
  <c r="CB528" i="3" s="1"/>
  <c r="CW527" i="3"/>
  <c r="DA527" i="3" s="1"/>
  <c r="DB527" i="3" s="1"/>
  <c r="CB527" i="3" s="1"/>
  <c r="CW526" i="3"/>
  <c r="DA526" i="3" s="1"/>
  <c r="DB526" i="3" s="1"/>
  <c r="CB526" i="3" s="1"/>
  <c r="CW525" i="3"/>
  <c r="DA525" i="3" s="1"/>
  <c r="DB525" i="3" s="1"/>
  <c r="CB525" i="3" s="1"/>
  <c r="CW524" i="3"/>
  <c r="DA524" i="3" s="1"/>
  <c r="DB524" i="3" s="1"/>
  <c r="CB524" i="3" s="1"/>
  <c r="CW523" i="3"/>
  <c r="DA523" i="3" s="1"/>
  <c r="DB523" i="3" s="1"/>
  <c r="CB523" i="3" s="1"/>
  <c r="CW510" i="3"/>
  <c r="DA510" i="3" s="1"/>
  <c r="DB510" i="3" s="1"/>
  <c r="CB510" i="3" s="1"/>
  <c r="CW509" i="3"/>
  <c r="DA509" i="3" s="1"/>
  <c r="DB509" i="3" s="1"/>
  <c r="CB509" i="3" s="1"/>
  <c r="CW508" i="3"/>
  <c r="DA508" i="3" s="1"/>
  <c r="DB508" i="3" s="1"/>
  <c r="CB508" i="3" s="1"/>
  <c r="CW507" i="3"/>
  <c r="DA507" i="3" s="1"/>
  <c r="DB507" i="3" s="1"/>
  <c r="CB507" i="3" s="1"/>
  <c r="CW506" i="3"/>
  <c r="DA506" i="3" s="1"/>
  <c r="DB506" i="3" s="1"/>
  <c r="CB506" i="3" s="1"/>
  <c r="CW505" i="3"/>
  <c r="DA505" i="3" s="1"/>
  <c r="DB505" i="3" s="1"/>
  <c r="CB505" i="3" s="1"/>
  <c r="CW504" i="3"/>
  <c r="DA504" i="3" s="1"/>
  <c r="DB504" i="3" s="1"/>
  <c r="CB504" i="3" s="1"/>
  <c r="CW503" i="3"/>
  <c r="DA503" i="3" s="1"/>
  <c r="DB503" i="3" s="1"/>
  <c r="CB503" i="3" s="1"/>
  <c r="CW502" i="3"/>
  <c r="DA502" i="3" s="1"/>
  <c r="DB502" i="3" s="1"/>
  <c r="CB502" i="3" s="1"/>
  <c r="CW501" i="3"/>
  <c r="DA501" i="3" s="1"/>
  <c r="DB501" i="3" s="1"/>
  <c r="CB501" i="3" s="1"/>
  <c r="CW500" i="3"/>
  <c r="DA500" i="3" s="1"/>
  <c r="DB500" i="3" s="1"/>
  <c r="CB500" i="3" s="1"/>
  <c r="CW492" i="3"/>
  <c r="DA492" i="3" s="1"/>
  <c r="DB492" i="3" s="1"/>
  <c r="CB492" i="3" s="1"/>
  <c r="CW491" i="3"/>
  <c r="DA491" i="3" s="1"/>
  <c r="DB491" i="3" s="1"/>
  <c r="CB491" i="3" s="1"/>
  <c r="CW490" i="3"/>
  <c r="DA490" i="3" s="1"/>
  <c r="DB490" i="3" s="1"/>
  <c r="CB490" i="3" s="1"/>
  <c r="CW489" i="3"/>
  <c r="DA489" i="3" s="1"/>
  <c r="DB489" i="3" s="1"/>
  <c r="CB489" i="3" s="1"/>
  <c r="CW488" i="3"/>
  <c r="DA488" i="3" s="1"/>
  <c r="DB488" i="3" s="1"/>
  <c r="CB488" i="3" s="1"/>
  <c r="CW487" i="3"/>
  <c r="DA487" i="3" s="1"/>
  <c r="DB487" i="3" s="1"/>
  <c r="CB487" i="3" s="1"/>
  <c r="CW486" i="3"/>
  <c r="DA486" i="3" s="1"/>
  <c r="DB486" i="3" s="1"/>
  <c r="CB486" i="3" s="1"/>
  <c r="CW485" i="3"/>
  <c r="DA485" i="3" s="1"/>
  <c r="DB485" i="3" s="1"/>
  <c r="CB485" i="3" s="1"/>
  <c r="CW484" i="3"/>
  <c r="DA484" i="3" s="1"/>
  <c r="DB484" i="3" s="1"/>
  <c r="CB484" i="3" s="1"/>
  <c r="CW483" i="3"/>
  <c r="DA483" i="3" s="1"/>
  <c r="DB483" i="3" s="1"/>
  <c r="CB483" i="3" s="1"/>
  <c r="CW482" i="3"/>
  <c r="DA482" i="3" s="1"/>
  <c r="DB482" i="3" s="1"/>
  <c r="CB482" i="3" s="1"/>
  <c r="CW481" i="3"/>
  <c r="DA481" i="3" s="1"/>
  <c r="DB481" i="3" s="1"/>
  <c r="CB481" i="3" s="1"/>
  <c r="CW480" i="3"/>
  <c r="DA480" i="3" s="1"/>
  <c r="DB480" i="3" s="1"/>
  <c r="CB480" i="3" s="1"/>
  <c r="CW479" i="3"/>
  <c r="DA479" i="3" s="1"/>
  <c r="DB479" i="3" s="1"/>
  <c r="CB479" i="3" s="1"/>
  <c r="CW478" i="3"/>
  <c r="DA478" i="3" s="1"/>
  <c r="DB478" i="3" s="1"/>
  <c r="CB478" i="3" s="1"/>
  <c r="CW467" i="3"/>
  <c r="DA467" i="3" s="1"/>
  <c r="DB467" i="3" s="1"/>
  <c r="CB467" i="3" s="1"/>
  <c r="CW466" i="3"/>
  <c r="DA466" i="3" s="1"/>
  <c r="DB466" i="3" s="1"/>
  <c r="CB466" i="3" s="1"/>
  <c r="CW465" i="3"/>
  <c r="DA465" i="3" s="1"/>
  <c r="DB465" i="3" s="1"/>
  <c r="CB465" i="3" s="1"/>
  <c r="CW464" i="3"/>
  <c r="DA464" i="3" s="1"/>
  <c r="DB464" i="3" s="1"/>
  <c r="CB464" i="3" s="1"/>
  <c r="CW463" i="3"/>
  <c r="DA463" i="3" s="1"/>
  <c r="DB463" i="3" s="1"/>
  <c r="CB463" i="3" s="1"/>
  <c r="CW462" i="3"/>
  <c r="DA462" i="3" s="1"/>
  <c r="DB462" i="3" s="1"/>
  <c r="CB462" i="3" s="1"/>
  <c r="CW461" i="3"/>
  <c r="DA461" i="3" s="1"/>
  <c r="DB461" i="3" s="1"/>
  <c r="CB461" i="3" s="1"/>
  <c r="CW460" i="3"/>
  <c r="DA460" i="3" s="1"/>
  <c r="DB460" i="3" s="1"/>
  <c r="CB460" i="3" s="1"/>
  <c r="CW459" i="3"/>
  <c r="DA459" i="3" s="1"/>
  <c r="DB459" i="3" s="1"/>
  <c r="CB459" i="3" s="1"/>
  <c r="CW458" i="3"/>
  <c r="DA458" i="3" s="1"/>
  <c r="DB458" i="3" s="1"/>
  <c r="CB458" i="3" s="1"/>
  <c r="CW444" i="3"/>
  <c r="DA444" i="3" s="1"/>
  <c r="DB444" i="3" s="1"/>
  <c r="CB444" i="3" s="1"/>
  <c r="CW443" i="3"/>
  <c r="DA443" i="3" s="1"/>
  <c r="DB443" i="3" s="1"/>
  <c r="CB443" i="3" s="1"/>
  <c r="CW442" i="3"/>
  <c r="DA442" i="3" s="1"/>
  <c r="DB442" i="3" s="1"/>
  <c r="CB442" i="3" s="1"/>
  <c r="CW441" i="3"/>
  <c r="DA441" i="3" s="1"/>
  <c r="DB441" i="3" s="1"/>
  <c r="CB441" i="3" s="1"/>
  <c r="CW440" i="3"/>
  <c r="DA440" i="3" s="1"/>
  <c r="DB440" i="3" s="1"/>
  <c r="CB440" i="3" s="1"/>
  <c r="CW439" i="3"/>
  <c r="DA439" i="3" s="1"/>
  <c r="DB439" i="3" s="1"/>
  <c r="CB439" i="3" s="1"/>
  <c r="CW438" i="3"/>
  <c r="DA438" i="3" s="1"/>
  <c r="DB438" i="3" s="1"/>
  <c r="CB438" i="3" s="1"/>
  <c r="CW437" i="3"/>
  <c r="DA437" i="3" s="1"/>
  <c r="DB437" i="3" s="1"/>
  <c r="CB437" i="3" s="1"/>
  <c r="CW436" i="3"/>
  <c r="DA436" i="3" s="1"/>
  <c r="DB436" i="3" s="1"/>
  <c r="CB436" i="3" s="1"/>
  <c r="CW435" i="3"/>
  <c r="DA435" i="3" s="1"/>
  <c r="DB435" i="3" s="1"/>
  <c r="CB435" i="3" s="1"/>
  <c r="CW410" i="3"/>
  <c r="DA410" i="3" s="1"/>
  <c r="DB410" i="3" s="1"/>
  <c r="CB410" i="3" s="1"/>
  <c r="CW409" i="3"/>
  <c r="DA409" i="3" s="1"/>
  <c r="DB409" i="3" s="1"/>
  <c r="CB409" i="3" s="1"/>
  <c r="CW408" i="3"/>
  <c r="DA408" i="3" s="1"/>
  <c r="DB408" i="3" s="1"/>
  <c r="CB408" i="3" s="1"/>
  <c r="CW407" i="3"/>
  <c r="DA407" i="3" s="1"/>
  <c r="DB407" i="3" s="1"/>
  <c r="CB407" i="3" s="1"/>
  <c r="CW406" i="3"/>
  <c r="DA406" i="3" s="1"/>
  <c r="DB406" i="3" s="1"/>
  <c r="CB406" i="3" s="1"/>
  <c r="CW405" i="3"/>
  <c r="DA405" i="3" s="1"/>
  <c r="DB405" i="3" s="1"/>
  <c r="CB405" i="3" s="1"/>
  <c r="CW404" i="3"/>
  <c r="DA404" i="3" s="1"/>
  <c r="DB404" i="3" s="1"/>
  <c r="CB404" i="3" s="1"/>
  <c r="CW403" i="3"/>
  <c r="DA403" i="3" s="1"/>
  <c r="DB403" i="3" s="1"/>
  <c r="CB403" i="3" s="1"/>
  <c r="CW402" i="3"/>
  <c r="DA402" i="3" s="1"/>
  <c r="DB402" i="3" s="1"/>
  <c r="CB402" i="3" s="1"/>
  <c r="CW401" i="3"/>
  <c r="DA401" i="3" s="1"/>
  <c r="DB401" i="3" s="1"/>
  <c r="CB401" i="3" s="1"/>
  <c r="CW400" i="3"/>
  <c r="DA400" i="3" s="1"/>
  <c r="DB400" i="3" s="1"/>
  <c r="CB400" i="3" s="1"/>
  <c r="CW399" i="3"/>
  <c r="DA399" i="3" s="1"/>
  <c r="DB399" i="3" s="1"/>
  <c r="CB399" i="3" s="1"/>
  <c r="CW376" i="3"/>
  <c r="DA376" i="3" s="1"/>
  <c r="DB376" i="3" s="1"/>
  <c r="CB376" i="3" s="1"/>
  <c r="CW375" i="3"/>
  <c r="DA375" i="3" s="1"/>
  <c r="DB375" i="3" s="1"/>
  <c r="CB375" i="3" s="1"/>
  <c r="CW374" i="3"/>
  <c r="DA374" i="3" s="1"/>
  <c r="DB374" i="3" s="1"/>
  <c r="CB374" i="3" s="1"/>
  <c r="CW373" i="3"/>
  <c r="DA373" i="3" s="1"/>
  <c r="DB373" i="3" s="1"/>
  <c r="CB373" i="3" s="1"/>
  <c r="CW372" i="3"/>
  <c r="DA372" i="3" s="1"/>
  <c r="DB372" i="3" s="1"/>
  <c r="CB372" i="3" s="1"/>
  <c r="CW371" i="3"/>
  <c r="DA371" i="3" s="1"/>
  <c r="DB371" i="3" s="1"/>
  <c r="CB371" i="3" s="1"/>
  <c r="CW370" i="3"/>
  <c r="DA370" i="3" s="1"/>
  <c r="DB370" i="3" s="1"/>
  <c r="CB370" i="3" s="1"/>
  <c r="CW369" i="3"/>
  <c r="DA369" i="3" s="1"/>
  <c r="DB369" i="3" s="1"/>
  <c r="CB369" i="3" s="1"/>
  <c r="CW368" i="3"/>
  <c r="DA368" i="3" s="1"/>
  <c r="DB368" i="3" s="1"/>
  <c r="CB368" i="3" s="1"/>
  <c r="CW367" i="3"/>
  <c r="DA367" i="3" s="1"/>
  <c r="DB367" i="3" s="1"/>
  <c r="CB367" i="3" s="1"/>
  <c r="CW866" i="3"/>
  <c r="DA866" i="3" s="1"/>
  <c r="DB866" i="3" s="1"/>
  <c r="CB866" i="3" s="1"/>
  <c r="CW845" i="3"/>
  <c r="DA845" i="3" s="1"/>
  <c r="DB845" i="3" s="1"/>
  <c r="CB845" i="3" s="1"/>
  <c r="CW844" i="3"/>
  <c r="DA844" i="3" s="1"/>
  <c r="DB844" i="3" s="1"/>
  <c r="CB844" i="3" s="1"/>
  <c r="CW843" i="3"/>
  <c r="DA843" i="3" s="1"/>
  <c r="DB843" i="3" s="1"/>
  <c r="CB843" i="3" s="1"/>
  <c r="CW829" i="3"/>
  <c r="DA829" i="3" s="1"/>
  <c r="DB829" i="3" s="1"/>
  <c r="CB829" i="3" s="1"/>
  <c r="CW828" i="3"/>
  <c r="DA828" i="3" s="1"/>
  <c r="DB828" i="3" s="1"/>
  <c r="CB828" i="3" s="1"/>
  <c r="CW818" i="3"/>
  <c r="DA818" i="3" s="1"/>
  <c r="DB818" i="3" s="1"/>
  <c r="CB818" i="3" s="1"/>
  <c r="CW801" i="3"/>
  <c r="DA801" i="3" s="1"/>
  <c r="DB801" i="3" s="1"/>
  <c r="CB801" i="3" s="1"/>
  <c r="CW800" i="3"/>
  <c r="DA800" i="3" s="1"/>
  <c r="DB800" i="3" s="1"/>
  <c r="CB800" i="3" s="1"/>
  <c r="CW785" i="3"/>
  <c r="CW779" i="3"/>
  <c r="DA779" i="3" s="1"/>
  <c r="DB779" i="3" s="1"/>
  <c r="CB779" i="3" s="1"/>
  <c r="CW778" i="3"/>
  <c r="DA778" i="3" s="1"/>
  <c r="DB778" i="3" s="1"/>
  <c r="CB778" i="3" s="1"/>
  <c r="CW765" i="3"/>
  <c r="DA765" i="3" s="1"/>
  <c r="DB765" i="3" s="1"/>
  <c r="CB765" i="3" s="1"/>
  <c r="CW757" i="3"/>
  <c r="DA757" i="3" s="1"/>
  <c r="DB757" i="3" s="1"/>
  <c r="CB757" i="3" s="1"/>
  <c r="CW756" i="3"/>
  <c r="DA756" i="3" s="1"/>
  <c r="DB756" i="3" s="1"/>
  <c r="CB756" i="3" s="1"/>
  <c r="CW755" i="3"/>
  <c r="DA755" i="3" s="1"/>
  <c r="DB755" i="3" s="1"/>
  <c r="CB755" i="3" s="1"/>
  <c r="CW754" i="3"/>
  <c r="DA754" i="3" s="1"/>
  <c r="DB754" i="3" s="1"/>
  <c r="CB754" i="3" s="1"/>
  <c r="CW735" i="3"/>
  <c r="DA735" i="3" s="1"/>
  <c r="DB735" i="3" s="1"/>
  <c r="CB735" i="3" s="1"/>
  <c r="CW734" i="3"/>
  <c r="DA734" i="3" s="1"/>
  <c r="DB734" i="3" s="1"/>
  <c r="CB734" i="3" s="1"/>
  <c r="CW733" i="3"/>
  <c r="DA733" i="3" s="1"/>
  <c r="DB733" i="3" s="1"/>
  <c r="CB733" i="3" s="1"/>
  <c r="CW732" i="3"/>
  <c r="DA732" i="3" s="1"/>
  <c r="DB732" i="3" s="1"/>
  <c r="CB732" i="3" s="1"/>
  <c r="CW718" i="3"/>
  <c r="CW713" i="3"/>
  <c r="DA713" i="3" s="1"/>
  <c r="DB713" i="3" s="1"/>
  <c r="CB713" i="3" s="1"/>
  <c r="CW712" i="3"/>
  <c r="DA712" i="3" s="1"/>
  <c r="DB712" i="3" s="1"/>
  <c r="CB712" i="3" s="1"/>
  <c r="CW700" i="3"/>
  <c r="DA700" i="3" s="1"/>
  <c r="DB700" i="3" s="1"/>
  <c r="CB700" i="3" s="1"/>
  <c r="CW691" i="3"/>
  <c r="DA691" i="3" s="1"/>
  <c r="DB691" i="3" s="1"/>
  <c r="CB691" i="3" s="1"/>
  <c r="CW690" i="3"/>
  <c r="DA690" i="3" s="1"/>
  <c r="DB690" i="3" s="1"/>
  <c r="CB690" i="3" s="1"/>
  <c r="CW689" i="3"/>
  <c r="DA689" i="3" s="1"/>
  <c r="DB689" i="3" s="1"/>
  <c r="CB689" i="3" s="1"/>
  <c r="CW688" i="3"/>
  <c r="DA688" i="3" s="1"/>
  <c r="DB688" i="3" s="1"/>
  <c r="CB688" i="3" s="1"/>
  <c r="CW675" i="3"/>
  <c r="CW674" i="3"/>
  <c r="CW669" i="3"/>
  <c r="DA669" i="3" s="1"/>
  <c r="DB669" i="3" s="1"/>
  <c r="CB669" i="3" s="1"/>
  <c r="CW668" i="3"/>
  <c r="DA668" i="3" s="1"/>
  <c r="DB668" i="3" s="1"/>
  <c r="CB668" i="3" s="1"/>
  <c r="CW667" i="3"/>
  <c r="DA667" i="3" s="1"/>
  <c r="DB667" i="3" s="1"/>
  <c r="CB667" i="3" s="1"/>
  <c r="CW666" i="3"/>
  <c r="DA666" i="3" s="1"/>
  <c r="DB666" i="3" s="1"/>
  <c r="CB666" i="3" s="1"/>
  <c r="CW653" i="3"/>
  <c r="CW652" i="3"/>
  <c r="CW647" i="3"/>
  <c r="DA647" i="3" s="1"/>
  <c r="DB647" i="3" s="1"/>
  <c r="CB647" i="3" s="1"/>
  <c r="CW646" i="3"/>
  <c r="DA646" i="3" s="1"/>
  <c r="DB646" i="3" s="1"/>
  <c r="CB646" i="3" s="1"/>
  <c r="CW645" i="3"/>
  <c r="DA645" i="3" s="1"/>
  <c r="DB645" i="3" s="1"/>
  <c r="CB645" i="3" s="1"/>
  <c r="CW633" i="3"/>
  <c r="CW632" i="3"/>
  <c r="CW625" i="3"/>
  <c r="DA625" i="3" s="1"/>
  <c r="DB625" i="3" s="1"/>
  <c r="CB625" i="3" s="1"/>
  <c r="CW624" i="3"/>
  <c r="DA624" i="3" s="1"/>
  <c r="DB624" i="3" s="1"/>
  <c r="CB624" i="3" s="1"/>
  <c r="CW623" i="3"/>
  <c r="DA623" i="3" s="1"/>
  <c r="DB623" i="3" s="1"/>
  <c r="CB623" i="3" s="1"/>
  <c r="CW622" i="3"/>
  <c r="DA622" i="3" s="1"/>
  <c r="DB622" i="3" s="1"/>
  <c r="CB622" i="3" s="1"/>
  <c r="CW621" i="3"/>
  <c r="DA621" i="3" s="1"/>
  <c r="DB621" i="3" s="1"/>
  <c r="CB621" i="3" s="1"/>
  <c r="CW610" i="3"/>
  <c r="DA610" i="3" s="1"/>
  <c r="DB610" i="3" s="1"/>
  <c r="CB610" i="3" s="1"/>
  <c r="CW609" i="3"/>
  <c r="DA609" i="3" s="1"/>
  <c r="DB609" i="3" s="1"/>
  <c r="CB609" i="3" s="1"/>
  <c r="CW603" i="3"/>
  <c r="DA603" i="3" s="1"/>
  <c r="DB603" i="3" s="1"/>
  <c r="CB603" i="3" s="1"/>
  <c r="CW602" i="3"/>
  <c r="DA602" i="3" s="1"/>
  <c r="DB602" i="3" s="1"/>
  <c r="CB602" i="3" s="1"/>
  <c r="CW601" i="3"/>
  <c r="DA601" i="3" s="1"/>
  <c r="DB601" i="3" s="1"/>
  <c r="CB601" i="3" s="1"/>
  <c r="CW588" i="3"/>
  <c r="DA588" i="3" s="1"/>
  <c r="DB588" i="3" s="1"/>
  <c r="CB588" i="3" s="1"/>
  <c r="CW587" i="3"/>
  <c r="DA587" i="3" s="1"/>
  <c r="DB587" i="3" s="1"/>
  <c r="CB587" i="3" s="1"/>
  <c r="CW581" i="3"/>
  <c r="DA581" i="3" s="1"/>
  <c r="DB581" i="3" s="1"/>
  <c r="CB581" i="3" s="1"/>
  <c r="CW580" i="3"/>
  <c r="DA580" i="3" s="1"/>
  <c r="DB580" i="3" s="1"/>
  <c r="CB580" i="3" s="1"/>
  <c r="CW579" i="3"/>
  <c r="DA579" i="3" s="1"/>
  <c r="DB579" i="3" s="1"/>
  <c r="CB579" i="3" s="1"/>
  <c r="CW565" i="3"/>
  <c r="DA565" i="3" s="1"/>
  <c r="DB565" i="3" s="1"/>
  <c r="CB565" i="3" s="1"/>
  <c r="CW559" i="3"/>
  <c r="DA559" i="3" s="1"/>
  <c r="DB559" i="3" s="1"/>
  <c r="CB559" i="3" s="1"/>
  <c r="CW558" i="3"/>
  <c r="DA558" i="3" s="1"/>
  <c r="DB558" i="3" s="1"/>
  <c r="CB558" i="3" s="1"/>
  <c r="CW557" i="3"/>
  <c r="DA557" i="3" s="1"/>
  <c r="DB557" i="3" s="1"/>
  <c r="CB557" i="3" s="1"/>
  <c r="CW544" i="3"/>
  <c r="DA544" i="3" s="1"/>
  <c r="DB544" i="3" s="1"/>
  <c r="CB544" i="3" s="1"/>
  <c r="CW543" i="3"/>
  <c r="DA543" i="3" s="1"/>
  <c r="DB543" i="3" s="1"/>
  <c r="CB543" i="3" s="1"/>
  <c r="CW537" i="3"/>
  <c r="DA537" i="3" s="1"/>
  <c r="DB537" i="3" s="1"/>
  <c r="CB537" i="3" s="1"/>
  <c r="CW536" i="3"/>
  <c r="DA536" i="3" s="1"/>
  <c r="DB536" i="3" s="1"/>
  <c r="CB536" i="3" s="1"/>
  <c r="CW535" i="3"/>
  <c r="DA535" i="3" s="1"/>
  <c r="DB535" i="3" s="1"/>
  <c r="CB535" i="3" s="1"/>
  <c r="CW534" i="3"/>
  <c r="DA534" i="3" s="1"/>
  <c r="DB534" i="3" s="1"/>
  <c r="CB534" i="3" s="1"/>
  <c r="CW522" i="3"/>
  <c r="CW515" i="3"/>
  <c r="DA515" i="3" s="1"/>
  <c r="DB515" i="3" s="1"/>
  <c r="CB515" i="3" s="1"/>
  <c r="CW514" i="3"/>
  <c r="DA514" i="3" s="1"/>
  <c r="DB514" i="3" s="1"/>
  <c r="CB514" i="3" s="1"/>
  <c r="CW513" i="3"/>
  <c r="DA513" i="3" s="1"/>
  <c r="DB513" i="3" s="1"/>
  <c r="CB513" i="3" s="1"/>
  <c r="CW512" i="3"/>
  <c r="DA512" i="3" s="1"/>
  <c r="DB512" i="3" s="1"/>
  <c r="CB512" i="3" s="1"/>
  <c r="CW511" i="3"/>
  <c r="DA511" i="3" s="1"/>
  <c r="DB511" i="3" s="1"/>
  <c r="CB511" i="3" s="1"/>
  <c r="CW499" i="3"/>
  <c r="CW498" i="3"/>
  <c r="CW493" i="3"/>
  <c r="DA493" i="3" s="1"/>
  <c r="DB493" i="3" s="1"/>
  <c r="CB493" i="3" s="1"/>
  <c r="CW477" i="3"/>
  <c r="DA477" i="3" s="1"/>
  <c r="DB477" i="3" s="1"/>
  <c r="CB477" i="3" s="1"/>
  <c r="CW476" i="3"/>
  <c r="CW456" i="3"/>
  <c r="DA456" i="3" s="1"/>
  <c r="DB456" i="3" s="1"/>
  <c r="CB456" i="3" s="1"/>
  <c r="CW471" i="3"/>
  <c r="DA471" i="3" s="1"/>
  <c r="DB471" i="3" s="1"/>
  <c r="CB471" i="3" s="1"/>
  <c r="CW470" i="3"/>
  <c r="DA470" i="3" s="1"/>
  <c r="DB470" i="3" s="1"/>
  <c r="CB470" i="3" s="1"/>
  <c r="CW469" i="3"/>
  <c r="DA469" i="3" s="1"/>
  <c r="DB469" i="3" s="1"/>
  <c r="CB469" i="3" s="1"/>
  <c r="CW468" i="3"/>
  <c r="DA468" i="3" s="1"/>
  <c r="DB468" i="3" s="1"/>
  <c r="CB468" i="3" s="1"/>
  <c r="CW457" i="3"/>
  <c r="DA457" i="3" s="1"/>
  <c r="DB457" i="3" s="1"/>
  <c r="CB457" i="3" s="1"/>
  <c r="CW411" i="3"/>
  <c r="DA411" i="3" s="1"/>
  <c r="DB411" i="3" s="1"/>
  <c r="CB411" i="3" s="1"/>
  <c r="CW392" i="3"/>
  <c r="DA392" i="3" s="1"/>
  <c r="DB392" i="3" s="1"/>
  <c r="CB392" i="3" s="1"/>
  <c r="CW340" i="3"/>
  <c r="DA340" i="3" s="1"/>
  <c r="DB340" i="3" s="1"/>
  <c r="CB340" i="3" s="1"/>
  <c r="CW344" i="3"/>
  <c r="DA344" i="3" s="1"/>
  <c r="DB344" i="3" s="1"/>
  <c r="CB344" i="3" s="1"/>
  <c r="CW345" i="3"/>
  <c r="DA345" i="3" s="1"/>
  <c r="DB345" i="3" s="1"/>
  <c r="CB345" i="3" s="1"/>
  <c r="CW346" i="3"/>
  <c r="DA346" i="3" s="1"/>
  <c r="DB346" i="3" s="1"/>
  <c r="CB346" i="3" s="1"/>
  <c r="CW347" i="3"/>
  <c r="CW348" i="3"/>
  <c r="CW349" i="3"/>
  <c r="CW350" i="3"/>
  <c r="CW351" i="3"/>
  <c r="CW352" i="3"/>
  <c r="CW353" i="3"/>
  <c r="CW354" i="3"/>
  <c r="CW355" i="3"/>
  <c r="CW356" i="3"/>
  <c r="DA356" i="3" s="1"/>
  <c r="DB356" i="3" s="1"/>
  <c r="CB356" i="3" s="1"/>
  <c r="CX351" i="3"/>
  <c r="CX350" i="3"/>
  <c r="CX349" i="3"/>
  <c r="CX348" i="3"/>
  <c r="CX347" i="3"/>
  <c r="CX352" i="3"/>
  <c r="CX245" i="3"/>
  <c r="CX244" i="3"/>
  <c r="CX243" i="3"/>
  <c r="CW126" i="3"/>
  <c r="DA126" i="3" s="1"/>
  <c r="DB126" i="3" s="1"/>
  <c r="CB126" i="3" s="1"/>
  <c r="CW125" i="3"/>
  <c r="DA125" i="3" s="1"/>
  <c r="DB125" i="3" s="1"/>
  <c r="CB125" i="3" s="1"/>
  <c r="CX289" i="3"/>
  <c r="CX288" i="3"/>
  <c r="DB288" i="3"/>
  <c r="CB288" i="3" s="1"/>
  <c r="BR302" i="3"/>
  <c r="AH302" i="3"/>
  <c r="AV299" i="3" s="1"/>
  <c r="BG299" i="3" s="1"/>
  <c r="CW3711" i="3"/>
  <c r="DA3711" i="3" s="1"/>
  <c r="DB3711" i="3" s="1"/>
  <c r="CB3711" i="3" s="1"/>
  <c r="CW3710" i="3"/>
  <c r="DA3710" i="3" s="1"/>
  <c r="DB3710" i="3" s="1"/>
  <c r="CB3710" i="3" s="1"/>
  <c r="CW3709" i="3"/>
  <c r="DA3709" i="3" s="1"/>
  <c r="DB3709" i="3" s="1"/>
  <c r="CB3709" i="3" s="1"/>
  <c r="CW3708" i="3"/>
  <c r="DA3708" i="3" s="1"/>
  <c r="DB3708" i="3" s="1"/>
  <c r="CB3708" i="3" s="1"/>
  <c r="CW3707" i="3"/>
  <c r="DA3707" i="3" s="1"/>
  <c r="DB3707" i="3" s="1"/>
  <c r="CB3707" i="3" s="1"/>
  <c r="CW3706" i="3"/>
  <c r="DA3706" i="3" s="1"/>
  <c r="DB3706" i="3" s="1"/>
  <c r="CB3706" i="3" s="1"/>
  <c r="CW3705" i="3"/>
  <c r="DA3705" i="3" s="1"/>
  <c r="DB3705" i="3" s="1"/>
  <c r="CB3705" i="3" s="1"/>
  <c r="CW3703" i="3"/>
  <c r="DA3703" i="3" s="1"/>
  <c r="DB3703" i="3" s="1"/>
  <c r="CB3703" i="3" s="1"/>
  <c r="CW3702" i="3"/>
  <c r="DA3702" i="3" s="1"/>
  <c r="DB3702" i="3" s="1"/>
  <c r="CB3702" i="3" s="1"/>
  <c r="CW3701" i="3"/>
  <c r="DA3701" i="3" s="1"/>
  <c r="DB3701" i="3" s="1"/>
  <c r="CB3701" i="3" s="1"/>
  <c r="CW3700" i="3"/>
  <c r="DA3700" i="3" s="1"/>
  <c r="DB3700" i="3" s="1"/>
  <c r="CB3700" i="3" s="1"/>
  <c r="CW3699" i="3"/>
  <c r="DA3699" i="3" s="1"/>
  <c r="DB3699" i="3" s="1"/>
  <c r="CB3699" i="3" s="1"/>
  <c r="CW3698" i="3"/>
  <c r="DA3698" i="3" s="1"/>
  <c r="DB3698" i="3" s="1"/>
  <c r="CB3698" i="3" s="1"/>
  <c r="CW3697" i="3"/>
  <c r="DA3697" i="3" s="1"/>
  <c r="DB3697" i="3" s="1"/>
  <c r="CB3697" i="3" s="1"/>
  <c r="CW3695" i="3"/>
  <c r="DA3695" i="3" s="1"/>
  <c r="DB3695" i="3" s="1"/>
  <c r="CB3695" i="3" s="1"/>
  <c r="CW3694" i="3"/>
  <c r="DA3694" i="3" s="1"/>
  <c r="DB3694" i="3" s="1"/>
  <c r="CB3694" i="3" s="1"/>
  <c r="CW3693" i="3"/>
  <c r="DA3693" i="3" s="1"/>
  <c r="DB3693" i="3" s="1"/>
  <c r="CB3693" i="3" s="1"/>
  <c r="CW3692" i="3"/>
  <c r="DA3692" i="3" s="1"/>
  <c r="DB3692" i="3" s="1"/>
  <c r="CB3692" i="3" s="1"/>
  <c r="CW3691" i="3"/>
  <c r="DA3691" i="3" s="1"/>
  <c r="DB3691" i="3" s="1"/>
  <c r="CB3691" i="3" s="1"/>
  <c r="CW3690" i="3"/>
  <c r="DA3690" i="3" s="1"/>
  <c r="DB3690" i="3" s="1"/>
  <c r="CB3690" i="3" s="1"/>
  <c r="CW3689" i="3"/>
  <c r="DA3689" i="3" s="1"/>
  <c r="DB3689" i="3" s="1"/>
  <c r="CB3689" i="3" s="1"/>
  <c r="CW3687" i="3"/>
  <c r="DA3687" i="3" s="1"/>
  <c r="DB3687" i="3" s="1"/>
  <c r="CB3687" i="3" s="1"/>
  <c r="CW3680" i="3"/>
  <c r="DA3680" i="3" s="1"/>
  <c r="DB3680" i="3" s="1"/>
  <c r="CB3680" i="3" s="1"/>
  <c r="CW3679" i="3"/>
  <c r="DA3679" i="3" s="1"/>
  <c r="DB3679" i="3" s="1"/>
  <c r="CB3679" i="3" s="1"/>
  <c r="CW3678" i="3"/>
  <c r="DA3678" i="3" s="1"/>
  <c r="DB3678" i="3" s="1"/>
  <c r="CB3678" i="3" s="1"/>
  <c r="CW3677" i="3"/>
  <c r="DA3677" i="3" s="1"/>
  <c r="DB3677" i="3" s="1"/>
  <c r="CB3677" i="3" s="1"/>
  <c r="CW3676" i="3"/>
  <c r="DA3676" i="3" s="1"/>
  <c r="DB3676" i="3" s="1"/>
  <c r="CB3676" i="3" s="1"/>
  <c r="CW3675" i="3"/>
  <c r="DA3675" i="3" s="1"/>
  <c r="DB3675" i="3" s="1"/>
  <c r="CB3675" i="3" s="1"/>
  <c r="CW3674" i="3"/>
  <c r="DA3674" i="3" s="1"/>
  <c r="DB3674" i="3" s="1"/>
  <c r="CB3674" i="3" s="1"/>
  <c r="CW3672" i="3"/>
  <c r="DA3672" i="3" s="1"/>
  <c r="DB3672" i="3" s="1"/>
  <c r="CB3672" i="3" s="1"/>
  <c r="CW3671" i="3"/>
  <c r="DA3671" i="3" s="1"/>
  <c r="DB3671" i="3" s="1"/>
  <c r="CB3671" i="3" s="1"/>
  <c r="CW3670" i="3"/>
  <c r="DA3670" i="3" s="1"/>
  <c r="DB3670" i="3" s="1"/>
  <c r="CB3670" i="3" s="1"/>
  <c r="CW3669" i="3"/>
  <c r="DA3669" i="3" s="1"/>
  <c r="DB3669" i="3" s="1"/>
  <c r="CB3669" i="3" s="1"/>
  <c r="CW3668" i="3"/>
  <c r="DA3668" i="3" s="1"/>
  <c r="DB3668" i="3" s="1"/>
  <c r="CB3668" i="3" s="1"/>
  <c r="CW3667" i="3"/>
  <c r="DA3667" i="3" s="1"/>
  <c r="DB3667" i="3" s="1"/>
  <c r="CB3667" i="3" s="1"/>
  <c r="CW3666" i="3"/>
  <c r="DA3666" i="3" s="1"/>
  <c r="DB3666" i="3" s="1"/>
  <c r="CB3666" i="3" s="1"/>
  <c r="CW3664" i="3"/>
  <c r="DA3664" i="3" s="1"/>
  <c r="DB3664" i="3" s="1"/>
  <c r="CB3664" i="3" s="1"/>
  <c r="CW3663" i="3"/>
  <c r="DA3663" i="3" s="1"/>
  <c r="DB3663" i="3" s="1"/>
  <c r="CB3663" i="3" s="1"/>
  <c r="CW3662" i="3"/>
  <c r="DA3662" i="3" s="1"/>
  <c r="DB3662" i="3" s="1"/>
  <c r="CB3662" i="3" s="1"/>
  <c r="CW3661" i="3"/>
  <c r="DA3661" i="3" s="1"/>
  <c r="DB3661" i="3" s="1"/>
  <c r="CB3661" i="3" s="1"/>
  <c r="CW3660" i="3"/>
  <c r="DA3660" i="3" s="1"/>
  <c r="DB3660" i="3" s="1"/>
  <c r="CB3660" i="3" s="1"/>
  <c r="CW3659" i="3"/>
  <c r="DA3659" i="3" s="1"/>
  <c r="DB3659" i="3" s="1"/>
  <c r="CB3659" i="3" s="1"/>
  <c r="CW3658" i="3"/>
  <c r="DA3658" i="3" s="1"/>
  <c r="DB3658" i="3" s="1"/>
  <c r="CB3658" i="3" s="1"/>
  <c r="CW3656" i="3"/>
  <c r="DA3656" i="3" s="1"/>
  <c r="DB3656" i="3" s="1"/>
  <c r="CB3656" i="3" s="1"/>
  <c r="CW3655" i="3"/>
  <c r="DA3655" i="3" s="1"/>
  <c r="DB3655" i="3" s="1"/>
  <c r="CB3655" i="3" s="1"/>
  <c r="CW3654" i="3"/>
  <c r="DA3654" i="3" s="1"/>
  <c r="DB3654" i="3" s="1"/>
  <c r="CB3654" i="3" s="1"/>
  <c r="CW3653" i="3"/>
  <c r="DA3653" i="3" s="1"/>
  <c r="DB3653" i="3" s="1"/>
  <c r="CB3653" i="3" s="1"/>
  <c r="CW3652" i="3"/>
  <c r="DA3652" i="3" s="1"/>
  <c r="DB3652" i="3" s="1"/>
  <c r="CB3652" i="3" s="1"/>
  <c r="CW3651" i="3"/>
  <c r="DA3651" i="3" s="1"/>
  <c r="DB3651" i="3" s="1"/>
  <c r="CB3651" i="3" s="1"/>
  <c r="CW3650" i="3"/>
  <c r="DA3650" i="3" s="1"/>
  <c r="DB3650" i="3" s="1"/>
  <c r="CB3650" i="3" s="1"/>
  <c r="CW3648" i="3"/>
  <c r="DA3648" i="3" s="1"/>
  <c r="DB3648" i="3" s="1"/>
  <c r="CB3648" i="3" s="1"/>
  <c r="CW3647" i="3"/>
  <c r="DA3647" i="3" s="1"/>
  <c r="DB3647" i="3" s="1"/>
  <c r="CB3647" i="3" s="1"/>
  <c r="CW3646" i="3"/>
  <c r="DA3646" i="3" s="1"/>
  <c r="DB3646" i="3" s="1"/>
  <c r="CB3646" i="3" s="1"/>
  <c r="CW3645" i="3"/>
  <c r="DA3645" i="3" s="1"/>
  <c r="DB3645" i="3" s="1"/>
  <c r="CB3645" i="3" s="1"/>
  <c r="CW3644" i="3"/>
  <c r="DA3644" i="3" s="1"/>
  <c r="DB3644" i="3" s="1"/>
  <c r="CB3644" i="3" s="1"/>
  <c r="CW3643" i="3"/>
  <c r="DA3643" i="3" s="1"/>
  <c r="DB3643" i="3" s="1"/>
  <c r="CB3643" i="3" s="1"/>
  <c r="CW3640" i="3"/>
  <c r="DA3640" i="3" s="1"/>
  <c r="DB3640" i="3" s="1"/>
  <c r="CB3640" i="3" s="1"/>
  <c r="CW3449" i="3"/>
  <c r="CW3364" i="3"/>
  <c r="DA3364" i="3" s="1"/>
  <c r="DB3364" i="3" s="1"/>
  <c r="CB3364" i="3" s="1"/>
  <c r="CW3363" i="3"/>
  <c r="DA3363" i="3" s="1"/>
  <c r="DB3363" i="3" s="1"/>
  <c r="CB3363" i="3" s="1"/>
  <c r="CW3362" i="3"/>
  <c r="DA3362" i="3" s="1"/>
  <c r="DB3362" i="3" s="1"/>
  <c r="CB3362" i="3" s="1"/>
  <c r="CW3361" i="3"/>
  <c r="DA3361" i="3" s="1"/>
  <c r="DB3361" i="3" s="1"/>
  <c r="CB3361" i="3" s="1"/>
  <c r="CW3360" i="3"/>
  <c r="DA3360" i="3" s="1"/>
  <c r="DB3360" i="3" s="1"/>
  <c r="CB3360" i="3" s="1"/>
  <c r="CW3345" i="3"/>
  <c r="DA3345" i="3" s="1"/>
  <c r="DB3345" i="3" s="1"/>
  <c r="CB3345" i="3" s="1"/>
  <c r="CY3336" i="3"/>
  <c r="CY3335" i="3"/>
  <c r="DB3335" i="3"/>
  <c r="CB3335" i="3" s="1"/>
  <c r="CY3334" i="3"/>
  <c r="CY3333" i="3"/>
  <c r="CY3332" i="3"/>
  <c r="CY3331" i="3"/>
  <c r="CY3330" i="3"/>
  <c r="CX3337" i="3"/>
  <c r="DB3337" i="3"/>
  <c r="CB3337" i="3" s="1"/>
  <c r="CX3336" i="3"/>
  <c r="CX3335" i="3"/>
  <c r="CX3334" i="3"/>
  <c r="DB3334" i="3"/>
  <c r="CB3334" i="3" s="1"/>
  <c r="CX3333" i="3"/>
  <c r="CX3332" i="3"/>
  <c r="CX3331" i="3"/>
  <c r="CX3330" i="3"/>
  <c r="CX3318" i="3"/>
  <c r="DB3318" i="3"/>
  <c r="CB3318" i="3" s="1"/>
  <c r="CX3317" i="3"/>
  <c r="CX3316" i="3"/>
  <c r="CX3315" i="3"/>
  <c r="CX3314" i="3"/>
  <c r="DB3314" i="3"/>
  <c r="CB3314" i="3" s="1"/>
  <c r="CX3313" i="3"/>
  <c r="DB3313" i="3"/>
  <c r="CB3313" i="3" s="1"/>
  <c r="CX3312" i="3"/>
  <c r="CX3311" i="3"/>
  <c r="DB3311" i="3"/>
  <c r="CB3311" i="3" s="1"/>
  <c r="CY3306" i="3"/>
  <c r="CY3305" i="3"/>
  <c r="CY3304" i="3"/>
  <c r="CY3303" i="3"/>
  <c r="CY3302" i="3"/>
  <c r="CY3301" i="3"/>
  <c r="CY3300" i="3"/>
  <c r="DB3300" i="3"/>
  <c r="CB3300" i="3" s="1"/>
  <c r="CX3307" i="3"/>
  <c r="DB3307" i="3"/>
  <c r="CB3307" i="3" s="1"/>
  <c r="CX3306" i="3"/>
  <c r="CX3305" i="3"/>
  <c r="CX3304" i="3"/>
  <c r="CX3303" i="3"/>
  <c r="CX3302" i="3"/>
  <c r="DB3302" i="3"/>
  <c r="CB3302" i="3" s="1"/>
  <c r="CX3301" i="3"/>
  <c r="DB3301" i="3"/>
  <c r="CB3301" i="3" s="1"/>
  <c r="CX3300" i="3"/>
  <c r="CX3286" i="3"/>
  <c r="DB3286" i="3"/>
  <c r="CB3286" i="3" s="1"/>
  <c r="CX3285" i="3"/>
  <c r="CX3284" i="3"/>
  <c r="CX3283" i="3"/>
  <c r="CX3282" i="3"/>
  <c r="CX3281" i="3"/>
  <c r="CX3205" i="3"/>
  <c r="CX3204" i="3"/>
  <c r="CX3203" i="3"/>
  <c r="CX3202" i="3"/>
  <c r="CX3201" i="3"/>
  <c r="CX3200" i="3"/>
  <c r="CX3197" i="3"/>
  <c r="CX3196" i="3"/>
  <c r="CX3195" i="3"/>
  <c r="CX3194" i="3"/>
  <c r="CX3193" i="3"/>
  <c r="CX3192" i="3"/>
  <c r="CX3191" i="3"/>
  <c r="CX3190" i="3"/>
  <c r="CX3189" i="3"/>
  <c r="CX3188" i="3"/>
  <c r="CX3187" i="3"/>
  <c r="CX3186" i="3"/>
  <c r="CX3185" i="3"/>
  <c r="CX3180" i="3"/>
  <c r="CX3179" i="3"/>
  <c r="CX3178" i="3"/>
  <c r="CX3177" i="3"/>
  <c r="CX3176" i="3"/>
  <c r="CX3175" i="3"/>
  <c r="CX3170" i="3"/>
  <c r="CX3169" i="3"/>
  <c r="CX3168" i="3"/>
  <c r="CX3167" i="3"/>
  <c r="CX3166" i="3"/>
  <c r="CX3165" i="3"/>
  <c r="CX3164" i="3"/>
  <c r="CX3163" i="3"/>
  <c r="DB3163" i="3"/>
  <c r="CB3163" i="3" s="1"/>
  <c r="CX3162" i="3"/>
  <c r="CX3161" i="3"/>
  <c r="CX3160" i="3"/>
  <c r="CX3159" i="3"/>
  <c r="CX3158" i="3"/>
  <c r="CX3157" i="3"/>
  <c r="CX3156" i="3"/>
  <c r="CX3155" i="3"/>
  <c r="CX3154" i="3"/>
  <c r="CX3153" i="3"/>
  <c r="CX3152" i="3"/>
  <c r="CX3151" i="3"/>
  <c r="CX3150" i="3"/>
  <c r="CX3149" i="3"/>
  <c r="CX3148" i="3"/>
  <c r="CX3147" i="3"/>
  <c r="CX3146" i="3"/>
  <c r="CX3145" i="3"/>
  <c r="CX3144" i="3"/>
  <c r="CX3113" i="3"/>
  <c r="CX3112" i="3"/>
  <c r="CX3111" i="3"/>
  <c r="CX3110" i="3"/>
  <c r="CX3109" i="3"/>
  <c r="CX3108" i="3"/>
  <c r="CX3107" i="3"/>
  <c r="CX3106" i="3"/>
  <c r="CX3105" i="3"/>
  <c r="CX3104" i="3"/>
  <c r="CX3103" i="3"/>
  <c r="CX3102" i="3"/>
  <c r="CY3096" i="3"/>
  <c r="CY3095" i="3"/>
  <c r="CY3094" i="3"/>
  <c r="CY3089" i="3"/>
  <c r="CX3097" i="3"/>
  <c r="CX3096" i="3"/>
  <c r="CX3095" i="3"/>
  <c r="CX3094" i="3"/>
  <c r="CX3089" i="3"/>
  <c r="CX3088" i="3"/>
  <c r="CX3087" i="3"/>
  <c r="CX3086" i="3"/>
  <c r="CY3080" i="3"/>
  <c r="CY3079" i="3"/>
  <c r="CY3078" i="3"/>
  <c r="CY3066" i="3"/>
  <c r="CY3065" i="3"/>
  <c r="CY3052" i="3"/>
  <c r="CY3051" i="3"/>
  <c r="CY3050" i="3"/>
  <c r="CX3081" i="3"/>
  <c r="CX3080" i="3"/>
  <c r="CX3079" i="3"/>
  <c r="CX3078" i="3"/>
  <c r="CX3072" i="3"/>
  <c r="CX3071" i="3"/>
  <c r="CX3070" i="3"/>
  <c r="CX3067" i="3"/>
  <c r="CX3066" i="3"/>
  <c r="CX3065" i="3"/>
  <c r="CX3058" i="3"/>
  <c r="CX3057" i="3"/>
  <c r="CX3056" i="3"/>
  <c r="CX3053" i="3"/>
  <c r="CX3052" i="3"/>
  <c r="CX3051" i="3"/>
  <c r="CX3050" i="3"/>
  <c r="CX3044" i="3"/>
  <c r="CX3043" i="3"/>
  <c r="CX3042" i="3"/>
  <c r="CX3012" i="3"/>
  <c r="DB3012" i="3"/>
  <c r="CB3012" i="3" s="1"/>
  <c r="CX3011" i="3"/>
  <c r="CW2947" i="3"/>
  <c r="CW2946" i="3"/>
  <c r="DB2946" i="3"/>
  <c r="CB2946" i="3" s="1"/>
  <c r="CW2945" i="3"/>
  <c r="CW2944" i="3"/>
  <c r="DB2944" i="3"/>
  <c r="CB2944" i="3" s="1"/>
  <c r="CW2943" i="3"/>
  <c r="CW2942" i="3"/>
  <c r="DB2942" i="3"/>
  <c r="CB2942" i="3" s="1"/>
  <c r="CW2941" i="3"/>
  <c r="CW2940" i="3"/>
  <c r="DA2940" i="3" s="1"/>
  <c r="CW2939" i="3"/>
  <c r="CW2938" i="3"/>
  <c r="DB2938" i="3"/>
  <c r="CB2938" i="3" s="1"/>
  <c r="CW2937" i="3"/>
  <c r="CW2935" i="3"/>
  <c r="DB2935" i="3"/>
  <c r="CB2935" i="3" s="1"/>
  <c r="CW2934" i="3"/>
  <c r="DB2934" i="3"/>
  <c r="CB2934" i="3" s="1"/>
  <c r="CW2933" i="3"/>
  <c r="CW2932" i="3"/>
  <c r="DB2932" i="3"/>
  <c r="CB2932" i="3" s="1"/>
  <c r="CW2931" i="3"/>
  <c r="DA2931" i="3" s="1"/>
  <c r="CW2930" i="3"/>
  <c r="CW2929" i="3"/>
  <c r="DB2929" i="3"/>
  <c r="CB2929" i="3" s="1"/>
  <c r="CW2928" i="3"/>
  <c r="CW2927" i="3"/>
  <c r="DB2927" i="3"/>
  <c r="CB2927" i="3" s="1"/>
  <c r="CW2926" i="3"/>
  <c r="CW2925" i="3"/>
  <c r="DA2925" i="3" s="1"/>
  <c r="DB2925" i="3"/>
  <c r="CB2925" i="3" s="1"/>
  <c r="CW2924" i="3"/>
  <c r="CW2923" i="3"/>
  <c r="CW2922" i="3"/>
  <c r="CW2921" i="3"/>
  <c r="DB2921" i="3"/>
  <c r="CB2921" i="3" s="1"/>
  <c r="CW2920" i="3"/>
  <c r="CW2919" i="3"/>
  <c r="CW2918" i="3"/>
  <c r="DA2918" i="3" s="1"/>
  <c r="DB2918" i="3"/>
  <c r="CB2918" i="3" s="1"/>
  <c r="CW2917" i="3"/>
  <c r="DB2917" i="3"/>
  <c r="CB2917" i="3" s="1"/>
  <c r="CW2916" i="3"/>
  <c r="DB2916" i="3"/>
  <c r="CB2916" i="3" s="1"/>
  <c r="CX2886" i="3"/>
  <c r="DB2886" i="3"/>
  <c r="CB2886" i="3" s="1"/>
  <c r="CX2885" i="3"/>
  <c r="DB2885" i="3"/>
  <c r="CB2885" i="3" s="1"/>
  <c r="CX2867" i="3"/>
  <c r="CX2852" i="3"/>
  <c r="CX2845" i="3"/>
  <c r="DB2845" i="3"/>
  <c r="CB2845" i="3" s="1"/>
  <c r="CX2838" i="3"/>
  <c r="CX2837" i="3"/>
  <c r="CX2836" i="3"/>
  <c r="CX2835" i="3"/>
  <c r="DB2835" i="3"/>
  <c r="CB2835" i="3" s="1"/>
  <c r="CX2834" i="3"/>
  <c r="CX2833" i="3"/>
  <c r="DB2833" i="3"/>
  <c r="CB2833" i="3" s="1"/>
  <c r="CX2832" i="3"/>
  <c r="DB2832" i="3"/>
  <c r="CB2832" i="3" s="1"/>
  <c r="CX2831" i="3"/>
  <c r="CX2827" i="3"/>
  <c r="CX2826" i="3"/>
  <c r="CX2825" i="3"/>
  <c r="CX2824" i="3"/>
  <c r="DB2824" i="3"/>
  <c r="CB2824" i="3" s="1"/>
  <c r="CX2823" i="3"/>
  <c r="CX2822" i="3"/>
  <c r="CX2821" i="3"/>
  <c r="DB2821" i="3"/>
  <c r="CB2821" i="3" s="1"/>
  <c r="CX2820" i="3"/>
  <c r="CX2776" i="3"/>
  <c r="DA2776" i="3" s="1"/>
  <c r="DB2776" i="3"/>
  <c r="CB2776" i="3" s="1"/>
  <c r="CX2775" i="3"/>
  <c r="DB2775" i="3"/>
  <c r="CB2775" i="3" s="1"/>
  <c r="CX2774" i="3"/>
  <c r="DB2774" i="3"/>
  <c r="CB2774" i="3" s="1"/>
  <c r="CX2773" i="3"/>
  <c r="CX2772" i="3"/>
  <c r="CX2771" i="3"/>
  <c r="CX2720" i="3"/>
  <c r="DB2720" i="3"/>
  <c r="CB2720" i="3" s="1"/>
  <c r="CX2706" i="3"/>
  <c r="CX2705" i="3"/>
  <c r="DB2705" i="3"/>
  <c r="CB2705" i="3" s="1"/>
  <c r="CX2704" i="3"/>
  <c r="DB2704" i="3"/>
  <c r="CB2704" i="3" s="1"/>
  <c r="CX2695" i="3"/>
  <c r="CX2694" i="3"/>
  <c r="CX2693" i="3"/>
  <c r="DB2693" i="3"/>
  <c r="CB2693" i="3" s="1"/>
  <c r="CW2654" i="3"/>
  <c r="CW2653" i="3"/>
  <c r="DB2653" i="3"/>
  <c r="CB2653" i="3" s="1"/>
  <c r="CW2652" i="3"/>
  <c r="CW2651" i="3"/>
  <c r="DB2651" i="3"/>
  <c r="CB2651" i="3" s="1"/>
  <c r="CW2650" i="3"/>
  <c r="DA2650" i="3" s="1"/>
  <c r="DB2650" i="3"/>
  <c r="CB2650" i="3" s="1"/>
  <c r="CW2649" i="3"/>
  <c r="DB2649" i="3"/>
  <c r="CB2649" i="3" s="1"/>
  <c r="CW2648" i="3"/>
  <c r="CW2647" i="3"/>
  <c r="DB2647" i="3"/>
  <c r="CB2647" i="3" s="1"/>
  <c r="CW2646" i="3"/>
  <c r="DB2646" i="3"/>
  <c r="CB2646" i="3" s="1"/>
  <c r="CW2645" i="3"/>
  <c r="DB2645" i="3"/>
  <c r="CB2645" i="3" s="1"/>
  <c r="CW2644" i="3"/>
  <c r="DB2644" i="3"/>
  <c r="CB2644" i="3" s="1"/>
  <c r="CW2643" i="3"/>
  <c r="CW2642" i="3"/>
  <c r="DB2642" i="3"/>
  <c r="CB2642" i="3" s="1"/>
  <c r="CW2641" i="3"/>
  <c r="CW2640" i="3"/>
  <c r="CW2639" i="3"/>
  <c r="CX2553" i="3"/>
  <c r="CX2552" i="3"/>
  <c r="CX2542" i="3"/>
  <c r="CX2541" i="3"/>
  <c r="CX2526" i="3"/>
  <c r="CX2525" i="3"/>
  <c r="CX2515" i="3"/>
  <c r="CW2507" i="3"/>
  <c r="DA2507" i="3" s="1"/>
  <c r="DB2507" i="3" s="1"/>
  <c r="CB2507" i="3" s="1"/>
  <c r="CW2506" i="3"/>
  <c r="DA2506" i="3" s="1"/>
  <c r="DB2506" i="3" s="1"/>
  <c r="CB2506" i="3" s="1"/>
  <c r="CW2505" i="3"/>
  <c r="DA2505" i="3" s="1"/>
  <c r="DB2505" i="3" s="1"/>
  <c r="CB2505" i="3" s="1"/>
  <c r="CW2504" i="3"/>
  <c r="DA2504" i="3" s="1"/>
  <c r="DB2504" i="3" s="1"/>
  <c r="CB2504" i="3" s="1"/>
  <c r="CW2503" i="3"/>
  <c r="DA2503" i="3" s="1"/>
  <c r="DB2503" i="3" s="1"/>
  <c r="CB2503" i="3" s="1"/>
  <c r="CX2451" i="3"/>
  <c r="CX2450" i="3"/>
  <c r="DB2450" i="3"/>
  <c r="CB2450" i="3" s="1"/>
  <c r="CX2449" i="3"/>
  <c r="DA2449" i="3" s="1"/>
  <c r="CX2448" i="3"/>
  <c r="DB2448" i="3"/>
  <c r="CB2448" i="3" s="1"/>
  <c r="CX2447" i="3"/>
  <c r="CX2446" i="3"/>
  <c r="CX2445" i="3"/>
  <c r="CX2444" i="3"/>
  <c r="CX2440" i="3"/>
  <c r="DB2440" i="3"/>
  <c r="CB2440" i="3" s="1"/>
  <c r="CX2439" i="3"/>
  <c r="CX2438" i="3"/>
  <c r="DB2438" i="3"/>
  <c r="CB2438" i="3" s="1"/>
  <c r="CX2437" i="3"/>
  <c r="DB2437" i="3"/>
  <c r="CB2437" i="3" s="1"/>
  <c r="CX2436" i="3"/>
  <c r="CX2435" i="3"/>
  <c r="DB2435" i="3"/>
  <c r="CB2435" i="3" s="1"/>
  <c r="CX2434" i="3"/>
  <c r="DB2434" i="3"/>
  <c r="CB2434" i="3" s="1"/>
  <c r="CX2433" i="3"/>
  <c r="CX2429" i="3"/>
  <c r="CX2428" i="3"/>
  <c r="CX2427" i="3"/>
  <c r="DB2427" i="3"/>
  <c r="CB2427" i="3" s="1"/>
  <c r="CX2426" i="3"/>
  <c r="DB2426" i="3"/>
  <c r="CB2426" i="3" s="1"/>
  <c r="CX2425" i="3"/>
  <c r="DB2425" i="3"/>
  <c r="CB2425" i="3" s="1"/>
  <c r="CX2424" i="3"/>
  <c r="CX2423" i="3"/>
  <c r="CX2422" i="3"/>
  <c r="CX2418" i="3"/>
  <c r="DB2418" i="3"/>
  <c r="CB2418" i="3" s="1"/>
  <c r="CX2417" i="3"/>
  <c r="DB2417" i="3"/>
  <c r="CB2417" i="3" s="1"/>
  <c r="CX2416" i="3"/>
  <c r="DB2416" i="3"/>
  <c r="CB2416" i="3" s="1"/>
  <c r="CX2415" i="3"/>
  <c r="CX2414" i="3"/>
  <c r="DB2414" i="3"/>
  <c r="CB2414" i="3" s="1"/>
  <c r="CX2413" i="3"/>
  <c r="CX2412" i="3"/>
  <c r="CX2411" i="3"/>
  <c r="DB2411" i="3"/>
  <c r="CB2411" i="3" s="1"/>
  <c r="CY2397" i="3"/>
  <c r="CY2396" i="3"/>
  <c r="CY2395" i="3"/>
  <c r="DB2395" i="3"/>
  <c r="CB2395" i="3" s="1"/>
  <c r="CY2386" i="3"/>
  <c r="DB2386" i="3"/>
  <c r="CB2386" i="3" s="1"/>
  <c r="CY2385" i="3"/>
  <c r="CY2384" i="3"/>
  <c r="CY2375" i="3"/>
  <c r="CY2374" i="3"/>
  <c r="CY2373" i="3"/>
  <c r="DB2373" i="3"/>
  <c r="CB2373" i="3" s="1"/>
  <c r="CX2398" i="3"/>
  <c r="CX2397" i="3"/>
  <c r="DB2397" i="3"/>
  <c r="CB2397" i="3" s="1"/>
  <c r="CX2396" i="3"/>
  <c r="CX2367" i="3"/>
  <c r="DB2367" i="3"/>
  <c r="CB2367" i="3" s="1"/>
  <c r="CX2366" i="3"/>
  <c r="DB2366" i="3"/>
  <c r="CB2366" i="3" s="1"/>
  <c r="CX2365" i="3"/>
  <c r="CX2364" i="3"/>
  <c r="CX2363" i="3"/>
  <c r="CX2362" i="3"/>
  <c r="CX2361" i="3"/>
  <c r="DB2361" i="3"/>
  <c r="CB2361" i="3" s="1"/>
  <c r="CX2360" i="3"/>
  <c r="CY2355" i="3"/>
  <c r="CY2354" i="3"/>
  <c r="DB2354" i="3"/>
  <c r="CB2354" i="3" s="1"/>
  <c r="CY2345" i="3"/>
  <c r="CY2344" i="3"/>
  <c r="CY2338" i="3"/>
  <c r="CX2356" i="3"/>
  <c r="CX2355" i="3"/>
  <c r="CX2338" i="3"/>
  <c r="CX2337" i="3"/>
  <c r="DB2337" i="3"/>
  <c r="CB2337" i="3" s="1"/>
  <c r="CX2336" i="3"/>
  <c r="CX2335" i="3"/>
  <c r="CX2334" i="3"/>
  <c r="CX2333" i="3"/>
  <c r="DB2333" i="3"/>
  <c r="CB2333" i="3" s="1"/>
  <c r="CX2332" i="3"/>
  <c r="CX2263" i="3"/>
  <c r="DB2263" i="3"/>
  <c r="CB2263" i="3" s="1"/>
  <c r="CW2232" i="3"/>
  <c r="DB2232" i="3"/>
  <c r="CB2232" i="3" s="1"/>
  <c r="CX2226" i="3"/>
  <c r="DB2226" i="3"/>
  <c r="CB2226" i="3" s="1"/>
  <c r="CX2225" i="3"/>
  <c r="CX2224" i="3"/>
  <c r="CX2223" i="3"/>
  <c r="CX2222" i="3"/>
  <c r="CX2221" i="3"/>
  <c r="DB2221" i="3"/>
  <c r="CB2221" i="3" s="1"/>
  <c r="CX2220" i="3"/>
  <c r="DB2220" i="3"/>
  <c r="CB2220" i="3" s="1"/>
  <c r="CX2219" i="3"/>
  <c r="CX2218" i="3"/>
  <c r="CX2217" i="3"/>
  <c r="CX2216" i="3"/>
  <c r="DB2216" i="3"/>
  <c r="CB2216" i="3" s="1"/>
  <c r="CX2169" i="3"/>
  <c r="CX2168" i="3"/>
  <c r="DB2168" i="3"/>
  <c r="CB2168" i="3" s="1"/>
  <c r="CY2146" i="3"/>
  <c r="CY2145" i="3"/>
  <c r="CY2144" i="3"/>
  <c r="CY2139" i="3"/>
  <c r="CY2128" i="3"/>
  <c r="CX2117" i="3"/>
  <c r="CX2116" i="3"/>
  <c r="CX2115" i="3"/>
  <c r="CX2114" i="3"/>
  <c r="DB2114" i="3"/>
  <c r="CB2114" i="3" s="1"/>
  <c r="CX2106" i="3"/>
  <c r="DB2106" i="3"/>
  <c r="CB2106" i="3" s="1"/>
  <c r="CX2105" i="3"/>
  <c r="CX2042" i="3"/>
  <c r="DB2042" i="3"/>
  <c r="CB2042" i="3" s="1"/>
  <c r="CX2040" i="3"/>
  <c r="CX2039" i="3"/>
  <c r="DA2039" i="3" s="1"/>
  <c r="CX2021" i="3"/>
  <c r="CX2020" i="3"/>
  <c r="CX2019" i="3"/>
  <c r="CX2018" i="3"/>
  <c r="CX2017" i="3"/>
  <c r="CX2016" i="3"/>
  <c r="CX2015" i="3"/>
  <c r="CX2014" i="3"/>
  <c r="CX2013" i="3"/>
  <c r="CX2012" i="3"/>
  <c r="CX2011" i="3"/>
  <c r="CX2010" i="3"/>
  <c r="CX2009" i="3"/>
  <c r="CX2008" i="3"/>
  <c r="CX2007" i="3"/>
  <c r="CX2006" i="3"/>
  <c r="CW2000" i="3"/>
  <c r="DA2000" i="3" s="1"/>
  <c r="DB2000" i="3"/>
  <c r="CB2000" i="3" s="1"/>
  <c r="CW1981" i="3"/>
  <c r="DA1981" i="3" s="1"/>
  <c r="DB1981" i="3"/>
  <c r="CB1981" i="3" s="1"/>
  <c r="CW1978" i="3"/>
  <c r="DB1978" i="3"/>
  <c r="CB1978" i="3" s="1"/>
  <c r="CW1977" i="3"/>
  <c r="CW1976" i="3"/>
  <c r="DA1976" i="3" s="1"/>
  <c r="DB1976" i="3"/>
  <c r="CB1976" i="3" s="1"/>
  <c r="CW1975" i="3"/>
  <c r="CW1974" i="3"/>
  <c r="DB1974" i="3"/>
  <c r="CB1974" i="3" s="1"/>
  <c r="CW1973" i="3"/>
  <c r="DB1973" i="3"/>
  <c r="CB1973" i="3" s="1"/>
  <c r="CW1972" i="3"/>
  <c r="DB1972" i="3"/>
  <c r="CB1972" i="3" s="1"/>
  <c r="CW1971" i="3"/>
  <c r="CW1970" i="3"/>
  <c r="DB1970" i="3"/>
  <c r="CB1970" i="3" s="1"/>
  <c r="CW1969" i="3"/>
  <c r="CW1968" i="3"/>
  <c r="DB1968" i="3"/>
  <c r="CB1968" i="3" s="1"/>
  <c r="CW1967" i="3"/>
  <c r="DB1967" i="3"/>
  <c r="CB1967" i="3" s="1"/>
  <c r="CW1966" i="3"/>
  <c r="DB1966" i="3"/>
  <c r="CB1966" i="3" s="1"/>
  <c r="CX1934" i="3"/>
  <c r="CX1933" i="3"/>
  <c r="CX1932" i="3"/>
  <c r="CX1931" i="3"/>
  <c r="CX1930" i="3"/>
  <c r="CX1929" i="3"/>
  <c r="DB1929" i="3"/>
  <c r="CB1929" i="3" s="1"/>
  <c r="CX1928" i="3"/>
  <c r="CX1927" i="3"/>
  <c r="CX1923" i="3"/>
  <c r="CX1922" i="3"/>
  <c r="CX1921" i="3"/>
  <c r="CX1920" i="3"/>
  <c r="DB1920" i="3"/>
  <c r="CB1920" i="3" s="1"/>
  <c r="CX1919" i="3"/>
  <c r="CX1918" i="3"/>
  <c r="CX1917" i="3"/>
  <c r="CX1916" i="3"/>
  <c r="CX1912" i="3"/>
  <c r="CX1911" i="3"/>
  <c r="DB1911" i="3"/>
  <c r="CB1911" i="3" s="1"/>
  <c r="CX1910" i="3"/>
  <c r="CX1909" i="3"/>
  <c r="CX1908" i="3"/>
  <c r="CX1907" i="3"/>
  <c r="DA1907" i="3" s="1"/>
  <c r="CX1906" i="3"/>
  <c r="CX1905" i="3"/>
  <c r="CX1901" i="3"/>
  <c r="CX1900" i="3"/>
  <c r="CX1899" i="3"/>
  <c r="CX1898" i="3"/>
  <c r="DB1898" i="3"/>
  <c r="CB1898" i="3" s="1"/>
  <c r="CX1897" i="3"/>
  <c r="DB1897" i="3"/>
  <c r="CB1897" i="3" s="1"/>
  <c r="CX1896" i="3"/>
  <c r="DB1896" i="3"/>
  <c r="CB1896" i="3" s="1"/>
  <c r="CX1895" i="3"/>
  <c r="DA1895" i="3" s="1"/>
  <c r="CX1894" i="3"/>
  <c r="CX1805" i="3"/>
  <c r="CX1804" i="3"/>
  <c r="CX1803" i="3"/>
  <c r="CX1802" i="3"/>
  <c r="CX1786" i="3"/>
  <c r="CX1783" i="3"/>
  <c r="CX1782" i="3"/>
  <c r="CX1781" i="3"/>
  <c r="CX1780" i="3"/>
  <c r="CX1779" i="3"/>
  <c r="DB1779" i="3"/>
  <c r="CB1779" i="3" s="1"/>
  <c r="CX1778" i="3"/>
  <c r="CX1777" i="3"/>
  <c r="DB1777" i="3"/>
  <c r="CB1777" i="3" s="1"/>
  <c r="CX1776" i="3"/>
  <c r="CX1775" i="3"/>
  <c r="CX1774" i="3"/>
  <c r="CX1770" i="3"/>
  <c r="CX1769" i="3"/>
  <c r="CX1768" i="3"/>
  <c r="DB1768" i="3"/>
  <c r="CB1768" i="3" s="1"/>
  <c r="CX1767" i="3"/>
  <c r="CX1766" i="3"/>
  <c r="CX1765" i="3"/>
  <c r="CX1761" i="3"/>
  <c r="DB1761" i="3"/>
  <c r="CB1761" i="3" s="1"/>
  <c r="CX1760" i="3"/>
  <c r="CX1759" i="3"/>
  <c r="CX1758" i="3"/>
  <c r="CX1757" i="3"/>
  <c r="CX1756" i="3"/>
  <c r="DB1756" i="3"/>
  <c r="CB1756" i="3" s="1"/>
  <c r="CX1755" i="3"/>
  <c r="CX1754" i="3"/>
  <c r="CW1805" i="3"/>
  <c r="CW1804" i="3"/>
  <c r="CW1803" i="3"/>
  <c r="CW1802" i="3"/>
  <c r="DB1802" i="3"/>
  <c r="CB1802" i="3" s="1"/>
  <c r="CW1786" i="3"/>
  <c r="DB1786" i="3"/>
  <c r="CB1786" i="3" s="1"/>
  <c r="CW1785" i="3"/>
  <c r="DB1785" i="3"/>
  <c r="CB1785" i="3" s="1"/>
  <c r="CW1784" i="3"/>
  <c r="CW1783" i="3"/>
  <c r="CW1782" i="3"/>
  <c r="DB1782" i="3"/>
  <c r="CB1782" i="3" s="1"/>
  <c r="CW1781" i="3"/>
  <c r="CW1780" i="3"/>
  <c r="DB1780" i="3"/>
  <c r="CB1780" i="3" s="1"/>
  <c r="CW1779" i="3"/>
  <c r="CW1778" i="3"/>
  <c r="CW1777" i="3"/>
  <c r="CW1776" i="3"/>
  <c r="CW1775" i="3"/>
  <c r="CW1774" i="3"/>
  <c r="CW1773" i="3"/>
  <c r="DB1773" i="3"/>
  <c r="CB1773" i="3" s="1"/>
  <c r="CW1772" i="3"/>
  <c r="CW1771" i="3"/>
  <c r="DB1771" i="3"/>
  <c r="CB1771" i="3" s="1"/>
  <c r="CW1770" i="3"/>
  <c r="CW1769" i="3"/>
  <c r="DB1769" i="3"/>
  <c r="CB1769" i="3" s="1"/>
  <c r="CW1768" i="3"/>
  <c r="CW1767" i="3"/>
  <c r="DA1767" i="3" s="1"/>
  <c r="CW1766" i="3"/>
  <c r="CW1765" i="3"/>
  <c r="DB1765" i="3"/>
  <c r="CB1765" i="3" s="1"/>
  <c r="CW1764" i="3"/>
  <c r="CW1763" i="3"/>
  <c r="DB1763" i="3"/>
  <c r="CB1763" i="3" s="1"/>
  <c r="CW1762" i="3"/>
  <c r="DB1762" i="3"/>
  <c r="CB1762" i="3" s="1"/>
  <c r="CW1761" i="3"/>
  <c r="CW1760" i="3"/>
  <c r="DB1760" i="3"/>
  <c r="CB1760" i="3" s="1"/>
  <c r="CW1759" i="3"/>
  <c r="DB1759" i="3"/>
  <c r="CB1759" i="3" s="1"/>
  <c r="CW1758" i="3"/>
  <c r="CW1757" i="3"/>
  <c r="DB1757" i="3"/>
  <c r="CB1757" i="3" s="1"/>
  <c r="CW1756" i="3"/>
  <c r="CW1755" i="3"/>
  <c r="CW1754" i="3"/>
  <c r="DB1754" i="3"/>
  <c r="CB1754" i="3" s="1"/>
  <c r="CW1753" i="3"/>
  <c r="DB1753" i="3"/>
  <c r="CB1753" i="3" s="1"/>
  <c r="CW1752" i="3"/>
  <c r="CW1751" i="3"/>
  <c r="CW1750" i="3"/>
  <c r="CW1749" i="3"/>
  <c r="CW1748" i="3"/>
  <c r="CW1747" i="3"/>
  <c r="CW1746" i="3"/>
  <c r="CW1745" i="3"/>
  <c r="CW1744" i="3"/>
  <c r="CW1743" i="3"/>
  <c r="CW1742" i="3"/>
  <c r="CW1741" i="3"/>
  <c r="CW1740" i="3"/>
  <c r="CW1739" i="3"/>
  <c r="CW1738" i="3"/>
  <c r="DB1738" i="3"/>
  <c r="CB1738" i="3" s="1"/>
  <c r="CW1737" i="3"/>
  <c r="DB1737" i="3"/>
  <c r="CB1737" i="3" s="1"/>
  <c r="CW1736" i="3"/>
  <c r="DB1736" i="3"/>
  <c r="CB1736" i="3" s="1"/>
  <c r="CW1735" i="3"/>
  <c r="DB1735" i="3"/>
  <c r="CB1735" i="3" s="1"/>
  <c r="CW1734" i="3"/>
  <c r="DB1734" i="3"/>
  <c r="CB1734" i="3" s="1"/>
  <c r="CW1733" i="3"/>
  <c r="DB1733" i="3"/>
  <c r="CB1733" i="3" s="1"/>
  <c r="CW1732" i="3"/>
  <c r="CW1731" i="3"/>
  <c r="CW1730" i="3"/>
  <c r="DA1730" i="3" s="1"/>
  <c r="CW1729" i="3"/>
  <c r="DB1729" i="3"/>
  <c r="CB1729" i="3" s="1"/>
  <c r="CW1728" i="3"/>
  <c r="DB1728" i="3"/>
  <c r="CB1728" i="3" s="1"/>
  <c r="CX1691" i="3"/>
  <c r="CX1673" i="3"/>
  <c r="CX1672" i="3"/>
  <c r="DA1672" i="3" s="1"/>
  <c r="DB1672" i="3"/>
  <c r="CB1672" i="3" s="1"/>
  <c r="CX1666" i="3"/>
  <c r="CX1665" i="3"/>
  <c r="DB1665" i="3"/>
  <c r="CB1665" i="3" s="1"/>
  <c r="CX1664" i="3"/>
  <c r="CX1644" i="3"/>
  <c r="CX1643" i="3"/>
  <c r="CX1642" i="3"/>
  <c r="CX1641" i="3"/>
  <c r="CX1640" i="3"/>
  <c r="DB1640" i="3"/>
  <c r="CB1640" i="3" s="1"/>
  <c r="CX1639" i="3"/>
  <c r="CX1638" i="3"/>
  <c r="CX1637" i="3"/>
  <c r="CX1636" i="3"/>
  <c r="DB1636" i="3"/>
  <c r="CB1636" i="3" s="1"/>
  <c r="CX1635" i="3"/>
  <c r="CX1634" i="3"/>
  <c r="CX1631" i="3"/>
  <c r="CX1630" i="3"/>
  <c r="CX1629" i="3"/>
  <c r="CX1628" i="3"/>
  <c r="CX1627" i="3"/>
  <c r="CX1626" i="3"/>
  <c r="CX1625" i="3"/>
  <c r="CX1624" i="3"/>
  <c r="CX1565" i="3"/>
  <c r="CX1564" i="3"/>
  <c r="CX1563" i="3"/>
  <c r="CX1562" i="3"/>
  <c r="CX1561" i="3"/>
  <c r="CX1560" i="3"/>
  <c r="CX1559" i="3"/>
  <c r="CX1558" i="3"/>
  <c r="CX1557" i="3"/>
  <c r="CX1556" i="3"/>
  <c r="CX1555" i="3"/>
  <c r="CX1554" i="3"/>
  <c r="CX1553" i="3"/>
  <c r="DB1553" i="3"/>
  <c r="CB1553" i="3" s="1"/>
  <c r="CX1552" i="3"/>
  <c r="CX1551" i="3"/>
  <c r="CX1550" i="3"/>
  <c r="DB1550" i="3"/>
  <c r="CB1550" i="3" s="1"/>
  <c r="CX1549" i="3"/>
  <c r="DB1549" i="3"/>
  <c r="CB1549" i="3" s="1"/>
  <c r="CX1548" i="3"/>
  <c r="DB1548" i="3"/>
  <c r="CB1548" i="3" s="1"/>
  <c r="CX1547" i="3"/>
  <c r="CX1546" i="3"/>
  <c r="CX1545" i="3"/>
  <c r="DB1545" i="3"/>
  <c r="CB1545" i="3" s="1"/>
  <c r="CX1544" i="3"/>
  <c r="CX1543" i="3"/>
  <c r="CW1508" i="3"/>
  <c r="CW1515" i="3"/>
  <c r="DB1515" i="3"/>
  <c r="CB1515" i="3" s="1"/>
  <c r="CW1514" i="3"/>
  <c r="DB1514" i="3"/>
  <c r="CB1514" i="3" s="1"/>
  <c r="CW1513" i="3"/>
  <c r="CW1512" i="3"/>
  <c r="DB1512" i="3"/>
  <c r="CB1512" i="3" s="1"/>
  <c r="CW1511" i="3"/>
  <c r="DB1511" i="3"/>
  <c r="CB1511" i="3" s="1"/>
  <c r="CW1510" i="3"/>
  <c r="DB1510" i="3"/>
  <c r="CB1510" i="3" s="1"/>
  <c r="CW1509" i="3"/>
  <c r="DA1509" i="3" s="1"/>
  <c r="CW1507" i="3"/>
  <c r="DB1507" i="3"/>
  <c r="CB1507" i="3" s="1"/>
  <c r="CW1506" i="3"/>
  <c r="DB1506" i="3"/>
  <c r="CB1506" i="3" s="1"/>
  <c r="CW1505" i="3"/>
  <c r="DA1505" i="3" s="1"/>
  <c r="DB1505" i="3"/>
  <c r="CB1505" i="3" s="1"/>
  <c r="CW1504" i="3"/>
  <c r="DB1504" i="3"/>
  <c r="CB1504" i="3" s="1"/>
  <c r="CW1503" i="3"/>
  <c r="DB1503" i="3"/>
  <c r="CB1503" i="3" s="1"/>
  <c r="CW1502" i="3"/>
  <c r="DB1502" i="3"/>
  <c r="CB1502" i="3" s="1"/>
  <c r="CW1500" i="3"/>
  <c r="DA1500" i="3" s="1"/>
  <c r="DB1500" i="3"/>
  <c r="CB1500" i="3" s="1"/>
  <c r="CW1482" i="3"/>
  <c r="DA1482" i="3" s="1"/>
  <c r="DB1482" i="3"/>
  <c r="CB1482" i="3" s="1"/>
  <c r="CW1501" i="3"/>
  <c r="DA1501" i="3" s="1"/>
  <c r="CW1481" i="3"/>
  <c r="DA1481" i="3" s="1"/>
  <c r="DB1481" i="3"/>
  <c r="CB1481" i="3" s="1"/>
  <c r="CW1477" i="3"/>
  <c r="DB1477" i="3"/>
  <c r="CB1477" i="3" s="1"/>
  <c r="CW1476" i="3"/>
  <c r="DB1476" i="3"/>
  <c r="CB1476" i="3" s="1"/>
  <c r="CW1475" i="3"/>
  <c r="DB1475" i="3"/>
  <c r="CB1475" i="3" s="1"/>
  <c r="CW1474" i="3"/>
  <c r="DB1474" i="3"/>
  <c r="CB1474" i="3" s="1"/>
  <c r="CW1473" i="3"/>
  <c r="DB1473" i="3"/>
  <c r="CB1473" i="3" s="1"/>
  <c r="CW1472" i="3"/>
  <c r="DB1472" i="3"/>
  <c r="CB1472" i="3" s="1"/>
  <c r="CW1471" i="3"/>
  <c r="DA1471" i="3" s="1"/>
  <c r="DB1471" i="3"/>
  <c r="CB1471" i="3" s="1"/>
  <c r="CW1470" i="3"/>
  <c r="DB1470" i="3"/>
  <c r="CB1470" i="3" s="1"/>
  <c r="CW1469" i="3"/>
  <c r="CW1468" i="3"/>
  <c r="DB1468" i="3"/>
  <c r="CB1468" i="3" s="1"/>
  <c r="CW1467" i="3"/>
  <c r="DA1467" i="3" s="1"/>
  <c r="DB1467" i="3"/>
  <c r="CB1467" i="3" s="1"/>
  <c r="CW1466" i="3"/>
  <c r="DB1466" i="3"/>
  <c r="CB1466" i="3" s="1"/>
  <c r="CW1465" i="3"/>
  <c r="CW1464" i="3"/>
  <c r="DB1464" i="3"/>
  <c r="CB1464" i="3" s="1"/>
  <c r="CW1463" i="3"/>
  <c r="DB1463" i="3"/>
  <c r="CB1463" i="3" s="1"/>
  <c r="CW1462" i="3"/>
  <c r="DA1462" i="3" s="1"/>
  <c r="DB1462" i="3"/>
  <c r="CB1462" i="3" s="1"/>
  <c r="CW1444" i="3"/>
  <c r="DA1444" i="3" s="1"/>
  <c r="DB1444" i="3"/>
  <c r="CB1444" i="3" s="1"/>
  <c r="CW1443" i="3"/>
  <c r="DA1443" i="3" s="1"/>
  <c r="DB1443" i="3"/>
  <c r="CB1443" i="3" s="1"/>
  <c r="CX1437" i="3"/>
  <c r="CX1436" i="3"/>
  <c r="CX1418" i="3"/>
  <c r="CX1415" i="3"/>
  <c r="DB1415" i="3"/>
  <c r="CB1415" i="3" s="1"/>
  <c r="CX1414" i="3"/>
  <c r="CX1413" i="3"/>
  <c r="CX1412" i="3"/>
  <c r="CX1411" i="3"/>
  <c r="CX1408" i="3"/>
  <c r="CX1407" i="3"/>
  <c r="CX1406" i="3"/>
  <c r="CX1405" i="3"/>
  <c r="DB1405" i="3"/>
  <c r="CB1405" i="3" s="1"/>
  <c r="CX1404" i="3"/>
  <c r="CX1401" i="3"/>
  <c r="CX1400" i="3"/>
  <c r="CX1399" i="3"/>
  <c r="CX1398" i="3"/>
  <c r="CX1397" i="3"/>
  <c r="CX1396" i="3"/>
  <c r="CX1395" i="3"/>
  <c r="DB1395" i="3"/>
  <c r="CB1395" i="3" s="1"/>
  <c r="CX1394" i="3"/>
  <c r="CX1393" i="3"/>
  <c r="CX1392" i="3"/>
  <c r="CX1391" i="3"/>
  <c r="CX1390" i="3"/>
  <c r="CX1389" i="3"/>
  <c r="CW1437" i="3"/>
  <c r="CW1436" i="3"/>
  <c r="CW1418" i="3"/>
  <c r="CW1417" i="3"/>
  <c r="DB1417" i="3"/>
  <c r="CB1417" i="3" s="1"/>
  <c r="CW1416" i="3"/>
  <c r="DA1416" i="3" s="1"/>
  <c r="CW1415" i="3"/>
  <c r="DA1415" i="3" s="1"/>
  <c r="CW1414" i="3"/>
  <c r="CW1413" i="3"/>
  <c r="CW1412" i="3"/>
  <c r="CW1411" i="3"/>
  <c r="CW1410" i="3"/>
  <c r="CW1409" i="3"/>
  <c r="DB1409" i="3"/>
  <c r="CB1409" i="3" s="1"/>
  <c r="CW1408" i="3"/>
  <c r="CW1407" i="3"/>
  <c r="CW1406" i="3"/>
  <c r="DB1406" i="3"/>
  <c r="CB1406" i="3" s="1"/>
  <c r="CW1405" i="3"/>
  <c r="CW1404" i="3"/>
  <c r="CW1403" i="3"/>
  <c r="CW1402" i="3"/>
  <c r="DB1402" i="3"/>
  <c r="CB1402" i="3" s="1"/>
  <c r="CW1401" i="3"/>
  <c r="CW1400" i="3"/>
  <c r="CW1399" i="3"/>
  <c r="DB1399" i="3"/>
  <c r="CB1399" i="3" s="1"/>
  <c r="CW1398" i="3"/>
  <c r="CW1397" i="3"/>
  <c r="CW1396" i="3"/>
  <c r="CW1395" i="3"/>
  <c r="CW1394" i="3"/>
  <c r="DB1394" i="3"/>
  <c r="CB1394" i="3" s="1"/>
  <c r="CW1393" i="3"/>
  <c r="DB1393" i="3"/>
  <c r="CB1393" i="3" s="1"/>
  <c r="CW1392" i="3"/>
  <c r="CW1391" i="3"/>
  <c r="CW1390" i="3"/>
  <c r="CW1389" i="3"/>
  <c r="CW1388" i="3"/>
  <c r="CW1386" i="3"/>
  <c r="CX1380" i="3"/>
  <c r="CX1379" i="3"/>
  <c r="CX1361" i="3"/>
  <c r="CX1358" i="3"/>
  <c r="CX1357" i="3"/>
  <c r="CX1356" i="3"/>
  <c r="CX1355" i="3"/>
  <c r="CX1354" i="3"/>
  <c r="DB1354" i="3"/>
  <c r="CB1354" i="3" s="1"/>
  <c r="CX1353" i="3"/>
  <c r="CX1352" i="3"/>
  <c r="CX1351" i="3"/>
  <c r="CX1350" i="3"/>
  <c r="CX1349" i="3"/>
  <c r="CX1344" i="3"/>
  <c r="CX1343" i="3"/>
  <c r="CX1342" i="3"/>
  <c r="CX1341" i="3"/>
  <c r="CX1340" i="3"/>
  <c r="CX1339" i="3"/>
  <c r="CX1338" i="3"/>
  <c r="CX1337" i="3"/>
  <c r="CX1336" i="3"/>
  <c r="CX1335" i="3"/>
  <c r="DB1335" i="3"/>
  <c r="CB1335" i="3" s="1"/>
  <c r="CX1334" i="3"/>
  <c r="CY1328" i="3"/>
  <c r="CY1317" i="3"/>
  <c r="CY1306" i="3"/>
  <c r="CY1295" i="3"/>
  <c r="CX1330" i="3"/>
  <c r="CX1328" i="3"/>
  <c r="CX1320" i="3"/>
  <c r="CX1319" i="3"/>
  <c r="CX1317" i="3"/>
  <c r="CX1309" i="3"/>
  <c r="CX1308" i="3"/>
  <c r="CX1306" i="3"/>
  <c r="DB1306" i="3"/>
  <c r="CB1306" i="3" s="1"/>
  <c r="CX1298" i="3"/>
  <c r="CX1297" i="3"/>
  <c r="CX1295" i="3"/>
  <c r="CX1287" i="3"/>
  <c r="CX1286" i="3"/>
  <c r="CX1285" i="3"/>
  <c r="CX1284" i="3"/>
  <c r="CX1283" i="3"/>
  <c r="DB1283" i="3"/>
  <c r="CB1283" i="3" s="1"/>
  <c r="CX1282" i="3"/>
  <c r="CX1281" i="3"/>
  <c r="CX1280" i="3"/>
  <c r="CX1279" i="3"/>
  <c r="CX1276" i="3"/>
  <c r="CX1275" i="3"/>
  <c r="CX1266" i="3"/>
  <c r="CX1265" i="3"/>
  <c r="CX1264" i="3"/>
  <c r="CX1261" i="3"/>
  <c r="CX1260" i="3"/>
  <c r="CX1259" i="3"/>
  <c r="CX1258" i="3"/>
  <c r="DB1258" i="3"/>
  <c r="CB1258" i="3" s="1"/>
  <c r="CX1257" i="3"/>
  <c r="CW1380" i="3"/>
  <c r="DB1380" i="3"/>
  <c r="CB1380" i="3" s="1"/>
  <c r="CW1379" i="3"/>
  <c r="CW1361" i="3"/>
  <c r="DA1361" i="3" s="1"/>
  <c r="CW1360" i="3"/>
  <c r="CW1359" i="3"/>
  <c r="DB1359" i="3"/>
  <c r="CB1359" i="3" s="1"/>
  <c r="CW1358" i="3"/>
  <c r="CW1357" i="3"/>
  <c r="CW1356" i="3"/>
  <c r="DB1356" i="3"/>
  <c r="CB1356" i="3" s="1"/>
  <c r="CW1355" i="3"/>
  <c r="CW1354" i="3"/>
  <c r="CW1353" i="3"/>
  <c r="DB1353" i="3"/>
  <c r="CB1353" i="3" s="1"/>
  <c r="CW1352" i="3"/>
  <c r="CW1351" i="3"/>
  <c r="CW1350" i="3"/>
  <c r="CW1349" i="3"/>
  <c r="CW1348" i="3"/>
  <c r="CW1347" i="3"/>
  <c r="CW1346" i="3"/>
  <c r="DB1346" i="3"/>
  <c r="CB1346" i="3" s="1"/>
  <c r="CW1345" i="3"/>
  <c r="CW1344" i="3"/>
  <c r="DB1344" i="3"/>
  <c r="CB1344" i="3" s="1"/>
  <c r="CW1343" i="3"/>
  <c r="DB1343" i="3"/>
  <c r="CB1343" i="3" s="1"/>
  <c r="CW1342" i="3"/>
  <c r="CW1341" i="3"/>
  <c r="CW1340" i="3"/>
  <c r="CW1339" i="3"/>
  <c r="DB1339" i="3"/>
  <c r="CB1339" i="3" s="1"/>
  <c r="CW1338" i="3"/>
  <c r="DB1338" i="3"/>
  <c r="CB1338" i="3" s="1"/>
  <c r="CW1337" i="3"/>
  <c r="CW1336" i="3"/>
  <c r="CW1335" i="3"/>
  <c r="CW1334" i="3"/>
  <c r="CW1333" i="3"/>
  <c r="DB1333" i="3"/>
  <c r="CB1333" i="3" s="1"/>
  <c r="CW1332" i="3"/>
  <c r="DB1332" i="3"/>
  <c r="CB1332" i="3" s="1"/>
  <c r="CW1331" i="3"/>
  <c r="DB1331" i="3"/>
  <c r="CB1331" i="3" s="1"/>
  <c r="CW1330" i="3"/>
  <c r="CW1328" i="3"/>
  <c r="DB1328" i="3"/>
  <c r="CB1328" i="3" s="1"/>
  <c r="CW1320" i="3"/>
  <c r="DB1320" i="3"/>
  <c r="CB1320" i="3" s="1"/>
  <c r="CW1319" i="3"/>
  <c r="CW1317" i="3"/>
  <c r="CW1309" i="3"/>
  <c r="CW1308" i="3"/>
  <c r="CW1306" i="3"/>
  <c r="CW1298" i="3"/>
  <c r="CW1297" i="3"/>
  <c r="DB1297" i="3"/>
  <c r="CB1297" i="3" s="1"/>
  <c r="CW1295" i="3"/>
  <c r="CW1287" i="3"/>
  <c r="DB1287" i="3"/>
  <c r="CB1287" i="3" s="1"/>
  <c r="CW1286" i="3"/>
  <c r="DB1286" i="3"/>
  <c r="CB1286" i="3" s="1"/>
  <c r="CW1285" i="3"/>
  <c r="CW1284" i="3"/>
  <c r="CW1283" i="3"/>
  <c r="CW1282" i="3"/>
  <c r="DB1282" i="3"/>
  <c r="CB1282" i="3" s="1"/>
  <c r="CW1281" i="3"/>
  <c r="CW1280" i="3"/>
  <c r="CW1279" i="3"/>
  <c r="CW1278" i="3"/>
  <c r="CW1277" i="3"/>
  <c r="CW1276" i="3"/>
  <c r="CW1275" i="3"/>
  <c r="CW1266" i="3"/>
  <c r="DA1266" i="3" s="1"/>
  <c r="CW1265" i="3"/>
  <c r="CW1264" i="3"/>
  <c r="CW1263" i="3"/>
  <c r="DB1263" i="3"/>
  <c r="CB1263" i="3" s="1"/>
  <c r="CW1262" i="3"/>
  <c r="CW1261" i="3"/>
  <c r="CW1260" i="3"/>
  <c r="CW1259" i="3"/>
  <c r="CW1258" i="3"/>
  <c r="CW1257" i="3"/>
  <c r="CW1256" i="3"/>
  <c r="CW1255" i="3"/>
  <c r="CW1254" i="3"/>
  <c r="CW1253" i="3"/>
  <c r="CW1252" i="3"/>
  <c r="CW1251" i="3"/>
  <c r="CW1249" i="3"/>
  <c r="CW1248" i="3"/>
  <c r="CW1247" i="3"/>
  <c r="CW1246" i="3"/>
  <c r="CW1245" i="3"/>
  <c r="CW1244" i="3"/>
  <c r="CW1243" i="3"/>
  <c r="CW1242" i="3"/>
  <c r="CW1241" i="3"/>
  <c r="CW1240" i="3"/>
  <c r="CW1239" i="3"/>
  <c r="CW1237" i="3"/>
  <c r="CW1236" i="3"/>
  <c r="CW1235" i="3"/>
  <c r="DB1235" i="3"/>
  <c r="CB1235" i="3" s="1"/>
  <c r="CW1234" i="3"/>
  <c r="DB1234" i="3"/>
  <c r="CB1234" i="3" s="1"/>
  <c r="CW1233" i="3"/>
  <c r="CW1232" i="3"/>
  <c r="DA1232" i="3" s="1"/>
  <c r="DB1232" i="3"/>
  <c r="CB1232" i="3" s="1"/>
  <c r="CW1231" i="3"/>
  <c r="DB1231" i="3"/>
  <c r="CB1231" i="3" s="1"/>
  <c r="CW1230" i="3"/>
  <c r="DB1230" i="3"/>
  <c r="CB1230" i="3" s="1"/>
  <c r="CW1228" i="3"/>
  <c r="DB1228" i="3"/>
  <c r="CB1228" i="3" s="1"/>
  <c r="CW1227" i="3"/>
  <c r="DB1227" i="3"/>
  <c r="CB1227" i="3" s="1"/>
  <c r="CW1226" i="3"/>
  <c r="CW1225" i="3"/>
  <c r="DB1225" i="3"/>
  <c r="CB1225" i="3" s="1"/>
  <c r="CW1224" i="3"/>
  <c r="CW1223" i="3"/>
  <c r="DB1223" i="3"/>
  <c r="CB1223" i="3" s="1"/>
  <c r="CW1222" i="3"/>
  <c r="DB1222" i="3"/>
  <c r="CB1222" i="3" s="1"/>
  <c r="CW1221" i="3"/>
  <c r="DB1221" i="3"/>
  <c r="CB1221" i="3" s="1"/>
  <c r="CW1220" i="3"/>
  <c r="CW1219" i="3"/>
  <c r="DB1219" i="3"/>
  <c r="CB1219" i="3" s="1"/>
  <c r="CW1218" i="3"/>
  <c r="DB1218" i="3"/>
  <c r="CB1218" i="3" s="1"/>
  <c r="CW1217" i="3"/>
  <c r="DB1217" i="3"/>
  <c r="CB1217" i="3" s="1"/>
  <c r="CW1216" i="3"/>
  <c r="DB1216" i="3"/>
  <c r="CB1216" i="3" s="1"/>
  <c r="CW1215" i="3"/>
  <c r="DB1215" i="3"/>
  <c r="CB1215" i="3" s="1"/>
  <c r="CW1189" i="3"/>
  <c r="DA1189" i="3" s="1"/>
  <c r="DB1189" i="3"/>
  <c r="CB1189" i="3" s="1"/>
  <c r="CW1188" i="3"/>
  <c r="DA1188" i="3" s="1"/>
  <c r="DB1188" i="3"/>
  <c r="CB1188" i="3" s="1"/>
  <c r="CW1171" i="3"/>
  <c r="DA1171" i="3" s="1"/>
  <c r="DB1171" i="3"/>
  <c r="CB1171" i="3" s="1"/>
  <c r="CX1166" i="3"/>
  <c r="CX1165" i="3"/>
  <c r="CX1164" i="3"/>
  <c r="CW1167" i="3"/>
  <c r="DB1167" i="3"/>
  <c r="CB1167" i="3" s="1"/>
  <c r="CW1166" i="3"/>
  <c r="CW1165" i="3"/>
  <c r="DB1165" i="3"/>
  <c r="CB1165" i="3" s="1"/>
  <c r="CW1164" i="3"/>
  <c r="CW1157" i="3"/>
  <c r="DB1157" i="3"/>
  <c r="CB1157" i="3" s="1"/>
  <c r="CW1156" i="3"/>
  <c r="DA1156" i="3" s="1"/>
  <c r="CW1155" i="3"/>
  <c r="CX1104" i="3"/>
  <c r="CX1103" i="3"/>
  <c r="CX1102" i="3"/>
  <c r="CX1101" i="3"/>
  <c r="CY1149" i="3"/>
  <c r="CY1148" i="3"/>
  <c r="CX1150" i="3"/>
  <c r="CX1149" i="3"/>
  <c r="CX1148" i="3"/>
  <c r="CX1140" i="3"/>
  <c r="CX1139" i="3"/>
  <c r="CX1138" i="3"/>
  <c r="CX1134" i="3"/>
  <c r="CX1133" i="3"/>
  <c r="CX1124" i="3"/>
  <c r="CX1123" i="3"/>
  <c r="CX1119" i="3"/>
  <c r="CX1118" i="3"/>
  <c r="CX1109" i="3"/>
  <c r="DB1109" i="3"/>
  <c r="CB1109" i="3" s="1"/>
  <c r="CX1108" i="3"/>
  <c r="CW1150" i="3"/>
  <c r="CW1149" i="3"/>
  <c r="CW1148" i="3"/>
  <c r="DB1148" i="3"/>
  <c r="CB1148" i="3" s="1"/>
  <c r="CW1140" i="3"/>
  <c r="CW1139" i="3"/>
  <c r="CW1138" i="3"/>
  <c r="CW1137" i="3"/>
  <c r="DB1137" i="3"/>
  <c r="CB1137" i="3" s="1"/>
  <c r="CW1136" i="3"/>
  <c r="CW1135" i="3"/>
  <c r="CW1134" i="3"/>
  <c r="CW1133" i="3"/>
  <c r="CW1124" i="3"/>
  <c r="CW1123" i="3"/>
  <c r="CW1122" i="3"/>
  <c r="DA1122" i="3" s="1"/>
  <c r="CW1121" i="3"/>
  <c r="CW1120" i="3"/>
  <c r="DB1120" i="3"/>
  <c r="CB1120" i="3" s="1"/>
  <c r="CW1119" i="3"/>
  <c r="DA1119" i="3" s="1"/>
  <c r="CW1118" i="3"/>
  <c r="CW1109" i="3"/>
  <c r="CW1108" i="3"/>
  <c r="CW1107" i="3"/>
  <c r="CW1106" i="3"/>
  <c r="CW1105" i="3"/>
  <c r="DB1105" i="3"/>
  <c r="CB1105" i="3" s="1"/>
  <c r="CW1104" i="3"/>
  <c r="DA1104" i="3" s="1"/>
  <c r="CW1103" i="3"/>
  <c r="CW1102" i="3"/>
  <c r="CW1101" i="3"/>
  <c r="DB1101" i="3"/>
  <c r="CB1101" i="3" s="1"/>
  <c r="CW1100" i="3"/>
  <c r="DB1100" i="3"/>
  <c r="CB1100" i="3" s="1"/>
  <c r="CW1099" i="3"/>
  <c r="CW1098" i="3"/>
  <c r="CW1097" i="3"/>
  <c r="CW1096" i="3"/>
  <c r="CW1095" i="3"/>
  <c r="CW1094" i="3"/>
  <c r="CW1092" i="3"/>
  <c r="CW1091" i="3"/>
  <c r="CW1090" i="3"/>
  <c r="CW1089" i="3"/>
  <c r="CW1088" i="3"/>
  <c r="CW1086" i="3"/>
  <c r="CW1085" i="3"/>
  <c r="CW1084" i="3"/>
  <c r="CW1083" i="3"/>
  <c r="CW1082" i="3"/>
  <c r="CW1081" i="3"/>
  <c r="CW1080" i="3"/>
  <c r="CW1079" i="3"/>
  <c r="CW1078" i="3"/>
  <c r="CW1077" i="3"/>
  <c r="CW1076" i="3"/>
  <c r="CW1075" i="3"/>
  <c r="CW1074" i="3"/>
  <c r="CW1073" i="3"/>
  <c r="CW1072" i="3"/>
  <c r="CW1071" i="3"/>
  <c r="DA1071" i="3" s="1"/>
  <c r="DB1071" i="3"/>
  <c r="CB1071" i="3" s="1"/>
  <c r="CW1070" i="3"/>
  <c r="DB1070" i="3"/>
  <c r="CB1070" i="3" s="1"/>
  <c r="CW1069" i="3"/>
  <c r="DB1069" i="3"/>
  <c r="CB1069" i="3" s="1"/>
  <c r="CW1068" i="3"/>
  <c r="DB1068" i="3"/>
  <c r="CB1068" i="3" s="1"/>
  <c r="CW1066" i="3"/>
  <c r="DA1066" i="3" s="1"/>
  <c r="DB1066" i="3"/>
  <c r="CB1066" i="3" s="1"/>
  <c r="CW1065" i="3"/>
  <c r="DB1065" i="3"/>
  <c r="CB1065" i="3" s="1"/>
  <c r="CW1064" i="3"/>
  <c r="CW1063" i="3"/>
  <c r="CW1062" i="3"/>
  <c r="DB1062" i="3"/>
  <c r="CB1062" i="3" s="1"/>
  <c r="CW1060" i="3"/>
  <c r="DA1060" i="3" s="1"/>
  <c r="DB1060" i="3"/>
  <c r="CB1060" i="3" s="1"/>
  <c r="CW1059" i="3"/>
  <c r="DA1059" i="3" s="1"/>
  <c r="DB1059" i="3"/>
  <c r="CB1059" i="3" s="1"/>
  <c r="CW1058" i="3"/>
  <c r="DB1058" i="3"/>
  <c r="CB1058" i="3" s="1"/>
  <c r="CW1057" i="3"/>
  <c r="DB1057" i="3"/>
  <c r="CB1057" i="3" s="1"/>
  <c r="CW1056" i="3"/>
  <c r="DA1056" i="3" s="1"/>
  <c r="CW1055" i="3"/>
  <c r="DA1055" i="3" s="1"/>
  <c r="CW1054" i="3"/>
  <c r="DB1054" i="3"/>
  <c r="CB1054" i="3" s="1"/>
  <c r="CW1053" i="3"/>
  <c r="DA1053" i="3" s="1"/>
  <c r="DB1053" i="3"/>
  <c r="CB1053" i="3" s="1"/>
  <c r="CW1052" i="3"/>
  <c r="DB1052" i="3"/>
  <c r="CB1052" i="3" s="1"/>
  <c r="CW1051" i="3"/>
  <c r="DB1051" i="3"/>
  <c r="CB1051" i="3" s="1"/>
  <c r="CW1050" i="3"/>
  <c r="DB1050" i="3"/>
  <c r="CB1050" i="3" s="1"/>
  <c r="CW1049" i="3"/>
  <c r="DB1049" i="3"/>
  <c r="CB1049" i="3" s="1"/>
  <c r="CW1048" i="3"/>
  <c r="CW1047" i="3"/>
  <c r="DB1047" i="3"/>
  <c r="CB1047" i="3" s="1"/>
  <c r="CW1046" i="3"/>
  <c r="DB1046" i="3"/>
  <c r="CB1046" i="3" s="1"/>
  <c r="CX998" i="3"/>
  <c r="CX997" i="3"/>
  <c r="CX982" i="3"/>
  <c r="CX981" i="3"/>
  <c r="CX980" i="3"/>
  <c r="CW868" i="3"/>
  <c r="DA868" i="3" s="1"/>
  <c r="DB868" i="3" s="1"/>
  <c r="CB868" i="3" s="1"/>
  <c r="CW867" i="3"/>
  <c r="DA867" i="3" s="1"/>
  <c r="DB867" i="3" s="1"/>
  <c r="CB867" i="3" s="1"/>
  <c r="CW846" i="3"/>
  <c r="DA846" i="3" s="1"/>
  <c r="DB846" i="3" s="1"/>
  <c r="CB846" i="3" s="1"/>
  <c r="CW827" i="3"/>
  <c r="DA827" i="3" s="1"/>
  <c r="DB827" i="3" s="1"/>
  <c r="CB827" i="3" s="1"/>
  <c r="CW824" i="3"/>
  <c r="DA824" i="3" s="1"/>
  <c r="DB824" i="3" s="1"/>
  <c r="CB824" i="3" s="1"/>
  <c r="CW817" i="3"/>
  <c r="DA817" i="3" s="1"/>
  <c r="DB817" i="3" s="1"/>
  <c r="CB817" i="3" s="1"/>
  <c r="CW816" i="3"/>
  <c r="DA816" i="3" s="1"/>
  <c r="DB816" i="3" s="1"/>
  <c r="CB816" i="3" s="1"/>
  <c r="CW815" i="3"/>
  <c r="DA815" i="3" s="1"/>
  <c r="DB815" i="3" s="1"/>
  <c r="CB815" i="3" s="1"/>
  <c r="CW814" i="3"/>
  <c r="DA814" i="3" s="1"/>
  <c r="DB814" i="3" s="1"/>
  <c r="CB814" i="3" s="1"/>
  <c r="CW813" i="3"/>
  <c r="DA813" i="3" s="1"/>
  <c r="DB813" i="3" s="1"/>
  <c r="CB813" i="3" s="1"/>
  <c r="CW812" i="3"/>
  <c r="DA812" i="3" s="1"/>
  <c r="DB812" i="3" s="1"/>
  <c r="CB812" i="3" s="1"/>
  <c r="CW811" i="3"/>
  <c r="DA811" i="3" s="1"/>
  <c r="DB811" i="3" s="1"/>
  <c r="CB811" i="3" s="1"/>
  <c r="CW810" i="3"/>
  <c r="DA810" i="3" s="1"/>
  <c r="DB810" i="3" s="1"/>
  <c r="CB810" i="3" s="1"/>
  <c r="CW809" i="3"/>
  <c r="DA809" i="3" s="1"/>
  <c r="DB809" i="3" s="1"/>
  <c r="CB809" i="3" s="1"/>
  <c r="CW808" i="3"/>
  <c r="DA808" i="3" s="1"/>
  <c r="DB808" i="3" s="1"/>
  <c r="CB808" i="3" s="1"/>
  <c r="CW807" i="3"/>
  <c r="DA807" i="3" s="1"/>
  <c r="DB807" i="3" s="1"/>
  <c r="CB807" i="3" s="1"/>
  <c r="CW806" i="3"/>
  <c r="CW805" i="3"/>
  <c r="DA805" i="3" s="1"/>
  <c r="DB805" i="3" s="1"/>
  <c r="CB805" i="3" s="1"/>
  <c r="CW802" i="3"/>
  <c r="DA802" i="3" s="1"/>
  <c r="DB802" i="3" s="1"/>
  <c r="CB802" i="3" s="1"/>
  <c r="CW784" i="3"/>
  <c r="CW783" i="3"/>
  <c r="CW780" i="3"/>
  <c r="DA780" i="3" s="1"/>
  <c r="DB780" i="3" s="1"/>
  <c r="CB780" i="3" s="1"/>
  <c r="CW764" i="3"/>
  <c r="DA764" i="3" s="1"/>
  <c r="DB764" i="3" s="1"/>
  <c r="CB764" i="3" s="1"/>
  <c r="CW763" i="3"/>
  <c r="DA763" i="3" s="1"/>
  <c r="DB763" i="3" s="1"/>
  <c r="CB763" i="3" s="1"/>
  <c r="CW762" i="3"/>
  <c r="DA762" i="3" s="1"/>
  <c r="DB762" i="3" s="1"/>
  <c r="CB762" i="3" s="1"/>
  <c r="CW761" i="3"/>
  <c r="DA761" i="3" s="1"/>
  <c r="DB761" i="3" s="1"/>
  <c r="CB761" i="3" s="1"/>
  <c r="CW758" i="3"/>
  <c r="DA758" i="3" s="1"/>
  <c r="DB758" i="3" s="1"/>
  <c r="CB758" i="3" s="1"/>
  <c r="CW741" i="3"/>
  <c r="CW740" i="3"/>
  <c r="CW739" i="3"/>
  <c r="CW736" i="3"/>
  <c r="DA736" i="3" s="1"/>
  <c r="DB736" i="3" s="1"/>
  <c r="CB736" i="3" s="1"/>
  <c r="CW717" i="3"/>
  <c r="CW714" i="3"/>
  <c r="DA714" i="3" s="1"/>
  <c r="DB714" i="3" s="1"/>
  <c r="CB714" i="3" s="1"/>
  <c r="CW699" i="3"/>
  <c r="DA699" i="3" s="1"/>
  <c r="DB699" i="3" s="1"/>
  <c r="CB699" i="3" s="1"/>
  <c r="CW698" i="3"/>
  <c r="DA698" i="3" s="1"/>
  <c r="DB698" i="3" s="1"/>
  <c r="CB698" i="3" s="1"/>
  <c r="CW697" i="3"/>
  <c r="DA697" i="3" s="1"/>
  <c r="DB697" i="3" s="1"/>
  <c r="CB697" i="3" s="1"/>
  <c r="CW696" i="3"/>
  <c r="DA696" i="3" s="1"/>
  <c r="DB696" i="3" s="1"/>
  <c r="CB696" i="3" s="1"/>
  <c r="CW695" i="3"/>
  <c r="CW692" i="3"/>
  <c r="DA692" i="3" s="1"/>
  <c r="DB692" i="3" s="1"/>
  <c r="CB692" i="3" s="1"/>
  <c r="CW673" i="3"/>
  <c r="CW670" i="3"/>
  <c r="DA670" i="3" s="1"/>
  <c r="DB670" i="3" s="1"/>
  <c r="CB670" i="3" s="1"/>
  <c r="CW651" i="3"/>
  <c r="CW648" i="3"/>
  <c r="DA648" i="3" s="1"/>
  <c r="DB648" i="3" s="1"/>
  <c r="CB648" i="3" s="1"/>
  <c r="CW631" i="3"/>
  <c r="CW630" i="3"/>
  <c r="CW629" i="3"/>
  <c r="DA629" i="3" s="1"/>
  <c r="DB629" i="3" s="1"/>
  <c r="CB629" i="3" s="1"/>
  <c r="CW626" i="3"/>
  <c r="DA626" i="3" s="1"/>
  <c r="DB626" i="3" s="1"/>
  <c r="CB626" i="3" s="1"/>
  <c r="CW608" i="3"/>
  <c r="CW607" i="3"/>
  <c r="CW604" i="3"/>
  <c r="DA604" i="3" s="1"/>
  <c r="DB604" i="3" s="1"/>
  <c r="CB604" i="3" s="1"/>
  <c r="CW586" i="3"/>
  <c r="DA586" i="3" s="1"/>
  <c r="DB586" i="3" s="1"/>
  <c r="CB586" i="3" s="1"/>
  <c r="CW585" i="3"/>
  <c r="CW582" i="3"/>
  <c r="DA582" i="3" s="1"/>
  <c r="DB582" i="3" s="1"/>
  <c r="CB582" i="3" s="1"/>
  <c r="CW564" i="3"/>
  <c r="CW563" i="3"/>
  <c r="CW560" i="3"/>
  <c r="DA560" i="3" s="1"/>
  <c r="DB560" i="3" s="1"/>
  <c r="CB560" i="3" s="1"/>
  <c r="CW542" i="3"/>
  <c r="CW541" i="3"/>
  <c r="DA541" i="3" s="1"/>
  <c r="DB541" i="3" s="1"/>
  <c r="CB541" i="3" s="1"/>
  <c r="CW538" i="3"/>
  <c r="DA538" i="3" s="1"/>
  <c r="DB538" i="3" s="1"/>
  <c r="CB538" i="3" s="1"/>
  <c r="CW521" i="3"/>
  <c r="CW520" i="3"/>
  <c r="CW519" i="3"/>
  <c r="CW516" i="3"/>
  <c r="DA516" i="3" s="1"/>
  <c r="DB516" i="3" s="1"/>
  <c r="CB516" i="3" s="1"/>
  <c r="CW497" i="3"/>
  <c r="CW494" i="3"/>
  <c r="DA494" i="3" s="1"/>
  <c r="DB494" i="3" s="1"/>
  <c r="CB494" i="3" s="1"/>
  <c r="CW475" i="3"/>
  <c r="CW472" i="3"/>
  <c r="DA472" i="3" s="1"/>
  <c r="DB472" i="3" s="1"/>
  <c r="CB472" i="3" s="1"/>
  <c r="CW455" i="3"/>
  <c r="DA455" i="3" s="1"/>
  <c r="DB455" i="3" s="1"/>
  <c r="CB455" i="3" s="1"/>
  <c r="CW454" i="3"/>
  <c r="DA454" i="3" s="1"/>
  <c r="DB454" i="3" s="1"/>
  <c r="CB454" i="3" s="1"/>
  <c r="CW453" i="3"/>
  <c r="DA453" i="3" s="1"/>
  <c r="DB453" i="3" s="1"/>
  <c r="CB453" i="3" s="1"/>
  <c r="CW450" i="3"/>
  <c r="DA450" i="3" s="1"/>
  <c r="DB450" i="3" s="1"/>
  <c r="CB450" i="3" s="1"/>
  <c r="CW449" i="3"/>
  <c r="DA449" i="3" s="1"/>
  <c r="DB449" i="3" s="1"/>
  <c r="CB449" i="3" s="1"/>
  <c r="CW448" i="3"/>
  <c r="DA448" i="3" s="1"/>
  <c r="DB448" i="3" s="1"/>
  <c r="CB448" i="3" s="1"/>
  <c r="CW447" i="3"/>
  <c r="DA447" i="3" s="1"/>
  <c r="DB447" i="3" s="1"/>
  <c r="CB447" i="3" s="1"/>
  <c r="CW446" i="3"/>
  <c r="DA446" i="3" s="1"/>
  <c r="DB446" i="3" s="1"/>
  <c r="CB446" i="3" s="1"/>
  <c r="CW445" i="3"/>
  <c r="DA445" i="3" s="1"/>
  <c r="DB445" i="3" s="1"/>
  <c r="CB445" i="3" s="1"/>
  <c r="CW434" i="3"/>
  <c r="DA434" i="3" s="1"/>
  <c r="DB434" i="3" s="1"/>
  <c r="CB434" i="3" s="1"/>
  <c r="CW433" i="3"/>
  <c r="DA433" i="3" s="1"/>
  <c r="DB433" i="3" s="1"/>
  <c r="CB433" i="3" s="1"/>
  <c r="CW432" i="3"/>
  <c r="DA432" i="3" s="1"/>
  <c r="DB432" i="3" s="1"/>
  <c r="CB432" i="3" s="1"/>
  <c r="CW431" i="3"/>
  <c r="DA431" i="3" s="1"/>
  <c r="DB431" i="3" s="1"/>
  <c r="CB431" i="3" s="1"/>
  <c r="CW397" i="3"/>
  <c r="CW396" i="3"/>
  <c r="CW395" i="3"/>
  <c r="CW394" i="3"/>
  <c r="DA394" i="3" s="1"/>
  <c r="DB394" i="3" s="1"/>
  <c r="CB394" i="3" s="1"/>
  <c r="CW366" i="3"/>
  <c r="CW365" i="3"/>
  <c r="CW364" i="3"/>
  <c r="CW363" i="3"/>
  <c r="CW362" i="3"/>
  <c r="CW361" i="3"/>
  <c r="CW360" i="3"/>
  <c r="CW359" i="3"/>
  <c r="DA359" i="3" s="1"/>
  <c r="DB359" i="3" s="1"/>
  <c r="CB359" i="3" s="1"/>
  <c r="CW358" i="3"/>
  <c r="CX354" i="3"/>
  <c r="CX353" i="3"/>
  <c r="CY300" i="3"/>
  <c r="CY299" i="3"/>
  <c r="DB299" i="3"/>
  <c r="CB299" i="3" s="1"/>
  <c r="CY298" i="3"/>
  <c r="CY297" i="3"/>
  <c r="CY296" i="3"/>
  <c r="CY295" i="3"/>
  <c r="CY294" i="3"/>
  <c r="CY293" i="3"/>
  <c r="CX302" i="3"/>
  <c r="CX301" i="3"/>
  <c r="CX300" i="3"/>
  <c r="CX299" i="3"/>
  <c r="CX298" i="3"/>
  <c r="CX297" i="3"/>
  <c r="DB297" i="3"/>
  <c r="CB297" i="3" s="1"/>
  <c r="CX296" i="3"/>
  <c r="DB296" i="3"/>
  <c r="CB296" i="3" s="1"/>
  <c r="CX295" i="3"/>
  <c r="CX294" i="3"/>
  <c r="CX293" i="3"/>
  <c r="CX292" i="3"/>
  <c r="CX291" i="3"/>
  <c r="CX290" i="3"/>
  <c r="CX287" i="3"/>
  <c r="CX286" i="3"/>
  <c r="CX281" i="3"/>
  <c r="CX280" i="3"/>
  <c r="DB280" i="3"/>
  <c r="CB280" i="3" s="1"/>
  <c r="CX279" i="3"/>
  <c r="DB279" i="3"/>
  <c r="CB279" i="3" s="1"/>
  <c r="CX278" i="3"/>
  <c r="DA278" i="3" s="1"/>
  <c r="DB278" i="3"/>
  <c r="CB278" i="3" s="1"/>
  <c r="CX277" i="3"/>
  <c r="DB277" i="3"/>
  <c r="CB277" i="3" s="1"/>
  <c r="CX276" i="3"/>
  <c r="CX275" i="3"/>
  <c r="CX274" i="3"/>
  <c r="DB274" i="3"/>
  <c r="CB274" i="3" s="1"/>
  <c r="CX246" i="3"/>
  <c r="DA246" i="3" s="1"/>
  <c r="DB246" i="3"/>
  <c r="CB246" i="3" s="1"/>
  <c r="CX242" i="3"/>
  <c r="DB242" i="3"/>
  <c r="CB242" i="3" s="1"/>
  <c r="CX223" i="3"/>
  <c r="CX222" i="3"/>
  <c r="CX221" i="3"/>
  <c r="DB221" i="3"/>
  <c r="CB221" i="3" s="1"/>
  <c r="CX220" i="3"/>
  <c r="DA220" i="3" s="1"/>
  <c r="DB220" i="3"/>
  <c r="CB220" i="3" s="1"/>
  <c r="CX219" i="3"/>
  <c r="DB219" i="3"/>
  <c r="CB219" i="3" s="1"/>
  <c r="CX218" i="3"/>
  <c r="DB218" i="3"/>
  <c r="CB218" i="3" s="1"/>
  <c r="CX206" i="3"/>
  <c r="CX199" i="3"/>
  <c r="DB199" i="3"/>
  <c r="CB199" i="3" s="1"/>
  <c r="CX198" i="3"/>
  <c r="DB198" i="3"/>
  <c r="CB198" i="3" s="1"/>
  <c r="CX197" i="3"/>
  <c r="CX192" i="3"/>
  <c r="DB192" i="3"/>
  <c r="CB192" i="3" s="1"/>
  <c r="CX190" i="3"/>
  <c r="CX189" i="3"/>
  <c r="CX188" i="3"/>
  <c r="DB188" i="3"/>
  <c r="CB188" i="3" s="1"/>
  <c r="CW173" i="3"/>
  <c r="CW172" i="3"/>
  <c r="DB172" i="3"/>
  <c r="CB172" i="3" s="1"/>
  <c r="CW171" i="3"/>
  <c r="DB171" i="3"/>
  <c r="CB171" i="3" s="1"/>
  <c r="CW170" i="3"/>
  <c r="DB170" i="3"/>
  <c r="CB170" i="3" s="1"/>
  <c r="CW169" i="3"/>
  <c r="DB169" i="3"/>
  <c r="CB169" i="3" s="1"/>
  <c r="CW165" i="3"/>
  <c r="CW164" i="3"/>
  <c r="CW160" i="3"/>
  <c r="CW159" i="3"/>
  <c r="CW158" i="3"/>
  <c r="DA158" i="3" s="1"/>
  <c r="DB158" i="3" s="1"/>
  <c r="CB158" i="3" s="1"/>
  <c r="CW157" i="3"/>
  <c r="CW156" i="3"/>
  <c r="DA156" i="3" s="1"/>
  <c r="DB156" i="3" s="1"/>
  <c r="CB156" i="3" s="1"/>
  <c r="CW151" i="3"/>
  <c r="DA151" i="3" s="1"/>
  <c r="DB151" i="3"/>
  <c r="CB151" i="3" s="1"/>
  <c r="CW150" i="3"/>
  <c r="DB150" i="3"/>
  <c r="CB150" i="3" s="1"/>
  <c r="CW149" i="3"/>
  <c r="CW148" i="3"/>
  <c r="DA148" i="3" s="1"/>
  <c r="DB148" i="3"/>
  <c r="CB148" i="3" s="1"/>
  <c r="CW138" i="3"/>
  <c r="DA138" i="3" s="1"/>
  <c r="DB138" i="3" s="1"/>
  <c r="CB138" i="3" s="1"/>
  <c r="CW137" i="3"/>
  <c r="DA137" i="3" s="1"/>
  <c r="DB137" i="3" s="1"/>
  <c r="CB137" i="3" s="1"/>
  <c r="CW131" i="3"/>
  <c r="DA131" i="3" s="1"/>
  <c r="DB131" i="3" s="1"/>
  <c r="CB131" i="3" s="1"/>
  <c r="CW130" i="3"/>
  <c r="DA130" i="3" s="1"/>
  <c r="DB130" i="3" s="1"/>
  <c r="CB130" i="3" s="1"/>
  <c r="CW124" i="3"/>
  <c r="BJ1970" i="3"/>
  <c r="AR1970" i="3"/>
  <c r="B2037" i="3"/>
  <c r="B1634" i="3"/>
  <c r="AL1644" i="3"/>
  <c r="AD1644" i="3"/>
  <c r="U1644" i="3"/>
  <c r="B123" i="3"/>
  <c r="B122" i="3"/>
  <c r="B1154" i="3"/>
  <c r="B343" i="3"/>
  <c r="CX191" i="3"/>
  <c r="DB191" i="3"/>
  <c r="CB191" i="3" s="1"/>
  <c r="B125" i="3"/>
  <c r="AQ124" i="3"/>
  <c r="BJ147" i="3"/>
  <c r="Y283" i="3"/>
  <c r="AK274" i="3" s="1"/>
  <c r="AW274" i="3" s="1"/>
  <c r="M4" i="8"/>
  <c r="C52" i="3" s="1"/>
  <c r="CD52" i="3" s="1"/>
  <c r="N4" i="8"/>
  <c r="E52" i="3"/>
  <c r="Q2892" i="3"/>
  <c r="O4" i="8"/>
  <c r="G52" i="3" s="1"/>
  <c r="B2556" i="3" s="1"/>
  <c r="P4" i="8"/>
  <c r="I52" i="3"/>
  <c r="Q4" i="8"/>
  <c r="K52" i="3" s="1"/>
  <c r="B901" i="3" s="1"/>
  <c r="CW901" i="3" s="1"/>
  <c r="R4" i="8"/>
  <c r="M52" i="3" s="1"/>
  <c r="S4" i="8"/>
  <c r="O52" i="3" s="1"/>
  <c r="T4" i="8"/>
  <c r="Q52" i="3" s="1"/>
  <c r="U4" i="8"/>
  <c r="S52" i="3" s="1"/>
  <c r="V4" i="8"/>
  <c r="U52" i="3"/>
  <c r="B2022" i="3" s="1"/>
  <c r="W4" i="8"/>
  <c r="W52" i="3" s="1"/>
  <c r="X4" i="8"/>
  <c r="Y52" i="3" s="1"/>
  <c r="Y4" i="8"/>
  <c r="AA52" i="3" s="1"/>
  <c r="Z4" i="8"/>
  <c r="AC52" i="3" s="1"/>
  <c r="AA4" i="8"/>
  <c r="AE52" i="3" s="1"/>
  <c r="AB4" i="8"/>
  <c r="AG52" i="3" s="1"/>
  <c r="AC4" i="8"/>
  <c r="AI52" i="3" s="1"/>
  <c r="AD4" i="8"/>
  <c r="AK52" i="3" s="1"/>
  <c r="AE4" i="8"/>
  <c r="AM52" i="3" s="1"/>
  <c r="AF4" i="8"/>
  <c r="AP52" i="3" s="1"/>
  <c r="AG4" i="8"/>
  <c r="AR52" i="3" s="1"/>
  <c r="AH4" i="8"/>
  <c r="AT52" i="3"/>
  <c r="AI4" i="8"/>
  <c r="AV52" i="3" s="1"/>
  <c r="AJ4" i="8"/>
  <c r="AX52" i="3" s="1"/>
  <c r="AK4" i="8"/>
  <c r="AZ52" i="3" s="1"/>
  <c r="AL4" i="8"/>
  <c r="BB52" i="3"/>
  <c r="AM4" i="8"/>
  <c r="BD52" i="3" s="1"/>
  <c r="AN4" i="8"/>
  <c r="BF52" i="3" s="1"/>
  <c r="AO4" i="8"/>
  <c r="BI52" i="3" s="1"/>
  <c r="AP4" i="8"/>
  <c r="BK52" i="3" s="1"/>
  <c r="AQ4" i="8"/>
  <c r="BM52" i="3" s="1"/>
  <c r="M5" i="8"/>
  <c r="C57" i="3" s="1"/>
  <c r="N5" i="8"/>
  <c r="E57" i="3" s="1"/>
  <c r="O5" i="8"/>
  <c r="G57" i="3" s="1"/>
  <c r="P5" i="8"/>
  <c r="I57" i="3" s="1"/>
  <c r="Q5" i="8"/>
  <c r="K57" i="3" s="1"/>
  <c r="R5" i="8"/>
  <c r="M57" i="3" s="1"/>
  <c r="S5" i="8"/>
  <c r="O57" i="3"/>
  <c r="T5" i="8"/>
  <c r="Q57" i="3" s="1"/>
  <c r="U5" i="8"/>
  <c r="S57" i="3" s="1"/>
  <c r="V5" i="8"/>
  <c r="U57" i="3" s="1"/>
  <c r="W5" i="8"/>
  <c r="W57" i="3"/>
  <c r="X5" i="8"/>
  <c r="Y57" i="3" s="1"/>
  <c r="Y5" i="8"/>
  <c r="AA57" i="3" s="1"/>
  <c r="Z5" i="8"/>
  <c r="AC57" i="3" s="1"/>
  <c r="AA5" i="8"/>
  <c r="AE57" i="3" s="1"/>
  <c r="AB5" i="8"/>
  <c r="AG57" i="3" s="1"/>
  <c r="AC5" i="8"/>
  <c r="AI57" i="3" s="1"/>
  <c r="AD5" i="8"/>
  <c r="AK57" i="3" s="1"/>
  <c r="AE5" i="8"/>
  <c r="AM57" i="3" s="1"/>
  <c r="AF5" i="8"/>
  <c r="AP57" i="3" s="1"/>
  <c r="AG5" i="8"/>
  <c r="AR57" i="3" s="1"/>
  <c r="AH5" i="8"/>
  <c r="AT57" i="3" s="1"/>
  <c r="AI5" i="8"/>
  <c r="AV57" i="3"/>
  <c r="AJ5" i="8"/>
  <c r="AX57" i="3" s="1"/>
  <c r="AK5" i="8"/>
  <c r="AZ57" i="3" s="1"/>
  <c r="AL5" i="8"/>
  <c r="BB57" i="3" s="1"/>
  <c r="AM5" i="8"/>
  <c r="BD57" i="3"/>
  <c r="AN5" i="8"/>
  <c r="BF57" i="3" s="1"/>
  <c r="AO5" i="8"/>
  <c r="BI57" i="3" s="1"/>
  <c r="AP5" i="8"/>
  <c r="BK57" i="3" s="1"/>
  <c r="AQ5" i="8"/>
  <c r="BM57" i="3"/>
  <c r="M6" i="8"/>
  <c r="C64" i="3" s="1"/>
  <c r="N6" i="8"/>
  <c r="E64" i="3" s="1"/>
  <c r="O6" i="8"/>
  <c r="G64" i="3" s="1"/>
  <c r="P6" i="8"/>
  <c r="I64" i="3" s="1"/>
  <c r="Q6" i="8"/>
  <c r="K64" i="3" s="1"/>
  <c r="R6" i="8"/>
  <c r="M64" i="3" s="1"/>
  <c r="S6" i="8"/>
  <c r="O64" i="3" s="1"/>
  <c r="T6" i="8"/>
  <c r="Q64" i="3"/>
  <c r="U6" i="8"/>
  <c r="S64" i="3" s="1"/>
  <c r="V6" i="8"/>
  <c r="U64" i="3" s="1"/>
  <c r="W6" i="8"/>
  <c r="W64" i="3" s="1"/>
  <c r="X6" i="8"/>
  <c r="Y64" i="3"/>
  <c r="Y6" i="8"/>
  <c r="AA64" i="3" s="1"/>
  <c r="Z6" i="8"/>
  <c r="AC64" i="3" s="1"/>
  <c r="AA6" i="8"/>
  <c r="AE64" i="3" s="1"/>
  <c r="AB6" i="8"/>
  <c r="AG64" i="3" s="1"/>
  <c r="AC6" i="8"/>
  <c r="AI64" i="3" s="1"/>
  <c r="AD6" i="8"/>
  <c r="AK64" i="3" s="1"/>
  <c r="AE6" i="8"/>
  <c r="AM64" i="3" s="1"/>
  <c r="AF6" i="8"/>
  <c r="AP64" i="3" s="1"/>
  <c r="AG6" i="8"/>
  <c r="AR64" i="3" s="1"/>
  <c r="AH6" i="8"/>
  <c r="AT64" i="3" s="1"/>
  <c r="M7" i="8"/>
  <c r="BK64" i="3" s="1"/>
  <c r="N7" i="8"/>
  <c r="BM64" i="3" s="1"/>
  <c r="O7" i="8"/>
  <c r="BO64" i="3" s="1"/>
  <c r="P7" i="8"/>
  <c r="BQ64" i="3" s="1"/>
  <c r="Q7" i="8"/>
  <c r="BS64" i="3" s="1"/>
  <c r="R7" i="8"/>
  <c r="BU64" i="3" s="1"/>
  <c r="S7" i="8"/>
  <c r="BW64" i="3" s="1"/>
  <c r="T7" i="8"/>
  <c r="BY64" i="3" s="1"/>
  <c r="M8" i="8"/>
  <c r="C69" i="3"/>
  <c r="N8" i="8"/>
  <c r="E69" i="3" s="1"/>
  <c r="O8" i="8"/>
  <c r="G69" i="3" s="1"/>
  <c r="P8" i="8"/>
  <c r="I69" i="3" s="1"/>
  <c r="Q8" i="8"/>
  <c r="K69" i="3"/>
  <c r="M9" i="8"/>
  <c r="O69" i="3" s="1"/>
  <c r="N9" i="8"/>
  <c r="Q69" i="3" s="1"/>
  <c r="O9" i="8"/>
  <c r="S69" i="3" s="1"/>
  <c r="P9" i="8"/>
  <c r="U69" i="3" s="1"/>
  <c r="Q9" i="8"/>
  <c r="W69" i="3" s="1"/>
  <c r="R9" i="8"/>
  <c r="Y69" i="3" s="1"/>
  <c r="S9" i="8"/>
  <c r="AA69" i="3" s="1"/>
  <c r="T9" i="8"/>
  <c r="AC69" i="3" s="1"/>
  <c r="U9" i="8"/>
  <c r="AE69" i="3" s="1"/>
  <c r="V9" i="8"/>
  <c r="AG69" i="3" s="1"/>
  <c r="W9" i="8"/>
  <c r="AI69" i="3" s="1"/>
  <c r="X9" i="8"/>
  <c r="AK69" i="3"/>
  <c r="Y9" i="8"/>
  <c r="AM69" i="3" s="1"/>
  <c r="Z9" i="8"/>
  <c r="AP69" i="3" s="1"/>
  <c r="AA9" i="8"/>
  <c r="AR69" i="3" s="1"/>
  <c r="AB9" i="8"/>
  <c r="AT69" i="3"/>
  <c r="AC9" i="8"/>
  <c r="AV69" i="3" s="1"/>
  <c r="AD9" i="8"/>
  <c r="AX69" i="3" s="1"/>
  <c r="AE9" i="8"/>
  <c r="AZ69" i="3" s="1"/>
  <c r="AF9" i="8"/>
  <c r="BB69" i="3"/>
  <c r="AG9" i="8"/>
  <c r="BD69" i="3" s="1"/>
  <c r="AH9" i="8"/>
  <c r="BF69" i="3" s="1"/>
  <c r="AI9" i="8"/>
  <c r="BI69" i="3" s="1"/>
  <c r="AJ9" i="8"/>
  <c r="BK69" i="3" s="1"/>
  <c r="AK9" i="8"/>
  <c r="BM69" i="3" s="1"/>
  <c r="B340" i="3"/>
  <c r="B3687" i="3"/>
  <c r="BD3682" i="3"/>
  <c r="B3640" i="3"/>
  <c r="BD3635" i="3"/>
  <c r="BB2919" i="3"/>
  <c r="AB2919" i="3"/>
  <c r="AB2922" i="3"/>
  <c r="BB2922" i="3"/>
  <c r="BD3445" i="3"/>
  <c r="BD3366" i="3"/>
  <c r="BD3115" i="3"/>
  <c r="BD3014" i="3"/>
  <c r="BD3340" i="3"/>
  <c r="BD3207" i="3"/>
  <c r="BD2888" i="3"/>
  <c r="BD2777" i="3"/>
  <c r="BD2567" i="3"/>
  <c r="BD1959" i="3"/>
  <c r="BD893" i="3"/>
  <c r="BD304" i="3"/>
  <c r="BD175" i="3"/>
  <c r="AK114" i="3"/>
  <c r="BA2239" i="3"/>
  <c r="BA2241" i="3" s="1"/>
  <c r="AB2235" i="3" s="1"/>
  <c r="AB2239" i="3" s="1"/>
  <c r="AB2241" i="3" s="1"/>
  <c r="BA3448" i="3"/>
  <c r="CD173" i="3"/>
  <c r="B156" i="3"/>
  <c r="B3312" i="3"/>
  <c r="B3186" i="3"/>
  <c r="B3144" i="3"/>
  <c r="BP2648" i="3"/>
  <c r="BP2647" i="3"/>
  <c r="BP2646" i="3"/>
  <c r="B2361" i="3"/>
  <c r="B2006" i="3"/>
  <c r="B1765" i="3"/>
  <c r="B1754" i="3"/>
  <c r="B1624" i="3"/>
  <c r="B1411" i="3"/>
  <c r="B1347" i="3"/>
  <c r="B1333" i="3"/>
  <c r="B1279" i="3"/>
  <c r="B1264" i="3"/>
  <c r="B1257" i="3"/>
  <c r="B1404" i="3"/>
  <c r="BM2829" i="3"/>
  <c r="BG2686" i="3"/>
  <c r="AL2686" i="3"/>
  <c r="BG2409" i="3"/>
  <c r="AM2409" i="3"/>
  <c r="AZ172" i="3"/>
  <c r="B172" i="3"/>
  <c r="BR3599" i="3"/>
  <c r="BI3599" i="3"/>
  <c r="BR3590" i="3"/>
  <c r="BI3590" i="3"/>
  <c r="BR3588" i="3"/>
  <c r="BI3588" i="3"/>
  <c r="BR3553" i="3"/>
  <c r="BI3553" i="3"/>
  <c r="BR3539" i="3"/>
  <c r="BI3539" i="3"/>
  <c r="BR3510" i="3"/>
  <c r="BI3510" i="3"/>
  <c r="BR3501" i="3"/>
  <c r="BI3501" i="3"/>
  <c r="BR3499" i="3"/>
  <c r="BI3499" i="3"/>
  <c r="BR3469" i="3"/>
  <c r="BR3474" i="3" s="1"/>
  <c r="BR3478" i="3" s="1"/>
  <c r="BI3469" i="3"/>
  <c r="BI3474" i="3" s="1"/>
  <c r="BI3478" i="3" s="1"/>
  <c r="BM2818" i="3"/>
  <c r="BB2020" i="3"/>
  <c r="CD2020" i="3" s="1"/>
  <c r="B1543" i="3"/>
  <c r="BQ1340" i="3"/>
  <c r="B3344" i="3"/>
  <c r="B3175" i="3"/>
  <c r="AW2989" i="3"/>
  <c r="AW2990" i="3" s="1"/>
  <c r="BD2987" i="3"/>
  <c r="AR2984" i="3"/>
  <c r="AW2984" i="3"/>
  <c r="AR2982" i="3"/>
  <c r="AW2982" i="3"/>
  <c r="AR2981" i="3"/>
  <c r="AR2980" i="3"/>
  <c r="AF2987" i="3"/>
  <c r="BM2854" i="3"/>
  <c r="BM2843" i="3"/>
  <c r="BM2840" i="3" s="1"/>
  <c r="BM2812" i="3"/>
  <c r="BF2768" i="3"/>
  <c r="AS2649" i="3"/>
  <c r="BE2565" i="3"/>
  <c r="AH2565" i="3"/>
  <c r="AQ2533" i="3"/>
  <c r="BI2517" i="3"/>
  <c r="AS2517" i="3"/>
  <c r="AD2517" i="3"/>
  <c r="BI2506" i="3"/>
  <c r="AS2506" i="3"/>
  <c r="AD2506" i="3"/>
  <c r="AS2097" i="3"/>
  <c r="AG2097" i="3"/>
  <c r="CD2034" i="3"/>
  <c r="AN1783" i="3"/>
  <c r="V1783" i="3"/>
  <c r="U1761" i="3"/>
  <c r="AT1739" i="3"/>
  <c r="AH1739" i="3"/>
  <c r="AZ1702" i="3"/>
  <c r="Y1702" i="3"/>
  <c r="AC1621" i="3"/>
  <c r="BC1621" i="3"/>
  <c r="BC1618" i="3"/>
  <c r="AC1618" i="3"/>
  <c r="BM1586" i="3"/>
  <c r="BM1585" i="3"/>
  <c r="BM1584" i="3"/>
  <c r="BM1583" i="3"/>
  <c r="BM1582" i="3"/>
  <c r="BM1581" i="3"/>
  <c r="BM1580" i="3"/>
  <c r="BM1577" i="3"/>
  <c r="BM1576" i="3"/>
  <c r="BM1575" i="3"/>
  <c r="BM1574" i="3"/>
  <c r="BM1573" i="3"/>
  <c r="AS1554" i="3"/>
  <c r="AG1554" i="3"/>
  <c r="T1554" i="3"/>
  <c r="BF1507" i="3"/>
  <c r="AN1507" i="3"/>
  <c r="V1507" i="3"/>
  <c r="BH1469" i="3"/>
  <c r="AP1469" i="3"/>
  <c r="X1469" i="3"/>
  <c r="AT1401" i="3"/>
  <c r="AH1401" i="3"/>
  <c r="BD1358" i="3"/>
  <c r="AS1358" i="3"/>
  <c r="AG1358" i="3"/>
  <c r="T1358" i="3"/>
  <c r="M286" i="3"/>
  <c r="B286" i="3"/>
  <c r="AK2768" i="3"/>
  <c r="AW2981" i="3"/>
  <c r="DA847" i="3"/>
  <c r="DB847" i="3" s="1"/>
  <c r="CB847" i="3" s="1"/>
  <c r="B895" i="3"/>
  <c r="B2594" i="3"/>
  <c r="DB3390" i="3"/>
  <c r="CB3390" i="3" s="1"/>
  <c r="DA313" i="3"/>
  <c r="DB313" i="3" s="1"/>
  <c r="CB313" i="3" s="1"/>
  <c r="DB3406" i="3"/>
  <c r="CB3406" i="3" s="1"/>
  <c r="DB2980" i="3"/>
  <c r="CB2980" i="3" s="1"/>
  <c r="DB3592" i="3"/>
  <c r="CB3592" i="3" s="1"/>
  <c r="DB3600" i="3"/>
  <c r="CB3600" i="3" s="1"/>
  <c r="DB2723" i="3"/>
  <c r="CB2723" i="3" s="1"/>
  <c r="DB3172" i="3"/>
  <c r="CB3172" i="3" s="1"/>
  <c r="DB284" i="3"/>
  <c r="CB284" i="3" s="1"/>
  <c r="DB3140" i="3"/>
  <c r="CB3140" i="3" s="1"/>
  <c r="DB1702" i="3"/>
  <c r="CB1702" i="3" s="1"/>
  <c r="AG2230" i="3"/>
  <c r="S1886" i="3"/>
  <c r="DB901" i="3"/>
  <c r="CB901" i="3" s="1"/>
  <c r="S2782" i="3"/>
  <c r="G2066" i="3"/>
  <c r="DB2697" i="3"/>
  <c r="CB2697" i="3" s="1"/>
  <c r="DB2924" i="3"/>
  <c r="CB2924" i="3" s="1"/>
  <c r="DB2941" i="3"/>
  <c r="CB2941" i="3" s="1"/>
  <c r="DB2897" i="3"/>
  <c r="CB2897" i="3" s="1"/>
  <c r="DB2961" i="3"/>
  <c r="CB2961" i="3" s="1"/>
  <c r="DB2969" i="3"/>
  <c r="CB2969" i="3" s="1"/>
  <c r="DB2094" i="3"/>
  <c r="CB2094" i="3" s="1"/>
  <c r="DB257" i="3"/>
  <c r="CB257" i="3" s="1"/>
  <c r="DB1789" i="3"/>
  <c r="CB1789" i="3" s="1"/>
  <c r="DB2471" i="3"/>
  <c r="CB2471" i="3" s="1"/>
  <c r="DB2995" i="3"/>
  <c r="CB2995" i="3" s="1"/>
  <c r="DB3007" i="3"/>
  <c r="CB3007" i="3" s="1"/>
  <c r="DB1942" i="3"/>
  <c r="CB1942" i="3" s="1"/>
  <c r="DB239" i="3"/>
  <c r="CB239" i="3" s="1"/>
  <c r="DB913" i="3"/>
  <c r="CB913" i="3" s="1"/>
  <c r="DB2392" i="3"/>
  <c r="CB2392" i="3" s="1"/>
  <c r="DB2727" i="3"/>
  <c r="CB2727" i="3" s="1"/>
  <c r="DA3174" i="3"/>
  <c r="DB3174" i="3" s="1"/>
  <c r="CB3174" i="3" s="1"/>
  <c r="DB3182" i="3"/>
  <c r="CB3182" i="3" s="1"/>
  <c r="DB2468" i="3"/>
  <c r="CB2468" i="3" s="1"/>
  <c r="DB2692" i="3"/>
  <c r="CB2692" i="3" s="1"/>
  <c r="DB2754" i="3"/>
  <c r="CB2754" i="3" s="1"/>
  <c r="DB3601" i="3"/>
  <c r="CB3601" i="3" s="1"/>
  <c r="DB1675" i="3"/>
  <c r="CB1675" i="3" s="1"/>
  <c r="DB1501" i="3"/>
  <c r="CB1501" i="3" s="1"/>
  <c r="DB1575" i="3"/>
  <c r="CB1575" i="3" s="1"/>
  <c r="DB2604" i="3"/>
  <c r="CB2604" i="3" s="1"/>
  <c r="DB2583" i="3"/>
  <c r="CB2583" i="3" s="1"/>
  <c r="DB2591" i="3"/>
  <c r="CB2591" i="3" s="1"/>
  <c r="DB216" i="3"/>
  <c r="CB216" i="3" s="1"/>
  <c r="DB1041" i="3"/>
  <c r="CB1041" i="3" s="1"/>
  <c r="DB1657" i="3"/>
  <c r="CB1657" i="3" s="1"/>
  <c r="DB1951" i="3"/>
  <c r="CB1951" i="3" s="1"/>
  <c r="DB2900" i="3"/>
  <c r="CB2900" i="3" s="1"/>
  <c r="DB2984" i="3"/>
  <c r="CB2984" i="3" s="1"/>
  <c r="DB2809" i="3"/>
  <c r="CB2809" i="3" s="1"/>
  <c r="DB2817" i="3"/>
  <c r="CB2817" i="3" s="1"/>
  <c r="DB3574" i="3"/>
  <c r="CB3574" i="3" s="1"/>
  <c r="DB3582" i="3"/>
  <c r="CB3582" i="3" s="1"/>
  <c r="DB2313" i="3"/>
  <c r="CB2313" i="3" s="1"/>
  <c r="DB2661" i="3"/>
  <c r="CB2661" i="3" s="1"/>
  <c r="DB3261" i="3"/>
  <c r="CB3261" i="3" s="1"/>
  <c r="DB2095" i="3"/>
  <c r="CB2095" i="3" s="1"/>
  <c r="DB2711" i="3"/>
  <c r="CB2711" i="3" s="1"/>
  <c r="DB950" i="3"/>
  <c r="CB950" i="3" s="1"/>
  <c r="DB2811" i="3"/>
  <c r="CB2811" i="3" s="1"/>
  <c r="DB2244" i="3"/>
  <c r="CB2244" i="3" s="1"/>
  <c r="DB2252" i="3"/>
  <c r="CB2252" i="3" s="1"/>
  <c r="DB2992" i="3"/>
  <c r="CB2992" i="3" s="1"/>
  <c r="DB929" i="3"/>
  <c r="CB929" i="3" s="1"/>
  <c r="DA2675" i="3"/>
  <c r="DB2675" i="3"/>
  <c r="CB2675" i="3" s="1"/>
  <c r="DB3424" i="3"/>
  <c r="CB3424" i="3" s="1"/>
  <c r="DB3296" i="3"/>
  <c r="CB3296" i="3" s="1"/>
  <c r="DB3320" i="3"/>
  <c r="CB3320" i="3" s="1"/>
  <c r="DB2281" i="3"/>
  <c r="CB2281" i="3" s="1"/>
  <c r="DB2329" i="3"/>
  <c r="CB2329" i="3" s="1"/>
  <c r="DB1975" i="3"/>
  <c r="CB1975" i="3" s="1"/>
  <c r="DB2215" i="3"/>
  <c r="CB2215" i="3" s="1"/>
  <c r="DB2694" i="3"/>
  <c r="CB2694" i="3" s="1"/>
  <c r="DB1923" i="3"/>
  <c r="CB1923" i="3" s="1"/>
  <c r="DB2719" i="3"/>
  <c r="CB2719" i="3" s="1"/>
  <c r="DB2715" i="3"/>
  <c r="CB2715" i="3" s="1"/>
  <c r="DB2760" i="3"/>
  <c r="CB2760" i="3" s="1"/>
  <c r="DB2151" i="3"/>
  <c r="CB2151" i="3" s="1"/>
  <c r="DB2278" i="3"/>
  <c r="CB2278" i="3" s="1"/>
  <c r="DB1408" i="3"/>
  <c r="CB1408" i="3" s="1"/>
  <c r="DB1141" i="3"/>
  <c r="CB1141" i="3" s="1"/>
  <c r="DB1513" i="3"/>
  <c r="CB1513" i="3" s="1"/>
  <c r="DB1423" i="3"/>
  <c r="CB1423" i="3" s="1"/>
  <c r="DB1146" i="3"/>
  <c r="CB1146" i="3" s="1"/>
  <c r="DB2347" i="3"/>
  <c r="CB2347" i="3" s="1"/>
  <c r="DB2926" i="3"/>
  <c r="CB2926" i="3" s="1"/>
  <c r="DB3594" i="3"/>
  <c r="CB3594" i="3" s="1"/>
  <c r="DB1573" i="3"/>
  <c r="CB1573" i="3" s="1"/>
  <c r="DA1067" i="3"/>
  <c r="DB1067" i="3"/>
  <c r="CB1067" i="3" s="1"/>
  <c r="DB1229" i="3"/>
  <c r="CB1229" i="3" s="1"/>
  <c r="DB2420" i="3"/>
  <c r="CB2420" i="3" s="1"/>
  <c r="DB2724" i="3"/>
  <c r="CB2724" i="3" s="1"/>
  <c r="DB2096" i="3"/>
  <c r="CB2096" i="3" s="1"/>
  <c r="DB2991" i="3"/>
  <c r="CB2991" i="3" s="1"/>
  <c r="DB3265" i="3"/>
  <c r="CB3265" i="3" s="1"/>
  <c r="DB2851" i="3"/>
  <c r="CB2851" i="3" s="1"/>
  <c r="DB3375" i="3"/>
  <c r="CB3375" i="3" s="1"/>
  <c r="DB2597" i="3"/>
  <c r="CB2597" i="3" s="1"/>
  <c r="DB1547" i="3"/>
  <c r="CB1547" i="3" s="1"/>
  <c r="DB2275" i="3"/>
  <c r="CB2275" i="3" s="1"/>
  <c r="DB1965" i="3"/>
  <c r="CB1965" i="3" s="1"/>
  <c r="DA1963" i="3"/>
  <c r="DB1963" i="3"/>
  <c r="CB1963" i="3" s="1"/>
  <c r="DB2412" i="3"/>
  <c r="CB2412" i="3" s="1"/>
  <c r="DB2714" i="3"/>
  <c r="CB2714" i="3" s="1"/>
  <c r="DB2643" i="3"/>
  <c r="CB2643" i="3" s="1"/>
  <c r="DB2423" i="3"/>
  <c r="CB2423" i="3" s="1"/>
  <c r="DB2251" i="3"/>
  <c r="CB2251" i="3" s="1"/>
  <c r="DB2259" i="3"/>
  <c r="CB2259" i="3" s="1"/>
  <c r="DB2413" i="3"/>
  <c r="CB2413" i="3" s="1"/>
  <c r="DB2943" i="3"/>
  <c r="CB2943" i="3" s="1"/>
  <c r="DB272" i="3"/>
  <c r="CB272" i="3" s="1"/>
  <c r="DB201" i="3"/>
  <c r="CB201" i="3" s="1"/>
  <c r="DB184" i="3"/>
  <c r="CB184" i="3" s="1"/>
  <c r="DB193" i="3"/>
  <c r="CB193" i="3" s="1"/>
  <c r="DB231" i="3"/>
  <c r="CB231" i="3" s="1"/>
  <c r="DB235" i="3"/>
  <c r="CB235" i="3" s="1"/>
  <c r="DB2224" i="3"/>
  <c r="CB2224" i="3" s="1"/>
  <c r="DB2986" i="3"/>
  <c r="CB2986" i="3" s="1"/>
  <c r="DB1036" i="3"/>
  <c r="CB1036" i="3" s="1"/>
  <c r="DB2608" i="3"/>
  <c r="CB2608" i="3" s="1"/>
  <c r="DB1431" i="3"/>
  <c r="CB1431" i="3" s="1"/>
  <c r="DB227" i="3"/>
  <c r="CB227" i="3" s="1"/>
  <c r="DB1538" i="3"/>
  <c r="CB1538" i="3" s="1"/>
  <c r="DB1000" i="3"/>
  <c r="CB1000" i="3" s="1"/>
  <c r="DB1011" i="3"/>
  <c r="CB1011" i="3" s="1"/>
  <c r="DB1318" i="3"/>
  <c r="CB1318" i="3" s="1"/>
  <c r="DB1419" i="3"/>
  <c r="CB1419" i="3" s="1"/>
  <c r="DB203" i="3"/>
  <c r="CB203" i="3" s="1"/>
  <c r="DB2119" i="3"/>
  <c r="CB2119" i="3" s="1"/>
  <c r="DB3573" i="3"/>
  <c r="CB3573" i="3" s="1"/>
  <c r="DB3605" i="3"/>
  <c r="CB3605" i="3" s="1"/>
  <c r="DB2688" i="3"/>
  <c r="CB2688" i="3" s="1"/>
  <c r="DB2748" i="3"/>
  <c r="CB2748" i="3" s="1"/>
  <c r="DB3549" i="3"/>
  <c r="CB3549" i="3" s="1"/>
  <c r="DB266" i="3"/>
  <c r="CB266" i="3" s="1"/>
  <c r="DB2428" i="3"/>
  <c r="CB2428" i="3" s="1"/>
  <c r="DB1637" i="3"/>
  <c r="CB1637" i="3" s="1"/>
  <c r="DB3613" i="3"/>
  <c r="CB3613" i="3" s="1"/>
  <c r="DB285" i="3"/>
  <c r="CB285" i="3" s="1"/>
  <c r="DB182" i="3"/>
  <c r="CB182" i="3" s="1"/>
  <c r="DB233" i="3"/>
  <c r="CB233" i="3" s="1"/>
  <c r="DB3287" i="3"/>
  <c r="CB3287" i="3" s="1"/>
  <c r="DB1739" i="3"/>
  <c r="CB1739" i="3" s="1"/>
  <c r="DB1720" i="3"/>
  <c r="CB1720" i="3" s="1"/>
  <c r="DB2813" i="3"/>
  <c r="CB2813" i="3" s="1"/>
  <c r="DB2829" i="3"/>
  <c r="CB2829" i="3" s="1"/>
  <c r="DB1935" i="3"/>
  <c r="CB1935" i="3" s="1"/>
  <c r="DB2100" i="3"/>
  <c r="CB2100" i="3" s="1"/>
  <c r="DB3328" i="3"/>
  <c r="CB3328" i="3" s="1"/>
  <c r="DB211" i="3"/>
  <c r="CB211" i="3" s="1"/>
  <c r="DB3277" i="3"/>
  <c r="CB3277" i="3" s="1"/>
  <c r="DB2429" i="3"/>
  <c r="CB2429" i="3" s="1"/>
  <c r="DB1679" i="3"/>
  <c r="CB1679" i="3" s="1"/>
  <c r="DB907" i="3"/>
  <c r="CB907" i="3" s="1"/>
  <c r="DB2952" i="3"/>
  <c r="CB2952" i="3" s="1"/>
  <c r="DB2685" i="3"/>
  <c r="CB2685" i="3" s="1"/>
  <c r="DB2987" i="3"/>
  <c r="CB2987" i="3" s="1"/>
  <c r="DB2721" i="3"/>
  <c r="CB2721" i="3" s="1"/>
  <c r="DB2081" i="3"/>
  <c r="CB2081" i="3" s="1"/>
  <c r="DB2997" i="3"/>
  <c r="CB2997" i="3" s="1"/>
  <c r="DB2110" i="3"/>
  <c r="CB2110" i="3" s="1"/>
  <c r="DB282" i="3"/>
  <c r="CB282" i="3" s="1"/>
  <c r="DB226" i="3"/>
  <c r="CB226" i="3" s="1"/>
  <c r="DB2666" i="3"/>
  <c r="CB2666" i="3" s="1"/>
  <c r="DB3099" i="3"/>
  <c r="CB3099" i="3" s="1"/>
  <c r="DB3565" i="3"/>
  <c r="CB3565" i="3" s="1"/>
  <c r="DB2165" i="3"/>
  <c r="CB2165" i="3" s="1"/>
  <c r="DB206" i="3"/>
  <c r="CB206" i="3" s="1"/>
  <c r="DB222" i="3"/>
  <c r="CB222" i="3" s="1"/>
  <c r="DB1115" i="3"/>
  <c r="CB1115" i="3" s="1"/>
  <c r="DB1153" i="3"/>
  <c r="CB1153" i="3" s="1"/>
  <c r="DB1029" i="3"/>
  <c r="CB1029" i="3" s="1"/>
  <c r="DB2641" i="3"/>
  <c r="CB2641" i="3" s="1"/>
  <c r="DB1416" i="3"/>
  <c r="CB1416" i="3" s="1"/>
  <c r="DB1715" i="3"/>
  <c r="CB1715" i="3" s="1"/>
  <c r="DB2398" i="3"/>
  <c r="CB2398" i="3" s="1"/>
  <c r="DB2972" i="3"/>
  <c r="CB2972" i="3" s="1"/>
  <c r="DB1132" i="3"/>
  <c r="CB1132" i="3" s="1"/>
  <c r="DB1709" i="3"/>
  <c r="CB1709" i="3" s="1"/>
  <c r="DB1723" i="3"/>
  <c r="CB1723" i="3" s="1"/>
  <c r="DB2082" i="3"/>
  <c r="CB2082" i="3" s="1"/>
  <c r="DB2113" i="3"/>
  <c r="CB2113" i="3" s="1"/>
  <c r="DB2617" i="3"/>
  <c r="CB2617" i="3" s="1"/>
  <c r="DB2752" i="3"/>
  <c r="CB2752" i="3" s="1"/>
  <c r="DB3557" i="3"/>
  <c r="CB3557" i="3" s="1"/>
  <c r="DB3608" i="3"/>
  <c r="CB3608" i="3" s="1"/>
  <c r="DB2596" i="3"/>
  <c r="CB2596" i="3" s="1"/>
  <c r="DB2660" i="3"/>
  <c r="CB2660" i="3" s="1"/>
  <c r="DB1152" i="3"/>
  <c r="CB1152" i="3" s="1"/>
  <c r="DB1203" i="3"/>
  <c r="CB1203" i="3" s="1"/>
  <c r="DB3310" i="3"/>
  <c r="CB3310" i="3" s="1"/>
  <c r="DB2973" i="3"/>
  <c r="CB2973" i="3" s="1"/>
  <c r="DB2257" i="3"/>
  <c r="CB2257" i="3" s="1"/>
  <c r="DB2449" i="3"/>
  <c r="CB2449" i="3" s="1"/>
  <c r="DB1154" i="3"/>
  <c r="CB1154" i="3" s="1"/>
  <c r="DB3403" i="3"/>
  <c r="CB3403" i="3" s="1"/>
  <c r="DB1652" i="3"/>
  <c r="CB1652" i="3" s="1"/>
  <c r="DB2115" i="3"/>
  <c r="CB2115" i="3" s="1"/>
  <c r="DB1899" i="3"/>
  <c r="CB1899" i="3" s="1"/>
  <c r="DB1938" i="3"/>
  <c r="CB1938" i="3" s="1"/>
  <c r="DB1122" i="3"/>
  <c r="CB1122" i="3" s="1"/>
  <c r="DB2040" i="3"/>
  <c r="CB2040" i="3" s="1"/>
  <c r="DB1124" i="3"/>
  <c r="CB1124" i="3" s="1"/>
  <c r="DB1298" i="3"/>
  <c r="CB1298" i="3" s="1"/>
  <c r="DB1330" i="3"/>
  <c r="CB1330" i="3" s="1"/>
  <c r="DB1626" i="3"/>
  <c r="CB1626" i="3" s="1"/>
  <c r="DB2362" i="3"/>
  <c r="CB2362" i="3" s="1"/>
  <c r="DB2773" i="3"/>
  <c r="CB2773" i="3" s="1"/>
  <c r="DB1375" i="3"/>
  <c r="CB1375" i="3" s="1"/>
  <c r="DB1427" i="3"/>
  <c r="CB1427" i="3" s="1"/>
  <c r="DB2667" i="3"/>
  <c r="CB2667" i="3" s="1"/>
  <c r="DB2860" i="3"/>
  <c r="CB2860" i="3" s="1"/>
  <c r="DB2869" i="3"/>
  <c r="CB2869" i="3" s="1"/>
  <c r="DB2873" i="3"/>
  <c r="CB2873" i="3" s="1"/>
  <c r="DB2877" i="3"/>
  <c r="CB2877" i="3" s="1"/>
  <c r="DB2881" i="3"/>
  <c r="CB2881" i="3" s="1"/>
  <c r="DB2898" i="3"/>
  <c r="CB2898" i="3" s="1"/>
  <c r="DB2970" i="3"/>
  <c r="CB2970" i="3" s="1"/>
  <c r="DB2998" i="3"/>
  <c r="CB2998" i="3" s="1"/>
  <c r="DB3002" i="3"/>
  <c r="CB3002" i="3" s="1"/>
  <c r="DB3006" i="3"/>
  <c r="CB3006" i="3" s="1"/>
  <c r="DB2839" i="3"/>
  <c r="CB2839" i="3" s="1"/>
  <c r="DB2985" i="3"/>
  <c r="CB2985" i="3" s="1"/>
  <c r="DB945" i="3"/>
  <c r="CB945" i="3" s="1"/>
  <c r="DB927" i="3"/>
  <c r="CB927" i="3" s="1"/>
  <c r="DB935" i="3"/>
  <c r="CB935" i="3" s="1"/>
  <c r="DB944" i="3"/>
  <c r="CB944" i="3" s="1"/>
  <c r="DB1003" i="3"/>
  <c r="CB1003" i="3" s="1"/>
  <c r="DB1195" i="3"/>
  <c r="CB1195" i="3" s="1"/>
  <c r="DB1038" i="3"/>
  <c r="CB1038" i="3" s="1"/>
  <c r="DB1532" i="3"/>
  <c r="CB1532" i="3" s="1"/>
  <c r="DB1528" i="3"/>
  <c r="CB1528" i="3" s="1"/>
  <c r="DB1536" i="3"/>
  <c r="CB1536" i="3" s="1"/>
  <c r="DB1932" i="3"/>
  <c r="CB1932" i="3" s="1"/>
  <c r="DB1722" i="3"/>
  <c r="CB1722" i="3" s="1"/>
  <c r="DB1710" i="3"/>
  <c r="CB1710" i="3" s="1"/>
  <c r="DB1718" i="3"/>
  <c r="CB1718" i="3" s="1"/>
  <c r="DB1726" i="3"/>
  <c r="CB1726" i="3" s="1"/>
  <c r="DA2290" i="3"/>
  <c r="DB2290" i="3"/>
  <c r="CB2290" i="3" s="1"/>
  <c r="DB2739" i="3"/>
  <c r="CB2739" i="3" s="1"/>
  <c r="DB2743" i="3"/>
  <c r="CB2743" i="3" s="1"/>
  <c r="DB2747" i="3"/>
  <c r="CB2747" i="3" s="1"/>
  <c r="DB2751" i="3"/>
  <c r="CB2751" i="3" s="1"/>
  <c r="DB2755" i="3"/>
  <c r="CB2755" i="3" s="1"/>
  <c r="DB928" i="3"/>
  <c r="CB928" i="3" s="1"/>
  <c r="DB936" i="3"/>
  <c r="CB936" i="3" s="1"/>
  <c r="DB946" i="3"/>
  <c r="CB946" i="3" s="1"/>
  <c r="DB1004" i="3"/>
  <c r="CB1004" i="3" s="1"/>
  <c r="DB1020" i="3"/>
  <c r="CB1020" i="3" s="1"/>
  <c r="DB2311" i="3"/>
  <c r="CB2311" i="3" s="1"/>
  <c r="DB2319" i="3"/>
  <c r="CB2319" i="3" s="1"/>
  <c r="DB2327" i="3"/>
  <c r="CB2327" i="3" s="1"/>
  <c r="DB2335" i="3"/>
  <c r="CB2335" i="3" s="1"/>
  <c r="DB2360" i="3"/>
  <c r="CB2360" i="3" s="1"/>
  <c r="DB2345" i="3"/>
  <c r="CB2345" i="3" s="1"/>
  <c r="DB2383" i="3"/>
  <c r="CB2383" i="3" s="1"/>
  <c r="DB2422" i="3"/>
  <c r="CB2422" i="3" s="1"/>
  <c r="DB2458" i="3"/>
  <c r="CB2458" i="3" s="1"/>
  <c r="DB2466" i="3"/>
  <c r="CB2466" i="3" s="1"/>
  <c r="DB2474" i="3"/>
  <c r="CB2474" i="3" s="1"/>
  <c r="DB2762" i="3"/>
  <c r="CB2762" i="3" s="1"/>
  <c r="DB2905" i="3"/>
  <c r="CB2905" i="3" s="1"/>
  <c r="DB1977" i="3"/>
  <c r="CB1977" i="3" s="1"/>
  <c r="DB2204" i="3"/>
  <c r="CB2204" i="3" s="1"/>
  <c r="DB2806" i="3"/>
  <c r="CB2806" i="3" s="1"/>
  <c r="DB2854" i="3"/>
  <c r="CB2854" i="3" s="1"/>
  <c r="DB3308" i="3"/>
  <c r="CB3308" i="3" s="1"/>
  <c r="DB3316" i="3"/>
  <c r="CB3316" i="3" s="1"/>
  <c r="DB2855" i="3"/>
  <c r="CB2855" i="3" s="1"/>
  <c r="DB1158" i="3"/>
  <c r="CB1158" i="3" s="1"/>
  <c r="DB1329" i="3"/>
  <c r="CB1329" i="3" s="1"/>
  <c r="DB1521" i="3"/>
  <c r="CB1521" i="3" s="1"/>
  <c r="DB1529" i="3"/>
  <c r="CB1529" i="3" s="1"/>
  <c r="DB1537" i="3"/>
  <c r="CB1537" i="3" s="1"/>
  <c r="DB1894" i="3"/>
  <c r="CB1894" i="3" s="1"/>
  <c r="DB1711" i="3"/>
  <c r="CB1711" i="3" s="1"/>
  <c r="DB1719" i="3"/>
  <c r="CB1719" i="3" s="1"/>
  <c r="DB1727" i="3"/>
  <c r="CB1727" i="3" s="1"/>
  <c r="DB2249" i="3"/>
  <c r="CB2249" i="3" s="1"/>
  <c r="DB2099" i="3"/>
  <c r="CB2099" i="3" s="1"/>
  <c r="DB2277" i="3"/>
  <c r="CB2277" i="3" s="1"/>
  <c r="DB2349" i="3"/>
  <c r="CB2349" i="3" s="1"/>
  <c r="DB2410" i="3"/>
  <c r="CB2410" i="3" s="1"/>
  <c r="DB2442" i="3"/>
  <c r="CB2442" i="3" s="1"/>
  <c r="DB2627" i="3"/>
  <c r="CB2627" i="3" s="1"/>
  <c r="DB2635" i="3"/>
  <c r="CB2635" i="3" s="1"/>
  <c r="DB2664" i="3"/>
  <c r="CB2664" i="3" s="1"/>
  <c r="DB2690" i="3"/>
  <c r="CB2690" i="3" s="1"/>
  <c r="DB2749" i="3"/>
  <c r="CB2749" i="3" s="1"/>
  <c r="DB2856" i="3"/>
  <c r="CB2856" i="3" s="1"/>
  <c r="DB2828" i="3"/>
  <c r="CB2828" i="3" s="1"/>
  <c r="DB2852" i="3"/>
  <c r="CB2852" i="3" s="1"/>
  <c r="DB2861" i="3"/>
  <c r="CB2861" i="3" s="1"/>
  <c r="DB2871" i="3"/>
  <c r="CB2871" i="3" s="1"/>
  <c r="DB2879" i="3"/>
  <c r="CB2879" i="3" s="1"/>
  <c r="DB2883" i="3"/>
  <c r="CB2883" i="3" s="1"/>
  <c r="DB3008" i="3"/>
  <c r="CB3008" i="3" s="1"/>
  <c r="DB3325" i="3"/>
  <c r="CB3325" i="3" s="1"/>
  <c r="DB3540" i="3"/>
  <c r="CB3540" i="3" s="1"/>
  <c r="DB3556" i="3"/>
  <c r="CB3556" i="3" s="1"/>
  <c r="DB3572" i="3"/>
  <c r="CB3572" i="3" s="1"/>
  <c r="DB3580" i="3"/>
  <c r="CB3580" i="3" s="1"/>
  <c r="DB276" i="3"/>
  <c r="CB276" i="3" s="1"/>
  <c r="DB292" i="3"/>
  <c r="CB292" i="3" s="1"/>
  <c r="DB923" i="3"/>
  <c r="CB923" i="3" s="1"/>
  <c r="DB940" i="3"/>
  <c r="CB940" i="3" s="1"/>
  <c r="DB1007" i="3"/>
  <c r="CB1007" i="3" s="1"/>
  <c r="DB1013" i="3"/>
  <c r="CB1013" i="3" s="1"/>
  <c r="DB1015" i="3"/>
  <c r="CB1015" i="3" s="1"/>
  <c r="DB1017" i="3"/>
  <c r="CB1017" i="3" s="1"/>
  <c r="DB1411" i="3"/>
  <c r="CB1411" i="3" s="1"/>
  <c r="DB1127" i="3"/>
  <c r="CB1127" i="3" s="1"/>
  <c r="DB1658" i="3"/>
  <c r="CB1658" i="3" s="1"/>
  <c r="DB921" i="3"/>
  <c r="CB921" i="3" s="1"/>
  <c r="DB2159" i="3"/>
  <c r="CB2159" i="3" s="1"/>
  <c r="DB2101" i="3"/>
  <c r="CB2101" i="3" s="1"/>
  <c r="DB2321" i="3"/>
  <c r="CB2321" i="3" s="1"/>
  <c r="DB2308" i="3"/>
  <c r="CB2308" i="3" s="1"/>
  <c r="DB2766" i="3"/>
  <c r="CB2766" i="3" s="1"/>
  <c r="DB252" i="3"/>
  <c r="CB252" i="3" s="1"/>
  <c r="DB1064" i="3"/>
  <c r="CB1064" i="3" s="1"/>
  <c r="DB1280" i="3"/>
  <c r="CB1280" i="3" s="1"/>
  <c r="DB1355" i="3"/>
  <c r="CB1355" i="3" s="1"/>
  <c r="DB1388" i="3"/>
  <c r="CB1388" i="3" s="1"/>
  <c r="DB1404" i="3"/>
  <c r="CB1404" i="3" s="1"/>
  <c r="DB1412" i="3"/>
  <c r="CB1412" i="3" s="1"/>
  <c r="DB2447" i="3"/>
  <c r="CB2447" i="3" s="1"/>
  <c r="DB3449" i="3"/>
  <c r="CB3449" i="3" s="1"/>
  <c r="DB2358" i="3"/>
  <c r="CB2358" i="3" s="1"/>
  <c r="DB2759" i="3"/>
  <c r="CB2759" i="3" s="1"/>
  <c r="DB2909" i="3"/>
  <c r="CB2909" i="3" s="1"/>
  <c r="DB2896" i="3"/>
  <c r="CB2896" i="3" s="1"/>
  <c r="DB2912" i="3"/>
  <c r="CB2912" i="3" s="1"/>
  <c r="DB2965" i="3"/>
  <c r="CB2965" i="3" s="1"/>
  <c r="DB2960" i="3"/>
  <c r="CB2960" i="3" s="1"/>
  <c r="DB2968" i="3"/>
  <c r="CB2968" i="3" s="1"/>
  <c r="DB3323" i="3"/>
  <c r="CB3323" i="3" s="1"/>
  <c r="DB1957" i="3"/>
  <c r="CB1957" i="3" s="1"/>
  <c r="DB911" i="3"/>
  <c r="CB911" i="3" s="1"/>
  <c r="DB1787" i="3"/>
  <c r="CB1787" i="3" s="1"/>
  <c r="DB1799" i="3"/>
  <c r="CB1799" i="3" s="1"/>
  <c r="DB1940" i="3"/>
  <c r="CB1940" i="3" s="1"/>
  <c r="DB1948" i="3"/>
  <c r="CB1948" i="3" s="1"/>
  <c r="DB1956" i="3"/>
  <c r="CB1956" i="3" s="1"/>
  <c r="DB3377" i="3"/>
  <c r="CB3377" i="3" s="1"/>
  <c r="DB3368" i="3"/>
  <c r="CB3368" i="3" s="1"/>
  <c r="DB3407" i="3"/>
  <c r="CB3407" i="3" s="1"/>
  <c r="DB1410" i="3"/>
  <c r="CB1410" i="3" s="1"/>
  <c r="DB149" i="3"/>
  <c r="CB149" i="3" s="1"/>
  <c r="DB1969" i="3"/>
  <c r="CB1969" i="3" s="1"/>
  <c r="AV298" i="3"/>
  <c r="BG298" i="3" s="1"/>
  <c r="DB2820" i="3"/>
  <c r="CB2820" i="3" s="1"/>
  <c r="DB3262" i="3"/>
  <c r="CB3262" i="3" s="1"/>
  <c r="DB248" i="3"/>
  <c r="CB248" i="3" s="1"/>
  <c r="DB1386" i="3"/>
  <c r="CB1386" i="3" s="1"/>
  <c r="DB2296" i="3"/>
  <c r="CB2296" i="3" s="1"/>
  <c r="DB2105" i="3"/>
  <c r="CB2105" i="3" s="1"/>
  <c r="DB2316" i="3"/>
  <c r="CB2316" i="3" s="1"/>
  <c r="DB2365" i="3"/>
  <c r="CB2365" i="3" s="1"/>
  <c r="DB2351" i="3"/>
  <c r="CB2351" i="3" s="1"/>
  <c r="DB1008" i="3"/>
  <c r="CB1008" i="3" s="1"/>
  <c r="DB2846" i="3"/>
  <c r="CB2846" i="3" s="1"/>
  <c r="DB1945" i="3"/>
  <c r="CB1945" i="3" s="1"/>
  <c r="DB2396" i="3"/>
  <c r="CB2396" i="3" s="1"/>
  <c r="DB2648" i="3"/>
  <c r="CB2648" i="3" s="1"/>
  <c r="DB1112" i="3"/>
  <c r="CB1112" i="3" s="1"/>
  <c r="DB1001" i="3"/>
  <c r="CB1001" i="3" s="1"/>
  <c r="DB1209" i="3"/>
  <c r="CB1209" i="3" s="1"/>
  <c r="DB1028" i="3"/>
  <c r="CB1028" i="3" s="1"/>
  <c r="DB1044" i="3"/>
  <c r="CB1044" i="3" s="1"/>
  <c r="DB2444" i="3"/>
  <c r="CB2444" i="3" s="1"/>
  <c r="DB2677" i="3"/>
  <c r="CB2677" i="3" s="1"/>
  <c r="DB1302" i="3"/>
  <c r="CB1302" i="3" s="1"/>
  <c r="DB1314" i="3"/>
  <c r="CB1314" i="3" s="1"/>
  <c r="DB1326" i="3"/>
  <c r="CB1326" i="3" s="1"/>
  <c r="DB903" i="3"/>
  <c r="CB903" i="3" s="1"/>
  <c r="DB1005" i="3"/>
  <c r="CB1005" i="3" s="1"/>
  <c r="DB1348" i="3"/>
  <c r="CB1348" i="3" s="1"/>
  <c r="DB2339" i="3"/>
  <c r="CB2339" i="3" s="1"/>
  <c r="DB2424" i="3"/>
  <c r="CB2424" i="3" s="1"/>
  <c r="DB2681" i="3"/>
  <c r="CB2681" i="3" s="1"/>
  <c r="DB1293" i="3"/>
  <c r="CB1293" i="3" s="1"/>
  <c r="DB1420" i="3"/>
  <c r="CB1420" i="3" s="1"/>
  <c r="DB1428" i="3"/>
  <c r="CB1428" i="3" s="1"/>
  <c r="DB3264" i="3"/>
  <c r="CB3264" i="3" s="1"/>
  <c r="DB3272" i="3"/>
  <c r="CB3272" i="3" s="1"/>
  <c r="DB3295" i="3"/>
  <c r="CB3295" i="3" s="1"/>
  <c r="DB3322" i="3"/>
  <c r="CB3322" i="3" s="1"/>
  <c r="DB1766" i="3"/>
  <c r="CB1766" i="3" s="1"/>
  <c r="DB2108" i="3"/>
  <c r="CB2108" i="3" s="1"/>
  <c r="DB2112" i="3"/>
  <c r="CB2112" i="3" s="1"/>
  <c r="DB2312" i="3"/>
  <c r="CB2312" i="3" s="1"/>
  <c r="DB2320" i="3"/>
  <c r="CB2320" i="3" s="1"/>
  <c r="DB2328" i="3"/>
  <c r="CB2328" i="3" s="1"/>
  <c r="DB2369" i="3"/>
  <c r="CB2369" i="3" s="1"/>
  <c r="DB2375" i="3"/>
  <c r="CB2375" i="3" s="1"/>
  <c r="DB2384" i="3"/>
  <c r="CB2384" i="3" s="1"/>
  <c r="DB2741" i="3"/>
  <c r="CB2741" i="3" s="1"/>
  <c r="DB2745" i="3"/>
  <c r="CB2745" i="3" s="1"/>
  <c r="DB2039" i="3"/>
  <c r="CB2039" i="3" s="1"/>
  <c r="DB1048" i="3"/>
  <c r="CB1048" i="3" s="1"/>
  <c r="DB1055" i="3"/>
  <c r="CB1055" i="3" s="1"/>
  <c r="DB1063" i="3"/>
  <c r="CB1063" i="3" s="1"/>
  <c r="DB1072" i="3"/>
  <c r="CB1072" i="3" s="1"/>
  <c r="DB1106" i="3"/>
  <c r="CB1106" i="3" s="1"/>
  <c r="DB1140" i="3"/>
  <c r="CB1140" i="3" s="1"/>
  <c r="DB2640" i="3"/>
  <c r="CB2640" i="3" s="1"/>
  <c r="DB1143" i="3"/>
  <c r="CB1143" i="3" s="1"/>
  <c r="DB1649" i="3"/>
  <c r="CB1649" i="3" s="1"/>
  <c r="DB205" i="3"/>
  <c r="CB205" i="3" s="1"/>
  <c r="DB213" i="3"/>
  <c r="CB213" i="3" s="1"/>
  <c r="DB275" i="3"/>
  <c r="CB275" i="3" s="1"/>
  <c r="DB251" i="3"/>
  <c r="CB251" i="3" s="1"/>
  <c r="DB263" i="3"/>
  <c r="CB263" i="3" s="1"/>
  <c r="DB302" i="3"/>
  <c r="CB302" i="3" s="1"/>
  <c r="DB2156" i="3"/>
  <c r="CB2156" i="3" s="1"/>
  <c r="DB2164" i="3"/>
  <c r="CB2164" i="3" s="1"/>
  <c r="DB2272" i="3"/>
  <c r="CB2272" i="3" s="1"/>
  <c r="DB2359" i="3"/>
  <c r="CB2359" i="3" s="1"/>
  <c r="DB1099" i="3"/>
  <c r="CB1099" i="3" s="1"/>
  <c r="DB1686" i="3"/>
  <c r="CB1686" i="3" s="1"/>
  <c r="DB2812" i="3"/>
  <c r="CB2812" i="3" s="1"/>
  <c r="DB2696" i="3"/>
  <c r="CB2696" i="3" s="1"/>
  <c r="DB1061" i="3"/>
  <c r="CB1061" i="3" s="1"/>
  <c r="DB1569" i="3"/>
  <c r="CB1569" i="3" s="1"/>
  <c r="DB1577" i="3"/>
  <c r="CB1577" i="3" s="1"/>
  <c r="DB1732" i="3"/>
  <c r="CB1732" i="3" s="1"/>
  <c r="DB1740" i="3"/>
  <c r="CB1740" i="3" s="1"/>
  <c r="DB1764" i="3"/>
  <c r="CB1764" i="3" s="1"/>
  <c r="DB2432" i="3"/>
  <c r="CB2432" i="3" s="1"/>
  <c r="DB2598" i="3"/>
  <c r="CB2598" i="3" s="1"/>
  <c r="DB2683" i="3"/>
  <c r="CB2683" i="3" s="1"/>
  <c r="DB2769" i="3"/>
  <c r="CB2769" i="3" s="1"/>
  <c r="DB1194" i="3"/>
  <c r="CB1194" i="3" s="1"/>
  <c r="DB1226" i="3"/>
  <c r="CB1226" i="3" s="1"/>
  <c r="DB1277" i="3"/>
  <c r="CB1277" i="3" s="1"/>
  <c r="DB2037" i="3"/>
  <c r="CB2037" i="3" s="1"/>
  <c r="DB2572" i="3"/>
  <c r="CB2572" i="3" s="1"/>
  <c r="DB2831" i="3"/>
  <c r="CB2831" i="3" s="1"/>
  <c r="DB2847" i="3"/>
  <c r="CB2847" i="3" s="1"/>
  <c r="DB2977" i="3"/>
  <c r="CB2977" i="3" s="1"/>
  <c r="DB1571" i="3"/>
  <c r="CB1571" i="3" s="1"/>
  <c r="DB1579" i="3"/>
  <c r="CB1579" i="3" s="1"/>
  <c r="DB1587" i="3"/>
  <c r="CB1587" i="3" s="1"/>
  <c r="DB1619" i="3"/>
  <c r="CB1619" i="3" s="1"/>
  <c r="DB3040" i="3"/>
  <c r="CB3040" i="3" s="1"/>
  <c r="DB1136" i="3"/>
  <c r="CB1136" i="3" s="1"/>
  <c r="DB1681" i="3"/>
  <c r="CB1681" i="3" s="1"/>
  <c r="DB2038" i="3"/>
  <c r="CB2038" i="3" s="1"/>
  <c r="DB2247" i="3"/>
  <c r="CB2247" i="3" s="1"/>
  <c r="DB2255" i="3"/>
  <c r="CB2255" i="3" s="1"/>
  <c r="DB2864" i="3"/>
  <c r="CB2864" i="3" s="1"/>
  <c r="DB1300" i="3"/>
  <c r="CB1300" i="3" s="1"/>
  <c r="DB1305" i="3"/>
  <c r="CB1305" i="3" s="1"/>
  <c r="DB1321" i="3"/>
  <c r="CB1321" i="3" s="1"/>
  <c r="DB1364" i="3"/>
  <c r="CB1364" i="3" s="1"/>
  <c r="DB2815" i="3"/>
  <c r="CB2815" i="3" s="1"/>
  <c r="DB2461" i="3"/>
  <c r="CB2461" i="3" s="1"/>
  <c r="DB1673" i="3"/>
  <c r="CB1673" i="3" s="1"/>
  <c r="DB2469" i="3"/>
  <c r="CB2469" i="3" s="1"/>
  <c r="DB2865" i="3"/>
  <c r="CB2865" i="3" s="1"/>
  <c r="DB1197" i="3"/>
  <c r="CB1197" i="3" s="1"/>
  <c r="DB1032" i="3"/>
  <c r="CB1032" i="3" s="1"/>
  <c r="DB1040" i="3"/>
  <c r="CB1040" i="3" s="1"/>
  <c r="DB2867" i="3"/>
  <c r="CB2867" i="3" s="1"/>
  <c r="DB3428" i="3"/>
  <c r="CB3428" i="3" s="1"/>
  <c r="DB3386" i="3"/>
  <c r="CB3386" i="3" s="1"/>
  <c r="DB1772" i="3"/>
  <c r="CB1772" i="3" s="1"/>
  <c r="DB1611" i="3"/>
  <c r="CB1611" i="3" s="1"/>
  <c r="DB1525" i="3"/>
  <c r="CB1525" i="3" s="1"/>
  <c r="DB2342" i="3"/>
  <c r="CB2342" i="3" s="1"/>
  <c r="DB1260" i="3"/>
  <c r="CB1260" i="3" s="1"/>
  <c r="DB1104" i="3"/>
  <c r="CB1104" i="3" s="1"/>
  <c r="DB1264" i="3"/>
  <c r="CB1264" i="3" s="1"/>
  <c r="DB1791" i="3"/>
  <c r="CB1791" i="3" s="1"/>
  <c r="DB1795" i="3"/>
  <c r="CB1795" i="3" s="1"/>
  <c r="DB1337" i="3"/>
  <c r="CB1337" i="3" s="1"/>
  <c r="DB1345" i="3"/>
  <c r="CB1345" i="3" s="1"/>
  <c r="DB2652" i="3"/>
  <c r="CB2652" i="3" s="1"/>
  <c r="DB912" i="3"/>
  <c r="CB912" i="3" s="1"/>
  <c r="DB920" i="3"/>
  <c r="CB920" i="3" s="1"/>
  <c r="DB1639" i="3"/>
  <c r="CB1639" i="3" s="1"/>
  <c r="DB2467" i="3"/>
  <c r="CB2467" i="3" s="1"/>
  <c r="DB2594" i="3"/>
  <c r="CB2594" i="3" s="1"/>
  <c r="DB939" i="3"/>
  <c r="CB939" i="3" s="1"/>
  <c r="DB3369" i="3"/>
  <c r="CB3369" i="3" s="1"/>
  <c r="DB3373" i="3"/>
  <c r="CB3373" i="3" s="1"/>
  <c r="DB1149" i="3"/>
  <c r="CB1149" i="3" s="1"/>
  <c r="DB2654" i="3"/>
  <c r="CB2654" i="3" s="1"/>
  <c r="DB1138" i="3"/>
  <c r="CB1138" i="3" s="1"/>
  <c r="DB3378" i="3"/>
  <c r="CB3378" i="3" s="1"/>
  <c r="DB1276" i="3"/>
  <c r="CB1276" i="3" s="1"/>
  <c r="DB212" i="3"/>
  <c r="CB212" i="3" s="1"/>
  <c r="DB1387" i="3"/>
  <c r="CB1387" i="3" s="1"/>
  <c r="DB1465" i="3"/>
  <c r="CB1465" i="3" s="1"/>
  <c r="DB1204" i="3"/>
  <c r="CB1204" i="3" s="1"/>
  <c r="DB2374" i="3"/>
  <c r="CB2374" i="3" s="1"/>
  <c r="DB2587" i="3"/>
  <c r="CB2587" i="3" s="1"/>
  <c r="DB3266" i="3"/>
  <c r="CB3266" i="3" s="1"/>
  <c r="DB1682" i="3"/>
  <c r="CB1682" i="3" s="1"/>
  <c r="DB2084" i="3"/>
  <c r="CB2084" i="3" s="1"/>
  <c r="DB2117" i="3"/>
  <c r="CB2117" i="3" s="1"/>
  <c r="DB2322" i="3"/>
  <c r="CB2322" i="3" s="1"/>
  <c r="DB2348" i="3"/>
  <c r="CB2348" i="3" s="1"/>
  <c r="DB2589" i="3"/>
  <c r="CB2589" i="3" s="1"/>
  <c r="DB2859" i="3"/>
  <c r="CB2859" i="3" s="1"/>
  <c r="DB1730" i="3"/>
  <c r="CB1730" i="3" s="1"/>
  <c r="DB1758" i="3"/>
  <c r="CB1758" i="3" s="1"/>
  <c r="DB1624" i="3"/>
  <c r="CB1624" i="3" s="1"/>
  <c r="DB2314" i="3"/>
  <c r="CB2314" i="3" s="1"/>
  <c r="DB185" i="3"/>
  <c r="CB185" i="3" s="1"/>
  <c r="DB2387" i="3"/>
  <c r="CB2387" i="3" s="1"/>
  <c r="DB1196" i="3"/>
  <c r="CB1196" i="3" s="1"/>
  <c r="DB2758" i="3"/>
  <c r="CB2758" i="3" s="1"/>
  <c r="DB2848" i="3"/>
  <c r="CB2848" i="3" s="1"/>
  <c r="DB1014" i="3"/>
  <c r="CB1014" i="3" s="1"/>
  <c r="DB3570" i="3"/>
  <c r="CB3570" i="3" s="1"/>
  <c r="DB3577" i="3"/>
  <c r="CB3577" i="3" s="1"/>
  <c r="DB3619" i="3"/>
  <c r="CB3619" i="3" s="1"/>
  <c r="DB1317" i="3"/>
  <c r="CB1317" i="3" s="1"/>
  <c r="DB1334" i="3"/>
  <c r="CB1334" i="3" s="1"/>
  <c r="DB3312" i="3"/>
  <c r="CB3312" i="3" s="1"/>
  <c r="DB3331" i="3"/>
  <c r="CB3331" i="3" s="1"/>
  <c r="DB1269" i="3"/>
  <c r="CB1269" i="3" s="1"/>
  <c r="DB1289" i="3"/>
  <c r="CB1289" i="3" s="1"/>
  <c r="DB1313" i="3"/>
  <c r="CB1313" i="3" s="1"/>
  <c r="DB1316" i="3"/>
  <c r="CB1316" i="3" s="1"/>
  <c r="DB1362" i="3"/>
  <c r="CB1362" i="3" s="1"/>
  <c r="DB1374" i="3"/>
  <c r="CB1374" i="3" s="1"/>
  <c r="DB2863" i="3"/>
  <c r="CB2863" i="3" s="1"/>
  <c r="DB3009" i="3"/>
  <c r="CB3009" i="3" s="1"/>
  <c r="DB3292" i="3"/>
  <c r="CB3292" i="3" s="1"/>
  <c r="DB2611" i="3"/>
  <c r="CB2611" i="3" s="1"/>
  <c r="DB1770" i="3"/>
  <c r="CB1770" i="3" s="1"/>
  <c r="DB1299" i="3"/>
  <c r="CB1299" i="3" s="1"/>
  <c r="DB2103" i="3"/>
  <c r="CB2103" i="3" s="1"/>
  <c r="DB2699" i="3"/>
  <c r="CB2699" i="3" s="1"/>
  <c r="DA2716" i="3"/>
  <c r="DB2716" i="3"/>
  <c r="CB2716" i="3" s="1"/>
  <c r="DB2744" i="3"/>
  <c r="CB2744" i="3" s="1"/>
  <c r="DB230" i="3"/>
  <c r="CB230" i="3" s="1"/>
  <c r="DB234" i="3"/>
  <c r="CB234" i="3" s="1"/>
  <c r="DB264" i="3"/>
  <c r="CB264" i="3" s="1"/>
  <c r="DB3374" i="3"/>
  <c r="CB3374" i="3" s="1"/>
  <c r="DB2431" i="3"/>
  <c r="CB2431" i="3" s="1"/>
  <c r="DB2668" i="3"/>
  <c r="CB2668" i="3" s="1"/>
  <c r="DB2462" i="3"/>
  <c r="CB2462" i="3" s="1"/>
  <c r="DB1509" i="3"/>
  <c r="CB1509" i="3" s="1"/>
  <c r="DB1631" i="3"/>
  <c r="CB1631" i="3" s="1"/>
  <c r="DB1803" i="3"/>
  <c r="CB1803" i="3" s="1"/>
  <c r="DB902" i="3"/>
  <c r="CB902" i="3" s="1"/>
  <c r="DB1026" i="3"/>
  <c r="CB1026" i="3" s="1"/>
  <c r="DB1918" i="3"/>
  <c r="CB1918" i="3" s="1"/>
  <c r="DA2190" i="3"/>
  <c r="DB2190" i="3" s="1"/>
  <c r="CB2190" i="3" s="1"/>
  <c r="DB210" i="3"/>
  <c r="CB210" i="3" s="1"/>
  <c r="DB1341" i="3"/>
  <c r="CB1341" i="3" s="1"/>
  <c r="DB1357" i="3"/>
  <c r="CB1357" i="3" s="1"/>
  <c r="DB1630" i="3"/>
  <c r="CB1630" i="3" s="1"/>
  <c r="DB910" i="3"/>
  <c r="CB910" i="3" s="1"/>
  <c r="DB918" i="3"/>
  <c r="CB918" i="3" s="1"/>
  <c r="DB3398" i="3"/>
  <c r="CB3398" i="3" s="1"/>
  <c r="DB1407" i="3"/>
  <c r="CB1407" i="3" s="1"/>
  <c r="DB1642" i="3"/>
  <c r="CB1642" i="3" s="1"/>
  <c r="DB1650" i="3"/>
  <c r="CB1650" i="3" s="1"/>
  <c r="DB2166" i="3"/>
  <c r="CB2166" i="3" s="1"/>
  <c r="DB2441" i="3"/>
  <c r="CB2441" i="3" s="1"/>
  <c r="DB1401" i="3"/>
  <c r="CB1401" i="3" s="1"/>
  <c r="DB1922" i="3"/>
  <c r="CB1922" i="3" s="1"/>
  <c r="DB3011" i="3"/>
  <c r="CB3011" i="3" s="1"/>
  <c r="DB1379" i="3"/>
  <c r="CB1379" i="3" s="1"/>
  <c r="DB2706" i="3"/>
  <c r="CB2706" i="3" s="1"/>
  <c r="DB1588" i="3"/>
  <c r="CB1588" i="3" s="1"/>
  <c r="DB1612" i="3"/>
  <c r="CB1612" i="3" s="1"/>
  <c r="DB1944" i="3"/>
  <c r="CB1944" i="3" s="1"/>
  <c r="DB2378" i="3"/>
  <c r="CB2378" i="3" s="1"/>
  <c r="DB3321" i="3"/>
  <c r="CB3321" i="3" s="1"/>
  <c r="DB3329" i="3"/>
  <c r="CB3329" i="3" s="1"/>
  <c r="DB254" i="3"/>
  <c r="CB254" i="3" s="1"/>
  <c r="DB1103" i="3"/>
  <c r="CB1103" i="3" s="1"/>
  <c r="DB1119" i="3"/>
  <c r="CB1119" i="3" s="1"/>
  <c r="DB1135" i="3"/>
  <c r="CB1135" i="3" s="1"/>
  <c r="DB1150" i="3"/>
  <c r="CB1150" i="3" s="1"/>
  <c r="DB1164" i="3"/>
  <c r="CB1164" i="3" s="1"/>
  <c r="DB1261" i="3"/>
  <c r="CB1261" i="3" s="1"/>
  <c r="DB1347" i="3"/>
  <c r="CB1347" i="3" s="1"/>
  <c r="DB1266" i="3"/>
  <c r="CB1266" i="3" s="1"/>
  <c r="DB1284" i="3"/>
  <c r="CB1284" i="3" s="1"/>
  <c r="DB1308" i="3"/>
  <c r="CB1308" i="3" s="1"/>
  <c r="DB1391" i="3"/>
  <c r="CB1391" i="3" s="1"/>
  <c r="DB1414" i="3"/>
  <c r="CB1414" i="3" s="1"/>
  <c r="DB1390" i="3"/>
  <c r="CB1390" i="3" s="1"/>
  <c r="DB1546" i="3"/>
  <c r="CB1546" i="3" s="1"/>
  <c r="DB1731" i="3"/>
  <c r="CB1731" i="3" s="1"/>
  <c r="DB1755" i="3"/>
  <c r="CB1755" i="3" s="1"/>
  <c r="DB2436" i="3"/>
  <c r="CB2436" i="3" s="1"/>
  <c r="DB2922" i="3"/>
  <c r="CB2922" i="3" s="1"/>
  <c r="DB2930" i="3"/>
  <c r="CB2930" i="3" s="1"/>
  <c r="DB2939" i="3"/>
  <c r="CB2939" i="3" s="1"/>
  <c r="DB2947" i="3"/>
  <c r="CB2947" i="3" s="1"/>
  <c r="DB3285" i="3"/>
  <c r="CB3285" i="3" s="1"/>
  <c r="DB1162" i="3"/>
  <c r="CB1162" i="3" s="1"/>
  <c r="DB1365" i="3"/>
  <c r="CB1365" i="3" s="1"/>
  <c r="DB1373" i="3"/>
  <c r="CB1373" i="3" s="1"/>
  <c r="DB1377" i="3"/>
  <c r="CB1377" i="3" s="1"/>
  <c r="DB917" i="3"/>
  <c r="CB917" i="3" s="1"/>
  <c r="DB1620" i="3"/>
  <c r="CB1620" i="3" s="1"/>
  <c r="DB1628" i="3"/>
  <c r="CB1628" i="3" s="1"/>
  <c r="DB1635" i="3"/>
  <c r="CB1635" i="3" s="1"/>
  <c r="DB1643" i="3"/>
  <c r="CB1643" i="3" s="1"/>
  <c r="DB1796" i="3"/>
  <c r="CB1796" i="3" s="1"/>
  <c r="DB1800" i="3"/>
  <c r="CB1800" i="3" s="1"/>
  <c r="DB1943" i="3"/>
  <c r="CB1943" i="3" s="1"/>
  <c r="DB1888" i="3"/>
  <c r="CB1888" i="3" s="1"/>
  <c r="DB1904" i="3"/>
  <c r="CB1904" i="3" s="1"/>
  <c r="DB1912" i="3"/>
  <c r="CB1912" i="3" s="1"/>
  <c r="DB1933" i="3"/>
  <c r="CB1933" i="3" s="1"/>
  <c r="DB1941" i="3"/>
  <c r="CB1941" i="3" s="1"/>
  <c r="DB2069" i="3"/>
  <c r="CB2069" i="3" s="1"/>
  <c r="DB2073" i="3"/>
  <c r="CB2073" i="3" s="1"/>
  <c r="DB2089" i="3"/>
  <c r="CB2089" i="3" s="1"/>
  <c r="DB2149" i="3"/>
  <c r="CB2149" i="3" s="1"/>
  <c r="DB2157" i="3"/>
  <c r="CB2157" i="3" s="1"/>
  <c r="DB2161" i="3"/>
  <c r="CB2161" i="3" s="1"/>
  <c r="DB2299" i="3"/>
  <c r="CB2299" i="3" s="1"/>
  <c r="DB2332" i="3"/>
  <c r="CB2332" i="3" s="1"/>
  <c r="DB2356" i="3"/>
  <c r="CB2356" i="3" s="1"/>
  <c r="DB2717" i="3"/>
  <c r="CB2717" i="3" s="1"/>
  <c r="DB2761" i="3"/>
  <c r="CB2761" i="3" s="1"/>
  <c r="DB3291" i="3"/>
  <c r="CB3291" i="3" s="1"/>
  <c r="DB3542" i="3"/>
  <c r="CB3542" i="3" s="1"/>
  <c r="DB270" i="3"/>
  <c r="CB270" i="3" s="1"/>
  <c r="DB294" i="3"/>
  <c r="CB294" i="3" s="1"/>
  <c r="DB183" i="3"/>
  <c r="CB183" i="3" s="1"/>
  <c r="DB187" i="3"/>
  <c r="CB187" i="3" s="1"/>
  <c r="DB2816" i="3"/>
  <c r="CB2816" i="3" s="1"/>
  <c r="DB1018" i="3"/>
  <c r="CB1018" i="3" s="1"/>
  <c r="DB2346" i="3"/>
  <c r="CB2346" i="3" s="1"/>
  <c r="DB1307" i="3"/>
  <c r="CB1307" i="3" s="1"/>
  <c r="DB290" i="3"/>
  <c r="CB290" i="3" s="1"/>
  <c r="DB298" i="3"/>
  <c r="CB298" i="3" s="1"/>
  <c r="DB1056" i="3"/>
  <c r="CB1056" i="3" s="1"/>
  <c r="DB1257" i="3"/>
  <c r="CB1257" i="3" s="1"/>
  <c r="DB1281" i="3"/>
  <c r="CB1281" i="3" s="1"/>
  <c r="DB1336" i="3"/>
  <c r="CB1336" i="3" s="1"/>
  <c r="DB1508" i="3"/>
  <c r="CB1508" i="3" s="1"/>
  <c r="DB1691" i="3"/>
  <c r="CB1691" i="3" s="1"/>
  <c r="DB1905" i="3"/>
  <c r="CB1905" i="3" s="1"/>
  <c r="DB1934" i="3"/>
  <c r="CB1934" i="3" s="1"/>
  <c r="DB2169" i="3"/>
  <c r="CB2169" i="3" s="1"/>
  <c r="DB2344" i="3"/>
  <c r="CB2344" i="3" s="1"/>
  <c r="DB2451" i="3"/>
  <c r="CB2451" i="3" s="1"/>
  <c r="DB2771" i="3"/>
  <c r="CB2771" i="3" s="1"/>
  <c r="DB244" i="3"/>
  <c r="CB244" i="3" s="1"/>
  <c r="DB1367" i="3"/>
  <c r="CB1367" i="3" s="1"/>
  <c r="DB904" i="3"/>
  <c r="CB904" i="3" s="1"/>
  <c r="DB1199" i="3"/>
  <c r="CB1199" i="3" s="1"/>
  <c r="DB1570" i="3"/>
  <c r="CB1570" i="3" s="1"/>
  <c r="DB1798" i="3"/>
  <c r="CB1798" i="3" s="1"/>
  <c r="DB1937" i="3"/>
  <c r="CB1937" i="3" s="1"/>
  <c r="DB2155" i="3"/>
  <c r="CB2155" i="3" s="1"/>
  <c r="DB2167" i="3"/>
  <c r="CB2167" i="3" s="1"/>
  <c r="DB2295" i="3"/>
  <c r="CB2295" i="3" s="1"/>
  <c r="DB2289" i="3"/>
  <c r="CB2289" i="3" s="1"/>
  <c r="DB2407" i="3"/>
  <c r="CB2407" i="3" s="1"/>
  <c r="DB2446" i="3"/>
  <c r="CB2446" i="3" s="1"/>
  <c r="DB2669" i="3"/>
  <c r="CB2669" i="3" s="1"/>
  <c r="DB2911" i="3"/>
  <c r="CB2911" i="3" s="1"/>
  <c r="DB3584" i="3"/>
  <c r="CB3584" i="3" s="1"/>
  <c r="DB249" i="3"/>
  <c r="CB249" i="3" s="1"/>
  <c r="DB173" i="3"/>
  <c r="CB173" i="3" s="1"/>
  <c r="DB1400" i="3"/>
  <c r="CB1400" i="3" s="1"/>
  <c r="DB2376" i="3"/>
  <c r="CB2376" i="3" s="1"/>
  <c r="DB291" i="3"/>
  <c r="CB291" i="3" s="1"/>
  <c r="DB1155" i="3"/>
  <c r="CB1155" i="3" s="1"/>
  <c r="DB1360" i="3"/>
  <c r="CB1360" i="3" s="1"/>
  <c r="DB1403" i="3"/>
  <c r="CB1403" i="3" s="1"/>
  <c r="DB1927" i="3"/>
  <c r="CB1927" i="3" s="1"/>
  <c r="DB2772" i="3"/>
  <c r="CB2772" i="3" s="1"/>
  <c r="DB3282" i="3"/>
  <c r="CB3282" i="3" s="1"/>
  <c r="DB3303" i="3"/>
  <c r="CB3303" i="3" s="1"/>
  <c r="DB245" i="3"/>
  <c r="CB245" i="3" s="1"/>
  <c r="DB1002" i="3"/>
  <c r="CB1002" i="3" s="1"/>
  <c r="DB1035" i="3"/>
  <c r="CB1035" i="3" s="1"/>
  <c r="DB1043" i="3"/>
  <c r="CB1043" i="3" s="1"/>
  <c r="DB1210" i="3"/>
  <c r="CB1210" i="3" s="1"/>
  <c r="DB1586" i="3"/>
  <c r="CB1586" i="3" s="1"/>
  <c r="DB1648" i="3"/>
  <c r="CB1648" i="3" s="1"/>
  <c r="DB1664" i="3"/>
  <c r="CB1664" i="3" s="1"/>
  <c r="DB1526" i="3"/>
  <c r="CB1526" i="3" s="1"/>
  <c r="DB1522" i="3"/>
  <c r="CB1522" i="3" s="1"/>
  <c r="DB2297" i="3"/>
  <c r="CB2297" i="3" s="1"/>
  <c r="DB2580" i="3"/>
  <c r="CB2580" i="3" s="1"/>
  <c r="DB2619" i="3"/>
  <c r="CB2619" i="3" s="1"/>
  <c r="DB2674" i="3"/>
  <c r="CB2674" i="3" s="1"/>
  <c r="DB2841" i="3"/>
  <c r="CB2841" i="3" s="1"/>
  <c r="DB3274" i="3"/>
  <c r="CB3274" i="3" s="1"/>
  <c r="DB232" i="3"/>
  <c r="CB232" i="3" s="1"/>
  <c r="DB250" i="3"/>
  <c r="CB250" i="3" s="1"/>
  <c r="DB3309" i="3"/>
  <c r="CB3309" i="3" s="1"/>
  <c r="DB3448" i="3"/>
  <c r="CB3448" i="3" s="1"/>
  <c r="DB3544" i="3"/>
  <c r="CB3544" i="3" s="1"/>
  <c r="DB3552" i="3"/>
  <c r="CB3552" i="3" s="1"/>
  <c r="DB3560" i="3"/>
  <c r="CB3560" i="3" s="1"/>
  <c r="DB3606" i="3"/>
  <c r="CB3606" i="3" s="1"/>
  <c r="DB1166" i="3"/>
  <c r="CB1166" i="3" s="1"/>
  <c r="DB1224" i="3"/>
  <c r="CB1224" i="3" s="1"/>
  <c r="DB1233" i="3"/>
  <c r="CB1233" i="3" s="1"/>
  <c r="DB1259" i="3"/>
  <c r="CB1259" i="3" s="1"/>
  <c r="DB1644" i="3"/>
  <c r="CB1644" i="3" s="1"/>
  <c r="DB1907" i="3"/>
  <c r="CB1907" i="3" s="1"/>
  <c r="DB1928" i="3"/>
  <c r="CB1928" i="3" s="1"/>
  <c r="DB2445" i="3"/>
  <c r="CB2445" i="3" s="1"/>
  <c r="DB3283" i="3"/>
  <c r="CB3283" i="3" s="1"/>
  <c r="DB3304" i="3"/>
  <c r="CB3304" i="3" s="1"/>
  <c r="DB289" i="3"/>
  <c r="CB289" i="3" s="1"/>
  <c r="DB1144" i="3"/>
  <c r="CB1144" i="3" s="1"/>
  <c r="DB1372" i="3"/>
  <c r="CB1372" i="3" s="1"/>
  <c r="DB1376" i="3"/>
  <c r="CB1376" i="3" s="1"/>
  <c r="DB1432" i="3"/>
  <c r="CB1432" i="3" s="1"/>
  <c r="DB1653" i="3"/>
  <c r="CB1653" i="3" s="1"/>
  <c r="DB1661" i="3"/>
  <c r="CB1661" i="3" s="1"/>
  <c r="DB1006" i="3"/>
  <c r="CB1006" i="3" s="1"/>
  <c r="DB1580" i="3"/>
  <c r="CB1580" i="3" s="1"/>
  <c r="DB1618" i="3"/>
  <c r="CB1618" i="3" s="1"/>
  <c r="DB1910" i="3"/>
  <c r="CB1910" i="3" s="1"/>
  <c r="DB1917" i="3"/>
  <c r="CB1917" i="3" s="1"/>
  <c r="DB1931" i="3"/>
  <c r="CB1931" i="3" s="1"/>
  <c r="DB1708" i="3"/>
  <c r="CB1708" i="3" s="1"/>
  <c r="DB1716" i="3"/>
  <c r="CB1716" i="3" s="1"/>
  <c r="DB1724" i="3"/>
  <c r="CB1724" i="3" s="1"/>
  <c r="DB2301" i="3"/>
  <c r="CB2301" i="3" s="1"/>
  <c r="DB2293" i="3"/>
  <c r="CB2293" i="3" s="1"/>
  <c r="DB2298" i="3"/>
  <c r="CB2298" i="3" s="1"/>
  <c r="DB2576" i="3"/>
  <c r="CB2576" i="3" s="1"/>
  <c r="DB2592" i="3"/>
  <c r="CB2592" i="3" s="1"/>
  <c r="DB2573" i="3"/>
  <c r="CB2573" i="3" s="1"/>
  <c r="DB2581" i="3"/>
  <c r="CB2581" i="3" s="1"/>
  <c r="DB2630" i="3"/>
  <c r="CB2630" i="3" s="1"/>
  <c r="DB2746" i="3"/>
  <c r="CB2746" i="3" s="1"/>
  <c r="DB2750" i="3"/>
  <c r="CB2750" i="3" s="1"/>
  <c r="DB2810" i="3"/>
  <c r="CB2810" i="3" s="1"/>
  <c r="DB2826" i="3"/>
  <c r="CB2826" i="3" s="1"/>
  <c r="DB2834" i="3"/>
  <c r="CB2834" i="3" s="1"/>
  <c r="DB2842" i="3"/>
  <c r="CB2842" i="3" s="1"/>
  <c r="DB2849" i="3"/>
  <c r="CB2849" i="3" s="1"/>
  <c r="DB2858" i="3"/>
  <c r="CB2858" i="3" s="1"/>
  <c r="DB2870" i="3"/>
  <c r="CB2870" i="3" s="1"/>
  <c r="DB2874" i="3"/>
  <c r="CB2874" i="3" s="1"/>
  <c r="DB2878" i="3"/>
  <c r="CB2878" i="3" s="1"/>
  <c r="DB2882" i="3"/>
  <c r="CB2882" i="3" s="1"/>
  <c r="DB2910" i="3"/>
  <c r="CB2910" i="3" s="1"/>
  <c r="DB2913" i="3"/>
  <c r="CB2913" i="3" s="1"/>
  <c r="DB2953" i="3"/>
  <c r="CB2953" i="3" s="1"/>
  <c r="DB2988" i="3"/>
  <c r="CB2988" i="3" s="1"/>
  <c r="DB3293" i="3"/>
  <c r="CB3293" i="3" s="1"/>
  <c r="DB240" i="3"/>
  <c r="CB240" i="3" s="1"/>
  <c r="DB1775" i="3"/>
  <c r="CB1775" i="3" s="1"/>
  <c r="DB2276" i="3"/>
  <c r="CB2276" i="3" s="1"/>
  <c r="DB1697" i="3"/>
  <c r="CB1697" i="3" s="1"/>
  <c r="DB1889" i="3"/>
  <c r="CB1889" i="3" s="1"/>
  <c r="DB1913" i="3"/>
  <c r="CB1913" i="3" s="1"/>
  <c r="DB2206" i="3"/>
  <c r="CB2206" i="3" s="1"/>
  <c r="DB2687" i="3"/>
  <c r="CB2687" i="3" s="1"/>
  <c r="DB1278" i="3"/>
  <c r="CB1278" i="3" s="1"/>
  <c r="DB1685" i="3"/>
  <c r="CB1685" i="3" s="1"/>
  <c r="DB1693" i="3"/>
  <c r="CB1693" i="3" s="1"/>
  <c r="DB1701" i="3"/>
  <c r="CB1701" i="3" s="1"/>
  <c r="DB2273" i="3"/>
  <c r="CB2273" i="3" s="1"/>
  <c r="CX1811" i="3"/>
  <c r="DB3279" i="3"/>
  <c r="CB3279" i="3" s="1"/>
  <c r="DB2357" i="3"/>
  <c r="CB2357" i="3" s="1"/>
  <c r="DB1625" i="3"/>
  <c r="CB1625" i="3" s="1"/>
  <c r="DB1641" i="3"/>
  <c r="CB1641" i="3" s="1"/>
  <c r="DB2098" i="3"/>
  <c r="CB2098" i="3" s="1"/>
  <c r="DB1695" i="3"/>
  <c r="CB1695" i="3" s="1"/>
  <c r="DB2150" i="3"/>
  <c r="CB2150" i="3" s="1"/>
  <c r="DB1272" i="3"/>
  <c r="CB1272" i="3" s="1"/>
  <c r="DB1294" i="3"/>
  <c r="CB1294" i="3" s="1"/>
  <c r="DB1322" i="3"/>
  <c r="CB1322" i="3" s="1"/>
  <c r="DA2603" i="3"/>
  <c r="DB2603" i="3"/>
  <c r="CB2603" i="3" s="1"/>
  <c r="DB1544" i="3"/>
  <c r="CB1544" i="3" s="1"/>
  <c r="DB1398" i="3"/>
  <c r="CB1398" i="3" s="1"/>
  <c r="DB1325" i="3"/>
  <c r="CB1325" i="3" s="1"/>
  <c r="DB1369" i="3"/>
  <c r="CB1369" i="3" s="1"/>
  <c r="DB1424" i="3"/>
  <c r="CB1424" i="3" s="1"/>
  <c r="DB1971" i="3"/>
  <c r="CB1971" i="3" s="1"/>
  <c r="DB223" i="3"/>
  <c r="CB223" i="3" s="1"/>
  <c r="DB1352" i="3"/>
  <c r="CB1352" i="3" s="1"/>
  <c r="DB1418" i="3"/>
  <c r="CB1418" i="3" s="1"/>
  <c r="DB1271" i="3"/>
  <c r="CB1271" i="3" s="1"/>
  <c r="DB1677" i="3"/>
  <c r="CB1677" i="3" s="1"/>
  <c r="DB2077" i="3"/>
  <c r="CB2077" i="3" s="1"/>
  <c r="DB2415" i="3"/>
  <c r="CB2415" i="3" s="1"/>
  <c r="DB286" i="3"/>
  <c r="CB286" i="3" s="1"/>
  <c r="DB1361" i="3"/>
  <c r="CB1361" i="3" s="1"/>
  <c r="DB906" i="3"/>
  <c r="CB906" i="3" s="1"/>
  <c r="DB1617" i="3"/>
  <c r="CB1617" i="3" s="1"/>
  <c r="DA2800" i="3"/>
  <c r="DB2800" i="3" s="1"/>
  <c r="CB2800" i="3" s="1"/>
  <c r="DB1396" i="3"/>
  <c r="CB1396" i="3" s="1"/>
  <c r="DB1767" i="3"/>
  <c r="CB1767" i="3" s="1"/>
  <c r="DB1778" i="3"/>
  <c r="CB1778" i="3" s="1"/>
  <c r="DB2218" i="3"/>
  <c r="CB2218" i="3" s="1"/>
  <c r="DB2823" i="3"/>
  <c r="CB2823" i="3" s="1"/>
  <c r="DB1633" i="3"/>
  <c r="CB1633" i="3" s="1"/>
  <c r="DB1527" i="3"/>
  <c r="CB1527" i="3" s="1"/>
  <c r="DB2070" i="3"/>
  <c r="CB2070" i="3" s="1"/>
  <c r="DB2078" i="3"/>
  <c r="CB2078" i="3" s="1"/>
  <c r="DB2729" i="3"/>
  <c r="CB2729" i="3" s="1"/>
  <c r="DB236" i="3"/>
  <c r="CB236" i="3" s="1"/>
  <c r="DB1627" i="3"/>
  <c r="CB1627" i="3" s="1"/>
  <c r="DB2222" i="3"/>
  <c r="CB2222" i="3" s="1"/>
  <c r="DB1117" i="3"/>
  <c r="CB1117" i="3" s="1"/>
  <c r="DB1133" i="3"/>
  <c r="CB1133" i="3" s="1"/>
  <c r="DB1147" i="3"/>
  <c r="CB1147" i="3" s="1"/>
  <c r="DB1208" i="3"/>
  <c r="CB1208" i="3" s="1"/>
  <c r="DB1027" i="3"/>
  <c r="CB1027" i="3" s="1"/>
  <c r="DB2340" i="3"/>
  <c r="CB2340" i="3" s="1"/>
  <c r="DB1479" i="3"/>
  <c r="CB1479" i="3" s="1"/>
  <c r="DB1784" i="3"/>
  <c r="CB1784" i="3" s="1"/>
  <c r="DB295" i="3"/>
  <c r="CB295" i="3" s="1"/>
  <c r="DB1285" i="3"/>
  <c r="CB1285" i="3" s="1"/>
  <c r="DB2827" i="3"/>
  <c r="CB2827" i="3" s="1"/>
  <c r="DB3332" i="3"/>
  <c r="CB3332" i="3" s="1"/>
  <c r="DB2118" i="3"/>
  <c r="CB2118" i="3" s="1"/>
  <c r="DB2162" i="3"/>
  <c r="CB2162" i="3" s="1"/>
  <c r="DB1108" i="3"/>
  <c r="CB1108" i="3" s="1"/>
  <c r="DB1114" i="3"/>
  <c r="CB1114" i="3" s="1"/>
  <c r="DB1130" i="3"/>
  <c r="CB1130" i="3" s="1"/>
  <c r="DB1790" i="3"/>
  <c r="CB1790" i="3" s="1"/>
  <c r="DB1891" i="3"/>
  <c r="CB1891" i="3" s="1"/>
  <c r="DB194" i="3"/>
  <c r="CB194" i="3" s="1"/>
  <c r="DB261" i="3"/>
  <c r="CB261" i="3" s="1"/>
  <c r="DB1621" i="3"/>
  <c r="CB1621" i="3" s="1"/>
  <c r="DB1629" i="3"/>
  <c r="CB1629" i="3" s="1"/>
  <c r="DB1156" i="3"/>
  <c r="CB1156" i="3" s="1"/>
  <c r="DB1220" i="3"/>
  <c r="CB1220" i="3" s="1"/>
  <c r="DB1262" i="3"/>
  <c r="CB1262" i="3" s="1"/>
  <c r="DB1275" i="3"/>
  <c r="CB1275" i="3" s="1"/>
  <c r="DB1309" i="3"/>
  <c r="CB1309" i="3" s="1"/>
  <c r="DB1351" i="3"/>
  <c r="CB1351" i="3" s="1"/>
  <c r="DB1397" i="3"/>
  <c r="CB1397" i="3" s="1"/>
  <c r="DB1436" i="3"/>
  <c r="CB1436" i="3" s="1"/>
  <c r="DB1469" i="3"/>
  <c r="CB1469" i="3" s="1"/>
  <c r="DB1552" i="3"/>
  <c r="CB1552" i="3" s="1"/>
  <c r="DB1776" i="3"/>
  <c r="CB1776" i="3" s="1"/>
  <c r="DB1783" i="3"/>
  <c r="CB1783" i="3" s="1"/>
  <c r="DB1895" i="3"/>
  <c r="CB1895" i="3" s="1"/>
  <c r="DB2825" i="3"/>
  <c r="CB2825" i="3" s="1"/>
  <c r="DB2919" i="3"/>
  <c r="CB2919" i="3" s="1"/>
  <c r="DB2933" i="3"/>
  <c r="CB2933" i="3" s="1"/>
  <c r="DB1161" i="3"/>
  <c r="CB1161" i="3" s="1"/>
  <c r="DB941" i="3"/>
  <c r="CB941" i="3" s="1"/>
  <c r="DB949" i="3"/>
  <c r="CB949" i="3" s="1"/>
  <c r="DB1213" i="3"/>
  <c r="CB1213" i="3" s="1"/>
  <c r="DB1034" i="3"/>
  <c r="CB1034" i="3" s="1"/>
  <c r="DB1042" i="3"/>
  <c r="CB1042" i="3" s="1"/>
  <c r="DB1647" i="3"/>
  <c r="CB1647" i="3" s="1"/>
  <c r="DB2075" i="3"/>
  <c r="CB2075" i="3" s="1"/>
  <c r="DB2111" i="3"/>
  <c r="CB2111" i="3" s="1"/>
  <c r="DB2324" i="3"/>
  <c r="CB2324" i="3" s="1"/>
  <c r="DB2355" i="3"/>
  <c r="CB2355" i="3" s="1"/>
  <c r="DB2408" i="3"/>
  <c r="CB2408" i="3" s="1"/>
  <c r="DB2673" i="3"/>
  <c r="CB2673" i="3" s="1"/>
  <c r="DB165" i="3"/>
  <c r="CB165" i="3" s="1"/>
  <c r="DB300" i="3"/>
  <c r="CB300" i="3" s="1"/>
  <c r="DB1121" i="3"/>
  <c r="CB1121" i="3" s="1"/>
  <c r="DB1102" i="3"/>
  <c r="CB1102" i="3" s="1"/>
  <c r="DB1265" i="3"/>
  <c r="CB1265" i="3" s="1"/>
  <c r="DB1295" i="3"/>
  <c r="CB1295" i="3" s="1"/>
  <c r="DB1319" i="3"/>
  <c r="CB1319" i="3" s="1"/>
  <c r="DB2116" i="3"/>
  <c r="CB2116" i="3" s="1"/>
  <c r="DB2334" i="3"/>
  <c r="CB2334" i="3" s="1"/>
  <c r="DB1311" i="3"/>
  <c r="CB1311" i="3" s="1"/>
  <c r="DB1421" i="3"/>
  <c r="CB1421" i="3" s="1"/>
  <c r="DB1429" i="3"/>
  <c r="CB1429" i="3" s="1"/>
  <c r="DB1433" i="3"/>
  <c r="CB1433" i="3" s="1"/>
  <c r="DB1656" i="3"/>
  <c r="CB1656" i="3" s="1"/>
  <c r="DB1689" i="3"/>
  <c r="CB1689" i="3" s="1"/>
  <c r="DB916" i="3"/>
  <c r="CB916" i="3" s="1"/>
  <c r="DB1211" i="3"/>
  <c r="CB1211" i="3" s="1"/>
  <c r="DB1651" i="3"/>
  <c r="CB1651" i="3" s="1"/>
  <c r="DB1659" i="3"/>
  <c r="CB1659" i="3" s="1"/>
  <c r="DB1523" i="3"/>
  <c r="CB1523" i="3" s="1"/>
  <c r="DB2079" i="3"/>
  <c r="CB2079" i="3" s="1"/>
  <c r="DB2086" i="3"/>
  <c r="CB2086" i="3" s="1"/>
  <c r="DB2390" i="3"/>
  <c r="CB2390" i="3" s="1"/>
  <c r="DB2753" i="3"/>
  <c r="CB2753" i="3" s="1"/>
  <c r="DB217" i="3"/>
  <c r="CB217" i="3" s="1"/>
  <c r="DB243" i="3"/>
  <c r="CB243" i="3" s="1"/>
  <c r="DB287" i="3"/>
  <c r="CB287" i="3" s="1"/>
  <c r="DB2639" i="3"/>
  <c r="CB2639" i="3" s="1"/>
  <c r="DB2990" i="3"/>
  <c r="CB2990" i="3" s="1"/>
  <c r="DB2248" i="3"/>
  <c r="CB2248" i="3" s="1"/>
  <c r="DB2256" i="3"/>
  <c r="CB2256" i="3" s="1"/>
  <c r="DB1290" i="3"/>
  <c r="CB1290" i="3" s="1"/>
  <c r="DB1292" i="3"/>
  <c r="CB1292" i="3" s="1"/>
  <c r="DB1198" i="3"/>
  <c r="CB1198" i="3" s="1"/>
  <c r="DB1645" i="3"/>
  <c r="CB1645" i="3" s="1"/>
  <c r="DB1531" i="3"/>
  <c r="CB1531" i="3" s="1"/>
  <c r="DA1915" i="3"/>
  <c r="DB1915" i="3"/>
  <c r="CB1915" i="3" s="1"/>
  <c r="DB1950" i="3"/>
  <c r="CB1950" i="3" s="1"/>
  <c r="DB2072" i="3"/>
  <c r="CB2072" i="3" s="1"/>
  <c r="DB2271" i="3"/>
  <c r="CB2271" i="3" s="1"/>
  <c r="DB2371" i="3"/>
  <c r="CB2371" i="3" s="1"/>
  <c r="DB3333" i="3"/>
  <c r="CB3333" i="3" s="1"/>
  <c r="DB3290" i="3"/>
  <c r="CB3290" i="3" s="1"/>
  <c r="DB2915" i="3"/>
  <c r="CB2915" i="3" s="1"/>
  <c r="DB2931" i="3"/>
  <c r="CB2931" i="3" s="1"/>
  <c r="DB2940" i="3"/>
  <c r="CB2940" i="3" s="1"/>
  <c r="DB1107" i="3"/>
  <c r="CB1107" i="3" s="1"/>
  <c r="DB1123" i="3"/>
  <c r="CB1123" i="3" s="1"/>
  <c r="DB1139" i="3"/>
  <c r="CB1139" i="3" s="1"/>
  <c r="DB1389" i="3"/>
  <c r="CB1389" i="3" s="1"/>
  <c r="DB1413" i="3"/>
  <c r="CB1413" i="3" s="1"/>
  <c r="DB1634" i="3"/>
  <c r="CB1634" i="3" s="1"/>
  <c r="DB1774" i="3"/>
  <c r="CB1774" i="3" s="1"/>
  <c r="DB1781" i="3"/>
  <c r="CB1781" i="3" s="1"/>
  <c r="DB1804" i="3"/>
  <c r="CB1804" i="3" s="1"/>
  <c r="DB1805" i="3"/>
  <c r="CB1805" i="3" s="1"/>
  <c r="DB2336" i="3"/>
  <c r="CB2336" i="3" s="1"/>
  <c r="DB3317" i="3"/>
  <c r="CB3317" i="3" s="1"/>
  <c r="DB3336" i="3"/>
  <c r="CB3336" i="3" s="1"/>
  <c r="DB1160" i="3"/>
  <c r="CB1160" i="3" s="1"/>
  <c r="DB1270" i="3"/>
  <c r="CB1270" i="3" s="1"/>
  <c r="DB1426" i="3"/>
  <c r="CB1426" i="3" s="1"/>
  <c r="DB1430" i="3"/>
  <c r="CB1430" i="3" s="1"/>
  <c r="DB1924" i="3"/>
  <c r="CB1924" i="3" s="1"/>
  <c r="DB1712" i="3"/>
  <c r="CB1712" i="3" s="1"/>
  <c r="DB2634" i="3"/>
  <c r="CB2634" i="3" s="1"/>
  <c r="DB3298" i="3"/>
  <c r="CB3298" i="3" s="1"/>
  <c r="DB3590" i="3"/>
  <c r="CB3590" i="3" s="1"/>
  <c r="DB3598" i="3"/>
  <c r="CB3598" i="3" s="1"/>
  <c r="DB2163" i="3"/>
  <c r="CB2163" i="3" s="1"/>
  <c r="DB2303" i="3"/>
  <c r="CB2303" i="3" s="1"/>
  <c r="DB2381" i="3"/>
  <c r="CB2381" i="3" s="1"/>
  <c r="DB2470" i="3"/>
  <c r="CB2470" i="3" s="1"/>
  <c r="DB2862" i="3"/>
  <c r="CB2862" i="3" s="1"/>
  <c r="DB2840" i="3"/>
  <c r="CB2840" i="3" s="1"/>
  <c r="DB3270" i="3"/>
  <c r="CB3270" i="3" s="1"/>
  <c r="DB228" i="3"/>
  <c r="CB228" i="3" s="1"/>
  <c r="DB253" i="3"/>
  <c r="CB253" i="3" s="1"/>
  <c r="DB256" i="3"/>
  <c r="CB256" i="3" s="1"/>
  <c r="DB260" i="3"/>
  <c r="CB260" i="3" s="1"/>
  <c r="DB268" i="3"/>
  <c r="CB268" i="3" s="1"/>
  <c r="DB948" i="3"/>
  <c r="CB948" i="3" s="1"/>
  <c r="DB2707" i="3"/>
  <c r="CB2707" i="3" s="1"/>
  <c r="DB2104" i="3"/>
  <c r="CB2104" i="3" s="1"/>
  <c r="DB2315" i="3"/>
  <c r="CB2315" i="3" s="1"/>
  <c r="DB2385" i="3"/>
  <c r="CB2385" i="3" s="1"/>
  <c r="DB2605" i="3"/>
  <c r="CB2605" i="3" s="1"/>
  <c r="DB2575" i="3"/>
  <c r="CB2575" i="3" s="1"/>
  <c r="DB2701" i="3"/>
  <c r="CB2701" i="3" s="1"/>
  <c r="DB2726" i="3"/>
  <c r="CB2726" i="3" s="1"/>
  <c r="DB2702" i="3"/>
  <c r="CB2702" i="3" s="1"/>
  <c r="DB3294" i="3"/>
  <c r="CB3294" i="3" s="1"/>
  <c r="DB3614" i="3"/>
  <c r="CB3614" i="3" s="1"/>
  <c r="DB196" i="3"/>
  <c r="CB196" i="3" s="1"/>
  <c r="DB241" i="3"/>
  <c r="CB241" i="3" s="1"/>
  <c r="DB943" i="3"/>
  <c r="CB943" i="3" s="1"/>
  <c r="DB2765" i="3"/>
  <c r="CB2765" i="3" s="1"/>
  <c r="DB2983" i="3"/>
  <c r="CB2983" i="3" s="1"/>
  <c r="DB2380" i="3"/>
  <c r="CB2380" i="3" s="1"/>
  <c r="DB2389" i="3"/>
  <c r="CB2389" i="3" s="1"/>
  <c r="DB2606" i="3"/>
  <c r="CB2606" i="3" s="1"/>
  <c r="DB2632" i="3"/>
  <c r="CB2632" i="3" s="1"/>
  <c r="DB2718" i="3"/>
  <c r="CB2718" i="3" s="1"/>
  <c r="DB2768" i="3"/>
  <c r="CB2768" i="3" s="1"/>
  <c r="DB3615" i="3"/>
  <c r="CB3615" i="3" s="1"/>
  <c r="DB2330" i="3"/>
  <c r="CB2330" i="3" s="1"/>
  <c r="DB2154" i="3"/>
  <c r="CB2154" i="3" s="1"/>
  <c r="DB2217" i="3"/>
  <c r="CB2217" i="3" s="1"/>
  <c r="DB2703" i="3"/>
  <c r="CB2703" i="3" s="1"/>
  <c r="DB2868" i="3"/>
  <c r="CB2868" i="3" s="1"/>
  <c r="DB2959" i="3"/>
  <c r="CB2959" i="3" s="1"/>
  <c r="DB3039" i="3"/>
  <c r="CB3039" i="3" s="1"/>
  <c r="DB3260" i="3"/>
  <c r="CB3260" i="3" s="1"/>
  <c r="DB3268" i="3"/>
  <c r="CB3268" i="3" s="1"/>
  <c r="DB3276" i="3"/>
  <c r="CB3276" i="3" s="1"/>
  <c r="DB3284" i="3"/>
  <c r="CB3284" i="3" s="1"/>
  <c r="DB3305" i="3"/>
  <c r="CB3305" i="3" s="1"/>
  <c r="DB3546" i="3"/>
  <c r="CB3546" i="3" s="1"/>
  <c r="DB3553" i="3"/>
  <c r="CB3553" i="3" s="1"/>
  <c r="DB2270" i="3"/>
  <c r="CB2270" i="3" s="1"/>
  <c r="DB2978" i="3"/>
  <c r="CB2978" i="3" s="1"/>
  <c r="DB3393" i="3"/>
  <c r="CB3393" i="3" s="1"/>
  <c r="DB3372" i="3"/>
  <c r="CB3372" i="3" s="1"/>
  <c r="DB3371" i="3"/>
  <c r="CB3371" i="3" s="1"/>
  <c r="DB1654" i="3"/>
  <c r="CB1654" i="3" s="1"/>
  <c r="DB1662" i="3"/>
  <c r="CB1662" i="3" s="1"/>
  <c r="DB3289" i="3"/>
  <c r="CB3289" i="3" s="1"/>
  <c r="DB1126" i="3"/>
  <c r="CB1126" i="3" s="1"/>
  <c r="DA1378" i="3"/>
  <c r="DB1378" i="3"/>
  <c r="CB1378" i="3" s="1"/>
  <c r="DB2875" i="3"/>
  <c r="CB2875" i="3" s="1"/>
  <c r="DB189" i="3"/>
  <c r="CB189" i="3" s="1"/>
  <c r="DB281" i="3"/>
  <c r="CB281" i="3" s="1"/>
  <c r="DB1349" i="3"/>
  <c r="CB1349" i="3" s="1"/>
  <c r="DB1392" i="3"/>
  <c r="CB1392" i="3" s="1"/>
  <c r="DB1437" i="3"/>
  <c r="CB1437" i="3" s="1"/>
  <c r="DB1273" i="3"/>
  <c r="CB1273" i="3" s="1"/>
  <c r="DB2602" i="3"/>
  <c r="CB2602" i="3" s="1"/>
  <c r="DB3306" i="3"/>
  <c r="CB3306" i="3" s="1"/>
  <c r="DB1350" i="3"/>
  <c r="CB1350" i="3" s="1"/>
  <c r="DB1301" i="3"/>
  <c r="CB1301" i="3" s="1"/>
  <c r="DB1930" i="3"/>
  <c r="CB1930" i="3" s="1"/>
  <c r="DB2323" i="3"/>
  <c r="CB2323" i="3" s="1"/>
  <c r="DB2923" i="3"/>
  <c r="CB2923" i="3" s="1"/>
  <c r="DB1310" i="3"/>
  <c r="CB1310" i="3" s="1"/>
  <c r="DB1315" i="3"/>
  <c r="CB1315" i="3" s="1"/>
  <c r="DB1425" i="3"/>
  <c r="CB1425" i="3" s="1"/>
  <c r="DB924" i="3"/>
  <c r="CB924" i="3" s="1"/>
  <c r="DB1919" i="3"/>
  <c r="CB1919" i="3" s="1"/>
  <c r="DB2090" i="3"/>
  <c r="CB2090" i="3" s="1"/>
  <c r="DB2433" i="3"/>
  <c r="CB2433" i="3" s="1"/>
  <c r="DB2473" i="3"/>
  <c r="CB2473" i="3" s="1"/>
  <c r="DB2684" i="3"/>
  <c r="CB2684" i="3" s="1"/>
  <c r="DB190" i="3"/>
  <c r="CB190" i="3" s="1"/>
  <c r="DB1342" i="3"/>
  <c r="CB1342" i="3" s="1"/>
  <c r="DA1212" i="3"/>
  <c r="DB1212" i="3"/>
  <c r="CB1212" i="3" s="1"/>
  <c r="DB1666" i="3"/>
  <c r="CB1666" i="3" s="1"/>
  <c r="DB2582" i="3"/>
  <c r="CB2582" i="3" s="1"/>
  <c r="DB2590" i="3"/>
  <c r="CB2590" i="3" s="1"/>
  <c r="DB2902" i="3"/>
  <c r="CB2902" i="3" s="1"/>
  <c r="DB1134" i="3"/>
  <c r="CB1134" i="3" s="1"/>
  <c r="DB1113" i="3"/>
  <c r="CB1113" i="3" s="1"/>
  <c r="DB2663" i="3"/>
  <c r="CB2663" i="3" s="1"/>
  <c r="DB2895" i="3"/>
  <c r="CB2895" i="3" s="1"/>
  <c r="DB1304" i="3"/>
  <c r="CB1304" i="3" s="1"/>
  <c r="DB909" i="3"/>
  <c r="CB909" i="3" s="1"/>
  <c r="DB2071" i="3"/>
  <c r="CB2071" i="3" s="1"/>
  <c r="DB2372" i="3"/>
  <c r="CB2372" i="3" s="1"/>
  <c r="DB2662" i="3"/>
  <c r="CB2662" i="3" s="1"/>
  <c r="DB2837" i="3"/>
  <c r="CB2837" i="3" s="1"/>
  <c r="DB3324" i="3"/>
  <c r="CB3324" i="3" s="1"/>
  <c r="DB1009" i="3"/>
  <c r="CB1009" i="3" s="1"/>
  <c r="DB1954" i="3"/>
  <c r="CB1954" i="3" s="1"/>
  <c r="DB2857" i="3"/>
  <c r="CB2857" i="3" s="1"/>
  <c r="DB1534" i="3"/>
  <c r="CB1534" i="3" s="1"/>
  <c r="DB2866" i="3"/>
  <c r="CB2866" i="3" s="1"/>
  <c r="DB2967" i="3"/>
  <c r="CB2967" i="3" s="1"/>
  <c r="DB1520" i="3"/>
  <c r="CB1520" i="3" s="1"/>
  <c r="DB2223" i="3"/>
  <c r="CB2223" i="3" s="1"/>
  <c r="DB915" i="3"/>
  <c r="CB915" i="3" s="1"/>
  <c r="DB2153" i="3"/>
  <c r="CB2153" i="3" s="1"/>
  <c r="DB2439" i="3"/>
  <c r="CB2439" i="3" s="1"/>
  <c r="DB2588" i="3"/>
  <c r="CB2588" i="3" s="1"/>
  <c r="DB2894" i="3"/>
  <c r="CB2894" i="3" s="1"/>
  <c r="DB2850" i="3"/>
  <c r="CB2850" i="3" s="1"/>
  <c r="DB3258" i="3"/>
  <c r="CB3258" i="3" s="1"/>
  <c r="DB3554" i="3"/>
  <c r="CB3554" i="3" s="1"/>
  <c r="DB1110" i="3"/>
  <c r="CB1110" i="3" s="1"/>
  <c r="DB1016" i="3"/>
  <c r="CB1016" i="3" s="1"/>
  <c r="DB2243" i="3"/>
  <c r="CB2243" i="3" s="1"/>
  <c r="DB3376" i="3"/>
  <c r="CB3376" i="3" s="1"/>
  <c r="DB3370" i="3"/>
  <c r="CB3370" i="3" s="1"/>
  <c r="DB2593" i="3"/>
  <c r="CB2593" i="3" s="1"/>
  <c r="DB2710" i="3"/>
  <c r="CB2710" i="3" s="1"/>
  <c r="DB2406" i="3"/>
  <c r="CB2406" i="3" s="1"/>
  <c r="DB1296" i="3"/>
  <c r="CB1296" i="3" s="1"/>
  <c r="DB1593" i="3"/>
  <c r="CB1593" i="3" s="1"/>
  <c r="DB1242" i="3"/>
  <c r="CB1242" i="3" s="1"/>
  <c r="DB2033" i="3"/>
  <c r="CB2033" i="3" s="1"/>
  <c r="DB2004" i="3"/>
  <c r="CB2004" i="3" s="1"/>
  <c r="DB955" i="3"/>
  <c r="CB955" i="3" s="1"/>
  <c r="DB1596" i="3"/>
  <c r="CB1596" i="3" s="1"/>
  <c r="DB1751" i="3"/>
  <c r="CB1751" i="3" s="1"/>
  <c r="DB1084" i="3"/>
  <c r="CB1084" i="3" s="1"/>
  <c r="DB2129" i="3"/>
  <c r="CB2129" i="3" s="1"/>
  <c r="DB1594" i="3"/>
  <c r="CB1594" i="3" s="1"/>
  <c r="DB1241" i="3"/>
  <c r="CB1241" i="3" s="1"/>
  <c r="DB2125" i="3"/>
  <c r="CB2125" i="3" s="1"/>
  <c r="DB1743" i="3"/>
  <c r="CB1743" i="3" s="1"/>
  <c r="DB2144" i="3"/>
  <c r="CB2144" i="3" s="1"/>
  <c r="DB3161" i="3"/>
  <c r="CB3161" i="3" s="1"/>
  <c r="DB2147" i="3"/>
  <c r="CB2147" i="3" s="1"/>
  <c r="DB2122" i="3"/>
  <c r="CB2122" i="3" s="1"/>
  <c r="DB1558" i="3"/>
  <c r="CB1558" i="3" s="1"/>
  <c r="DB1098" i="3"/>
  <c r="CB1098" i="3" s="1"/>
  <c r="DB2120" i="3"/>
  <c r="CB2120" i="3" s="1"/>
  <c r="DB2012" i="3"/>
  <c r="CB2012" i="3" s="1"/>
  <c r="DB1246" i="3"/>
  <c r="CB1246" i="3" s="1"/>
  <c r="DB1250" i="3"/>
  <c r="CB1250" i="3" s="1"/>
  <c r="DB2141" i="3"/>
  <c r="CB2141" i="3" s="1"/>
  <c r="DB1081" i="3"/>
  <c r="CB1081" i="3" s="1"/>
  <c r="DB2126" i="3"/>
  <c r="CB2126" i="3" s="1"/>
  <c r="DB1749" i="3"/>
  <c r="CB1749" i="3" s="1"/>
  <c r="DB1240" i="3"/>
  <c r="CB1240" i="3" s="1"/>
  <c r="DB963" i="3"/>
  <c r="CB963" i="3" s="1"/>
  <c r="DB1252" i="3"/>
  <c r="CB1252" i="3" s="1"/>
  <c r="DB1590" i="3"/>
  <c r="CB1590" i="3" s="1"/>
  <c r="DB2006" i="3"/>
  <c r="CB2006" i="3" s="1"/>
  <c r="DB969" i="3"/>
  <c r="CB969" i="3" s="1"/>
  <c r="DB1606" i="3"/>
  <c r="CB1606" i="3" s="1"/>
  <c r="DB1592" i="3"/>
  <c r="CB1592" i="3" s="1"/>
  <c r="DB1591" i="3"/>
  <c r="CB1591" i="3" s="1"/>
  <c r="DB2026" i="3"/>
  <c r="CB2026" i="3" s="1"/>
  <c r="DB1118" i="3"/>
  <c r="CB1118" i="3" s="1"/>
  <c r="DB3444" i="3"/>
  <c r="CB3444" i="3" s="1"/>
  <c r="DB3423" i="3"/>
  <c r="CB3423" i="3" s="1"/>
  <c r="DA3420" i="3"/>
  <c r="DB3420" i="3"/>
  <c r="CB3420" i="3" s="1"/>
  <c r="DB3421" i="3"/>
  <c r="CB3421" i="3" s="1"/>
  <c r="DB3399" i="3"/>
  <c r="CB3399" i="3" s="1"/>
  <c r="DB3422" i="3"/>
  <c r="CB3422" i="3" s="1"/>
  <c r="DB3401" i="3"/>
  <c r="CB3401" i="3" s="1"/>
  <c r="DB3395" i="3"/>
  <c r="CB3395" i="3" s="1"/>
  <c r="DB3397" i="3"/>
  <c r="CB3397" i="3" s="1"/>
  <c r="DB3400" i="3"/>
  <c r="CB3400" i="3" s="1"/>
  <c r="DB2136" i="3"/>
  <c r="CB2136" i="3" s="1"/>
  <c r="DB2145" i="3"/>
  <c r="CB2145" i="3" s="1"/>
  <c r="DB2139" i="3"/>
  <c r="CB2139" i="3" s="1"/>
  <c r="DB2015" i="3"/>
  <c r="CB2015" i="3" s="1"/>
  <c r="DB2009" i="3"/>
  <c r="CB2009" i="3" s="1"/>
  <c r="DB976" i="3"/>
  <c r="CB976" i="3" s="1"/>
  <c r="DB1607" i="3"/>
  <c r="CB1607" i="3" s="1"/>
  <c r="DB2132" i="3"/>
  <c r="CB2132" i="3" s="1"/>
  <c r="DB2135" i="3"/>
  <c r="CB2135" i="3" s="1"/>
  <c r="DB2022" i="3"/>
  <c r="CB2022" i="3" s="1"/>
  <c r="DB1560" i="3"/>
  <c r="CB1560" i="3" s="1"/>
  <c r="DB1255" i="3"/>
  <c r="CB1255" i="3" s="1"/>
  <c r="DB2024" i="3"/>
  <c r="CB2024" i="3" s="1"/>
  <c r="DB1555" i="3"/>
  <c r="CB1555" i="3" s="1"/>
  <c r="DB966" i="3"/>
  <c r="CB966" i="3" s="1"/>
  <c r="DB971" i="3"/>
  <c r="CB971" i="3" s="1"/>
  <c r="DB1599" i="3"/>
  <c r="CB1599" i="3" s="1"/>
  <c r="DB1565" i="3"/>
  <c r="CB1565" i="3" s="1"/>
  <c r="DB973" i="3"/>
  <c r="CB973" i="3" s="1"/>
  <c r="DB1556" i="3"/>
  <c r="CB1556" i="3" s="1"/>
  <c r="DB2027" i="3"/>
  <c r="CB2027" i="3" s="1"/>
  <c r="DB2123" i="3"/>
  <c r="CB2123" i="3" s="1"/>
  <c r="DB3156" i="3"/>
  <c r="CB3156" i="3" s="1"/>
  <c r="DB1248" i="3"/>
  <c r="CB1248" i="3" s="1"/>
  <c r="DB1095" i="3"/>
  <c r="CB1095" i="3" s="1"/>
  <c r="DB2131" i="3"/>
  <c r="CB2131" i="3" s="1"/>
  <c r="DB3155" i="3"/>
  <c r="CB3155" i="3" s="1"/>
  <c r="DB2124" i="3"/>
  <c r="CB2124" i="3" s="1"/>
  <c r="DB1097" i="3"/>
  <c r="CB1097" i="3" s="1"/>
  <c r="DB1236" i="3"/>
  <c r="CB1236" i="3" s="1"/>
  <c r="DB2146" i="3"/>
  <c r="CB2146" i="3" s="1"/>
  <c r="DB1088" i="3"/>
  <c r="CB1088" i="3" s="1"/>
  <c r="DB1091" i="3"/>
  <c r="CB1091" i="3" s="1"/>
  <c r="DB2013" i="3"/>
  <c r="CB2013" i="3" s="1"/>
  <c r="DB1748" i="3"/>
  <c r="CB1748" i="3" s="1"/>
  <c r="DB2018" i="3"/>
  <c r="CB2018" i="3" s="1"/>
  <c r="DB962" i="3"/>
  <c r="CB962" i="3" s="1"/>
  <c r="DB2128" i="3"/>
  <c r="CB2128" i="3" s="1"/>
  <c r="DB1563" i="3"/>
  <c r="CB1563" i="3" s="1"/>
  <c r="DB1087" i="3"/>
  <c r="CB1087" i="3" s="1"/>
  <c r="DB2011" i="3"/>
  <c r="CB2011" i="3" s="1"/>
  <c r="DB1080" i="3"/>
  <c r="CB1080" i="3" s="1"/>
  <c r="DB2019" i="3"/>
  <c r="CB2019" i="3" s="1"/>
  <c r="DB1243" i="3"/>
  <c r="CB1243" i="3" s="1"/>
  <c r="DB1741" i="3"/>
  <c r="CB1741" i="3" s="1"/>
  <c r="DB2008" i="3"/>
  <c r="CB2008" i="3" s="1"/>
  <c r="DB975" i="3"/>
  <c r="CB975" i="3" s="1"/>
  <c r="DB1609" i="3"/>
  <c r="CB1609" i="3" s="1"/>
  <c r="DB2134" i="3"/>
  <c r="CB2134" i="3" s="1"/>
  <c r="DB1559" i="3"/>
  <c r="CB1559" i="3" s="1"/>
  <c r="DB974" i="3"/>
  <c r="CB974" i="3" s="1"/>
  <c r="DB2127" i="3"/>
  <c r="CB2127" i="3" s="1"/>
  <c r="DB2007" i="3"/>
  <c r="CB2007" i="3" s="1"/>
  <c r="DB2005" i="3"/>
  <c r="CB2005" i="3" s="1"/>
  <c r="DB1752" i="3"/>
  <c r="CB1752" i="3" s="1"/>
  <c r="DB1086" i="3"/>
  <c r="CB1086" i="3" s="1"/>
  <c r="DB1083" i="3"/>
  <c r="CB1083" i="3" s="1"/>
  <c r="DB968" i="3"/>
  <c r="CB968" i="3" s="1"/>
  <c r="DB1602" i="3"/>
  <c r="CB1602" i="3" s="1"/>
  <c r="DB1073" i="3"/>
  <c r="CB1073" i="3" s="1"/>
  <c r="DB2031" i="3"/>
  <c r="CB2031" i="3" s="1"/>
  <c r="DB967" i="3"/>
  <c r="CB967" i="3" s="1"/>
  <c r="DB1079" i="3"/>
  <c r="CB1079" i="3" s="1"/>
  <c r="DB1238" i="3"/>
  <c r="CB1238" i="3" s="1"/>
  <c r="DB168" i="3"/>
  <c r="CB168" i="3" s="1"/>
  <c r="DB2121" i="3"/>
  <c r="CB2121" i="3" s="1"/>
  <c r="DB972" i="3"/>
  <c r="CB972" i="3" s="1"/>
  <c r="DB961" i="3"/>
  <c r="CB961" i="3" s="1"/>
  <c r="DB959" i="3"/>
  <c r="CB959" i="3" s="1"/>
  <c r="DB2030" i="3"/>
  <c r="CB2030" i="3" s="1"/>
  <c r="DB1239" i="3"/>
  <c r="CB1239" i="3" s="1"/>
  <c r="DB2014" i="3"/>
  <c r="CB2014" i="3" s="1"/>
  <c r="DB958" i="3"/>
  <c r="CB958" i="3" s="1"/>
  <c r="DB167" i="3"/>
  <c r="CB167" i="3" s="1"/>
  <c r="DB956" i="3"/>
  <c r="CB956" i="3" s="1"/>
  <c r="DB1746" i="3"/>
  <c r="CB1746" i="3" s="1"/>
  <c r="DB952" i="3"/>
  <c r="CB952" i="3" s="1"/>
  <c r="DB1745" i="3"/>
  <c r="CB1745" i="3" s="1"/>
  <c r="DB964" i="3"/>
  <c r="CB964" i="3" s="1"/>
  <c r="DB970" i="3"/>
  <c r="CB970" i="3" s="1"/>
  <c r="DB1093" i="3"/>
  <c r="CB1093" i="3" s="1"/>
  <c r="DB1089" i="3"/>
  <c r="CB1089" i="3" s="1"/>
  <c r="DB1603" i="3"/>
  <c r="CB1603" i="3" s="1"/>
  <c r="DB1237" i="3"/>
  <c r="CB1237" i="3" s="1"/>
  <c r="DB1251" i="3"/>
  <c r="CB1251" i="3" s="1"/>
  <c r="DB1589" i="3"/>
  <c r="CB1589" i="3" s="1"/>
  <c r="DB1600" i="3"/>
  <c r="CB1600" i="3" s="1"/>
  <c r="DB1601" i="3"/>
  <c r="CB1601" i="3" s="1"/>
  <c r="DB3157" i="3"/>
  <c r="CB3157" i="3" s="1"/>
  <c r="DB2143" i="3"/>
  <c r="CB2143" i="3" s="1"/>
  <c r="DB1245" i="3"/>
  <c r="CB1245" i="3" s="1"/>
  <c r="DB2010" i="3"/>
  <c r="CB2010" i="3" s="1"/>
  <c r="DB1094" i="3"/>
  <c r="CB1094" i="3" s="1"/>
  <c r="DB2028" i="3"/>
  <c r="CB2028" i="3" s="1"/>
  <c r="DB960" i="3"/>
  <c r="CB960" i="3" s="1"/>
  <c r="DB3159" i="3"/>
  <c r="CB3159" i="3" s="1"/>
  <c r="DB1092" i="3"/>
  <c r="CB1092" i="3" s="1"/>
  <c r="DB2017" i="3"/>
  <c r="CB2017" i="3" s="1"/>
  <c r="DB2020" i="3"/>
  <c r="CB2020" i="3" s="1"/>
  <c r="DB1562" i="3"/>
  <c r="CB1562" i="3" s="1"/>
  <c r="DB1608" i="3"/>
  <c r="CB1608" i="3" s="1"/>
  <c r="DB1610" i="3"/>
  <c r="CB1610" i="3" s="1"/>
  <c r="DB1085" i="3"/>
  <c r="CB1085" i="3" s="1"/>
  <c r="DB1744" i="3"/>
  <c r="CB1744" i="3" s="1"/>
  <c r="DB2142" i="3"/>
  <c r="CB2142" i="3" s="1"/>
  <c r="DB3162" i="3"/>
  <c r="CB3162" i="3" s="1"/>
  <c r="DB1254" i="3"/>
  <c r="CB1254" i="3" s="1"/>
  <c r="DB2130" i="3"/>
  <c r="CB2130" i="3" s="1"/>
  <c r="DB3160" i="3"/>
  <c r="CB3160" i="3" s="1"/>
  <c r="DB1597" i="3"/>
  <c r="CB1597" i="3" s="1"/>
  <c r="DB2138" i="3"/>
  <c r="CB2138" i="3" s="1"/>
  <c r="DB953" i="3"/>
  <c r="CB953" i="3" s="1"/>
  <c r="DB3158" i="3"/>
  <c r="CB3158" i="3" s="1"/>
  <c r="DB1247" i="3"/>
  <c r="CB1247" i="3" s="1"/>
  <c r="DB1256" i="3"/>
  <c r="CB1256" i="3" s="1"/>
  <c r="DB1082" i="3"/>
  <c r="CB1082" i="3" s="1"/>
  <c r="DB1742" i="3"/>
  <c r="CB1742" i="3" s="1"/>
  <c r="DB1605" i="3"/>
  <c r="CB1605" i="3" s="1"/>
  <c r="DB1750" i="3"/>
  <c r="CB1750" i="3" s="1"/>
  <c r="DB166" i="3"/>
  <c r="CB166" i="3" s="1"/>
  <c r="DB2023" i="3"/>
  <c r="CB2023" i="3" s="1"/>
  <c r="DB954" i="3"/>
  <c r="CB954" i="3" s="1"/>
  <c r="DB1747" i="3"/>
  <c r="CB1747" i="3" s="1"/>
  <c r="DB1090" i="3"/>
  <c r="CB1090" i="3" s="1"/>
  <c r="DB1078" i="3"/>
  <c r="CB1078" i="3" s="1"/>
  <c r="DB2016" i="3"/>
  <c r="CB2016" i="3" s="1"/>
  <c r="DB2021" i="3"/>
  <c r="CB2021" i="3" s="1"/>
  <c r="DB2025" i="3"/>
  <c r="CB2025" i="3" s="1"/>
  <c r="DB957" i="3"/>
  <c r="CB957" i="3" s="1"/>
  <c r="DB1076" i="3"/>
  <c r="CB1076" i="3" s="1"/>
  <c r="DB1074" i="3"/>
  <c r="CB1074" i="3" s="1"/>
  <c r="DB1253" i="3"/>
  <c r="CB1253" i="3" s="1"/>
  <c r="DB1557" i="3"/>
  <c r="CB1557" i="3" s="1"/>
  <c r="DB1598" i="3"/>
  <c r="CB1598" i="3" s="1"/>
  <c r="DB1249" i="3"/>
  <c r="CB1249" i="3" s="1"/>
  <c r="DB2137" i="3"/>
  <c r="CB2137" i="3" s="1"/>
  <c r="DB1564" i="3"/>
  <c r="CB1564" i="3" s="1"/>
  <c r="DB1604" i="3"/>
  <c r="CB1604" i="3" s="1"/>
  <c r="DB2140" i="3"/>
  <c r="CB2140" i="3" s="1"/>
  <c r="DB951" i="3"/>
  <c r="CB951" i="3" s="1"/>
  <c r="DB2133" i="3"/>
  <c r="CB2133" i="3" s="1"/>
  <c r="DB2034" i="3"/>
  <c r="CB2034" i="3" s="1"/>
  <c r="DB1561" i="3"/>
  <c r="CB1561" i="3" s="1"/>
  <c r="DB1096" i="3"/>
  <c r="CB1096" i="3" s="1"/>
  <c r="DB2032" i="3"/>
  <c r="CB2032" i="3" s="1"/>
  <c r="DB1075" i="3"/>
  <c r="CB1075" i="3" s="1"/>
  <c r="DB2029" i="3"/>
  <c r="CB2029" i="3" s="1"/>
  <c r="DB1595" i="3"/>
  <c r="CB1595" i="3" s="1"/>
  <c r="DB965" i="3"/>
  <c r="CB965" i="3" s="1"/>
  <c r="DB1077" i="3"/>
  <c r="CB1077" i="3" s="1"/>
  <c r="DB1244" i="3"/>
  <c r="CB1244" i="3" s="1"/>
  <c r="DB1279" i="3"/>
  <c r="CB1279" i="3" s="1"/>
  <c r="DB1340" i="3"/>
  <c r="CB1340" i="3" s="1"/>
  <c r="DB1358" i="3"/>
  <c r="CB1358" i="3" s="1"/>
  <c r="DB925" i="3"/>
  <c r="CB925" i="3" s="1"/>
  <c r="DB1921" i="3"/>
  <c r="CB1921" i="3" s="1"/>
  <c r="DB1268" i="3"/>
  <c r="CB1268" i="3" s="1"/>
  <c r="DB1045" i="3"/>
  <c r="CB1045" i="3" s="1"/>
  <c r="DB908" i="3"/>
  <c r="CB908" i="3" s="1"/>
  <c r="DB1539" i="3"/>
  <c r="CB1539" i="3" s="1"/>
  <c r="DB1906" i="3"/>
  <c r="CB1906" i="3" s="1"/>
  <c r="DB3330" i="3"/>
  <c r="CB3330" i="3" s="1"/>
  <c r="DB1288" i="3"/>
  <c r="CB1288" i="3" s="1"/>
  <c r="DB1952" i="3"/>
  <c r="CB1952" i="3" s="1"/>
  <c r="DB942" i="3"/>
  <c r="CB942" i="3" s="1"/>
  <c r="DB1554" i="3"/>
  <c r="CB1554" i="3" s="1"/>
  <c r="DB1540" i="3"/>
  <c r="CB1540" i="3" s="1"/>
  <c r="DB2350" i="3"/>
  <c r="CB2350" i="3" s="1"/>
  <c r="DB2377" i="3"/>
  <c r="CB2377" i="3" s="1"/>
  <c r="DB293" i="3"/>
  <c r="CB293" i="3" s="1"/>
  <c r="DB1542" i="3"/>
  <c r="CB1542" i="3" s="1"/>
  <c r="DB1638" i="3"/>
  <c r="CB1638" i="3" s="1"/>
  <c r="DB2691" i="3"/>
  <c r="CB2691" i="3" s="1"/>
  <c r="DB2624" i="3"/>
  <c r="CB2624" i="3" s="1"/>
  <c r="DB2954" i="3"/>
  <c r="CB2954" i="3" s="1"/>
  <c r="DB1039" i="3"/>
  <c r="CB1039" i="3" s="1"/>
  <c r="DB1566" i="3"/>
  <c r="CB1566" i="3" s="1"/>
  <c r="DB1660" i="3"/>
  <c r="CB1660" i="3" s="1"/>
  <c r="DB2394" i="3"/>
  <c r="CB2394" i="3" s="1"/>
  <c r="DB2460" i="3"/>
  <c r="CB2460" i="3" s="1"/>
  <c r="DB2695" i="3"/>
  <c r="CB2695" i="3" s="1"/>
  <c r="DB2713" i="3"/>
  <c r="CB2713" i="3" s="1"/>
  <c r="DB1312" i="3"/>
  <c r="CB1312" i="3" s="1"/>
  <c r="DB2364" i="3"/>
  <c r="CB2364" i="3" s="1"/>
  <c r="DB3315" i="3"/>
  <c r="CB3315" i="3" s="1"/>
  <c r="DB2219" i="3"/>
  <c r="CB2219" i="3" s="1"/>
  <c r="DB2225" i="3"/>
  <c r="CB2225" i="3" s="1"/>
  <c r="DB2302" i="3"/>
  <c r="CB2302" i="3" s="1"/>
  <c r="DB1535" i="3"/>
  <c r="CB1535" i="3" s="1"/>
  <c r="DB1955" i="3"/>
  <c r="CB1955" i="3" s="1"/>
  <c r="DB2625" i="3"/>
  <c r="CB2625" i="3" s="1"/>
  <c r="DB2955" i="3"/>
  <c r="CB2955" i="3" s="1"/>
  <c r="DB1684" i="3"/>
  <c r="CB1684" i="3" s="1"/>
  <c r="DB1116" i="3"/>
  <c r="CB1116" i="3" s="1"/>
  <c r="DB1363" i="3"/>
  <c r="CB1363" i="3" s="1"/>
  <c r="DB3263" i="3"/>
  <c r="CB3263" i="3" s="1"/>
  <c r="DB2102" i="3"/>
  <c r="CB2102" i="3" s="1"/>
  <c r="DB2631" i="3"/>
  <c r="CB2631" i="3" s="1"/>
  <c r="DB2738" i="3"/>
  <c r="CB2738" i="3" s="1"/>
  <c r="DB3281" i="3"/>
  <c r="CB3281" i="3" s="1"/>
  <c r="DB3000" i="3"/>
  <c r="CB3000" i="3" s="1"/>
  <c r="DB2908" i="3"/>
  <c r="CB2908" i="3" s="1"/>
  <c r="DB3003" i="3"/>
  <c r="CB3003" i="3" s="1"/>
  <c r="DB209" i="3"/>
  <c r="CB209" i="3" s="1"/>
  <c r="DB301" i="3"/>
  <c r="CB301" i="3" s="1"/>
  <c r="DB186" i="3"/>
  <c r="CB186" i="3" s="1"/>
  <c r="DB1676" i="3"/>
  <c r="CB1676" i="3" s="1"/>
  <c r="DB197" i="3"/>
  <c r="CB197" i="3" s="1"/>
  <c r="DB3620" i="3"/>
  <c r="CB3620" i="3" s="1"/>
  <c r="DA3550" i="3"/>
  <c r="DB3550" i="3"/>
  <c r="CB3550" i="3" s="1"/>
  <c r="DB3394" i="3"/>
  <c r="CB3394" i="3" s="1"/>
  <c r="DB3402" i="3"/>
  <c r="CB3402" i="3" s="1"/>
  <c r="DB3396" i="3"/>
  <c r="CB3396" i="3" s="1"/>
  <c r="DB1267" i="3"/>
  <c r="CB1267" i="3" s="1"/>
  <c r="DA2202" i="3"/>
  <c r="DB2202" i="3" s="1"/>
  <c r="CB2202" i="3" s="1"/>
  <c r="DA1903" i="3"/>
  <c r="DA2696" i="3"/>
  <c r="DA2177" i="3"/>
  <c r="DB2177" i="3" s="1"/>
  <c r="CB2177" i="3" s="1"/>
  <c r="DA2979" i="3"/>
  <c r="BL1097" i="3"/>
  <c r="BL1254" i="3"/>
  <c r="DA3375" i="3"/>
  <c r="DA1541" i="3"/>
  <c r="DA3618" i="3"/>
  <c r="DA2193" i="3"/>
  <c r="DB2193" i="3" s="1"/>
  <c r="CB2193" i="3" s="1"/>
  <c r="AZ1071" i="3"/>
  <c r="DA2672" i="3"/>
  <c r="DA1545" i="3"/>
  <c r="DA2574" i="3"/>
  <c r="DA1538" i="3"/>
  <c r="DA1692" i="3"/>
  <c r="DA2211" i="3"/>
  <c r="DB2211" i="3" s="1"/>
  <c r="CB2211" i="3" s="1"/>
  <c r="DA848" i="3"/>
  <c r="DB848" i="3" s="1"/>
  <c r="CB848" i="3" s="1"/>
  <c r="DA3069" i="3"/>
  <c r="DB3069" i="3" s="1"/>
  <c r="CB3069" i="3" s="1"/>
  <c r="DA1530" i="3"/>
  <c r="DA2185" i="3"/>
  <c r="DB2185" i="3" s="1"/>
  <c r="CB2185" i="3" s="1"/>
  <c r="DA1663" i="3"/>
  <c r="DA3123" i="3"/>
  <c r="DB3123" i="3" s="1"/>
  <c r="CB3123" i="3" s="1"/>
  <c r="DA1420" i="3" l="1"/>
  <c r="DA917" i="3"/>
  <c r="DA1788" i="3"/>
  <c r="DA2087" i="3"/>
  <c r="DA2458" i="3"/>
  <c r="DA2622" i="3"/>
  <c r="DA2804" i="3"/>
  <c r="DB2804" i="3" s="1"/>
  <c r="CB2804" i="3" s="1"/>
  <c r="DA3004" i="3"/>
  <c r="DA3026" i="3"/>
  <c r="DB3026" i="3" s="1"/>
  <c r="CB3026" i="3" s="1"/>
  <c r="DA159" i="3"/>
  <c r="DB159" i="3" s="1"/>
  <c r="CB159" i="3" s="1"/>
  <c r="DA397" i="3"/>
  <c r="DB397" i="3" s="1"/>
  <c r="CB397" i="3" s="1"/>
  <c r="DA542" i="3"/>
  <c r="DB542" i="3" s="1"/>
  <c r="CB542" i="3" s="1"/>
  <c r="DA806" i="3"/>
  <c r="DB806" i="3" s="1"/>
  <c r="CB806" i="3" s="1"/>
  <c r="DA1613" i="3"/>
  <c r="DA2090" i="3"/>
  <c r="DA2118" i="3"/>
  <c r="DA2594" i="3"/>
  <c r="DA2602" i="3"/>
  <c r="DA3540" i="3"/>
  <c r="DA498" i="3"/>
  <c r="DB498" i="3" s="1"/>
  <c r="CB498" i="3" s="1"/>
  <c r="DA674" i="3"/>
  <c r="DB674" i="3" s="1"/>
  <c r="CB674" i="3" s="1"/>
  <c r="DA794" i="3"/>
  <c r="DB794" i="3" s="1"/>
  <c r="CB794" i="3" s="1"/>
  <c r="DA1678" i="3"/>
  <c r="DA1019" i="3"/>
  <c r="DA1633" i="3"/>
  <c r="DA3596" i="3"/>
  <c r="DA3615" i="3"/>
  <c r="DA2601" i="3"/>
  <c r="DA170" i="3"/>
  <c r="DA291" i="3"/>
  <c r="DA633" i="3"/>
  <c r="DB633" i="3" s="1"/>
  <c r="CB633" i="3" s="1"/>
  <c r="BI3616" i="3"/>
  <c r="DA366" i="3"/>
  <c r="DB366" i="3" s="1"/>
  <c r="CB366" i="3" s="1"/>
  <c r="DA1051" i="3"/>
  <c r="DA1064" i="3"/>
  <c r="DA1402" i="3"/>
  <c r="DA1636" i="3"/>
  <c r="DA1760" i="3"/>
  <c r="DA789" i="3"/>
  <c r="DB789" i="3" s="1"/>
  <c r="CB789" i="3" s="1"/>
  <c r="DA1003" i="3"/>
  <c r="DA2099" i="3"/>
  <c r="DA3614" i="3"/>
  <c r="DA247" i="3"/>
  <c r="DA1698" i="3"/>
  <c r="DA1701" i="3"/>
  <c r="DA3541" i="3"/>
  <c r="DA673" i="3"/>
  <c r="DB673" i="3" s="1"/>
  <c r="CB673" i="3" s="1"/>
  <c r="DA717" i="3"/>
  <c r="DB717" i="3" s="1"/>
  <c r="CB717" i="3" s="1"/>
  <c r="DA741" i="3"/>
  <c r="DB741" i="3" s="1"/>
  <c r="CB741" i="3" s="1"/>
  <c r="DA1137" i="3"/>
  <c r="DA1386" i="3"/>
  <c r="DA1770" i="3"/>
  <c r="DA2354" i="3"/>
  <c r="DA2375" i="3"/>
  <c r="DA2705" i="3"/>
  <c r="DA2822" i="3"/>
  <c r="DA1584" i="3"/>
  <c r="DA1520" i="3"/>
  <c r="DA2281" i="3"/>
  <c r="DA2590" i="3"/>
  <c r="DA2671" i="3"/>
  <c r="DA2768" i="3"/>
  <c r="DA2884" i="3"/>
  <c r="DA2901" i="3"/>
  <c r="DA2972" i="3"/>
  <c r="DA3264" i="3"/>
  <c r="DA3571" i="3"/>
  <c r="DA273" i="3"/>
  <c r="DA2182" i="3"/>
  <c r="DB2182" i="3" s="1"/>
  <c r="CB2182" i="3" s="1"/>
  <c r="DA1391" i="3"/>
  <c r="DA2168" i="3"/>
  <c r="DA2695" i="3"/>
  <c r="DA1664" i="3"/>
  <c r="DA1795" i="3"/>
  <c r="DA1939" i="3"/>
  <c r="DA1954" i="3"/>
  <c r="DA1725" i="3"/>
  <c r="DA1713" i="3"/>
  <c r="DA2073" i="3"/>
  <c r="DA2326" i="3"/>
  <c r="DA2331" i="3"/>
  <c r="DA2553" i="3"/>
  <c r="DB2553" i="3" s="1"/>
  <c r="CB2553" i="3" s="1"/>
  <c r="DA2971" i="3"/>
  <c r="DA2964" i="3"/>
  <c r="DA2998" i="3"/>
  <c r="DA3049" i="3"/>
  <c r="DB3049" i="3" s="1"/>
  <c r="CB3049" i="3" s="1"/>
  <c r="DA3327" i="3"/>
  <c r="DA3577" i="3"/>
  <c r="DA3609" i="3"/>
  <c r="DA3620" i="3"/>
  <c r="DA285" i="3"/>
  <c r="DA1507" i="3"/>
  <c r="BJ949" i="3"/>
  <c r="DA1688" i="3"/>
  <c r="DA2376" i="3"/>
  <c r="DA1549" i="3"/>
  <c r="DA1552" i="3"/>
  <c r="DA1625" i="3"/>
  <c r="DA1922" i="3"/>
  <c r="DA1932" i="3"/>
  <c r="DA1020" i="3"/>
  <c r="DA1614" i="3"/>
  <c r="DA2196" i="3"/>
  <c r="DB2196" i="3" s="1"/>
  <c r="CB2196" i="3" s="1"/>
  <c r="DA2255" i="3"/>
  <c r="DA3232" i="3"/>
  <c r="DB3232" i="3" s="1"/>
  <c r="CB3232" i="3" s="1"/>
  <c r="DA3236" i="3"/>
  <c r="DB3236" i="3" s="1"/>
  <c r="CB3236" i="3" s="1"/>
  <c r="DA3240" i="3"/>
  <c r="DB3240" i="3" s="1"/>
  <c r="CB3240" i="3" s="1"/>
  <c r="DA3244" i="3"/>
  <c r="DB3244" i="3" s="1"/>
  <c r="CB3244" i="3" s="1"/>
  <c r="DA3248" i="3"/>
  <c r="DB3248" i="3" s="1"/>
  <c r="CB3248" i="3" s="1"/>
  <c r="DA3252" i="3"/>
  <c r="DB3252" i="3" s="1"/>
  <c r="CB3252" i="3" s="1"/>
  <c r="DA1929" i="3"/>
  <c r="DA2947" i="3"/>
  <c r="DA288" i="3"/>
  <c r="DA3578" i="3"/>
  <c r="CX1858" i="3"/>
  <c r="CX1848" i="3" s="1"/>
  <c r="DA1843" i="3"/>
  <c r="DB1843" i="3" s="1"/>
  <c r="CB1843" i="3" s="1"/>
  <c r="DA2482" i="3"/>
  <c r="DB2482" i="3" s="1"/>
  <c r="CB2482" i="3" s="1"/>
  <c r="DA2584" i="3"/>
  <c r="DA2587" i="3"/>
  <c r="DA2591" i="3"/>
  <c r="DA2994" i="3"/>
  <c r="AW975" i="3"/>
  <c r="Q1071" i="3"/>
  <c r="BF1097" i="3"/>
  <c r="DA856" i="3"/>
  <c r="DB856" i="3" s="1"/>
  <c r="CB856" i="3" s="1"/>
  <c r="DA860" i="3"/>
  <c r="DB860" i="3" s="1"/>
  <c r="CB860" i="3" s="1"/>
  <c r="DA1841" i="3"/>
  <c r="DB1841" i="3" s="1"/>
  <c r="CB1841" i="3" s="1"/>
  <c r="DA157" i="3"/>
  <c r="DB157" i="3" s="1"/>
  <c r="CB157" i="3" s="1"/>
  <c r="DA2456" i="3"/>
  <c r="DA2836" i="3"/>
  <c r="DA2786" i="3"/>
  <c r="DB2786" i="3" s="1"/>
  <c r="CB2786" i="3" s="1"/>
  <c r="DA150" i="3"/>
  <c r="DA2416" i="3"/>
  <c r="DA2643" i="3"/>
  <c r="DA3449" i="3"/>
  <c r="DA1648" i="3"/>
  <c r="DA1893" i="3"/>
  <c r="DA3549" i="3"/>
  <c r="DA3569" i="3"/>
  <c r="DA330" i="3"/>
  <c r="DB330" i="3" s="1"/>
  <c r="CB330" i="3" s="1"/>
  <c r="BS1070" i="3"/>
  <c r="BS1062" i="3"/>
  <c r="BM1609" i="3"/>
  <c r="DA1786" i="3"/>
  <c r="DA2438" i="3"/>
  <c r="DA1163" i="3"/>
  <c r="DA1270" i="3"/>
  <c r="DA1362" i="3"/>
  <c r="DA1534" i="3"/>
  <c r="DA1793" i="3"/>
  <c r="DA1711" i="3"/>
  <c r="DA2072" i="3"/>
  <c r="DA2287" i="3"/>
  <c r="DA2457" i="3"/>
  <c r="DA331" i="3"/>
  <c r="DB331" i="3" s="1"/>
  <c r="CB331" i="3" s="1"/>
  <c r="DA1335" i="3"/>
  <c r="DA2412" i="3"/>
  <c r="DA2434" i="3"/>
  <c r="DA2445" i="3"/>
  <c r="DA2939" i="3"/>
  <c r="DA2441" i="3"/>
  <c r="DA2974" i="3"/>
  <c r="DA1856" i="3"/>
  <c r="DB1856" i="3" s="1"/>
  <c r="CB1856" i="3" s="1"/>
  <c r="DA1876" i="3"/>
  <c r="DB1876" i="3" s="1"/>
  <c r="CB1876" i="3" s="1"/>
  <c r="DA1880" i="3"/>
  <c r="DB1880" i="3" s="1"/>
  <c r="CB1880" i="3" s="1"/>
  <c r="B3396" i="3"/>
  <c r="B3368" i="3"/>
  <c r="DA284" i="3"/>
  <c r="DA932" i="3"/>
  <c r="DA941" i="3"/>
  <c r="DA2204" i="3"/>
  <c r="DA2682" i="3"/>
  <c r="DA2981" i="3"/>
  <c r="DA3242" i="3"/>
  <c r="DB3242" i="3" s="1"/>
  <c r="CB3242" i="3" s="1"/>
  <c r="DA1695" i="3"/>
  <c r="DA1366" i="3"/>
  <c r="DA1424" i="3"/>
  <c r="DA1426" i="3"/>
  <c r="DA1428" i="3"/>
  <c r="DA1430" i="3"/>
  <c r="DA1432" i="3"/>
  <c r="DA1035" i="3"/>
  <c r="DA1213" i="3"/>
  <c r="DA1030" i="3"/>
  <c r="DA1660" i="3"/>
  <c r="DA1532" i="3"/>
  <c r="DA1792" i="3"/>
  <c r="DA1946" i="3"/>
  <c r="DA1949" i="3"/>
  <c r="DA1953" i="3"/>
  <c r="DA1957" i="3"/>
  <c r="DA1920" i="3"/>
  <c r="DA2089" i="3"/>
  <c r="DA2297" i="3"/>
  <c r="DA2300" i="3"/>
  <c r="DA2100" i="3"/>
  <c r="DA2104" i="3"/>
  <c r="DA2340" i="3"/>
  <c r="DA2393" i="3"/>
  <c r="DA2474" i="3"/>
  <c r="DA2460" i="3"/>
  <c r="DA2576" i="3"/>
  <c r="DA2631" i="3"/>
  <c r="DA2620" i="3"/>
  <c r="DA2626" i="3"/>
  <c r="DA2629" i="3"/>
  <c r="DA2636" i="3"/>
  <c r="DA3005" i="3"/>
  <c r="DA3064" i="3"/>
  <c r="DB3064" i="3" s="1"/>
  <c r="CB3064" i="3" s="1"/>
  <c r="DA3273" i="3"/>
  <c r="DA3312" i="3"/>
  <c r="DA476" i="3"/>
  <c r="DB476" i="3" s="1"/>
  <c r="CB476" i="3" s="1"/>
  <c r="DA872" i="3"/>
  <c r="DB872" i="3" s="1"/>
  <c r="CB872" i="3" s="1"/>
  <c r="DA2406" i="3"/>
  <c r="DA1129" i="3"/>
  <c r="DA1291" i="3"/>
  <c r="DA1326" i="3"/>
  <c r="DA1363" i="3"/>
  <c r="DA1365" i="3"/>
  <c r="DA1368" i="3"/>
  <c r="DA1371" i="3"/>
  <c r="DA1373" i="3"/>
  <c r="DA1377" i="3"/>
  <c r="DA1425" i="3"/>
  <c r="DA1429" i="3"/>
  <c r="DA1433" i="3"/>
  <c r="DA919" i="3"/>
  <c r="DA990" i="3"/>
  <c r="DB990" i="3" s="1"/>
  <c r="CB990" i="3" s="1"/>
  <c r="DA1207" i="3"/>
  <c r="DA1211" i="3"/>
  <c r="DA1201" i="3"/>
  <c r="DA1551" i="3"/>
  <c r="DA1634" i="3"/>
  <c r="DA1521" i="3"/>
  <c r="DA1791" i="3"/>
  <c r="DA1794" i="3"/>
  <c r="DA1796" i="3"/>
  <c r="DA1797" i="3"/>
  <c r="DA1799" i="3"/>
  <c r="DA1944" i="3"/>
  <c r="DA1917" i="3"/>
  <c r="DA1927" i="3"/>
  <c r="DA1938" i="3"/>
  <c r="DA1948" i="3"/>
  <c r="DA1955" i="3"/>
  <c r="DA1709" i="3"/>
  <c r="DA1719" i="3"/>
  <c r="DA1710" i="3"/>
  <c r="DA2088" i="3"/>
  <c r="DA2188" i="3"/>
  <c r="DB2188" i="3" s="1"/>
  <c r="CB2188" i="3" s="1"/>
  <c r="DA2222" i="3"/>
  <c r="DA2285" i="3"/>
  <c r="DA2286" i="3"/>
  <c r="DA2294" i="3"/>
  <c r="DA2325" i="3"/>
  <c r="DA2382" i="3"/>
  <c r="DA2467" i="3"/>
  <c r="DA2481" i="3"/>
  <c r="DB2481" i="3" s="1"/>
  <c r="CB2481" i="3" s="1"/>
  <c r="DA2493" i="3"/>
  <c r="DB2493" i="3" s="1"/>
  <c r="CB2493" i="3" s="1"/>
  <c r="DA2497" i="3"/>
  <c r="DB2497" i="3" s="1"/>
  <c r="CB2497" i="3" s="1"/>
  <c r="DA2579" i="3"/>
  <c r="DA2583" i="3"/>
  <c r="DA2625" i="3"/>
  <c r="DA2628" i="3"/>
  <c r="DA2633" i="3"/>
  <c r="DA2661" i="3"/>
  <c r="DA2728" i="3"/>
  <c r="DA2773" i="3"/>
  <c r="DA2791" i="3"/>
  <c r="DB2791" i="3" s="1"/>
  <c r="CB2791" i="3" s="1"/>
  <c r="DA2799" i="3"/>
  <c r="DB2799" i="3" s="1"/>
  <c r="CB2799" i="3" s="1"/>
  <c r="DA2895" i="3"/>
  <c r="DA2910" i="3"/>
  <c r="DA2969" i="3"/>
  <c r="DA3011" i="3"/>
  <c r="DA3007" i="3"/>
  <c r="DA3063" i="3"/>
  <c r="DB3063" i="3" s="1"/>
  <c r="CB3063" i="3" s="1"/>
  <c r="DA3216" i="3"/>
  <c r="DB3216" i="3" s="1"/>
  <c r="CB3216" i="3" s="1"/>
  <c r="DA3268" i="3"/>
  <c r="DA3271" i="3"/>
  <c r="DA3297" i="3"/>
  <c r="DA1151" i="3"/>
  <c r="BS1094" i="3"/>
  <c r="BQ940" i="3"/>
  <c r="Q1097" i="3"/>
  <c r="BS1233" i="3"/>
  <c r="AT1234" i="3"/>
  <c r="DA1822" i="3"/>
  <c r="DB1822" i="3" s="1"/>
  <c r="CB1822" i="3" s="1"/>
  <c r="DA1842" i="3"/>
  <c r="DB1842" i="3" s="1"/>
  <c r="CB1842" i="3" s="1"/>
  <c r="DA2617" i="3"/>
  <c r="DA3241" i="3"/>
  <c r="DB3241" i="3" s="1"/>
  <c r="CB3241" i="3" s="1"/>
  <c r="DA1682" i="3"/>
  <c r="DA2273" i="3"/>
  <c r="DA2248" i="3"/>
  <c r="DA316" i="3"/>
  <c r="DB316" i="3" s="1"/>
  <c r="CB316" i="3" s="1"/>
  <c r="DA2855" i="3"/>
  <c r="DA1329" i="3"/>
  <c r="AW949" i="3"/>
  <c r="DA2985" i="3"/>
  <c r="DA3288" i="3"/>
  <c r="DA2105" i="3"/>
  <c r="DA3067" i="3"/>
  <c r="DB3067" i="3" s="1"/>
  <c r="CB3067" i="3" s="1"/>
  <c r="DA3025" i="3"/>
  <c r="DB3025" i="3" s="1"/>
  <c r="CB3025" i="3" s="1"/>
  <c r="DA1875" i="3"/>
  <c r="DB1875" i="3" s="1"/>
  <c r="CB1875" i="3" s="1"/>
  <c r="CW416" i="3"/>
  <c r="DA416" i="3" s="1"/>
  <c r="DB416" i="3" s="1"/>
  <c r="CB416" i="3" s="1"/>
  <c r="DA1058" i="3"/>
  <c r="DA1389" i="3"/>
  <c r="DA2934" i="3"/>
  <c r="DA915" i="3"/>
  <c r="DA1652" i="3"/>
  <c r="DA1789" i="3"/>
  <c r="DA2252" i="3"/>
  <c r="DA2260" i="3"/>
  <c r="DA2274" i="3"/>
  <c r="DA2378" i="3"/>
  <c r="DA2425" i="3"/>
  <c r="DA2624" i="3"/>
  <c r="DA2664" i="3"/>
  <c r="DA2686" i="3"/>
  <c r="DA2692" i="3"/>
  <c r="DA2765" i="3"/>
  <c r="DA2794" i="3"/>
  <c r="DB2794" i="3" s="1"/>
  <c r="CB2794" i="3" s="1"/>
  <c r="DA2962" i="3"/>
  <c r="DA2993" i="3"/>
  <c r="DA3270" i="3"/>
  <c r="DA3299" i="3"/>
  <c r="DA215" i="3"/>
  <c r="DA160" i="3"/>
  <c r="DB160" i="3" s="1"/>
  <c r="CB160" i="3" s="1"/>
  <c r="DA1276" i="3"/>
  <c r="DA1125" i="3"/>
  <c r="BL1071" i="3"/>
  <c r="AK275" i="3"/>
  <c r="AW275" i="3" s="1"/>
  <c r="BI3527" i="3"/>
  <c r="BI3528" i="3" s="1"/>
  <c r="BI3530" i="3" s="1"/>
  <c r="BI3532" i="3" s="1"/>
  <c r="DA165" i="3"/>
  <c r="DA354" i="3"/>
  <c r="DB354" i="3" s="1"/>
  <c r="CB354" i="3" s="1"/>
  <c r="DA361" i="3"/>
  <c r="DB361" i="3" s="1"/>
  <c r="CB361" i="3" s="1"/>
  <c r="DA1136" i="3"/>
  <c r="DA1222" i="3"/>
  <c r="DA1234" i="3"/>
  <c r="DA1345" i="3"/>
  <c r="DA1392" i="3"/>
  <c r="DA1729" i="3"/>
  <c r="DA2220" i="3"/>
  <c r="DA2361" i="3"/>
  <c r="DA2649" i="3"/>
  <c r="DA2654" i="3"/>
  <c r="DA2937" i="3"/>
  <c r="DA3053" i="3"/>
  <c r="DB3053" i="3" s="1"/>
  <c r="CB3053" i="3" s="1"/>
  <c r="DA3169" i="3"/>
  <c r="DB3169" i="3" s="1"/>
  <c r="CB3169" i="3" s="1"/>
  <c r="DA719" i="3"/>
  <c r="DB719" i="3" s="1"/>
  <c r="CB719" i="3" s="1"/>
  <c r="DA875" i="3"/>
  <c r="DB875" i="3" s="1"/>
  <c r="CB875" i="3" s="1"/>
  <c r="DA1683" i="3"/>
  <c r="DA925" i="3"/>
  <c r="DA2251" i="3"/>
  <c r="DA2277" i="3"/>
  <c r="DA2317" i="3"/>
  <c r="DA2339" i="3"/>
  <c r="DA2580" i="3"/>
  <c r="DA2607" i="3"/>
  <c r="DA2578" i="3"/>
  <c r="DA2618" i="3"/>
  <c r="DA2627" i="3"/>
  <c r="DA2630" i="3"/>
  <c r="DA2632" i="3"/>
  <c r="DA2676" i="3"/>
  <c r="DA2820" i="3"/>
  <c r="DA2827" i="3"/>
  <c r="DA2875" i="3"/>
  <c r="DA2880" i="3"/>
  <c r="DA2899" i="3"/>
  <c r="DA2903" i="3"/>
  <c r="DA2908" i="3"/>
  <c r="DA2912" i="3"/>
  <c r="DA2956" i="3"/>
  <c r="DA2967" i="3"/>
  <c r="DA3234" i="3"/>
  <c r="DB3234" i="3" s="1"/>
  <c r="CB3234" i="3" s="1"/>
  <c r="DA3238" i="3"/>
  <c r="DB3238" i="3" s="1"/>
  <c r="CB3238" i="3" s="1"/>
  <c r="DA3246" i="3"/>
  <c r="DB3246" i="3" s="1"/>
  <c r="CB3246" i="3" s="1"/>
  <c r="DA3250" i="3"/>
  <c r="DB3250" i="3" s="1"/>
  <c r="CB3250" i="3" s="1"/>
  <c r="DA3595" i="3"/>
  <c r="DA205" i="3"/>
  <c r="DA214" i="3"/>
  <c r="DA275" i="3"/>
  <c r="DA303" i="3"/>
  <c r="DB303" i="3" s="1"/>
  <c r="CB303" i="3" s="1"/>
  <c r="DA999" i="3"/>
  <c r="DB999" i="3" s="1"/>
  <c r="CB999" i="3" s="1"/>
  <c r="DA2684" i="3"/>
  <c r="DA2807" i="3"/>
  <c r="DA202" i="3"/>
  <c r="DA1153" i="3"/>
  <c r="DA1700" i="3"/>
  <c r="DA2038" i="3"/>
  <c r="DA3092" i="3"/>
  <c r="DB3092" i="3" s="1"/>
  <c r="CB3092" i="3" s="1"/>
  <c r="DA3093" i="3"/>
  <c r="DB3093" i="3" s="1"/>
  <c r="CB3093" i="3" s="1"/>
  <c r="DA2234" i="3"/>
  <c r="DA2236" i="3"/>
  <c r="DA2238" i="3"/>
  <c r="DA2240" i="3"/>
  <c r="DA2242" i="3"/>
  <c r="DA2246" i="3"/>
  <c r="DA2250" i="3"/>
  <c r="DA2262" i="3"/>
  <c r="DA1784" i="3"/>
  <c r="DA2243" i="3"/>
  <c r="DA2184" i="3"/>
  <c r="DB2184" i="3" s="1"/>
  <c r="CB2184" i="3" s="1"/>
  <c r="DA3057" i="3"/>
  <c r="DB3057" i="3" s="1"/>
  <c r="CB3057" i="3" s="1"/>
  <c r="DA3021" i="3"/>
  <c r="DB3021" i="3" s="1"/>
  <c r="CB3021" i="3" s="1"/>
  <c r="DA3029" i="3"/>
  <c r="DB3029" i="3" s="1"/>
  <c r="CB3029" i="3" s="1"/>
  <c r="DA277" i="3"/>
  <c r="DA1417" i="3"/>
  <c r="DA1733" i="3"/>
  <c r="DA876" i="3"/>
  <c r="DB876" i="3" s="1"/>
  <c r="CB876" i="3" s="1"/>
  <c r="DA1630" i="3"/>
  <c r="DA2179" i="3"/>
  <c r="DB2179" i="3" s="1"/>
  <c r="CB2179" i="3" s="1"/>
  <c r="DA2278" i="3"/>
  <c r="DA2311" i="3"/>
  <c r="DA2410" i="3"/>
  <c r="DA2470" i="3"/>
  <c r="DA2453" i="3"/>
  <c r="DA2577" i="3"/>
  <c r="DA2637" i="3"/>
  <c r="DA2747" i="3"/>
  <c r="DA2751" i="3"/>
  <c r="DA2790" i="3"/>
  <c r="DB2790" i="3" s="1"/>
  <c r="CB2790" i="3" s="1"/>
  <c r="DA2798" i="3"/>
  <c r="DB2798" i="3" s="1"/>
  <c r="CB2798" i="3" s="1"/>
  <c r="DA2835" i="3"/>
  <c r="DA3032" i="3"/>
  <c r="DB3032" i="3" s="1"/>
  <c r="CB3032" i="3" s="1"/>
  <c r="DA3133" i="3"/>
  <c r="DB3133" i="3" s="1"/>
  <c r="CB3133" i="3" s="1"/>
  <c r="DA1221" i="3"/>
  <c r="DA2645" i="3"/>
  <c r="DA2929" i="3"/>
  <c r="DA2346" i="3"/>
  <c r="DA1110" i="3"/>
  <c r="DA1296" i="3"/>
  <c r="BS1068" i="3"/>
  <c r="AZ1097" i="3"/>
  <c r="BM2811" i="3"/>
  <c r="DA360" i="3"/>
  <c r="DB360" i="3" s="1"/>
  <c r="CB360" i="3" s="1"/>
  <c r="DA364" i="3"/>
  <c r="DB364" i="3" s="1"/>
  <c r="CB364" i="3" s="1"/>
  <c r="DA395" i="3"/>
  <c r="DB395" i="3" s="1"/>
  <c r="CB395" i="3" s="1"/>
  <c r="DA1054" i="3"/>
  <c r="DA1357" i="3"/>
  <c r="DA1380" i="3"/>
  <c r="DA1769" i="3"/>
  <c r="DA2216" i="3"/>
  <c r="DA3070" i="3"/>
  <c r="DB3070" i="3" s="1"/>
  <c r="CB3070" i="3" s="1"/>
  <c r="DA1292" i="3"/>
  <c r="DA1686" i="3"/>
  <c r="DA979" i="3"/>
  <c r="DB979" i="3" s="1"/>
  <c r="CB979" i="3" s="1"/>
  <c r="DA1542" i="3"/>
  <c r="DA2259" i="3"/>
  <c r="DA2598" i="3"/>
  <c r="DA2729" i="3"/>
  <c r="DA2761" i="3"/>
  <c r="DA3544" i="3"/>
  <c r="DA199" i="3"/>
  <c r="DA207" i="3"/>
  <c r="DA195" i="3"/>
  <c r="DA237" i="3"/>
  <c r="DA255" i="3"/>
  <c r="DA1694" i="3"/>
  <c r="DA2093" i="3"/>
  <c r="DA2109" i="3"/>
  <c r="DA1152" i="3"/>
  <c r="DA2315" i="3"/>
  <c r="DA2674" i="3"/>
  <c r="DA2802" i="3"/>
  <c r="DB2802" i="3" s="1"/>
  <c r="CB2802" i="3" s="1"/>
  <c r="DA2258" i="3"/>
  <c r="DA608" i="3"/>
  <c r="DB608" i="3" s="1"/>
  <c r="CB608" i="3" s="1"/>
  <c r="DA1049" i="3"/>
  <c r="DA2115" i="3"/>
  <c r="DA2653" i="3"/>
  <c r="DA3145" i="3"/>
  <c r="DB3145" i="3" s="1"/>
  <c r="CB3145" i="3" s="1"/>
  <c r="DA3153" i="3"/>
  <c r="DB3153" i="3" s="1"/>
  <c r="CB3153" i="3" s="1"/>
  <c r="DA652" i="3"/>
  <c r="DB652" i="3" s="1"/>
  <c r="CB652" i="3" s="1"/>
  <c r="DA986" i="3"/>
  <c r="DB986" i="3" s="1"/>
  <c r="CB986" i="3" s="1"/>
  <c r="DA1127" i="3"/>
  <c r="DA1159" i="3"/>
  <c r="DA1288" i="3"/>
  <c r="DA1315" i="3"/>
  <c r="DA1322" i="3"/>
  <c r="DA1323" i="3"/>
  <c r="DA1367" i="3"/>
  <c r="DA1421" i="3"/>
  <c r="DA1434" i="3"/>
  <c r="DA1387" i="3"/>
  <c r="DA2077" i="3"/>
  <c r="DA2343" i="3"/>
  <c r="DA2677" i="3"/>
  <c r="DA2738" i="3"/>
  <c r="DA2756" i="3"/>
  <c r="DA2797" i="3"/>
  <c r="DB2797" i="3" s="1"/>
  <c r="CB2797" i="3" s="1"/>
  <c r="DA2834" i="3"/>
  <c r="DA2868" i="3"/>
  <c r="DA271" i="3"/>
  <c r="DA227" i="3"/>
  <c r="DA859" i="3"/>
  <c r="DB859" i="3" s="1"/>
  <c r="CB859" i="3" s="1"/>
  <c r="DA939" i="3"/>
  <c r="CW415" i="3"/>
  <c r="DA415" i="3" s="1"/>
  <c r="DB415" i="3" s="1"/>
  <c r="CB415" i="3" s="1"/>
  <c r="DA520" i="3"/>
  <c r="DB520" i="3" s="1"/>
  <c r="CB520" i="3" s="1"/>
  <c r="DA607" i="3"/>
  <c r="DB607" i="3" s="1"/>
  <c r="CB607" i="3" s="1"/>
  <c r="DA740" i="3"/>
  <c r="DB740" i="3" s="1"/>
  <c r="CB740" i="3" s="1"/>
  <c r="DA982" i="3"/>
  <c r="DB982" i="3" s="1"/>
  <c r="CB982" i="3" s="1"/>
  <c r="DA1233" i="3"/>
  <c r="DA1390" i="3"/>
  <c r="DA1781" i="3"/>
  <c r="DA2232" i="3"/>
  <c r="DA2366" i="3"/>
  <c r="DA2641" i="3"/>
  <c r="DA2932" i="3"/>
  <c r="DA3086" i="3"/>
  <c r="DB3086" i="3" s="1"/>
  <c r="CB3086" i="3" s="1"/>
  <c r="DA3300" i="3"/>
  <c r="DA632" i="3"/>
  <c r="DB632" i="3" s="1"/>
  <c r="CB632" i="3" s="1"/>
  <c r="DA1680" i="3"/>
  <c r="DA903" i="3"/>
  <c r="DA907" i="3"/>
  <c r="DA902" i="3"/>
  <c r="DA910" i="3"/>
  <c r="DA935" i="3"/>
  <c r="DA950" i="3"/>
  <c r="DA988" i="3"/>
  <c r="DB988" i="3" s="1"/>
  <c r="CB988" i="3" s="1"/>
  <c r="DA1105" i="3"/>
  <c r="DA1031" i="3"/>
  <c r="DA1197" i="3"/>
  <c r="DA1203" i="3"/>
  <c r="DA1576" i="3"/>
  <c r="DA1528" i="3"/>
  <c r="DA1535" i="3"/>
  <c r="DA1787" i="3"/>
  <c r="DA1899" i="3"/>
  <c r="DA1913" i="3"/>
  <c r="DA1923" i="3"/>
  <c r="DA2148" i="3"/>
  <c r="DA2784" i="3"/>
  <c r="DB2784" i="3" s="1"/>
  <c r="CB2784" i="3" s="1"/>
  <c r="DA2906" i="3"/>
  <c r="DA2900" i="3"/>
  <c r="DA2959" i="3"/>
  <c r="DA2952" i="3"/>
  <c r="DA2961" i="3"/>
  <c r="DA2991" i="3"/>
  <c r="DA2999" i="3"/>
  <c r="DA3010" i="3"/>
  <c r="DA3546" i="3"/>
  <c r="DA3562" i="3"/>
  <c r="DA3594" i="3"/>
  <c r="DA3617" i="3"/>
  <c r="DA249" i="3"/>
  <c r="DA2359" i="3"/>
  <c r="DA2430" i="3"/>
  <c r="DA2442" i="3"/>
  <c r="DA2639" i="3"/>
  <c r="DA2659" i="3"/>
  <c r="DA2683" i="3"/>
  <c r="DA2842" i="3"/>
  <c r="DA1012" i="3"/>
  <c r="DA2175" i="3"/>
  <c r="DB2175" i="3" s="1"/>
  <c r="CB2175" i="3" s="1"/>
  <c r="DA2233" i="3"/>
  <c r="DA2235" i="3"/>
  <c r="DA2237" i="3"/>
  <c r="DA2239" i="3"/>
  <c r="DA2241" i="3"/>
  <c r="DA2387" i="3"/>
  <c r="DA1141" i="3"/>
  <c r="DC4" i="3"/>
  <c r="CY3161" i="3" s="1"/>
  <c r="DA3161" i="3" s="1"/>
  <c r="AJ975" i="3"/>
  <c r="BJ975" i="3"/>
  <c r="AD1071" i="3"/>
  <c r="AT1097" i="3"/>
  <c r="DA1859" i="3"/>
  <c r="DB1859" i="3" s="1"/>
  <c r="CB1859" i="3" s="1"/>
  <c r="DA2288" i="3"/>
  <c r="DA1697" i="3"/>
  <c r="CW378" i="3"/>
  <c r="DA378" i="3" s="1"/>
  <c r="DB378" i="3" s="1"/>
  <c r="CB378" i="3" s="1"/>
  <c r="DA290" i="3"/>
  <c r="DA3052" i="3"/>
  <c r="DB3052" i="3" s="1"/>
  <c r="CB3052" i="3" s="1"/>
  <c r="DA3149" i="3"/>
  <c r="DB3149" i="3" s="1"/>
  <c r="CB3149" i="3" s="1"/>
  <c r="DA3188" i="3"/>
  <c r="DB3188" i="3" s="1"/>
  <c r="CB3188" i="3" s="1"/>
  <c r="DA994" i="3"/>
  <c r="DB994" i="3" s="1"/>
  <c r="CB994" i="3" s="1"/>
  <c r="DA1113" i="3"/>
  <c r="DA1117" i="3"/>
  <c r="DA1294" i="3"/>
  <c r="DA1419" i="3"/>
  <c r="DA922" i="3"/>
  <c r="DA2156" i="3"/>
  <c r="DA2101" i="3"/>
  <c r="DA2342" i="3"/>
  <c r="DA2635" i="3"/>
  <c r="DA2741" i="3"/>
  <c r="DA2789" i="3"/>
  <c r="DB2789" i="3" s="1"/>
  <c r="CB2789" i="3" s="1"/>
  <c r="DA2840" i="3"/>
  <c r="DA2879" i="3"/>
  <c r="DA2897" i="3"/>
  <c r="DA3000" i="3"/>
  <c r="DA3599" i="3"/>
  <c r="DA855" i="3"/>
  <c r="DB855" i="3" s="1"/>
  <c r="CB855" i="3" s="1"/>
  <c r="CW417" i="3"/>
  <c r="DA417" i="3" s="1"/>
  <c r="DB417" i="3" s="1"/>
  <c r="CB417" i="3" s="1"/>
  <c r="AV292" i="3"/>
  <c r="BG292" i="3" s="1"/>
  <c r="DA149" i="3"/>
  <c r="DA173" i="3"/>
  <c r="DA365" i="3"/>
  <c r="DB365" i="3" s="1"/>
  <c r="CB365" i="3" s="1"/>
  <c r="DA1052" i="3"/>
  <c r="DA1057" i="3"/>
  <c r="DA1065" i="3"/>
  <c r="DA1099" i="3"/>
  <c r="DA1135" i="3"/>
  <c r="DA1155" i="3"/>
  <c r="DA1165" i="3"/>
  <c r="DA1225" i="3"/>
  <c r="DA1230" i="3"/>
  <c r="DA1260" i="3"/>
  <c r="DA1395" i="3"/>
  <c r="DA1410" i="3"/>
  <c r="DA1414" i="3"/>
  <c r="DA1393" i="3"/>
  <c r="DA1405" i="3"/>
  <c r="DA1411" i="3"/>
  <c r="DA1437" i="3"/>
  <c r="DA1543" i="3"/>
  <c r="DA1637" i="3"/>
  <c r="DA1762" i="3"/>
  <c r="DA1773" i="3"/>
  <c r="DA1777" i="3"/>
  <c r="DA1761" i="3"/>
  <c r="DA1805" i="3"/>
  <c r="DA1966" i="3"/>
  <c r="DA1978" i="3"/>
  <c r="DA2335" i="3"/>
  <c r="DA2823" i="3"/>
  <c r="DA2941" i="3"/>
  <c r="DA3056" i="3"/>
  <c r="DB3056" i="3" s="1"/>
  <c r="CB3056" i="3" s="1"/>
  <c r="DA3080" i="3"/>
  <c r="DB3080" i="3" s="1"/>
  <c r="CB3080" i="3" s="1"/>
  <c r="DA3105" i="3"/>
  <c r="DB3105" i="3" s="1"/>
  <c r="CB3105" i="3" s="1"/>
  <c r="DA3113" i="3"/>
  <c r="DB3113" i="3" s="1"/>
  <c r="CB3113" i="3" s="1"/>
  <c r="DA3204" i="3"/>
  <c r="DB3204" i="3" s="1"/>
  <c r="CB3204" i="3" s="1"/>
  <c r="DA3283" i="3"/>
  <c r="DA3316" i="3"/>
  <c r="DA3335" i="3"/>
  <c r="DA1160" i="3"/>
  <c r="DA1162" i="3"/>
  <c r="DA1274" i="3"/>
  <c r="DA1303" i="3"/>
  <c r="DA1656" i="3"/>
  <c r="DA1801" i="3"/>
  <c r="DA1889" i="3"/>
  <c r="DA1925" i="3"/>
  <c r="DA1942" i="3"/>
  <c r="DA1720" i="3"/>
  <c r="DA2071" i="3"/>
  <c r="DA2292" i="3"/>
  <c r="DA2312" i="3"/>
  <c r="DA2589" i="3"/>
  <c r="DA2743" i="3"/>
  <c r="DA2745" i="3"/>
  <c r="DA2753" i="3"/>
  <c r="DA2755" i="3"/>
  <c r="DA2844" i="3"/>
  <c r="DA2848" i="3"/>
  <c r="DA2872" i="3"/>
  <c r="DA2874" i="3"/>
  <c r="DA2883" i="3"/>
  <c r="DA2898" i="3"/>
  <c r="DA2909" i="3"/>
  <c r="DA2913" i="3"/>
  <c r="DA2904" i="3"/>
  <c r="DA2960" i="3"/>
  <c r="DA2968" i="3"/>
  <c r="DA3012" i="3"/>
  <c r="DA2997" i="3"/>
  <c r="DA3002" i="3"/>
  <c r="DA3009" i="3"/>
  <c r="DA3213" i="3"/>
  <c r="DB3213" i="3" s="1"/>
  <c r="CB3213" i="3" s="1"/>
  <c r="DA3217" i="3"/>
  <c r="DB3217" i="3" s="1"/>
  <c r="CB3217" i="3" s="1"/>
  <c r="DA3221" i="3"/>
  <c r="DB3221" i="3" s="1"/>
  <c r="CB3221" i="3" s="1"/>
  <c r="DA3225" i="3"/>
  <c r="DB3225" i="3" s="1"/>
  <c r="CB3225" i="3" s="1"/>
  <c r="DA3229" i="3"/>
  <c r="DB3229" i="3" s="1"/>
  <c r="CB3229" i="3" s="1"/>
  <c r="DA3233" i="3"/>
  <c r="DB3233" i="3" s="1"/>
  <c r="CB3233" i="3" s="1"/>
  <c r="DA3237" i="3"/>
  <c r="DB3237" i="3" s="1"/>
  <c r="CB3237" i="3" s="1"/>
  <c r="DA3245" i="3"/>
  <c r="DB3245" i="3" s="1"/>
  <c r="CB3245" i="3" s="1"/>
  <c r="DA3249" i="3"/>
  <c r="DB3249" i="3" s="1"/>
  <c r="CB3249" i="3" s="1"/>
  <c r="DA3260" i="3"/>
  <c r="DA230" i="3"/>
  <c r="DA236" i="3"/>
  <c r="DA2253" i="3"/>
  <c r="DA914" i="3"/>
  <c r="DA2362" i="3"/>
  <c r="DA2670" i="3"/>
  <c r="DA2673" i="3"/>
  <c r="DA2595" i="3"/>
  <c r="DA2280" i="3"/>
  <c r="CW418" i="3"/>
  <c r="DA418" i="3" s="1"/>
  <c r="DB418" i="3" s="1"/>
  <c r="CB418" i="3" s="1"/>
  <c r="CW414" i="3"/>
  <c r="DA414" i="3" s="1"/>
  <c r="DB414" i="3" s="1"/>
  <c r="CB414" i="3" s="1"/>
  <c r="DA191" i="3"/>
  <c r="DA293" i="3"/>
  <c r="DA297" i="3"/>
  <c r="DA695" i="3"/>
  <c r="DB695" i="3" s="1"/>
  <c r="CB695" i="3" s="1"/>
  <c r="DA739" i="3"/>
  <c r="DB739" i="3" s="1"/>
  <c r="CB739" i="3" s="1"/>
  <c r="DA1107" i="3"/>
  <c r="DA1285" i="3"/>
  <c r="DA1337" i="3"/>
  <c r="DA1401" i="3"/>
  <c r="DA1408" i="3"/>
  <c r="DA1550" i="3"/>
  <c r="DA1553" i="3"/>
  <c r="DA1627" i="3"/>
  <c r="DA1764" i="3"/>
  <c r="DA1757" i="3"/>
  <c r="DA1901" i="3"/>
  <c r="DA1908" i="3"/>
  <c r="DA1918" i="3"/>
  <c r="DA1928" i="3"/>
  <c r="DA2116" i="3"/>
  <c r="DA2226" i="3"/>
  <c r="DA2367" i="3"/>
  <c r="DA2398" i="3"/>
  <c r="DA2429" i="3"/>
  <c r="DA2651" i="3"/>
  <c r="DA2837" i="3"/>
  <c r="DA2943" i="3"/>
  <c r="DA744" i="3"/>
  <c r="DB744" i="3" s="1"/>
  <c r="CB744" i="3" s="1"/>
  <c r="DA788" i="3"/>
  <c r="DB788" i="3" s="1"/>
  <c r="CB788" i="3" s="1"/>
  <c r="DA792" i="3"/>
  <c r="DB792" i="3" s="1"/>
  <c r="CB792" i="3" s="1"/>
  <c r="DA1114" i="3"/>
  <c r="DA905" i="3"/>
  <c r="DA921" i="3"/>
  <c r="DA924" i="3"/>
  <c r="DA927" i="3"/>
  <c r="DA937" i="3"/>
  <c r="DA949" i="3"/>
  <c r="DA1026" i="3"/>
  <c r="DA1200" i="3"/>
  <c r="DA1209" i="3"/>
  <c r="DA1033" i="3"/>
  <c r="DA1045" i="3"/>
  <c r="DA1582" i="3"/>
  <c r="DA1522" i="3"/>
  <c r="DA1529" i="3"/>
  <c r="DA1916" i="3"/>
  <c r="DA1930" i="3"/>
  <c r="DA2075" i="3"/>
  <c r="DA2153" i="3"/>
  <c r="DA2162" i="3"/>
  <c r="DA2166" i="3"/>
  <c r="DA2321" i="3"/>
  <c r="DA2319" i="3"/>
  <c r="DA2323" i="3"/>
  <c r="DA2348" i="3"/>
  <c r="DA2665" i="3"/>
  <c r="DA2669" i="3"/>
  <c r="DA2679" i="3"/>
  <c r="DA2701" i="3"/>
  <c r="DA2712" i="3"/>
  <c r="DA2725" i="3"/>
  <c r="DA2689" i="3"/>
  <c r="DA2699" i="3"/>
  <c r="DA2727" i="3"/>
  <c r="DA2739" i="3"/>
  <c r="DA2740" i="3"/>
  <c r="DA2744" i="3"/>
  <c r="DA2754" i="3"/>
  <c r="DA2774" i="3"/>
  <c r="DA2856" i="3"/>
  <c r="DA2860" i="3"/>
  <c r="DA2796" i="3"/>
  <c r="DB2796" i="3" s="1"/>
  <c r="CB2796" i="3" s="1"/>
  <c r="DA3591" i="3"/>
  <c r="DA248" i="3"/>
  <c r="DA241" i="3"/>
  <c r="DA251" i="3"/>
  <c r="DA253" i="3"/>
  <c r="DA263" i="3"/>
  <c r="DA268" i="3"/>
  <c r="DA742" i="3"/>
  <c r="DB742" i="3" s="1"/>
  <c r="CB742" i="3" s="1"/>
  <c r="DA786" i="3"/>
  <c r="DB786" i="3" s="1"/>
  <c r="CB786" i="3" s="1"/>
  <c r="DA2785" i="3"/>
  <c r="DB2785" i="3" s="1"/>
  <c r="CB2785" i="3" s="1"/>
  <c r="DA2805" i="3"/>
  <c r="DB2805" i="3" s="1"/>
  <c r="CB2805" i="3" s="1"/>
  <c r="DA2817" i="3"/>
  <c r="DA2927" i="3"/>
  <c r="DA2938" i="3"/>
  <c r="DA2942" i="3"/>
  <c r="DA2976" i="3"/>
  <c r="DA3566" i="3"/>
  <c r="DA3602" i="3"/>
  <c r="DA3613" i="3"/>
  <c r="DA1677" i="3"/>
  <c r="DA2041" i="3"/>
  <c r="DA2279" i="3"/>
  <c r="DA3091" i="3"/>
  <c r="DB3091" i="3" s="1"/>
  <c r="CB3091" i="3" s="1"/>
  <c r="DA317" i="3"/>
  <c r="DB317" i="3" s="1"/>
  <c r="CB317" i="3" s="1"/>
  <c r="DA2707" i="3"/>
  <c r="DA1158" i="3"/>
  <c r="DA1307" i="3"/>
  <c r="AR949" i="3"/>
  <c r="AD975" i="3"/>
  <c r="BC975" i="3"/>
  <c r="W1071" i="3"/>
  <c r="AL1097" i="3"/>
  <c r="BS1096" i="3"/>
  <c r="AL1234" i="3"/>
  <c r="BL1234" i="3"/>
  <c r="BD2649" i="3"/>
  <c r="BD2654" i="3" s="1"/>
  <c r="DA519" i="3"/>
  <c r="DB519" i="3" s="1"/>
  <c r="CB519" i="3" s="1"/>
  <c r="DA1047" i="3"/>
  <c r="DA1069" i="3"/>
  <c r="DA1150" i="3"/>
  <c r="DA1167" i="3"/>
  <c r="DA1219" i="3"/>
  <c r="DA1286" i="3"/>
  <c r="DA1418" i="3"/>
  <c r="DA1468" i="3"/>
  <c r="DA1642" i="3"/>
  <c r="DA1756" i="3"/>
  <c r="DA2417" i="3"/>
  <c r="DA2885" i="3"/>
  <c r="DA743" i="3"/>
  <c r="DB743" i="3" s="1"/>
  <c r="CB743" i="3" s="1"/>
  <c r="DA787" i="3"/>
  <c r="DB787" i="3" s="1"/>
  <c r="CB787" i="3" s="1"/>
  <c r="DA791" i="3"/>
  <c r="DB791" i="3" s="1"/>
  <c r="CB791" i="3" s="1"/>
  <c r="DA795" i="3"/>
  <c r="DB795" i="3" s="1"/>
  <c r="CB795" i="3" s="1"/>
  <c r="DA996" i="3"/>
  <c r="DB996" i="3" s="1"/>
  <c r="CB996" i="3" s="1"/>
  <c r="DA923" i="3"/>
  <c r="DA944" i="3"/>
  <c r="DA1042" i="3"/>
  <c r="DA1195" i="3"/>
  <c r="DA1199" i="3"/>
  <c r="DA1546" i="3"/>
  <c r="DA1726" i="3"/>
  <c r="DA2379" i="3"/>
  <c r="DA2372" i="3"/>
  <c r="DA2415" i="3"/>
  <c r="DA2433" i="3"/>
  <c r="DA2448" i="3"/>
  <c r="DA2459" i="3"/>
  <c r="DA2678" i="3"/>
  <c r="DA2846" i="3"/>
  <c r="DA2862" i="3"/>
  <c r="DA189" i="3"/>
  <c r="DA197" i="3"/>
  <c r="DA276" i="3"/>
  <c r="DA793" i="3"/>
  <c r="DB793" i="3" s="1"/>
  <c r="CB793" i="3" s="1"/>
  <c r="DA942" i="3"/>
  <c r="DA1297" i="3"/>
  <c r="DA1504" i="3"/>
  <c r="DA1612" i="3"/>
  <c r="DA2069" i="3"/>
  <c r="DA2975" i="3"/>
  <c r="DA3565" i="3"/>
  <c r="DA3612" i="3"/>
  <c r="DA2256" i="3"/>
  <c r="DA1936" i="3"/>
  <c r="DA301" i="3"/>
  <c r="DA327" i="3"/>
  <c r="DB327" i="3" s="1"/>
  <c r="CB327" i="3" s="1"/>
  <c r="DA2357" i="3"/>
  <c r="AJ949" i="3"/>
  <c r="BQ974" i="3"/>
  <c r="BQ972" i="3"/>
  <c r="BS1231" i="3"/>
  <c r="BP1761" i="3"/>
  <c r="CX1882" i="3"/>
  <c r="CX1872" i="3" s="1"/>
  <c r="DA1872" i="3" s="1"/>
  <c r="DB1872" i="3" s="1"/>
  <c r="CB1872" i="3" s="1"/>
  <c r="DA1815" i="3"/>
  <c r="DB1815" i="3" s="1"/>
  <c r="CB1815" i="3" s="1"/>
  <c r="DA1827" i="3"/>
  <c r="DB1827" i="3" s="1"/>
  <c r="CB1827" i="3" s="1"/>
  <c r="DA563" i="3"/>
  <c r="DB563" i="3" s="1"/>
  <c r="CB563" i="3" s="1"/>
  <c r="DA631" i="3"/>
  <c r="DB631" i="3" s="1"/>
  <c r="CB631" i="3" s="1"/>
  <c r="DA1124" i="3"/>
  <c r="DA1472" i="3"/>
  <c r="DA1638" i="3"/>
  <c r="DA2924" i="3"/>
  <c r="DA3205" i="3"/>
  <c r="DB3205" i="3" s="1"/>
  <c r="CB3205" i="3" s="1"/>
  <c r="DA499" i="3"/>
  <c r="DB499" i="3" s="1"/>
  <c r="CB499" i="3" s="1"/>
  <c r="DA675" i="3"/>
  <c r="DB675" i="3" s="1"/>
  <c r="CB675" i="3" s="1"/>
  <c r="DA1143" i="3"/>
  <c r="DA931" i="3"/>
  <c r="DA1578" i="3"/>
  <c r="DA1533" i="3"/>
  <c r="DA1537" i="3"/>
  <c r="DA1790" i="3"/>
  <c r="DA1715" i="3"/>
  <c r="DA2373" i="3"/>
  <c r="DA2390" i="3"/>
  <c r="DA2436" i="3"/>
  <c r="DA2451" i="3"/>
  <c r="DA2611" i="3"/>
  <c r="DA2573" i="3"/>
  <c r="DA2582" i="3"/>
  <c r="DA2623" i="3"/>
  <c r="DA2668" i="3"/>
  <c r="DA2869" i="3"/>
  <c r="DA2907" i="3"/>
  <c r="DA2911" i="3"/>
  <c r="DA2963" i="3"/>
  <c r="DA3078" i="3"/>
  <c r="DB3078" i="3" s="1"/>
  <c r="CB3078" i="3" s="1"/>
  <c r="DA3194" i="3"/>
  <c r="DB3194" i="3" s="1"/>
  <c r="CB3194" i="3" s="1"/>
  <c r="DA3128" i="3"/>
  <c r="DB3128" i="3" s="1"/>
  <c r="CB3128" i="3" s="1"/>
  <c r="DA3132" i="3"/>
  <c r="DB3132" i="3" s="1"/>
  <c r="CB3132" i="3" s="1"/>
  <c r="DA210" i="3"/>
  <c r="DA217" i="3"/>
  <c r="DA221" i="3"/>
  <c r="DA187" i="3"/>
  <c r="DA1567" i="3"/>
  <c r="DA1611" i="3"/>
  <c r="DA1619" i="3"/>
  <c r="DA1635" i="3"/>
  <c r="DA1969" i="3"/>
  <c r="DA1977" i="3"/>
  <c r="DA2600" i="3"/>
  <c r="DA2648" i="3"/>
  <c r="DA2697" i="3"/>
  <c r="DA2722" i="3"/>
  <c r="DA2759" i="3"/>
  <c r="DA2767" i="3"/>
  <c r="DA2454" i="3"/>
  <c r="DA2769" i="3"/>
  <c r="BT2987" i="3"/>
  <c r="BT2988" i="3" s="1"/>
  <c r="DA858" i="3"/>
  <c r="DB858" i="3" s="1"/>
  <c r="CB858" i="3" s="1"/>
  <c r="DA862" i="3"/>
  <c r="DB862" i="3" s="1"/>
  <c r="CB862" i="3" s="1"/>
  <c r="DA2983" i="3"/>
  <c r="DA1838" i="3"/>
  <c r="DB1838" i="3" s="1"/>
  <c r="CB1838" i="3" s="1"/>
  <c r="DA1862" i="3"/>
  <c r="DB1862" i="3" s="1"/>
  <c r="CB1862" i="3" s="1"/>
  <c r="G3182" i="3"/>
  <c r="B3641" i="3"/>
  <c r="G898" i="3"/>
  <c r="G3140" i="3"/>
  <c r="B1963" i="3"/>
  <c r="O3256" i="3"/>
  <c r="CX852" i="3"/>
  <c r="DA852" i="3" s="1"/>
  <c r="DB852" i="3" s="1"/>
  <c r="CB852" i="3" s="1"/>
  <c r="CX851" i="3"/>
  <c r="DA851" i="3" s="1"/>
  <c r="DB851" i="3" s="1"/>
  <c r="CB851" i="3" s="1"/>
  <c r="BI3558" i="3"/>
  <c r="BI3563" i="3"/>
  <c r="BI3567" i="3" s="1"/>
  <c r="BI3617" i="3" s="1"/>
  <c r="BI3619" i="3" s="1"/>
  <c r="BI3621" i="3" s="1"/>
  <c r="DA2386" i="3"/>
  <c r="DA1206" i="3"/>
  <c r="DA1531" i="3"/>
  <c r="DA1671" i="3"/>
  <c r="DA1940" i="3"/>
  <c r="DA2596" i="3"/>
  <c r="DA2606" i="3"/>
  <c r="DA2592" i="3"/>
  <c r="DA2663" i="3"/>
  <c r="DA2853" i="3"/>
  <c r="CW3423" i="3"/>
  <c r="DA3423" i="3" s="1"/>
  <c r="CX967" i="3"/>
  <c r="DA967" i="3" s="1"/>
  <c r="CX853" i="3"/>
  <c r="DA853" i="3" s="1"/>
  <c r="DB853" i="3" s="1"/>
  <c r="CB853" i="3" s="1"/>
  <c r="CX2138" i="3"/>
  <c r="DA2138" i="3" s="1"/>
  <c r="AJ141" i="3"/>
  <c r="BQ1337" i="3" s="1"/>
  <c r="CW3399" i="3"/>
  <c r="DA3399" i="3" s="1"/>
  <c r="CX863" i="3"/>
  <c r="DA863" i="3" s="1"/>
  <c r="DB863" i="3" s="1"/>
  <c r="CB863" i="3" s="1"/>
  <c r="DA1780" i="3"/>
  <c r="DA1758" i="3"/>
  <c r="DA1973" i="3"/>
  <c r="DA2440" i="3"/>
  <c r="DA2447" i="3"/>
  <c r="DA2640" i="3"/>
  <c r="DA2694" i="3"/>
  <c r="DA2720" i="3"/>
  <c r="DA1272" i="3"/>
  <c r="DA1662" i="3"/>
  <c r="DA1583" i="3"/>
  <c r="DA1657" i="3"/>
  <c r="DA2329" i="3"/>
  <c r="DA2333" i="3"/>
  <c r="DA2356" i="3"/>
  <c r="DA1021" i="3"/>
  <c r="DA1259" i="3"/>
  <c r="DA1344" i="3"/>
  <c r="DA1352" i="3"/>
  <c r="DA1399" i="3"/>
  <c r="DA1508" i="3"/>
  <c r="BQ948" i="3"/>
  <c r="BQ934" i="3"/>
  <c r="DA2426" i="3"/>
  <c r="CW825" i="3"/>
  <c r="DA825" i="3" s="1"/>
  <c r="DB825" i="3" s="1"/>
  <c r="CB825" i="3" s="1"/>
  <c r="DA1115" i="3"/>
  <c r="DA1708" i="3"/>
  <c r="DA2572" i="3"/>
  <c r="DA2588" i="3"/>
  <c r="DA2792" i="3"/>
  <c r="DB2792" i="3" s="1"/>
  <c r="CB2792" i="3" s="1"/>
  <c r="CX953" i="3"/>
  <c r="DA953" i="3" s="1"/>
  <c r="DA854" i="3"/>
  <c r="DB854" i="3" s="1"/>
  <c r="CB854" i="3" s="1"/>
  <c r="DA172" i="3"/>
  <c r="DA300" i="3"/>
  <c r="DA1106" i="3"/>
  <c r="DA2647" i="3"/>
  <c r="DA3190" i="3"/>
  <c r="DB3190" i="3" s="1"/>
  <c r="CB3190" i="3" s="1"/>
  <c r="DA1131" i="3"/>
  <c r="DA1571" i="3"/>
  <c r="DA1579" i="3"/>
  <c r="DA1615" i="3"/>
  <c r="DA1943" i="3"/>
  <c r="DA2085" i="3"/>
  <c r="DA2183" i="3"/>
  <c r="DB2183" i="3" s="1"/>
  <c r="CB2183" i="3" s="1"/>
  <c r="DA2187" i="3"/>
  <c r="DB2187" i="3" s="1"/>
  <c r="CB2187" i="3" s="1"/>
  <c r="DA2191" i="3"/>
  <c r="DB2191" i="3" s="1"/>
  <c r="CB2191" i="3" s="1"/>
  <c r="DA2205" i="3"/>
  <c r="DA2330" i="3"/>
  <c r="DA2397" i="3"/>
  <c r="DA2605" i="3"/>
  <c r="DA2609" i="3"/>
  <c r="DA2581" i="3"/>
  <c r="DA2619" i="3"/>
  <c r="DA2634" i="3"/>
  <c r="DA2666" i="3"/>
  <c r="DA2731" i="3"/>
  <c r="DA2737" i="3"/>
  <c r="DA2763" i="3"/>
  <c r="DA2766" i="3"/>
  <c r="DA2865" i="3"/>
  <c r="DA2871" i="3"/>
  <c r="DA2876" i="3"/>
  <c r="DA2878" i="3"/>
  <c r="DA2894" i="3"/>
  <c r="DA2902" i="3"/>
  <c r="DA2987" i="3"/>
  <c r="DA3075" i="3"/>
  <c r="DB3075" i="3" s="1"/>
  <c r="CB3075" i="3" s="1"/>
  <c r="DA3214" i="3"/>
  <c r="DB3214" i="3" s="1"/>
  <c r="CB3214" i="3" s="1"/>
  <c r="DA3218" i="3"/>
  <c r="DB3218" i="3" s="1"/>
  <c r="CB3218" i="3" s="1"/>
  <c r="DA3230" i="3"/>
  <c r="DB3230" i="3" s="1"/>
  <c r="CB3230" i="3" s="1"/>
  <c r="DA3274" i="3"/>
  <c r="DA3296" i="3"/>
  <c r="DA3322" i="3"/>
  <c r="DA3621" i="3"/>
  <c r="DA211" i="3"/>
  <c r="DA194" i="3"/>
  <c r="DA229" i="3"/>
  <c r="DA233" i="3"/>
  <c r="DA235" i="3"/>
  <c r="DA260" i="3"/>
  <c r="DA1707" i="3"/>
  <c r="DA3573" i="3"/>
  <c r="DA3593" i="3"/>
  <c r="DA2244" i="3"/>
  <c r="DA1442" i="3"/>
  <c r="DA2866" i="3"/>
  <c r="DA1646" i="3"/>
  <c r="DA309" i="3"/>
  <c r="DB309" i="3" s="1"/>
  <c r="CB309" i="3" s="1"/>
  <c r="DA1011" i="3"/>
  <c r="DA1267" i="3"/>
  <c r="DA1318" i="3"/>
  <c r="BQ960" i="3"/>
  <c r="BQ966" i="3"/>
  <c r="BQ946" i="3"/>
  <c r="BS1056" i="3"/>
  <c r="W975" i="3"/>
  <c r="AT1071" i="3"/>
  <c r="AD1097" i="3"/>
  <c r="AD1234" i="3"/>
  <c r="BF1234" i="3"/>
  <c r="BQ1401" i="3"/>
  <c r="BP1565" i="3"/>
  <c r="BM1600" i="3"/>
  <c r="BN2108" i="3"/>
  <c r="BN2126" i="3"/>
  <c r="CX1846" i="3"/>
  <c r="DA1846" i="3" s="1"/>
  <c r="DB1846" i="3" s="1"/>
  <c r="CB1846" i="3" s="1"/>
  <c r="DA358" i="3"/>
  <c r="DB358" i="3" s="1"/>
  <c r="CB358" i="3" s="1"/>
  <c r="DA362" i="3"/>
  <c r="DB362" i="3" s="1"/>
  <c r="CB362" i="3" s="1"/>
  <c r="DA396" i="3"/>
  <c r="DB396" i="3" s="1"/>
  <c r="CB396" i="3" s="1"/>
  <c r="DA585" i="3"/>
  <c r="DB585" i="3" s="1"/>
  <c r="CB585" i="3" s="1"/>
  <c r="DA1050" i="3"/>
  <c r="DA1062" i="3"/>
  <c r="DA1068" i="3"/>
  <c r="DA1101" i="3"/>
  <c r="DA1157" i="3"/>
  <c r="DA1218" i="3"/>
  <c r="DA1231" i="3"/>
  <c r="DA1320" i="3"/>
  <c r="DA1412" i="3"/>
  <c r="DA1436" i="3"/>
  <c r="DA1466" i="3"/>
  <c r="DA1470" i="3"/>
  <c r="DA1474" i="3"/>
  <c r="DA1547" i="3"/>
  <c r="DA1629" i="3"/>
  <c r="DA1673" i="3"/>
  <c r="DA1754" i="3"/>
  <c r="DA1782" i="3"/>
  <c r="DA1897" i="3"/>
  <c r="DA1934" i="3"/>
  <c r="DA1974" i="3"/>
  <c r="DA2345" i="3"/>
  <c r="DA2414" i="3"/>
  <c r="DA2832" i="3"/>
  <c r="DA2838" i="3"/>
  <c r="DA3103" i="3"/>
  <c r="DB3103" i="3" s="1"/>
  <c r="CB3103" i="3" s="1"/>
  <c r="DA3202" i="3"/>
  <c r="DB3202" i="3" s="1"/>
  <c r="CB3202" i="3" s="1"/>
  <c r="DA350" i="3"/>
  <c r="DB350" i="3" s="1"/>
  <c r="CB350" i="3" s="1"/>
  <c r="DA785" i="3"/>
  <c r="DB785" i="3" s="1"/>
  <c r="CB785" i="3" s="1"/>
  <c r="DA1128" i="3"/>
  <c r="DA1271" i="3"/>
  <c r="DA1653" i="3"/>
  <c r="DA908" i="3"/>
  <c r="DA912" i="3"/>
  <c r="DA920" i="3"/>
  <c r="DA926" i="3"/>
  <c r="DA947" i="3"/>
  <c r="DA985" i="3"/>
  <c r="DB985" i="3" s="1"/>
  <c r="CB985" i="3" s="1"/>
  <c r="DA989" i="3"/>
  <c r="DB989" i="3" s="1"/>
  <c r="CB989" i="3" s="1"/>
  <c r="DA997" i="3"/>
  <c r="DB997" i="3" s="1"/>
  <c r="CB997" i="3" s="1"/>
  <c r="DA1001" i="3"/>
  <c r="DA1009" i="3"/>
  <c r="DA1037" i="3"/>
  <c r="DA1041" i="3"/>
  <c r="DA1198" i="3"/>
  <c r="DA1204" i="3"/>
  <c r="DA1208" i="3"/>
  <c r="DA1196" i="3"/>
  <c r="DA1205" i="3"/>
  <c r="DA1214" i="3"/>
  <c r="DA1029" i="3"/>
  <c r="DA1039" i="3"/>
  <c r="DA1043" i="3"/>
  <c r="DA2079" i="3"/>
  <c r="DA2081" i="3"/>
  <c r="DA2096" i="3"/>
  <c r="DA2189" i="3"/>
  <c r="DB2189" i="3" s="1"/>
  <c r="CB2189" i="3" s="1"/>
  <c r="DA2197" i="3"/>
  <c r="DB2197" i="3" s="1"/>
  <c r="CB2197" i="3" s="1"/>
  <c r="DA2201" i="3"/>
  <c r="DB2201" i="3" s="1"/>
  <c r="CB2201" i="3" s="1"/>
  <c r="DA2282" i="3"/>
  <c r="DA2295" i="3"/>
  <c r="DA2299" i="3"/>
  <c r="DA2102" i="3"/>
  <c r="DA2103" i="3"/>
  <c r="DA2327" i="3"/>
  <c r="DA2318" i="3"/>
  <c r="DA2328" i="3"/>
  <c r="DA2360" i="3"/>
  <c r="DA2363" i="3"/>
  <c r="DA2351" i="3"/>
  <c r="DA2350" i="3"/>
  <c r="DA2377" i="3"/>
  <c r="DA2391" i="3"/>
  <c r="DA2407" i="3"/>
  <c r="DA2420" i="3"/>
  <c r="DA2428" i="3"/>
  <c r="DA2431" i="3"/>
  <c r="DA2435" i="3"/>
  <c r="DA2446" i="3"/>
  <c r="DA2450" i="3"/>
  <c r="DA2461" i="3"/>
  <c r="DA2469" i="3"/>
  <c r="DA2473" i="3"/>
  <c r="DA2490" i="3"/>
  <c r="DB2490" i="3" s="1"/>
  <c r="CB2490" i="3" s="1"/>
  <c r="DA2523" i="3"/>
  <c r="DB2523" i="3" s="1"/>
  <c r="CB2523" i="3" s="1"/>
  <c r="DA2680" i="3"/>
  <c r="DA2965" i="3"/>
  <c r="DA3545" i="3"/>
  <c r="DA3590" i="3"/>
  <c r="DA3605" i="3"/>
  <c r="DA3610" i="3"/>
  <c r="DA226" i="3"/>
  <c r="DA265" i="3"/>
  <c r="DA1015" i="3"/>
  <c r="DA2608" i="3"/>
  <c r="DA311" i="3"/>
  <c r="DB311" i="3" s="1"/>
  <c r="CB311" i="3" s="1"/>
  <c r="DA2721" i="3"/>
  <c r="W949" i="3"/>
  <c r="AR975" i="3"/>
  <c r="AL1071" i="3"/>
  <c r="W1097" i="3"/>
  <c r="W1234" i="3"/>
  <c r="AZ1234" i="3"/>
  <c r="BF1071" i="3"/>
  <c r="Q1234" i="3"/>
  <c r="DA1813" i="3"/>
  <c r="DB1813" i="3" s="1"/>
  <c r="CB1813" i="3" s="1"/>
  <c r="DA1817" i="3"/>
  <c r="DB1817" i="3" s="1"/>
  <c r="CB1817" i="3" s="1"/>
  <c r="DA1821" i="3"/>
  <c r="DB1821" i="3" s="1"/>
  <c r="CB1821" i="3" s="1"/>
  <c r="DA1825" i="3"/>
  <c r="DB1825" i="3" s="1"/>
  <c r="CB1825" i="3" s="1"/>
  <c r="DA1829" i="3"/>
  <c r="DB1829" i="3" s="1"/>
  <c r="CB1829" i="3" s="1"/>
  <c r="DA1837" i="3"/>
  <c r="DB1837" i="3" s="1"/>
  <c r="CB1837" i="3" s="1"/>
  <c r="DA1845" i="3"/>
  <c r="DB1845" i="3" s="1"/>
  <c r="CB1845" i="3" s="1"/>
  <c r="DA1849" i="3"/>
  <c r="DB1849" i="3" s="1"/>
  <c r="CB1849" i="3" s="1"/>
  <c r="DA1853" i="3"/>
  <c r="DB1853" i="3" s="1"/>
  <c r="CB1853" i="3" s="1"/>
  <c r="DA1857" i="3"/>
  <c r="DB1857" i="3" s="1"/>
  <c r="CB1857" i="3" s="1"/>
  <c r="BR3527" i="3"/>
  <c r="BR3528" i="3" s="1"/>
  <c r="BR3530" i="3" s="1"/>
  <c r="BR3532" i="3" s="1"/>
  <c r="BB2932" i="3"/>
  <c r="DA164" i="3"/>
  <c r="DB164" i="3" s="1"/>
  <c r="CB164" i="3" s="1"/>
  <c r="DA171" i="3"/>
  <c r="DA497" i="3"/>
  <c r="DB497" i="3" s="1"/>
  <c r="CB497" i="3" s="1"/>
  <c r="DA998" i="3"/>
  <c r="DB998" i="3" s="1"/>
  <c r="CB998" i="3" s="1"/>
  <c r="DA1072" i="3"/>
  <c r="DA1226" i="3"/>
  <c r="DA1235" i="3"/>
  <c r="DA1359" i="3"/>
  <c r="DA1463" i="3"/>
  <c r="DA1624" i="3"/>
  <c r="DA1804" i="3"/>
  <c r="DA2652" i="3"/>
  <c r="DA3317" i="3"/>
  <c r="DA3336" i="3"/>
  <c r="DA653" i="3"/>
  <c r="DB653" i="3" s="1"/>
  <c r="CB653" i="3" s="1"/>
  <c r="DA1321" i="3"/>
  <c r="DA1369" i="3"/>
  <c r="DA1372" i="3"/>
  <c r="DA1374" i="3"/>
  <c r="DA1376" i="3"/>
  <c r="DA1423" i="3"/>
  <c r="DA1427" i="3"/>
  <c r="DA1431" i="3"/>
  <c r="DA1684" i="3"/>
  <c r="DA1025" i="3"/>
  <c r="DA1194" i="3"/>
  <c r="DA1572" i="3"/>
  <c r="DA1575" i="3"/>
  <c r="DA1580" i="3"/>
  <c r="DA1632" i="3"/>
  <c r="DA1526" i="3"/>
  <c r="DA1536" i="3"/>
  <c r="DA1540" i="3"/>
  <c r="DA1524" i="3"/>
  <c r="DA1800" i="3"/>
  <c r="DA1727" i="3"/>
  <c r="DA2092" i="3"/>
  <c r="DA2160" i="3"/>
  <c r="DA2108" i="3"/>
  <c r="DA2275" i="3"/>
  <c r="DA2419" i="3"/>
  <c r="DA2585" i="3"/>
  <c r="DA2667" i="3"/>
  <c r="DA2690" i="3"/>
  <c r="DA2700" i="3"/>
  <c r="DA2746" i="3"/>
  <c r="DA2748" i="3"/>
  <c r="DA2750" i="3"/>
  <c r="DA2752" i="3"/>
  <c r="DA2758" i="3"/>
  <c r="DA2882" i="3"/>
  <c r="DA2896" i="3"/>
  <c r="DA2966" i="3"/>
  <c r="DA2970" i="3"/>
  <c r="DA2996" i="3"/>
  <c r="DA3003" i="3"/>
  <c r="DA3006" i="3"/>
  <c r="DA3008" i="3"/>
  <c r="DA3073" i="3"/>
  <c r="DB3073" i="3" s="1"/>
  <c r="CB3073" i="3" s="1"/>
  <c r="DA3215" i="3"/>
  <c r="DB3215" i="3" s="1"/>
  <c r="CB3215" i="3" s="1"/>
  <c r="DA3219" i="3"/>
  <c r="DB3219" i="3" s="1"/>
  <c r="CB3219" i="3" s="1"/>
  <c r="DA3223" i="3"/>
  <c r="DB3223" i="3" s="1"/>
  <c r="CB3223" i="3" s="1"/>
  <c r="DA3227" i="3"/>
  <c r="DB3227" i="3" s="1"/>
  <c r="CB3227" i="3" s="1"/>
  <c r="DA3275" i="3"/>
  <c r="DA208" i="3"/>
  <c r="DA212" i="3"/>
  <c r="DA190" i="3"/>
  <c r="DA198" i="3"/>
  <c r="DA219" i="3"/>
  <c r="DA223" i="3"/>
  <c r="DA184" i="3"/>
  <c r="DA186" i="3"/>
  <c r="DA228" i="3"/>
  <c r="DA238" i="3"/>
  <c r="DA256" i="3"/>
  <c r="DA258" i="3"/>
  <c r="DA259" i="3"/>
  <c r="DA261" i="3"/>
  <c r="DA267" i="3"/>
  <c r="DA122" i="3"/>
  <c r="DB122" i="3" s="1"/>
  <c r="CB122" i="3" s="1"/>
  <c r="DA940" i="3"/>
  <c r="DA1308" i="3"/>
  <c r="DA2597" i="3"/>
  <c r="DA2811" i="3"/>
  <c r="DA2815" i="3"/>
  <c r="DA2819" i="3"/>
  <c r="DA2843" i="3"/>
  <c r="DA2953" i="3"/>
  <c r="DA2973" i="3"/>
  <c r="DA2977" i="3"/>
  <c r="DA2988" i="3"/>
  <c r="DA3539" i="3"/>
  <c r="DA3543" i="3"/>
  <c r="DA3563" i="3"/>
  <c r="DA3587" i="3"/>
  <c r="DA3611" i="3"/>
  <c r="DA2284" i="3"/>
  <c r="DA2992" i="3"/>
  <c r="DA2149" i="3"/>
  <c r="DA1118" i="3"/>
  <c r="DA1148" i="3"/>
  <c r="DA1404" i="3"/>
  <c r="DA1407" i="3"/>
  <c r="DA352" i="3"/>
  <c r="DB352" i="3" s="1"/>
  <c r="CB352" i="3" s="1"/>
  <c r="DA1130" i="3"/>
  <c r="DA1126" i="3"/>
  <c r="DA1142" i="3"/>
  <c r="DA1147" i="3"/>
  <c r="DA2320" i="3"/>
  <c r="DA2324" i="3"/>
  <c r="DA2334" i="3"/>
  <c r="DA2365" i="3"/>
  <c r="DA2341" i="3"/>
  <c r="DA2347" i="3"/>
  <c r="DA2352" i="3"/>
  <c r="DA2368" i="3"/>
  <c r="DA2394" i="3"/>
  <c r="DA2385" i="3"/>
  <c r="DA2389" i="3"/>
  <c r="DA2471" i="3"/>
  <c r="DA2455" i="3"/>
  <c r="DA2463" i="3"/>
  <c r="CW380" i="3"/>
  <c r="DA380" i="3" s="1"/>
  <c r="DB380" i="3" s="1"/>
  <c r="CB380" i="3" s="1"/>
  <c r="CW649" i="3"/>
  <c r="DA649" i="3" s="1"/>
  <c r="DB649" i="3" s="1"/>
  <c r="CB649" i="3" s="1"/>
  <c r="DA1333" i="3"/>
  <c r="DA1358" i="3"/>
  <c r="DA1310" i="3"/>
  <c r="DA1312" i="3"/>
  <c r="DA1327" i="3"/>
  <c r="DA1422" i="3"/>
  <c r="DA1435" i="3"/>
  <c r="DA1718" i="3"/>
  <c r="DA2152" i="3"/>
  <c r="DA2660" i="3"/>
  <c r="DA2662" i="3"/>
  <c r="DA2681" i="3"/>
  <c r="DA2687" i="3"/>
  <c r="DA2702" i="3"/>
  <c r="DA2719" i="3"/>
  <c r="DA2726" i="3"/>
  <c r="DA2863" i="3"/>
  <c r="DA2787" i="3"/>
  <c r="DB2787" i="3" s="1"/>
  <c r="CB2787" i="3" s="1"/>
  <c r="DA2795" i="3"/>
  <c r="DB2795" i="3" s="1"/>
  <c r="CB2795" i="3" s="1"/>
  <c r="DA2841" i="3"/>
  <c r="DA2857" i="3"/>
  <c r="DA2861" i="3"/>
  <c r="DA3001" i="3"/>
  <c r="DA3066" i="3"/>
  <c r="DB3066" i="3" s="1"/>
  <c r="CB3066" i="3" s="1"/>
  <c r="DA3045" i="3"/>
  <c r="DB3045" i="3" s="1"/>
  <c r="CB3045" i="3" s="1"/>
  <c r="DA3060" i="3"/>
  <c r="DB3060" i="3" s="1"/>
  <c r="CB3060" i="3" s="1"/>
  <c r="DA3074" i="3"/>
  <c r="DB3074" i="3" s="1"/>
  <c r="CB3074" i="3" s="1"/>
  <c r="DA3076" i="3"/>
  <c r="DB3076" i="3" s="1"/>
  <c r="CB3076" i="3" s="1"/>
  <c r="DA3168" i="3"/>
  <c r="DB3168" i="3" s="1"/>
  <c r="CB3168" i="3" s="1"/>
  <c r="DA3199" i="3"/>
  <c r="DB3199" i="3" s="1"/>
  <c r="CB3199" i="3" s="1"/>
  <c r="DA3121" i="3"/>
  <c r="DB3121" i="3" s="1"/>
  <c r="CB3121" i="3" s="1"/>
  <c r="DA3257" i="3"/>
  <c r="DA3581" i="3"/>
  <c r="DA3585" i="3"/>
  <c r="DA292" i="3"/>
  <c r="DA124" i="3"/>
  <c r="DB124" i="3" s="1"/>
  <c r="CB124" i="3" s="1"/>
  <c r="DA1013" i="3"/>
  <c r="DA1112" i="3"/>
  <c r="DA1681" i="3"/>
  <c r="DA1693" i="3"/>
  <c r="DA2245" i="3"/>
  <c r="AD949" i="3"/>
  <c r="BS1088" i="3"/>
  <c r="DA1863" i="3"/>
  <c r="DB1863" i="3" s="1"/>
  <c r="CB1863" i="3" s="1"/>
  <c r="DA1138" i="3"/>
  <c r="DA981" i="3"/>
  <c r="DB981" i="3" s="1"/>
  <c r="CB981" i="3" s="1"/>
  <c r="DA2181" i="3"/>
  <c r="DB2181" i="3" s="1"/>
  <c r="CB2181" i="3" s="1"/>
  <c r="DA901" i="3"/>
  <c r="DA1280" i="3"/>
  <c r="DA1332" i="3"/>
  <c r="DA1338" i="3"/>
  <c r="DA1341" i="3"/>
  <c r="DA1346" i="3"/>
  <c r="DA1356" i="3"/>
  <c r="DA1502" i="3"/>
  <c r="DA1506" i="3"/>
  <c r="DA1514" i="3"/>
  <c r="DA1640" i="3"/>
  <c r="DA1644" i="3"/>
  <c r="DA1651" i="3"/>
  <c r="DA1914" i="3"/>
  <c r="DA2793" i="3"/>
  <c r="DB2793" i="3" s="1"/>
  <c r="CB2793" i="3" s="1"/>
  <c r="DA2839" i="3"/>
  <c r="DA3017" i="3"/>
  <c r="DB3017" i="3" s="1"/>
  <c r="CB3017" i="3" s="1"/>
  <c r="DA3575" i="3"/>
  <c r="DA3601" i="3"/>
  <c r="DA3616" i="3"/>
  <c r="BN2137" i="3"/>
  <c r="DA1869" i="3"/>
  <c r="DB1869" i="3" s="1"/>
  <c r="CB1869" i="3" s="1"/>
  <c r="BQ1344" i="3"/>
  <c r="DA274" i="3"/>
  <c r="DA280" i="3"/>
  <c r="DA296" i="3"/>
  <c r="DA302" i="3"/>
  <c r="DA630" i="3"/>
  <c r="DB630" i="3" s="1"/>
  <c r="CB630" i="3" s="1"/>
  <c r="DA1063" i="3"/>
  <c r="DA1070" i="3"/>
  <c r="DA1134" i="3"/>
  <c r="DA1217" i="3"/>
  <c r="DA1227" i="3"/>
  <c r="DA1306" i="3"/>
  <c r="DA1319" i="3"/>
  <c r="DA1343" i="3"/>
  <c r="DA1349" i="3"/>
  <c r="DA1281" i="3"/>
  <c r="DA1317" i="3"/>
  <c r="DA1330" i="3"/>
  <c r="DA1340" i="3"/>
  <c r="DA1403" i="3"/>
  <c r="DA1409" i="3"/>
  <c r="DA1464" i="3"/>
  <c r="DA1476" i="3"/>
  <c r="DA1510" i="3"/>
  <c r="DA1512" i="3"/>
  <c r="DA1544" i="3"/>
  <c r="DA1740" i="3"/>
  <c r="DA1774" i="3"/>
  <c r="DA1768" i="3"/>
  <c r="DA1802" i="3"/>
  <c r="DA1894" i="3"/>
  <c r="DA1898" i="3"/>
  <c r="DA1905" i="3"/>
  <c r="DA1909" i="3"/>
  <c r="DA1921" i="3"/>
  <c r="DA1931" i="3"/>
  <c r="DA1972" i="3"/>
  <c r="DA2042" i="3"/>
  <c r="DA2217" i="3"/>
  <c r="DA2223" i="3"/>
  <c r="DA2263" i="3"/>
  <c r="DA2364" i="3"/>
  <c r="DA2411" i="3"/>
  <c r="DA2867" i="3"/>
  <c r="DA2886" i="3"/>
  <c r="DA2917" i="3"/>
  <c r="DA2923" i="3"/>
  <c r="DA2928" i="3"/>
  <c r="DA2930" i="3"/>
  <c r="DA2945" i="3"/>
  <c r="DA3079" i="3"/>
  <c r="DB3079" i="3" s="1"/>
  <c r="CB3079" i="3" s="1"/>
  <c r="DA3087" i="3"/>
  <c r="DB3087" i="3" s="1"/>
  <c r="CB3087" i="3" s="1"/>
  <c r="DA3094" i="3"/>
  <c r="DB3094" i="3" s="1"/>
  <c r="CB3094" i="3" s="1"/>
  <c r="DA3164" i="3"/>
  <c r="DB3164" i="3" s="1"/>
  <c r="CB3164" i="3" s="1"/>
  <c r="DA3175" i="3"/>
  <c r="DB3175" i="3" s="1"/>
  <c r="CB3175" i="3" s="1"/>
  <c r="DA3179" i="3"/>
  <c r="DB3179" i="3" s="1"/>
  <c r="CB3179" i="3" s="1"/>
  <c r="DA3305" i="3"/>
  <c r="DA243" i="3"/>
  <c r="DA353" i="3"/>
  <c r="DB353" i="3" s="1"/>
  <c r="CB353" i="3" s="1"/>
  <c r="DA790" i="3"/>
  <c r="DB790" i="3" s="1"/>
  <c r="CB790" i="3" s="1"/>
  <c r="DA993" i="3"/>
  <c r="DB993" i="3" s="1"/>
  <c r="CB993" i="3" s="1"/>
  <c r="DA929" i="3"/>
  <c r="DA984" i="3"/>
  <c r="DB984" i="3" s="1"/>
  <c r="CB984" i="3" s="1"/>
  <c r="DA992" i="3"/>
  <c r="DB992" i="3" s="1"/>
  <c r="CB992" i="3" s="1"/>
  <c r="DA1028" i="3"/>
  <c r="DA1034" i="3"/>
  <c r="DA1038" i="3"/>
  <c r="DA1566" i="3"/>
  <c r="DA1568" i="3"/>
  <c r="DA1950" i="3"/>
  <c r="DA1890" i="3"/>
  <c r="DA1906" i="3"/>
  <c r="DA1956" i="3"/>
  <c r="DA1722" i="3"/>
  <c r="DA1714" i="3"/>
  <c r="DA1717" i="3"/>
  <c r="DA2076" i="3"/>
  <c r="DA2117" i="3"/>
  <c r="DA2150" i="3"/>
  <c r="DA2151" i="3"/>
  <c r="DA2154" i="3"/>
  <c r="DA2159" i="3"/>
  <c r="DA2164" i="3"/>
  <c r="DA2180" i="3"/>
  <c r="DB2180" i="3" s="1"/>
  <c r="CB2180" i="3" s="1"/>
  <c r="DA2192" i="3"/>
  <c r="DB2192" i="3" s="1"/>
  <c r="CB2192" i="3" s="1"/>
  <c r="DA2200" i="3"/>
  <c r="DB2200" i="3" s="1"/>
  <c r="CB2200" i="3" s="1"/>
  <c r="DA2249" i="3"/>
  <c r="DA2269" i="3"/>
  <c r="DA2289" i="3"/>
  <c r="DA2291" i="3"/>
  <c r="DA2298" i="3"/>
  <c r="DA2301" i="3"/>
  <c r="DA2472" i="3"/>
  <c r="DA2535" i="3"/>
  <c r="DB2535" i="3" s="1"/>
  <c r="CB2535" i="3" s="1"/>
  <c r="DA2539" i="3"/>
  <c r="DB2539" i="3" s="1"/>
  <c r="CB2539" i="3" s="1"/>
  <c r="DA2548" i="3"/>
  <c r="DB2548" i="3" s="1"/>
  <c r="CB2548" i="3" s="1"/>
  <c r="DA2599" i="3"/>
  <c r="DA2757" i="3"/>
  <c r="DA2809" i="3"/>
  <c r="DA2813" i="3"/>
  <c r="DA2829" i="3"/>
  <c r="DA2984" i="3"/>
  <c r="DA3277" i="3"/>
  <c r="DA3537" i="3"/>
  <c r="DA3547" i="3"/>
  <c r="DA3553" i="3"/>
  <c r="DA3597" i="3"/>
  <c r="DA3607" i="3"/>
  <c r="DA201" i="3"/>
  <c r="DA182" i="3"/>
  <c r="DA123" i="3"/>
  <c r="DB123" i="3" s="1"/>
  <c r="CB123" i="3" s="1"/>
  <c r="DA946" i="3"/>
  <c r="DA1008" i="3"/>
  <c r="DA1277" i="3"/>
  <c r="DA2270" i="3"/>
  <c r="DA2816" i="3"/>
  <c r="DA3554" i="3"/>
  <c r="DA3570" i="3"/>
  <c r="DA3582" i="3"/>
  <c r="DA3598" i="3"/>
  <c r="DA3606" i="3"/>
  <c r="DA319" i="3"/>
  <c r="DB319" i="3" s="1"/>
  <c r="CB319" i="3" s="1"/>
  <c r="AW2811" i="3"/>
  <c r="BO2987" i="3"/>
  <c r="BO2988" i="3" s="1"/>
  <c r="BO2990" i="3" s="1"/>
  <c r="BP3393" i="3"/>
  <c r="BP3421" i="3"/>
  <c r="DA2936" i="3"/>
  <c r="DA945" i="3"/>
  <c r="DA1229" i="3"/>
  <c r="BN2097" i="3"/>
  <c r="AR2987" i="3"/>
  <c r="AR2988" i="3" s="1"/>
  <c r="AR2990" i="3" s="1"/>
  <c r="DA188" i="3"/>
  <c r="DA192" i="3"/>
  <c r="DA286" i="3"/>
  <c r="DA363" i="3"/>
  <c r="DB363" i="3" s="1"/>
  <c r="CB363" i="3" s="1"/>
  <c r="DA784" i="3"/>
  <c r="DB784" i="3" s="1"/>
  <c r="CB784" i="3" s="1"/>
  <c r="DA1046" i="3"/>
  <c r="DA1048" i="3"/>
  <c r="DA1100" i="3"/>
  <c r="DA1120" i="3"/>
  <c r="DA1149" i="3"/>
  <c r="DA1223" i="3"/>
  <c r="DA1257" i="3"/>
  <c r="DA1261" i="3"/>
  <c r="DA1263" i="3"/>
  <c r="DA1342" i="3"/>
  <c r="DA1360" i="3"/>
  <c r="DA1265" i="3"/>
  <c r="DA1732" i="3"/>
  <c r="DA1734" i="3"/>
  <c r="DA1736" i="3"/>
  <c r="DA1738" i="3"/>
  <c r="DA1776" i="3"/>
  <c r="DA1900" i="3"/>
  <c r="DA1933" i="3"/>
  <c r="DA1968" i="3"/>
  <c r="DA2219" i="3"/>
  <c r="DA2221" i="3"/>
  <c r="DA2225" i="3"/>
  <c r="DA2384" i="3"/>
  <c r="DA2424" i="3"/>
  <c r="DA2921" i="3"/>
  <c r="DA3189" i="3"/>
  <c r="DB3189" i="3" s="1"/>
  <c r="CB3189" i="3" s="1"/>
  <c r="DA3197" i="3"/>
  <c r="DB3197" i="3" s="1"/>
  <c r="CB3197" i="3" s="1"/>
  <c r="DA245" i="3"/>
  <c r="DA983" i="3"/>
  <c r="DB983" i="3" s="1"/>
  <c r="CB983" i="3" s="1"/>
  <c r="DA987" i="3"/>
  <c r="DB987" i="3" s="1"/>
  <c r="CB987" i="3" s="1"/>
  <c r="DA991" i="3"/>
  <c r="DB991" i="3" s="1"/>
  <c r="CB991" i="3" s="1"/>
  <c r="DA995" i="3"/>
  <c r="DB995" i="3" s="1"/>
  <c r="CB995" i="3" s="1"/>
  <c r="DA1268" i="3"/>
  <c r="DA1300" i="3"/>
  <c r="DA1301" i="3"/>
  <c r="DA1002" i="3"/>
  <c r="DA1032" i="3"/>
  <c r="DA1040" i="3"/>
  <c r="DA1044" i="3"/>
  <c r="DA1570" i="3"/>
  <c r="DA1952" i="3"/>
  <c r="DA1724" i="3"/>
  <c r="DA1716" i="3"/>
  <c r="DA1723" i="3"/>
  <c r="DA2091" i="3"/>
  <c r="DA2084" i="3"/>
  <c r="DA2097" i="3"/>
  <c r="DA2119" i="3"/>
  <c r="DA2155" i="3"/>
  <c r="DA2157" i="3"/>
  <c r="DA2158" i="3"/>
  <c r="DA2161" i="3"/>
  <c r="DA2163" i="3"/>
  <c r="DA2167" i="3"/>
  <c r="DA2198" i="3"/>
  <c r="DB2198" i="3" s="1"/>
  <c r="CB2198" i="3" s="1"/>
  <c r="DA2247" i="3"/>
  <c r="DA2261" i="3"/>
  <c r="DA2302" i="3"/>
  <c r="DA2271" i="3"/>
  <c r="DA2293" i="3"/>
  <c r="DA2303" i="3"/>
  <c r="DA2468" i="3"/>
  <c r="DA2521" i="3"/>
  <c r="DB2521" i="3" s="1"/>
  <c r="CB2521" i="3" s="1"/>
  <c r="DA2525" i="3"/>
  <c r="DB2525" i="3" s="1"/>
  <c r="CB2525" i="3" s="1"/>
  <c r="DA2537" i="3"/>
  <c r="DB2537" i="3" s="1"/>
  <c r="CB2537" i="3" s="1"/>
  <c r="DA2546" i="3"/>
  <c r="DB2546" i="3" s="1"/>
  <c r="CB2546" i="3" s="1"/>
  <c r="DA2550" i="3"/>
  <c r="DB2550" i="3" s="1"/>
  <c r="CB2550" i="3" s="1"/>
  <c r="DA2586" i="3"/>
  <c r="DA2691" i="3"/>
  <c r="DA2893" i="3"/>
  <c r="DA3321" i="3"/>
  <c r="DA3551" i="3"/>
  <c r="DA3557" i="3"/>
  <c r="DA3561" i="3"/>
  <c r="DA3579" i="3"/>
  <c r="DA3589" i="3"/>
  <c r="DA3603" i="3"/>
  <c r="DA244" i="3"/>
  <c r="DA270" i="3"/>
  <c r="DA272" i="3"/>
  <c r="DA279" i="3"/>
  <c r="DA283" i="3"/>
  <c r="DA266" i="3"/>
  <c r="DA930" i="3"/>
  <c r="DA938" i="3"/>
  <c r="DA948" i="3"/>
  <c r="DA1006" i="3"/>
  <c r="DA1010" i="3"/>
  <c r="DA1220" i="3"/>
  <c r="DA1283" i="3"/>
  <c r="DA1339" i="3"/>
  <c r="DA1473" i="3"/>
  <c r="DA1503" i="3"/>
  <c r="DA1731" i="3"/>
  <c r="DA1739" i="3"/>
  <c r="DA1755" i="3"/>
  <c r="DA1763" i="3"/>
  <c r="DA2268" i="3"/>
  <c r="DA2272" i="3"/>
  <c r="DA2764" i="3"/>
  <c r="DA2854" i="3"/>
  <c r="DA2916" i="3"/>
  <c r="DA2922" i="3"/>
  <c r="DA2954" i="3"/>
  <c r="DA3210" i="3"/>
  <c r="DB3210" i="3" s="1"/>
  <c r="CB3210" i="3" s="1"/>
  <c r="DA3448" i="3"/>
  <c r="DA3536" i="3"/>
  <c r="DA3548" i="3"/>
  <c r="DA3552" i="3"/>
  <c r="DA3556" i="3"/>
  <c r="DA3560" i="3"/>
  <c r="DA3564" i="3"/>
  <c r="DA3568" i="3"/>
  <c r="DA3572" i="3"/>
  <c r="DA3580" i="3"/>
  <c r="DA3584" i="3"/>
  <c r="DA3619" i="3"/>
  <c r="DA2986" i="3"/>
  <c r="DA1061" i="3"/>
  <c r="AV295" i="3"/>
  <c r="BG295" i="3" s="1"/>
  <c r="AV294" i="3"/>
  <c r="BG294" i="3" s="1"/>
  <c r="AV297" i="3"/>
  <c r="BG297" i="3" s="1"/>
  <c r="AV301" i="3"/>
  <c r="BG301" i="3" s="1"/>
  <c r="AV296" i="3"/>
  <c r="BG296" i="3" s="1"/>
  <c r="AB2932" i="3"/>
  <c r="AB2928" i="3"/>
  <c r="DA1964" i="3"/>
  <c r="CW1965" i="3"/>
  <c r="DA1965" i="3" s="1"/>
  <c r="CW826" i="3"/>
  <c r="DA826" i="3" s="1"/>
  <c r="DB826" i="3" s="1"/>
  <c r="CB826" i="3" s="1"/>
  <c r="CW3371" i="3"/>
  <c r="DA3371" i="3" s="1"/>
  <c r="CW473" i="3"/>
  <c r="DA473" i="3" s="1"/>
  <c r="DB473" i="3" s="1"/>
  <c r="CB473" i="3" s="1"/>
  <c r="DA1166" i="3"/>
  <c r="DA1355" i="3"/>
  <c r="DA1759" i="3"/>
  <c r="DA2082" i="3"/>
  <c r="DA2176" i="3"/>
  <c r="DB2176" i="3" s="1"/>
  <c r="CB2176" i="3" s="1"/>
  <c r="DA2370" i="3"/>
  <c r="DA2760" i="3"/>
  <c r="DA2978" i="3"/>
  <c r="DA206" i="3"/>
  <c r="DA1685" i="3"/>
  <c r="CW759" i="3"/>
  <c r="DA759" i="3" s="1"/>
  <c r="DB759" i="3" s="1"/>
  <c r="CB759" i="3" s="1"/>
  <c r="CW451" i="3"/>
  <c r="DA451" i="3" s="1"/>
  <c r="DB451" i="3" s="1"/>
  <c r="CB451" i="3" s="1"/>
  <c r="CX1080" i="3"/>
  <c r="DA1080" i="3" s="1"/>
  <c r="CX1747" i="3"/>
  <c r="DA1747" i="3" s="1"/>
  <c r="CW2008" i="3"/>
  <c r="DA2008" i="3" s="1"/>
  <c r="CW3398" i="3"/>
  <c r="DA3398" i="3" s="1"/>
  <c r="AV300" i="3"/>
  <c r="BG300" i="3" s="1"/>
  <c r="AV293" i="3"/>
  <c r="BG293" i="3" s="1"/>
  <c r="BR3563" i="3"/>
  <c r="BR3567" i="3" s="1"/>
  <c r="BR3616" i="3"/>
  <c r="DA218" i="3"/>
  <c r="DA1331" i="3"/>
  <c r="DA1348" i="3"/>
  <c r="DA1554" i="3"/>
  <c r="DA1304" i="3"/>
  <c r="DA1689" i="3"/>
  <c r="BS1253" i="3"/>
  <c r="BS1245" i="3"/>
  <c r="CW628" i="3"/>
  <c r="DA628" i="3" s="1"/>
  <c r="DB628" i="3" s="1"/>
  <c r="CB628" i="3" s="1"/>
  <c r="CW3400" i="3"/>
  <c r="DA3400" i="3" s="1"/>
  <c r="DA1328" i="3"/>
  <c r="DA1771" i="3"/>
  <c r="DA1778" i="3"/>
  <c r="DA1967" i="3"/>
  <c r="DA2310" i="3"/>
  <c r="DA2374" i="3"/>
  <c r="DA2422" i="3"/>
  <c r="DA2803" i="3"/>
  <c r="DB2803" i="3" s="1"/>
  <c r="CB2803" i="3" s="1"/>
  <c r="DA2818" i="3"/>
  <c r="DA3137" i="3"/>
  <c r="DB3137" i="3" s="1"/>
  <c r="CB3137" i="3" s="1"/>
  <c r="DA3592" i="3"/>
  <c r="CW3395" i="3"/>
  <c r="DA3395" i="3" s="1"/>
  <c r="CW3368" i="3"/>
  <c r="DA3368" i="3" s="1"/>
  <c r="CW540" i="3"/>
  <c r="DA540" i="3" s="1"/>
  <c r="DB540" i="3" s="1"/>
  <c r="CB540" i="3" s="1"/>
  <c r="CX954" i="3"/>
  <c r="DA954" i="3" s="1"/>
  <c r="CX1593" i="3"/>
  <c r="DA1593" i="3" s="1"/>
  <c r="CX1601" i="3"/>
  <c r="DA1601" i="3" s="1"/>
  <c r="CW3397" i="3"/>
  <c r="DA3397" i="3" s="1"/>
  <c r="CW605" i="3"/>
  <c r="DA605" i="3" s="1"/>
  <c r="DB605" i="3" s="1"/>
  <c r="CB605" i="3" s="1"/>
  <c r="AK278" i="3"/>
  <c r="AW278" i="3" s="1"/>
  <c r="AW2987" i="3"/>
  <c r="AW2988" i="3" s="1"/>
  <c r="BN1358" i="3"/>
  <c r="BP1554" i="3"/>
  <c r="BM1578" i="3"/>
  <c r="BM1587" i="3"/>
  <c r="DA1224" i="3"/>
  <c r="DA1228" i="3"/>
  <c r="DA1309" i="3"/>
  <c r="DA1351" i="3"/>
  <c r="DA1785" i="3"/>
  <c r="DA1971" i="3"/>
  <c r="DA1975" i="3"/>
  <c r="DA2845" i="3"/>
  <c r="DA349" i="3"/>
  <c r="DB349" i="3" s="1"/>
  <c r="CB349" i="3" s="1"/>
  <c r="DA355" i="3"/>
  <c r="DB355" i="3" s="1"/>
  <c r="CB355" i="3" s="1"/>
  <c r="DA351" i="3"/>
  <c r="DB351" i="3" s="1"/>
  <c r="CB351" i="3" s="1"/>
  <c r="DA347" i="3"/>
  <c r="DB347" i="3" s="1"/>
  <c r="CB347" i="3" s="1"/>
  <c r="DA1712" i="3"/>
  <c r="DA2078" i="3"/>
  <c r="DA2086" i="3"/>
  <c r="DA2194" i="3"/>
  <c r="DB2194" i="3" s="1"/>
  <c r="CB2194" i="3" s="1"/>
  <c r="DA2296" i="3"/>
  <c r="DA2276" i="3"/>
  <c r="DA2316" i="3"/>
  <c r="DA2322" i="3"/>
  <c r="DA2392" i="3"/>
  <c r="DA2730" i="3"/>
  <c r="DA2810" i="3"/>
  <c r="DA2847" i="3"/>
  <c r="DA2851" i="3"/>
  <c r="DA3201" i="3"/>
  <c r="DB3201" i="3" s="1"/>
  <c r="CB3201" i="3" s="1"/>
  <c r="DA3135" i="3"/>
  <c r="DB3135" i="3" s="1"/>
  <c r="CB3135" i="3" s="1"/>
  <c r="DA3600" i="3"/>
  <c r="DA204" i="3"/>
  <c r="DA242" i="3"/>
  <c r="DA1014" i="3"/>
  <c r="DA1017" i="3"/>
  <c r="DA1256" i="3"/>
  <c r="DA1699" i="3"/>
  <c r="DA2040" i="3"/>
  <c r="BC949" i="3"/>
  <c r="BS1082" i="3"/>
  <c r="BS1251" i="3"/>
  <c r="DA3287" i="3"/>
  <c r="DA222" i="3"/>
  <c r="CW393" i="3"/>
  <c r="DA393" i="3" s="1"/>
  <c r="DB393" i="3" s="1"/>
  <c r="CB393" i="3" s="1"/>
  <c r="CW561" i="3"/>
  <c r="DA561" i="3" s="1"/>
  <c r="DB561" i="3" s="1"/>
  <c r="CB561" i="3" s="1"/>
  <c r="DA1121" i="3"/>
  <c r="DA1109" i="3"/>
  <c r="DA1139" i="3"/>
  <c r="DA1102" i="3"/>
  <c r="DA1298" i="3"/>
  <c r="DA1336" i="3"/>
  <c r="DA1354" i="3"/>
  <c r="DA1397" i="3"/>
  <c r="DA1691" i="3"/>
  <c r="DA2332" i="3"/>
  <c r="DA2775" i="3"/>
  <c r="DA1269" i="3"/>
  <c r="DA1273" i="3"/>
  <c r="DA1289" i="3"/>
  <c r="DA980" i="3"/>
  <c r="DB980" i="3" s="1"/>
  <c r="CB980" i="3" s="1"/>
  <c r="DA1941" i="3"/>
  <c r="DA2479" i="3"/>
  <c r="DB2479" i="3" s="1"/>
  <c r="CB2479" i="3" s="1"/>
  <c r="DA2688" i="3"/>
  <c r="DA3538" i="3"/>
  <c r="DA254" i="3"/>
  <c r="BP1739" i="3"/>
  <c r="DA281" i="3"/>
  <c r="DA294" i="3"/>
  <c r="DA298" i="3"/>
  <c r="DA299" i="3"/>
  <c r="DA1108" i="3"/>
  <c r="DA1123" i="3"/>
  <c r="DA1216" i="3"/>
  <c r="DA1262" i="3"/>
  <c r="DA1275" i="3"/>
  <c r="DA1279" i="3"/>
  <c r="DA1350" i="3"/>
  <c r="DA1353" i="3"/>
  <c r="DA1258" i="3"/>
  <c r="DA1282" i="3"/>
  <c r="DA1284" i="3"/>
  <c r="DA1295" i="3"/>
  <c r="DA1334" i="3"/>
  <c r="DA1394" i="3"/>
  <c r="DA1398" i="3"/>
  <c r="DA1406" i="3"/>
  <c r="DA1413" i="3"/>
  <c r="DA1475" i="3"/>
  <c r="DA1511" i="3"/>
  <c r="DA1513" i="3"/>
  <c r="DA1515" i="3"/>
  <c r="DA2336" i="3"/>
  <c r="DA2355" i="3"/>
  <c r="DA1647" i="3"/>
  <c r="DA1655" i="3"/>
  <c r="DA1659" i="3"/>
  <c r="DA2905" i="3"/>
  <c r="DA216" i="3"/>
  <c r="DA1888" i="3"/>
  <c r="DA1892" i="3"/>
  <c r="DA1904" i="3"/>
  <c r="DA1779" i="3"/>
  <c r="DA1910" i="3"/>
  <c r="DA1912" i="3"/>
  <c r="DA1919" i="3"/>
  <c r="DA2338" i="3"/>
  <c r="DA2344" i="3"/>
  <c r="DA2642" i="3"/>
  <c r="DA2644" i="3"/>
  <c r="DA2646" i="3"/>
  <c r="DA2826" i="3"/>
  <c r="DA3108" i="3"/>
  <c r="DB3108" i="3" s="1"/>
  <c r="CB3108" i="3" s="1"/>
  <c r="DA3150" i="3"/>
  <c r="DB3150" i="3" s="1"/>
  <c r="CB3150" i="3" s="1"/>
  <c r="DA3165" i="3"/>
  <c r="DB3165" i="3" s="1"/>
  <c r="CB3165" i="3" s="1"/>
  <c r="DA3304" i="3"/>
  <c r="DA3331" i="3"/>
  <c r="DA348" i="3"/>
  <c r="DB348" i="3" s="1"/>
  <c r="CB348" i="3" s="1"/>
  <c r="DA720" i="3"/>
  <c r="DB720" i="3" s="1"/>
  <c r="CB720" i="3" s="1"/>
  <c r="DA1111" i="3"/>
  <c r="DA1116" i="3"/>
  <c r="DA1144" i="3"/>
  <c r="DA1146" i="3"/>
  <c r="DA1161" i="3"/>
  <c r="DA1290" i="3"/>
  <c r="DA1674" i="3"/>
  <c r="DA909" i="3"/>
  <c r="DA913" i="3"/>
  <c r="DA936" i="3"/>
  <c r="DA943" i="3"/>
  <c r="DA978" i="3"/>
  <c r="DB978" i="3" s="1"/>
  <c r="CB978" i="3" s="1"/>
  <c r="DA1210" i="3"/>
  <c r="DA1616" i="3"/>
  <c r="DA1620" i="3"/>
  <c r="DA1623" i="3"/>
  <c r="DA1631" i="3"/>
  <c r="DA1926" i="3"/>
  <c r="DA1937" i="3"/>
  <c r="DA1721" i="3"/>
  <c r="DA2408" i="3"/>
  <c r="DA2421" i="3"/>
  <c r="DA2443" i="3"/>
  <c r="DA2462" i="3"/>
  <c r="DA2466" i="3"/>
  <c r="DA2536" i="3"/>
  <c r="DB2536" i="3" s="1"/>
  <c r="CB2536" i="3" s="1"/>
  <c r="DA2540" i="3"/>
  <c r="DB2540" i="3" s="1"/>
  <c r="CB2540" i="3" s="1"/>
  <c r="DA2549" i="3"/>
  <c r="DB2549" i="3" s="1"/>
  <c r="CB2549" i="3" s="1"/>
  <c r="DA2575" i="3"/>
  <c r="DA2638" i="3"/>
  <c r="DA2685" i="3"/>
  <c r="DA2693" i="3"/>
  <c r="DA2706" i="3"/>
  <c r="DA2709" i="3"/>
  <c r="DA2714" i="3"/>
  <c r="DA2770" i="3"/>
  <c r="DA2825" i="3"/>
  <c r="DA2850" i="3"/>
  <c r="DA2858" i="3"/>
  <c r="DA2989" i="3"/>
  <c r="DA3138" i="3"/>
  <c r="DB3138" i="3" s="1"/>
  <c r="CB3138" i="3" s="1"/>
  <c r="DA3220" i="3"/>
  <c r="DB3220" i="3" s="1"/>
  <c r="CB3220" i="3" s="1"/>
  <c r="DA3224" i="3"/>
  <c r="DB3224" i="3" s="1"/>
  <c r="CB3224" i="3" s="1"/>
  <c r="DA3228" i="3"/>
  <c r="DB3228" i="3" s="1"/>
  <c r="CB3228" i="3" s="1"/>
  <c r="DA3259" i="3"/>
  <c r="DA3263" i="3"/>
  <c r="DA3282" i="3"/>
  <c r="DA3286" i="3"/>
  <c r="DA3303" i="3"/>
  <c r="DA3307" i="3"/>
  <c r="DA3311" i="3"/>
  <c r="DA3315" i="3"/>
  <c r="DA3330" i="3"/>
  <c r="DA3334" i="3"/>
  <c r="DA3289" i="3"/>
  <c r="DA3291" i="3"/>
  <c r="DA3293" i="3"/>
  <c r="DA3298" i="3"/>
  <c r="DA3319" i="3"/>
  <c r="DA3608" i="3"/>
  <c r="DA232" i="3"/>
  <c r="DA234" i="3"/>
  <c r="DA239" i="3"/>
  <c r="DA250" i="3"/>
  <c r="DA252" i="3"/>
  <c r="DA257" i="3"/>
  <c r="DA262" i="3"/>
  <c r="DA264" i="3"/>
  <c r="DA2405" i="3"/>
  <c r="DA2432" i="3"/>
  <c r="DA2452" i="3"/>
  <c r="DA203" i="3"/>
  <c r="DA2723" i="3"/>
  <c r="DA1812" i="3"/>
  <c r="DB1812" i="3" s="1"/>
  <c r="CB1812" i="3" s="1"/>
  <c r="DA1820" i="3"/>
  <c r="DB1820" i="3" s="1"/>
  <c r="CB1820" i="3" s="1"/>
  <c r="DA1824" i="3"/>
  <c r="DB1824" i="3" s="1"/>
  <c r="CB1824" i="3" s="1"/>
  <c r="DA1828" i="3"/>
  <c r="DB1828" i="3" s="1"/>
  <c r="CB1828" i="3" s="1"/>
  <c r="DA1840" i="3"/>
  <c r="DB1840" i="3" s="1"/>
  <c r="CB1840" i="3" s="1"/>
  <c r="DA1844" i="3"/>
  <c r="DB1844" i="3" s="1"/>
  <c r="CB1844" i="3" s="1"/>
  <c r="DA1852" i="3"/>
  <c r="DB1852" i="3" s="1"/>
  <c r="CB1852" i="3" s="1"/>
  <c r="DA1665" i="3"/>
  <c r="DA1735" i="3"/>
  <c r="DA1737" i="3"/>
  <c r="DA1753" i="3"/>
  <c r="DA1765" i="3"/>
  <c r="DA1783" i="3"/>
  <c r="DA1896" i="3"/>
  <c r="DA2114" i="3"/>
  <c r="DA2169" i="3"/>
  <c r="DA2218" i="3"/>
  <c r="DA2224" i="3"/>
  <c r="DA2437" i="3"/>
  <c r="DA2439" i="3"/>
  <c r="DA2444" i="3"/>
  <c r="DA2771" i="3"/>
  <c r="DA2821" i="3"/>
  <c r="DA2824" i="3"/>
  <c r="DA2831" i="3"/>
  <c r="DA2833" i="3"/>
  <c r="DA2920" i="3"/>
  <c r="DA2926" i="3"/>
  <c r="DA2933" i="3"/>
  <c r="DA2944" i="3"/>
  <c r="DA522" i="3"/>
  <c r="DB522" i="3" s="1"/>
  <c r="CB522" i="3" s="1"/>
  <c r="DA718" i="3"/>
  <c r="DB718" i="3" s="1"/>
  <c r="CB718" i="3" s="1"/>
  <c r="CW672" i="3"/>
  <c r="DA672" i="3" s="1"/>
  <c r="DB672" i="3" s="1"/>
  <c r="CB672" i="3" s="1"/>
  <c r="DA796" i="3"/>
  <c r="DB796" i="3" s="1"/>
  <c r="CB796" i="3" s="1"/>
  <c r="DA1299" i="3"/>
  <c r="DA1302" i="3"/>
  <c r="DA1305" i="3"/>
  <c r="DA1311" i="3"/>
  <c r="DA1313" i="3"/>
  <c r="DA1324" i="3"/>
  <c r="DA1649" i="3"/>
  <c r="DA1676" i="3"/>
  <c r="DA1687" i="3"/>
  <c r="DA934" i="3"/>
  <c r="DA1007" i="3"/>
  <c r="DA1574" i="3"/>
  <c r="DA1639" i="3"/>
  <c r="DA1650" i="3"/>
  <c r="DA1654" i="3"/>
  <c r="DA1658" i="3"/>
  <c r="DA1539" i="3"/>
  <c r="DA1527" i="3"/>
  <c r="DA1798" i="3"/>
  <c r="DA2095" i="3"/>
  <c r="DA2174" i="3"/>
  <c r="DB2174" i="3" s="1"/>
  <c r="CB2174" i="3" s="1"/>
  <c r="DA2309" i="3"/>
  <c r="DA2313" i="3"/>
  <c r="DA2337" i="3"/>
  <c r="DA2396" i="3"/>
  <c r="DA2353" i="3"/>
  <c r="DA2349" i="3"/>
  <c r="DA2369" i="3"/>
  <c r="DA2371" i="3"/>
  <c r="DA2380" i="3"/>
  <c r="DA2383" i="3"/>
  <c r="DA2388" i="3"/>
  <c r="DA2464" i="3"/>
  <c r="DA2610" i="3"/>
  <c r="DA2593" i="3"/>
  <c r="DA2698" i="3"/>
  <c r="DA2711" i="3"/>
  <c r="DA2732" i="3"/>
  <c r="DA2703" i="3"/>
  <c r="DA2742" i="3"/>
  <c r="DA2806" i="3"/>
  <c r="DA2814" i="3"/>
  <c r="DA2830" i="3"/>
  <c r="DA2980" i="3"/>
  <c r="DA3143" i="3"/>
  <c r="DB3143" i="3" s="1"/>
  <c r="CB3143" i="3" s="1"/>
  <c r="DA3198" i="3"/>
  <c r="DB3198" i="3" s="1"/>
  <c r="CB3198" i="3" s="1"/>
  <c r="DA3576" i="3"/>
  <c r="DA3588" i="3"/>
  <c r="DA3604" i="3"/>
  <c r="DA213" i="3"/>
  <c r="DA282" i="3"/>
  <c r="DA240" i="3"/>
  <c r="DA1388" i="3"/>
  <c r="DA1396" i="3"/>
  <c r="DA1400" i="3"/>
  <c r="DA1581" i="3"/>
  <c r="DA1641" i="3"/>
  <c r="DA2864" i="3"/>
  <c r="DA2915" i="3"/>
  <c r="DA2990" i="3"/>
  <c r="DA3567" i="3"/>
  <c r="DA3583" i="3"/>
  <c r="DA1479" i="3"/>
  <c r="DA307" i="3"/>
  <c r="DB307" i="3" s="1"/>
  <c r="CB307" i="3" s="1"/>
  <c r="DA322" i="3"/>
  <c r="DB322" i="3" s="1"/>
  <c r="CB322" i="3" s="1"/>
  <c r="DA326" i="3"/>
  <c r="DB326" i="3" s="1"/>
  <c r="CB326" i="3" s="1"/>
  <c r="DA1814" i="3"/>
  <c r="DB1814" i="3" s="1"/>
  <c r="CB1814" i="3" s="1"/>
  <c r="DA1818" i="3"/>
  <c r="DB1818" i="3" s="1"/>
  <c r="CB1818" i="3" s="1"/>
  <c r="DA1826" i="3"/>
  <c r="DB1826" i="3" s="1"/>
  <c r="CB1826" i="3" s="1"/>
  <c r="DA1830" i="3"/>
  <c r="DB1830" i="3" s="1"/>
  <c r="CB1830" i="3" s="1"/>
  <c r="DA1854" i="3"/>
  <c r="DB1854" i="3" s="1"/>
  <c r="CB1854" i="3" s="1"/>
  <c r="DA1878" i="3"/>
  <c r="DB1878" i="3" s="1"/>
  <c r="CB1878" i="3" s="1"/>
  <c r="CW517" i="3"/>
  <c r="DA517" i="3" s="1"/>
  <c r="DB517" i="3" s="1"/>
  <c r="CB517" i="3" s="1"/>
  <c r="DA521" i="3"/>
  <c r="DB521" i="3" s="1"/>
  <c r="CB521" i="3" s="1"/>
  <c r="DA3413" i="3"/>
  <c r="CW3422" i="3"/>
  <c r="DA3422" i="3" s="1"/>
  <c r="DA651" i="3"/>
  <c r="DB651" i="3" s="1"/>
  <c r="CB651" i="3" s="1"/>
  <c r="CW650" i="3"/>
  <c r="DA650" i="3" s="1"/>
  <c r="DB650" i="3" s="1"/>
  <c r="CB650" i="3" s="1"/>
  <c r="CW738" i="3"/>
  <c r="DA738" i="3" s="1"/>
  <c r="DB738" i="3" s="1"/>
  <c r="CB738" i="3" s="1"/>
  <c r="CW737" i="3"/>
  <c r="DA737" i="3" s="1"/>
  <c r="DB737" i="3" s="1"/>
  <c r="CB737" i="3" s="1"/>
  <c r="DA383" i="3"/>
  <c r="DB383" i="3" s="1"/>
  <c r="CB383" i="3" s="1"/>
  <c r="CW379" i="3"/>
  <c r="DA379" i="3" s="1"/>
  <c r="DB379" i="3" s="1"/>
  <c r="CB379" i="3" s="1"/>
  <c r="CW381" i="3"/>
  <c r="DA381" i="3" s="1"/>
  <c r="DB381" i="3" s="1"/>
  <c r="CB381" i="3" s="1"/>
  <c r="CW382" i="3"/>
  <c r="DA382" i="3" s="1"/>
  <c r="DB382" i="3" s="1"/>
  <c r="CB382" i="3" s="1"/>
  <c r="DA2314" i="3"/>
  <c r="CW452" i="3"/>
  <c r="DA452" i="3" s="1"/>
  <c r="DB452" i="3" s="1"/>
  <c r="CB452" i="3" s="1"/>
  <c r="CW495" i="3"/>
  <c r="DA495" i="3" s="1"/>
  <c r="DB495" i="3" s="1"/>
  <c r="CB495" i="3" s="1"/>
  <c r="CW518" i="3"/>
  <c r="DA518" i="3" s="1"/>
  <c r="DB518" i="3" s="1"/>
  <c r="CB518" i="3" s="1"/>
  <c r="CW3370" i="3"/>
  <c r="DA3370" i="3" s="1"/>
  <c r="CW693" i="3"/>
  <c r="DA693" i="3" s="1"/>
  <c r="DB693" i="3" s="1"/>
  <c r="CB693" i="3" s="1"/>
  <c r="DA169" i="3"/>
  <c r="DA564" i="3"/>
  <c r="DB564" i="3" s="1"/>
  <c r="CB564" i="3" s="1"/>
  <c r="CW606" i="3"/>
  <c r="DA606" i="3" s="1"/>
  <c r="DB606" i="3" s="1"/>
  <c r="CB606" i="3" s="1"/>
  <c r="CW803" i="3"/>
  <c r="DA803" i="3" s="1"/>
  <c r="DB803" i="3" s="1"/>
  <c r="CB803" i="3" s="1"/>
  <c r="DA677" i="3"/>
  <c r="DB677" i="3" s="1"/>
  <c r="CB677" i="3" s="1"/>
  <c r="CX1860" i="3"/>
  <c r="DA1860" i="3" s="1"/>
  <c r="DB1860" i="3" s="1"/>
  <c r="CB1860" i="3" s="1"/>
  <c r="CW357" i="3"/>
  <c r="DA357" i="3" s="1"/>
  <c r="DB357" i="3" s="1"/>
  <c r="CB357" i="3" s="1"/>
  <c r="CW671" i="3"/>
  <c r="DA671" i="3" s="1"/>
  <c r="DB671" i="3" s="1"/>
  <c r="CB671" i="3" s="1"/>
  <c r="CW627" i="3"/>
  <c r="DA627" i="3" s="1"/>
  <c r="DB627" i="3" s="1"/>
  <c r="CB627" i="3" s="1"/>
  <c r="CW539" i="3"/>
  <c r="DA539" i="3" s="1"/>
  <c r="DB539" i="3" s="1"/>
  <c r="CB539" i="3" s="1"/>
  <c r="CW430" i="3"/>
  <c r="DA430" i="3" s="1"/>
  <c r="DB430" i="3" s="1"/>
  <c r="CB430" i="3" s="1"/>
  <c r="CW429" i="3"/>
  <c r="DA429" i="3" s="1"/>
  <c r="DB429" i="3" s="1"/>
  <c r="CB429" i="3" s="1"/>
  <c r="CW3401" i="3"/>
  <c r="DA3401" i="3" s="1"/>
  <c r="CW715" i="3"/>
  <c r="DA715" i="3" s="1"/>
  <c r="DB715" i="3" s="1"/>
  <c r="CB715" i="3" s="1"/>
  <c r="CW496" i="3"/>
  <c r="DA496" i="3" s="1"/>
  <c r="DB496" i="3" s="1"/>
  <c r="CB496" i="3" s="1"/>
  <c r="CW3372" i="3"/>
  <c r="DA3372" i="3" s="1"/>
  <c r="CW3373" i="3"/>
  <c r="DA3373" i="3" s="1"/>
  <c r="CW871" i="3"/>
  <c r="DA871" i="3" s="1"/>
  <c r="DB871" i="3" s="1"/>
  <c r="CB871" i="3" s="1"/>
  <c r="CW760" i="3"/>
  <c r="DA760" i="3" s="1"/>
  <c r="DB760" i="3" s="1"/>
  <c r="CB760" i="3" s="1"/>
  <c r="BR3558" i="3"/>
  <c r="BP2649" i="3"/>
  <c r="BP2654" i="3" s="1"/>
  <c r="DA1103" i="3"/>
  <c r="DA1164" i="3"/>
  <c r="DA1264" i="3"/>
  <c r="DA1465" i="3"/>
  <c r="DA831" i="3"/>
  <c r="DB831" i="3" s="1"/>
  <c r="CB831" i="3" s="1"/>
  <c r="CW870" i="3"/>
  <c r="DA870" i="3" s="1"/>
  <c r="DB870" i="3" s="1"/>
  <c r="CB870" i="3" s="1"/>
  <c r="DA1626" i="3"/>
  <c r="DA1643" i="3"/>
  <c r="DA1666" i="3"/>
  <c r="DA1523" i="3"/>
  <c r="DA2074" i="3"/>
  <c r="DA2080" i="3"/>
  <c r="DA2178" i="3"/>
  <c r="DB2178" i="3" s="1"/>
  <c r="CB2178" i="3" s="1"/>
  <c r="DA2186" i="3"/>
  <c r="DB2186" i="3" s="1"/>
  <c r="CB2186" i="3" s="1"/>
  <c r="DA2381" i="3"/>
  <c r="DA2483" i="3"/>
  <c r="DB2483" i="3" s="1"/>
  <c r="CB2483" i="3" s="1"/>
  <c r="DA2487" i="3"/>
  <c r="DB2487" i="3" s="1"/>
  <c r="CB2487" i="3" s="1"/>
  <c r="DA2495" i="3"/>
  <c r="DB2495" i="3" s="1"/>
  <c r="CB2495" i="3" s="1"/>
  <c r="DA2499" i="3"/>
  <c r="DB2499" i="3" s="1"/>
  <c r="CB2499" i="3" s="1"/>
  <c r="DA2541" i="3"/>
  <c r="DB2541" i="3" s="1"/>
  <c r="CB2541" i="3" s="1"/>
  <c r="DA783" i="3"/>
  <c r="DB783" i="3" s="1"/>
  <c r="CB783" i="3" s="1"/>
  <c r="CW781" i="3"/>
  <c r="DA781" i="3" s="1"/>
  <c r="DB781" i="3" s="1"/>
  <c r="CB781" i="3" s="1"/>
  <c r="CW782" i="3"/>
  <c r="DA782" i="3" s="1"/>
  <c r="DB782" i="3" s="1"/>
  <c r="CB782" i="3" s="1"/>
  <c r="AK281" i="3"/>
  <c r="AW281" i="3" s="1"/>
  <c r="AK282" i="3"/>
  <c r="AW282" i="3" s="1"/>
  <c r="AK273" i="3"/>
  <c r="AW273" i="3" s="1"/>
  <c r="AK280" i="3"/>
  <c r="AW280" i="3" s="1"/>
  <c r="AK277" i="3"/>
  <c r="AW277" i="3" s="1"/>
  <c r="AK279" i="3"/>
  <c r="AW279" i="3" s="1"/>
  <c r="AK276" i="3"/>
  <c r="AW276" i="3" s="1"/>
  <c r="CW694" i="3"/>
  <c r="DA694" i="3" s="1"/>
  <c r="DB694" i="3" s="1"/>
  <c r="CB694" i="3" s="1"/>
  <c r="CW562" i="3"/>
  <c r="DA562" i="3" s="1"/>
  <c r="DB562" i="3" s="1"/>
  <c r="CB562" i="3" s="1"/>
  <c r="DA475" i="3"/>
  <c r="DB475" i="3" s="1"/>
  <c r="CB475" i="3" s="1"/>
  <c r="CW584" i="3"/>
  <c r="DA584" i="3" s="1"/>
  <c r="DB584" i="3" s="1"/>
  <c r="CB584" i="3" s="1"/>
  <c r="DA1140" i="3"/>
  <c r="DA1775" i="3"/>
  <c r="CX1847" i="3"/>
  <c r="DA1847" i="3" s="1"/>
  <c r="DB1847" i="3" s="1"/>
  <c r="CB1847" i="3" s="1"/>
  <c r="CW474" i="3"/>
  <c r="DA474" i="3" s="1"/>
  <c r="DB474" i="3" s="1"/>
  <c r="CB474" i="3" s="1"/>
  <c r="CW804" i="3"/>
  <c r="DA804" i="3" s="1"/>
  <c r="DB804" i="3" s="1"/>
  <c r="CB804" i="3" s="1"/>
  <c r="CW3444" i="3"/>
  <c r="DA3444" i="3" s="1"/>
  <c r="CW3421" i="3"/>
  <c r="DA3421" i="3" s="1"/>
  <c r="CW3369" i="3"/>
  <c r="DA3369" i="3" s="1"/>
  <c r="CW583" i="3"/>
  <c r="DA583" i="3" s="1"/>
  <c r="DB583" i="3" s="1"/>
  <c r="CB583" i="3" s="1"/>
  <c r="CW3394" i="3"/>
  <c r="DA3394" i="3" s="1"/>
  <c r="CW3393" i="3"/>
  <c r="DA3393" i="3" s="1"/>
  <c r="CW3396" i="3"/>
  <c r="DA3396" i="3" s="1"/>
  <c r="CW716" i="3"/>
  <c r="DA716" i="3" s="1"/>
  <c r="DB716" i="3" s="1"/>
  <c r="CB716" i="3" s="1"/>
  <c r="DA2713" i="3"/>
  <c r="DA2717" i="3"/>
  <c r="DA2788" i="3"/>
  <c r="DB2788" i="3" s="1"/>
  <c r="CB2788" i="3" s="1"/>
  <c r="DA1000" i="3"/>
  <c r="DA1278" i="3"/>
  <c r="DA1133" i="3"/>
  <c r="DA1215" i="3"/>
  <c r="DA1287" i="3"/>
  <c r="DA1469" i="3"/>
  <c r="DA1477" i="3"/>
  <c r="DA1766" i="3"/>
  <c r="DA1803" i="3"/>
  <c r="DA1970" i="3"/>
  <c r="DA2919" i="3"/>
  <c r="DA2946" i="3"/>
  <c r="DA1314" i="3"/>
  <c r="DA1364" i="3"/>
  <c r="DA1661" i="3"/>
  <c r="DA1347" i="3"/>
  <c r="DA1628" i="3"/>
  <c r="DA1525" i="3"/>
  <c r="DA1945" i="3"/>
  <c r="DA1947" i="3"/>
  <c r="DA2465" i="3"/>
  <c r="DA2881" i="3"/>
  <c r="DA3186" i="3"/>
  <c r="DB3186" i="3" s="1"/>
  <c r="CB3186" i="3" s="1"/>
  <c r="DA3120" i="3"/>
  <c r="DB3120" i="3" s="1"/>
  <c r="CB3120" i="3" s="1"/>
  <c r="DA3124" i="3"/>
  <c r="DB3124" i="3" s="1"/>
  <c r="CB3124" i="3" s="1"/>
  <c r="BB2928" i="3"/>
  <c r="DA1379" i="3"/>
  <c r="DA1728" i="3"/>
  <c r="DA1772" i="3"/>
  <c r="DA1132" i="3"/>
  <c r="DA2409" i="3"/>
  <c r="DA3043" i="3"/>
  <c r="DB3043" i="3" s="1"/>
  <c r="CB3043" i="3" s="1"/>
  <c r="DA3089" i="3"/>
  <c r="DB3089" i="3" s="1"/>
  <c r="CB3089" i="3" s="1"/>
  <c r="DA3097" i="3"/>
  <c r="DB3097" i="3" s="1"/>
  <c r="CB3097" i="3" s="1"/>
  <c r="DA3104" i="3"/>
  <c r="DB3104" i="3" s="1"/>
  <c r="CB3104" i="3" s="1"/>
  <c r="DA3112" i="3"/>
  <c r="DB3112" i="3" s="1"/>
  <c r="CB3112" i="3" s="1"/>
  <c r="DA3020" i="3"/>
  <c r="DB3020" i="3" s="1"/>
  <c r="CB3020" i="3" s="1"/>
  <c r="DA3024" i="3"/>
  <c r="DB3024" i="3" s="1"/>
  <c r="CB3024" i="3" s="1"/>
  <c r="DA3028" i="3"/>
  <c r="DB3028" i="3" s="1"/>
  <c r="CB3028" i="3" s="1"/>
  <c r="DA3036" i="3"/>
  <c r="DB3036" i="3" s="1"/>
  <c r="CB3036" i="3" s="1"/>
  <c r="DA1864" i="3"/>
  <c r="DB1864" i="3" s="1"/>
  <c r="CB1864" i="3" s="1"/>
  <c r="DA1868" i="3"/>
  <c r="DB1868" i="3" s="1"/>
  <c r="CB1868" i="3" s="1"/>
  <c r="DA2427" i="3"/>
  <c r="DA2486" i="3"/>
  <c r="DB2486" i="3" s="1"/>
  <c r="CB2486" i="3" s="1"/>
  <c r="DA2494" i="3"/>
  <c r="DB2494" i="3" s="1"/>
  <c r="CB2494" i="3" s="1"/>
  <c r="DA2498" i="3"/>
  <c r="DB2498" i="3" s="1"/>
  <c r="CB2498" i="3" s="1"/>
  <c r="DA2515" i="3"/>
  <c r="DB2515" i="3" s="1"/>
  <c r="CB2515" i="3" s="1"/>
  <c r="DA2520" i="3"/>
  <c r="DB2520" i="3" s="1"/>
  <c r="CB2520" i="3" s="1"/>
  <c r="DA2524" i="3"/>
  <c r="DB2524" i="3" s="1"/>
  <c r="CB2524" i="3" s="1"/>
  <c r="DA2749" i="3"/>
  <c r="DA2849" i="3"/>
  <c r="DA2958" i="3"/>
  <c r="DA3042" i="3"/>
  <c r="DB3042" i="3" s="1"/>
  <c r="CB3042" i="3" s="1"/>
  <c r="DA3051" i="3"/>
  <c r="DB3051" i="3" s="1"/>
  <c r="CB3051" i="3" s="1"/>
  <c r="DA3065" i="3"/>
  <c r="DB3065" i="3" s="1"/>
  <c r="CB3065" i="3" s="1"/>
  <c r="DA3088" i="3"/>
  <c r="DB3088" i="3" s="1"/>
  <c r="CB3088" i="3" s="1"/>
  <c r="DA3096" i="3"/>
  <c r="DB3096" i="3" s="1"/>
  <c r="CB3096" i="3" s="1"/>
  <c r="DA3107" i="3"/>
  <c r="DB3107" i="3" s="1"/>
  <c r="CB3107" i="3" s="1"/>
  <c r="DA3111" i="3"/>
  <c r="DB3111" i="3" s="1"/>
  <c r="CB3111" i="3" s="1"/>
  <c r="DA3019" i="3"/>
  <c r="DB3019" i="3" s="1"/>
  <c r="CB3019" i="3" s="1"/>
  <c r="DA3023" i="3"/>
  <c r="DB3023" i="3" s="1"/>
  <c r="CB3023" i="3" s="1"/>
  <c r="DA3027" i="3"/>
  <c r="DB3027" i="3" s="1"/>
  <c r="CB3027" i="3" s="1"/>
  <c r="DA3031" i="3"/>
  <c r="DB3031" i="3" s="1"/>
  <c r="CB3031" i="3" s="1"/>
  <c r="DA3035" i="3"/>
  <c r="DB3035" i="3" s="1"/>
  <c r="CB3035" i="3" s="1"/>
  <c r="DA3048" i="3"/>
  <c r="DB3048" i="3" s="1"/>
  <c r="CB3048" i="3" s="1"/>
  <c r="DA3061" i="3"/>
  <c r="DB3061" i="3" s="1"/>
  <c r="CB3061" i="3" s="1"/>
  <c r="DA3077" i="3"/>
  <c r="DB3077" i="3" s="1"/>
  <c r="CB3077" i="3" s="1"/>
  <c r="DA3177" i="3"/>
  <c r="DB3177" i="3" s="1"/>
  <c r="CB3177" i="3" s="1"/>
  <c r="DA3185" i="3"/>
  <c r="DB3185" i="3" s="1"/>
  <c r="CB3185" i="3" s="1"/>
  <c r="DA3193" i="3"/>
  <c r="DB3193" i="3" s="1"/>
  <c r="CB3193" i="3" s="1"/>
  <c r="DA3127" i="3"/>
  <c r="DB3127" i="3" s="1"/>
  <c r="CB3127" i="3" s="1"/>
  <c r="DA3131" i="3"/>
  <c r="DB3131" i="3" s="1"/>
  <c r="CB3131" i="3" s="1"/>
  <c r="DA3281" i="3"/>
  <c r="DA3285" i="3"/>
  <c r="DA3302" i="3"/>
  <c r="DA3306" i="3"/>
  <c r="DA3314" i="3"/>
  <c r="DA3318" i="3"/>
  <c r="DA3337" i="3"/>
  <c r="DA3294" i="3"/>
  <c r="DA3320" i="3"/>
  <c r="DA3325" i="3"/>
  <c r="DA3326" i="3"/>
  <c r="DA3542" i="3"/>
  <c r="DA3558" i="3"/>
  <c r="DA2413" i="3"/>
  <c r="DA2418" i="3"/>
  <c r="DA2772" i="3"/>
  <c r="DA2935" i="3"/>
  <c r="DA3144" i="3"/>
  <c r="DB3144" i="3" s="1"/>
  <c r="CB3144" i="3" s="1"/>
  <c r="DA3148" i="3"/>
  <c r="DB3148" i="3" s="1"/>
  <c r="CB3148" i="3" s="1"/>
  <c r="DA3152" i="3"/>
  <c r="DB3152" i="3" s="1"/>
  <c r="CB3152" i="3" s="1"/>
  <c r="DA3178" i="3"/>
  <c r="DB3178" i="3" s="1"/>
  <c r="CB3178" i="3" s="1"/>
  <c r="DA1325" i="3"/>
  <c r="DA928" i="3"/>
  <c r="DA1004" i="3"/>
  <c r="DA1005" i="3"/>
  <c r="DA1548" i="3"/>
  <c r="DA1585" i="3"/>
  <c r="DA1911" i="3"/>
  <c r="DA2485" i="3"/>
  <c r="DB2485" i="3" s="1"/>
  <c r="CB2485" i="3" s="1"/>
  <c r="DA2489" i="3"/>
  <c r="DB2489" i="3" s="1"/>
  <c r="CB2489" i="3" s="1"/>
  <c r="DA2519" i="3"/>
  <c r="DB2519" i="3" s="1"/>
  <c r="CB2519" i="3" s="1"/>
  <c r="DA2612" i="3"/>
  <c r="DA2762" i="3"/>
  <c r="DA2859" i="3"/>
  <c r="DA3050" i="3"/>
  <c r="DB3050" i="3" s="1"/>
  <c r="CB3050" i="3" s="1"/>
  <c r="DA3058" i="3"/>
  <c r="DB3058" i="3" s="1"/>
  <c r="CB3058" i="3" s="1"/>
  <c r="DA3072" i="3"/>
  <c r="DB3072" i="3" s="1"/>
  <c r="CB3072" i="3" s="1"/>
  <c r="DA3081" i="3"/>
  <c r="DB3081" i="3" s="1"/>
  <c r="CB3081" i="3" s="1"/>
  <c r="DA3095" i="3"/>
  <c r="DB3095" i="3" s="1"/>
  <c r="CB3095" i="3" s="1"/>
  <c r="DA3102" i="3"/>
  <c r="DB3102" i="3" s="1"/>
  <c r="CB3102" i="3" s="1"/>
  <c r="DA3106" i="3"/>
  <c r="DB3106" i="3" s="1"/>
  <c r="CB3106" i="3" s="1"/>
  <c r="DA3110" i="3"/>
  <c r="DB3110" i="3" s="1"/>
  <c r="CB3110" i="3" s="1"/>
  <c r="DA3018" i="3"/>
  <c r="DB3018" i="3" s="1"/>
  <c r="CB3018" i="3" s="1"/>
  <c r="DA3022" i="3"/>
  <c r="DB3022" i="3" s="1"/>
  <c r="CB3022" i="3" s="1"/>
  <c r="DA3030" i="3"/>
  <c r="DB3030" i="3" s="1"/>
  <c r="CB3030" i="3" s="1"/>
  <c r="DA3034" i="3"/>
  <c r="DB3034" i="3" s="1"/>
  <c r="CB3034" i="3" s="1"/>
  <c r="DA3062" i="3"/>
  <c r="DB3062" i="3" s="1"/>
  <c r="CB3062" i="3" s="1"/>
  <c r="DA3118" i="3"/>
  <c r="DB3118" i="3" s="1"/>
  <c r="CB3118" i="3" s="1"/>
  <c r="DA3176" i="3"/>
  <c r="DB3176" i="3" s="1"/>
  <c r="CB3176" i="3" s="1"/>
  <c r="DA3180" i="3"/>
  <c r="DB3180" i="3" s="1"/>
  <c r="CB3180" i="3" s="1"/>
  <c r="DA3200" i="3"/>
  <c r="DB3200" i="3" s="1"/>
  <c r="CB3200" i="3" s="1"/>
  <c r="DA3122" i="3"/>
  <c r="DB3122" i="3" s="1"/>
  <c r="CB3122" i="3" s="1"/>
  <c r="DA3126" i="3"/>
  <c r="DB3126" i="3" s="1"/>
  <c r="CB3126" i="3" s="1"/>
  <c r="DA3134" i="3"/>
  <c r="DB3134" i="3" s="1"/>
  <c r="CB3134" i="3" s="1"/>
  <c r="DA3258" i="3"/>
  <c r="DA3261" i="3"/>
  <c r="DA3265" i="3"/>
  <c r="DA3284" i="3"/>
  <c r="DA3301" i="3"/>
  <c r="DA3332" i="3"/>
  <c r="DA196" i="3"/>
  <c r="DA857" i="3"/>
  <c r="DB857" i="3" s="1"/>
  <c r="CB857" i="3" s="1"/>
  <c r="DA861" i="3"/>
  <c r="DB861" i="3" s="1"/>
  <c r="CB861" i="3" s="1"/>
  <c r="DA1861" i="3"/>
  <c r="DB1861" i="3" s="1"/>
  <c r="CB1861" i="3" s="1"/>
  <c r="DA1877" i="3"/>
  <c r="DB1877" i="3" s="1"/>
  <c r="CB1877" i="3" s="1"/>
  <c r="DA1881" i="3"/>
  <c r="DB1881" i="3" s="1"/>
  <c r="CB1881" i="3" s="1"/>
  <c r="DA1935" i="3"/>
  <c r="DA2423" i="3"/>
  <c r="DA2480" i="3"/>
  <c r="DB2480" i="3" s="1"/>
  <c r="CB2480" i="3" s="1"/>
  <c r="DA2484" i="3"/>
  <c r="DB2484" i="3" s="1"/>
  <c r="CB2484" i="3" s="1"/>
  <c r="DA2488" i="3"/>
  <c r="DB2488" i="3" s="1"/>
  <c r="CB2488" i="3" s="1"/>
  <c r="DA2492" i="3"/>
  <c r="DB2492" i="3" s="1"/>
  <c r="CB2492" i="3" s="1"/>
  <c r="DA2496" i="3"/>
  <c r="DB2496" i="3" s="1"/>
  <c r="CB2496" i="3" s="1"/>
  <c r="DA2522" i="3"/>
  <c r="DB2522" i="3" s="1"/>
  <c r="CB2522" i="3" s="1"/>
  <c r="DA2526" i="3"/>
  <c r="DB2526" i="3" s="1"/>
  <c r="CB2526" i="3" s="1"/>
  <c r="DA2538" i="3"/>
  <c r="DB2538" i="3" s="1"/>
  <c r="CB2538" i="3" s="1"/>
  <c r="DA2547" i="3"/>
  <c r="DB2547" i="3" s="1"/>
  <c r="CB2547" i="3" s="1"/>
  <c r="DA2551" i="3"/>
  <c r="DB2551" i="3" s="1"/>
  <c r="CB2551" i="3" s="1"/>
  <c r="DA2621" i="3"/>
  <c r="DA2724" i="3"/>
  <c r="DA2808" i="3"/>
  <c r="DA2852" i="3"/>
  <c r="DA2914" i="3"/>
  <c r="DA2957" i="3"/>
  <c r="DA2982" i="3"/>
  <c r="DA2995" i="3"/>
  <c r="DA3044" i="3"/>
  <c r="DB3044" i="3" s="1"/>
  <c r="CB3044" i="3" s="1"/>
  <c r="DA3071" i="3"/>
  <c r="DB3071" i="3" s="1"/>
  <c r="CB3071" i="3" s="1"/>
  <c r="DA3109" i="3"/>
  <c r="DB3109" i="3" s="1"/>
  <c r="CB3109" i="3" s="1"/>
  <c r="DA3037" i="3"/>
  <c r="DB3037" i="3" s="1"/>
  <c r="CB3037" i="3" s="1"/>
  <c r="DA3046" i="3"/>
  <c r="DB3046" i="3" s="1"/>
  <c r="CB3046" i="3" s="1"/>
  <c r="DA3059" i="3"/>
  <c r="DB3059" i="3" s="1"/>
  <c r="CB3059" i="3" s="1"/>
  <c r="DA3187" i="3"/>
  <c r="DB3187" i="3" s="1"/>
  <c r="CB3187" i="3" s="1"/>
  <c r="DA3203" i="3"/>
  <c r="DB3203" i="3" s="1"/>
  <c r="CB3203" i="3" s="1"/>
  <c r="DA3125" i="3"/>
  <c r="DB3125" i="3" s="1"/>
  <c r="CB3125" i="3" s="1"/>
  <c r="DA3129" i="3"/>
  <c r="DB3129" i="3" s="1"/>
  <c r="CB3129" i="3" s="1"/>
  <c r="DA3136" i="3"/>
  <c r="DB3136" i="3" s="1"/>
  <c r="CB3136" i="3" s="1"/>
  <c r="DA3222" i="3"/>
  <c r="DB3222" i="3" s="1"/>
  <c r="CB3222" i="3" s="1"/>
  <c r="DA3226" i="3"/>
  <c r="DB3226" i="3" s="1"/>
  <c r="CB3226" i="3" s="1"/>
  <c r="DA3267" i="3"/>
  <c r="DA3276" i="3"/>
  <c r="DA3292" i="3"/>
  <c r="DA3329" i="3"/>
  <c r="DA3535" i="3"/>
  <c r="DA3559" i="3"/>
  <c r="DA183" i="3"/>
  <c r="DA193" i="3"/>
  <c r="DA977" i="3"/>
  <c r="DB977" i="3" s="1"/>
  <c r="CB977" i="3" s="1"/>
  <c r="DA1016" i="3"/>
  <c r="DA1702" i="3"/>
  <c r="DA314" i="3"/>
  <c r="DB314" i="3" s="1"/>
  <c r="CB314" i="3" s="1"/>
  <c r="DA325" i="3"/>
  <c r="DB325" i="3" s="1"/>
  <c r="CB325" i="3" s="1"/>
  <c r="DA329" i="3"/>
  <c r="DB329" i="3" s="1"/>
  <c r="CB329" i="3" s="1"/>
  <c r="DA323" i="3"/>
  <c r="DB323" i="3" s="1"/>
  <c r="CB323" i="3" s="1"/>
  <c r="DA1874" i="3"/>
  <c r="DB1874" i="3" s="1"/>
  <c r="CB1874" i="3" s="1"/>
  <c r="DA1819" i="3"/>
  <c r="DB1819" i="3" s="1"/>
  <c r="CB1819" i="3" s="1"/>
  <c r="DA1823" i="3"/>
  <c r="DB1823" i="3" s="1"/>
  <c r="CB1823" i="3" s="1"/>
  <c r="DA1831" i="3"/>
  <c r="DB1831" i="3" s="1"/>
  <c r="CB1831" i="3" s="1"/>
  <c r="DA1839" i="3"/>
  <c r="DB1839" i="3" s="1"/>
  <c r="CB1839" i="3" s="1"/>
  <c r="DA1851" i="3"/>
  <c r="DB1851" i="3" s="1"/>
  <c r="CB1851" i="3" s="1"/>
  <c r="DA1855" i="3"/>
  <c r="DB1855" i="3" s="1"/>
  <c r="CB1855" i="3" s="1"/>
  <c r="DA1867" i="3"/>
  <c r="DB1867" i="3" s="1"/>
  <c r="CB1867" i="3" s="1"/>
  <c r="DA1879" i="3"/>
  <c r="DB1879" i="3" s="1"/>
  <c r="CB1879" i="3" s="1"/>
  <c r="DA3574" i="3"/>
  <c r="DA3586" i="3"/>
  <c r="DA231" i="3"/>
  <c r="DA1018" i="3"/>
  <c r="DA2037" i="3"/>
  <c r="DA324" i="3"/>
  <c r="DB324" i="3" s="1"/>
  <c r="CB324" i="3" s="1"/>
  <c r="DA328" i="3"/>
  <c r="DB328" i="3" s="1"/>
  <c r="CB328" i="3" s="1"/>
  <c r="DA1858" i="3"/>
  <c r="DB1858" i="3" s="1"/>
  <c r="CB1858" i="3" s="1"/>
  <c r="DA1866" i="3"/>
  <c r="DB1866" i="3" s="1"/>
  <c r="CB1866" i="3" s="1"/>
  <c r="DA1870" i="3"/>
  <c r="DB1870" i="3" s="1"/>
  <c r="CB1870" i="3" s="1"/>
  <c r="DA1809" i="3"/>
  <c r="DA3313" i="3"/>
  <c r="DA3272" i="3"/>
  <c r="DA3333" i="3"/>
  <c r="DA3266" i="3"/>
  <c r="DA3323" i="3"/>
  <c r="DA3212" i="3"/>
  <c r="DB3212" i="3" s="1"/>
  <c r="CB3212" i="3" s="1"/>
  <c r="DA3146" i="3"/>
  <c r="DB3146" i="3" s="1"/>
  <c r="CB3146" i="3" s="1"/>
  <c r="DA3154" i="3"/>
  <c r="DB3154" i="3" s="1"/>
  <c r="CB3154" i="3" s="1"/>
  <c r="DA3166" i="3"/>
  <c r="DB3166" i="3" s="1"/>
  <c r="CB3166" i="3" s="1"/>
  <c r="DA3170" i="3"/>
  <c r="DB3170" i="3" s="1"/>
  <c r="CB3170" i="3" s="1"/>
  <c r="DA3147" i="3"/>
  <c r="DB3147" i="3" s="1"/>
  <c r="CB3147" i="3" s="1"/>
  <c r="DA3151" i="3"/>
  <c r="DB3151" i="3" s="1"/>
  <c r="CB3151" i="3" s="1"/>
  <c r="DA3167" i="3"/>
  <c r="DB3167" i="3" s="1"/>
  <c r="CB3167" i="3" s="1"/>
  <c r="DA3130" i="3"/>
  <c r="DB3130" i="3" s="1"/>
  <c r="CB3130" i="3" s="1"/>
  <c r="DA3196" i="3"/>
  <c r="DB3196" i="3" s="1"/>
  <c r="CB3196" i="3" s="1"/>
  <c r="DA3195" i="3"/>
  <c r="DB3195" i="3" s="1"/>
  <c r="CB3195" i="3" s="1"/>
  <c r="DA3163" i="3"/>
  <c r="DA3119" i="3"/>
  <c r="DB3119" i="3" s="1"/>
  <c r="CB3119" i="3" s="1"/>
  <c r="DA2542" i="3"/>
  <c r="DB2542" i="3" s="1"/>
  <c r="CB2542" i="3" s="1"/>
  <c r="DA2552" i="3"/>
  <c r="DB2552" i="3" s="1"/>
  <c r="CB2552" i="3" s="1"/>
  <c r="DA2491" i="3"/>
  <c r="DB2491" i="3" s="1"/>
  <c r="CB2491" i="3" s="1"/>
  <c r="DA1848" i="3"/>
  <c r="DB1848" i="3" s="1"/>
  <c r="CB1848" i="3" s="1"/>
  <c r="DA1816" i="3"/>
  <c r="DB1816" i="3" s="1"/>
  <c r="CB1816" i="3" s="1"/>
  <c r="DA1850" i="3"/>
  <c r="DB1850" i="3" s="1"/>
  <c r="CB1850" i="3" s="1"/>
  <c r="DA1865" i="3"/>
  <c r="DB1865" i="3" s="1"/>
  <c r="CB1865" i="3" s="1"/>
  <c r="DA1873" i="3"/>
  <c r="DB1873" i="3" s="1"/>
  <c r="CB1873" i="3" s="1"/>
  <c r="DA1811" i="3"/>
  <c r="DB1811" i="3" s="1"/>
  <c r="CB1811" i="3" s="1"/>
  <c r="DA1810" i="3"/>
  <c r="DB1810" i="3" s="1"/>
  <c r="CB1810" i="3" s="1"/>
  <c r="B3343" i="3"/>
  <c r="S3209" i="3"/>
  <c r="B2681" i="3"/>
  <c r="B3448" i="3"/>
  <c r="B1964" i="3"/>
  <c r="B248" i="3"/>
  <c r="O1706" i="3"/>
  <c r="S900" i="3"/>
  <c r="EE2" i="8"/>
  <c r="EE2051" i="8" s="1"/>
  <c r="CX1075" i="3"/>
  <c r="DA1075" i="3" s="1"/>
  <c r="CX1591" i="3"/>
  <c r="DA1591" i="3" s="1"/>
  <c r="B166" i="3"/>
  <c r="CW166" i="3" s="1"/>
  <c r="DA166" i="3" s="1"/>
  <c r="CX1091" i="3"/>
  <c r="DA1091" i="3" s="1"/>
  <c r="EE5" i="8"/>
  <c r="EE1281" i="8" s="1"/>
  <c r="B1281" i="3" s="1"/>
  <c r="CY3159" i="3"/>
  <c r="DA3159" i="3" s="1"/>
  <c r="CX972" i="3"/>
  <c r="DA972" i="3" s="1"/>
  <c r="CY3156" i="3"/>
  <c r="DA3156" i="3" s="1"/>
  <c r="CY1564" i="3"/>
  <c r="DA1564" i="3" s="1"/>
  <c r="CX973" i="3"/>
  <c r="DA973" i="3" s="1"/>
  <c r="CX1088" i="3"/>
  <c r="DA1088" i="3" s="1"/>
  <c r="CX2129" i="3"/>
  <c r="DA2129" i="3" s="1"/>
  <c r="CX952" i="3"/>
  <c r="DA952" i="3" s="1"/>
  <c r="CX963" i="3"/>
  <c r="DA963" i="3" s="1"/>
  <c r="B2479" i="3"/>
  <c r="Q2359" i="3"/>
  <c r="B2770" i="3"/>
  <c r="EE3" i="8"/>
  <c r="EE3156" i="8" s="1"/>
  <c r="B1773" i="3"/>
  <c r="DA911" i="3"/>
  <c r="DA3191" i="3"/>
  <c r="DB3191" i="3" s="1"/>
  <c r="CB3191" i="3" s="1"/>
  <c r="B2501" i="3"/>
  <c r="S2951" i="3"/>
  <c r="B2893" i="3"/>
  <c r="EE4" i="8"/>
  <c r="EE2331" i="8" s="1"/>
  <c r="B2331" i="3" s="1"/>
  <c r="B2403" i="3"/>
  <c r="DA1375" i="3"/>
  <c r="DA1036" i="3"/>
  <c r="B2659" i="3"/>
  <c r="Q2330" i="3"/>
  <c r="G2656" i="3"/>
  <c r="U2267" i="3"/>
  <c r="G3099" i="3"/>
  <c r="DA1293" i="3"/>
  <c r="DA904" i="3"/>
  <c r="DA916" i="3"/>
  <c r="DA1951" i="3"/>
  <c r="DA2395" i="3"/>
  <c r="DA2877" i="3"/>
  <c r="DA3192" i="3"/>
  <c r="DB3192" i="3" s="1"/>
  <c r="CB3192" i="3" s="1"/>
  <c r="DA295" i="3"/>
  <c r="DA1027" i="3"/>
  <c r="DA2165" i="3"/>
  <c r="DA2106" i="3"/>
  <c r="DA2870" i="3"/>
  <c r="DA3047" i="3"/>
  <c r="DB3047" i="3" s="1"/>
  <c r="CB3047" i="3" s="1"/>
  <c r="DA3295" i="3"/>
  <c r="DA3324" i="3"/>
  <c r="DA1145" i="3"/>
  <c r="DA1316" i="3"/>
  <c r="DA1370" i="3"/>
  <c r="DA1202" i="3"/>
  <c r="DA2511" i="3"/>
  <c r="DB2511" i="3" s="1"/>
  <c r="CB2511" i="3" s="1"/>
  <c r="DA2873" i="3"/>
  <c r="DA3033" i="3"/>
  <c r="DB3033" i="3" s="1"/>
  <c r="CB3033" i="3" s="1"/>
  <c r="DA2955" i="3"/>
  <c r="DA3262" i="3"/>
  <c r="DA3269" i="3"/>
  <c r="DA3328" i="3"/>
  <c r="DA209" i="3"/>
  <c r="DA287" i="3"/>
  <c r="DA185" i="3"/>
  <c r="DA3290" i="3"/>
  <c r="DA225" i="3"/>
  <c r="BS1225" i="3"/>
  <c r="DA289" i="3"/>
  <c r="DA3090" i="3"/>
  <c r="DB3090" i="3" s="1"/>
  <c r="CB3090" i="3" s="1"/>
  <c r="DA2254" i="3"/>
  <c r="DA318" i="3"/>
  <c r="DB318" i="3" s="1"/>
  <c r="CB318" i="3" s="1"/>
  <c r="BP1751" i="3"/>
  <c r="E2567" i="3"/>
  <c r="B2783" i="3"/>
  <c r="O3041" i="3"/>
  <c r="S3085" i="3"/>
  <c r="U3173" i="3"/>
  <c r="B140" i="3"/>
  <c r="G1668" i="3"/>
  <c r="B1937" i="3"/>
  <c r="S2068" i="3"/>
  <c r="B2308" i="3"/>
  <c r="E2888" i="3"/>
  <c r="B3174" i="3"/>
  <c r="B3210" i="3"/>
  <c r="CY11" i="8"/>
  <c r="J9" i="8" s="1"/>
  <c r="EE3352" i="8"/>
  <c r="EE743" i="8"/>
  <c r="EE599" i="8"/>
  <c r="EE2919" i="8"/>
  <c r="EE401" i="8"/>
  <c r="EE3466" i="8"/>
  <c r="EE2064" i="8"/>
  <c r="EE370" i="8"/>
  <c r="EE2154" i="8"/>
  <c r="EE367" i="8"/>
  <c r="BJ1978" i="3"/>
  <c r="AR1978" i="3"/>
  <c r="EE2010" i="8"/>
  <c r="EE1052" i="8"/>
  <c r="EE2378" i="8"/>
  <c r="EE3644" i="8"/>
  <c r="EE3590" i="8"/>
  <c r="EE504" i="8"/>
  <c r="EE2721" i="8"/>
  <c r="EE1059" i="8"/>
  <c r="EE2751" i="8"/>
  <c r="EE447" i="8"/>
  <c r="EE1154" i="8"/>
  <c r="EE2388" i="8"/>
  <c r="EE2318" i="8"/>
  <c r="EE3571" i="8"/>
  <c r="EE1013" i="8"/>
  <c r="EE1708" i="8"/>
  <c r="G2949" i="3"/>
  <c r="B2806" i="3"/>
  <c r="B2405" i="3"/>
  <c r="G2779" i="3"/>
  <c r="S3117" i="3"/>
  <c r="S2478" i="3"/>
  <c r="O1136" i="3"/>
  <c r="B2595" i="3"/>
  <c r="B3696" i="3"/>
  <c r="B2120" i="3"/>
  <c r="B3649" i="3"/>
  <c r="B2758" i="3"/>
  <c r="C562" i="3"/>
  <c r="B3087" i="3"/>
  <c r="AN1388" i="3"/>
  <c r="C474" i="3"/>
  <c r="B1001" i="3"/>
  <c r="B1764" i="3"/>
  <c r="B1589" i="3"/>
  <c r="O3069" i="3"/>
  <c r="B3257" i="3"/>
  <c r="S2307" i="3"/>
  <c r="B2938" i="3"/>
  <c r="B1693" i="3"/>
  <c r="B1785" i="3"/>
  <c r="B3118" i="3"/>
  <c r="B2572" i="3"/>
  <c r="B117" i="3"/>
  <c r="B1980" i="3"/>
  <c r="G1022" i="3"/>
  <c r="O3684" i="3"/>
  <c r="B202" i="3"/>
  <c r="U3342" i="3"/>
  <c r="S3142" i="3"/>
  <c r="G2890" i="3"/>
  <c r="G3039" i="3"/>
  <c r="G2400" i="3"/>
  <c r="G1517" i="3"/>
  <c r="G3445" i="3"/>
  <c r="G1191" i="3"/>
  <c r="G1884" i="3"/>
  <c r="B2149" i="3"/>
  <c r="B2974" i="3"/>
  <c r="B2736" i="3"/>
  <c r="B118" i="3"/>
  <c r="S2658" i="3"/>
  <c r="B3395" i="3"/>
  <c r="B3310" i="3"/>
  <c r="B3665" i="3"/>
  <c r="EE11" i="8"/>
  <c r="B3199" i="3"/>
  <c r="S2402" i="3"/>
  <c r="EE2613" i="8" l="1"/>
  <c r="DA1882" i="3"/>
  <c r="DB1882" i="3" s="1"/>
  <c r="CB1882" i="3" s="1"/>
  <c r="BS1097" i="3"/>
  <c r="CX1871" i="3"/>
  <c r="DA1871" i="3" s="1"/>
  <c r="DB1871" i="3" s="1"/>
  <c r="CB1871" i="3" s="1"/>
  <c r="EE709" i="8"/>
  <c r="EE1541" i="8"/>
  <c r="EE3533" i="8"/>
  <c r="EE915" i="8"/>
  <c r="EE852" i="8"/>
  <c r="EE2521" i="8"/>
  <c r="EE3587" i="8"/>
  <c r="CX1835" i="3"/>
  <c r="EE3563" i="8"/>
  <c r="EE3270" i="8"/>
  <c r="B161" i="3"/>
  <c r="CW161" i="3" s="1"/>
  <c r="DA161" i="3" s="1"/>
  <c r="DB161" i="3" s="1"/>
  <c r="CB161" i="3" s="1"/>
  <c r="CX958" i="3"/>
  <c r="DA958" i="3" s="1"/>
  <c r="CX1590" i="3"/>
  <c r="DA1590" i="3" s="1"/>
  <c r="CX960" i="3"/>
  <c r="DA960" i="3" s="1"/>
  <c r="CX2134" i="3"/>
  <c r="DA2134" i="3" s="1"/>
  <c r="CW2021" i="3"/>
  <c r="DA2021" i="3" s="1"/>
  <c r="CX1237" i="3"/>
  <c r="DA1237" i="3" s="1"/>
  <c r="CW2014" i="3"/>
  <c r="DA2014" i="3" s="1"/>
  <c r="CW2013" i="3"/>
  <c r="DA2013" i="3" s="1"/>
  <c r="CW2020" i="3"/>
  <c r="DA2020" i="3" s="1"/>
  <c r="CX1094" i="3"/>
  <c r="DA1094" i="3" s="1"/>
  <c r="CX970" i="3"/>
  <c r="DA970" i="3" s="1"/>
  <c r="CX1247" i="3"/>
  <c r="DA1247" i="3" s="1"/>
  <c r="CW167" i="3"/>
  <c r="DA167" i="3" s="1"/>
  <c r="CW2027" i="3"/>
  <c r="DA2027" i="3" s="1"/>
  <c r="CX966" i="3"/>
  <c r="DA966" i="3" s="1"/>
  <c r="CX971" i="3"/>
  <c r="DA971" i="3" s="1"/>
  <c r="CW2009" i="3"/>
  <c r="DA2009" i="3" s="1"/>
  <c r="CW162" i="3"/>
  <c r="DA162" i="3" s="1"/>
  <c r="DB162" i="3" s="1"/>
  <c r="CB162" i="3" s="1"/>
  <c r="CX2145" i="3"/>
  <c r="DA2145" i="3" s="1"/>
  <c r="CX2128" i="3"/>
  <c r="DA2128" i="3" s="1"/>
  <c r="CX1606" i="3"/>
  <c r="DA1606" i="3" s="1"/>
  <c r="EE2081" i="8"/>
  <c r="EE3431" i="8"/>
  <c r="EE2536" i="8"/>
  <c r="X154" i="3"/>
  <c r="BO155" i="3" s="1"/>
  <c r="CX2146" i="3"/>
  <c r="DA2146" i="3" s="1"/>
  <c r="CX1243" i="3"/>
  <c r="DA1243" i="3" s="1"/>
  <c r="CX2140" i="3"/>
  <c r="DA2140" i="3" s="1"/>
  <c r="CY1556" i="3"/>
  <c r="DA1556" i="3" s="1"/>
  <c r="CX1603" i="3"/>
  <c r="DA1603" i="3" s="1"/>
  <c r="CX1079" i="3"/>
  <c r="DA1079" i="3" s="1"/>
  <c r="CW2030" i="3"/>
  <c r="DA2030" i="3" s="1"/>
  <c r="CX975" i="3"/>
  <c r="DA975" i="3" s="1"/>
  <c r="CW2006" i="3"/>
  <c r="DA2006" i="3" s="1"/>
  <c r="CX1600" i="3"/>
  <c r="DA1600" i="3" s="1"/>
  <c r="CX1090" i="3"/>
  <c r="DA1090" i="3" s="1"/>
  <c r="CX1744" i="3"/>
  <c r="DA1744" i="3" s="1"/>
  <c r="CX1741" i="3"/>
  <c r="DA1741" i="3" s="1"/>
  <c r="B1193" i="3"/>
  <c r="CX1238" i="3"/>
  <c r="DA1238" i="3" s="1"/>
  <c r="CX1098" i="3"/>
  <c r="DA1098" i="3" s="1"/>
  <c r="CX956" i="3"/>
  <c r="DA956" i="3" s="1"/>
  <c r="E3342" i="3"/>
  <c r="CX976" i="3"/>
  <c r="DA976" i="3" s="1"/>
  <c r="CX1097" i="3"/>
  <c r="DA1097" i="3" s="1"/>
  <c r="CX1743" i="3"/>
  <c r="DA1743" i="3" s="1"/>
  <c r="CX1598" i="3"/>
  <c r="DA1598" i="3" s="1"/>
  <c r="CX1750" i="3"/>
  <c r="DA1750" i="3" s="1"/>
  <c r="CW2017" i="3"/>
  <c r="DA2017" i="3" s="1"/>
  <c r="CX1609" i="3"/>
  <c r="DA1609" i="3" s="1"/>
  <c r="CX1251" i="3"/>
  <c r="DA1251" i="3" s="1"/>
  <c r="CX2130" i="3"/>
  <c r="DA2130" i="3" s="1"/>
  <c r="CX1594" i="3"/>
  <c r="DA1594" i="3" s="1"/>
  <c r="CX2131" i="3"/>
  <c r="DA2131" i="3" s="1"/>
  <c r="CW2011" i="3"/>
  <c r="DA2011" i="3" s="1"/>
  <c r="CX1748" i="3"/>
  <c r="DA1748" i="3" s="1"/>
  <c r="CX2144" i="3"/>
  <c r="DA2144" i="3" s="1"/>
  <c r="CY1557" i="3"/>
  <c r="DA1557" i="3" s="1"/>
  <c r="CX1076" i="3"/>
  <c r="DA1076" i="3" s="1"/>
  <c r="CX1089" i="3"/>
  <c r="DA1089" i="3" s="1"/>
  <c r="CX1248" i="3"/>
  <c r="DA1248" i="3" s="1"/>
  <c r="CX1087" i="3"/>
  <c r="DA1087" i="3" s="1"/>
  <c r="CW2026" i="3"/>
  <c r="DA2026" i="3" s="1"/>
  <c r="CX1083" i="3"/>
  <c r="DA1083" i="3" s="1"/>
  <c r="CW2016" i="3"/>
  <c r="DA2016" i="3" s="1"/>
  <c r="CY1555" i="3"/>
  <c r="DA1555" i="3" s="1"/>
  <c r="CX2147" i="3"/>
  <c r="DA2147" i="3" s="1"/>
  <c r="CX1242" i="3"/>
  <c r="DA1242" i="3" s="1"/>
  <c r="CX2136" i="3"/>
  <c r="DA2136" i="3" s="1"/>
  <c r="CY1565" i="3"/>
  <c r="DA1565" i="3" s="1"/>
  <c r="CX1604" i="3"/>
  <c r="DA1604" i="3" s="1"/>
  <c r="CX1746" i="3"/>
  <c r="DA1746" i="3" s="1"/>
  <c r="CX1745" i="3"/>
  <c r="DA1745" i="3" s="1"/>
  <c r="CY3157" i="3"/>
  <c r="DA3157" i="3" s="1"/>
  <c r="CX974" i="3"/>
  <c r="DA974" i="3" s="1"/>
  <c r="AI3445" i="3"/>
  <c r="CX1752" i="3"/>
  <c r="DA1752" i="3" s="1"/>
  <c r="CX1095" i="3"/>
  <c r="DA1095" i="3" s="1"/>
  <c r="CX1254" i="3"/>
  <c r="DA1254" i="3" s="1"/>
  <c r="B2004" i="3"/>
  <c r="CW2004" i="3" s="1"/>
  <c r="DA2004" i="3" s="1"/>
  <c r="CY1562" i="3"/>
  <c r="DA1562" i="3" s="1"/>
  <c r="CW2018" i="3"/>
  <c r="DA2018" i="3" s="1"/>
  <c r="CW2024" i="3"/>
  <c r="DA2024" i="3" s="1"/>
  <c r="CW2028" i="3"/>
  <c r="DA2028" i="3" s="1"/>
  <c r="CX1253" i="3"/>
  <c r="DA1253" i="3" s="1"/>
  <c r="CX962" i="3"/>
  <c r="DA962" i="3" s="1"/>
  <c r="CY3155" i="3"/>
  <c r="DA3155" i="3" s="1"/>
  <c r="CX955" i="3"/>
  <c r="DA955" i="3" s="1"/>
  <c r="CX1081" i="3"/>
  <c r="DA1081" i="3" s="1"/>
  <c r="CX2137" i="3"/>
  <c r="DA2137" i="3" s="1"/>
  <c r="CX2124" i="3"/>
  <c r="DA2124" i="3" s="1"/>
  <c r="CX1244" i="3"/>
  <c r="DA1244" i="3" s="1"/>
  <c r="CY3162" i="3"/>
  <c r="DA3162" i="3" s="1"/>
  <c r="CX1073" i="3"/>
  <c r="DA1073" i="3" s="1"/>
  <c r="M896" i="3"/>
  <c r="CX1074" i="3"/>
  <c r="DA1074" i="3" s="1"/>
  <c r="CX2133" i="3"/>
  <c r="DA2133" i="3" s="1"/>
  <c r="CW2032" i="3"/>
  <c r="DA2032" i="3" s="1"/>
  <c r="CX1085" i="3"/>
  <c r="DA1085" i="3" s="1"/>
  <c r="CX1608" i="3"/>
  <c r="DA1608" i="3" s="1"/>
  <c r="AU896" i="3"/>
  <c r="CX1610" i="3"/>
  <c r="DA1610" i="3" s="1"/>
  <c r="CW2025" i="3"/>
  <c r="DA2025" i="3" s="1"/>
  <c r="CX1589" i="3"/>
  <c r="DA1589" i="3" s="1"/>
  <c r="CX1749" i="3"/>
  <c r="DA1749" i="3" s="1"/>
  <c r="CX1599" i="3"/>
  <c r="DA1599" i="3" s="1"/>
  <c r="CX1084" i="3"/>
  <c r="DA1084" i="3" s="1"/>
  <c r="BM1768" i="3"/>
  <c r="CX1602" i="3"/>
  <c r="DA1602" i="3" s="1"/>
  <c r="CX2135" i="3"/>
  <c r="DA2135" i="3" s="1"/>
  <c r="CW2022" i="3"/>
  <c r="DA2022" i="3" s="1"/>
  <c r="CX1086" i="3"/>
  <c r="DA1086" i="3" s="1"/>
  <c r="CX2127" i="3"/>
  <c r="DA2127" i="3" s="1"/>
  <c r="CW2033" i="3"/>
  <c r="DA2033" i="3" s="1"/>
  <c r="CX1239" i="3"/>
  <c r="DA1239" i="3" s="1"/>
  <c r="CW2031" i="3"/>
  <c r="DA2031" i="3" s="1"/>
  <c r="CX1077" i="3"/>
  <c r="DA1077" i="3" s="1"/>
  <c r="BH896" i="3"/>
  <c r="CW2023" i="3"/>
  <c r="DA2023" i="3" s="1"/>
  <c r="CX1592" i="3"/>
  <c r="DA1592" i="3" s="1"/>
  <c r="CY1559" i="3"/>
  <c r="DA1559" i="3" s="1"/>
  <c r="CX1096" i="3"/>
  <c r="DA1096" i="3" s="1"/>
  <c r="CW2005" i="3"/>
  <c r="DA2005" i="3" s="1"/>
  <c r="CX2139" i="3"/>
  <c r="DA2139" i="3" s="1"/>
  <c r="CX968" i="3"/>
  <c r="DA968" i="3" s="1"/>
  <c r="CX1241" i="3"/>
  <c r="DA1241" i="3" s="1"/>
  <c r="CW2012" i="3"/>
  <c r="DA2012" i="3" s="1"/>
  <c r="CX961" i="3"/>
  <c r="DA961" i="3" s="1"/>
  <c r="CX2126" i="3"/>
  <c r="DA2126" i="3" s="1"/>
  <c r="CW2015" i="3"/>
  <c r="DA2015" i="3" s="1"/>
  <c r="CX959" i="3"/>
  <c r="DA959" i="3" s="1"/>
  <c r="CX1252" i="3"/>
  <c r="DA1252" i="3" s="1"/>
  <c r="CW2019" i="3"/>
  <c r="DA2019" i="3" s="1"/>
  <c r="CX1250" i="3"/>
  <c r="DA1250" i="3" s="1"/>
  <c r="CX2122" i="3"/>
  <c r="DA2122" i="3" s="1"/>
  <c r="CX957" i="3"/>
  <c r="DA957" i="3" s="1"/>
  <c r="CX964" i="3"/>
  <c r="DA964" i="3" s="1"/>
  <c r="CX1236" i="3"/>
  <c r="DA1236" i="3" s="1"/>
  <c r="CX1751" i="3"/>
  <c r="DA1751" i="3" s="1"/>
  <c r="CX1595" i="3"/>
  <c r="DA1595" i="3" s="1"/>
  <c r="CY3158" i="3"/>
  <c r="DA3158" i="3" s="1"/>
  <c r="CX1605" i="3"/>
  <c r="DA1605" i="3" s="1"/>
  <c r="CX2120" i="3"/>
  <c r="DA2120" i="3" s="1"/>
  <c r="CW163" i="3"/>
  <c r="DA163" i="3" s="1"/>
  <c r="DB163" i="3" s="1"/>
  <c r="CB163" i="3" s="1"/>
  <c r="CW2010" i="3"/>
  <c r="DA2010" i="3" s="1"/>
  <c r="CX1082" i="3"/>
  <c r="DA1082" i="3" s="1"/>
  <c r="CW2007" i="3"/>
  <c r="DA2007" i="3" s="1"/>
  <c r="CW2029" i="3"/>
  <c r="DA2029" i="3" s="1"/>
  <c r="CX1742" i="3"/>
  <c r="DA1742" i="3" s="1"/>
  <c r="CX2121" i="3"/>
  <c r="DA2121" i="3" s="1"/>
  <c r="CX1245" i="3"/>
  <c r="DA1245" i="3" s="1"/>
  <c r="CX1255" i="3"/>
  <c r="DA1255" i="3" s="1"/>
  <c r="CX1596" i="3"/>
  <c r="DA1596" i="3" s="1"/>
  <c r="CX2142" i="3"/>
  <c r="DA2142" i="3" s="1"/>
  <c r="CY1558" i="3"/>
  <c r="DA1558" i="3" s="1"/>
  <c r="CY1561" i="3"/>
  <c r="DA1561" i="3" s="1"/>
  <c r="CX1597" i="3"/>
  <c r="DA1597" i="3" s="1"/>
  <c r="CX969" i="3"/>
  <c r="DA969" i="3" s="1"/>
  <c r="CX2123" i="3"/>
  <c r="DA2123" i="3" s="1"/>
  <c r="CY1563" i="3"/>
  <c r="DA1563" i="3" s="1"/>
  <c r="CX1246" i="3"/>
  <c r="DA1246" i="3" s="1"/>
  <c r="CX1836" i="3"/>
  <c r="DA1836" i="3" s="1"/>
  <c r="DB1836" i="3" s="1"/>
  <c r="CB1836" i="3" s="1"/>
  <c r="EE2475" i="8"/>
  <c r="EE3164" i="8"/>
  <c r="B3164" i="3" s="1"/>
  <c r="EE1428" i="8"/>
  <c r="EE1286" i="8"/>
  <c r="EE1283" i="8"/>
  <c r="CX1092" i="3"/>
  <c r="DA1092" i="3" s="1"/>
  <c r="CX2132" i="3"/>
  <c r="DA2132" i="3" s="1"/>
  <c r="AC1626" i="3"/>
  <c r="X1465" i="3"/>
  <c r="AQ2334" i="3"/>
  <c r="BU1567" i="3"/>
  <c r="CY1560" i="3"/>
  <c r="DA1560" i="3" s="1"/>
  <c r="CX1093" i="3"/>
  <c r="DA1093" i="3" s="1"/>
  <c r="CX965" i="3"/>
  <c r="DA965" i="3" s="1"/>
  <c r="CX951" i="3"/>
  <c r="DA951" i="3" s="1"/>
  <c r="CX1240" i="3"/>
  <c r="DA1240" i="3" s="1"/>
  <c r="T1545" i="3"/>
  <c r="V1503" i="3"/>
  <c r="CW168" i="3"/>
  <c r="DA168" i="3" s="1"/>
  <c r="CX1607" i="3"/>
  <c r="DA1607" i="3" s="1"/>
  <c r="EE758" i="8"/>
  <c r="EE1036" i="8"/>
  <c r="EE1699" i="8"/>
  <c r="EE1392" i="8"/>
  <c r="EE1557" i="8"/>
  <c r="EE3601" i="8"/>
  <c r="EE1232" i="8"/>
  <c r="EE1583" i="8"/>
  <c r="EE1587" i="8"/>
  <c r="EE859" i="8"/>
  <c r="EE3449" i="8"/>
  <c r="CY3160" i="3"/>
  <c r="DA3160" i="3" s="1"/>
  <c r="CX2141" i="3"/>
  <c r="DA2141" i="3" s="1"/>
  <c r="CW2034" i="3"/>
  <c r="DA2034" i="3" s="1"/>
  <c r="CX1078" i="3"/>
  <c r="DA1078" i="3" s="1"/>
  <c r="CX2143" i="3"/>
  <c r="DA2143" i="3" s="1"/>
  <c r="CX1249" i="3"/>
  <c r="DA1249" i="3" s="1"/>
  <c r="CX2125" i="3"/>
  <c r="DA2125" i="3" s="1"/>
  <c r="EE830" i="8"/>
  <c r="EE363" i="8"/>
  <c r="EE2643" i="8"/>
  <c r="EE774" i="8"/>
  <c r="EE3674" i="8"/>
  <c r="EE1520" i="8"/>
  <c r="B1520" i="3" s="1"/>
  <c r="EE3027" i="8"/>
  <c r="EE2067" i="8"/>
  <c r="EE1909" i="8"/>
  <c r="EE686" i="8"/>
  <c r="EE3223" i="8"/>
  <c r="EE3472" i="8"/>
  <c r="EE326" i="8"/>
  <c r="EE1123" i="8"/>
  <c r="EE932" i="8"/>
  <c r="EE1051" i="8"/>
  <c r="EE3318" i="8"/>
  <c r="EE231" i="8"/>
  <c r="EE739" i="8"/>
  <c r="D896" i="3"/>
  <c r="AX896" i="3" s="1"/>
  <c r="X162" i="3"/>
  <c r="X167" i="3" s="1"/>
  <c r="EE319" i="8"/>
  <c r="EE1315" i="8"/>
  <c r="EE1401" i="8"/>
  <c r="EE2730" i="8"/>
  <c r="EE2655" i="8"/>
  <c r="EE2680" i="8"/>
  <c r="EE3313" i="8"/>
  <c r="EE2083" i="8"/>
  <c r="EE612" i="8"/>
  <c r="EE2841" i="8"/>
  <c r="EE1457" i="8"/>
  <c r="EE3295" i="8"/>
  <c r="EE3293" i="8"/>
  <c r="EE1198" i="8"/>
  <c r="EE1595" i="8"/>
  <c r="EE1949" i="8"/>
  <c r="EE3185" i="8"/>
  <c r="EE3245" i="8"/>
  <c r="EE2411" i="8"/>
  <c r="EE2827" i="8"/>
  <c r="EE2824" i="8"/>
  <c r="EE2951" i="8"/>
  <c r="EE2555" i="8"/>
  <c r="EE3561" i="8"/>
  <c r="EE2702" i="8"/>
  <c r="EE2777" i="8"/>
  <c r="EE2128" i="8"/>
  <c r="EE3209" i="8"/>
  <c r="EE2381" i="8"/>
  <c r="EE2279" i="8"/>
  <c r="EE287" i="8"/>
  <c r="EE3075" i="8"/>
  <c r="EE2926" i="8"/>
  <c r="EE1538" i="8"/>
  <c r="EE2094" i="8"/>
  <c r="EE3354" i="8"/>
  <c r="EE322" i="8"/>
  <c r="EE2400" i="8"/>
  <c r="EE1340" i="8"/>
  <c r="EE1662" i="8"/>
  <c r="EE2075" i="8"/>
  <c r="EE825" i="8"/>
  <c r="EE212" i="8"/>
  <c r="EE1083" i="8"/>
  <c r="EE3289" i="8"/>
  <c r="EE2676" i="8"/>
  <c r="EE260" i="8"/>
  <c r="EE1898" i="8"/>
  <c r="EE2592" i="8"/>
  <c r="EE1476" i="8"/>
  <c r="EE1146" i="8"/>
  <c r="EE3292" i="8"/>
  <c r="EE1697" i="8"/>
  <c r="EE3704" i="8"/>
  <c r="EE808" i="8"/>
  <c r="EE2989" i="8"/>
  <c r="EE3560" i="8"/>
  <c r="EE627" i="8"/>
  <c r="EE2098" i="8"/>
  <c r="EE318" i="8"/>
  <c r="EE252" i="8"/>
  <c r="EE3296" i="8"/>
  <c r="EE1507" i="8"/>
  <c r="EE417" i="8"/>
  <c r="EE1502" i="8"/>
  <c r="EE2978" i="8"/>
  <c r="EE2528" i="8"/>
  <c r="EE768" i="8"/>
  <c r="EE1247" i="8"/>
  <c r="EE237" i="8"/>
  <c r="EE1794" i="8"/>
  <c r="EE1509" i="8"/>
  <c r="EE463" i="8"/>
  <c r="EE1240" i="8"/>
  <c r="EE1918" i="8"/>
  <c r="EE2156" i="8"/>
  <c r="EE2828" i="8"/>
  <c r="EE3188" i="8"/>
  <c r="EE656" i="8"/>
  <c r="EE3591" i="8"/>
  <c r="EE2854" i="8"/>
  <c r="EE508" i="8"/>
  <c r="EE563" i="8"/>
  <c r="EE2532" i="8"/>
  <c r="EE2468" i="8"/>
  <c r="EE201" i="8"/>
  <c r="EE3677" i="8"/>
  <c r="EE480" i="8"/>
  <c r="EE1956" i="8"/>
  <c r="EE2713" i="8"/>
  <c r="EE623" i="8"/>
  <c r="EE3641" i="8"/>
  <c r="EE1627" i="8"/>
  <c r="EE358" i="8"/>
  <c r="EE1571" i="8"/>
  <c r="EE1737" i="8"/>
  <c r="EE2527" i="8"/>
  <c r="EE2750" i="8"/>
  <c r="EE926" i="8"/>
  <c r="EE742" i="8"/>
  <c r="EE664" i="8"/>
  <c r="EE3598" i="8"/>
  <c r="BS1234" i="3"/>
  <c r="BS1071" i="3"/>
  <c r="BA2364" i="3"/>
  <c r="AQ2364" i="3"/>
  <c r="AL1889" i="3"/>
  <c r="AL2684" i="3"/>
  <c r="BQ975" i="3"/>
  <c r="Y1696" i="3"/>
  <c r="AP3315" i="3"/>
  <c r="AX1636" i="3"/>
  <c r="EE815" i="8"/>
  <c r="EE882" i="8"/>
  <c r="EE3186" i="8"/>
  <c r="EE3022" i="8"/>
  <c r="EE1201" i="8"/>
  <c r="EE1624" i="8"/>
  <c r="EE3442" i="8"/>
  <c r="EE1174" i="8"/>
  <c r="EE2229" i="8"/>
  <c r="EE204" i="8"/>
  <c r="EE2585" i="8"/>
  <c r="EE778" i="8"/>
  <c r="EE2705" i="8"/>
  <c r="EE683" i="8"/>
  <c r="EE2953" i="8"/>
  <c r="EE146" i="8"/>
  <c r="EE3477" i="8"/>
  <c r="EE2008" i="8"/>
  <c r="EE1945" i="8"/>
  <c r="EE2554" i="8"/>
  <c r="EE2362" i="8"/>
  <c r="EE1686" i="8"/>
  <c r="EE176" i="8"/>
  <c r="EE3496" i="8"/>
  <c r="EE3387" i="8"/>
  <c r="EE1482" i="8"/>
  <c r="EE3242" i="8"/>
  <c r="EE3648" i="8"/>
  <c r="EE2070" i="8"/>
  <c r="EE597" i="8"/>
  <c r="EE1921" i="8"/>
  <c r="EE2007" i="8"/>
  <c r="EE1919" i="8"/>
  <c r="EE1209" i="8"/>
  <c r="EE2437" i="8"/>
  <c r="EE2334" i="8"/>
  <c r="EE1795" i="8"/>
  <c r="EE785" i="8"/>
  <c r="EE3078" i="8"/>
  <c r="EE3321" i="8"/>
  <c r="EE3111" i="8"/>
  <c r="EE433" i="8"/>
  <c r="EE1343" i="8"/>
  <c r="EE257" i="8"/>
  <c r="EE2890" i="8"/>
  <c r="EE657" i="8"/>
  <c r="EE777" i="8"/>
  <c r="EE1742" i="8"/>
  <c r="EE3685" i="8"/>
  <c r="EE2883" i="8"/>
  <c r="EE2045" i="8"/>
  <c r="EE992" i="8"/>
  <c r="EE3710" i="8"/>
  <c r="EE3048" i="8"/>
  <c r="EE2887" i="8"/>
  <c r="EE3680" i="8"/>
  <c r="EE2607" i="8"/>
  <c r="EE1153" i="8"/>
  <c r="B1153" i="3" s="1"/>
  <c r="EE2274" i="8"/>
  <c r="EE3218" i="8"/>
  <c r="EE268" i="8"/>
  <c r="EE2788" i="8"/>
  <c r="EE2956" i="8"/>
  <c r="EE2886" i="8"/>
  <c r="EE1449" i="8"/>
  <c r="EE2637" i="8"/>
  <c r="EE2271" i="8"/>
  <c r="EE2002" i="8"/>
  <c r="G2002" i="3" s="1"/>
  <c r="EE3557" i="8"/>
  <c r="T3370" i="3"/>
  <c r="AM2407" i="3"/>
  <c r="T1282" i="3"/>
  <c r="W925" i="3"/>
  <c r="AG3188" i="3"/>
  <c r="BQ949" i="3"/>
  <c r="EE2835" i="8"/>
  <c r="EE629" i="8"/>
  <c r="EE3439" i="8"/>
  <c r="EE3380" i="8"/>
  <c r="EE2332" i="8"/>
  <c r="EE3708" i="8"/>
  <c r="EE3110" i="8"/>
  <c r="EE1692" i="8"/>
  <c r="EE235" i="8"/>
  <c r="EE995" i="8"/>
  <c r="EE2183" i="8"/>
  <c r="EE3020" i="8"/>
  <c r="EE2595" i="8"/>
  <c r="EE3707" i="8"/>
  <c r="EE860" i="8"/>
  <c r="EE890" i="8"/>
  <c r="EE1539" i="8"/>
  <c r="EE2440" i="8"/>
  <c r="EE885" i="8"/>
  <c r="EE2913" i="8"/>
  <c r="EE2038" i="8"/>
  <c r="EE2375" i="8"/>
  <c r="EE1511" i="8"/>
  <c r="EE822" i="8"/>
  <c r="EE1902" i="8"/>
  <c r="EE1116" i="8"/>
  <c r="EE2330" i="8"/>
  <c r="EE929" i="8"/>
  <c r="EE1565" i="8"/>
  <c r="EE3046" i="8"/>
  <c r="EE1398" i="8"/>
  <c r="EE2226" i="8"/>
  <c r="EE3262" i="8"/>
  <c r="EE2130" i="8"/>
  <c r="EE1092" i="8"/>
  <c r="EE2992" i="8"/>
  <c r="EE1720" i="8"/>
  <c r="EE468" i="8"/>
  <c r="EE879" i="8"/>
  <c r="EE2770" i="8"/>
  <c r="EE2611" i="8"/>
  <c r="EE3696" i="8"/>
  <c r="EE1115" i="8"/>
  <c r="EE2720" i="8"/>
  <c r="EE207" i="8"/>
  <c r="EE1376" i="8"/>
  <c r="EE457" i="8"/>
  <c r="EE1978" i="8"/>
  <c r="EE2105" i="8"/>
  <c r="EE403" i="8"/>
  <c r="EE144" i="8"/>
  <c r="EE3469" i="8"/>
  <c r="EE920" i="8"/>
  <c r="EE371" i="8"/>
  <c r="EE2957" i="8"/>
  <c r="EE1606" i="8"/>
  <c r="EE1145" i="8"/>
  <c r="EE2641" i="8"/>
  <c r="EE1446" i="8"/>
  <c r="EE2747" i="8"/>
  <c r="EE1391" i="8"/>
  <c r="EE3042" i="8"/>
  <c r="EE2830" i="8"/>
  <c r="EE1727" i="8"/>
  <c r="EE485" i="8"/>
  <c r="EE909" i="8"/>
  <c r="EE3412" i="8"/>
  <c r="EE2234" i="8"/>
  <c r="BA2334" i="3"/>
  <c r="T2093" i="3"/>
  <c r="AB2234" i="3"/>
  <c r="AE2529" i="3"/>
  <c r="AF2976" i="3"/>
  <c r="BS1102" i="3"/>
  <c r="BR3617" i="3"/>
  <c r="BR3619" i="3" s="1"/>
  <c r="BR3621" i="3" s="1"/>
  <c r="Q1216" i="3"/>
  <c r="T2641" i="3"/>
  <c r="BS1003" i="3"/>
  <c r="Q1047" i="3"/>
  <c r="AK2761" i="3"/>
  <c r="U2218" i="3"/>
  <c r="U1390" i="3"/>
  <c r="AC1613" i="3"/>
  <c r="AW2941" i="3"/>
  <c r="BB2027" i="3"/>
  <c r="BS1406" i="3"/>
  <c r="BG2598" i="3"/>
  <c r="AR1969" i="3"/>
  <c r="AR3285" i="3"/>
  <c r="AB1510" i="3"/>
  <c r="AC2210" i="3"/>
  <c r="AW2809" i="3"/>
  <c r="AY1157" i="3"/>
  <c r="AD1337" i="3"/>
  <c r="AB2918" i="3"/>
  <c r="BB2011" i="3"/>
  <c r="BI3450" i="3"/>
  <c r="BD2642" i="3"/>
  <c r="AG3146" i="3"/>
  <c r="EE3445" i="8"/>
  <c r="AH1729" i="3"/>
  <c r="AM2598" i="3"/>
  <c r="AB1472" i="3"/>
  <c r="BJ1109" i="3"/>
  <c r="BN1351" i="3"/>
  <c r="BI3535" i="3"/>
  <c r="AH2559" i="3"/>
  <c r="U1636" i="3"/>
  <c r="BS1259" i="3"/>
  <c r="T1351" i="3"/>
  <c r="AK3236" i="3"/>
  <c r="AR3103" i="3"/>
  <c r="S2598" i="3"/>
  <c r="AB2933" i="3"/>
  <c r="EE1964" i="8"/>
  <c r="BG302" i="3"/>
  <c r="EE2657" i="8"/>
  <c r="AP1465" i="3"/>
  <c r="EE3041" i="8"/>
  <c r="EE1517" i="8"/>
  <c r="AV302" i="3"/>
  <c r="AW283" i="3"/>
  <c r="EE3210" i="8"/>
  <c r="EE1625" i="8"/>
  <c r="EE937" i="8"/>
  <c r="EE2253" i="8"/>
  <c r="EE2678" i="8"/>
  <c r="EE2438" i="8"/>
  <c r="EE536" i="8"/>
  <c r="EE2495" i="8"/>
  <c r="EE1393" i="8"/>
  <c r="EE1735" i="8"/>
  <c r="EE2860" i="8"/>
  <c r="EE1420" i="8"/>
  <c r="EE855" i="8"/>
  <c r="EE2302" i="8"/>
  <c r="EE2587" i="8"/>
  <c r="EE3348" i="8"/>
  <c r="EE2215" i="8"/>
  <c r="O2215" i="3" s="1"/>
  <c r="EE930" i="8"/>
  <c r="EE1390" i="8"/>
  <c r="EE1535" i="8"/>
  <c r="EE533" i="8"/>
  <c r="EE2858" i="8"/>
  <c r="EE3329" i="8"/>
  <c r="EE3406" i="8"/>
  <c r="EE810" i="8"/>
  <c r="EE3324" i="8"/>
  <c r="EE567" i="8"/>
  <c r="EE2984" i="8"/>
  <c r="EE461" i="8"/>
  <c r="EE3528" i="8"/>
  <c r="EE1142" i="8"/>
  <c r="EE1761" i="8"/>
  <c r="EE1321" i="8"/>
  <c r="EE2364" i="8"/>
  <c r="EE373" i="8"/>
  <c r="EE1797" i="8"/>
  <c r="EE780" i="8"/>
  <c r="EE2997" i="8"/>
  <c r="EE1084" i="8"/>
  <c r="EE2640" i="8"/>
  <c r="EE1054" i="8"/>
  <c r="EE3498" i="8"/>
  <c r="EE2223" i="8"/>
  <c r="EE2990" i="8"/>
  <c r="EE689" i="8"/>
  <c r="EE2610" i="8"/>
  <c r="EE961" i="8"/>
  <c r="EE2386" i="8"/>
  <c r="EE3602" i="8"/>
  <c r="EE3113" i="8"/>
  <c r="EE1112" i="8"/>
  <c r="EE151" i="8"/>
  <c r="EE3492" i="8"/>
  <c r="EE1516" i="8"/>
  <c r="EE510" i="8"/>
  <c r="EE1276" i="8"/>
  <c r="EE1655" i="8"/>
  <c r="EE3076" i="8"/>
  <c r="EE1716" i="8"/>
  <c r="EE750" i="8"/>
  <c r="EE2562" i="8"/>
  <c r="EE1599" i="8"/>
  <c r="EE2780" i="8"/>
  <c r="EE2309" i="8"/>
  <c r="EE2257" i="8"/>
  <c r="EE2153" i="8"/>
  <c r="EE2723" i="8"/>
  <c r="EE807" i="8"/>
  <c r="EE3148" i="8"/>
  <c r="EE427" i="8"/>
  <c r="EE1689" i="8"/>
  <c r="EE3322" i="8"/>
  <c r="EE1048" i="8"/>
  <c r="EE3016" i="8"/>
  <c r="EE263" i="8"/>
  <c r="EE3409" i="8"/>
  <c r="EE2161" i="8"/>
  <c r="EE3300" i="8"/>
  <c r="EE2811" i="8"/>
  <c r="EE1657" i="8"/>
  <c r="EE2964" i="8"/>
  <c r="EE713" i="8"/>
  <c r="EE325" i="8"/>
  <c r="EE298" i="8"/>
  <c r="EE2959" i="8"/>
  <c r="EE849" i="8"/>
  <c r="EE1423" i="8"/>
  <c r="EE3163" i="8"/>
  <c r="EE2497" i="8"/>
  <c r="EE659" i="8"/>
  <c r="EE3199" i="8"/>
  <c r="EE3137" i="8"/>
  <c r="EE205" i="8"/>
  <c r="EE328" i="8"/>
  <c r="EE1598" i="8"/>
  <c r="EE1204" i="8"/>
  <c r="EE352" i="8"/>
  <c r="EE460" i="8"/>
  <c r="EE1168" i="8"/>
  <c r="EE634" i="8"/>
  <c r="EE1487" i="8"/>
  <c r="EE823" i="8"/>
  <c r="EE261" i="8"/>
  <c r="EE1719" i="8"/>
  <c r="EE3503" i="8"/>
  <c r="EE1387" i="8"/>
  <c r="EE1480" i="8"/>
  <c r="B1480" i="3" s="1"/>
  <c r="EE2022" i="8"/>
  <c r="EE1023" i="8"/>
  <c r="EE3143" i="8"/>
  <c r="EE1901" i="8"/>
  <c r="EE962" i="8"/>
  <c r="EE3410" i="8"/>
  <c r="EE242" i="8"/>
  <c r="EE1373" i="8"/>
  <c r="EE2272" i="8"/>
  <c r="EE566" i="8"/>
  <c r="EE913" i="8"/>
  <c r="EE1381" i="8"/>
  <c r="EE378" i="8"/>
  <c r="EE2933" i="8"/>
  <c r="EE2925" i="8"/>
  <c r="EE3650" i="8"/>
  <c r="EE3265" i="8"/>
  <c r="EE3248" i="8"/>
  <c r="EE2184" i="8"/>
  <c r="EE2186" i="8"/>
  <c r="EE2813" i="8"/>
  <c r="EE2818" i="8"/>
  <c r="EE400" i="8"/>
  <c r="EE2915" i="8"/>
  <c r="B2915" i="3" s="1"/>
  <c r="EE1569" i="8"/>
  <c r="EE1316" i="8"/>
  <c r="EE2865" i="8"/>
  <c r="EE1314" i="8"/>
  <c r="EE3568" i="8"/>
  <c r="EE1370" i="8"/>
  <c r="EE3637" i="8"/>
  <c r="EE3280" i="8"/>
  <c r="B3280" i="3" s="1"/>
  <c r="EE2127" i="8"/>
  <c r="EE2256" i="8"/>
  <c r="EE993" i="8"/>
  <c r="EE2551" i="8"/>
  <c r="EE2708" i="8"/>
  <c r="EE912" i="8"/>
  <c r="EE1202" i="8"/>
  <c r="EE1421" i="8"/>
  <c r="EE3376" i="8"/>
  <c r="EE2810" i="8"/>
  <c r="EE1765" i="8"/>
  <c r="EE2857" i="8"/>
  <c r="EE2379" i="8"/>
  <c r="EE1269" i="8"/>
  <c r="EE2034" i="8"/>
  <c r="EE3246" i="8"/>
  <c r="EE2683" i="8"/>
  <c r="EE2301" i="8"/>
  <c r="EE1344" i="8"/>
  <c r="EE515" i="8"/>
  <c r="EE3351" i="8"/>
  <c r="EE3440" i="8"/>
  <c r="EE964" i="8"/>
  <c r="EE2584" i="8"/>
  <c r="EE3359" i="8"/>
  <c r="EE355" i="8"/>
  <c r="EE2434" i="8"/>
  <c r="EE3045" i="8"/>
  <c r="EE1621" i="8"/>
  <c r="EE3525" i="8"/>
  <c r="EE2618" i="8"/>
  <c r="EE1268" i="8"/>
  <c r="EE3382" i="8"/>
  <c r="EE2467" i="8"/>
  <c r="EE2470" i="8"/>
  <c r="EE3174" i="8"/>
  <c r="EE2015" i="8"/>
  <c r="EE1171" i="8"/>
  <c r="EE626" i="8"/>
  <c r="EE2502" i="8"/>
  <c r="EE2040" i="8"/>
  <c r="EE1977" i="8"/>
  <c r="EE2358" i="8"/>
  <c r="EE2894" i="8"/>
  <c r="EE2304" i="8"/>
  <c r="EE2135" i="8"/>
  <c r="EE3417" i="8"/>
  <c r="EE3436" i="8"/>
  <c r="EE3447" i="8"/>
  <c r="EE1951" i="8"/>
  <c r="EE569" i="8"/>
  <c r="EE2259" i="8"/>
  <c r="EE2124" i="8"/>
  <c r="EE687" i="8"/>
  <c r="EE1179" i="8"/>
  <c r="EE970" i="8"/>
  <c r="EE2339" i="8"/>
  <c r="EE3155" i="8"/>
  <c r="EE2570" i="8"/>
  <c r="EE2464" i="8"/>
  <c r="EE3647" i="8"/>
  <c r="EE397" i="8"/>
  <c r="EE3526" i="8"/>
  <c r="EE2728" i="8"/>
  <c r="EE1904" i="8"/>
  <c r="EE2298" i="8"/>
  <c r="EE2917" i="8"/>
  <c r="EE2753" i="8"/>
  <c r="EE3470" i="8"/>
  <c r="EE2405" i="8"/>
  <c r="EE431" i="8"/>
  <c r="EE234" i="8"/>
  <c r="EE2004" i="8"/>
  <c r="EE2675" i="8"/>
  <c r="EE853" i="8"/>
  <c r="EE720" i="8"/>
  <c r="EE2706" i="8"/>
  <c r="EE3193" i="8"/>
  <c r="EE3216" i="8"/>
  <c r="EE1265" i="8"/>
  <c r="EE1926" i="8"/>
  <c r="EE3039" i="8"/>
  <c r="EE3158" i="8"/>
  <c r="EE1948" i="8"/>
  <c r="EE1654" i="8"/>
  <c r="EE2264" i="8"/>
  <c r="EE3107" i="8"/>
  <c r="EE2227" i="8"/>
  <c r="EE3212" i="8"/>
  <c r="EE2361" i="8"/>
  <c r="EE2445" i="8"/>
  <c r="EE2328" i="8"/>
  <c r="EE1148" i="8"/>
  <c r="EE1508" i="8"/>
  <c r="EE1690" i="8"/>
  <c r="EE596" i="8"/>
  <c r="EE3605" i="8"/>
  <c r="EE958" i="8"/>
  <c r="EE1915" i="8"/>
  <c r="EE3678" i="8"/>
  <c r="EE3259" i="8"/>
  <c r="EE3083" i="8"/>
  <c r="EE3522" i="8"/>
  <c r="EE3019" i="8"/>
  <c r="EE3606" i="8"/>
  <c r="EE712" i="8"/>
  <c r="EE604" i="8"/>
  <c r="EE3263" i="8"/>
  <c r="EE143" i="8"/>
  <c r="EE174" i="8"/>
  <c r="EE2922" i="8"/>
  <c r="EE2717" i="8"/>
  <c r="EE2097" i="8"/>
  <c r="EE293" i="8"/>
  <c r="EE653" i="8"/>
  <c r="EE989" i="8"/>
  <c r="EE2100" i="8"/>
  <c r="EE1802" i="8"/>
  <c r="EE1351" i="8"/>
  <c r="EE3495" i="8"/>
  <c r="EE1546" i="8"/>
  <c r="EE1118" i="8"/>
  <c r="EE173" i="8"/>
  <c r="EE3141" i="8"/>
  <c r="EE2648" i="8"/>
  <c r="EE1030" i="8"/>
  <c r="EE1450" i="8"/>
  <c r="EE2191" i="8"/>
  <c r="EE507" i="8"/>
  <c r="EE2369" i="8"/>
  <c r="EE408" i="8"/>
  <c r="EE1172" i="8"/>
  <c r="EE1731" i="8"/>
  <c r="EE1601" i="8"/>
  <c r="EE1722" i="8"/>
  <c r="BS1254" i="3"/>
  <c r="EE2185" i="8"/>
  <c r="EE3126" i="8"/>
  <c r="EE2373" i="8"/>
  <c r="EE2216" i="8"/>
  <c r="B2216" i="3" s="1"/>
  <c r="EE2453" i="8"/>
  <c r="EE3094" i="8"/>
  <c r="EE2815" i="8"/>
  <c r="EE548" i="8"/>
  <c r="EE1451" i="8"/>
  <c r="EE3190" i="8"/>
  <c r="EE3617" i="8"/>
  <c r="EE2674" i="8"/>
  <c r="EE1673" i="8"/>
  <c r="EE327" i="8"/>
  <c r="EE246" i="8"/>
  <c r="EE3513" i="8"/>
  <c r="EE3241" i="8"/>
  <c r="EE3267" i="8"/>
  <c r="EE3092" i="8"/>
  <c r="EE3343" i="8"/>
  <c r="EE1287" i="8"/>
  <c r="EE376" i="8"/>
  <c r="EE2303" i="8"/>
  <c r="EE2435" i="8"/>
  <c r="EE274" i="8"/>
  <c r="EE2296" i="8"/>
  <c r="EE3462" i="8"/>
  <c r="EE2255" i="8"/>
  <c r="EE2716" i="8"/>
  <c r="EE1349" i="8"/>
  <c r="EE2389" i="8"/>
  <c r="EE3508" i="8"/>
  <c r="EE1718" i="8"/>
  <c r="EE1395" i="8"/>
  <c r="EE1596" i="8"/>
  <c r="EE3124" i="8"/>
  <c r="EE1323" i="8"/>
  <c r="EE1549" i="8"/>
  <c r="EE1456" i="8"/>
  <c r="EE196" i="8"/>
  <c r="EE2548" i="8"/>
  <c r="EE1170" i="8"/>
  <c r="EE2277" i="8"/>
  <c r="EE3381" i="8"/>
  <c r="EE273" i="8"/>
  <c r="EE1642" i="8"/>
  <c r="EE3489" i="8"/>
  <c r="EE2735" i="8"/>
  <c r="EE2376" i="8"/>
  <c r="EE1559" i="8"/>
  <c r="EE2240" i="8"/>
  <c r="EE3065" i="8"/>
  <c r="EE240" i="8"/>
  <c r="EE2600" i="8"/>
  <c r="EE2026" i="8"/>
  <c r="EE2503" i="8"/>
  <c r="EE3433" i="8"/>
  <c r="EE3430" i="8"/>
  <c r="EE1249" i="8"/>
  <c r="EE2307" i="8"/>
  <c r="EE1193" i="8"/>
  <c r="AK1193" i="3" s="1"/>
  <c r="AK283" i="3"/>
  <c r="EE3434" i="8"/>
  <c r="EE670" i="8"/>
  <c r="EE2145" i="8"/>
  <c r="EE1922" i="8"/>
  <c r="EE908" i="8"/>
  <c r="EE2477" i="8"/>
  <c r="EE390" i="8"/>
  <c r="EE382" i="8"/>
  <c r="EE313" i="8"/>
  <c r="EE2965" i="8"/>
  <c r="EE2420" i="8"/>
  <c r="EE1397" i="8"/>
  <c r="EE1710" i="8"/>
  <c r="EE2652" i="8"/>
  <c r="EE854" i="8"/>
  <c r="EE2800" i="8"/>
  <c r="EE1637" i="8"/>
  <c r="EE3664" i="8"/>
  <c r="EE3071" i="8"/>
  <c r="EE2366" i="8"/>
  <c r="EE2660" i="8"/>
  <c r="EE1055" i="8"/>
  <c r="EE2187" i="8"/>
  <c r="EE3098" i="8"/>
  <c r="EE3693" i="8"/>
  <c r="EE1778" i="8"/>
  <c r="EE1552" i="8"/>
  <c r="EE2552" i="8"/>
  <c r="EE393" i="8"/>
  <c r="EE2509" i="8"/>
  <c r="EE2066" i="8"/>
  <c r="EE2833" i="8"/>
  <c r="EE3397" i="8"/>
  <c r="EE488" i="8"/>
  <c r="EE3702" i="8"/>
  <c r="EE1312" i="8"/>
  <c r="EE451" i="8"/>
  <c r="EE1757" i="8"/>
  <c r="EE1159" i="8"/>
  <c r="EE911" i="8"/>
  <c r="EE3491" i="8"/>
  <c r="EE369" i="8"/>
  <c r="EE3577" i="8"/>
  <c r="EE624" i="8"/>
  <c r="EE2456" i="8"/>
  <c r="EE3452" i="8"/>
  <c r="EE3123" i="8"/>
  <c r="EE3574" i="8"/>
  <c r="EE3068" i="8"/>
  <c r="EE1747" i="8"/>
  <c r="EE666" i="8"/>
  <c r="EE1183" i="8"/>
  <c r="EE399" i="8"/>
  <c r="EE198" i="8"/>
  <c r="EE1199" i="8"/>
  <c r="EE2553" i="8"/>
  <c r="EE1246" i="8"/>
  <c r="EE266" i="8"/>
  <c r="EE1661" i="8"/>
  <c r="EE227" i="8"/>
  <c r="EE1454" i="8"/>
  <c r="EE3237" i="8"/>
  <c r="EE213" i="8"/>
  <c r="EE267" i="8"/>
  <c r="EE2712" i="8"/>
  <c r="EE2807" i="8"/>
  <c r="B2807" i="3" s="1"/>
  <c r="EE2174" i="8"/>
  <c r="B2174" i="3" s="1"/>
  <c r="EE2782" i="8"/>
  <c r="EE2044" i="8"/>
  <c r="B2044" i="3" s="1"/>
  <c r="EE1278" i="8"/>
  <c r="O1278" i="3" s="1"/>
  <c r="EE1194" i="8"/>
  <c r="B1194" i="3" s="1"/>
  <c r="EE1707" i="8"/>
  <c r="B1707" i="3" s="1"/>
  <c r="EE2682" i="8"/>
  <c r="B2682" i="3" s="1"/>
  <c r="EE3256" i="8"/>
  <c r="EE1767" i="8"/>
  <c r="EE2149" i="8"/>
  <c r="EE2572" i="8"/>
  <c r="EE1256" i="8"/>
  <c r="O1256" i="3" s="1"/>
  <c r="EE1567" i="8"/>
  <c r="B1567" i="3" s="1"/>
  <c r="EE1360" i="8"/>
  <c r="B1360" i="3" s="1"/>
  <c r="EE3396" i="8"/>
  <c r="EE2736" i="8"/>
  <c r="EE2938" i="8"/>
  <c r="EE2402" i="8"/>
  <c r="EE1542" i="8"/>
  <c r="S1542" i="3" s="1"/>
  <c r="EE1191" i="8"/>
  <c r="EE1332" i="8"/>
  <c r="Q1332" i="3" s="1"/>
  <c r="EE1884" i="8"/>
  <c r="EE1346" i="8"/>
  <c r="S1346" i="3" s="1"/>
  <c r="EE1374" i="8"/>
  <c r="EE1670" i="8"/>
  <c r="S1670" i="3" s="1"/>
  <c r="EE2781" i="8"/>
  <c r="EE3593" i="8"/>
  <c r="EE182" i="8"/>
  <c r="EE291" i="8"/>
  <c r="EE2916" i="8"/>
  <c r="EE1086" i="8"/>
  <c r="EE1887" i="8"/>
  <c r="B1887" i="3" s="1"/>
  <c r="EE1284" i="8"/>
  <c r="EE1974" i="8"/>
  <c r="EE1505" i="8"/>
  <c r="EE1271" i="8"/>
  <c r="EE1238" i="8"/>
  <c r="EE1417" i="8"/>
  <c r="EE544" i="8"/>
  <c r="EE2150" i="8"/>
  <c r="EE745" i="8"/>
  <c r="EE574" i="8"/>
  <c r="EE883" i="8"/>
  <c r="EE819" i="8"/>
  <c r="EE2524" i="8"/>
  <c r="EE1651" i="8"/>
  <c r="EE1019" i="8"/>
  <c r="EE2928" i="8"/>
  <c r="EE1310" i="8"/>
  <c r="EE1632" i="8"/>
  <c r="EE2581" i="8"/>
  <c r="EE356" i="8"/>
  <c r="EE3072" i="8"/>
  <c r="EE3152" i="8"/>
  <c r="EE1452" i="8"/>
  <c r="EE593" i="8"/>
  <c r="EE3655" i="8"/>
  <c r="EE1245" i="8"/>
  <c r="EE3253" i="8"/>
  <c r="EE290" i="8"/>
  <c r="EE3613" i="8"/>
  <c r="EE1313" i="8"/>
  <c r="EE3053" i="8"/>
  <c r="EE2494" i="8"/>
  <c r="EE1937" i="8"/>
  <c r="EE1234" i="8"/>
  <c r="EE2491" i="8"/>
  <c r="EE1576" i="8"/>
  <c r="EE477" i="8"/>
  <c r="EE333" i="8"/>
  <c r="EE537" i="8"/>
  <c r="EE539" i="8"/>
  <c r="EE1791" i="8"/>
  <c r="EE1080" i="8"/>
  <c r="EE2037" i="8"/>
  <c r="EE1734" i="8"/>
  <c r="EE3215" i="8"/>
  <c r="EE3184" i="8"/>
  <c r="U3184" i="3" s="1"/>
  <c r="EE3608" i="8"/>
  <c r="EE1237" i="8"/>
  <c r="EE2525" i="8"/>
  <c r="EE1785" i="8"/>
  <c r="EE2889" i="8"/>
  <c r="EE478" i="8"/>
  <c r="EE3069" i="8"/>
  <c r="EE438" i="8"/>
  <c r="EE2180" i="8"/>
  <c r="EE3099" i="8"/>
  <c r="EE2672" i="8"/>
  <c r="EE715" i="8"/>
  <c r="EE1291" i="8"/>
  <c r="EE1280" i="8"/>
  <c r="EE2557" i="8"/>
  <c r="EE1568" i="8"/>
  <c r="EE3379" i="8"/>
  <c r="EE1985" i="8"/>
  <c r="EE2416" i="8"/>
  <c r="EE2360" i="8"/>
  <c r="EE317" i="8"/>
  <c r="EE2203" i="8"/>
  <c r="EE2785" i="8"/>
  <c r="EE190" i="8"/>
  <c r="EE2650" i="8"/>
  <c r="EE2801" i="8"/>
  <c r="EE1241" i="8"/>
  <c r="EE3658" i="8"/>
  <c r="EE3226" i="8"/>
  <c r="EE973" i="8"/>
  <c r="EE3444" i="8"/>
  <c r="EE805" i="8"/>
  <c r="EE3000" i="8"/>
  <c r="EE618" i="8"/>
  <c r="EE644" i="8"/>
  <c r="EE517" i="8"/>
  <c r="EE340" i="8"/>
  <c r="EE1134" i="8"/>
  <c r="EE2492" i="8"/>
  <c r="EE1713" i="8"/>
  <c r="EE2829" i="8"/>
  <c r="EE502" i="8"/>
  <c r="EE3345" i="8"/>
  <c r="EE3153" i="8"/>
  <c r="EE1068" i="8"/>
  <c r="EE1739" i="8"/>
  <c r="EE2923" i="8"/>
  <c r="EE866" i="8"/>
  <c r="EE610" i="8"/>
  <c r="EE2931" i="8"/>
  <c r="EE1211" i="8"/>
  <c r="EE329" i="8"/>
  <c r="EE1270" i="8"/>
  <c r="EE1478" i="8"/>
  <c r="EE1744" i="8"/>
  <c r="EE154" i="8"/>
  <c r="EE586" i="8"/>
  <c r="EE2115" i="8"/>
  <c r="EE631" i="8"/>
  <c r="EE3586" i="8"/>
  <c r="EE2842" i="8"/>
  <c r="EE3104" i="8"/>
  <c r="EE239" i="8"/>
  <c r="EE389" i="8"/>
  <c r="EE454" i="8"/>
  <c r="EE2493" i="8"/>
  <c r="EE769" i="8"/>
  <c r="EE765" i="8"/>
  <c r="EE3374" i="8"/>
  <c r="EE1614" i="8"/>
  <c r="EE2424" i="8"/>
  <c r="EE3059" i="8"/>
  <c r="EE3509" i="8"/>
  <c r="EE475" i="8"/>
  <c r="EE2278" i="8"/>
  <c r="EE195" i="8"/>
  <c r="EE404" i="8"/>
  <c r="EE2685" i="8"/>
  <c r="EE2072" i="8"/>
  <c r="EE2025" i="8"/>
  <c r="EE576" i="8"/>
  <c r="EE2393" i="8"/>
  <c r="EE3368" i="8"/>
  <c r="EE483" i="8"/>
  <c r="EE2615" i="8"/>
  <c r="EE3249" i="8"/>
  <c r="EE2030" i="8"/>
  <c r="EE1303" i="8"/>
  <c r="EE2107" i="8"/>
  <c r="EE2700" i="8"/>
  <c r="EE1443" i="8"/>
  <c r="EE281" i="8"/>
  <c r="EE2881" i="8"/>
  <c r="EE811" i="8"/>
  <c r="EE275" i="8"/>
  <c r="EE800" i="8"/>
  <c r="EE405" i="8"/>
  <c r="EE2481" i="8"/>
  <c r="EE516" i="8"/>
  <c r="EE2514" i="8"/>
  <c r="EE2286" i="8"/>
  <c r="EE1109" i="8"/>
  <c r="EE1960" i="8"/>
  <c r="EE1337" i="8"/>
  <c r="EE727" i="8"/>
  <c r="EE3468" i="8"/>
  <c r="EE2260" i="8"/>
  <c r="EE2390" i="8"/>
  <c r="EE3564" i="8"/>
  <c r="EE936" i="8"/>
  <c r="EE829" i="8"/>
  <c r="EE3229" i="8"/>
  <c r="EE226" i="8"/>
  <c r="B226" i="3" s="1"/>
  <c r="EE1027" i="8"/>
  <c r="EE3325" i="8"/>
  <c r="EE3233" i="8"/>
  <c r="EE3036" i="8"/>
  <c r="EE788" i="8"/>
  <c r="EE2707" i="8"/>
  <c r="EE752" i="8"/>
  <c r="EE2745" i="8"/>
  <c r="EE1261" i="8"/>
  <c r="EE2631" i="8"/>
  <c r="EE1228" i="8"/>
  <c r="EE345" i="8"/>
  <c r="EE1050" i="8"/>
  <c r="EE3204" i="8"/>
  <c r="EE837" i="8"/>
  <c r="EE844" i="8"/>
  <c r="EE3074" i="8"/>
  <c r="EE228" i="8"/>
  <c r="EE1968" i="8"/>
  <c r="EE2410" i="8"/>
  <c r="EE3269" i="8"/>
  <c r="EE2474" i="8"/>
  <c r="EE3244" i="8"/>
  <c r="EE2483" i="8"/>
  <c r="EE620" i="8"/>
  <c r="EE1435" i="8"/>
  <c r="EE2812" i="8"/>
  <c r="EE1499" i="8"/>
  <c r="EE2605" i="8"/>
  <c r="EE2452" i="8"/>
  <c r="EE740" i="8"/>
  <c r="EE220" i="8"/>
  <c r="EE2907" i="8"/>
  <c r="EE362" i="8"/>
  <c r="EE3315" i="8"/>
  <c r="EE2609" i="8"/>
  <c r="EE1073" i="8"/>
  <c r="EE2734" i="8"/>
  <c r="EE2172" i="8"/>
  <c r="EE3132" i="8"/>
  <c r="EE2338" i="8"/>
  <c r="EE297" i="8"/>
  <c r="EE1311" i="8"/>
  <c r="EE1355" i="8"/>
  <c r="EE446" i="8"/>
  <c r="EE1359" i="8"/>
  <c r="EE1255" i="8"/>
  <c r="EE1752" i="8"/>
  <c r="EE3461" i="8"/>
  <c r="EE1500" i="8"/>
  <c r="EE2963" i="8"/>
  <c r="EE3362" i="8"/>
  <c r="EE1254" i="8"/>
  <c r="EE3255" i="8"/>
  <c r="EE271" i="8"/>
  <c r="EE1792" i="8"/>
  <c r="EE941" i="8"/>
  <c r="EE615" i="8"/>
  <c r="EE410" i="8"/>
  <c r="EE1230" i="8"/>
  <c r="EE2114" i="8"/>
  <c r="EE1396" i="8"/>
  <c r="EE3646" i="8"/>
  <c r="EE2392" i="8"/>
  <c r="EE413" i="8"/>
  <c r="EE3481" i="8"/>
  <c r="EE3488" i="8"/>
  <c r="EE1510" i="8"/>
  <c r="EE2459" i="8"/>
  <c r="EE2546" i="8"/>
  <c r="EE2504" i="8"/>
  <c r="EE648" i="8"/>
  <c r="EE3103" i="8"/>
  <c r="EE1674" i="8"/>
  <c r="EE1958" i="8"/>
  <c r="EE1410" i="8"/>
  <c r="EE442" i="8"/>
  <c r="EE2798" i="8"/>
  <c r="EE2061" i="8"/>
  <c r="EE270" i="8"/>
  <c r="EE3585" i="8"/>
  <c r="EE1097" i="8"/>
  <c r="EE622" i="8"/>
  <c r="EE1140" i="8"/>
  <c r="EE2363" i="8"/>
  <c r="EE2419" i="8"/>
  <c r="EE514" i="8"/>
  <c r="EE718" i="8"/>
  <c r="EE2091" i="8"/>
  <c r="B2091" i="3" s="1"/>
  <c r="EE2725" i="8"/>
  <c r="EE821" i="8"/>
  <c r="EE3090" i="8"/>
  <c r="EE1186" i="8"/>
  <c r="EE3261" i="8"/>
  <c r="EE1803" i="8"/>
  <c r="EE1616" i="8"/>
  <c r="EE2384" i="8"/>
  <c r="EE3413" i="8"/>
  <c r="EE2231" i="8"/>
  <c r="EE589" i="8"/>
  <c r="EE2547" i="8"/>
  <c r="EE3384" i="8"/>
  <c r="EE1558" i="8"/>
  <c r="EE3514" i="8"/>
  <c r="EE2142" i="8"/>
  <c r="EE2246" i="8"/>
  <c r="EE1743" i="8"/>
  <c r="EE1244" i="8"/>
  <c r="EE186" i="8"/>
  <c r="EE867" i="8"/>
  <c r="EE717" i="8"/>
  <c r="EE641" i="8"/>
  <c r="EE1356" i="8"/>
  <c r="EE726" i="8"/>
  <c r="EE724" i="8"/>
  <c r="EE2482" i="8"/>
  <c r="EE2729" i="8"/>
  <c r="EE2940" i="8"/>
  <c r="EE3353" i="8"/>
  <c r="EE3610" i="8"/>
  <c r="EE838" i="8"/>
  <c r="EE2796" i="8"/>
  <c r="EE1760" i="8"/>
  <c r="EE2088" i="8"/>
  <c r="EE968" i="8"/>
  <c r="EE416" i="8"/>
  <c r="EE1329" i="8"/>
  <c r="EE1143" i="8"/>
  <c r="EE3465" i="8"/>
  <c r="EE1440" i="8"/>
  <c r="EE2740" i="8"/>
  <c r="EE1353" i="8"/>
  <c r="EE1348" i="8"/>
  <c r="EE3536" i="8"/>
  <c r="EE385" i="8"/>
  <c r="EE3438" i="8"/>
  <c r="EE3584" i="8"/>
  <c r="EE847" i="8"/>
  <c r="EE3333" i="8"/>
  <c r="EE1653" i="8"/>
  <c r="EE944" i="8"/>
  <c r="EE2077" i="8"/>
  <c r="EE3669" i="8"/>
  <c r="EE2603" i="8"/>
  <c r="EE1293" i="8"/>
  <c r="EE2623" i="8"/>
  <c r="EE1681" i="8"/>
  <c r="EE554" i="8"/>
  <c r="EE3288" i="8"/>
  <c r="EE2486" i="8"/>
  <c r="EE573" i="8"/>
  <c r="EE1363" i="8"/>
  <c r="EE2276" i="8"/>
  <c r="EE2726" i="8"/>
  <c r="EE2773" i="8"/>
  <c r="EE2353" i="8"/>
  <c r="EE2519" i="8"/>
  <c r="EE1700" i="8"/>
  <c r="EE490" i="8"/>
  <c r="EE1474" i="8"/>
  <c r="EE2979" i="8"/>
  <c r="EE3636" i="8"/>
  <c r="EE3043" i="8"/>
  <c r="B3043" i="3" s="1"/>
  <c r="EE2413" i="8"/>
  <c r="EE2909" i="8"/>
  <c r="EE3487" i="8"/>
  <c r="EE2901" i="8"/>
  <c r="EE1248" i="8"/>
  <c r="EE640" i="8"/>
  <c r="EE762" i="8"/>
  <c r="EE3671" i="8"/>
  <c r="EE1056" i="8"/>
  <c r="EE1119" i="8"/>
  <c r="EE2374" i="8"/>
  <c r="EE2291" i="8"/>
  <c r="EE2049" i="8"/>
  <c r="EE1732" i="8"/>
  <c r="EE1100" i="8"/>
  <c r="EE556" i="8"/>
  <c r="EE3066" i="8"/>
  <c r="EE865" i="8"/>
  <c r="EE3115" i="8"/>
  <c r="EE3392" i="8"/>
  <c r="EE2991" i="8"/>
  <c r="EE661" i="8"/>
  <c r="EE2880" i="8"/>
  <c r="EE2192" i="8"/>
  <c r="EE681" i="8"/>
  <c r="EE2476" i="8"/>
  <c r="EE2021" i="8"/>
  <c r="EE2299" i="8"/>
  <c r="EE1805" i="8"/>
  <c r="EE1770" i="8"/>
  <c r="EE1014" i="8"/>
  <c r="EE1317" i="8"/>
  <c r="EE2578" i="8"/>
  <c r="EE1955" i="8"/>
  <c r="EE1149" i="8"/>
  <c r="EE2873" i="8"/>
  <c r="EE2371" i="8"/>
  <c r="EE899" i="8"/>
  <c r="EE2590" i="8"/>
  <c r="EE2261" i="8"/>
  <c r="EE2619" i="8"/>
  <c r="EE3573" i="8"/>
  <c r="EE2961" i="8"/>
  <c r="EE1114" i="8"/>
  <c r="EE2840" i="8"/>
  <c r="EE602" i="8"/>
  <c r="EE3227" i="8"/>
  <c r="EE3197" i="8"/>
  <c r="EE1008" i="8"/>
  <c r="EE1294" i="8"/>
  <c r="EE1675" i="8"/>
  <c r="EE1422" i="8"/>
  <c r="EE2878" i="8"/>
  <c r="EE2793" i="8"/>
  <c r="EE1309" i="8"/>
  <c r="EE1498" i="8"/>
  <c r="EE748" i="8"/>
  <c r="EE1273" i="8"/>
  <c r="EE1531" i="8"/>
  <c r="EE1327" i="8"/>
  <c r="EE2786" i="8"/>
  <c r="EE3096" i="8"/>
  <c r="EE1581" i="8"/>
  <c r="EE445" i="8"/>
  <c r="EE3507" i="8"/>
  <c r="EE2219" i="8"/>
  <c r="EE1950" i="8"/>
  <c r="EE3034" i="8"/>
  <c r="EE983" i="8"/>
  <c r="EE3125" i="8"/>
  <c r="EE455" i="8"/>
  <c r="EE2882" i="8"/>
  <c r="EE1364" i="8"/>
  <c r="EE835" i="8"/>
  <c r="EE3570" i="8"/>
  <c r="EE1402" i="8"/>
  <c r="EE2523" i="8"/>
  <c r="EE1389" i="8"/>
  <c r="EE2320" i="8"/>
  <c r="EE1434" i="8"/>
  <c r="EE3375" i="8"/>
  <c r="EE3102" i="8"/>
  <c r="EE948" i="8"/>
  <c r="EE2954" i="8"/>
  <c r="EE2089" i="8"/>
  <c r="EE3518" i="8"/>
  <c r="EE2306" i="8"/>
  <c r="EE3366" i="8"/>
  <c r="EE2119" i="8"/>
  <c r="EE3618" i="8"/>
  <c r="EE3060" i="8"/>
  <c r="EE1532" i="8"/>
  <c r="EE3129" i="8"/>
  <c r="EE288" i="8"/>
  <c r="EE1144" i="8"/>
  <c r="EE2903" i="8"/>
  <c r="EE1726" i="8"/>
  <c r="EE2638" i="8"/>
  <c r="EE1971" i="8"/>
  <c r="EE1796" i="8"/>
  <c r="EE2237" i="8"/>
  <c r="EE3149" i="8"/>
  <c r="EE2784" i="8"/>
  <c r="B2784" i="3" s="1"/>
  <c r="EE338" i="8"/>
  <c r="EE238" i="8"/>
  <c r="EE3172" i="8"/>
  <c r="EE1618" i="8"/>
  <c r="EE1350" i="8"/>
  <c r="EE314" i="8"/>
  <c r="EE639" i="8"/>
  <c r="EE1712" i="8"/>
  <c r="EE1354" i="8"/>
  <c r="EE2496" i="8"/>
  <c r="EE3656" i="8"/>
  <c r="EE880" i="8"/>
  <c r="EE2834" i="8"/>
  <c r="EE209" i="8"/>
  <c r="EE3709" i="8"/>
  <c r="EE2935" i="8"/>
  <c r="EE791" i="8"/>
  <c r="EE2943" i="8"/>
  <c r="EE3206" i="8"/>
  <c r="EE1300" i="8"/>
  <c r="EE2293" i="8"/>
  <c r="EE2952" i="8"/>
  <c r="B2952" i="3" s="1"/>
  <c r="EE2085" i="8"/>
  <c r="EE3147" i="8"/>
  <c r="EE984" i="8"/>
  <c r="EE3451" i="8"/>
  <c r="EE761" i="8"/>
  <c r="EE3011" i="8"/>
  <c r="EE3457" i="8"/>
  <c r="EE2333" i="8"/>
  <c r="EE1687" i="8"/>
  <c r="EE1631" i="8"/>
  <c r="EE3093" i="8"/>
  <c r="EE2671" i="8"/>
  <c r="EE969" i="8"/>
  <c r="EE1257" i="8"/>
  <c r="EE3548" i="8"/>
  <c r="EE2387" i="8"/>
  <c r="EE1691" i="8"/>
  <c r="EE2206" i="8"/>
  <c r="EE2121" i="8"/>
  <c r="EE3350" i="8"/>
  <c r="EE2664" i="8"/>
  <c r="EE1362" i="8"/>
  <c r="EE3013" i="8"/>
  <c r="EE3549" i="8"/>
  <c r="EE3494" i="8"/>
  <c r="EE555" i="8"/>
  <c r="EE3202" i="8"/>
  <c r="EE2559" i="8"/>
  <c r="EE3305" i="8"/>
  <c r="EE3448" i="8"/>
  <c r="EE2326" i="8"/>
  <c r="EE1015" i="8"/>
  <c r="EE1305" i="8"/>
  <c r="EE3534" i="8"/>
  <c r="EE3058" i="8"/>
  <c r="EE775" i="8"/>
  <c r="EE346" i="8"/>
  <c r="EE1889" i="8"/>
  <c r="EE2036" i="8"/>
  <c r="B2036" i="3" s="1"/>
  <c r="EE3298" i="8"/>
  <c r="EE453" i="8"/>
  <c r="EE561" i="8"/>
  <c r="EE1033" i="8"/>
  <c r="EE1188" i="8"/>
  <c r="EE2897" i="8"/>
  <c r="EE1233" i="8"/>
  <c r="EE959" i="8"/>
  <c r="EE2946" i="8"/>
  <c r="EE3291" i="8"/>
  <c r="EE3485" i="8"/>
  <c r="EE773" i="8"/>
  <c r="EE3109" i="8"/>
  <c r="EE3480" i="8"/>
  <c r="EE635" i="8"/>
  <c r="EE3369" i="8"/>
  <c r="EE2969" i="8"/>
  <c r="EE1295" i="8"/>
  <c r="EE1125" i="8"/>
  <c r="EE1189" i="8"/>
  <c r="EE2970" i="8"/>
  <c r="EE1575" i="8"/>
  <c r="EE2394" i="8"/>
  <c r="EE2454" i="8"/>
  <c r="B2454" i="3" s="1"/>
  <c r="EE673" i="8"/>
  <c r="EE3097" i="8"/>
  <c r="EE2341" i="8"/>
  <c r="EE2534" i="8"/>
  <c r="EE3088" i="8"/>
  <c r="EE1177" i="8"/>
  <c r="EE521" i="8"/>
  <c r="EE524" i="8"/>
  <c r="EE1078" i="8"/>
  <c r="EE323" i="8"/>
  <c r="EE2550" i="8"/>
  <c r="EE2994" i="8"/>
  <c r="EE856" i="8"/>
  <c r="EE2028" i="8"/>
  <c r="EE199" i="8"/>
  <c r="EE3657" i="8"/>
  <c r="EE1585" i="8"/>
  <c r="EE398" i="8"/>
  <c r="EE166" i="8"/>
  <c r="EE697" i="8"/>
  <c r="EE2033" i="8"/>
  <c r="EE1285" i="8"/>
  <c r="EE2746" i="8"/>
  <c r="EE2722" i="8"/>
  <c r="EE3476" i="8"/>
  <c r="EE1113" i="8"/>
  <c r="EE2737" i="8"/>
  <c r="EE534" i="8"/>
  <c r="EE278" i="8"/>
  <c r="EE3692" i="8"/>
  <c r="EE619" i="8"/>
  <c r="EE1162" i="8"/>
  <c r="EE3219" i="8"/>
  <c r="EE3453" i="8"/>
  <c r="EE2701" i="8"/>
  <c r="EE2314" i="8"/>
  <c r="EE858" i="8"/>
  <c r="EE2799" i="8"/>
  <c r="EE2039" i="8"/>
  <c r="EE582" i="8"/>
  <c r="EE638" i="8"/>
  <c r="EE1163" i="8"/>
  <c r="EE667" i="8"/>
  <c r="EE2898" i="8"/>
  <c r="EE3196" i="8"/>
  <c r="EE1471" i="8"/>
  <c r="EE594" i="8"/>
  <c r="EE2942" i="8"/>
  <c r="EE1563" i="8"/>
  <c r="EE702" i="8"/>
  <c r="EE1640" i="8"/>
  <c r="EE1004" i="8"/>
  <c r="EE1439" i="8"/>
  <c r="EE528" i="8"/>
  <c r="EE3303" i="8"/>
  <c r="EE1578" i="8"/>
  <c r="EE2896" i="8"/>
  <c r="EE1906" i="8"/>
  <c r="EE2625" i="8"/>
  <c r="EE2193" i="8"/>
  <c r="EE2537" i="8"/>
  <c r="EE3365" i="8"/>
  <c r="EE1970" i="8"/>
  <c r="EE928" i="8"/>
  <c r="EE1694" i="8"/>
  <c r="EE2288" i="8"/>
  <c r="EE3307" i="8"/>
  <c r="EE3460" i="8"/>
  <c r="EE142" i="8"/>
  <c r="EE243" i="8"/>
  <c r="EE2698" i="8"/>
  <c r="EE2565" i="8"/>
  <c r="EE489" i="8"/>
  <c r="EE473" i="8"/>
  <c r="EE1776" i="8"/>
  <c r="EE1493" i="8"/>
  <c r="EE3432" i="8"/>
  <c r="EE1296" i="8"/>
  <c r="EE3119" i="8"/>
  <c r="EE541" i="8"/>
  <c r="EE3706" i="8"/>
  <c r="EE1724" i="8"/>
  <c r="EE1610" i="8"/>
  <c r="EE842" i="8"/>
  <c r="EE1636" i="8"/>
  <c r="EE1383" i="8"/>
  <c r="EE3224" i="8"/>
  <c r="EE1643" i="8"/>
  <c r="EE2851" i="8"/>
  <c r="EE2693" i="8"/>
  <c r="EE1006" i="8"/>
  <c r="EE1338" i="8"/>
  <c r="EE1683" i="8"/>
  <c r="EE3134" i="8"/>
  <c r="EE450" i="8"/>
  <c r="EE1222" i="8"/>
  <c r="EE1037" i="8"/>
  <c r="EE2082" i="8"/>
  <c r="EE2510" i="8"/>
  <c r="EE230" i="8"/>
  <c r="EE3175" i="8"/>
  <c r="EE3159" i="8"/>
  <c r="EE2512" i="8"/>
  <c r="EE2789" i="8"/>
  <c r="EE799" i="8"/>
  <c r="EE2802" i="8"/>
  <c r="EE2515" i="8"/>
  <c r="EE1711" i="8"/>
  <c r="EE2151" i="8"/>
  <c r="EE394" i="8"/>
  <c r="EE1944" i="8"/>
  <c r="EE2473" i="8"/>
  <c r="EE943" i="8"/>
  <c r="EE3425" i="8"/>
  <c r="EE2859" i="8"/>
  <c r="EE3581" i="8"/>
  <c r="EE412" i="8"/>
  <c r="EE3607" i="8"/>
  <c r="EE2241" i="8"/>
  <c r="EE495" i="8"/>
  <c r="EE1299" i="8"/>
  <c r="EE2367" i="8"/>
  <c r="EE1667" i="8"/>
  <c r="EE3527" i="8"/>
  <c r="EE3419" i="8"/>
  <c r="EE3371" i="8"/>
  <c r="EE630" i="8"/>
  <c r="EE1928" i="8"/>
  <c r="EE1466" i="8"/>
  <c r="EE3332" i="8"/>
  <c r="EE3386" i="8"/>
  <c r="EE3695" i="8"/>
  <c r="EE535" i="8"/>
  <c r="EE975" i="8"/>
  <c r="EE2059" i="8"/>
  <c r="EE760" i="8"/>
  <c r="C760" i="3" s="1"/>
  <c r="EE2821" i="8"/>
  <c r="EE2538" i="8"/>
  <c r="EE1529" i="8"/>
  <c r="EE2848" i="8"/>
  <c r="EE315" i="8"/>
  <c r="EE3414" i="8"/>
  <c r="EE2627" i="8"/>
  <c r="EE2370" i="8"/>
  <c r="EE2591" i="8"/>
  <c r="EE2123" i="8"/>
  <c r="EE181" i="8"/>
  <c r="EE2003" i="8"/>
  <c r="EE3614" i="8"/>
  <c r="EE3323" i="8"/>
  <c r="EE2265" i="8"/>
  <c r="EE1903" i="8"/>
  <c r="EE193" i="8"/>
  <c r="EE1755" i="8"/>
  <c r="EE3339" i="8"/>
  <c r="EE953" i="8"/>
  <c r="EE1342" i="8"/>
  <c r="EE1331" i="8"/>
  <c r="EE976" i="8"/>
  <c r="EE917" i="8"/>
  <c r="EE377" i="8"/>
  <c r="EE2709" i="8"/>
  <c r="EE3007" i="8"/>
  <c r="EE891" i="8"/>
  <c r="EE3370" i="8"/>
  <c r="EE881" i="8"/>
  <c r="EE1484" i="8"/>
  <c r="EE1995" i="8"/>
  <c r="EE1066" i="8"/>
  <c r="EE1005" i="8"/>
  <c r="EE3711" i="8"/>
  <c r="EE215" i="8"/>
  <c r="EE3243" i="8"/>
  <c r="EE1460" i="8"/>
  <c r="EE526" i="8"/>
  <c r="EE1352" i="8"/>
  <c r="EE3416" i="8"/>
  <c r="EE3176" i="8"/>
  <c r="EE1930" i="8"/>
  <c r="EE3424" i="8"/>
  <c r="EE1075" i="8"/>
  <c r="EE1733" i="8"/>
  <c r="EE1911" i="8"/>
  <c r="EE1126" i="8"/>
  <c r="EE776" i="8"/>
  <c r="EE1736" i="8"/>
  <c r="EE1135" i="8"/>
  <c r="EE1219" i="8"/>
  <c r="EE3532" i="8"/>
  <c r="EE2032" i="8"/>
  <c r="EE381" i="8"/>
  <c r="EE1913" i="8"/>
  <c r="EE2220" i="8"/>
  <c r="EE1572" i="8"/>
  <c r="EE2432" i="8"/>
  <c r="EE954" i="8"/>
  <c r="EE2236" i="8"/>
  <c r="EE3357" i="8"/>
  <c r="EE3178" i="8"/>
  <c r="EE1242" i="8"/>
  <c r="EE955" i="8"/>
  <c r="EE2335" i="8"/>
  <c r="EE3687" i="8"/>
  <c r="EE677" i="8"/>
  <c r="EE331" i="8"/>
  <c r="EE787" i="8"/>
  <c r="EE3407" i="8"/>
  <c r="EE2626" i="8"/>
  <c r="EE2877" i="8"/>
  <c r="EE3666" i="8"/>
  <c r="EE1124" i="8"/>
  <c r="EE914" i="8"/>
  <c r="EE2399" i="8"/>
  <c r="EE1394" i="8"/>
  <c r="EE3493" i="8"/>
  <c r="EE3070" i="8"/>
  <c r="EE1589" i="8"/>
  <c r="EE1365" i="8"/>
  <c r="EE1679" i="8"/>
  <c r="EE869" i="8"/>
  <c r="EE3073" i="8"/>
  <c r="EE744" i="8"/>
  <c r="EE1427" i="8"/>
  <c r="EE1345" i="8"/>
  <c r="EE1236" i="8"/>
  <c r="EE2891" i="8"/>
  <c r="EE487" i="8"/>
  <c r="EE2292" i="8"/>
  <c r="EE2945" i="8"/>
  <c r="EE434" i="8"/>
  <c r="EE432" i="8"/>
  <c r="EE2884" i="8"/>
  <c r="EE3052" i="8"/>
  <c r="EE3230" i="8"/>
  <c r="EE3006" i="8"/>
  <c r="EE981" i="8"/>
  <c r="EE2198" i="8"/>
  <c r="EE2980" i="8"/>
  <c r="EE827" i="8"/>
  <c r="EE2867" i="8"/>
  <c r="EE809" i="8"/>
  <c r="EE2001" i="8"/>
  <c r="EE1064" i="8"/>
  <c r="EE2431" i="8"/>
  <c r="EE512" i="8"/>
  <c r="EE232" i="8"/>
  <c r="EE551" i="8"/>
  <c r="EE3341" i="8"/>
  <c r="EE1698" i="8"/>
  <c r="EE2430" i="8"/>
  <c r="EE3643" i="8"/>
  <c r="EE513" i="8"/>
  <c r="EE1090" i="8"/>
  <c r="EE1929" i="8"/>
  <c r="EE152" i="8"/>
  <c r="EE2031" i="8"/>
  <c r="EE654" i="8"/>
  <c r="EE3550" i="8"/>
  <c r="EE2757" i="8"/>
  <c r="EE2879" i="8"/>
  <c r="EE2960" i="8"/>
  <c r="EE1793" i="8"/>
  <c r="EE2443" i="8"/>
  <c r="EE579" i="8"/>
  <c r="EE2164" i="8"/>
  <c r="EE2662" i="8"/>
  <c r="EE3683" i="8"/>
  <c r="EE520" i="8"/>
  <c r="EE2000" i="8"/>
  <c r="EE923" i="8"/>
  <c r="EE1923" i="8"/>
  <c r="EE1952" i="8"/>
  <c r="EE2601" i="8"/>
  <c r="EE343" i="8"/>
  <c r="EE3523" i="8"/>
  <c r="EE950" i="8"/>
  <c r="EE1953" i="8"/>
  <c r="EE2809" i="8"/>
  <c r="EE387" i="8"/>
  <c r="EE1444" i="8"/>
  <c r="EE1597" i="8"/>
  <c r="EE2218" i="8"/>
  <c r="EE1372" i="8"/>
  <c r="EE2895" i="8"/>
  <c r="EE2108" i="8"/>
  <c r="EE3302" i="8"/>
  <c r="EE2688" i="8"/>
  <c r="EE2391" i="8"/>
  <c r="EE525" i="8"/>
  <c r="EE818" i="8"/>
  <c r="EE2690" i="8"/>
  <c r="EE1527" i="8"/>
  <c r="EE2020" i="8"/>
  <c r="EE1448" i="8"/>
  <c r="EE3427" i="8"/>
  <c r="EE1062" i="8"/>
  <c r="EE1645" i="8"/>
  <c r="EE3529" i="8"/>
  <c r="EE1514" i="8"/>
  <c r="EE3314" i="8"/>
  <c r="EE2560" i="8"/>
  <c r="EE3486" i="8"/>
  <c r="EE1564" i="8"/>
  <c r="EE2200" i="8"/>
  <c r="EE1197" i="8"/>
  <c r="EE3665" i="8"/>
  <c r="EE3661" i="8"/>
  <c r="EE1069" i="8"/>
  <c r="EE3703" i="8"/>
  <c r="EE2471" i="8"/>
  <c r="EE3515" i="8"/>
  <c r="EE2763" i="8"/>
  <c r="EE499" i="8"/>
  <c r="EE332" i="8"/>
  <c r="EE1453" i="8"/>
  <c r="EE1702" i="8"/>
  <c r="EE3467" i="8"/>
  <c r="EE2594" i="8"/>
  <c r="EE282" i="8"/>
  <c r="EE172" i="8"/>
  <c r="EE2463" i="8"/>
  <c r="EE223" i="8"/>
  <c r="EE2047" i="8"/>
  <c r="EE723" i="8"/>
  <c r="EE3567" i="8"/>
  <c r="EE3517" i="8"/>
  <c r="EE2795" i="8"/>
  <c r="EE3057" i="8"/>
  <c r="EE1619" i="8"/>
  <c r="EE3611" i="8"/>
  <c r="EE1122" i="8"/>
  <c r="EE1290" i="8"/>
  <c r="EE3544" i="8"/>
  <c r="EE2908" i="8"/>
  <c r="EE341" i="8"/>
  <c r="EE2238" i="8"/>
  <c r="EE902" i="8"/>
  <c r="EE423" i="8"/>
  <c r="EE2359" i="8"/>
  <c r="EE545" i="8"/>
  <c r="EE2579" i="8"/>
  <c r="EE967" i="8"/>
  <c r="EE2566" i="8"/>
  <c r="EE3009" i="8"/>
  <c r="EE1371" i="8"/>
  <c r="EE2669" i="8"/>
  <c r="EE1225" i="8"/>
  <c r="EE2792" i="8"/>
  <c r="EE2850" i="8"/>
  <c r="EE527" i="8"/>
  <c r="EE3002" i="8"/>
  <c r="EE2976" i="8"/>
  <c r="EE383" i="8"/>
  <c r="EE2171" i="8"/>
  <c r="EE388" i="8"/>
  <c r="EE665" i="8"/>
  <c r="EE1626" i="8"/>
  <c r="EE2732" i="8"/>
  <c r="EE2076" i="8"/>
  <c r="EE3698" i="8"/>
  <c r="EE1754" i="8"/>
  <c r="EE2181" i="8"/>
  <c r="EE422" i="8"/>
  <c r="EE2287" i="8"/>
  <c r="EE3490" i="8"/>
  <c r="EE1455" i="8"/>
  <c r="EE2087" i="8"/>
  <c r="EE2614" i="8"/>
  <c r="EE2269" i="8"/>
  <c r="EE3464" i="8"/>
  <c r="EE3688" i="8"/>
  <c r="EE3050" i="8"/>
  <c r="EE2996" i="8"/>
  <c r="EE1925" i="8"/>
  <c r="EE3031" i="8"/>
  <c r="EE192" i="8"/>
  <c r="EE3200" i="8"/>
  <c r="EE894" i="8"/>
  <c r="EE1781" i="8"/>
  <c r="EE1609" i="8"/>
  <c r="EE3133" i="8"/>
  <c r="EE3373" i="8"/>
  <c r="EE214" i="8"/>
  <c r="EE2689" i="8"/>
  <c r="EE2444" i="8"/>
  <c r="EE2065" i="8"/>
  <c r="EE3014" i="8"/>
  <c r="EE2469" i="8"/>
  <c r="EE3250" i="8"/>
  <c r="EE2755" i="8"/>
  <c r="EE2846" i="8"/>
  <c r="EE2855" i="8"/>
  <c r="EE1053" i="8"/>
  <c r="EE616" i="8"/>
  <c r="EE3349" i="8"/>
  <c r="EE1347" i="8"/>
  <c r="EE1696" i="8"/>
  <c r="EE3479" i="8"/>
  <c r="EE391" i="8"/>
  <c r="EE162" i="8"/>
  <c r="EE3194" i="8"/>
  <c r="EE2195" i="8"/>
  <c r="EE3028" i="8"/>
  <c r="EE2350" i="8"/>
  <c r="EE179" i="8"/>
  <c r="EE1412" i="8"/>
  <c r="EE863" i="8"/>
  <c r="EE730" i="8"/>
  <c r="EE1384" i="8"/>
  <c r="AF1384" i="3" s="1"/>
  <c r="EE3208" i="8"/>
  <c r="EE1780" i="8"/>
  <c r="EE2646" i="8"/>
  <c r="EE706" i="8"/>
  <c r="EE680" i="8"/>
  <c r="EE1438" i="8"/>
  <c r="EE272" i="8"/>
  <c r="EE2645" i="8"/>
  <c r="EE3616" i="8"/>
  <c r="EE1226" i="8"/>
  <c r="EE3594" i="8"/>
  <c r="EE2505" i="8"/>
  <c r="EE731" i="8"/>
  <c r="EE793" i="8"/>
  <c r="EE1020" i="8"/>
  <c r="EE876" i="8"/>
  <c r="EE1641" i="8"/>
  <c r="EE1461" i="8"/>
  <c r="EE2228" i="8"/>
  <c r="EE874" i="8"/>
  <c r="EE241" i="8"/>
  <c r="EE721" i="8"/>
  <c r="EE609" i="8"/>
  <c r="EE3114" i="8"/>
  <c r="EE3668" i="8"/>
  <c r="EE1264" i="8"/>
  <c r="EE1497" i="8"/>
  <c r="EE2344" i="8"/>
  <c r="EE1010" i="8"/>
  <c r="EE792" i="8"/>
  <c r="EE1888" i="8"/>
  <c r="EE598" i="8"/>
  <c r="EE225" i="8"/>
  <c r="EE2540" i="8"/>
  <c r="EE1382" i="8"/>
  <c r="G1382" i="3" s="1"/>
  <c r="EE1521" i="8"/>
  <c r="EE511" i="8"/>
  <c r="EE3154" i="8"/>
  <c r="EE1994" i="8"/>
  <c r="EE255" i="8"/>
  <c r="EE3690" i="8"/>
  <c r="EE1058" i="8"/>
  <c r="EE3287" i="8"/>
  <c r="EE649" i="8"/>
  <c r="EE1891" i="8"/>
  <c r="EE1432" i="8"/>
  <c r="EE466" i="8"/>
  <c r="EE2663" i="8"/>
  <c r="EE2993" i="8"/>
  <c r="EE2870" i="8"/>
  <c r="EE1220" i="8"/>
  <c r="EE2144" i="8"/>
  <c r="EE1801" i="8"/>
  <c r="EE940" i="8"/>
  <c r="EE217" i="8"/>
  <c r="EE1151" i="8"/>
  <c r="EE1089" i="8"/>
  <c r="EE2417" i="8"/>
  <c r="EE2820" i="8"/>
  <c r="EE448" i="8"/>
  <c r="EE1740" i="8"/>
  <c r="EE2196" i="8"/>
  <c r="B2196" i="3" s="1"/>
  <c r="EE2139" i="8"/>
  <c r="EE3510" i="8"/>
  <c r="EE3167" i="8"/>
  <c r="EE2760" i="8"/>
  <c r="EE546" i="8"/>
  <c r="EE191" i="8"/>
  <c r="EE459" i="8"/>
  <c r="EE737" i="8"/>
  <c r="EE3201" i="8"/>
  <c r="EE3455" i="8"/>
  <c r="EE3089" i="8"/>
  <c r="EE2275" i="8"/>
  <c r="EE1504" i="8"/>
  <c r="EE1959" i="8"/>
  <c r="EE1613" i="8"/>
  <c r="EE1593" i="8"/>
  <c r="EE2762" i="8"/>
  <c r="EE1436" i="8"/>
  <c r="EE2461" i="8"/>
  <c r="EE303" i="8"/>
  <c r="EE919" i="8"/>
  <c r="EE806" i="8"/>
  <c r="EE2321" i="8"/>
  <c r="EE2199" i="8"/>
  <c r="EE1989" i="8"/>
  <c r="EE584" i="8"/>
  <c r="C584" i="3" s="1"/>
  <c r="EE1009" i="8"/>
  <c r="EE696" i="8"/>
  <c r="EE988" i="8"/>
  <c r="EE658" i="8"/>
  <c r="EE1164" i="8"/>
  <c r="EE2439" i="8"/>
  <c r="EE2046" i="8"/>
  <c r="EE197" i="8"/>
  <c r="EE1709" i="8"/>
  <c r="EE2771" i="8"/>
  <c r="EE1341" i="8"/>
  <c r="EE1333" i="8"/>
  <c r="EE2489" i="8"/>
  <c r="EE2205" i="8"/>
  <c r="EE3214" i="8"/>
  <c r="EE2499" i="8"/>
  <c r="EE637" i="8"/>
  <c r="EE3051" i="8"/>
  <c r="EE2661" i="8"/>
  <c r="EE308" i="8"/>
  <c r="EE3403" i="8"/>
  <c r="EE2109" i="8"/>
  <c r="EE1377" i="8"/>
  <c r="EE1912" i="8"/>
  <c r="EE1975" i="8"/>
  <c r="EE3040" i="8"/>
  <c r="EE2874" i="8"/>
  <c r="EE3025" i="8"/>
  <c r="EE1491" i="8"/>
  <c r="EE2141" i="8"/>
  <c r="EE3005" i="8"/>
  <c r="EE2518" i="8"/>
  <c r="EE1253" i="8"/>
  <c r="EE2329" i="8"/>
  <c r="EE1016" i="8"/>
  <c r="EE2251" i="8"/>
  <c r="EE2152" i="8"/>
  <c r="EE283" i="8"/>
  <c r="EE3301" i="8"/>
  <c r="EE3547" i="8"/>
  <c r="EE2539" i="8"/>
  <c r="EE2776" i="8"/>
  <c r="EE3676" i="8"/>
  <c r="EE2057" i="8"/>
  <c r="EE1379" i="8"/>
  <c r="EE2741" i="8"/>
  <c r="EE3554" i="8"/>
  <c r="EE2981" i="8"/>
  <c r="EE2365" i="8"/>
  <c r="EE1607" i="8"/>
  <c r="EE470" i="8"/>
  <c r="EE2756" i="8"/>
  <c r="EE3454" i="8"/>
  <c r="EE1479" i="8"/>
  <c r="S1479" i="3" s="1"/>
  <c r="EE2987" i="8"/>
  <c r="EE3173" i="8"/>
  <c r="EE2340" i="8"/>
  <c r="EE2377" i="8"/>
  <c r="EE1335" i="8"/>
  <c r="EE2995" i="8"/>
  <c r="EE1602" i="8"/>
  <c r="EE997" i="8"/>
  <c r="EE2533" i="8"/>
  <c r="EE1530" i="8"/>
  <c r="EE2357" i="8"/>
  <c r="EE1931" i="8"/>
  <c r="EE1745" i="8"/>
  <c r="EE1789" i="8"/>
  <c r="EE2972" i="8"/>
  <c r="EE1777" i="8"/>
  <c r="EE3441" i="8"/>
  <c r="EE3558" i="8"/>
  <c r="EE3283" i="8"/>
  <c r="EE2844" i="8"/>
  <c r="EE3217" i="8"/>
  <c r="EE1723" i="8"/>
  <c r="EE2327" i="8"/>
  <c r="EE803" i="8"/>
  <c r="EE2258" i="8"/>
  <c r="EE1512" i="8"/>
  <c r="EE2084" i="8"/>
  <c r="EE2948" i="8"/>
  <c r="EE1961" i="8"/>
  <c r="EE1775" i="8"/>
  <c r="EE674" i="8"/>
  <c r="EE1666" i="8"/>
  <c r="EE3032" i="8"/>
  <c r="EE3128" i="8"/>
  <c r="EE3603" i="8"/>
  <c r="EE2697" i="8"/>
  <c r="EE305" i="8"/>
  <c r="EE3555" i="8"/>
  <c r="EE643" i="8"/>
  <c r="EE2222" i="8"/>
  <c r="EE1465" i="8"/>
  <c r="EE2217" i="8"/>
  <c r="EE925" i="8"/>
  <c r="EE1982" i="8"/>
  <c r="EE211" i="8"/>
  <c r="EE2249" i="8"/>
  <c r="EE864" i="8"/>
  <c r="EE3106" i="8"/>
  <c r="EE2116" i="8"/>
  <c r="EE1620" i="8"/>
  <c r="EE1665" i="8"/>
  <c r="EE2170" i="8"/>
  <c r="EE2224" i="8"/>
  <c r="EE2455" i="8"/>
  <c r="EE2748" i="8"/>
  <c r="EE2147" i="8"/>
  <c r="EE2157" i="8"/>
  <c r="EE3180" i="8"/>
  <c r="EE309" i="8"/>
  <c r="EE2012" i="8"/>
  <c r="EE931" i="8"/>
  <c r="EE1018" i="8"/>
  <c r="EE2900" i="8"/>
  <c r="EE3418" i="8"/>
  <c r="EE2642" i="8"/>
  <c r="EE395" i="8"/>
  <c r="EE441" i="8"/>
  <c r="EE3150" i="8"/>
  <c r="EE2313" i="8"/>
  <c r="EE2513" i="8"/>
  <c r="EE3235" i="8"/>
  <c r="EE284" i="8"/>
  <c r="EE3504" i="8"/>
  <c r="EE384" i="8"/>
  <c r="EE3429" i="8"/>
  <c r="EE311" i="8"/>
  <c r="EE2294" i="8"/>
  <c r="EE691" i="8"/>
  <c r="EE249" i="8"/>
  <c r="EE1522" i="8"/>
  <c r="EE3654" i="8"/>
  <c r="EE411" i="8"/>
  <c r="EE1897" i="8"/>
  <c r="EE3620" i="8"/>
  <c r="EE1540" i="8"/>
  <c r="EE2418" i="8"/>
  <c r="EE3367" i="8"/>
  <c r="EE1544" i="8"/>
  <c r="EE1324" i="8"/>
  <c r="EE577" i="8"/>
  <c r="EE872" i="8"/>
  <c r="EE3463" i="8"/>
  <c r="EE1615" i="8"/>
  <c r="EE2804" i="8"/>
  <c r="EE1991" i="8"/>
  <c r="EE611" i="8"/>
  <c r="EE3136" i="8"/>
  <c r="EE2500" i="8"/>
  <c r="EE3615" i="8"/>
  <c r="EE1894" i="8"/>
  <c r="EE1308" i="8"/>
  <c r="EE3271" i="8"/>
  <c r="EE3426" i="8"/>
  <c r="EE2604" i="8"/>
  <c r="EE269" i="8"/>
  <c r="EE3151" i="8"/>
  <c r="EE2797" i="8"/>
  <c r="EE3191" i="8"/>
  <c r="EE428" i="8"/>
  <c r="EE2597" i="8"/>
  <c r="EE2017" i="8"/>
  <c r="EE224" i="8"/>
  <c r="EE2182" i="8"/>
  <c r="EE2412" i="8"/>
  <c r="EE1094" i="8"/>
  <c r="EE3391" i="8"/>
  <c r="EE3122" i="8"/>
  <c r="EE421" i="8"/>
  <c r="EE1787" i="8"/>
  <c r="EE1130" i="8"/>
  <c r="EE1259" i="8"/>
  <c r="EE349" i="8"/>
  <c r="EE1366" i="8"/>
  <c r="EE848" i="8"/>
  <c r="EE1195" i="8"/>
  <c r="EE2052" i="8"/>
  <c r="EE1416" i="8"/>
  <c r="EE1105" i="8"/>
  <c r="EE2063" i="8"/>
  <c r="EE2383" i="8"/>
  <c r="EE1485" i="8"/>
  <c r="EE695" i="8"/>
  <c r="EE2342" i="8"/>
  <c r="EE1769" i="8"/>
  <c r="EE1705" i="8"/>
  <c r="EE1984" i="8"/>
  <c r="EE337" i="8"/>
  <c r="EE833" i="8"/>
  <c r="EE505" i="8"/>
  <c r="EE2131" i="8"/>
  <c r="EE523" i="8"/>
  <c r="EE3378" i="8"/>
  <c r="EE1282" i="8"/>
  <c r="EE870" i="8"/>
  <c r="EE2252" i="8"/>
  <c r="EE219" i="8"/>
  <c r="EE3328" i="8"/>
  <c r="EE208" i="8"/>
  <c r="EE607" i="8"/>
  <c r="EE3326" i="8"/>
  <c r="EE558" i="8"/>
  <c r="EE2281" i="8"/>
  <c r="EE2079" i="8"/>
  <c r="EE2110" i="8"/>
  <c r="EE1988" i="8"/>
  <c r="EE2947" i="8"/>
  <c r="EE1297" i="8"/>
  <c r="EE3118" i="8"/>
  <c r="EE2684" i="8"/>
  <c r="EE1635" i="8"/>
  <c r="EE3130" i="8"/>
  <c r="EE2506" i="8"/>
  <c r="EE324" i="8"/>
  <c r="EE2679" i="8"/>
  <c r="EE2104" i="8"/>
  <c r="EE2580" i="8"/>
  <c r="EE1934" i="8"/>
  <c r="EE2774" i="8"/>
  <c r="EE1040" i="8"/>
  <c r="EE1969" i="8"/>
  <c r="EE414" i="8"/>
  <c r="EE1936" i="8"/>
  <c r="EE1639" i="8"/>
  <c r="EE251" i="8"/>
  <c r="EE1890" i="8"/>
  <c r="EE763" i="8"/>
  <c r="EE1046" i="8"/>
  <c r="EE1947" i="8"/>
  <c r="EE3401" i="8"/>
  <c r="EE222" i="8"/>
  <c r="EE2825" i="8"/>
  <c r="EE2336" i="8"/>
  <c r="EE3559" i="8"/>
  <c r="EE1939" i="8"/>
  <c r="EE2262" i="8"/>
  <c r="EE1676" i="8"/>
  <c r="EE3008" i="8"/>
  <c r="EE552" i="8"/>
  <c r="EE3675" i="8"/>
  <c r="EE2691" i="8"/>
  <c r="EE1101" i="8"/>
  <c r="EE2480" i="8"/>
  <c r="EE3512" i="8"/>
  <c r="EE1289" i="8"/>
  <c r="EE3035" i="8"/>
  <c r="EE1612" i="8"/>
  <c r="EE1049" i="8"/>
  <c r="EE1441" i="8"/>
  <c r="EE3388" i="8"/>
  <c r="EE957" i="8"/>
  <c r="EE1325" i="8"/>
  <c r="EE824" i="8"/>
  <c r="EE1442" i="8"/>
  <c r="EE2426" i="8"/>
  <c r="EE1413" i="8"/>
  <c r="EE601" i="8"/>
  <c r="EE1495" i="8"/>
  <c r="EE3195" i="8"/>
  <c r="EE3408" i="8"/>
  <c r="EE1920" i="8"/>
  <c r="EE3012" i="8"/>
  <c r="EE2845" i="8"/>
  <c r="EE3681" i="8"/>
  <c r="EE2673" i="8"/>
  <c r="EE501" i="8"/>
  <c r="EE1523" i="8"/>
  <c r="EE2382" i="8"/>
  <c r="EE2428" i="8"/>
  <c r="EE1908" i="8"/>
  <c r="EE2967" i="8"/>
  <c r="EE1543" i="8"/>
  <c r="EE2159" i="8"/>
  <c r="EE245" i="8"/>
  <c r="EE693" i="8"/>
  <c r="EE494" i="8"/>
  <c r="EE1224" i="8"/>
  <c r="EE910" i="8"/>
  <c r="EE2177" i="8"/>
  <c r="EE3635" i="8"/>
  <c r="EE1017" i="8"/>
  <c r="EE861" i="8"/>
  <c r="EE662" i="8"/>
  <c r="EE990" i="8"/>
  <c r="EE465" i="8"/>
  <c r="EE2634" i="8"/>
  <c r="EE1786" i="8"/>
  <c r="EE1239" i="8"/>
  <c r="EE210" i="8"/>
  <c r="EE705" i="8"/>
  <c r="EE3177" i="8"/>
  <c r="EE2535" i="8"/>
  <c r="EE296" i="8"/>
  <c r="EE2043" i="8"/>
  <c r="EE797" i="8"/>
  <c r="EE2651" i="8"/>
  <c r="EE749" i="8"/>
  <c r="EE836" i="8"/>
  <c r="EE2488" i="8"/>
  <c r="EE1200" i="8"/>
  <c r="EE1074" i="8"/>
  <c r="EE2694" i="8"/>
  <c r="EE476" i="8"/>
  <c r="EE312" i="8"/>
  <c r="EE2280" i="8"/>
  <c r="EE3545" i="8"/>
  <c r="EE2819" i="8"/>
  <c r="EE3599" i="8"/>
  <c r="EE2460" i="8"/>
  <c r="EE2197" i="8"/>
  <c r="EE464" i="8"/>
  <c r="EE2347" i="8"/>
  <c r="EE3023" i="8"/>
  <c r="EE302" i="8"/>
  <c r="EE570" i="8"/>
  <c r="EE1060" i="8"/>
  <c r="EE2599" i="8"/>
  <c r="EE1756" i="8"/>
  <c r="EE559" i="8"/>
  <c r="EE655" i="8"/>
  <c r="EE1190" i="8"/>
  <c r="EE575" i="8"/>
  <c r="EE2090" i="8"/>
  <c r="EE3394" i="8"/>
  <c r="EE1231" i="8"/>
  <c r="EE2665" i="8"/>
  <c r="EE1634" i="8"/>
  <c r="EE374" i="8"/>
  <c r="EE2677" i="8"/>
  <c r="EE2233" i="8"/>
  <c r="EE3478" i="8"/>
  <c r="EE549" i="8"/>
  <c r="EE1458" i="8"/>
  <c r="EE1526" i="8"/>
  <c r="EE1430" i="8"/>
  <c r="EE1205" i="8"/>
  <c r="EE2724" i="8"/>
  <c r="EE820" i="8"/>
  <c r="EE3519" i="8"/>
  <c r="EE972" i="8"/>
  <c r="EE1187" i="8"/>
  <c r="EE375" i="8"/>
  <c r="EE3001" i="8"/>
  <c r="EE184" i="8"/>
  <c r="EE2349" i="8"/>
  <c r="EE3086" i="8"/>
  <c r="EE2727" i="8"/>
  <c r="EE1472" i="8"/>
  <c r="EE1774" i="8"/>
  <c r="EE3105" i="8"/>
  <c r="EE259" i="8"/>
  <c r="EE888" i="8"/>
  <c r="EE253" i="8"/>
  <c r="EE2050" i="8"/>
  <c r="EE2944" i="8"/>
  <c r="EE1990" i="8"/>
  <c r="EE2415" i="8"/>
  <c r="EE2155" i="8"/>
  <c r="EE2372" i="8"/>
  <c r="EE1088" i="8"/>
  <c r="EE2647" i="8"/>
  <c r="EE2254" i="8"/>
  <c r="EE1717" i="8"/>
  <c r="EE1927" i="8"/>
  <c r="EE3254" i="8"/>
  <c r="EE784" i="8"/>
  <c r="EE565" i="8"/>
  <c r="EE3691" i="8"/>
  <c r="EE2472" i="8"/>
  <c r="EE2133" i="8"/>
  <c r="EE3423" i="8"/>
  <c r="EE2102" i="8"/>
  <c r="EE3450" i="8"/>
  <c r="EE529" i="8"/>
  <c r="EE3542" i="8"/>
  <c r="EE3612" i="8"/>
  <c r="EE2162" i="8"/>
  <c r="EE3221" i="8"/>
  <c r="EE233" i="8"/>
  <c r="EE2632" i="8"/>
  <c r="EE1748" i="8"/>
  <c r="EE974" i="8"/>
  <c r="EE3277" i="8"/>
  <c r="EE1057" i="8"/>
  <c r="EE3505" i="8"/>
  <c r="EE1663" i="8"/>
  <c r="EE452" i="8"/>
  <c r="EE1275" i="8"/>
  <c r="EE1506" i="8"/>
  <c r="EE236" i="8"/>
  <c r="EE2479" i="8"/>
  <c r="EE1942" i="8"/>
  <c r="EE1306" i="8"/>
  <c r="EE2423" i="8"/>
  <c r="EE903" i="8"/>
  <c r="EE244" i="8"/>
  <c r="EE406" i="8"/>
  <c r="EE1072" i="8"/>
  <c r="EE2791" i="8"/>
  <c r="EE2929" i="8"/>
  <c r="EE420" i="8"/>
  <c r="EE392" i="8"/>
  <c r="EE647" i="8"/>
  <c r="EE1494" i="8"/>
  <c r="EE2608" i="8"/>
  <c r="EE3282" i="8"/>
  <c r="EE2847" i="8"/>
  <c r="EE746" i="8"/>
  <c r="EE321" i="8"/>
  <c r="EE2902" i="8"/>
  <c r="EE2910" i="8"/>
  <c r="EE922" i="8"/>
  <c r="EE714" i="8"/>
  <c r="EE2290" i="8"/>
  <c r="EE3239" i="8"/>
  <c r="EE2485" i="8"/>
  <c r="EE1136" i="8"/>
  <c r="EE3297" i="8"/>
  <c r="EE2803" i="8"/>
  <c r="EE613" i="8"/>
  <c r="EE2201" i="8"/>
  <c r="EE3400" i="8"/>
  <c r="EE1715" i="8"/>
  <c r="EE834" i="8"/>
  <c r="EE1470" i="8"/>
  <c r="EE2517" i="8"/>
  <c r="EE2704" i="8"/>
  <c r="EE1252" i="8"/>
  <c r="EE1806" i="8"/>
  <c r="EE1782" i="8"/>
  <c r="EE772" i="8"/>
  <c r="EE462" i="8"/>
  <c r="EE2317" i="8"/>
  <c r="EE294" i="8"/>
  <c r="EE3531" i="8"/>
  <c r="EE1979" i="8"/>
  <c r="EE3306" i="8"/>
  <c r="EE2831" i="8"/>
  <c r="EE2856" i="8"/>
  <c r="EE2270" i="8"/>
  <c r="EE3506" i="8"/>
  <c r="EE1418" i="8"/>
  <c r="EE757" i="8"/>
  <c r="EE180" i="8"/>
  <c r="EE3274" i="8"/>
  <c r="EE3138" i="8"/>
  <c r="EE2975" i="8"/>
  <c r="EE1553" i="8"/>
  <c r="EE933" i="8"/>
  <c r="EE2636" i="8"/>
  <c r="EE361" i="8"/>
  <c r="EE2232" i="8"/>
  <c r="EE2575" i="8"/>
  <c r="EE2458" i="8"/>
  <c r="EE3294" i="8"/>
  <c r="EE812" i="8"/>
  <c r="EE200" i="8"/>
  <c r="EE3673" i="8"/>
  <c r="EE2752" i="8"/>
  <c r="EE960" i="8"/>
  <c r="EE1496" i="8"/>
  <c r="EE2132" i="8"/>
  <c r="EE2769" i="8"/>
  <c r="EE1729" i="8"/>
  <c r="EE320" i="8"/>
  <c r="EE1647" i="8"/>
  <c r="EE2666" i="8"/>
  <c r="EE675" i="8"/>
  <c r="EE2078" i="8"/>
  <c r="EE1650" i="8"/>
  <c r="EE3473" i="8"/>
  <c r="EE2630" i="8"/>
  <c r="EE1167" i="8"/>
  <c r="EE3030" i="8"/>
  <c r="EE3482" i="8"/>
  <c r="EE991" i="8"/>
  <c r="EE751" i="8"/>
  <c r="EE2588" i="8"/>
  <c r="EE2714" i="8"/>
  <c r="EE3240" i="8"/>
  <c r="EE3639" i="8"/>
  <c r="EE1730" i="8"/>
  <c r="EE1704" i="8"/>
  <c r="EE1545" i="8"/>
  <c r="EE2863" i="8"/>
  <c r="EE3497" i="8"/>
  <c r="EE1208" i="8"/>
  <c r="EE3537" i="8"/>
  <c r="EE3520" i="8"/>
  <c r="EE3422" i="8"/>
  <c r="EE1081" i="8"/>
  <c r="EE2319" i="8"/>
  <c r="EE2864" i="8"/>
  <c r="EE3535" i="8"/>
  <c r="EE2899" i="8"/>
  <c r="EE3428" i="8"/>
  <c r="EE703" i="8"/>
  <c r="EE3701" i="8"/>
  <c r="EE2598" i="8"/>
  <c r="EE3420" i="8"/>
  <c r="EE380" i="8"/>
  <c r="EE2457" i="8"/>
  <c r="EE2125" i="8"/>
  <c r="EE1161" i="8"/>
  <c r="EE770" i="8"/>
  <c r="EE3499" i="8"/>
  <c r="EE2165" i="8"/>
  <c r="EE1604" i="8"/>
  <c r="EE2112" i="8"/>
  <c r="EE998" i="8"/>
  <c r="EE2398" i="8"/>
  <c r="EE1932" i="8"/>
  <c r="EE368" i="8"/>
  <c r="EE2136" i="8"/>
  <c r="EE1577" i="8"/>
  <c r="EE2436" i="8"/>
  <c r="EE3569" i="8"/>
  <c r="EE1503" i="8"/>
  <c r="EE1591" i="8"/>
  <c r="EE1630" i="8"/>
  <c r="EE2593" i="8"/>
  <c r="EE1318" i="8"/>
  <c r="EE1266" i="8"/>
  <c r="EE3546" i="8"/>
  <c r="EE2042" i="8"/>
  <c r="EE3238" i="8"/>
  <c r="EE1192" i="8"/>
  <c r="EE519" i="8"/>
  <c r="EE1082" i="8"/>
  <c r="EE2718" i="8"/>
  <c r="EE3225" i="8"/>
  <c r="EE3588" i="8"/>
  <c r="EE722" i="8"/>
  <c r="EE3541" i="8"/>
  <c r="EE747" i="8"/>
  <c r="EE1243" i="8"/>
  <c r="EE407" i="8"/>
  <c r="EE254" i="8"/>
  <c r="EE1182" i="8"/>
  <c r="EE1368" i="8"/>
  <c r="EE2305" i="8"/>
  <c r="EE2099" i="8"/>
  <c r="EE310" i="8"/>
  <c r="EE3198" i="8"/>
  <c r="EE568" i="8"/>
  <c r="EE203" i="8"/>
  <c r="EE934" i="8"/>
  <c r="EE2904" i="8"/>
  <c r="EE3334" i="8"/>
  <c r="EE1272" i="8"/>
  <c r="EE1513" i="8"/>
  <c r="EE1437" i="8"/>
  <c r="EE1104" i="8"/>
  <c r="EE1431" i="8"/>
  <c r="EE3562" i="8"/>
  <c r="EE2397" i="8"/>
  <c r="EE1361" i="8"/>
  <c r="EE1141" i="8"/>
  <c r="EE3682" i="8"/>
  <c r="EE798" i="8"/>
  <c r="EE3589" i="8"/>
  <c r="EE3458" i="8"/>
  <c r="EE1429" i="8"/>
  <c r="EE2011" i="8"/>
  <c r="EE3108" i="8"/>
  <c r="EE2380" i="8"/>
  <c r="EE935" i="8"/>
  <c r="EE2628" i="8"/>
  <c r="EE2973" i="8"/>
  <c r="EE1933" i="8"/>
  <c r="EE700" i="8"/>
  <c r="EE1110" i="8"/>
  <c r="EE2659" i="8"/>
  <c r="EE2029" i="8"/>
  <c r="EE159" i="8"/>
  <c r="EE1561" i="8"/>
  <c r="EE2988" i="8"/>
  <c r="EE603" i="8"/>
  <c r="EE2120" i="8"/>
  <c r="EE725" i="8"/>
  <c r="EE1800" i="8"/>
  <c r="EE2982" i="8"/>
  <c r="EE3597" i="8"/>
  <c r="EE2733" i="8"/>
  <c r="EE839" i="8"/>
  <c r="EE3583" i="8"/>
  <c r="EE1215" i="8"/>
  <c r="EE802" i="8"/>
  <c r="EE1652" i="8"/>
  <c r="EE2558" i="8"/>
  <c r="EE1916" i="8"/>
  <c r="EE794" i="8"/>
  <c r="EE1207" i="8"/>
  <c r="EE1488" i="8"/>
  <c r="EE3272" i="8"/>
  <c r="EE3290" i="8"/>
  <c r="EE350" i="8"/>
  <c r="EE2703" i="8"/>
  <c r="EE2573" i="8"/>
  <c r="EE522" i="8"/>
  <c r="EE436" i="8"/>
  <c r="EE2323" i="8"/>
  <c r="EE148" i="8"/>
  <c r="EE996" i="8"/>
  <c r="EE1034" i="8"/>
  <c r="EE1644" i="8"/>
  <c r="EE3402" i="8"/>
  <c r="EE2442" i="8"/>
  <c r="EE3524" i="8"/>
  <c r="EE878" i="8"/>
  <c r="EE1213" i="8"/>
  <c r="EE3260" i="8"/>
  <c r="EE985" i="8"/>
  <c r="EE2767" i="8"/>
  <c r="EE479" i="8"/>
  <c r="EE3652" i="8"/>
  <c r="EE2743" i="8"/>
  <c r="EE1085" i="8"/>
  <c r="EE3390" i="8"/>
  <c r="EE783" i="8"/>
  <c r="EE2054" i="8"/>
  <c r="EE951" i="8"/>
  <c r="EE1304" i="8"/>
  <c r="EE2395" i="8"/>
  <c r="EE1790" i="8"/>
  <c r="EE300" i="8"/>
  <c r="EE2080" i="8"/>
  <c r="EE1938" i="8"/>
  <c r="EE2202" i="8"/>
  <c r="EE978" i="8"/>
  <c r="EE735" i="8"/>
  <c r="EE1490" i="8"/>
  <c r="EE547" i="8"/>
  <c r="EE1914" i="8"/>
  <c r="EE3331" i="8"/>
  <c r="EE3091" i="8"/>
  <c r="EE444" i="8"/>
  <c r="EE277" i="8"/>
  <c r="EE3285" i="8"/>
  <c r="EE1893" i="8"/>
  <c r="EE645" i="8"/>
  <c r="EE1098" i="8"/>
  <c r="EE484" i="8"/>
  <c r="EE155" i="8"/>
  <c r="EE704" i="8"/>
  <c r="EE1907" i="8"/>
  <c r="EE542" i="8"/>
  <c r="EE2414" i="8"/>
  <c r="EE1798" i="8"/>
  <c r="EE335" i="8"/>
  <c r="EE1910" i="8"/>
  <c r="EE871" i="8"/>
  <c r="EE1677" i="8"/>
  <c r="EE2941" i="8"/>
  <c r="EE1203" i="8"/>
  <c r="EE1320" i="8"/>
  <c r="EE3054" i="8"/>
  <c r="EE701" i="8"/>
  <c r="EE1721" i="8"/>
  <c r="EE1258" i="8"/>
  <c r="EE3228" i="8"/>
  <c r="EE3686" i="8"/>
  <c r="EE3551" i="8"/>
  <c r="EE3689" i="8"/>
  <c r="EE1367" i="8"/>
  <c r="EE3179" i="8"/>
  <c r="EE845" i="8"/>
  <c r="EE3672" i="8"/>
  <c r="EE3162" i="8"/>
  <c r="EE1011" i="8"/>
  <c r="EE1594" i="8"/>
  <c r="EE786" i="8"/>
  <c r="EE2053" i="8"/>
  <c r="EE1319" i="8"/>
  <c r="EE206" i="8"/>
  <c r="EE813" i="8"/>
  <c r="EE3279" i="8"/>
  <c r="EE862" i="8"/>
  <c r="EE3552" i="8"/>
  <c r="EE1042" i="8"/>
  <c r="EE924" i="8"/>
  <c r="EE2764" i="8"/>
  <c r="EE1045" i="8"/>
  <c r="EE754" i="8"/>
  <c r="EE942" i="8"/>
  <c r="EE458" i="8"/>
  <c r="EE2282" i="8"/>
  <c r="EE3139" i="8"/>
  <c r="EE3203" i="8"/>
  <c r="EE1095" i="8"/>
  <c r="EE289" i="8"/>
  <c r="EE1063" i="8"/>
  <c r="EE2629" i="8"/>
  <c r="EE904" i="8"/>
  <c r="EE1385" i="8"/>
  <c r="EE2167" i="8"/>
  <c r="EE2312" i="8"/>
  <c r="EE3187" i="8"/>
  <c r="EE1896" i="8"/>
  <c r="EE3361" i="8"/>
  <c r="EE1415" i="8"/>
  <c r="EE150" i="8"/>
  <c r="EE3327" i="8"/>
  <c r="EE1483" i="8"/>
  <c r="EE994" i="8"/>
  <c r="EE710" i="8"/>
  <c r="EE3082" i="8"/>
  <c r="EE2006" i="8"/>
  <c r="EE625" i="8"/>
  <c r="EE767" i="8"/>
  <c r="EE1267" i="8"/>
  <c r="EE509" i="8"/>
  <c r="EE3679" i="8"/>
  <c r="EE1468" i="8"/>
  <c r="EE1603" i="8"/>
  <c r="EE396" i="8"/>
  <c r="EE2118" i="8"/>
  <c r="EE2687" i="8"/>
  <c r="EE2934" i="8"/>
  <c r="EE1288" i="8"/>
  <c r="EE472" i="8"/>
  <c r="EE3638" i="8"/>
  <c r="EE1886" i="8"/>
  <c r="EE2101" i="8"/>
  <c r="EE189" i="8"/>
  <c r="EE286" i="8"/>
  <c r="EE2013" i="8"/>
  <c r="EE1501" i="8"/>
  <c r="EE1917" i="8"/>
  <c r="EE2019" i="8"/>
  <c r="EE2134" i="8"/>
  <c r="EE893" i="8"/>
  <c r="E893" i="3" s="1"/>
  <c r="EE1147" i="8"/>
  <c r="EE3363" i="8"/>
  <c r="EE3516" i="8"/>
  <c r="EE2885" i="8"/>
  <c r="EE3319" i="8"/>
  <c r="EE1165" i="8"/>
  <c r="EE2742" i="8"/>
  <c r="EE2060" i="8"/>
  <c r="EE3667" i="8"/>
  <c r="EE2530" i="8"/>
  <c r="EE1160" i="8"/>
  <c r="EE3021" i="8"/>
  <c r="EE1357" i="8"/>
  <c r="EE2062" i="8"/>
  <c r="EE817" i="8"/>
  <c r="EE646" i="8"/>
  <c r="EE492" i="8"/>
  <c r="EE316" i="8"/>
  <c r="EE1043" i="8"/>
  <c r="EE2355" i="8"/>
  <c r="EE3281" i="8"/>
  <c r="EE3275" i="8"/>
  <c r="EE1996" i="8"/>
  <c r="EE3596" i="8"/>
  <c r="EE1900" i="8"/>
  <c r="EE3659" i="8"/>
  <c r="EE360" i="8"/>
  <c r="EE966" i="8"/>
  <c r="EE3565" i="8"/>
  <c r="EE2544" i="8"/>
  <c r="EE3145" i="8"/>
  <c r="EE2839" i="8"/>
  <c r="EE3273" i="8"/>
  <c r="EE2385" i="8"/>
  <c r="EE2921" i="8"/>
  <c r="EE3405" i="8"/>
  <c r="EE2522" i="8"/>
  <c r="EE587" i="8"/>
  <c r="EE2316" i="8"/>
  <c r="EE1336" i="8"/>
  <c r="EE1218" i="8"/>
  <c r="EE2014" i="8"/>
  <c r="EE429" i="8"/>
  <c r="EE1235" i="8"/>
  <c r="EE2649" i="8"/>
  <c r="EE877" i="8"/>
  <c r="EE905" i="8"/>
  <c r="EE1586" i="8"/>
  <c r="EE963" i="8"/>
  <c r="EE3170" i="8"/>
  <c r="EE3578" i="8"/>
  <c r="EE2871" i="8"/>
  <c r="EE1156" i="8"/>
  <c r="EE591" i="8"/>
  <c r="EE1660" i="8"/>
  <c r="EE2484" i="8"/>
  <c r="EE3049" i="8"/>
  <c r="EE3266" i="8"/>
  <c r="EE1334" i="8"/>
  <c r="EE3311" i="8"/>
  <c r="EE2266" i="8"/>
  <c r="EE2911" i="8"/>
  <c r="EE158" i="8"/>
  <c r="EE164" i="8"/>
  <c r="EE2071" i="8"/>
  <c r="EE280" i="8"/>
  <c r="EE873" i="8"/>
  <c r="EE3015" i="8"/>
  <c r="EE1044" i="8"/>
  <c r="EE801" i="8"/>
  <c r="EE796" i="8"/>
  <c r="EE169" i="8"/>
  <c r="EE1071" i="8"/>
  <c r="EE728" i="8"/>
  <c r="EE2176" i="8"/>
  <c r="EE1588" i="8"/>
  <c r="EE2574" i="8"/>
  <c r="EE1184" i="8"/>
  <c r="EE1525" i="8"/>
  <c r="EE814" i="8"/>
  <c r="EE3346" i="8"/>
  <c r="EE734" i="8"/>
  <c r="EE651" i="8"/>
  <c r="EE886" i="8"/>
  <c r="EE3459" i="8"/>
  <c r="EE1408" i="8"/>
  <c r="EE1481" i="8"/>
  <c r="EE564" i="8"/>
  <c r="EE3356" i="8"/>
  <c r="EE1279" i="8"/>
  <c r="EE2035" i="8"/>
  <c r="EE3220" i="8"/>
  <c r="EE2738" i="8"/>
  <c r="EE2906" i="8"/>
  <c r="EE1788" i="8"/>
  <c r="EE840" i="8"/>
  <c r="EE1669" i="8"/>
  <c r="EE440" i="8"/>
  <c r="EE1682" i="8"/>
  <c r="EE482" i="8"/>
  <c r="EE1169" i="8"/>
  <c r="B1169" i="3" s="1"/>
  <c r="EE2731" i="8"/>
  <c r="EE2836" i="8"/>
  <c r="EE3475" i="8"/>
  <c r="EE2056" i="8"/>
  <c r="EE841" i="8"/>
  <c r="EE1749" i="8"/>
  <c r="EE1605" i="8"/>
  <c r="EE500" i="8"/>
  <c r="EE418" i="8"/>
  <c r="EE1108" i="8"/>
  <c r="EE857" i="8"/>
  <c r="EE2589" i="8"/>
  <c r="EE3543" i="8"/>
  <c r="EE1217" i="8"/>
  <c r="EE1693" i="8"/>
  <c r="EE3084" i="8"/>
  <c r="EE1741" i="8"/>
  <c r="EE2451" i="8"/>
  <c r="EE2244" i="8"/>
  <c r="EE2541" i="8"/>
  <c r="EE2772" i="8"/>
  <c r="EE1139" i="8"/>
  <c r="EE2612" i="8"/>
  <c r="EE3699" i="8"/>
  <c r="EE632" i="8"/>
  <c r="EE1012" i="8"/>
  <c r="EE3538" i="8"/>
  <c r="EE3700" i="8"/>
  <c r="EE3157" i="8"/>
  <c r="EE608" i="8"/>
  <c r="EE1131" i="8"/>
  <c r="EE1403" i="8"/>
  <c r="EE1369" i="8"/>
  <c r="EE2596" i="8"/>
  <c r="EE2853" i="8"/>
  <c r="EE1768" i="8"/>
  <c r="EE1445" i="8"/>
  <c r="EE2520" i="8"/>
  <c r="EE347" i="8"/>
  <c r="EE790" i="8"/>
  <c r="EE553" i="8"/>
  <c r="EE2744" i="8"/>
  <c r="EE781" i="8"/>
  <c r="EE2635" i="8"/>
  <c r="EE698" i="8"/>
  <c r="EE250" i="8"/>
  <c r="EE3622" i="8"/>
  <c r="EE3160" i="8"/>
  <c r="EE2230" i="8"/>
  <c r="EE3080" i="8"/>
  <c r="EE2971" i="8"/>
  <c r="EE2351" i="8"/>
  <c r="EE2508" i="8"/>
  <c r="EE1924" i="8"/>
  <c r="EE2766" i="8"/>
  <c r="EE3062" i="8"/>
  <c r="EE952" i="8"/>
  <c r="EE851" i="8"/>
  <c r="EE165" i="8"/>
  <c r="EE3192" i="8"/>
  <c r="EE1028" i="8"/>
  <c r="EE354" i="8"/>
  <c r="EE606" i="8"/>
  <c r="C606" i="3" s="1"/>
  <c r="EE1579" i="8"/>
  <c r="EE1804" i="8"/>
  <c r="EE435" i="8"/>
  <c r="EE262" i="8"/>
  <c r="EE229" i="8"/>
  <c r="EE2310" i="8"/>
  <c r="EE2761" i="8"/>
  <c r="EE2670" i="8"/>
  <c r="EE617" i="8"/>
  <c r="EE2126" i="8"/>
  <c r="EE850" i="8"/>
  <c r="EE3033" i="8"/>
  <c r="EE2582" i="8"/>
  <c r="EE875" i="8"/>
  <c r="EE1560" i="8"/>
  <c r="EE2699" i="8"/>
  <c r="EE3501" i="8"/>
  <c r="EE2918" i="8"/>
  <c r="EE3264" i="8"/>
  <c r="EE2719" i="8"/>
  <c r="EE636" i="8"/>
  <c r="EE372" i="8"/>
  <c r="EE1155" i="8"/>
  <c r="EE979" i="8"/>
  <c r="EE1388" i="8"/>
  <c r="EE2140" i="8"/>
  <c r="EE1905" i="8"/>
  <c r="EE1638" i="8"/>
  <c r="EE2322" i="8"/>
  <c r="EE578" i="8"/>
  <c r="EE2248" i="8"/>
  <c r="EE471" i="8"/>
  <c r="EE2545" i="8"/>
  <c r="EE1556" i="8"/>
  <c r="EE3268" i="8"/>
  <c r="EE572" i="8"/>
  <c r="EE2425" i="8"/>
  <c r="EE1103" i="8"/>
  <c r="EE816" i="8"/>
  <c r="EE1999" i="8"/>
  <c r="EE1551" i="8"/>
  <c r="EE1536" i="8"/>
  <c r="EE1703" i="8"/>
  <c r="EE1534" i="8"/>
  <c r="EE889" i="8"/>
  <c r="EE2285" i="8"/>
  <c r="EE668" i="8"/>
  <c r="EE3251" i="8"/>
  <c r="EE1993" i="8"/>
  <c r="EE2175" i="8"/>
  <c r="EE756" i="8"/>
  <c r="EE3316" i="8"/>
  <c r="EE3530" i="8"/>
  <c r="EE2583" i="8"/>
  <c r="EE3576" i="8"/>
  <c r="EE3556" i="8"/>
  <c r="EE3189" i="8"/>
  <c r="EE1079" i="8"/>
  <c r="EE1038" i="8"/>
  <c r="EE3120" i="8"/>
  <c r="EE1608" i="8"/>
  <c r="EE258" i="8"/>
  <c r="EE2058" i="8"/>
  <c r="EE614" i="8"/>
  <c r="EE1128" i="8"/>
  <c r="EE550" i="8"/>
  <c r="EE3579" i="8"/>
  <c r="EE3340" i="8"/>
  <c r="EE2507" i="8"/>
  <c r="EE916" i="8"/>
  <c r="EE3236" i="8"/>
  <c r="EE3640" i="8"/>
  <c r="EE2166" i="8"/>
  <c r="EE2016" i="8"/>
  <c r="EE3168" i="8"/>
  <c r="EE3018" i="8"/>
  <c r="EE789" i="8"/>
  <c r="EE1562" i="8"/>
  <c r="EE1041" i="8"/>
  <c r="EE585" i="8"/>
  <c r="EE532" i="8"/>
  <c r="EE1962" i="8"/>
  <c r="EE498" i="8"/>
  <c r="EE168" i="8"/>
  <c r="EE3347" i="8"/>
  <c r="EE3169" i="8"/>
  <c r="EE669" i="8"/>
  <c r="EE2932" i="8"/>
  <c r="EE2242" i="8"/>
  <c r="EE2204" i="8"/>
  <c r="EE1771" i="8"/>
  <c r="EE1216" i="8"/>
  <c r="EE1573" i="8"/>
  <c r="EE1759" i="8"/>
  <c r="EE276" i="8"/>
  <c r="EE334" i="8"/>
  <c r="EE1941" i="8"/>
  <c r="EE1467" i="8"/>
  <c r="EE2529" i="8"/>
  <c r="EE161" i="8"/>
  <c r="EE2711" i="8"/>
  <c r="EE141" i="8"/>
  <c r="EE2542" i="8"/>
  <c r="EE2696" i="8"/>
  <c r="EE663" i="8"/>
  <c r="EE1424" i="8"/>
  <c r="EE3600" i="8"/>
  <c r="EE3286" i="8"/>
  <c r="EE216" i="8"/>
  <c r="EE1326" i="8"/>
  <c r="EE2490" i="8"/>
  <c r="EE2955" i="8"/>
  <c r="EE2654" i="8"/>
  <c r="EE3471" i="8"/>
  <c r="EE3284" i="8"/>
  <c r="EE1002" i="8"/>
  <c r="EE2354" i="8"/>
  <c r="EE3063" i="8"/>
  <c r="EE301" i="8"/>
  <c r="EE2146" i="8"/>
  <c r="EE1943" i="8"/>
  <c r="EE1892" i="8"/>
  <c r="EE443" i="8"/>
  <c r="EE685" i="8"/>
  <c r="EE348" i="8"/>
  <c r="EE2543" i="8"/>
  <c r="EE557" i="8"/>
  <c r="EE1277" i="8"/>
  <c r="EE2861" i="8"/>
  <c r="EE185" i="8"/>
  <c r="EE2927" i="8"/>
  <c r="EE3181" i="8"/>
  <c r="EE1574" i="8"/>
  <c r="EE1592" i="8"/>
  <c r="EE2826" i="8"/>
  <c r="EE3166" i="8"/>
  <c r="EE1537" i="8"/>
  <c r="EE2122" i="8"/>
  <c r="EE3044" i="8"/>
  <c r="EE145" i="8"/>
  <c r="EE364" i="8"/>
  <c r="EE679" i="8"/>
  <c r="EE3308" i="8"/>
  <c r="EE2765" i="8"/>
  <c r="EE906" i="8"/>
  <c r="EE2409" i="8"/>
  <c r="B2409" i="3" s="1"/>
  <c r="EE2768" i="8"/>
  <c r="EE365" i="8"/>
  <c r="EE2337" i="8"/>
  <c r="EE1998" i="8"/>
  <c r="EE2356" i="8"/>
  <c r="EE493" i="8"/>
  <c r="EE688" i="8"/>
  <c r="EE980" i="8"/>
  <c r="EE1032" i="8"/>
  <c r="EE2759" i="8"/>
  <c r="EE2998" i="8"/>
  <c r="EE2832" i="8"/>
  <c r="EE3619" i="8"/>
  <c r="EE843" i="8"/>
  <c r="EE491" i="8"/>
  <c r="EE2450" i="8"/>
  <c r="EE3484" i="8"/>
  <c r="EE2905" i="8"/>
  <c r="EE2074" i="8"/>
  <c r="EE1957" i="8"/>
  <c r="EE183" i="8"/>
  <c r="EE1972" i="8"/>
  <c r="EE194" i="8"/>
  <c r="EE1940" i="8"/>
  <c r="EE2352" i="8"/>
  <c r="EE3234" i="8"/>
  <c r="EE828" i="8"/>
  <c r="EE2095" i="8"/>
  <c r="EE2368" i="8"/>
  <c r="EE3213" i="8"/>
  <c r="EE1783" i="8"/>
  <c r="EE3247" i="8"/>
  <c r="EE187" i="8"/>
  <c r="EE1206" i="8"/>
  <c r="EE1409" i="8"/>
  <c r="EE481" i="8"/>
  <c r="EE3029" i="8"/>
  <c r="EE424" i="8"/>
  <c r="EE2852" i="8"/>
  <c r="EE2561" i="8"/>
  <c r="EE3183" i="8"/>
  <c r="EE2968" i="8"/>
  <c r="EE3338" i="8"/>
  <c r="EE1339" i="8"/>
  <c r="EE583" i="8"/>
  <c r="EE736" i="8"/>
  <c r="EE1983" i="8"/>
  <c r="EE1695" i="8"/>
  <c r="EE3077" i="8"/>
  <c r="EE1492" i="8"/>
  <c r="EE351" i="8"/>
  <c r="EE2563" i="8"/>
  <c r="EE2576" i="8"/>
  <c r="EE1386" i="8"/>
  <c r="B1386" i="3" s="1"/>
  <c r="EE3446" i="8"/>
  <c r="EE2300" i="8"/>
  <c r="EE1746" i="8"/>
  <c r="EE1648" i="8"/>
  <c r="EE1555" i="8"/>
  <c r="EE1223" i="8"/>
  <c r="EE2178" i="8"/>
  <c r="EE3330" i="8"/>
  <c r="EE755" i="8"/>
  <c r="EE1966" i="8"/>
  <c r="O1966" i="3" s="1"/>
  <c r="EE1262" i="8"/>
  <c r="EE3660" i="8"/>
  <c r="EE3604" i="8"/>
  <c r="EE3580" i="8"/>
  <c r="EE1688" i="8"/>
  <c r="EE719" i="8"/>
  <c r="EE2930" i="8"/>
  <c r="EE2448" i="8"/>
  <c r="EE530" i="8"/>
  <c r="EE3231" i="8"/>
  <c r="EE2048" i="8"/>
  <c r="EE1899" i="8"/>
  <c r="EE279" i="8"/>
  <c r="EE690" i="8"/>
  <c r="EE1212" i="8"/>
  <c r="EE2055" i="8"/>
  <c r="EE2343" i="8"/>
  <c r="EE907" i="8"/>
  <c r="EE2667" i="8"/>
  <c r="EE2297" i="8"/>
  <c r="EE3609" i="8"/>
  <c r="EE2179" i="8"/>
  <c r="EE247" i="8"/>
  <c r="EE2653" i="8"/>
  <c r="EE2620" i="8"/>
  <c r="EE437" i="8"/>
  <c r="EE3694" i="8"/>
  <c r="EE1584" i="8"/>
  <c r="EE1935" i="8"/>
  <c r="EE2027" i="8"/>
  <c r="EE3705" i="8"/>
  <c r="EE419" i="8"/>
  <c r="EE2843" i="8"/>
  <c r="EE2498" i="8"/>
  <c r="EE2816" i="8"/>
  <c r="EE1127" i="8"/>
  <c r="EE2018" i="8"/>
  <c r="EE3037" i="8"/>
  <c r="EE175" i="8"/>
  <c r="EE2188" i="8"/>
  <c r="EE409" i="8"/>
  <c r="EE3232" i="8"/>
  <c r="EE3222" i="8"/>
  <c r="EE2325" i="8"/>
  <c r="EE2447" i="8"/>
  <c r="EE1180" i="8"/>
  <c r="EE1404" i="8"/>
  <c r="EE2739" i="8"/>
  <c r="EE2977" i="8"/>
  <c r="EE3521" i="8"/>
  <c r="EE2247" i="8"/>
  <c r="EE3572" i="8"/>
  <c r="EE1701" i="8"/>
  <c r="EE1029" i="8"/>
  <c r="EE595" i="8"/>
  <c r="EE1196" i="8"/>
  <c r="EE676" i="8"/>
  <c r="EE2862" i="8"/>
  <c r="EE2396" i="8"/>
  <c r="EE3336" i="8"/>
  <c r="EE2143" i="8"/>
  <c r="EE2148" i="8"/>
  <c r="EE892" i="8"/>
  <c r="EE699" i="8"/>
  <c r="EE3389" i="8"/>
  <c r="EE3064" i="8"/>
  <c r="EE571" i="8"/>
  <c r="EE1274" i="8"/>
  <c r="EE1117" i="8"/>
  <c r="EE1227" i="8"/>
  <c r="EE707" i="8"/>
  <c r="EE2939" i="8"/>
  <c r="EE1967" i="8"/>
  <c r="EE1678" i="8"/>
  <c r="EE1664" i="8"/>
  <c r="EE900" i="8"/>
  <c r="EE3335" i="8"/>
  <c r="EE1133" i="8"/>
  <c r="EE560" i="8"/>
  <c r="EE2111" i="8"/>
  <c r="EE3377" i="8"/>
  <c r="EE1138" i="8"/>
  <c r="EE2348" i="8"/>
  <c r="EE2621" i="8"/>
  <c r="EE947" i="8"/>
  <c r="EE1987" i="8"/>
  <c r="EE1976" i="8"/>
  <c r="EE1649" i="8"/>
  <c r="EE708" i="8"/>
  <c r="EE1129" i="8"/>
  <c r="EE1176" i="8"/>
  <c r="EE2549" i="8"/>
  <c r="EE1469" i="8"/>
  <c r="EE2715" i="8"/>
  <c r="EE265" i="8"/>
  <c r="EE2749" i="8"/>
  <c r="EE3003" i="8"/>
  <c r="EE621" i="8"/>
  <c r="EE600" i="8"/>
  <c r="EE467" i="8"/>
  <c r="EE1590" i="8"/>
  <c r="EE2446" i="8"/>
  <c r="EE1566" i="8"/>
  <c r="EE1973" i="8"/>
  <c r="EE2421" i="8"/>
  <c r="EE1600" i="8"/>
  <c r="EE3553" i="8"/>
  <c r="EE3355" i="8"/>
  <c r="EE2838" i="8"/>
  <c r="EE1406" i="8"/>
  <c r="EE2511" i="8"/>
  <c r="EE1380" i="8"/>
  <c r="EE1091" i="8"/>
  <c r="EE2624" i="8"/>
  <c r="EE353" i="8"/>
  <c r="EE3566" i="8"/>
  <c r="EE1411" i="8"/>
  <c r="EE1946" i="8"/>
  <c r="EE3299" i="8"/>
  <c r="EE1895" i="8"/>
  <c r="EE2639" i="8"/>
  <c r="B2639" i="3" s="1"/>
  <c r="EE3056" i="8"/>
  <c r="EE3364" i="8"/>
  <c r="EE2113" i="8"/>
  <c r="EE1680" i="8"/>
  <c r="EE3320" i="8"/>
  <c r="EE2668" i="8"/>
  <c r="EE1375" i="8"/>
  <c r="EE1725" i="8"/>
  <c r="EE1685" i="8"/>
  <c r="EE2462" i="8"/>
  <c r="EE3309" i="8"/>
  <c r="EE3595" i="8"/>
  <c r="EE3026" i="8"/>
  <c r="EE2245" i="8"/>
  <c r="EE2787" i="8"/>
  <c r="EE3127" i="8"/>
  <c r="EE2695" i="8"/>
  <c r="EE2920" i="8"/>
  <c r="EE2868" i="8"/>
  <c r="EE3539" i="8"/>
  <c r="EE1489" i="8"/>
  <c r="EE3061" i="8"/>
  <c r="EE1302" i="8"/>
  <c r="EE3500" i="8"/>
  <c r="EE1292" i="8"/>
  <c r="EE449" i="8"/>
  <c r="EE426" i="8"/>
  <c r="EE832" i="8"/>
  <c r="EE684" i="8"/>
  <c r="EE1738" i="8"/>
  <c r="EE1307" i="8"/>
  <c r="EE506" i="8"/>
  <c r="EE2289" i="8"/>
  <c r="EE538" i="8"/>
  <c r="EE3047" i="8"/>
  <c r="EE2999" i="8"/>
  <c r="EE3575" i="8"/>
  <c r="EE1528" i="8"/>
  <c r="EE2790" i="8"/>
  <c r="EE2586" i="8"/>
  <c r="EE2779" i="8"/>
  <c r="EE1150" i="8"/>
  <c r="EE753" i="8"/>
  <c r="EE2633" i="8"/>
  <c r="EE2686" i="8"/>
  <c r="EE1784" i="8"/>
  <c r="EE678" i="8"/>
  <c r="EE2273" i="8"/>
  <c r="EE1414" i="8"/>
  <c r="EE3165" i="8"/>
  <c r="EE3312" i="8"/>
  <c r="EE1301" i="8"/>
  <c r="EE1120" i="8"/>
  <c r="EE1554" i="8"/>
  <c r="EE986" i="8"/>
  <c r="EE2487" i="8"/>
  <c r="EE1400" i="8"/>
  <c r="EE949" i="8"/>
  <c r="EE2876" i="8"/>
  <c r="EE2117" i="8"/>
  <c r="EE884" i="8"/>
  <c r="EE2023" i="8"/>
  <c r="EE3131" i="8"/>
  <c r="EE3540" i="8"/>
  <c r="EE2837" i="8"/>
  <c r="EE1181" i="8"/>
  <c r="EE2427" i="8"/>
  <c r="EE543" i="8"/>
  <c r="EE2041" i="8"/>
  <c r="EE2912" i="8"/>
  <c r="EE2189" i="8"/>
  <c r="EE3642" i="8"/>
  <c r="EE2794" i="8"/>
  <c r="EE999" i="8"/>
  <c r="EE3393" i="8"/>
  <c r="EE503" i="8"/>
  <c r="EE3010" i="8"/>
  <c r="EE1629" i="8"/>
  <c r="EE1550" i="8"/>
  <c r="EE1477" i="8"/>
  <c r="EE3415" i="8"/>
  <c r="EE660" i="8"/>
  <c r="EE2429" i="8"/>
  <c r="EE2137" i="8"/>
  <c r="EE3582" i="8"/>
  <c r="EE938" i="8"/>
  <c r="EE1298" i="8"/>
  <c r="EE2754" i="8"/>
  <c r="EE3304" i="8"/>
  <c r="EE3211" i="8"/>
  <c r="EE1407" i="8"/>
  <c r="EE3146" i="8"/>
  <c r="EE2073" i="8"/>
  <c r="EE1426" i="8"/>
  <c r="EE3421" i="8"/>
  <c r="EE256" i="8"/>
  <c r="EE946" i="8"/>
  <c r="EE1378" i="8"/>
  <c r="EE3645" i="8"/>
  <c r="EE1533" i="8"/>
  <c r="EE831" i="8"/>
  <c r="EE3081" i="8"/>
  <c r="EE3483" i="8"/>
  <c r="EE771" i="8"/>
  <c r="EE2606" i="8"/>
  <c r="EE1992" i="8"/>
  <c r="EE3399" i="8"/>
  <c r="EE2692" i="8"/>
  <c r="EE642" i="8"/>
  <c r="EE897" i="8"/>
  <c r="EE1358" i="8"/>
  <c r="EE1524" i="8"/>
  <c r="EE733" i="8"/>
  <c r="EE1166" i="8"/>
  <c r="EE3207" i="8"/>
  <c r="EE887" i="8"/>
  <c r="EE2239" i="8"/>
  <c r="EE2138" i="8"/>
  <c r="EE2103" i="8"/>
  <c r="EE1462" i="8"/>
  <c r="EE3024" i="8"/>
  <c r="EE1328" i="8"/>
  <c r="EE692" i="8"/>
  <c r="EE2950" i="8"/>
  <c r="EE1065" i="8"/>
  <c r="EE2315" i="8"/>
  <c r="EE1954" i="8"/>
  <c r="EE982" i="8"/>
  <c r="EE1173" i="8"/>
  <c r="EE1656" i="8"/>
  <c r="EE1419" i="8"/>
  <c r="EE2284" i="8"/>
  <c r="EE3437" i="8"/>
  <c r="EE292" i="8"/>
  <c r="EE304" i="8"/>
  <c r="EE1111" i="8"/>
  <c r="EE1762" i="8"/>
  <c r="EE590" i="8"/>
  <c r="EE2235" i="8"/>
  <c r="EE1779" i="8"/>
  <c r="EE486" i="8"/>
  <c r="EE456" i="8"/>
  <c r="EE1399" i="8"/>
  <c r="EE921" i="8"/>
  <c r="EE1997" i="8"/>
  <c r="EE3004" i="8"/>
  <c r="EE3474" i="8"/>
  <c r="EE2778" i="8"/>
  <c r="EE1425" i="8"/>
  <c r="EE987" i="8"/>
  <c r="EE2872" i="8"/>
  <c r="EE2024" i="8"/>
  <c r="EE3252" i="8"/>
  <c r="EE3135" i="8"/>
  <c r="EE588" i="8"/>
  <c r="EE366" i="8"/>
  <c r="EE779" i="8"/>
  <c r="EE633" i="8"/>
  <c r="EE1031" i="8"/>
  <c r="EE1251" i="8"/>
  <c r="EE2465" i="8"/>
  <c r="EE1464" i="8"/>
  <c r="EE2869" i="8"/>
  <c r="EE359" i="8"/>
  <c r="EE2009" i="8"/>
  <c r="EE759" i="8"/>
  <c r="EE1152" i="8"/>
  <c r="S1152" i="3" s="1"/>
  <c r="EE2775" i="8"/>
  <c r="EE3258" i="8"/>
  <c r="EE1570" i="8"/>
  <c r="EE1617" i="8"/>
  <c r="EE439" i="8"/>
  <c r="EE497" i="8"/>
  <c r="EE3653" i="8"/>
  <c r="EE868" i="8"/>
  <c r="EE2805" i="8"/>
  <c r="EE1433" i="8"/>
  <c r="EE2449" i="8"/>
  <c r="EE1447" i="8"/>
  <c r="EE2814" i="8"/>
  <c r="EE3161" i="8"/>
  <c r="EE1070" i="8"/>
  <c r="EE3337" i="8"/>
  <c r="EE2466" i="8"/>
  <c r="EE2433" i="8"/>
  <c r="EE1751" i="8"/>
  <c r="EE2263" i="8"/>
  <c r="EE3317" i="8"/>
  <c r="EE2163" i="8"/>
  <c r="EE218" i="8"/>
  <c r="EE1035" i="8"/>
  <c r="EE3344" i="8"/>
  <c r="EE2937" i="8"/>
  <c r="EE3435" i="8"/>
  <c r="EE1003" i="8"/>
  <c r="EE2526" i="8"/>
  <c r="EE2190" i="8"/>
  <c r="EE2404" i="8"/>
  <c r="EE386" i="8"/>
  <c r="EE2129" i="8"/>
  <c r="EE3385" i="8"/>
  <c r="EE1178" i="8"/>
  <c r="EE1096" i="8"/>
  <c r="EE3670" i="8"/>
  <c r="EE2160" i="8"/>
  <c r="EE2324" i="8"/>
  <c r="EE1102" i="8"/>
  <c r="EE2345" i="8"/>
  <c r="EE2808" i="8"/>
  <c r="EE711" i="8"/>
  <c r="EE518" i="8"/>
  <c r="C518" i="3" s="1"/>
  <c r="EE1107" i="8"/>
  <c r="EE344" i="8"/>
  <c r="EE1463" i="8"/>
  <c r="EE766" i="8"/>
  <c r="EE732" i="8"/>
  <c r="EE2823" i="8"/>
  <c r="EE671" i="8"/>
  <c r="EE2817" i="8"/>
  <c r="EE531" i="8"/>
  <c r="EE2221" i="8"/>
  <c r="EE3651" i="8"/>
  <c r="EE956" i="8"/>
  <c r="EE2086" i="8"/>
  <c r="EE402" i="8"/>
  <c r="EE2093" i="8"/>
  <c r="EE2295" i="8"/>
  <c r="EE3398" i="8"/>
  <c r="EE1214" i="8"/>
  <c r="EE2914" i="8"/>
  <c r="EE1750" i="8"/>
  <c r="EE3079" i="8"/>
  <c r="EE3443" i="8"/>
  <c r="EE299" i="8"/>
  <c r="EE2531" i="8"/>
  <c r="EE3663" i="8"/>
  <c r="EE1158" i="8"/>
  <c r="EE2924" i="8"/>
  <c r="EE2092" i="8"/>
  <c r="EE846" i="8"/>
  <c r="EE795" i="8"/>
  <c r="EE1986" i="8"/>
  <c r="EE1622" i="8"/>
  <c r="EE2958" i="8"/>
  <c r="EE1965" i="8"/>
  <c r="EE3383" i="8"/>
  <c r="EE1758" i="8"/>
  <c r="EE1260" i="8"/>
  <c r="EE2158" i="8"/>
  <c r="EE1473" i="8"/>
  <c r="EE469" i="8"/>
  <c r="EE927" i="8"/>
  <c r="EE2822" i="8"/>
  <c r="EE1026" i="8"/>
  <c r="EE1486" i="8"/>
  <c r="EE3372" i="8"/>
  <c r="EE1475" i="8"/>
  <c r="EE2311" i="8"/>
  <c r="EE336" i="8"/>
  <c r="C336" i="3" s="1"/>
  <c r="EE3662" i="8"/>
  <c r="EE741" i="8"/>
  <c r="EE425" i="8"/>
  <c r="EE1132" i="8"/>
  <c r="EE581" i="8"/>
  <c r="EE1175" i="8"/>
  <c r="EE221" i="8"/>
  <c r="EE1047" i="8"/>
  <c r="EE1322" i="8"/>
  <c r="EE2250" i="8"/>
  <c r="EE605" i="8"/>
  <c r="EE592" i="8"/>
  <c r="EE1210" i="8"/>
  <c r="EE295" i="8"/>
  <c r="EE2849" i="8"/>
  <c r="EE3278" i="8"/>
  <c r="EE3038" i="8"/>
  <c r="EE3116" i="8"/>
  <c r="EE1459" i="8"/>
  <c r="EE1157" i="8"/>
  <c r="EE1330" i="8"/>
  <c r="EE1728" i="8"/>
  <c r="EE3404" i="8"/>
  <c r="EE2096" i="8"/>
  <c r="EE1764" i="8"/>
  <c r="EE1077" i="8"/>
  <c r="EE3171" i="8"/>
  <c r="EE1658" i="8"/>
  <c r="EE1515" i="8"/>
  <c r="EE3697" i="8"/>
  <c r="EE264" i="8"/>
  <c r="EE3360" i="8"/>
  <c r="EE1137" i="8"/>
  <c r="EE682" i="8"/>
  <c r="EE652" i="8"/>
  <c r="EE729" i="8"/>
  <c r="EE918" i="8"/>
  <c r="EE2346" i="8"/>
  <c r="EE1548" i="8"/>
  <c r="EE3456" i="8"/>
  <c r="EE1185" i="8"/>
  <c r="EE3095" i="8"/>
  <c r="EE1547" i="8"/>
  <c r="EE2569" i="8"/>
  <c r="EE3205" i="8"/>
  <c r="EE1405" i="8"/>
  <c r="EE2966" i="8"/>
  <c r="EE580" i="8"/>
  <c r="EE188" i="8"/>
  <c r="EE3411" i="8"/>
  <c r="EE2710" i="8"/>
  <c r="EE2169" i="8"/>
  <c r="EE2875" i="8"/>
  <c r="EE3100" i="8"/>
  <c r="EE2225" i="8"/>
  <c r="EE1076" i="8"/>
  <c r="EE2516" i="8"/>
  <c r="EE1684" i="8"/>
  <c r="EE2168" i="8"/>
  <c r="EE3112" i="8"/>
  <c r="EE1799" i="8"/>
  <c r="EE1582" i="8"/>
  <c r="EE1519" i="8"/>
  <c r="S1519" i="3" s="1"/>
  <c r="EE3621" i="8"/>
  <c r="EE2622" i="8"/>
  <c r="EE3358" i="8"/>
  <c r="EE2962" i="8"/>
  <c r="EE1039" i="8"/>
  <c r="EE764" i="8"/>
  <c r="EE3276" i="8"/>
  <c r="EE3511" i="8"/>
  <c r="EE157" i="8"/>
  <c r="EE2194" i="8"/>
  <c r="EE3067" i="8"/>
  <c r="EE1580" i="8"/>
  <c r="EE1221" i="8"/>
  <c r="EE3592" i="8"/>
  <c r="EE3502" i="8"/>
  <c r="EE156" i="8"/>
  <c r="EE1659" i="8"/>
  <c r="EE2422" i="8"/>
  <c r="EE1628" i="8"/>
  <c r="EE330" i="8"/>
  <c r="EE1714" i="8"/>
  <c r="EE2602" i="8"/>
  <c r="EE2564" i="8"/>
  <c r="EE1981" i="8"/>
  <c r="EE2441" i="8"/>
  <c r="EE3121" i="8"/>
  <c r="EE3144" i="8"/>
  <c r="EE2577" i="8"/>
  <c r="EE1021" i="8"/>
  <c r="EE2644" i="8"/>
  <c r="EE2106" i="8"/>
  <c r="EE149" i="8"/>
  <c r="EE2407" i="8"/>
  <c r="B2407" i="3" s="1"/>
  <c r="EE1672" i="8"/>
  <c r="EE2892" i="8"/>
  <c r="EE3101" i="8"/>
  <c r="S3101" i="3" s="1"/>
  <c r="EE1772" i="8"/>
  <c r="S1772" i="3" s="1"/>
  <c r="EE1263" i="8"/>
  <c r="O1263" i="3" s="1"/>
  <c r="EE2267" i="8"/>
  <c r="EE2069" i="8"/>
  <c r="B2069" i="3" s="1"/>
  <c r="EE2617" i="8"/>
  <c r="B2617" i="3" s="1"/>
  <c r="EE2567" i="8"/>
  <c r="BC2529" i="3"/>
  <c r="BP2642" i="3"/>
  <c r="AF2641" i="3"/>
  <c r="BB2025" i="3"/>
  <c r="EE3310" i="8"/>
  <c r="EE3395" i="8"/>
  <c r="EE2401" i="8"/>
  <c r="EE1706" i="8"/>
  <c r="EE2681" i="8"/>
  <c r="EE2556" i="8"/>
  <c r="EE2616" i="8"/>
  <c r="U2616" i="3" s="1"/>
  <c r="EE1671" i="8"/>
  <c r="B1671" i="3" s="1"/>
  <c r="EE1963" i="8"/>
  <c r="EE1766" i="8"/>
  <c r="B1766" i="3" s="1"/>
  <c r="EE2501" i="8"/>
  <c r="EE1646" i="8"/>
  <c r="B1646" i="3" s="1"/>
  <c r="EE2656" i="8"/>
  <c r="EE3055" i="8"/>
  <c r="O3055" i="3" s="1"/>
  <c r="EE3140" i="8"/>
  <c r="EE2866" i="8"/>
  <c r="B2866" i="3" s="1"/>
  <c r="EE2068" i="8"/>
  <c r="EE2173" i="8"/>
  <c r="S2173" i="3" s="1"/>
  <c r="EE2406" i="8"/>
  <c r="EE1611" i="8"/>
  <c r="B1611" i="3" s="1"/>
  <c r="EE2806" i="8"/>
  <c r="EE3085" i="8"/>
  <c r="EE2571" i="8"/>
  <c r="U2571" i="3" s="1"/>
  <c r="DA1835" i="3"/>
  <c r="DB1835" i="3" s="1"/>
  <c r="CB1835" i="3" s="1"/>
  <c r="CX1833" i="3"/>
  <c r="DA1833" i="3" s="1"/>
  <c r="DB1833" i="3" s="1"/>
  <c r="CB1833" i="3" s="1"/>
  <c r="CX1834" i="3"/>
  <c r="DA1834" i="3" s="1"/>
  <c r="DB1834" i="3" s="1"/>
  <c r="CB1834" i="3" s="1"/>
  <c r="CX1832" i="3"/>
  <c r="DA1832" i="3" s="1"/>
  <c r="DB1832" i="3" s="1"/>
  <c r="CB1832" i="3" s="1"/>
  <c r="EE1121" i="8"/>
  <c r="O1121" i="3" s="1"/>
  <c r="EE3342" i="8"/>
  <c r="EE804" i="8"/>
  <c r="C804" i="3" s="1"/>
  <c r="EE977" i="8"/>
  <c r="S977" i="3" s="1"/>
  <c r="EE178" i="8"/>
  <c r="B178" i="3" s="1"/>
  <c r="EE140" i="8"/>
  <c r="EE415" i="8"/>
  <c r="B415" i="3" s="1"/>
  <c r="EE3182" i="8"/>
  <c r="EE2005" i="8"/>
  <c r="B2005" i="3" s="1"/>
  <c r="EE2268" i="8"/>
  <c r="B2268" i="3" s="1"/>
  <c r="EE2893" i="8"/>
  <c r="EE160" i="8"/>
  <c r="B160" i="3" s="1"/>
  <c r="EE1763" i="8"/>
  <c r="O1763" i="3" s="1"/>
  <c r="EE170" i="8"/>
  <c r="B170" i="3" s="1"/>
  <c r="EE1753" i="8"/>
  <c r="S1753" i="3" s="1"/>
  <c r="EE474" i="8"/>
  <c r="EE1885" i="8"/>
  <c r="EE1022" i="8"/>
  <c r="EE1980" i="8"/>
  <c r="EE650" i="8"/>
  <c r="C650" i="3" s="1"/>
  <c r="EE2758" i="8"/>
  <c r="EE2974" i="8"/>
  <c r="EE202" i="8"/>
  <c r="EE3142" i="8"/>
  <c r="EE342" i="8"/>
  <c r="B342" i="3" s="1"/>
  <c r="EE2243" i="8"/>
  <c r="B2243" i="3" s="1"/>
  <c r="EE2568" i="8"/>
  <c r="EE147" i="8"/>
  <c r="Q147" i="3" s="1"/>
  <c r="EE3087" i="8"/>
  <c r="EE1106" i="8"/>
  <c r="O1106" i="3" s="1"/>
  <c r="EE167" i="8"/>
  <c r="EE782" i="8"/>
  <c r="C782" i="3" s="1"/>
  <c r="EE2658" i="8"/>
  <c r="EE248" i="8"/>
  <c r="EE379" i="8"/>
  <c r="B379" i="3" s="1"/>
  <c r="EE826" i="8"/>
  <c r="C826" i="3" s="1"/>
  <c r="EE628" i="8"/>
  <c r="C628" i="3" s="1"/>
  <c r="EE895" i="8"/>
  <c r="EE2308" i="8"/>
  <c r="EE738" i="8"/>
  <c r="C738" i="3" s="1"/>
  <c r="EE3684" i="8"/>
  <c r="EE896" i="8"/>
  <c r="EE901" i="8"/>
  <c r="EE153" i="8"/>
  <c r="B153" i="3" s="1"/>
  <c r="EE672" i="8"/>
  <c r="C672" i="3" s="1"/>
  <c r="EE1025" i="8"/>
  <c r="B1025" i="3" s="1"/>
  <c r="EE1633" i="8"/>
  <c r="T1633" i="3" s="1"/>
  <c r="EE1623" i="8"/>
  <c r="O1623" i="3" s="1"/>
  <c r="EE1000" i="8"/>
  <c r="O1000" i="3" s="1"/>
  <c r="EE307" i="8"/>
  <c r="B307" i="3" s="1"/>
  <c r="EE1001" i="8"/>
  <c r="EE694" i="8"/>
  <c r="C694" i="3" s="1"/>
  <c r="EE1773" i="8"/>
  <c r="EE3649" i="8"/>
  <c r="EE2478" i="8"/>
  <c r="EE306" i="8"/>
  <c r="O306" i="3" s="1"/>
  <c r="EE540" i="8"/>
  <c r="C540" i="3" s="1"/>
  <c r="EE171" i="8"/>
  <c r="P171" i="3" s="1"/>
  <c r="EE3017" i="8"/>
  <c r="B3017" i="3" s="1"/>
  <c r="EE716" i="8"/>
  <c r="C716" i="3" s="1"/>
  <c r="EE1518" i="8"/>
  <c r="EE562" i="8"/>
  <c r="EE163" i="8"/>
  <c r="BQ162" i="3" s="1"/>
  <c r="EE1007" i="8"/>
  <c r="O1007" i="3" s="1"/>
  <c r="EE339" i="8"/>
  <c r="U339" i="3" s="1"/>
  <c r="EE2888" i="8"/>
  <c r="EE3117" i="8"/>
  <c r="EE1668" i="8"/>
  <c r="EE285" i="8"/>
  <c r="T285" i="3" s="1"/>
  <c r="EE496" i="8"/>
  <c r="C496" i="3" s="1"/>
  <c r="EE357" i="8"/>
  <c r="C357" i="3" s="1"/>
  <c r="EE2408" i="8"/>
  <c r="EE1024" i="8"/>
  <c r="B1024" i="3" s="1"/>
  <c r="EE2283" i="8"/>
  <c r="B2283" i="3" s="1"/>
  <c r="EE2783" i="8"/>
  <c r="EE2403" i="8"/>
  <c r="EE430" i="8"/>
  <c r="C430" i="3" s="1"/>
  <c r="EE3257" i="8"/>
  <c r="EE2949" i="8"/>
  <c r="EE1099" i="8"/>
  <c r="O1099" i="3" s="1"/>
  <c r="EE898" i="8"/>
  <c r="BC155" i="3" l="1"/>
  <c r="BC172" i="3"/>
  <c r="BJ1969" i="3"/>
  <c r="BG1889" i="3"/>
  <c r="AW2598" i="3"/>
  <c r="AH1741" i="3"/>
  <c r="BC1613" i="3"/>
  <c r="T2122" i="3"/>
  <c r="BM2809" i="3"/>
  <c r="BD2976" i="3"/>
  <c r="AN1503" i="3"/>
  <c r="BJ3103" i="3"/>
  <c r="AX2218" i="3"/>
  <c r="BN1157" i="3"/>
  <c r="BG3315" i="3"/>
  <c r="BM2334" i="3"/>
  <c r="BM2941" i="3"/>
  <c r="BB2009" i="3"/>
  <c r="AC2598" i="3"/>
  <c r="BD3188" i="3"/>
  <c r="BF2761" i="3"/>
  <c r="BR2598" i="3"/>
  <c r="Q1073" i="3"/>
  <c r="BR3535" i="3"/>
  <c r="AZ1696" i="3"/>
  <c r="Q1236" i="3"/>
  <c r="BM2364" i="3"/>
  <c r="T3398" i="3"/>
  <c r="BG2684" i="3"/>
  <c r="Y951" i="3"/>
  <c r="BU1589" i="3"/>
  <c r="AG3155" i="3"/>
  <c r="BG2407" i="3"/>
  <c r="T1556" i="3"/>
  <c r="BR3450" i="3"/>
  <c r="W951" i="3"/>
  <c r="BB2918" i="3"/>
  <c r="BE2559" i="3"/>
  <c r="BA2234" i="3"/>
  <c r="AQ172" i="3" l="1"/>
  <c r="BS895" i="3"/>
  <c r="AK896" i="3" s="1"/>
</calcChain>
</file>

<file path=xl/sharedStrings.xml><?xml version="1.0" encoding="utf-8"?>
<sst xmlns="http://schemas.openxmlformats.org/spreadsheetml/2006/main" count="5725" uniqueCount="1073">
  <si>
    <t>a</t>
  </si>
  <si>
    <t>b</t>
  </si>
  <si>
    <t>c</t>
  </si>
  <si>
    <t>B.</t>
  </si>
  <si>
    <t>D.</t>
  </si>
  <si>
    <t>E.</t>
  </si>
  <si>
    <t>F.</t>
  </si>
  <si>
    <t>Číslo</t>
  </si>
  <si>
    <t>Zostavené dňa:</t>
  </si>
  <si>
    <t>Schválené dňa:</t>
  </si>
  <si>
    <t>E-mailová adresa</t>
  </si>
  <si>
    <t>Číslo faxu:</t>
  </si>
  <si>
    <t>Číslo telefónu:</t>
  </si>
  <si>
    <t>/</t>
  </si>
  <si>
    <t>PSČ</t>
  </si>
  <si>
    <t>Názov obce</t>
  </si>
  <si>
    <t>Ulica</t>
  </si>
  <si>
    <t>Sídlo účtovnej jednotky</t>
  </si>
  <si>
    <t>Obchodné meno (názov) účtovnej jednotky</t>
  </si>
  <si>
    <t>IČO</t>
  </si>
  <si>
    <t>.</t>
  </si>
  <si>
    <t>do</t>
  </si>
  <si>
    <t>od</t>
  </si>
  <si>
    <t xml:space="preserve">individuálnej účtovnej závierky </t>
  </si>
  <si>
    <t xml:space="preserve">zostavenej k </t>
  </si>
  <si>
    <t>POZNÁMKY</t>
  </si>
  <si>
    <t>X</t>
  </si>
  <si>
    <t>i</t>
  </si>
  <si>
    <t>d</t>
  </si>
  <si>
    <t>e</t>
  </si>
  <si>
    <t>Informácie o účtovnej jednotke</t>
  </si>
  <si>
    <t>-</t>
  </si>
  <si>
    <t>Údaje o neobmedzenom ručení</t>
  </si>
  <si>
    <t xml:space="preserve">Účtovná závierka Spoločnosti k </t>
  </si>
  <si>
    <t>, za predchádzajúce účtovné obdobie,</t>
  </si>
  <si>
    <t>bola</t>
  </si>
  <si>
    <t xml:space="preserve"> </t>
  </si>
  <si>
    <t>Zverejnenie účtovnej závierky za predchádzajúce účtovné obdobie</t>
  </si>
  <si>
    <t>Informácie o orgánoch účtovnej jednotky</t>
  </si>
  <si>
    <t>Výška podielu na základnom imaní</t>
  </si>
  <si>
    <t>absolútne</t>
  </si>
  <si>
    <t>v %</t>
  </si>
  <si>
    <t>Podiel na hlasovacích právach v %</t>
  </si>
  <si>
    <t>Iný podiel na ostatných položkách VI ako na ZI  v %</t>
  </si>
  <si>
    <t>Spoločník, akcionár</t>
  </si>
  <si>
    <t>Spolu</t>
  </si>
  <si>
    <t xml:space="preserve">V priebehu roka </t>
  </si>
  <si>
    <t>Spoločník, akcionár do dňa zmeny v štruktúre spoločníkov,akcionárov</t>
  </si>
  <si>
    <t>Informácie o konsolidovanom celku</t>
  </si>
  <si>
    <t>Informácie o účtovných zásadách a účtovných metódach.</t>
  </si>
  <si>
    <t xml:space="preserve">Dlhodobý majetok nakupovaný sa oceňuje obstarávacou cenou, ktorá zahŕňa cenu obstarania a náklady </t>
  </si>
  <si>
    <t xml:space="preserve">súvisiace s obstaraním (clo, prepravu, montáž, poistné a pod.). </t>
  </si>
  <si>
    <t xml:space="preserve">Dlhodobý majetok vytvorený vlastnou činnosťou sa oceňuje vlastnými nákladmi. Vlastnými nákladmi sú </t>
  </si>
  <si>
    <t xml:space="preserve">všetky priame náklady vynaložené na výrobu alebo inú činnosť a nepriame náklady, ktoré sa vzťahujú na </t>
  </si>
  <si>
    <t xml:space="preserve">výrobu alebo inú činnosť. </t>
  </si>
  <si>
    <t xml:space="preserve">Odpisy dlhodobého nehmotného majetku sú stanovené vychádzajúc z predpokladanej doby jeho </t>
  </si>
  <si>
    <t xml:space="preserve">používania a predpokladaného priebehu jeho opotrebenia. Odpisovať sa začína prvým dňom mesiaca </t>
  </si>
  <si>
    <t>Aktivované náklady na vývoj</t>
  </si>
  <si>
    <t>Softvér</t>
  </si>
  <si>
    <t>Predpokladaná doba používania v rokoch</t>
  </si>
  <si>
    <t>Metóda odpisovania</t>
  </si>
  <si>
    <t xml:space="preserve">Odpisy dlhodobého hmotného majetku sú stanovené vychádzajúc z predpokladanej doby jeho </t>
  </si>
  <si>
    <t>Stavby</t>
  </si>
  <si>
    <t xml:space="preserve">Cenné papiere a podiely sa oceňujú obstarávacími cenami vrátane nákladov súvisiacich s obstaraním. </t>
  </si>
  <si>
    <t>Zásoby</t>
  </si>
  <si>
    <t>Zákazková výstavba nehnuteľnosti určenej na predaj sa vykazuje podľa metódy stupňa dokončenia.</t>
  </si>
  <si>
    <t>Pohľadávky</t>
  </si>
  <si>
    <t xml:space="preserve">Pohľadávky pri ich vzniku sa oceňujú ich menovitou hodnotou; postúpené pohľadávky a pohľadávky </t>
  </si>
  <si>
    <t xml:space="preserve">nadobudnuté vkladom do základného imania sa oceňujú obstarávacou cenou vrátane nákladov súvisiacich </t>
  </si>
  <si>
    <t>s obstaraním. Toto ocenenie sa znižuje o pochybné a nevymožiteľné pohľadávky.</t>
  </si>
  <si>
    <t>Záväzky</t>
  </si>
  <si>
    <t>Deriváty</t>
  </si>
  <si>
    <t xml:space="preserve">Náklady budúcich období a príjmy budúcich období sa vykazujú vo výške, ktorá je potrebná na dodržanie </t>
  </si>
  <si>
    <t>zásady vecnej a časovej súvislosti s účtovným obdobím.</t>
  </si>
  <si>
    <t xml:space="preserve">Rezervy sú záväzky s neurčitým časovým vymedzením alebo výškou; tvoria sa na krytie známych rizík alebo </t>
  </si>
  <si>
    <t>strát z podnikania. Oceňujú sa v očakávanej výške záväzku.</t>
  </si>
  <si>
    <t xml:space="preserve">Záväzky pri ich vzniku sa oceňujú menovitou hodnotou. Záväzky pri ich prevzatí sa oceňujú obstarávacou </t>
  </si>
  <si>
    <t xml:space="preserve">cenou. Ak sa pri inventarizácii zistí, že suma záväzkov je iná ako ich výška v účtovníctve, uvedú sa záväzky </t>
  </si>
  <si>
    <t xml:space="preserve">v účtovníctve a v účtovnej závierke v tomto zistenom ocenení. </t>
  </si>
  <si>
    <t xml:space="preserve">Výdavky budúcich období a výnosy budúcich období sa vykazujú vo výške, ktorá je potrebná na dodržanie </t>
  </si>
  <si>
    <t xml:space="preserve">vykazujú ako výnosy budúcich období a do výkazu ziskov a strát sa rozpúšťajú v časovej a vecnej súvislosti </t>
  </si>
  <si>
    <t xml:space="preserve">Dotácie na obstaranie dlhodobého hmotného majetku a dlhodobého nehmotného majetku sa najskôr 
</t>
  </si>
  <si>
    <t xml:space="preserve">so zaúčtovaním odpisov z tohto dlhodobého majetku. </t>
  </si>
  <si>
    <t>Deriváty sa oceňujú reálnou hodnotou.</t>
  </si>
  <si>
    <t>priamo do vlastného imania.</t>
  </si>
  <si>
    <t xml:space="preserve">Majetok a záväzky zabezpečené derivátmi sa oceňujú reálnou hodnotou. Zmeny reálnych hodnôt majetku </t>
  </si>
  <si>
    <t xml:space="preserve">a záväzkov zabezpečených derivátmi sa účtujú bez vplyvu na výsledok hospodárenia, priamo do vlastného </t>
  </si>
  <si>
    <t xml:space="preserve">imania. </t>
  </si>
  <si>
    <t xml:space="preserve">Majetok a záväzky vyjadrené v cudzej mene sa ku dňu uskutočnenia účtovného prípadu prepočítavajú na </t>
  </si>
  <si>
    <t xml:space="preserve">Prijaté a poskytnuté preddavky v cudzej mene prostredníctvom účtu vedeného v tejto cudzej mene sa </t>
  </si>
  <si>
    <t xml:space="preserve">Prijaté a poskytnuté preddavky v cudzej mene na účet zriadený v eurách a z účtu zriadeného v eurách sa  </t>
  </si>
  <si>
    <t xml:space="preserve">prepočítavajú na menu euro kurzom, za ktorý boli tieto hodnoty nakúpené alebo predané. </t>
  </si>
  <si>
    <t xml:space="preserve">Prijaté a poskytnuté preddavky sa ku dňu, ku ktorému sa zostavuje účtovná závierka, na menu euro už </t>
  </si>
  <si>
    <t>neprepočítavajú</t>
  </si>
  <si>
    <t xml:space="preserve">1. </t>
  </si>
  <si>
    <t xml:space="preserve">do </t>
  </si>
  <si>
    <t xml:space="preserve">Spoločnosť </t>
  </si>
  <si>
    <t>má</t>
  </si>
  <si>
    <t>Dlhodobý hmotný majetok</t>
  </si>
  <si>
    <t>popis majetku</t>
  </si>
  <si>
    <t>opravná položka</t>
  </si>
  <si>
    <t>zostatková cena (ZC)</t>
  </si>
  <si>
    <t>znížená ZC</t>
  </si>
  <si>
    <t>f</t>
  </si>
  <si>
    <t>g</t>
  </si>
  <si>
    <t>h</t>
  </si>
  <si>
    <t>Dlhodobý nehmotný majetok</t>
  </si>
  <si>
    <t>Oceniteľné práva</t>
  </si>
  <si>
    <t>Goodwill</t>
  </si>
  <si>
    <t>Obstaraný DNM</t>
  </si>
  <si>
    <t>Ostatný DNM</t>
  </si>
  <si>
    <t>Prvotné ocenenie</t>
  </si>
  <si>
    <t>Stav na začiatku účtovného obdobia</t>
  </si>
  <si>
    <t>Prírastky</t>
  </si>
  <si>
    <t>Úbytky</t>
  </si>
  <si>
    <t>Presuny</t>
  </si>
  <si>
    <t>Oprávky</t>
  </si>
  <si>
    <t>Opravné položky</t>
  </si>
  <si>
    <t>Stav na začiatku ÚO</t>
  </si>
  <si>
    <t>Stav na konci ÚO</t>
  </si>
  <si>
    <t>j</t>
  </si>
  <si>
    <t>Pozemky</t>
  </si>
  <si>
    <t>Samostatne hnuteľné veci a súbory hnuteľných  vecí</t>
  </si>
  <si>
    <t>Základné stádo a ťažné zvieratá</t>
  </si>
  <si>
    <t>Ostatný DHM</t>
  </si>
  <si>
    <t>Obstaraný DHM</t>
  </si>
  <si>
    <t>Zostatková hodnota</t>
  </si>
  <si>
    <t>Dlhodobý finančný majetok</t>
  </si>
  <si>
    <t>Podielové CP a podiely v DÚJ</t>
  </si>
  <si>
    <t>Ostatné dlhodobé CP a podiely</t>
  </si>
  <si>
    <t>Pôžičky ÚJ v kons. celku</t>
  </si>
  <si>
    <t>Pôžičky s dobou splatnosti najviac jeden rok</t>
  </si>
  <si>
    <t>Obstaraný DFM</t>
  </si>
  <si>
    <t>Obchodné meno a sídlo spoločnosti, v ktorej má ÚJ umiestnený DFM</t>
  </si>
  <si>
    <t>Podiel ÚJ na ZI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</si>
  <si>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</si>
  <si>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</si>
  <si>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</si>
  <si>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</si>
  <si>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</si>
  <si>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</si>
  <si>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</si>
  <si>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Druh CP</t>
  </si>
  <si>
    <t>Zvýšenie hodnoty</t>
  </si>
  <si>
    <t>Zníženie hodnoty</t>
  </si>
  <si>
    <t>Vyradenie dlhového CP z účtovníctva v účtovnom období</t>
  </si>
  <si>
    <t>Stav na konci účtovného obdobia</t>
  </si>
  <si>
    <t>Dlhodobé pôžičky</t>
  </si>
  <si>
    <t>Vyradenie pôžičky z účtovníctva v účtovnom období</t>
  </si>
  <si>
    <t xml:space="preserve">2. </t>
  </si>
  <si>
    <t xml:space="preserve">3. </t>
  </si>
  <si>
    <t xml:space="preserve">Spoločnosť pri svojej činnosti </t>
  </si>
  <si>
    <t>eviduje</t>
  </si>
  <si>
    <t>Stav OP na začiatku účtovného obdobia</t>
  </si>
  <si>
    <t>Zúčtovanie OP z dôvodu zániku opodstatnenosti</t>
  </si>
  <si>
    <t>Zúčtovanie OP z dôvodu vyradenia majetku z účtovníctva</t>
  </si>
  <si>
    <t>Stav OP na konci účtovného obdobia</t>
  </si>
  <si>
    <t>k zásobam opravné položky.</t>
  </si>
  <si>
    <t>Materiál</t>
  </si>
  <si>
    <t>Tvorba OP</t>
  </si>
  <si>
    <t>Nedokončená výroba a polotovary vlastnej výroby</t>
  </si>
  <si>
    <t>Výrobky</t>
  </si>
  <si>
    <t>Zvieratá</t>
  </si>
  <si>
    <t>Tovar</t>
  </si>
  <si>
    <t>Nehnuteľnosť na predaj</t>
  </si>
  <si>
    <t>Poskytnuté preddavky na zásoby</t>
  </si>
  <si>
    <t>Zásoby spolu</t>
  </si>
  <si>
    <t>nehnuteľnosť za účelom predaja.</t>
  </si>
  <si>
    <t xml:space="preserve">Hodnota </t>
  </si>
  <si>
    <t xml:space="preserve">4. </t>
  </si>
  <si>
    <t>Údaje o zákazkovej výrobe</t>
  </si>
  <si>
    <t>Názov položky</t>
  </si>
  <si>
    <t>Za bežné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</si>
  <si>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</si>
  <si>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</si>
  <si>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</si>
  <si>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</si>
  <si>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</si>
  <si>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</si>
  <si>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</si>
  <si>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</si>
  <si>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</si>
  <si>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zákazkovú výrobu.</t>
  </si>
  <si>
    <t>Výnosy zo zákazkovej výstavby nehnuteľnosti určenej na predaj</t>
  </si>
  <si>
    <t>Náklady na zákazkovú výstavbu nehnuteľnosti určenej na predaj</t>
  </si>
  <si>
    <t>Sumár od začiatku zákazkovej výstavby nehnuteľnosti určenej na predaj  až do konca bežného účtovného obdobia</t>
  </si>
  <si>
    <t>Hodnota zákazkovej výstavby nehnuteľnosti určenej na predaj</t>
  </si>
  <si>
    <t>Vyfakturované nároky za vykonanú prácu na zákazkovej výstavbe nehnuteľnosti určenej na predaj</t>
  </si>
  <si>
    <t xml:space="preserve">5. </t>
  </si>
  <si>
    <t>Pohľadávky z obchodného styku</t>
  </si>
  <si>
    <t>Ostatné pohľadávky v rámci konsolidovaného celku</t>
  </si>
  <si>
    <t>Pohľadávky voči spoločníkom, členom a združeniu</t>
  </si>
  <si>
    <t>Iné pohľadávky</t>
  </si>
  <si>
    <t>Pohľadávky spolu</t>
  </si>
  <si>
    <t>V lehote splatnosti</t>
  </si>
  <si>
    <t>Po lehote splatnosti</t>
  </si>
  <si>
    <t>Dlhodobé pohľadávky</t>
  </si>
  <si>
    <t>Pohľadávky voči dcérskej účtovnej jednotke a materskej účtovnej jednotke</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</si>
  <si>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</si>
  <si>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</si>
  <si>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</si>
  <si>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</si>
  <si>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</si>
  <si>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</si>
  <si>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</si>
  <si>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</si>
  <si>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až päť rokov</t>
  </si>
  <si>
    <t>Pohľadávky so zostatkovou dobou splatnosti dlhšou ako päť rokov</t>
  </si>
  <si>
    <t xml:space="preserve">Spoločnosť  </t>
  </si>
  <si>
    <t>Opis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</si>
  <si>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</si>
  <si>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</si>
  <si>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</si>
  <si>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</si>
  <si>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 xml:space="preserve">6. </t>
  </si>
  <si>
    <t>Pokladnica, ceniny</t>
  </si>
  <si>
    <t>Peniaze na ceste</t>
  </si>
  <si>
    <t xml:space="preserve">7. </t>
  </si>
  <si>
    <t>Krátkodobý finančný majetok</t>
  </si>
  <si>
    <t>Majetkové CP na obchodovanie</t>
  </si>
  <si>
    <t>Dlhové CP na obchodovanie</t>
  </si>
  <si>
    <t>Ostatné realizovateľné CP</t>
  </si>
  <si>
    <t>Obstarávanie krátkodobého finančného majetku</t>
  </si>
  <si>
    <t>Krátkodobý finančný majetok spolu</t>
  </si>
  <si>
    <t>Krátkodobý finančný majetok, na ktorý bolo zriadené záložné právo</t>
  </si>
  <si>
    <t>Krátkodobý finančný majetok, pri ktorom je obmedzené právo s ním nakladať</t>
  </si>
  <si>
    <t>Zvýšenie / zníženie hodnoty (+/-)</t>
  </si>
  <si>
    <t>Vplyv ocenenia na výsledok hospodárenia bežného účtovného obdobia</t>
  </si>
  <si>
    <t>Vplyv ocenenia na vlastné imanie</t>
  </si>
  <si>
    <t>Emisné kvóty (komodity)</t>
  </si>
  <si>
    <t>Krátkodobý finančný majtok spolu</t>
  </si>
  <si>
    <t>Opis položky časového rozlíšenia</t>
  </si>
  <si>
    <t>Náklady budúcich období - dlhodobé, z toho:</t>
  </si>
  <si>
    <t>Náklady budúcich období - krátkodobé, z toho:</t>
  </si>
  <si>
    <t>Príjmy budúcich období - dlhodobé, z toho:</t>
  </si>
  <si>
    <t>Príjmy budúcich období - krátkodobé, z toho:</t>
  </si>
  <si>
    <t>Splatnosť</t>
  </si>
  <si>
    <t>do jedého roka vrátane</t>
  </si>
  <si>
    <t>od jedného do piatich rokov vrátane</t>
  </si>
  <si>
    <t>viac ako päť rokov</t>
  </si>
  <si>
    <t>Istina</t>
  </si>
  <si>
    <t>Finančný výnos</t>
  </si>
  <si>
    <t>G.</t>
  </si>
  <si>
    <t>Vlastné imanie</t>
  </si>
  <si>
    <t xml:space="preserve">8. </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</si>
  <si>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</si>
  <si>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</si>
  <si>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</si>
  <si>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</si>
  <si>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</si>
  <si>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</si>
  <si>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</si>
  <si>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</si>
  <si>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</si>
  <si>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</si>
  <si>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</si>
  <si>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Zo zákonného rezervného fondu</t>
  </si>
  <si>
    <t>Zo štatutárnych a ostatných fondov</t>
  </si>
  <si>
    <t>Z nerozdeleného zisku minulých rokov</t>
  </si>
  <si>
    <t>Vysporiadanie účtovnej straty</t>
  </si>
  <si>
    <t xml:space="preserve">9. </t>
  </si>
  <si>
    <t xml:space="preserve">Tvorba </t>
  </si>
  <si>
    <t>Použitie</t>
  </si>
  <si>
    <t>Zrušenie</t>
  </si>
  <si>
    <t>Dlhodobé rezervy, z toho:</t>
  </si>
  <si>
    <t>Krátkodobé rezervy, z toho:</t>
  </si>
  <si>
    <t>Záväzky po lehote splatnosti</t>
  </si>
  <si>
    <t>Krátkodobé záväzky spolu</t>
  </si>
  <si>
    <t>Záväzky so zostatkovou dobou splatnosti do jedného roka vrátane</t>
  </si>
  <si>
    <t>Záväzky so zostatkovou dobou splatnosti jeden až päť rokov</t>
  </si>
  <si>
    <t>Dlhodobé záväzky spolu</t>
  </si>
  <si>
    <t>Informácie o údajoch na strane pasív súvahy.</t>
  </si>
  <si>
    <t>Odložený daňový záväzok</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</si>
  <si>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</si>
  <si>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</si>
  <si>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</si>
  <si>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</si>
  <si>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</si>
  <si>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</si>
  <si>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t>
  </si>
  <si>
    <t>Odložená daňová pohľadávka</t>
  </si>
  <si>
    <t>Uplatnená daňová pohľadávka</t>
  </si>
  <si>
    <t>Zaúčtovaná do vlastného imania</t>
  </si>
  <si>
    <t>Zmena odloženého daňového záväzku</t>
  </si>
  <si>
    <t>Zaúčtovaná ako náklad</t>
  </si>
  <si>
    <t>Sociálny fond</t>
  </si>
  <si>
    <t>Začiatočný stav sociálneho fondu</t>
  </si>
  <si>
    <t>Tvorba SF na ťarchu nákladov</t>
  </si>
  <si>
    <t>Tvorba SF zo zisku</t>
  </si>
  <si>
    <t>Ostatná tvorba SF</t>
  </si>
  <si>
    <t>Tvorba sociálneho fondu spolu</t>
  </si>
  <si>
    <t>Čerpanie sociálneho fondu spolu</t>
  </si>
  <si>
    <t>Konečný zostatok sociálneho fondu</t>
  </si>
  <si>
    <t>Vydané dlhopisy</t>
  </si>
  <si>
    <t>Názov vydaného dlhopisu</t>
  </si>
  <si>
    <t>Menovitá hodnota</t>
  </si>
  <si>
    <t>Počet</t>
  </si>
  <si>
    <t>Emisný kurz</t>
  </si>
  <si>
    <t>Úrok</t>
  </si>
  <si>
    <t>Mena</t>
  </si>
  <si>
    <t>Úrok p.a. v %</t>
  </si>
  <si>
    <t>Dátum splatnosti</t>
  </si>
  <si>
    <t>Dlhodobé bankové úvery</t>
  </si>
  <si>
    <t>Krátkodobé bankové úvery</t>
  </si>
  <si>
    <t>Bankové úvery, pôžičky a krátkodobé finančné výpomoci</t>
  </si>
  <si>
    <t>Krátkodobé pôžičky</t>
  </si>
  <si>
    <t>Krátkodobé finančné výpomoci</t>
  </si>
  <si>
    <t>Výdavky budúcich období - krátkodobé, z toho:</t>
  </si>
  <si>
    <t>Výnosy budúcich období - dlhodobé, z toho:</t>
  </si>
  <si>
    <t>Výnosy budúcich období - krátkodobé, z toho:</t>
  </si>
  <si>
    <t>Dohodnutá cena podkladového nástroja</t>
  </si>
  <si>
    <t>Účtovná hodnota</t>
  </si>
  <si>
    <t>pohľadávky</t>
  </si>
  <si>
    <t>záväzky</t>
  </si>
  <si>
    <t>Zmena reálnej hodnoty (+/-) s vplyvom na</t>
  </si>
  <si>
    <t>výsledok hospodárenia</t>
  </si>
  <si>
    <t>vlastné imanie</t>
  </si>
  <si>
    <t xml:space="preserve">b </t>
  </si>
  <si>
    <t>Deriváty určené na  obchodovanie, z toho:</t>
  </si>
  <si>
    <t>Zabezpečovacie deriváty, z toho:</t>
  </si>
  <si>
    <t>Reálna hodnota</t>
  </si>
  <si>
    <t>Zabezpečovaná položka</t>
  </si>
  <si>
    <t>Majetok vykázaný v súvahe</t>
  </si>
  <si>
    <t>Záväzok vykázaný v súvahe</t>
  </si>
  <si>
    <t>Zmluvy, ktoré sa neúčtujú na súvahových účtoch</t>
  </si>
  <si>
    <t>Očakávané budúce obchody dosiaľ zmluvne nezabezpečené</t>
  </si>
  <si>
    <t>H.</t>
  </si>
  <si>
    <t>Tržby za vlastné výkony a tovar</t>
  </si>
  <si>
    <t>Oblasť odbytu</t>
  </si>
  <si>
    <t>Zmena stavu vlastnej výroby</t>
  </si>
  <si>
    <t>Zmena stavu vnútroorganizačných zásob</t>
  </si>
  <si>
    <t>Konečný zostatok</t>
  </si>
  <si>
    <t>Začiatočný stav</t>
  </si>
  <si>
    <t xml:space="preserve">Výrobky </t>
  </si>
  <si>
    <t>Manká a škody</t>
  </si>
  <si>
    <t>Reprezentačné</t>
  </si>
  <si>
    <t>Dary</t>
  </si>
  <si>
    <t>Zmena stavu vnútroorganizačných zásob vo výkaze ziskov a strát</t>
  </si>
  <si>
    <t>3.</t>
  </si>
  <si>
    <t>Významné položky pri aktivácii nákladov, z toho:</t>
  </si>
  <si>
    <t>Ostatné významné položky výnosov z hospodárskej činnosti, z toho:</t>
  </si>
  <si>
    <t>Finančné výnosy, z toho:</t>
  </si>
  <si>
    <t>Kurzové zisky, z toho:</t>
  </si>
  <si>
    <t>kurzové zisku ku dňu zostavenia účtovnej závierky</t>
  </si>
  <si>
    <t>Ostatné významné položky finančných výnosov, z toho:</t>
  </si>
  <si>
    <t>4.</t>
  </si>
  <si>
    <t>Čistý obrat</t>
  </si>
  <si>
    <t>Tržby za vlastné výrobky</t>
  </si>
  <si>
    <t>Tržby z predaja služieb</t>
  </si>
  <si>
    <t>Tržby za tovar</t>
  </si>
  <si>
    <t>Výnosy zo zákazky</t>
  </si>
  <si>
    <t>Výnosy z nehnuteľnosti na predaj</t>
  </si>
  <si>
    <t>Iné výnosy súvisiace s bežnou činnosťou</t>
  </si>
  <si>
    <t>Čistý obrat celkom</t>
  </si>
  <si>
    <t>Informácie o nákladoch</t>
  </si>
  <si>
    <t>1.</t>
  </si>
  <si>
    <t>Náklady za poskytnuté služby, z toho:</t>
  </si>
  <si>
    <t>Náklady voči audítorovi, audítorskej spoločnosti, z toho:</t>
  </si>
  <si>
    <t>náklady na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</si>
  <si>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</si>
  <si>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</si>
  <si>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</si>
  <si>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</si>
  <si>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</si>
  <si>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</si>
  <si>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</si>
  <si>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náklady, z toho:</t>
  </si>
  <si>
    <t>kurzové straty ku dňu zostavenia účtovnej závierky</t>
  </si>
  <si>
    <t>Ostatné významné položky finančných nákladov, z toho:</t>
  </si>
  <si>
    <t>Základ dane</t>
  </si>
  <si>
    <t>daň</t>
  </si>
  <si>
    <t>daň v %</t>
  </si>
  <si>
    <t xml:space="preserve">d </t>
  </si>
  <si>
    <t>Výsledok hospodárenia pred zdanením, z toho:</t>
  </si>
  <si>
    <t>teoretická daň</t>
  </si>
  <si>
    <t>daňovo neuznané náklady</t>
  </si>
  <si>
    <t>výnosy nepodliehajúce dani</t>
  </si>
  <si>
    <t>Splatná daň z príjmov</t>
  </si>
  <si>
    <t>Odložená daň z príjmov</t>
  </si>
  <si>
    <t>Celková daň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</si>
  <si>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</si>
  <si>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</si>
  <si>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</si>
  <si>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</si>
  <si>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odloženej dane z príjmov, ktorá sa vzťahuje na položky účtované priamo na účty vlastného imania bez účtovania na účty nákladov a výnosov</t>
  </si>
  <si>
    <t>Suma neuplatneného umorenia daňovej straty, nevyužitých daňových odpočtov a iných nárokov a odpočítateľných dočasných rozdielov, ku ktorým nebola účtovaná odložená daňová pohľadávka</t>
  </si>
  <si>
    <t>Informácie o údajoch na podsúvahových účtoch</t>
  </si>
  <si>
    <t>2.</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</si>
  <si>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</si>
  <si>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</si>
  <si>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</si>
  <si>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</si>
  <si>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</si>
  <si>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</si>
  <si>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</si>
  <si>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</si>
  <si>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</si>
  <si>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Informácie o iných aktívach a pasívach</t>
  </si>
  <si>
    <t>Druh podmieneného záväzku</t>
  </si>
  <si>
    <t>Hodnota celkom</t>
  </si>
  <si>
    <t>Hodnota voči spriazneným osobám</t>
  </si>
  <si>
    <t>Zo súdnych rozhodnutí</t>
  </si>
  <si>
    <t>Z poskytnutých záruk</t>
  </si>
  <si>
    <t>Zo všeobecne záväzných predpisov</t>
  </si>
  <si>
    <t>Zo zmluvy o podriadenom záväzku</t>
  </si>
  <si>
    <t>Z ručenia</t>
  </si>
  <si>
    <t>Iné podmienené záväzky</t>
  </si>
  <si>
    <t>Ostatné finančné povinnosti</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</si>
  <si>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</si>
  <si>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</si>
  <si>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</si>
  <si>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</si>
  <si>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</si>
  <si>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</si>
  <si>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</si>
  <si>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</si>
  <si>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</si>
  <si>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Prehľad o príjmoch a výhodách členov štatutárnych, dozorných a iných orgánov v tabuľke:</t>
  </si>
  <si>
    <t>Druh príjmu, výhody</t>
  </si>
  <si>
    <t>štatutárnych</t>
  </si>
  <si>
    <t>dozorných</t>
  </si>
  <si>
    <t>iných</t>
  </si>
  <si>
    <t>Informácie o ekonomických vzťahoch účtovnej jednotky a spriaznených osôb</t>
  </si>
  <si>
    <t>Kód obchodu</t>
  </si>
  <si>
    <t>Spriaznená osoba</t>
  </si>
  <si>
    <t>Hodnotové vyjadrenie obchodu</t>
  </si>
  <si>
    <t xml:space="preserve"> v priebehu účtovného obdobia transakcie s dcérskymi spoločnosťami a</t>
  </si>
  <si>
    <t xml:space="preserve">Informácie o skutočnostiach, ktoré nastali po dni, ku ktorému sa zostavuje účtovná </t>
  </si>
  <si>
    <t>závierka, do dňa zostavenia účtovnej závierky</t>
  </si>
  <si>
    <t xml:space="preserve">Po </t>
  </si>
  <si>
    <t>Položka vlastného imania</t>
  </si>
  <si>
    <t>Informácie o vlastnom imaní</t>
  </si>
  <si>
    <t xml:space="preserve">Stav na začiatku ÚO </t>
  </si>
  <si>
    <t>Za bežné ÚO</t>
  </si>
  <si>
    <t>Za  predchádzajúce ÚO</t>
  </si>
  <si>
    <t>Za predchádzajúce ÚO</t>
  </si>
  <si>
    <t>Bežné ÚO:</t>
  </si>
  <si>
    <t>31.12.</t>
  </si>
  <si>
    <t>Peňažné toky z prevádzkovej činnosti</t>
  </si>
  <si>
    <t>Peňažné toky z investičnej činnosti</t>
  </si>
  <si>
    <t>Peňažné toky z finančnej činnosti</t>
  </si>
  <si>
    <t>Označenie položky</t>
  </si>
  <si>
    <t>Obsah položky</t>
  </si>
  <si>
    <t xml:space="preserve">A. 1. </t>
  </si>
  <si>
    <t xml:space="preserve">A. 2. </t>
  </si>
  <si>
    <t>A. 3.</t>
  </si>
  <si>
    <t>A. 4.</t>
  </si>
  <si>
    <t>A. 5.</t>
  </si>
  <si>
    <t>A. 6.</t>
  </si>
  <si>
    <t>A. 7.</t>
  </si>
  <si>
    <t>A. 8.</t>
  </si>
  <si>
    <t>A. 9.</t>
  </si>
  <si>
    <t>A. 10.</t>
  </si>
  <si>
    <t>A. 12.</t>
  </si>
  <si>
    <t>A. 11.</t>
  </si>
  <si>
    <t>A. 13.</t>
  </si>
  <si>
    <t>A. 14.</t>
  </si>
  <si>
    <t>A. 15.</t>
  </si>
  <si>
    <t>A. 16.</t>
  </si>
  <si>
    <t>A. 17.</t>
  </si>
  <si>
    <t>A. 18.</t>
  </si>
  <si>
    <t>A. 19.</t>
  </si>
  <si>
    <t>A. 20.</t>
  </si>
  <si>
    <t>A. 21.</t>
  </si>
  <si>
    <t>A. 22.</t>
  </si>
  <si>
    <t xml:space="preserve">A. </t>
  </si>
  <si>
    <t>A. 23.</t>
  </si>
  <si>
    <t>B. 1.</t>
  </si>
  <si>
    <t>B. 2.</t>
  </si>
  <si>
    <t>B. 3.</t>
  </si>
  <si>
    <t>B. 4.</t>
  </si>
  <si>
    <t>B. 5.</t>
  </si>
  <si>
    <t>B. 6.</t>
  </si>
  <si>
    <t>B. 7.</t>
  </si>
  <si>
    <t>B. 8.</t>
  </si>
  <si>
    <t>B. 9.</t>
  </si>
  <si>
    <t>B. 10.</t>
  </si>
  <si>
    <t>B. 11.</t>
  </si>
  <si>
    <t>B. 12.</t>
  </si>
  <si>
    <t>B. 13.</t>
  </si>
  <si>
    <t>B. 14</t>
  </si>
  <si>
    <t>B. 15.</t>
  </si>
  <si>
    <t>B. 16.</t>
  </si>
  <si>
    <t>B. 17.</t>
  </si>
  <si>
    <t>B. 18.</t>
  </si>
  <si>
    <t>B. 19.</t>
  </si>
  <si>
    <t xml:space="preserve">B. </t>
  </si>
  <si>
    <t>C. 1.</t>
  </si>
  <si>
    <t>C. 1.1.</t>
  </si>
  <si>
    <t>C. 1.2.</t>
  </si>
  <si>
    <t>C. 1.3.</t>
  </si>
  <si>
    <t>C. 1.4.</t>
  </si>
  <si>
    <t>C. 1.5.</t>
  </si>
  <si>
    <t>C. 1.6.</t>
  </si>
  <si>
    <t>C. 1.7.</t>
  </si>
  <si>
    <t>C. 1.8.</t>
  </si>
  <si>
    <t>C. 2.</t>
  </si>
  <si>
    <t>C. 2.1.</t>
  </si>
  <si>
    <t>C. 2.2.</t>
  </si>
  <si>
    <t>C. 2.3.</t>
  </si>
  <si>
    <t>C. 2.4.</t>
  </si>
  <si>
    <t>C. 2.5.</t>
  </si>
  <si>
    <t>C. 2.6.</t>
  </si>
  <si>
    <t>C. 2.7.</t>
  </si>
  <si>
    <t>C. 2.8.</t>
  </si>
  <si>
    <t>C. 2.9.</t>
  </si>
  <si>
    <t>C. 3.</t>
  </si>
  <si>
    <t>C. 4.</t>
  </si>
  <si>
    <t>C. 5.</t>
  </si>
  <si>
    <t>C. 6.</t>
  </si>
  <si>
    <t>C. 7.</t>
  </si>
  <si>
    <t>C. 8.</t>
  </si>
  <si>
    <t>C. 9.</t>
  </si>
  <si>
    <t xml:space="preserve">C. </t>
  </si>
  <si>
    <t>Peňažné toky z prevádzkovej činnosti (+/-), (súčet A. 1. až A. 20.)</t>
  </si>
  <si>
    <t>Príjmy z predaja tovaru (+)</t>
  </si>
  <si>
    <t>Príjmy z predaja vlastných výrobkov (+)</t>
  </si>
  <si>
    <t>Príjmy z predaja služieb (+)</t>
  </si>
  <si>
    <t>Výdavky na služby (-)</t>
  </si>
  <si>
    <t>Výdavky na osobné náklady (-)</t>
  </si>
  <si>
    <t>Výdavky na dane a poplatky, s výnimkou výdavkov na daň z príjmov účtovnej jednotky (-)</t>
  </si>
  <si>
    <t>Príjmy z predaja cenných papierov určených na predaj alebo na obchodovanie (+)</t>
  </si>
  <si>
    <t>Výdavky na nákup cenných papierov určených na predaj alebo na obchodovanie (-)</t>
  </si>
  <si>
    <t>Príjmy z uzatvorených zmlúv, ktorých predmetom je právo určené na predaj alebo na obchodovanie (+)</t>
  </si>
  <si>
    <t>Výdavky z uzatvorených zmlúv, ktorých predmetom je právo určené na predaj alebo na obchodovanie (-)</t>
  </si>
  <si>
    <t>Príjmy z úverov, ktoré účtovnej jednotke poskytla banka alebo pobočka zahraničnej banky, ak boli úvery poskytnuté na zabezpečenie hlavného predmetu činnosti (+)</t>
  </si>
  <si>
    <t>Výdavky na splácanie úverov, ktoré účtovnej jednotke poskytla banka alebo pobočka zahraničnej banky, ak boli úvery poskytnuté na zabezpečenie hlavného predmetu činnosti (-)</t>
  </si>
  <si>
    <t>Ostatné príjmy z prevádzkových činností, s výnimkou tých, ktoré sa uvádzajú osobitne v iných častiach prehľadu peňažných tokov (+)</t>
  </si>
  <si>
    <t>Ostatné výdavky na prevádzkové činnosti, s výnimkou tých, ktoré sa uvádzajú osobitne v iných častiach prehľadu peňažných tokov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</si>
  <si>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</si>
  <si>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</si>
  <si>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</si>
  <si>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</si>
  <si>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Výdavky na daň z príjmov účtovnej jednotky, s výnimkou tých, ktoré sa začleňujú do investičných činností alebo do finančných činností (-/+)</t>
  </si>
  <si>
    <t>Čisté peňažné toky z prevádzkovej činnosti (súčet A. 1. až A. 23.)</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</si>
  <si>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</si>
  <si>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</si>
  <si>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</si>
  <si>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</si>
  <si>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</si>
  <si>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</si>
  <si>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</si>
  <si>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</si>
  <si>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</si>
  <si>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</si>
  <si>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</si>
  <si>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</si>
  <si>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</si>
  <si>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</si>
  <si>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</si>
  <si>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Ostatné príjmy vzťahujúce sa na investičnú činnosť (+)</t>
  </si>
  <si>
    <t>Ostatné výdavky vzťahujúce sa na investičnú činnosť (-)</t>
  </si>
  <si>
    <t>Čisté peňažné toky z investičnej činnosti (súčet B. 1. až B. 19.)</t>
  </si>
  <si>
    <t>Peňažné toky vznikajúce vo vlastnom imaní (súčet C. 1. 1. až C. 1. 8.)</t>
  </si>
  <si>
    <t>Príjmy z upísaných akcií a obchodných podielov (+)</t>
  </si>
  <si>
    <t>Príjmy z ďalších vkladov do vlastného imania spoločníkmi alebo fyzickou osobou, ak je účtovnou jednotkou (+)</t>
  </si>
  <si>
    <t>Prijaté peňažné dary (+)</t>
  </si>
  <si>
    <t>Príjmy z úhrady straty spoločníkmi (+)</t>
  </si>
  <si>
    <t>Výdavky na obstaranie alebo spätné odkúpenie vlastných akcií a vlastných obchodných podielov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</si>
  <si>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</si>
  <si>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</si>
  <si>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</si>
  <si>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Príjmy z emisie dlhových cenných papierov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</si>
  <si>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</si>
  <si>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</si>
  <si>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</si>
  <si>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</si>
  <si>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</si>
  <si>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Výdavky na splácanie ostatných dlhodobých záväzkov a krátkodobých záväzkov vyplývajúcich z finančnej činnosti,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</si>
  <si>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</si>
  <si>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</si>
  <si>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</si>
  <si>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</si>
  <si>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</si>
  <si>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</si>
  <si>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Čisté zvýšenie alebo čisté zníženie peňažných prostriedkov (+/-), (súčet A + B +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</si>
  <si>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</si>
  <si>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</si>
  <si>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Zostatok peňažných prostriedkov a peňažných ekvivalentov na konci účtovného obdobia upravený o kurzové rozdiely vyčíslené ku dňu, ku ktorému sa zostavuje účtovná závierka (+/-)</t>
  </si>
  <si>
    <t>*</t>
  </si>
  <si>
    <t>Peňažné toky z prevádzkovej činnosti okrem príjmov a výdavkov, ktoré sa uvádzajú osobitne v iných častiach prehľadu peňažných tokov (+/-), (súčet A. 1. až A. 16.)</t>
  </si>
  <si>
    <t>Výdavky na obstaranie materiálu, energie a ostatných neskladovateľných dodávok (-)</t>
  </si>
  <si>
    <t>Výdavky spojené so znížením fondov vytvorených účtovnou jednotkou  (-)</t>
  </si>
  <si>
    <t>Výdavky na úhradu záväzkov z dlhových cenných papierov (-)</t>
  </si>
  <si>
    <t>Príjmy z úverov, ktoré účtovnej jednotke poskytla banka alebo pobočka zahraničnej banky, s výnimkou úverov, ktoré boli poskytnuté na zabezpečenie hlavného predmetu činnosti (+)</t>
  </si>
  <si>
    <t>Kurzové rozdiely vyčíslené k peňažným prostriedkom a peňažným ekvivalentom ku dňu, ku ktorému sa zostavuje účtovná závierka (+/-)</t>
  </si>
  <si>
    <t>Výdavky na nákup tovaru (-)</t>
  </si>
  <si>
    <t>Peňažné toky z prevádzkovej činnosti (+/-), (súčet Z/S + A. 1. až A. 6.)</t>
  </si>
  <si>
    <t>Výsledok hospodárenia z bežnej činnosti pred zdanením daňou z príjmov (+/-)</t>
  </si>
  <si>
    <t xml:space="preserve">Z/S </t>
  </si>
  <si>
    <t>Nepeňažné operácie ovplyvňujúce výsledok hospodárenia z bežnej činnosti pred zdanením daňou z príjmov (+/-), (súčet A. 1. 1. až A. 1. 13.)</t>
  </si>
  <si>
    <t>Odpisy dlhodobého nehmotného majetku a dlhodobého hmotného majetku(+)</t>
  </si>
  <si>
    <t xml:space="preserve">A. 1. 1. </t>
  </si>
  <si>
    <t>Zostatková hodnota dlhodobého nehmotného majetku a dlhodobého hmotného majetku účtovaná pri vyradení tohto majetku do nákladov na bežnú činnosť, s výnimkou jeho predaja (+)</t>
  </si>
  <si>
    <t xml:space="preserve">A. 1. 2. </t>
  </si>
  <si>
    <t>Odpis opravnej položky k nadobudnutému majetku (+/-)</t>
  </si>
  <si>
    <t xml:space="preserve">A. 1. 3. </t>
  </si>
  <si>
    <t>Zmena stavu dlhodobých rezerv (+/-)</t>
  </si>
  <si>
    <t xml:space="preserve">A. 1. 4. </t>
  </si>
  <si>
    <t>Zmena stavu opravných položiek (+/-)</t>
  </si>
  <si>
    <t xml:space="preserve">A. 1. 5. </t>
  </si>
  <si>
    <t>Zmena stavu položiek časového rozlíšenia nákladov a výnosov (+/-)</t>
  </si>
  <si>
    <t>A. 1. 6.</t>
  </si>
  <si>
    <t>Dividendy a iné podiely na zisku účtované do výnosov (-)</t>
  </si>
  <si>
    <t xml:space="preserve">A. 1. 7. </t>
  </si>
  <si>
    <t>Úroky účtované do nákladov (+)</t>
  </si>
  <si>
    <t xml:space="preserve">A. 1. 8. </t>
  </si>
  <si>
    <t>Úroky účtované do výnosov (-)</t>
  </si>
  <si>
    <t xml:space="preserve">A. 1. 9. </t>
  </si>
  <si>
    <t>Kurzový zisk vyčíslený k peňažným prostriedkom a peňažným ekvivalentom ku dňu, ku ktorému sa zostavuje účtovná závierka (-)</t>
  </si>
  <si>
    <t xml:space="preserve">A.1. 10. </t>
  </si>
  <si>
    <t>Kurzová strata vyčíslená k peňažným prostriedkom a peňažným ekvivalentom ku dňu, ku ktorému sa zostavuje účtovná závierka (+)</t>
  </si>
  <si>
    <t>A. 1. 11.</t>
  </si>
  <si>
    <t>Výsledok z predaja dlhodobého majetku, s výnimkou majetku, ktorý sa považuje za peňažný ekvivalent (+/-)</t>
  </si>
  <si>
    <t xml:space="preserve">A. 1. 12. </t>
  </si>
  <si>
    <t>Ostatné položky nepeňažného charakteru, ktoré ovplyvňujú výsledok hospodárenia z bežnej činnosti, s výnimkou tých, ktoré sa uvádzajú osobitne v iných častiach prehľadu peňažných tokov (+/-)</t>
  </si>
  <si>
    <t xml:space="preserve">A. 1. 13. </t>
  </si>
  <si>
    <t>Vplyv zmien stavu pracovného kapitálu,ktorým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</si>
  <si>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pohľadávok z prevádzkovej činnosti (-/+)</t>
  </si>
  <si>
    <t xml:space="preserve">A. 2. 1. </t>
  </si>
  <si>
    <t>Zmena stavu záväzkov z prevádzkovej činnosti (+/-)</t>
  </si>
  <si>
    <t xml:space="preserve">A. 2. 2. </t>
  </si>
  <si>
    <t>Zmena stavu zásob (-/+)</t>
  </si>
  <si>
    <t xml:space="preserve">A. 2. 3. </t>
  </si>
  <si>
    <t>Zmena stavu krátkodobého finančného majetku, s výnimkou majetku, ktorý je súčasťou peňažných prostriedkov a peňažných ekvivalentov (-/+) Peňažné toky z prevádzkovej činnosti s výnimkou príjmov a výdavkov, ktoré sa uvádzajú osobitne v iných častiach prehľadu peňažných tokov (+/-), (súčet Z/S + A. 1. + A. 2.)</t>
  </si>
  <si>
    <t>A. 2. 4.</t>
  </si>
  <si>
    <t xml:space="preserve">A. 3. </t>
  </si>
  <si>
    <t xml:space="preserve">A. 4. </t>
  </si>
  <si>
    <t xml:space="preserve">A. 5. </t>
  </si>
  <si>
    <t xml:space="preserve">A. 6. </t>
  </si>
  <si>
    <t>Výdavky na vyplatené dividendy a iné podiely na zisku, s výnimkou tých,ktoré sa začleňujú do finančných činností (-)</t>
  </si>
  <si>
    <t>Výdavky na daň z príjmov účtovnej jednotky, s výnimkou tých, ktoré sa začleňujú do investičných činností alebo finančných činností (-/+)</t>
  </si>
  <si>
    <t xml:space="preserve">A. 7. </t>
  </si>
  <si>
    <t xml:space="preserve">A. 8. </t>
  </si>
  <si>
    <t xml:space="preserve">A. 9. </t>
  </si>
  <si>
    <t>Čisté peňažné toky z prevádzkovej činnosti (+/-), (súčet Z/S + A. 1. až A. 9.)</t>
  </si>
  <si>
    <t xml:space="preserve">B. 1. </t>
  </si>
  <si>
    <t xml:space="preserve">B. 2. </t>
  </si>
  <si>
    <t xml:space="preserve">B. 3. </t>
  </si>
  <si>
    <t xml:space="preserve">B. 4. </t>
  </si>
  <si>
    <t xml:space="preserve">B. 5. </t>
  </si>
  <si>
    <t xml:space="preserve">B. 6. </t>
  </si>
  <si>
    <t xml:space="preserve">B. 7. </t>
  </si>
  <si>
    <t xml:space="preserve">B. 8. </t>
  </si>
  <si>
    <t>Výdavky na dlhodobé pôžičky poskytnuté účtovnou jednotkou tretím osobám s výnimkou dlhodobých pôžičiek poskytnutých účtovnej jednotke, ktorá je súčasťou konsolidovaného celku (-)</t>
  </si>
  <si>
    <t xml:space="preserve">B. 9. </t>
  </si>
  <si>
    <t xml:space="preserve">B. 10. </t>
  </si>
  <si>
    <t xml:space="preserve">B. 11. </t>
  </si>
  <si>
    <t>Výdavky súvisiace s derivátmi s výnimkou, ak sú určené na predaj alebo na obchodovanie, alebo ak sa tieto výdavky považujú za peňažné toky z finančnej činnosti (-)</t>
  </si>
  <si>
    <t xml:space="preserve">B. 13. </t>
  </si>
  <si>
    <t>Príjmy súvisiace s derivátmi s výnimkou, ak sú určené na predaj alebo na obchodovanie, alebo ak sa tieto výdavky považujú za peňažné toky z finančnej činnosti (+)</t>
  </si>
  <si>
    <t xml:space="preserve">B. 14. </t>
  </si>
  <si>
    <t>Výdavky na daň z príjmov účtovnej jednotky, ak je ju možné začleniť do investičných činností (-)</t>
  </si>
  <si>
    <t xml:space="preserve">B. 16. </t>
  </si>
  <si>
    <t xml:space="preserve">B. 17. </t>
  </si>
  <si>
    <t xml:space="preserve">B. 18. </t>
  </si>
  <si>
    <t xml:space="preserve">B. 19. </t>
  </si>
  <si>
    <t>Peňažné toky vo vlastnom imaní (súčet C. 1. 1. až C. 1. 8.)</t>
  </si>
  <si>
    <t xml:space="preserve">C. 1. </t>
  </si>
  <si>
    <t xml:space="preserve">C. 1. 1. </t>
  </si>
  <si>
    <t>Príjmy z ďalších vkladov do vlastného imania spoločníkmi alebo fyzickou osobou, ktorá je účtovnou jednotkou (+)</t>
  </si>
  <si>
    <t xml:space="preserve">C. 1. 2. </t>
  </si>
  <si>
    <t xml:space="preserve">C. 1. 3. </t>
  </si>
  <si>
    <t xml:space="preserve">C. 1. 4. </t>
  </si>
  <si>
    <t xml:space="preserve">C. 1. 5. </t>
  </si>
  <si>
    <t xml:space="preserve">C. 1. 6. </t>
  </si>
  <si>
    <t>Výdavky na vyplatenie podielu na vlastnom imaní spoločníkmi účtovnej jednotky a fyzickou osobou, ktorá je účtovnou jednotkou (-)</t>
  </si>
  <si>
    <t xml:space="preserve">C. 1. 7. </t>
  </si>
  <si>
    <t>Výdavky z iných dôvodov, ktoré súvisia so znížením vlastného imania (-)</t>
  </si>
  <si>
    <t xml:space="preserve">C.1. 8. </t>
  </si>
  <si>
    <t>Peňažné toky vznikajúce z dlhodobých záväzkov a krátkodobých záväzkov z finančnej činnost, (súčet C. 2. 1. až C. 2. 9.)</t>
  </si>
  <si>
    <t xml:space="preserve">C. 2. </t>
  </si>
  <si>
    <t>C. 2. 1.</t>
  </si>
  <si>
    <t>Výdavky na úhradu záväzkov z dlhových CP (-)</t>
  </si>
  <si>
    <t xml:space="preserve">C. 2. 2. </t>
  </si>
  <si>
    <t xml:space="preserve">C. 2. 3. </t>
  </si>
  <si>
    <t xml:space="preserve">C. 2. 4. </t>
  </si>
  <si>
    <t xml:space="preserve">C. 2. 5. </t>
  </si>
  <si>
    <t xml:space="preserve">C. 2. 6. </t>
  </si>
  <si>
    <t xml:space="preserve">C. 2. 7. </t>
  </si>
  <si>
    <t>Príjmy z ostatných dlhodobých záväzkov a krátkodobých záväzkov vyplývajúcich z finančnej činnosti účtovnej jednotky, s výnimkou tých, ktoré sa uvádzajú osobitne v inej časti prehľadu peňažných tokov (+)</t>
  </si>
  <si>
    <t xml:space="preserve">C. 2. 8. </t>
  </si>
  <si>
    <t>Výdavky na splácanie ostatných dlhodobých záväzkov a krátkodobých záväzkov vyplývajúcich z finančnej činnosti účtovnej jednotky, s výnimkou tých, ktoré sa uvádzajú osobitne v inej časti prehľadu peňažných tokov (-)</t>
  </si>
  <si>
    <t xml:space="preserve">C. 2. 9. </t>
  </si>
  <si>
    <t xml:space="preserve">C. 3. </t>
  </si>
  <si>
    <t xml:space="preserve">C. 4. </t>
  </si>
  <si>
    <t>Výdavky súvisiace s derivátmi, s výnimkou, ak sú určené na predaj alebo na obchodovanie, alebo ak sa považujú za peňažné toky z investičnej činnosti (-)</t>
  </si>
  <si>
    <t xml:space="preserve">C. 5. </t>
  </si>
  <si>
    <t xml:space="preserve">C. 6. </t>
  </si>
  <si>
    <t xml:space="preserve">C. 7. </t>
  </si>
  <si>
    <t xml:space="preserve">C. 8. </t>
  </si>
  <si>
    <t xml:space="preserve">C. 9. </t>
  </si>
  <si>
    <t xml:space="preserve">D. </t>
  </si>
  <si>
    <t xml:space="preserve">E. </t>
  </si>
  <si>
    <t xml:space="preserve">F. </t>
  </si>
  <si>
    <t xml:space="preserve">G. </t>
  </si>
  <si>
    <t xml:space="preserve">H. </t>
  </si>
  <si>
    <t>Peňažné toky z prevádzkovej činnosti s výnimkou príjmov a výdavkov,
ktoré sa uvádzajú osobitne v iných častiach prehľadu peňažných
tokov (+/-), (súčet Z/S + A. 1. + A. 2.)</t>
  </si>
  <si>
    <t>zelené pole</t>
  </si>
  <si>
    <t>šedé pole</t>
  </si>
  <si>
    <t>ostatné, nevýznamé položky</t>
  </si>
  <si>
    <t>ostatné nevýznamné položky</t>
  </si>
  <si>
    <t xml:space="preserve">je zostavená ako </t>
  </si>
  <si>
    <t xml:space="preserve">účtovná závierka podľa </t>
  </si>
  <si>
    <t xml:space="preserve">§ 17 ods. 6 zákona NR SR č. 431/2002 Z. z. o účtovníctve za účtovné obdobie od </t>
  </si>
  <si>
    <t>Sadzba ročného odpisu</t>
  </si>
  <si>
    <t>uvedenia dlhodobého majetku do používania. Drobný dlhodobý nehmotný majetok, ktorého obstarávacia</t>
  </si>
  <si>
    <t>Zákazková výroba sa vykazuje použitím metódy stupňa dokončenia zákazky.</t>
  </si>
  <si>
    <t xml:space="preserve">Peňažné prostriedky a ceniny sa oceňujú ich menovitou hodnotou. </t>
  </si>
  <si>
    <t>Zníženie ich hodnoty sa vyjadruje opravnou položkou.</t>
  </si>
  <si>
    <t xml:space="preserve">Odložená daňová pohľadávka a odložený daňový záväzok sa vzťahujú na: </t>
  </si>
  <si>
    <t>možnosť previesť nevyužité daňové odpočty a iné daňové nároky do budúcich období</t>
  </si>
  <si>
    <t>možnosť umorovať daňovú stratu, t.j. možnosti odpočítať daňovú stratu od základu dane v budúcnosti</t>
  </si>
  <si>
    <t>dočasné rozdiely medzi účtovnou hodnotou majetku a záväzkov v súvahe a ich daňovou základňou</t>
  </si>
  <si>
    <t>Dotácie na hospodársku činnosť  sa  vykazujú ako výnosy budúcich období a do výkazu ziskov a strát sa</t>
  </si>
  <si>
    <t xml:space="preserve">rozpúšťajú ako výnosy z hospodárskej činnosti v časovej a vecnej súvislosti s vynaložením nákladov na </t>
  </si>
  <si>
    <t>príslušný účel.</t>
  </si>
  <si>
    <t xml:space="preserve">Majetok prenajatý na základe operatívneho prenájmu vykazuje ako svoj majetok jeho vlastník, nie </t>
  </si>
  <si>
    <t>nájomca.</t>
  </si>
  <si>
    <t>Majetok prenajatý na základe leasingovej zmluvy vykazuje ako svoj majetok jeho nájomca, nie vlastník.</t>
  </si>
  <si>
    <t xml:space="preserve">Zmena reálnej hodnoty zabezpečovacích derivátov sa účtuje bez vplyvu na výsledok hospodárenia, </t>
  </si>
  <si>
    <t>Zmena reálnej hodnoty derivátov určených na obchodovanie na burze alebo verejnom trhu sa účtuje s</t>
  </si>
  <si>
    <t>s vplyvom na výsledok hospodárenia.</t>
  </si>
  <si>
    <t xml:space="preserve">Slovenska v deň predchádzajúci dňu uskutočnenia účtovného prípadu. </t>
  </si>
  <si>
    <t xml:space="preserve">menu euro  kurzom určeným a vyhláseným Európskou centrálnou bankou alebo Národnou bankou </t>
  </si>
  <si>
    <t>Majetok a záväzky vyjadrené v cudzej mene, okrem prijatých a poskytnutých preddavkov,  sa ku dňu</t>
  </si>
  <si>
    <t>zostavenia účtovnej závierky  prepočítavajú na menu euro kurzom určeným a vyhláseným Európskou</t>
  </si>
  <si>
    <t xml:space="preserve">centrálnou bankou alebo Národnou bankou Slovenska v deň, ku ktorému sa účtovná závierka zostavuje a </t>
  </si>
  <si>
    <t>účtujú sa s vplyvom na výsledok hospodárenia</t>
  </si>
  <si>
    <t xml:space="preserve">prepočítavajú na menu euro kurzom určeným a vyhláseným Európskou centrálnou bankou alebo </t>
  </si>
  <si>
    <t>Národnou bankou Slovenska v deň predchádzajúci dňu uskutočnenia účtovného prípadu.</t>
  </si>
  <si>
    <t>Tržby za vlastné výkony a tovar neobsahujú daň z pridanej hodnoty a sú znížené o zľavy a zrážky (rabaty</t>
  </si>
  <si>
    <t>bonusy, skontá, dobropisy a pod.), bez ohľadu, či mal zákazník na zľavu nárok, alebo ide o dodatočnú zľavu.</t>
  </si>
  <si>
    <t xml:space="preserve">vo svojej evidencii zásoby, ku ktorým je zriadené záložné právo, alebo obmedzenie. </t>
  </si>
  <si>
    <t>sociálny fond.</t>
  </si>
  <si>
    <t>modrý text</t>
  </si>
  <si>
    <t>povinnosť zostaviť výkaz cash-flow.</t>
  </si>
  <si>
    <t xml:space="preserve">Spoločnosť výkaz cash-flow  </t>
  </si>
  <si>
    <t>Obchodné meno:</t>
  </si>
  <si>
    <t>Ulica:</t>
  </si>
  <si>
    <t>číslo:</t>
  </si>
  <si>
    <t>PSČ:</t>
  </si>
  <si>
    <t>Názov obce:</t>
  </si>
  <si>
    <t>pole nie je zviazané odkazom / je možné doň vpisovať / miesto pre komentár</t>
  </si>
  <si>
    <t>záväzkov, vlastného imania a výsledku hospodárenia účtovnej jednotky</t>
  </si>
  <si>
    <t>Spoločnosť uvádza k zásobám ďalšie doplňujúce informácie:</t>
  </si>
  <si>
    <t>Spoločnosť uvádza k daniam z príjmov ďalšie doplňujúce informácie:</t>
  </si>
  <si>
    <t xml:space="preserve">Spoločnosťou, ktorých činnosť je zaradená do kategórie priemyselnej výroby podľa </t>
  </si>
  <si>
    <t>ako 250 000 000 eur.</t>
  </si>
  <si>
    <t>Výška záruk poskytnutá orgánom verejnej moci a inej štátnej pomoci (najmä odpustenie súm)</t>
  </si>
  <si>
    <t>Finančné vzťahy medzi Spoločnosťou a orgánom verejnej moci</t>
  </si>
  <si>
    <t>Informácie o Spoločnosti s výlučným právom</t>
  </si>
  <si>
    <t xml:space="preserve">Spoločnosti </t>
  </si>
  <si>
    <t>verejnom záujme, pričom prijímajú náhradu za túto činnosť v akejkoľvek forme.</t>
  </si>
  <si>
    <t>Účtovné zásady pri priraďovaní nákladov a výnosov:</t>
  </si>
  <si>
    <t>Organizačná štruktúra Spoločnosti a jej jednotlivé činnosti:</t>
  </si>
  <si>
    <t xml:space="preserve">Účtovná závierka </t>
  </si>
  <si>
    <t>druhovo najvýznamnejšie položky časového rozlíšenia + ostatné</t>
  </si>
  <si>
    <t>druhovo najvýznamnejšie položky nákladov za služby + ostatné</t>
  </si>
  <si>
    <t>ostatné náklady za služby</t>
  </si>
  <si>
    <t>ostatné náklady na hospodársku činnosť</t>
  </si>
  <si>
    <t xml:space="preserve">osobitného predpisu a ktorých čistý obrat za bezprostredne predchádzajúce účtovné obdobie bol väčší </t>
  </si>
  <si>
    <t xml:space="preserve">Poznámky k účtovnej závierke zostavuje </t>
  </si>
  <si>
    <t>osoba účtujúca v systéme podvojného účtovníctva.</t>
  </si>
  <si>
    <t>Niektoré hodnoty v tabuľke je nutné zadať  s mínusom.</t>
  </si>
  <si>
    <r>
      <t xml:space="preserve">označenie v šedom orámovaní - miesto, kde </t>
    </r>
    <r>
      <rPr>
        <b/>
        <sz val="11"/>
        <color indexed="8"/>
        <rFont val="Calibri"/>
        <family val="2"/>
        <charset val="238"/>
      </rPr>
      <t>odporúčame</t>
    </r>
    <r>
      <rPr>
        <sz val="11"/>
        <color theme="1"/>
        <rFont val="Calibri"/>
        <family val="2"/>
        <charset val="238"/>
        <scheme val="minor"/>
      </rPr>
      <t xml:space="preserve"> umiestniť zlom strany</t>
    </r>
  </si>
  <si>
    <t>Podielové CP a podiely v spoločnos- tiach s podstatným vplyvom</t>
  </si>
  <si>
    <t>Poskytnuté preddavky na DFM</t>
  </si>
  <si>
    <t>ďalej aj "Spoločnosť"</t>
  </si>
  <si>
    <t>pole obsahuje možnosť výberu (combo box), alebo je zviazané odkazom, no je možné hodnotu zmeniť</t>
  </si>
  <si>
    <t>Spoločnosť neprivatizovala majetok.</t>
  </si>
  <si>
    <t>tvorila</t>
  </si>
  <si>
    <t>Účtami v bankách môže Spoločnosť voľne disponovať.</t>
  </si>
  <si>
    <t>Z</t>
  </si>
  <si>
    <t>Dlhodobý nehmotný majetok, na ktorý je zriadené záložné právo:</t>
  </si>
  <si>
    <t>Dlhodobý hmotný majetok, na ktorý je zriadené záložné právo:</t>
  </si>
  <si>
    <t>Dlhodobý finančný majetok, na ktorý je zriadené záložné právo:</t>
  </si>
  <si>
    <t>riadna</t>
  </si>
  <si>
    <t>Druh zmeny zásady alebo metódy</t>
  </si>
  <si>
    <t>Dôvod zmeny</t>
  </si>
  <si>
    <t>zmena štrukrúry položiek súvahy a výsledovky</t>
  </si>
  <si>
    <t>zmena zákona</t>
  </si>
  <si>
    <t>bez vlyvu na hospodársky výsledok a vlastné imanie</t>
  </si>
  <si>
    <t>druh majetku</t>
  </si>
  <si>
    <t>Hodnota vplyvu na výsledok hospodárenia alebo na vlastné imanie</t>
  </si>
  <si>
    <t>Poistený majetok</t>
  </si>
  <si>
    <t>Poistná suma</t>
  </si>
  <si>
    <t xml:space="preserve">Poistná zmluva platná  </t>
  </si>
  <si>
    <t>Hodnota</t>
  </si>
  <si>
    <t>Majetok</t>
  </si>
  <si>
    <t xml:space="preserve">Ako finančné účty sú vykázané peniaze v pokladnici,ceniny (stravné lístky), účty v bankách a cenné papiere. </t>
  </si>
  <si>
    <t>dlhodobý hmotný majetok.</t>
  </si>
  <si>
    <t>Poskytnuté preddavky na DNM</t>
  </si>
  <si>
    <t>Poskytnuté preddavky na DHM</t>
  </si>
  <si>
    <t>nájomná zmluva uzatvorená do:</t>
  </si>
  <si>
    <t>druh majetku vo finančnom prenájme</t>
  </si>
  <si>
    <t>ročná výška nájomného</t>
  </si>
  <si>
    <t>druh nehnuteľného majetku v nájme</t>
  </si>
  <si>
    <t>nájomná zmluva uzatvorená do</t>
  </si>
  <si>
    <t>účtovnou jednotkou konzistentne aplikované.</t>
  </si>
  <si>
    <t xml:space="preserve"> uvedenia dlhodobého majetku do používania. Drobný dlhodobý hmotný majetok, ktorého obstarávacia</t>
  </si>
  <si>
    <t>Dátum zmeny</t>
  </si>
  <si>
    <t>x</t>
  </si>
  <si>
    <t>Dlhodobý hmotný majetok, pri ktorom má účtovná jednotka obmedzené právo s ním nakladať:</t>
  </si>
  <si>
    <t>Dlhodobý nehmotný majetok, pri ktorom má účtovná jednotka obmedzené právo s ním nakladať:</t>
  </si>
  <si>
    <t>Dlhodobý finančný majetok, pri ktorom má účtovná jednotka obmedzené právo s ním nakladať:</t>
  </si>
  <si>
    <t>Zásoby, na ktoré je zriadené záložné právo:</t>
  </si>
  <si>
    <t>Zásoby, pri ktorých má účtovná jednotka obmedzené právo s nimi nakladať:</t>
  </si>
  <si>
    <t>Vysvetlivky:</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</si>
  <si>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</si>
  <si>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</si>
  <si>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</si>
  <si>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</si>
  <si>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</si>
  <si>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</si>
  <si>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</si>
  <si>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</si>
  <si>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</si>
  <si>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</si>
  <si>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</si>
  <si>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</si>
  <si>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</si>
  <si>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</si>
  <si>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ekonomických činností.</t>
  </si>
  <si>
    <t>je</t>
  </si>
  <si>
    <t xml:space="preserve">V súlade so Zákonom č. 595/2003 Z.z. o dani z príjmov, v aktuálnom znení, Spoločnosť upravila základ dane </t>
  </si>
  <si>
    <t xml:space="preserve">o položky, ktoré nie sú predmetom dane a o položky, ktoré znižujú, alebo zvyšujú základ dane. </t>
  </si>
  <si>
    <t>poskytla</t>
  </si>
  <si>
    <t>K prehľadu o pohybe VI v priebehu účtovného obdobia Spoločnosť ďalej uvádza doplňujúce informácie:</t>
  </si>
  <si>
    <t>Názov orgánu Spoločnosti</t>
  </si>
  <si>
    <t>členovia orgánov</t>
  </si>
  <si>
    <t>člen orgánu</t>
  </si>
  <si>
    <t>Automatické skrytie riadku.</t>
  </si>
  <si>
    <t>údaje na podsúvahových účtoch.</t>
  </si>
  <si>
    <t>F I L T E R</t>
  </si>
  <si>
    <t>najvýznamnejšie podľa podielu na celkových dlhodobývh rezervách + ostatné.</t>
  </si>
  <si>
    <t>najvýznamnejšie podľa podielu na celkových krátkodobých rezervách + ostatné.</t>
  </si>
  <si>
    <t>Poznámka: pre korektný výpočet musia byť v stĺpci predošlého obdobia zadané posledné dve položky</t>
  </si>
  <si>
    <t>realizuje</t>
  </si>
  <si>
    <t>prevádzkuje</t>
  </si>
  <si>
    <t>zostavila.</t>
  </si>
  <si>
    <t>druh obchodu</t>
  </si>
  <si>
    <t>právnická</t>
  </si>
  <si>
    <t>vykázala</t>
  </si>
  <si>
    <t>nepriamej</t>
  </si>
  <si>
    <t>Pokúšate sa použiť chránené dielo v rozpore s licenčnými podmienkami.</t>
  </si>
  <si>
    <t>Nepovolenou manipuláciou spôsobite znefunkčnenie riešenia.</t>
  </si>
  <si>
    <t xml:space="preserve">V A R O V A N I E ! </t>
  </si>
  <si>
    <t xml:space="preserve">Nevystavujte sa riziku trestno-právnej zodpovednosti a kontaktuje zhotoviteľa aplikácie ´Poznámky 2012´ (kontakty na stránke www.poznamky.equilibrium.sk), za účelom legálnej kúpy. </t>
  </si>
  <si>
    <t>Konateľ/ka</t>
  </si>
  <si>
    <t xml:space="preserve">Cenné papiere, dlhové cenná papiere na obchodovanie sa oceňujú obstarávacími cenami vrátane nákladov </t>
  </si>
  <si>
    <t xml:space="preserve">súvisiacich s obstaraním. </t>
  </si>
  <si>
    <t>došlo</t>
  </si>
  <si>
    <t>obstarala</t>
  </si>
  <si>
    <t>prenajíma</t>
  </si>
  <si>
    <t>ocenila</t>
  </si>
  <si>
    <t>emitovala</t>
  </si>
  <si>
    <t>účtovala</t>
  </si>
  <si>
    <t>uskutočnila</t>
  </si>
  <si>
    <t>•</t>
  </si>
  <si>
    <t>Hlavnými hospodárskymi činnosťami Spoločnosti sú:</t>
  </si>
  <si>
    <t>Obchodné meno, sídlo</t>
  </si>
  <si>
    <t>významné údaje o ručení</t>
  </si>
  <si>
    <t>Spoločnosť</t>
  </si>
  <si>
    <t>Je materská spoločnosť oslobodená od povinnosti zostaviť konsolidovanú ÚZ ?</t>
  </si>
  <si>
    <t>Obchodné meno a sídlo konsolidujúcej ÚJ, ktorá zostavuje konsolidovanú ÚZ za všetky skupiny ÚJ, pre ktorú je Spoločnosť konsolidovanou ÚJ:</t>
  </si>
  <si>
    <t>Obchodné meno a sídlo bezprostredne konsolidujúcej ÚJ, ktorá zostavuje konsolidovanú ÚZ za skupinu ÚJ, ktorej je Spoločnosť súčasťou:</t>
  </si>
  <si>
    <t>Obchodné meno a sídlo konsolidujúcej ÚJ, v ktorej sú konsolidované ÚZ prístupné:</t>
  </si>
  <si>
    <t>Adresa registrového súdu, ktorý vedie obchodný register, kde budú konsolidované ÚZ uložené:</t>
  </si>
  <si>
    <t>Ocenenie zásob (obstaraných kúpou, vlastnou činnosťou, inak)</t>
  </si>
  <si>
    <t>Doplňujúca informácia Spoločnosti, ktorej hospodársky rok nie je totožný s kalendárnym rokom</t>
  </si>
  <si>
    <t>Spoločnosť má určený hospodársky rok od 1.10.201X do 30.9.201(X+1).</t>
  </si>
  <si>
    <t>nemá</t>
  </si>
  <si>
    <t>dosahovala</t>
  </si>
  <si>
    <t>účtuje</t>
  </si>
  <si>
    <t>účtovným ziskom.</t>
  </si>
  <si>
    <t>Ostatný DFM</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</si>
  <si>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</si>
  <si>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</si>
  <si>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t>
  </si>
  <si>
    <t>Ä</t>
  </si>
  <si>
    <t>B</t>
  </si>
  <si>
    <t>Č</t>
  </si>
  <si>
    <t>D</t>
  </si>
  <si>
    <t>É</t>
  </si>
  <si>
    <t>F</t>
  </si>
  <si>
    <t>G</t>
  </si>
  <si>
    <t>H</t>
  </si>
  <si>
    <t>Í</t>
  </si>
  <si>
    <t>J</t>
  </si>
  <si>
    <t>K</t>
  </si>
  <si>
    <t>L</t>
  </si>
  <si>
    <t>M</t>
  </si>
  <si>
    <t>N</t>
  </si>
  <si>
    <t>O</t>
  </si>
  <si>
    <t>P</t>
  </si>
  <si>
    <t>Q</t>
  </si>
  <si>
    <t>R</t>
  </si>
  <si>
    <t>Š</t>
  </si>
  <si>
    <t>T</t>
  </si>
  <si>
    <t>Ú</t>
  </si>
  <si>
    <t>V</t>
  </si>
  <si>
    <t>Ý</t>
  </si>
  <si>
    <t>Ž</t>
  </si>
  <si>
    <t>Daňové identifikačné číslo</t>
  </si>
  <si>
    <t>Účtovná závierka</t>
  </si>
  <si>
    <t>zostavená</t>
  </si>
  <si>
    <t>mimoriadna</t>
  </si>
  <si>
    <t>priebežná</t>
  </si>
  <si>
    <t>schválená</t>
  </si>
  <si>
    <t>(vyznačí sa x)</t>
  </si>
  <si>
    <t>SK NACE</t>
  </si>
  <si>
    <t>v eurocentoch</t>
  </si>
  <si>
    <t>v celých eurách</t>
  </si>
  <si>
    <t>Mesiac</t>
  </si>
  <si>
    <t>Rok</t>
  </si>
  <si>
    <t>Za obdobie</t>
  </si>
  <si>
    <t>Bezprostredne predchádzajúce obdobie</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</si>
  <si>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</si>
  <si>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</si>
  <si>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</si>
  <si>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Záznamy daňového úradu</t>
  </si>
  <si>
    <t>Miesto pre evidenčné číslo</t>
  </si>
  <si>
    <t>Odtlačok prezenčnej pečiatky daňového úradu</t>
  </si>
  <si>
    <t>áno (podľa § 22 ods.8)</t>
  </si>
  <si>
    <r>
      <t xml:space="preserve">cena (resp. vlastné náklady) je </t>
    </r>
    <r>
      <rPr>
        <b/>
        <sz val="11"/>
        <rFont val="Calibri"/>
        <family val="2"/>
        <charset val="238"/>
      </rPr>
      <t xml:space="preserve"> 2400 EUR a nižšia, sa odpisuje jednorazovo pri uvedení do používania. </t>
    </r>
  </si>
  <si>
    <r>
      <t xml:space="preserve">cena (resp. vlastné náklady) je </t>
    </r>
    <r>
      <rPr>
        <b/>
        <sz val="11"/>
        <rFont val="Calibri"/>
        <family val="2"/>
        <charset val="238"/>
      </rPr>
      <t xml:space="preserve"> 1700 EUR a nižšia, sa odpisuje jednorazovo pri uvedení do používania. </t>
    </r>
  </si>
  <si>
    <t>Pestova- teľské celky trvalých porastov</t>
  </si>
  <si>
    <t>Hodnota predmetu záložného práva</t>
  </si>
  <si>
    <t>Záväzky so zostatkovou dobou splatnosti nad päť rokov</t>
  </si>
  <si>
    <t>Suma istiny v príslušnej mene  za</t>
  </si>
  <si>
    <t xml:space="preserve">Suma istiny v eurách za </t>
  </si>
  <si>
    <t xml:space="preserve">Suma istiny v príslušnej mene za </t>
  </si>
  <si>
    <t>umorenie daňovej straty</t>
  </si>
  <si>
    <t>Dcérska účtovná jednotka / Materská účtovná jednotka /</t>
  </si>
  <si>
    <t>nenastali</t>
  </si>
  <si>
    <t>DIČ</t>
  </si>
  <si>
    <t>Chcem skryť riadok.</t>
  </si>
  <si>
    <t>Spoločnosť, ktorá má hospodársky rok totožný s kalendárnym rokom informáciu neuvádza.</t>
  </si>
  <si>
    <t>Informácie o opravách významných chýb minulých účtovných období</t>
  </si>
  <si>
    <t>V bežnom účtovnom období Spoločnosť</t>
  </si>
  <si>
    <t xml:space="preserve">významné opravy chýb minulých účtovných období. </t>
  </si>
  <si>
    <t>Popis opravy chyby minulého účtovného obdobia</t>
  </si>
  <si>
    <t>Hodnota vplyvu na nerozdelený zisk / neuhradenú stratu minulých rokov</t>
  </si>
  <si>
    <t>DFM spolu:</t>
  </si>
  <si>
    <t>viac ako 1 rok a najviac 3 roky vrátane</t>
  </si>
  <si>
    <t>Nie je povinnosť uvádzať BPÚO.</t>
  </si>
  <si>
    <t>Pohľadávky voči dcérskej ÚJ a materskej ÚJ</t>
  </si>
  <si>
    <t>Bežné účtovné obdobie</t>
  </si>
  <si>
    <t>Predchádzajúce účtovné obdobie</t>
  </si>
  <si>
    <t>Bežné účty v banke alebo v pobočke zahraničnej banky</t>
  </si>
  <si>
    <t>Vkladové účty v banke alebo v pobočke zahraničnej banky termínované</t>
  </si>
  <si>
    <t>Úhrada straty spoločníkmi, členmi</t>
  </si>
  <si>
    <t>Prevod na účet neuhradenej straty minulých rokov</t>
  </si>
  <si>
    <t>Finančný náklad</t>
  </si>
  <si>
    <t>záväzky zabezpečené záložným právom alebo inou formou zabezpečenia.</t>
  </si>
  <si>
    <t>Záväzky kryté záložným právom alebo inou formou zabezpečenia</t>
  </si>
  <si>
    <t>Hodnota záväzkov na ktoré sa zriadilo záložné právo</t>
  </si>
  <si>
    <t>Hodnota záväzku</t>
  </si>
  <si>
    <t>Bežné ÚO</t>
  </si>
  <si>
    <t>Predchádzajúce ÚO</t>
  </si>
  <si>
    <t>vplyv nevykázanej odloženej daňovej pohľadávky</t>
  </si>
  <si>
    <t>Zmena sadzby dane</t>
  </si>
  <si>
    <t xml:space="preserve">Informácie o príjmoch a výhodách členov štatutárneho orgánu, dozorného orgánu a  </t>
  </si>
  <si>
    <t>iného orgánu účtovnej jednotky</t>
  </si>
  <si>
    <t xml:space="preserve"> v priebehu účtovného obdobia obchody so spriaznenými osobami neuzavreté</t>
  </si>
  <si>
    <t>Informácie o Spoločnosti podľa § 23d ods. 6 zákona</t>
  </si>
  <si>
    <t>Údaje sa od 31.12.2013 nevyžadujú.</t>
  </si>
  <si>
    <t>Hodnota príjmu, výhody členov orgánov</t>
  </si>
  <si>
    <t xml:space="preserve">Odmeny za výkon funkcie, vrátane plnení z dôchodkových programov bývalých členov </t>
  </si>
  <si>
    <t>Poskytnuté záruky a iné zabezpečenia</t>
  </si>
  <si>
    <t>celková suma poskytnutých pôžičiek (+)</t>
  </si>
  <si>
    <t>celková suma splatených pôžičiek (-)</t>
  </si>
  <si>
    <t>Poskytnuté pôžičky  ku dňu:</t>
  </si>
  <si>
    <t>celková suma odpustených/odpísaných pôžičiek (-)</t>
  </si>
  <si>
    <t>Suma plnenia (finančného alebo iného) na súkromné účely</t>
  </si>
  <si>
    <t>Hlavné podmienky poskytnutých pôžičiek:</t>
  </si>
  <si>
    <t>úroky:</t>
  </si>
  <si>
    <t>deň poskytnutia:</t>
  </si>
  <si>
    <t>deň splatnosti:</t>
  </si>
  <si>
    <t>splátky:</t>
  </si>
  <si>
    <t>výška pôžičky:</t>
  </si>
  <si>
    <t>Hlavné podmienky poskytnutých záruk:</t>
  </si>
  <si>
    <t>charakteristika obchodu</t>
  </si>
  <si>
    <t>č. - číslo</t>
  </si>
  <si>
    <t>1. Daňové identifikačné číslo (DIČ) sa vyplňuje, ak ho má účtovná jednotka  pridelené.</t>
  </si>
  <si>
    <t>2. Identifikačné číslo organizácie (IČO) sa vyplňuje podľa Registra organizácii vedeného Štatistickým úradom Slovenskej republiky.</t>
  </si>
  <si>
    <t>3. Kód SK NACE sa vypĺňa podľa vyhlášky Štatistického úradu Slovenskej republiky č. 306/2007 Z. z., ktorou sa vydáva Štatistická klasifikácia</t>
  </si>
  <si>
    <t>4. Údaje, ktorými sú číslo telefónu, číslo faxu, e-mailová adresa, podpisový záznam osoby zodpovednej za vedenie účtovníctva a podpisový</t>
  </si>
  <si>
    <t>záznam osoby zodpovednej za zostavenie účtovnej závierky, sú dobrovoľne vypĺňanými údajmi.</t>
  </si>
  <si>
    <t>5. V časti F 1,2,3  sa prvotným ocenením majetku v časti rozumie jeho ocenenie podľa § 25 zákona zákona č. 431/2002 Z. z. o účtovníctve.</t>
  </si>
  <si>
    <t xml:space="preserve">6. V tabuľkách podľa  bodu 6 vysvetliviek Prílohy č. 3a k opatreniu č. 4455/2003-92 sa obsahová náplň tabuliek podľa  a počet riadkov v nich </t>
  </si>
  <si>
    <t xml:space="preserve">uvádzajú podľa  potrieb účtovnej jednotky. </t>
  </si>
  <si>
    <t>MÚJ - materská účtovná jednotka</t>
  </si>
  <si>
    <t>p.a. - per annum</t>
  </si>
  <si>
    <t>Riadok bude vidieť.</t>
  </si>
  <si>
    <t>pole je zviazané odkazom / je možné zmeniť hodnotu, alebo nahradiť iným vzorcom, no neodporúča sa</t>
  </si>
  <si>
    <t>Prvá strana</t>
  </si>
  <si>
    <t>Prístupné bunky - údaje možno meniť.</t>
  </si>
  <si>
    <t>Viazané bunky - údaje nie je možné meniť.</t>
  </si>
  <si>
    <t>Vzorová tabuľka MF SR.</t>
  </si>
  <si>
    <t>pomôcka, komentár, informácia</t>
  </si>
  <si>
    <t>Požadované údaje od 31.12.2013.</t>
  </si>
  <si>
    <t>Živnosť, menovanie (napr. notár), rozhodnutie úradu (napr. ambulancia)...</t>
  </si>
  <si>
    <t>Stačí vymenovať nahlavnejšie podľa výšky podielu na tržbách.</t>
  </si>
  <si>
    <t>Miesto pre popis neuvedený v predošlých bodoch.</t>
  </si>
  <si>
    <t>Od 31.12.2013 pribudol riadok.</t>
  </si>
  <si>
    <t>Náklady na obstarávanie nehnuteľnosti na predaj za účtovné obdobie</t>
  </si>
  <si>
    <t>Náklady na obstarávanie nehnuteľnosti na predaj od začiatku obstarávania</t>
  </si>
  <si>
    <t xml:space="preserve">Hodnota za </t>
  </si>
  <si>
    <t>Hodnota za</t>
  </si>
  <si>
    <t>nie je</t>
  </si>
  <si>
    <t>Spoločnosť uvádza údaje za bezprostredne predchádzajúce účtovné obdobie od 1.10.2011 do 30.09.2012  -</t>
  </si>
  <si>
    <t>toto obdobie je v nasledujúcich tabuľkách označené ako "2012".</t>
  </si>
  <si>
    <t xml:space="preserve">Spoločnosť uvádza údaje za bežné účtovné obdobie od 1.10.2012 do 30.09.2013 - toto obdobie je v </t>
  </si>
  <si>
    <t>nasledujúcich tabuľkách označené ako "2013".</t>
  </si>
  <si>
    <t>netvorila</t>
  </si>
  <si>
    <t>boli</t>
  </si>
  <si>
    <t>K prehľadu o finančných tokoch Spoločnosť ďalej uvádza doplňujúce informácie:</t>
  </si>
  <si>
    <t>Informácie o orgánoch ÚJ sa neuvádzajú.</t>
  </si>
  <si>
    <t>Vytvorené aplikáciou Poznamky_UZ_2014_v1 © Equilibrium, s.r.o. 2011-2015</t>
  </si>
  <si>
    <t>Obchodné meno a sídlo Spoločnosti:</t>
  </si>
  <si>
    <t>Založenie Spoločnosti</t>
  </si>
  <si>
    <t>Vlastné akcie</t>
  </si>
  <si>
    <t xml:space="preserve">10. </t>
  </si>
  <si>
    <t>Informácie o vlastných akciách sú uvedené v tabuľke:</t>
  </si>
  <si>
    <t>vlastné akcie nadobudnuté počas účtovného obdobia</t>
  </si>
  <si>
    <t>počet  akcií</t>
  </si>
  <si>
    <t>menovitá hodnota</t>
  </si>
  <si>
    <t>hodnota spolu</t>
  </si>
  <si>
    <t>upísané ZI</t>
  </si>
  <si>
    <t>podiel akcií na ZI</t>
  </si>
  <si>
    <t>vlastné akcie prevedené počas účtovného obdobia</t>
  </si>
  <si>
    <t>vlastné akcie nadobudnuté a prevedené počas účtovného obdobia</t>
  </si>
  <si>
    <t xml:space="preserve"> nadobúdacia hodnota</t>
  </si>
  <si>
    <t>prevádzacia hodnota</t>
  </si>
  <si>
    <t>nadobudnuté vlastné akcie v držbe k poslednému dňu účtovného obdobia</t>
  </si>
  <si>
    <t>hodnota nadobudnutia</t>
  </si>
  <si>
    <t>Výnosy majúce výnimočný rozsah alebo výskyt, z toho:</t>
  </si>
  <si>
    <t>Náklady majúce výnimočný rozsah alebo výskyt, z toho:</t>
  </si>
  <si>
    <t>Údaj nie je požadovaný.</t>
  </si>
  <si>
    <t>Príjmy výnimočného rozsahu alebo výskytu vzťahujúce sa na prevádzkovú činnosť (+)</t>
  </si>
  <si>
    <t>Výdavky výnimočného rozsahu alebo výskytu vzťahujúce sa na prevádzkovú činnosť (-)</t>
  </si>
  <si>
    <t>Príjmy výnimočného rozsahu alebo výskytu vzťahujúce sa na investičnú činnosť (+)</t>
  </si>
  <si>
    <t>Výdavky výnimočného rozsahu alebo výskytu vzťahujúce sa na investičnú činnosť (-)</t>
  </si>
  <si>
    <t>Príjmy výnimočného rozsahu alebo výskytu vzťahujúce sa na finančnú činnosť (+)</t>
  </si>
  <si>
    <t>Výdavky výnimočného rozsahu alebo výskytu vzťahujúce sa na finančnú činnosť (-)</t>
  </si>
  <si>
    <t>majúce výnimočný rozsah alebo výskyt</t>
  </si>
  <si>
    <t>"malé" poznámky podstatnú časť informácii doplňujúcich súvahu a výkaz</t>
  </si>
  <si>
    <t>ziskov a strát nepožadujú /pokiaľ je v bunke CD1 vybraná možnosť "malé"</t>
  </si>
  <si>
    <t>aplikácia automaticky vyznačuje oblasti určené na skrytie/</t>
  </si>
  <si>
    <t>malé</t>
  </si>
  <si>
    <t>Skryť prvú stranu.</t>
  </si>
  <si>
    <t>Resumo s.r.o.</t>
  </si>
  <si>
    <t>Dolná</t>
  </si>
  <si>
    <t>19</t>
  </si>
  <si>
    <t>Banská Bystrica</t>
  </si>
  <si>
    <t>97401</t>
  </si>
  <si>
    <t>Banskej Bystrici</t>
  </si>
  <si>
    <t>Sro</t>
  </si>
  <si>
    <t>30399/S</t>
  </si>
  <si>
    <t>výroba výrobkov z gumy a výrobkov z plastov</t>
  </si>
  <si>
    <t>nevykonala</t>
  </si>
  <si>
    <t>neeviduje</t>
  </si>
  <si>
    <t>nepoužíva</t>
  </si>
  <si>
    <t>Spoločnosť eviduje záväzky na krytie majetku z cudzích zdrojov z obchodných vzťahov voči dodávateľom</t>
  </si>
  <si>
    <t>činnosť.</t>
  </si>
  <si>
    <t>Spoločnosť účtovala len o bežných nákladoch na poskytnuté služby a ostatných nákladoch na hospodársku</t>
  </si>
  <si>
    <t>Členovia štatutárnych orgánov poberali odmenu za výkon funkcie.</t>
  </si>
  <si>
    <t>a z finančných výpomocí voči spoločníkom spoločnosti.</t>
  </si>
  <si>
    <t>neúčtovala</t>
  </si>
  <si>
    <t>nebola</t>
  </si>
  <si>
    <t>neposkytla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</si>
</sst>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 _€_-;\-* #,##0.00\ _€_-;_-* &quot;-&quot;??\ _€_-;_-@_-"/>
  </numFmts>
  <fonts count="73" x14ac:knownFonts="1">
    <font>
      <sz val="11"/>
      <color theme="1"/>
      <name val="Calibri"/>
      <family val="2"/>
      <charset val="238"/>
      <scheme val="minor"/>
    </font>
    <font>
      <sz val="11"/>
      <color indexed="8"/>
      <name val="Calibri"/>
      <family val="2"/>
      <charset val="238"/>
    </font>
    <font>
      <sz val="10"/>
      <name val="Helv"/>
    </font>
    <font>
      <b/>
      <sz val="11"/>
      <color indexed="10"/>
      <name val="Calibri"/>
      <family val="2"/>
      <charset val="238"/>
    </font>
    <font>
      <b/>
      <sz val="11"/>
      <color indexed="8"/>
      <name val="Calibri"/>
      <family val="2"/>
      <charset val="238"/>
    </font>
    <font>
      <sz val="8"/>
      <color indexed="8"/>
      <name val="Calibri"/>
      <family val="2"/>
      <charset val="238"/>
    </font>
    <font>
      <b/>
      <sz val="10"/>
      <color indexed="8"/>
      <name val="Calibri"/>
      <family val="2"/>
      <charset val="238"/>
    </font>
    <font>
      <sz val="12"/>
      <color indexed="8"/>
      <name val="Calibri"/>
      <family val="2"/>
      <charset val="238"/>
    </font>
    <font>
      <sz val="9"/>
      <color indexed="8"/>
      <name val="Calibri"/>
      <family val="2"/>
      <charset val="238"/>
    </font>
    <font>
      <b/>
      <sz val="11"/>
      <color indexed="10"/>
      <name val="Calibri"/>
      <family val="2"/>
      <charset val="238"/>
    </font>
    <font>
      <b/>
      <sz val="12"/>
      <color indexed="8"/>
      <name val="Calibri"/>
      <family val="2"/>
      <charset val="238"/>
    </font>
    <font>
      <sz val="10"/>
      <color indexed="8"/>
      <name val="Calibri"/>
      <family val="2"/>
      <charset val="238"/>
    </font>
    <font>
      <b/>
      <sz val="10.5"/>
      <color indexed="8"/>
      <name val="Calibri"/>
      <family val="2"/>
      <charset val="238"/>
    </font>
    <font>
      <b/>
      <sz val="11"/>
      <name val="Calibri"/>
      <family val="2"/>
      <charset val="238"/>
    </font>
    <font>
      <sz val="8"/>
      <name val="Calibri"/>
      <family val="2"/>
      <charset val="238"/>
    </font>
    <font>
      <b/>
      <sz val="8"/>
      <color indexed="10"/>
      <name val="Calibri"/>
      <family val="2"/>
      <charset val="238"/>
    </font>
    <font>
      <sz val="8.5"/>
      <color indexed="8"/>
      <name val="Calibri"/>
      <family val="2"/>
      <charset val="238"/>
    </font>
    <font>
      <b/>
      <sz val="20"/>
      <color indexed="8"/>
      <name val="Calibri"/>
      <family val="2"/>
      <charset val="238"/>
    </font>
    <font>
      <sz val="7"/>
      <color indexed="8"/>
      <name val="Calibri"/>
      <family val="2"/>
      <charset val="238"/>
    </font>
    <font>
      <sz val="7.5"/>
      <color indexed="8"/>
      <name val="Calibri"/>
      <family val="2"/>
      <charset val="238"/>
    </font>
    <font>
      <sz val="11"/>
      <name val="Calibri"/>
      <family val="2"/>
      <charset val="238"/>
    </font>
    <font>
      <sz val="10.5"/>
      <color indexed="8"/>
      <name val="Calibri"/>
      <family val="2"/>
      <charset val="238"/>
    </font>
    <font>
      <sz val="9"/>
      <name val="Calibri"/>
      <family val="2"/>
      <charset val="238"/>
    </font>
    <font>
      <b/>
      <sz val="10"/>
      <name val="Calibri"/>
      <family val="2"/>
      <charset val="238"/>
    </font>
    <font>
      <b/>
      <sz val="9"/>
      <name val="Calibri"/>
      <family val="2"/>
      <charset val="238"/>
    </font>
    <font>
      <b/>
      <sz val="9"/>
      <color indexed="8"/>
      <name val="Calibri"/>
      <family val="2"/>
      <charset val="238"/>
    </font>
    <font>
      <b/>
      <sz val="10"/>
      <color indexed="10"/>
      <name val="Calibri"/>
      <family val="2"/>
      <charset val="238"/>
    </font>
    <font>
      <sz val="10"/>
      <name val="Calibri"/>
      <family val="2"/>
      <charset val="238"/>
    </font>
    <font>
      <sz val="9.5"/>
      <name val="Calibri"/>
      <family val="2"/>
      <charset val="238"/>
    </font>
    <font>
      <b/>
      <sz val="12"/>
      <name val="Calibri"/>
      <family val="2"/>
      <charset val="238"/>
    </font>
    <font>
      <b/>
      <sz val="16"/>
      <name val="Calibri"/>
      <family val="2"/>
      <charset val="238"/>
    </font>
    <font>
      <b/>
      <sz val="8"/>
      <name val="Calibri"/>
      <family val="2"/>
      <charset val="238"/>
    </font>
    <font>
      <b/>
      <sz val="9"/>
      <color indexed="10"/>
      <name val="Calibri"/>
      <family val="2"/>
      <charset val="238"/>
    </font>
    <font>
      <b/>
      <sz val="8"/>
      <color indexed="8"/>
      <name val="Calibri"/>
      <family val="2"/>
      <charset val="238"/>
    </font>
    <font>
      <sz val="8.5"/>
      <name val="Calibri"/>
      <family val="2"/>
      <charset val="238"/>
    </font>
    <font>
      <i/>
      <sz val="8"/>
      <name val="Calibri"/>
      <family val="2"/>
      <charset val="238"/>
    </font>
    <font>
      <sz val="7.8"/>
      <color indexed="8"/>
      <name val="Calibri"/>
      <family val="2"/>
      <charset val="238"/>
    </font>
    <font>
      <sz val="11"/>
      <color indexed="8"/>
      <name val="Calibri"/>
      <family val="2"/>
      <charset val="238"/>
    </font>
    <font>
      <sz val="11"/>
      <color indexed="9"/>
      <name val="Calibri"/>
      <family val="2"/>
      <charset val="238"/>
    </font>
    <font>
      <b/>
      <sz val="11"/>
      <color indexed="9"/>
      <name val="Calibri"/>
      <family val="2"/>
      <charset val="238"/>
    </font>
    <font>
      <sz val="11"/>
      <color indexed="10"/>
      <name val="Calibri"/>
      <family val="2"/>
      <charset val="238"/>
    </font>
    <font>
      <b/>
      <sz val="11"/>
      <color indexed="30"/>
      <name val="Calibri"/>
      <family val="2"/>
      <charset val="238"/>
    </font>
    <font>
      <sz val="8"/>
      <color indexed="8"/>
      <name val="Calibri"/>
      <family val="2"/>
      <charset val="238"/>
    </font>
    <font>
      <b/>
      <sz val="12"/>
      <color indexed="9"/>
      <name val="Calibri"/>
      <family val="2"/>
      <charset val="238"/>
    </font>
    <font>
      <b/>
      <sz val="10"/>
      <color indexed="9"/>
      <name val="Calibri"/>
      <family val="2"/>
      <charset val="238"/>
    </font>
    <font>
      <b/>
      <sz val="8"/>
      <color indexed="8"/>
      <name val="Calibri"/>
      <family val="2"/>
      <charset val="238"/>
    </font>
    <font>
      <b/>
      <sz val="11"/>
      <color indexed="62"/>
      <name val="Calibri"/>
      <family val="2"/>
      <charset val="238"/>
    </font>
    <font>
      <sz val="6"/>
      <color indexed="8"/>
      <name val="Calibri"/>
      <family val="2"/>
      <charset val="238"/>
    </font>
    <font>
      <b/>
      <sz val="8"/>
      <color indexed="62"/>
      <name val="Calibri"/>
      <family val="2"/>
      <charset val="238"/>
    </font>
    <font>
      <b/>
      <sz val="8"/>
      <color indexed="30"/>
      <name val="Calibri"/>
      <family val="2"/>
      <charset val="238"/>
    </font>
    <font>
      <sz val="8"/>
      <color indexed="62"/>
      <name val="Calibri"/>
      <family val="2"/>
      <charset val="238"/>
    </font>
    <font>
      <sz val="11"/>
      <name val="Calibri"/>
      <family val="2"/>
      <charset val="238"/>
    </font>
    <font>
      <sz val="8"/>
      <name val="Calibri"/>
      <family val="2"/>
      <charset val="238"/>
    </font>
    <font>
      <b/>
      <sz val="11"/>
      <color indexed="10"/>
      <name val="Calibri"/>
      <family val="2"/>
      <charset val="238"/>
    </font>
    <font>
      <sz val="5"/>
      <color indexed="9"/>
      <name val="Calibri"/>
      <family val="2"/>
      <charset val="238"/>
    </font>
    <font>
      <sz val="8"/>
      <color indexed="9"/>
      <name val="Calibri"/>
      <family val="2"/>
      <charset val="238"/>
    </font>
    <font>
      <sz val="8"/>
      <color indexed="9"/>
      <name val="Calibri"/>
      <family val="2"/>
      <charset val="238"/>
    </font>
    <font>
      <sz val="8"/>
      <color indexed="10"/>
      <name val="Calibri"/>
      <family val="2"/>
      <charset val="238"/>
    </font>
    <font>
      <sz val="11"/>
      <color indexed="22"/>
      <name val="Calibri"/>
      <family val="2"/>
      <charset val="238"/>
    </font>
    <font>
      <u/>
      <sz val="8"/>
      <color indexed="12"/>
      <name val="Calibri"/>
      <family val="2"/>
      <charset val="238"/>
    </font>
    <font>
      <sz val="8"/>
      <color indexed="8"/>
      <name val="Calibri"/>
      <family val="2"/>
      <charset val="238"/>
    </font>
    <font>
      <b/>
      <sz val="11"/>
      <name val="Calibri"/>
      <family val="2"/>
      <charset val="238"/>
    </font>
    <font>
      <b/>
      <sz val="10"/>
      <color indexed="9"/>
      <name val="Calibri"/>
      <family val="2"/>
      <charset val="238"/>
    </font>
    <font>
      <b/>
      <sz val="8"/>
      <color indexed="9"/>
      <name val="Calibri"/>
      <family val="2"/>
      <charset val="238"/>
    </font>
    <font>
      <b/>
      <sz val="10"/>
      <color indexed="10"/>
      <name val="Calibri"/>
      <family val="2"/>
      <charset val="238"/>
    </font>
    <font>
      <b/>
      <sz val="9"/>
      <color indexed="10"/>
      <name val="Calibri"/>
      <family val="2"/>
      <charset val="238"/>
    </font>
    <font>
      <b/>
      <sz val="11"/>
      <color indexed="8"/>
      <name val="Calibri"/>
      <family val="2"/>
      <charset val="238"/>
    </font>
    <font>
      <b/>
      <sz val="11"/>
      <color indexed="51"/>
      <name val="Calibri"/>
      <family val="2"/>
      <charset val="238"/>
    </font>
    <font>
      <sz val="11"/>
      <color theme="0"/>
      <name val="Calibri"/>
      <family val="2"/>
      <charset val="238"/>
      <scheme val="minor"/>
    </font>
    <font>
      <u/>
      <sz val="11"/>
      <color theme="10"/>
      <name val="Calibri"/>
      <family val="2"/>
      <charset val="238"/>
    </font>
    <font>
      <b/>
      <sz val="11"/>
      <color theme="0"/>
      <name val="Calibri"/>
      <family val="2"/>
      <charset val="238"/>
      <scheme val="minor"/>
    </font>
    <font>
      <b/>
      <sz val="11"/>
      <color theme="1"/>
      <name val="Calibri"/>
      <family val="2"/>
      <charset val="238"/>
      <scheme val="minor"/>
    </font>
    <font>
      <sz val="11"/>
      <color theme="0" tint="-4.9989318521683403E-2"/>
      <name val="Calibri"/>
      <family val="2"/>
      <charset val="23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13"/>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42"/>
        <bgColor indexed="64"/>
      </patternFill>
    </fill>
    <fill>
      <patternFill patternType="solid">
        <fgColor indexed="6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thin">
        <color indexed="64"/>
      </left>
      <right/>
      <top/>
      <bottom style="hair">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hair">
        <color indexed="64"/>
      </left>
      <right style="thin">
        <color indexed="64"/>
      </right>
      <top style="hair">
        <color indexed="64"/>
      </top>
      <bottom/>
      <diagonal/>
    </border>
    <border>
      <left/>
      <right style="medium">
        <color indexed="64"/>
      </right>
      <top/>
      <bottom style="medium">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s>
  <cellStyleXfs count="5">
    <xf numFmtId="0" fontId="0" fillId="0" borderId="0"/>
    <xf numFmtId="43" fontId="37" fillId="0" borderId="0" applyFont="0" applyFill="0" applyBorder="0" applyAlignment="0" applyProtection="0"/>
    <xf numFmtId="0" fontId="69" fillId="0" borderId="0" applyNumberFormat="0" applyFill="0" applyBorder="0" applyAlignment="0" applyProtection="0">
      <alignment vertical="top"/>
      <protection locked="0"/>
    </xf>
    <xf numFmtId="0" fontId="2" fillId="0" borderId="0"/>
    <xf numFmtId="9" fontId="37" fillId="0" borderId="0" applyFont="0" applyFill="0" applyBorder="0" applyAlignment="0" applyProtection="0"/>
  </cellStyleXfs>
  <cellXfs count="2179">
    <xf numFmtId="0" fontId="0" fillId="0" borderId="0" xfId="0"/>
    <xf numFmtId="0" fontId="0" fillId="0" borderId="0" xfId="0" applyProtection="1">
      <protection hidden="1"/>
    </xf>
    <xf numFmtId="0" fontId="0" fillId="2" borderId="0" xfId="0" applyFill="1" applyProtection="1">
      <protection hidden="1"/>
    </xf>
    <xf numFmtId="0" fontId="20" fillId="2" borderId="0" xfId="0" applyFont="1" applyFill="1" applyProtection="1">
      <protection hidden="1"/>
    </xf>
    <xf numFmtId="0" fontId="41" fillId="2" borderId="0" xfId="0" applyFont="1" applyFill="1" applyProtection="1">
      <protection hidden="1"/>
    </xf>
    <xf numFmtId="0" fontId="14" fillId="2" borderId="0" xfId="0" applyFont="1" applyFill="1" applyProtection="1">
      <protection hidden="1"/>
    </xf>
    <xf numFmtId="0" fontId="5" fillId="2" borderId="0" xfId="0" applyFont="1" applyFill="1" applyProtection="1">
      <protection hidden="1"/>
    </xf>
    <xf numFmtId="0" fontId="4" fillId="2" borderId="0" xfId="0" applyFont="1" applyFill="1" applyProtection="1">
      <protection hidden="1"/>
    </xf>
    <xf numFmtId="49" fontId="0" fillId="2" borderId="0" xfId="0" applyNumberFormat="1" applyFill="1" applyAlignment="1" applyProtection="1">
      <alignment horizontal="center"/>
      <protection hidden="1"/>
    </xf>
    <xf numFmtId="0" fontId="4" fillId="0" borderId="0" xfId="0" applyFont="1" applyProtection="1">
      <protection hidden="1"/>
    </xf>
    <xf numFmtId="0" fontId="0" fillId="2" borderId="0" xfId="0" applyFill="1" applyAlignment="1" applyProtection="1">
      <alignment vertical="top"/>
      <protection hidden="1"/>
    </xf>
    <xf numFmtId="0" fontId="0" fillId="2" borderId="0" xfId="0" applyFill="1" applyAlignment="1" applyProtection="1">
      <alignment vertical="top" wrapText="1"/>
      <protection hidden="1"/>
    </xf>
    <xf numFmtId="0" fontId="0" fillId="2" borderId="0" xfId="0" applyFill="1" applyAlignment="1" applyProtection="1">
      <protection hidden="1"/>
    </xf>
    <xf numFmtId="0" fontId="9" fillId="2" borderId="0" xfId="0" applyFont="1" applyFill="1" applyProtection="1">
      <protection hidden="1"/>
    </xf>
    <xf numFmtId="0" fontId="0" fillId="2" borderId="0" xfId="0" applyFont="1" applyFill="1" applyProtection="1">
      <protection hidden="1"/>
    </xf>
    <xf numFmtId="0" fontId="0" fillId="2" borderId="0" xfId="0" applyFill="1" applyBorder="1" applyAlignment="1" applyProtection="1">
      <alignment horizontal="left"/>
      <protection hidden="1"/>
    </xf>
    <xf numFmtId="0" fontId="10" fillId="2" borderId="0" xfId="0" applyFont="1" applyFill="1" applyProtection="1">
      <protection hidden="1"/>
    </xf>
    <xf numFmtId="0" fontId="7" fillId="2" borderId="0" xfId="0" applyFont="1" applyFill="1" applyProtection="1">
      <protection hidden="1"/>
    </xf>
    <xf numFmtId="0" fontId="5" fillId="3" borderId="0" xfId="0" applyFont="1" applyFill="1" applyProtection="1">
      <protection hidden="1"/>
    </xf>
    <xf numFmtId="0" fontId="0" fillId="2" borderId="0" xfId="0" applyFill="1" applyProtection="1">
      <protection locked="0" hidden="1"/>
    </xf>
    <xf numFmtId="0" fontId="0" fillId="2" borderId="0" xfId="0" applyFont="1" applyFill="1" applyProtection="1">
      <protection locked="0" hidden="1"/>
    </xf>
    <xf numFmtId="0" fontId="43" fillId="4" borderId="1" xfId="0" applyFont="1" applyFill="1" applyBorder="1" applyProtection="1">
      <protection hidden="1"/>
    </xf>
    <xf numFmtId="0" fontId="43" fillId="4" borderId="2" xfId="0" applyFont="1" applyFill="1" applyBorder="1" applyProtection="1">
      <protection hidden="1"/>
    </xf>
    <xf numFmtId="0" fontId="43" fillId="4" borderId="3" xfId="0" applyFont="1" applyFill="1" applyBorder="1" applyProtection="1">
      <protection hidden="1"/>
    </xf>
    <xf numFmtId="0" fontId="43" fillId="4" borderId="4" xfId="0" applyFont="1" applyFill="1" applyBorder="1" applyProtection="1">
      <protection hidden="1"/>
    </xf>
    <xf numFmtId="0" fontId="43" fillId="4" borderId="5" xfId="0" applyFont="1" applyFill="1" applyBorder="1" applyProtection="1">
      <protection hidden="1"/>
    </xf>
    <xf numFmtId="0" fontId="43" fillId="4" borderId="6" xfId="0" applyFont="1" applyFill="1" applyBorder="1" applyProtection="1">
      <protection hidden="1"/>
    </xf>
    <xf numFmtId="0" fontId="44" fillId="4" borderId="1" xfId="0" applyFont="1" applyFill="1" applyBorder="1" applyProtection="1">
      <protection hidden="1"/>
    </xf>
    <xf numFmtId="14" fontId="43" fillId="4" borderId="2" xfId="0" applyNumberFormat="1" applyFont="1" applyFill="1" applyBorder="1" applyAlignment="1" applyProtection="1">
      <protection hidden="1"/>
    </xf>
    <xf numFmtId="0" fontId="43" fillId="4" borderId="2" xfId="0" applyFont="1" applyFill="1" applyBorder="1" applyAlignment="1" applyProtection="1">
      <protection hidden="1"/>
    </xf>
    <xf numFmtId="0" fontId="42" fillId="2" borderId="0" xfId="0" applyFont="1" applyFill="1" applyProtection="1">
      <protection hidden="1"/>
    </xf>
    <xf numFmtId="0" fontId="0" fillId="2" borderId="0" xfId="0" applyFont="1" applyFill="1" applyAlignment="1" applyProtection="1">
      <protection hidden="1"/>
    </xf>
    <xf numFmtId="0" fontId="45" fillId="2" borderId="0" xfId="0" applyFont="1" applyFill="1" applyProtection="1">
      <protection hidden="1"/>
    </xf>
    <xf numFmtId="0" fontId="46" fillId="2" borderId="0" xfId="0" applyFont="1" applyFill="1" applyProtection="1">
      <protection hidden="1"/>
    </xf>
    <xf numFmtId="0" fontId="42" fillId="3" borderId="0" xfId="0" applyFont="1" applyFill="1" applyAlignment="1" applyProtection="1">
      <alignment horizontal="center" vertical="center"/>
      <protection hidden="1"/>
    </xf>
    <xf numFmtId="0" fontId="42" fillId="2" borderId="0" xfId="0" applyFont="1" applyFill="1" applyAlignment="1" applyProtection="1">
      <alignment horizontal="center" vertical="center"/>
      <protection hidden="1"/>
    </xf>
    <xf numFmtId="0" fontId="47" fillId="2" borderId="0" xfId="0" applyFont="1" applyFill="1" applyProtection="1">
      <protection hidden="1"/>
    </xf>
    <xf numFmtId="14" fontId="3" fillId="2" borderId="0" xfId="0" applyNumberFormat="1" applyFont="1" applyFill="1" applyAlignment="1" applyProtection="1">
      <alignment horizontal="center"/>
      <protection hidden="1"/>
    </xf>
    <xf numFmtId="0" fontId="3" fillId="2" borderId="0" xfId="0" applyFont="1" applyFill="1" applyAlignment="1" applyProtection="1">
      <alignment horizontal="center"/>
      <protection hidden="1"/>
    </xf>
    <xf numFmtId="0" fontId="11" fillId="2" borderId="0" xfId="0" applyFont="1" applyFill="1" applyProtection="1">
      <protection locked="0" hidden="1"/>
    </xf>
    <xf numFmtId="0" fontId="48" fillId="2" borderId="0" xfId="0" applyFont="1" applyFill="1" applyProtection="1">
      <protection hidden="1"/>
    </xf>
    <xf numFmtId="0" fontId="49" fillId="2" borderId="0" xfId="0" applyFont="1" applyFill="1" applyProtection="1">
      <protection hidden="1"/>
    </xf>
    <xf numFmtId="0" fontId="42" fillId="2" borderId="0" xfId="0" applyFont="1" applyFill="1" applyAlignment="1" applyProtection="1">
      <protection hidden="1"/>
    </xf>
    <xf numFmtId="0" fontId="15" fillId="2" borderId="0" xfId="0" applyFont="1" applyFill="1" applyProtection="1">
      <protection hidden="1"/>
    </xf>
    <xf numFmtId="0" fontId="42" fillId="2" borderId="0" xfId="0" applyFont="1" applyFill="1" applyAlignment="1" applyProtection="1">
      <alignment horizontal="center"/>
      <protection hidden="1"/>
    </xf>
    <xf numFmtId="0" fontId="33" fillId="2" borderId="0" xfId="0" applyFont="1" applyFill="1" applyProtection="1">
      <protection hidden="1"/>
    </xf>
    <xf numFmtId="0" fontId="42" fillId="2" borderId="0" xfId="0" applyFont="1" applyFill="1" applyBorder="1" applyProtection="1">
      <protection hidden="1"/>
    </xf>
    <xf numFmtId="0" fontId="50" fillId="2" borderId="0" xfId="0" applyFont="1" applyFill="1" applyProtection="1">
      <protection hidden="1"/>
    </xf>
    <xf numFmtId="0" fontId="42" fillId="5" borderId="0" xfId="0" applyFont="1" applyFill="1" applyProtection="1">
      <protection hidden="1"/>
    </xf>
    <xf numFmtId="0" fontId="45" fillId="5" borderId="0" xfId="0" applyFont="1" applyFill="1" applyAlignment="1" applyProtection="1">
      <alignment horizontal="center" vertical="center"/>
      <protection hidden="1"/>
    </xf>
    <xf numFmtId="0" fontId="42" fillId="5" borderId="0" xfId="0" applyFont="1" applyFill="1" applyAlignment="1" applyProtection="1">
      <alignment horizontal="center" vertical="center"/>
      <protection hidden="1"/>
    </xf>
    <xf numFmtId="0" fontId="31" fillId="5" borderId="0" xfId="0" applyFont="1" applyFill="1" applyBorder="1" applyAlignment="1" applyProtection="1">
      <alignment horizontal="center" vertical="center"/>
      <protection hidden="1"/>
    </xf>
    <xf numFmtId="0" fontId="42" fillId="6" borderId="0" xfId="0" applyFont="1" applyFill="1" applyProtection="1">
      <protection hidden="1"/>
    </xf>
    <xf numFmtId="0" fontId="42" fillId="7" borderId="0" xfId="0" applyFont="1" applyFill="1" applyProtection="1">
      <protection hidden="1"/>
    </xf>
    <xf numFmtId="0" fontId="51" fillId="2" borderId="0" xfId="0" applyFont="1" applyFill="1" applyProtection="1">
      <protection hidden="1"/>
    </xf>
    <xf numFmtId="0" fontId="52" fillId="2" borderId="0" xfId="0" applyFont="1" applyFill="1" applyProtection="1">
      <protection hidden="1"/>
    </xf>
    <xf numFmtId="0" fontId="13" fillId="2" borderId="0" xfId="0" applyFont="1" applyFill="1" applyAlignment="1" applyProtection="1">
      <alignment horizontal="left" shrinkToFit="1"/>
      <protection hidden="1"/>
    </xf>
    <xf numFmtId="0" fontId="0" fillId="2" borderId="7" xfId="0" applyFill="1" applyBorder="1" applyProtection="1">
      <protection hidden="1"/>
    </xf>
    <xf numFmtId="0" fontId="0" fillId="2" borderId="0" xfId="0" applyFill="1" applyBorder="1" applyProtection="1">
      <protection hidden="1"/>
    </xf>
    <xf numFmtId="0" fontId="13" fillId="2" borderId="0" xfId="0" applyFont="1" applyFill="1" applyBorder="1" applyAlignment="1" applyProtection="1">
      <protection hidden="1"/>
    </xf>
    <xf numFmtId="0" fontId="0" fillId="2" borderId="8" xfId="0" applyFill="1" applyBorder="1" applyProtection="1">
      <protection hidden="1"/>
    </xf>
    <xf numFmtId="0" fontId="0" fillId="2" borderId="9" xfId="0" applyFill="1" applyBorder="1" applyProtection="1">
      <protection hidden="1"/>
    </xf>
    <xf numFmtId="0" fontId="13" fillId="2" borderId="9" xfId="0" applyFont="1" applyFill="1" applyBorder="1" applyAlignment="1" applyProtection="1">
      <protection hidden="1"/>
    </xf>
    <xf numFmtId="0" fontId="13" fillId="2" borderId="0" xfId="0" applyFont="1" applyFill="1" applyAlignment="1" applyProtection="1">
      <protection hidden="1"/>
    </xf>
    <xf numFmtId="0" fontId="20" fillId="2" borderId="0" xfId="0" applyFont="1" applyFill="1" applyAlignment="1" applyProtection="1">
      <protection hidden="1"/>
    </xf>
    <xf numFmtId="14" fontId="13" fillId="2" borderId="0" xfId="0" applyNumberFormat="1" applyFont="1" applyFill="1" applyAlignment="1" applyProtection="1">
      <protection hidden="1"/>
    </xf>
    <xf numFmtId="0" fontId="0" fillId="0" borderId="0" xfId="0" applyFont="1" applyProtection="1">
      <protection hidden="1"/>
    </xf>
    <xf numFmtId="0" fontId="4" fillId="2" borderId="0" xfId="0" applyFont="1" applyFill="1" applyBorder="1" applyAlignment="1" applyProtection="1">
      <alignment horizontal="left"/>
      <protection hidden="1"/>
    </xf>
    <xf numFmtId="0" fontId="0" fillId="2" borderId="10" xfId="0" applyFill="1" applyBorder="1" applyProtection="1">
      <protection hidden="1"/>
    </xf>
    <xf numFmtId="0" fontId="0" fillId="2" borderId="11" xfId="0" applyFill="1" applyBorder="1" applyProtection="1">
      <protection hidden="1"/>
    </xf>
    <xf numFmtId="0" fontId="5" fillId="2" borderId="10" xfId="0" applyFont="1" applyFill="1" applyBorder="1" applyProtection="1">
      <protection hidden="1"/>
    </xf>
    <xf numFmtId="0" fontId="5" fillId="2" borderId="11" xfId="0" applyFont="1" applyFill="1" applyBorder="1" applyProtection="1">
      <protection hidden="1"/>
    </xf>
    <xf numFmtId="0" fontId="5" fillId="2" borderId="12" xfId="0" applyFont="1" applyFill="1" applyBorder="1" applyProtection="1">
      <protection hidden="1"/>
    </xf>
    <xf numFmtId="0" fontId="6" fillId="2" borderId="0" xfId="0" applyFont="1" applyFill="1" applyBorder="1" applyAlignment="1" applyProtection="1">
      <alignment horizontal="left"/>
      <protection hidden="1"/>
    </xf>
    <xf numFmtId="0" fontId="45" fillId="5" borderId="0" xfId="0" applyFont="1" applyFill="1" applyProtection="1">
      <protection hidden="1"/>
    </xf>
    <xf numFmtId="0" fontId="53" fillId="2" borderId="0" xfId="0" applyFont="1" applyFill="1" applyAlignment="1" applyProtection="1">
      <alignment horizontal="center"/>
      <protection hidden="1"/>
    </xf>
    <xf numFmtId="0" fontId="38" fillId="2" borderId="0" xfId="0" applyFont="1" applyFill="1" applyProtection="1">
      <protection hidden="1"/>
    </xf>
    <xf numFmtId="0" fontId="53" fillId="8" borderId="0" xfId="0" applyFont="1" applyFill="1" applyAlignment="1" applyProtection="1">
      <alignment horizontal="left"/>
      <protection hidden="1"/>
    </xf>
    <xf numFmtId="0" fontId="53" fillId="8" borderId="0" xfId="0" applyFont="1" applyFill="1" applyAlignment="1" applyProtection="1">
      <alignment horizontal="center"/>
      <protection hidden="1"/>
    </xf>
    <xf numFmtId="16" fontId="53" fillId="8" borderId="0" xfId="0" applyNumberFormat="1" applyFont="1" applyFill="1" applyAlignment="1" applyProtection="1">
      <alignment horizontal="center"/>
      <protection hidden="1"/>
    </xf>
    <xf numFmtId="0" fontId="54" fillId="2" borderId="0" xfId="0" applyFont="1" applyFill="1" applyProtection="1">
      <protection hidden="1"/>
    </xf>
    <xf numFmtId="0" fontId="38" fillId="2" borderId="0" xfId="0" applyFont="1" applyFill="1" applyAlignment="1" applyProtection="1">
      <protection hidden="1"/>
    </xf>
    <xf numFmtId="0" fontId="55" fillId="2" borderId="0" xfId="0" applyFont="1" applyFill="1" applyProtection="1">
      <protection hidden="1"/>
    </xf>
    <xf numFmtId="0" fontId="38" fillId="2" borderId="0" xfId="0" applyFont="1" applyFill="1" applyAlignment="1" applyProtection="1">
      <alignment horizontal="center"/>
      <protection hidden="1"/>
    </xf>
    <xf numFmtId="0" fontId="56" fillId="2" borderId="0" xfId="0" applyFont="1" applyFill="1" applyProtection="1">
      <protection hidden="1"/>
    </xf>
    <xf numFmtId="0" fontId="38" fillId="2" borderId="0" xfId="0" applyFont="1" applyFill="1" applyBorder="1" applyProtection="1">
      <protection hidden="1"/>
    </xf>
    <xf numFmtId="0" fontId="39" fillId="8" borderId="0" xfId="0" applyFont="1" applyFill="1" applyAlignment="1" applyProtection="1">
      <alignment horizontal="center" vertical="center"/>
      <protection hidden="1"/>
    </xf>
    <xf numFmtId="0" fontId="0" fillId="2" borderId="0" xfId="0" applyFill="1" applyAlignment="1" applyProtection="1">
      <alignment vertical="center"/>
      <protection hidden="1"/>
    </xf>
    <xf numFmtId="0" fontId="20" fillId="0" borderId="10" xfId="0" applyFont="1" applyFill="1" applyBorder="1" applyAlignment="1" applyProtection="1">
      <alignment horizontal="center" shrinkToFit="1"/>
      <protection hidden="1"/>
    </xf>
    <xf numFmtId="0" fontId="0" fillId="2" borderId="0" xfId="0" applyFill="1" applyAlignment="1" applyProtection="1">
      <alignment horizontal="center"/>
      <protection hidden="1"/>
    </xf>
    <xf numFmtId="0" fontId="7" fillId="2" borderId="0" xfId="0" applyFont="1" applyFill="1" applyBorder="1" applyAlignment="1" applyProtection="1">
      <alignment horizontal="center"/>
      <protection hidden="1"/>
    </xf>
    <xf numFmtId="0" fontId="0" fillId="2" borderId="13" xfId="0" applyFill="1" applyBorder="1" applyProtection="1">
      <protection hidden="1"/>
    </xf>
    <xf numFmtId="0" fontId="0" fillId="2" borderId="14" xfId="0" applyFill="1" applyBorder="1" applyProtection="1">
      <protection hidden="1"/>
    </xf>
    <xf numFmtId="0" fontId="0" fillId="2" borderId="15" xfId="0" applyFill="1" applyBorder="1" applyProtection="1">
      <protection hidden="1"/>
    </xf>
    <xf numFmtId="0" fontId="0" fillId="2" borderId="16" xfId="0" applyFill="1" applyBorder="1" applyProtection="1">
      <protection hidden="1"/>
    </xf>
    <xf numFmtId="0" fontId="17" fillId="2" borderId="0" xfId="0" applyFont="1" applyFill="1" applyAlignment="1" applyProtection="1">
      <protection hidden="1"/>
    </xf>
    <xf numFmtId="0" fontId="20" fillId="2" borderId="0" xfId="0" applyFont="1" applyFill="1" applyBorder="1" applyProtection="1">
      <protection hidden="1"/>
    </xf>
    <xf numFmtId="0" fontId="8" fillId="2" borderId="0" xfId="0" applyFont="1" applyFill="1" applyBorder="1" applyProtection="1">
      <protection hidden="1"/>
    </xf>
    <xf numFmtId="0" fontId="0" fillId="2" borderId="17" xfId="0" applyFill="1" applyBorder="1" applyProtection="1">
      <protection hidden="1"/>
    </xf>
    <xf numFmtId="0" fontId="17" fillId="2" borderId="0" xfId="0" applyFont="1" applyFill="1" applyAlignment="1" applyProtection="1">
      <alignment vertical="top"/>
      <protection hidden="1"/>
    </xf>
    <xf numFmtId="0" fontId="0" fillId="4" borderId="0" xfId="0" applyFill="1" applyProtection="1">
      <protection hidden="1"/>
    </xf>
    <xf numFmtId="14" fontId="13" fillId="2" borderId="0" xfId="0" applyNumberFormat="1" applyFont="1" applyFill="1" applyBorder="1" applyAlignment="1" applyProtection="1">
      <alignment horizontal="center" shrinkToFit="1"/>
      <protection hidden="1"/>
    </xf>
    <xf numFmtId="0" fontId="11" fillId="2" borderId="0" xfId="0" applyFont="1" applyFill="1" applyBorder="1" applyAlignment="1" applyProtection="1">
      <alignment horizontal="center" vertical="center"/>
      <protection hidden="1"/>
    </xf>
    <xf numFmtId="0" fontId="0" fillId="2" borderId="0" xfId="0" applyFill="1" applyBorder="1" applyAlignment="1" applyProtection="1">
      <alignment horizontal="center"/>
      <protection hidden="1"/>
    </xf>
    <xf numFmtId="0" fontId="47" fillId="2" borderId="0" xfId="0" applyFont="1" applyFill="1" applyBorder="1" applyProtection="1">
      <protection hidden="1"/>
    </xf>
    <xf numFmtId="0" fontId="39" fillId="4" borderId="0" xfId="0" applyFont="1" applyFill="1" applyProtection="1">
      <protection hidden="1"/>
    </xf>
    <xf numFmtId="0" fontId="42" fillId="3" borderId="0" xfId="0" applyFont="1" applyFill="1" applyProtection="1">
      <protection hidden="1"/>
    </xf>
    <xf numFmtId="0" fontId="48" fillId="3" borderId="0" xfId="0" applyFont="1" applyFill="1" applyProtection="1">
      <protection hidden="1"/>
    </xf>
    <xf numFmtId="0" fontId="49" fillId="3" borderId="0" xfId="0" applyFont="1" applyFill="1" applyProtection="1">
      <protection hidden="1"/>
    </xf>
    <xf numFmtId="0" fontId="59" fillId="3" borderId="0" xfId="2" applyFont="1" applyFill="1" applyAlignment="1" applyProtection="1">
      <protection hidden="1"/>
    </xf>
    <xf numFmtId="0" fontId="60" fillId="3" borderId="0" xfId="0" applyFont="1" applyFill="1" applyProtection="1">
      <protection hidden="1"/>
    </xf>
    <xf numFmtId="0" fontId="0" fillId="2" borderId="0" xfId="0" applyFill="1" applyAlignment="1" applyProtection="1">
      <alignment vertical="center" shrinkToFit="1"/>
      <protection hidden="1"/>
    </xf>
    <xf numFmtId="0" fontId="41" fillId="2" borderId="0" xfId="0" applyFont="1" applyFill="1" applyAlignment="1" applyProtection="1">
      <alignment horizontal="center" vertical="center"/>
      <protection locked="0" hidden="1"/>
    </xf>
    <xf numFmtId="0" fontId="0" fillId="2" borderId="0" xfId="0" applyFill="1" applyAlignment="1" applyProtection="1">
      <alignment horizontal="left" vertical="center" shrinkToFit="1"/>
      <protection hidden="1"/>
    </xf>
    <xf numFmtId="0" fontId="51" fillId="3" borderId="0" xfId="0" applyFont="1" applyFill="1" applyProtection="1">
      <protection hidden="1"/>
    </xf>
    <xf numFmtId="0" fontId="51" fillId="8" borderId="0" xfId="0" applyFont="1" applyFill="1" applyProtection="1">
      <protection hidden="1"/>
    </xf>
    <xf numFmtId="0" fontId="51" fillId="2" borderId="0" xfId="0" applyFont="1" applyFill="1"/>
    <xf numFmtId="0" fontId="61" fillId="8" borderId="0" xfId="0" applyFont="1" applyFill="1" applyAlignment="1" applyProtection="1">
      <alignment horizontal="left"/>
      <protection hidden="1"/>
    </xf>
    <xf numFmtId="0" fontId="51" fillId="2" borderId="18" xfId="0" applyFont="1" applyFill="1" applyBorder="1" applyProtection="1">
      <protection hidden="1"/>
    </xf>
    <xf numFmtId="0" fontId="51" fillId="5" borderId="18" xfId="0" applyFont="1" applyFill="1" applyBorder="1" applyProtection="1">
      <protection hidden="1"/>
    </xf>
    <xf numFmtId="0" fontId="62" fillId="2" borderId="0" xfId="0" applyFont="1" applyFill="1" applyAlignment="1" applyProtection="1">
      <alignment horizontal="left" vertical="top" wrapText="1"/>
      <protection hidden="1"/>
    </xf>
    <xf numFmtId="0" fontId="39" fillId="4" borderId="0" xfId="0" applyFont="1" applyFill="1" applyAlignment="1" applyProtection="1">
      <protection hidden="1"/>
    </xf>
    <xf numFmtId="0" fontId="46" fillId="2" borderId="0" xfId="0" applyFont="1" applyFill="1" applyAlignment="1" applyProtection="1">
      <alignment horizontal="right"/>
      <protection hidden="1"/>
    </xf>
    <xf numFmtId="14" fontId="13" fillId="9" borderId="19"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0" fontId="0" fillId="4" borderId="2" xfId="0" applyFill="1" applyBorder="1" applyProtection="1">
      <protection hidden="1"/>
    </xf>
    <xf numFmtId="0" fontId="63" fillId="4" borderId="2" xfId="0" applyFont="1" applyFill="1" applyBorder="1" applyAlignment="1" applyProtection="1">
      <protection hidden="1"/>
    </xf>
    <xf numFmtId="0" fontId="0" fillId="4" borderId="4" xfId="0" applyFill="1" applyBorder="1" applyProtection="1">
      <protection hidden="1"/>
    </xf>
    <xf numFmtId="0" fontId="0" fillId="4" borderId="6" xfId="0" applyFill="1" applyBorder="1" applyProtection="1">
      <protection hidden="1"/>
    </xf>
    <xf numFmtId="0" fontId="63" fillId="4" borderId="2" xfId="0" applyFont="1" applyFill="1" applyBorder="1" applyAlignment="1" applyProtection="1">
      <alignment horizontal="left"/>
      <protection hidden="1"/>
    </xf>
    <xf numFmtId="0" fontId="40" fillId="2" borderId="0" xfId="0" applyFont="1" applyFill="1" applyAlignment="1" applyProtection="1">
      <protection hidden="1"/>
    </xf>
    <xf numFmtId="0" fontId="40" fillId="2" borderId="0" xfId="0" applyFont="1" applyFill="1" applyAlignment="1" applyProtection="1">
      <alignment horizontal="left"/>
      <protection hidden="1"/>
    </xf>
    <xf numFmtId="0" fontId="40" fillId="2" borderId="0" xfId="0" applyFont="1" applyFill="1" applyAlignment="1" applyProtection="1">
      <alignment horizontal="center"/>
      <protection hidden="1"/>
    </xf>
    <xf numFmtId="0" fontId="3" fillId="2" borderId="0" xfId="0" applyFont="1" applyFill="1" applyProtection="1">
      <protection hidden="1"/>
    </xf>
    <xf numFmtId="0" fontId="45" fillId="2" borderId="0" xfId="0" applyFont="1" applyFill="1" applyAlignment="1" applyProtection="1">
      <alignment horizontal="center" vertical="center"/>
      <protection hidden="1"/>
    </xf>
    <xf numFmtId="0" fontId="0" fillId="3" borderId="0" xfId="0" applyFill="1" applyProtection="1">
      <protection hidden="1"/>
    </xf>
    <xf numFmtId="0" fontId="4" fillId="3" borderId="0" xfId="0" applyFont="1" applyFill="1" applyProtection="1">
      <protection hidden="1"/>
    </xf>
    <xf numFmtId="0" fontId="0" fillId="2" borderId="0" xfId="0" applyFill="1" applyProtection="1">
      <protection hidden="1"/>
    </xf>
    <xf numFmtId="0" fontId="0" fillId="2" borderId="19" xfId="0" applyFill="1" applyBorder="1" applyAlignment="1" applyProtection="1">
      <alignment horizontal="left"/>
      <protection hidden="1"/>
    </xf>
    <xf numFmtId="0" fontId="0" fillId="2" borderId="0" xfId="0" applyFill="1" applyAlignment="1" applyProtection="1">
      <alignment horizontal="left"/>
      <protection hidden="1"/>
    </xf>
    <xf numFmtId="0" fontId="67" fillId="10" borderId="0" xfId="0" applyFont="1" applyFill="1" applyProtection="1">
      <protection hidden="1"/>
    </xf>
    <xf numFmtId="0" fontId="0" fillId="11" borderId="0" xfId="0" applyFill="1" applyProtection="1">
      <protection hidden="1"/>
    </xf>
    <xf numFmtId="0" fontId="5" fillId="11" borderId="0" xfId="0" applyFont="1" applyFill="1" applyAlignment="1" applyProtection="1">
      <alignment horizontal="center" vertical="center"/>
      <protection hidden="1"/>
    </xf>
    <xf numFmtId="0" fontId="4" fillId="12" borderId="0" xfId="0" applyFont="1" applyFill="1" applyAlignment="1" applyProtection="1">
      <alignment horizontal="center" vertical="center"/>
      <protection locked="0" hidden="1"/>
    </xf>
    <xf numFmtId="0" fontId="71" fillId="12" borderId="0" xfId="0" applyFont="1" applyFill="1" applyAlignment="1" applyProtection="1">
      <alignment horizontal="center"/>
      <protection locked="0"/>
    </xf>
    <xf numFmtId="0" fontId="72" fillId="13" borderId="0" xfId="0" applyFont="1" applyFill="1" applyProtection="1">
      <protection hidden="1"/>
    </xf>
    <xf numFmtId="0" fontId="4" fillId="2" borderId="0" xfId="0" applyFont="1" applyFill="1" applyAlignment="1" applyProtection="1">
      <alignment horizontal="center"/>
      <protection hidden="1"/>
    </xf>
    <xf numFmtId="0" fontId="4" fillId="2" borderId="0" xfId="0" applyFont="1" applyFill="1" applyAlignment="1" applyProtection="1">
      <alignment horizontal="center" vertical="center"/>
      <protection hidden="1"/>
    </xf>
    <xf numFmtId="0" fontId="4" fillId="2" borderId="0" xfId="0" applyFont="1" applyFill="1" applyAlignment="1" applyProtection="1">
      <protection hidden="1"/>
    </xf>
    <xf numFmtId="0" fontId="4" fillId="13" borderId="16" xfId="0" applyFont="1" applyFill="1" applyBorder="1" applyAlignment="1" applyProtection="1">
      <alignment horizontal="center"/>
      <protection hidden="1"/>
    </xf>
    <xf numFmtId="0" fontId="4" fillId="13" borderId="13" xfId="0" applyFont="1" applyFill="1" applyBorder="1" applyAlignment="1" applyProtection="1">
      <alignment horizontal="center"/>
      <protection hidden="1"/>
    </xf>
    <xf numFmtId="0" fontId="4" fillId="13" borderId="14" xfId="0" applyFont="1" applyFill="1" applyBorder="1" applyAlignment="1" applyProtection="1">
      <alignment horizontal="center"/>
      <protection hidden="1"/>
    </xf>
    <xf numFmtId="0" fontId="4" fillId="13" borderId="0" xfId="0" applyFont="1" applyFill="1" applyBorder="1" applyAlignment="1" applyProtection="1">
      <protection hidden="1"/>
    </xf>
    <xf numFmtId="0" fontId="4" fillId="2" borderId="0" xfId="0" applyFont="1" applyFill="1" applyBorder="1" applyAlignment="1" applyProtection="1">
      <alignment horizontal="center"/>
      <protection hidden="1"/>
    </xf>
    <xf numFmtId="0" fontId="4" fillId="13" borderId="0" xfId="0" applyFont="1" applyFill="1" applyBorder="1" applyAlignment="1" applyProtection="1">
      <alignment horizontal="center" vertical="center"/>
      <protection hidden="1"/>
    </xf>
    <xf numFmtId="0" fontId="4" fillId="13" borderId="0" xfId="0" applyFont="1" applyFill="1" applyBorder="1" applyAlignment="1" applyProtection="1">
      <alignment horizontal="center"/>
      <protection hidden="1"/>
    </xf>
    <xf numFmtId="0" fontId="4" fillId="13" borderId="15" xfId="0" applyFont="1" applyFill="1" applyBorder="1" applyAlignment="1" applyProtection="1">
      <alignment horizontal="center"/>
      <protection hidden="1"/>
    </xf>
    <xf numFmtId="0" fontId="20" fillId="13" borderId="8" xfId="0" applyFont="1" applyFill="1" applyBorder="1" applyProtection="1">
      <protection hidden="1"/>
    </xf>
    <xf numFmtId="0" fontId="20" fillId="13" borderId="9" xfId="0" applyFont="1" applyFill="1" applyBorder="1" applyProtection="1">
      <protection hidden="1"/>
    </xf>
    <xf numFmtId="0" fontId="20" fillId="13" borderId="9" xfId="0" applyFont="1" applyFill="1" applyBorder="1" applyAlignment="1" applyProtection="1">
      <protection hidden="1"/>
    </xf>
    <xf numFmtId="0" fontId="4" fillId="13" borderId="9" xfId="0" applyFont="1" applyFill="1" applyBorder="1" applyAlignment="1" applyProtection="1">
      <alignment horizontal="center" vertical="center"/>
      <protection hidden="1"/>
    </xf>
    <xf numFmtId="0" fontId="20" fillId="13" borderId="9" xfId="0" applyFont="1" applyFill="1" applyBorder="1" applyAlignment="1" applyProtection="1">
      <alignment horizontal="right"/>
      <protection hidden="1"/>
    </xf>
    <xf numFmtId="0" fontId="0" fillId="13" borderId="9" xfId="0" applyFill="1" applyBorder="1" applyProtection="1">
      <protection hidden="1"/>
    </xf>
    <xf numFmtId="0" fontId="0" fillId="13" borderId="17" xfId="0" applyFill="1" applyBorder="1" applyProtection="1">
      <protection hidden="1"/>
    </xf>
    <xf numFmtId="0" fontId="34" fillId="13" borderId="7" xfId="0" applyFont="1" applyFill="1" applyBorder="1" applyAlignment="1" applyProtection="1">
      <alignment vertical="center"/>
      <protection hidden="1"/>
    </xf>
    <xf numFmtId="0" fontId="20" fillId="13" borderId="0" xfId="0" applyFont="1" applyFill="1" applyBorder="1" applyProtection="1">
      <protection hidden="1"/>
    </xf>
    <xf numFmtId="0" fontId="0" fillId="13" borderId="15" xfId="0" applyFill="1" applyBorder="1" applyProtection="1">
      <protection hidden="1"/>
    </xf>
    <xf numFmtId="0" fontId="20" fillId="13" borderId="7" xfId="0" applyFont="1" applyFill="1" applyBorder="1" applyProtection="1">
      <protection hidden="1"/>
    </xf>
    <xf numFmtId="0" fontId="4" fillId="2" borderId="0" xfId="0" applyFont="1" applyFill="1" applyBorder="1" applyAlignment="1" applyProtection="1">
      <alignment horizontal="center" vertical="center"/>
      <protection hidden="1"/>
    </xf>
    <xf numFmtId="0" fontId="23" fillId="13" borderId="9" xfId="0" applyFont="1" applyFill="1" applyBorder="1" applyProtection="1">
      <protection hidden="1"/>
    </xf>
    <xf numFmtId="0" fontId="23" fillId="13" borderId="16" xfId="0" applyFont="1" applyFill="1" applyBorder="1" applyAlignment="1" applyProtection="1">
      <protection hidden="1"/>
    </xf>
    <xf numFmtId="0" fontId="23" fillId="13" borderId="20" xfId="0" applyFont="1" applyFill="1" applyBorder="1" applyAlignment="1" applyProtection="1">
      <protection hidden="1"/>
    </xf>
    <xf numFmtId="0" fontId="23" fillId="13" borderId="13" xfId="0" applyFont="1" applyFill="1" applyBorder="1" applyAlignment="1" applyProtection="1">
      <protection hidden="1"/>
    </xf>
    <xf numFmtId="0" fontId="14" fillId="13" borderId="13" xfId="0" applyFont="1" applyFill="1" applyBorder="1" applyAlignment="1" applyProtection="1">
      <protection hidden="1"/>
    </xf>
    <xf numFmtId="0" fontId="27" fillId="13" borderId="13" xfId="0" applyFont="1" applyFill="1" applyBorder="1" applyAlignment="1" applyProtection="1">
      <protection hidden="1"/>
    </xf>
    <xf numFmtId="0" fontId="23" fillId="13" borderId="14" xfId="0" applyFont="1" applyFill="1" applyBorder="1" applyAlignment="1" applyProtection="1">
      <protection hidden="1"/>
    </xf>
    <xf numFmtId="0" fontId="20" fillId="13" borderId="21" xfId="0" applyFont="1" applyFill="1" applyBorder="1" applyProtection="1">
      <protection hidden="1"/>
    </xf>
    <xf numFmtId="0" fontId="20" fillId="13" borderId="22" xfId="0" applyFont="1" applyFill="1" applyBorder="1" applyProtection="1">
      <protection hidden="1"/>
    </xf>
    <xf numFmtId="0" fontId="20" fillId="13" borderId="15" xfId="0" applyFont="1" applyFill="1" applyBorder="1" applyProtection="1">
      <protection hidden="1"/>
    </xf>
    <xf numFmtId="0" fontId="14" fillId="13" borderId="21" xfId="0" applyFont="1" applyFill="1" applyBorder="1" applyAlignment="1" applyProtection="1">
      <alignment vertical="center"/>
      <protection hidden="1"/>
    </xf>
    <xf numFmtId="0" fontId="20" fillId="13" borderId="0" xfId="0" applyFont="1" applyFill="1" applyBorder="1" applyAlignment="1" applyProtection="1">
      <alignment horizontal="center" vertical="center"/>
      <protection hidden="1"/>
    </xf>
    <xf numFmtId="0" fontId="20" fillId="13" borderId="22" xfId="0" applyFont="1" applyFill="1" applyBorder="1" applyAlignment="1" applyProtection="1">
      <alignment horizontal="center" vertical="center"/>
      <protection hidden="1"/>
    </xf>
    <xf numFmtId="0" fontId="20" fillId="13" borderId="21" xfId="0" applyFont="1" applyFill="1" applyBorder="1" applyAlignment="1" applyProtection="1">
      <alignment horizontal="center" vertical="center"/>
      <protection hidden="1"/>
    </xf>
    <xf numFmtId="0" fontId="23" fillId="13" borderId="7" xfId="0" applyFont="1" applyFill="1" applyBorder="1" applyAlignment="1" applyProtection="1">
      <protection hidden="1"/>
    </xf>
    <xf numFmtId="0" fontId="27" fillId="13" borderId="0" xfId="0" applyFont="1" applyFill="1" applyBorder="1" applyAlignment="1" applyProtection="1">
      <protection hidden="1"/>
    </xf>
    <xf numFmtId="0" fontId="27" fillId="13" borderId="0" xfId="0" applyFont="1" applyFill="1" applyBorder="1" applyAlignment="1" applyProtection="1">
      <alignment vertical="center"/>
      <protection hidden="1"/>
    </xf>
    <xf numFmtId="0" fontId="35" fillId="13" borderId="21" xfId="0" applyFont="1" applyFill="1" applyBorder="1" applyAlignment="1" applyProtection="1">
      <protection hidden="1"/>
    </xf>
    <xf numFmtId="0" fontId="4" fillId="13" borderId="0" xfId="0" applyFont="1" applyFill="1" applyBorder="1" applyAlignment="1" applyProtection="1">
      <alignment horizontal="center" vertical="center" shrinkToFit="1"/>
      <protection hidden="1"/>
    </xf>
    <xf numFmtId="0" fontId="35" fillId="13" borderId="23" xfId="0" applyFont="1" applyFill="1" applyBorder="1" applyAlignment="1" applyProtection="1">
      <protection hidden="1"/>
    </xf>
    <xf numFmtId="0" fontId="20" fillId="13" borderId="24" xfId="0" applyFont="1" applyFill="1" applyBorder="1" applyProtection="1">
      <protection hidden="1"/>
    </xf>
    <xf numFmtId="0" fontId="0" fillId="13" borderId="25" xfId="0" applyFill="1" applyBorder="1" applyProtection="1">
      <protection hidden="1"/>
    </xf>
    <xf numFmtId="0" fontId="35" fillId="13" borderId="26" xfId="0" applyFont="1" applyFill="1" applyBorder="1" applyAlignment="1" applyProtection="1">
      <protection hidden="1"/>
    </xf>
    <xf numFmtId="0" fontId="20" fillId="13" borderId="27" xfId="0" applyFont="1" applyFill="1" applyBorder="1" applyProtection="1">
      <protection hidden="1"/>
    </xf>
    <xf numFmtId="0" fontId="0" fillId="13" borderId="28" xfId="0" applyFill="1" applyBorder="1" applyProtection="1">
      <protection hidden="1"/>
    </xf>
    <xf numFmtId="0" fontId="0" fillId="13" borderId="0" xfId="0" applyFill="1" applyBorder="1" applyProtection="1">
      <protection hidden="1"/>
    </xf>
    <xf numFmtId="0" fontId="20" fillId="13" borderId="23" xfId="0" applyFont="1" applyFill="1" applyBorder="1" applyProtection="1">
      <protection hidden="1"/>
    </xf>
    <xf numFmtId="0" fontId="20" fillId="13" borderId="29" xfId="0" applyFont="1" applyFill="1" applyBorder="1" applyProtection="1">
      <protection hidden="1"/>
    </xf>
    <xf numFmtId="0" fontId="20" fillId="13" borderId="0" xfId="0" applyFont="1" applyFill="1" applyBorder="1" applyAlignment="1" applyProtection="1">
      <alignment vertical="center"/>
      <protection hidden="1"/>
    </xf>
    <xf numFmtId="0" fontId="20" fillId="13" borderId="26" xfId="0" applyFont="1" applyFill="1" applyBorder="1" applyProtection="1">
      <protection hidden="1"/>
    </xf>
    <xf numFmtId="0" fontId="20" fillId="13" borderId="30" xfId="0" applyFont="1" applyFill="1" applyBorder="1" applyProtection="1">
      <protection hidden="1"/>
    </xf>
    <xf numFmtId="0" fontId="14" fillId="13" borderId="0" xfId="0" applyFont="1" applyFill="1" applyBorder="1" applyAlignment="1" applyProtection="1">
      <alignment vertical="center"/>
      <protection hidden="1"/>
    </xf>
    <xf numFmtId="0" fontId="14" fillId="13" borderId="22" xfId="0" applyFont="1" applyFill="1" applyBorder="1" applyAlignment="1" applyProtection="1">
      <alignment vertical="center"/>
      <protection hidden="1"/>
    </xf>
    <xf numFmtId="0" fontId="20" fillId="13" borderId="0" xfId="0" applyFont="1" applyFill="1" applyBorder="1" applyAlignment="1" applyProtection="1">
      <protection hidden="1"/>
    </xf>
    <xf numFmtId="0" fontId="20" fillId="13" borderId="0" xfId="0" applyFont="1" applyFill="1" applyBorder="1" applyAlignment="1" applyProtection="1">
      <alignment horizontal="right"/>
      <protection hidden="1"/>
    </xf>
    <xf numFmtId="0" fontId="20" fillId="13" borderId="31" xfId="0" applyFont="1" applyFill="1" applyBorder="1" applyProtection="1">
      <protection hidden="1"/>
    </xf>
    <xf numFmtId="0" fontId="20" fillId="13" borderId="32" xfId="0" applyFont="1" applyFill="1" applyBorder="1" applyProtection="1">
      <protection hidden="1"/>
    </xf>
    <xf numFmtId="0" fontId="8" fillId="13" borderId="9" xfId="0" applyFont="1" applyFill="1" applyBorder="1" applyAlignment="1" applyProtection="1">
      <alignment vertical="center" wrapText="1"/>
      <protection hidden="1"/>
    </xf>
    <xf numFmtId="0" fontId="20" fillId="13" borderId="17" xfId="0" applyFont="1" applyFill="1" applyBorder="1" applyProtection="1">
      <protection hidden="1"/>
    </xf>
    <xf numFmtId="0" fontId="8" fillId="2" borderId="0" xfId="0" applyFont="1" applyFill="1" applyBorder="1" applyAlignment="1" applyProtection="1">
      <alignment vertical="center" wrapText="1"/>
      <protection hidden="1"/>
    </xf>
    <xf numFmtId="0" fontId="20" fillId="13" borderId="16" xfId="0" applyFont="1" applyFill="1" applyBorder="1" applyProtection="1">
      <protection hidden="1"/>
    </xf>
    <xf numFmtId="0" fontId="20" fillId="13" borderId="13" xfId="0" applyFont="1" applyFill="1" applyBorder="1" applyProtection="1">
      <protection hidden="1"/>
    </xf>
    <xf numFmtId="0" fontId="40" fillId="13" borderId="13" xfId="0" applyFont="1" applyFill="1" applyBorder="1" applyAlignment="1" applyProtection="1">
      <alignment shrinkToFit="1"/>
      <protection hidden="1"/>
    </xf>
    <xf numFmtId="0" fontId="0" fillId="13" borderId="14" xfId="0" applyFont="1" applyFill="1" applyBorder="1" applyProtection="1">
      <protection hidden="1"/>
    </xf>
    <xf numFmtId="0" fontId="13" fillId="13" borderId="0" xfId="0" applyNumberFormat="1" applyFont="1" applyFill="1" applyBorder="1" applyAlignment="1" applyProtection="1">
      <alignment horizontal="center" vertical="center"/>
      <protection hidden="1"/>
    </xf>
    <xf numFmtId="0" fontId="40" fillId="13" borderId="0" xfId="0" applyFont="1" applyFill="1" applyBorder="1" applyAlignment="1" applyProtection="1">
      <alignment shrinkToFit="1"/>
      <protection hidden="1"/>
    </xf>
    <xf numFmtId="0" fontId="20" fillId="13" borderId="33" xfId="0" applyFont="1" applyFill="1" applyBorder="1" applyProtection="1">
      <protection hidden="1"/>
    </xf>
    <xf numFmtId="0" fontId="23" fillId="13" borderId="19" xfId="0" applyFont="1" applyFill="1" applyBorder="1" applyProtection="1">
      <protection hidden="1"/>
    </xf>
    <xf numFmtId="0" fontId="27" fillId="13" borderId="19" xfId="0" applyFont="1" applyFill="1" applyBorder="1" applyProtection="1">
      <protection hidden="1"/>
    </xf>
    <xf numFmtId="0" fontId="20" fillId="13" borderId="19" xfId="0" applyFont="1" applyFill="1" applyBorder="1" applyProtection="1">
      <protection hidden="1"/>
    </xf>
    <xf numFmtId="0" fontId="40" fillId="13" borderId="19" xfId="0" applyFont="1" applyFill="1" applyBorder="1" applyAlignment="1" applyProtection="1">
      <alignment shrinkToFit="1"/>
      <protection hidden="1"/>
    </xf>
    <xf numFmtId="0" fontId="0" fillId="13" borderId="34" xfId="0" applyFont="1" applyFill="1" applyBorder="1" applyProtection="1">
      <protection hidden="1"/>
    </xf>
    <xf numFmtId="0" fontId="14" fillId="13" borderId="7" xfId="0" applyFont="1" applyFill="1" applyBorder="1" applyProtection="1">
      <protection hidden="1"/>
    </xf>
    <xf numFmtId="0" fontId="14" fillId="13" borderId="0" xfId="0" applyFont="1" applyFill="1" applyBorder="1" applyProtection="1">
      <protection hidden="1"/>
    </xf>
    <xf numFmtId="0" fontId="57" fillId="13" borderId="0" xfId="0" applyFont="1" applyFill="1" applyBorder="1" applyAlignment="1" applyProtection="1">
      <alignment shrinkToFit="1"/>
      <protection hidden="1"/>
    </xf>
    <xf numFmtId="0" fontId="5" fillId="13" borderId="15" xfId="0" applyFont="1" applyFill="1" applyBorder="1" applyProtection="1">
      <protection hidden="1"/>
    </xf>
    <xf numFmtId="0" fontId="57" fillId="13" borderId="15" xfId="0" applyFont="1" applyFill="1" applyBorder="1" applyAlignment="1" applyProtection="1">
      <alignment shrinkToFit="1"/>
      <protection hidden="1"/>
    </xf>
    <xf numFmtId="0" fontId="5" fillId="11" borderId="0" xfId="0" applyFont="1" applyFill="1" applyProtection="1">
      <protection hidden="1"/>
    </xf>
    <xf numFmtId="0" fontId="14" fillId="13" borderId="16" xfId="0" applyFont="1" applyFill="1" applyBorder="1" applyProtection="1">
      <protection hidden="1"/>
    </xf>
    <xf numFmtId="0" fontId="14" fillId="13" borderId="13" xfId="0" applyFont="1" applyFill="1" applyBorder="1" applyProtection="1">
      <protection hidden="1"/>
    </xf>
    <xf numFmtId="0" fontId="14" fillId="13" borderId="20" xfId="0" applyFont="1" applyFill="1" applyBorder="1" applyProtection="1">
      <protection hidden="1"/>
    </xf>
    <xf numFmtId="0" fontId="14" fillId="13" borderId="13" xfId="0" applyFont="1" applyFill="1" applyBorder="1" applyAlignment="1" applyProtection="1">
      <alignment wrapText="1"/>
      <protection hidden="1"/>
    </xf>
    <xf numFmtId="0" fontId="14" fillId="13" borderId="35" xfId="0" applyFont="1" applyFill="1" applyBorder="1" applyProtection="1">
      <protection hidden="1"/>
    </xf>
    <xf numFmtId="0" fontId="0" fillId="13" borderId="14" xfId="0" applyFill="1" applyBorder="1" applyProtection="1">
      <protection hidden="1"/>
    </xf>
    <xf numFmtId="14" fontId="30" fillId="13" borderId="7" xfId="0" applyNumberFormat="1" applyFont="1" applyFill="1" applyBorder="1" applyAlignment="1" applyProtection="1">
      <alignment vertical="center" shrinkToFit="1"/>
      <protection hidden="1"/>
    </xf>
    <xf numFmtId="0" fontId="30" fillId="13" borderId="0" xfId="0" applyFont="1" applyFill="1" applyBorder="1" applyAlignment="1" applyProtection="1">
      <alignment vertical="center" shrinkToFit="1"/>
      <protection hidden="1"/>
    </xf>
    <xf numFmtId="0" fontId="14" fillId="13" borderId="21" xfId="0" applyFont="1" applyFill="1" applyBorder="1" applyProtection="1">
      <protection hidden="1"/>
    </xf>
    <xf numFmtId="0" fontId="14" fillId="13" borderId="0" xfId="0" applyFont="1" applyFill="1" applyBorder="1" applyAlignment="1" applyProtection="1">
      <alignment wrapText="1"/>
      <protection hidden="1"/>
    </xf>
    <xf numFmtId="0" fontId="14" fillId="13" borderId="22" xfId="0" applyFont="1" applyFill="1" applyBorder="1" applyProtection="1">
      <protection hidden="1"/>
    </xf>
    <xf numFmtId="0" fontId="30" fillId="13" borderId="36" xfId="0" applyFont="1" applyFill="1" applyBorder="1" applyAlignment="1" applyProtection="1">
      <alignment vertical="center" shrinkToFit="1"/>
      <protection hidden="1"/>
    </xf>
    <xf numFmtId="0" fontId="20" fillId="13" borderId="24" xfId="0" applyFont="1" applyFill="1" applyBorder="1" applyAlignment="1" applyProtection="1">
      <protection hidden="1"/>
    </xf>
    <xf numFmtId="0" fontId="20" fillId="13" borderId="24" xfId="0" applyFont="1" applyFill="1" applyBorder="1" applyAlignment="1" applyProtection="1">
      <alignment horizontal="right"/>
      <protection hidden="1"/>
    </xf>
    <xf numFmtId="0" fontId="0" fillId="13" borderId="24" xfId="0" applyFill="1" applyBorder="1" applyProtection="1">
      <protection hidden="1"/>
    </xf>
    <xf numFmtId="0" fontId="30" fillId="13" borderId="24" xfId="0" applyFont="1" applyFill="1" applyBorder="1" applyAlignment="1" applyProtection="1">
      <alignment vertical="center" shrinkToFit="1"/>
      <protection hidden="1"/>
    </xf>
    <xf numFmtId="0" fontId="30" fillId="13" borderId="8" xfId="0" applyFont="1" applyFill="1" applyBorder="1" applyAlignment="1" applyProtection="1">
      <alignment vertical="center" shrinkToFit="1"/>
      <protection hidden="1"/>
    </xf>
    <xf numFmtId="0" fontId="14" fillId="13" borderId="9" xfId="0" applyFont="1" applyFill="1" applyBorder="1" applyProtection="1">
      <protection hidden="1"/>
    </xf>
    <xf numFmtId="0" fontId="30" fillId="13" borderId="9" xfId="0" applyFont="1" applyFill="1" applyBorder="1" applyAlignment="1" applyProtection="1">
      <alignment vertical="center" shrinkToFit="1"/>
      <protection hidden="1"/>
    </xf>
    <xf numFmtId="0" fontId="14" fillId="13" borderId="31" xfId="0" applyFont="1" applyFill="1" applyBorder="1" applyProtection="1">
      <protection hidden="1"/>
    </xf>
    <xf numFmtId="0" fontId="20" fillId="13" borderId="9" xfId="0" applyFont="1" applyFill="1" applyBorder="1" applyAlignment="1" applyProtection="1">
      <alignment shrinkToFit="1"/>
      <protection hidden="1"/>
    </xf>
    <xf numFmtId="0" fontId="20" fillId="13" borderId="32" xfId="0" applyFont="1" applyFill="1" applyBorder="1" applyAlignment="1" applyProtection="1">
      <alignment horizontal="center" shrinkToFit="1"/>
      <protection hidden="1"/>
    </xf>
    <xf numFmtId="0" fontId="20" fillId="13" borderId="31" xfId="0" applyFont="1" applyFill="1" applyBorder="1" applyAlignment="1" applyProtection="1">
      <alignment horizontal="center" shrinkToFit="1"/>
      <protection hidden="1"/>
    </xf>
    <xf numFmtId="0" fontId="20" fillId="13" borderId="32" xfId="0" applyFont="1" applyFill="1" applyBorder="1" applyAlignment="1" applyProtection="1">
      <alignment shrinkToFit="1"/>
      <protection hidden="1"/>
    </xf>
    <xf numFmtId="0" fontId="20" fillId="13" borderId="9" xfId="0" applyFont="1" applyFill="1" applyBorder="1" applyAlignment="1" applyProtection="1">
      <alignment horizontal="center" shrinkToFit="1"/>
      <protection hidden="1"/>
    </xf>
    <xf numFmtId="0" fontId="0" fillId="13" borderId="16" xfId="0" applyFill="1" applyBorder="1" applyProtection="1">
      <protection hidden="1"/>
    </xf>
    <xf numFmtId="0" fontId="0" fillId="13" borderId="13" xfId="0" applyFill="1" applyBorder="1" applyProtection="1">
      <protection hidden="1"/>
    </xf>
    <xf numFmtId="0" fontId="6" fillId="13" borderId="13" xfId="0" applyFont="1" applyFill="1" applyBorder="1" applyProtection="1">
      <protection hidden="1"/>
    </xf>
    <xf numFmtId="0" fontId="47" fillId="13" borderId="13" xfId="0" applyFont="1" applyFill="1" applyBorder="1" applyProtection="1">
      <protection hidden="1"/>
    </xf>
    <xf numFmtId="0" fontId="0" fillId="13" borderId="7" xfId="0" applyFill="1" applyBorder="1" applyProtection="1">
      <protection hidden="1"/>
    </xf>
    <xf numFmtId="0" fontId="0" fillId="13" borderId="0" xfId="0" applyFill="1" applyBorder="1" applyAlignment="1" applyProtection="1">
      <protection hidden="1"/>
    </xf>
    <xf numFmtId="0" fontId="4" fillId="12" borderId="0" xfId="0" applyFont="1" applyFill="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3" fillId="12" borderId="0" xfId="0" applyFont="1" applyFill="1" applyAlignment="1" applyProtection="1">
      <alignment horizontal="center" vertical="center"/>
      <protection hidden="1"/>
    </xf>
    <xf numFmtId="0" fontId="0" fillId="13" borderId="8" xfId="0" applyFill="1" applyBorder="1" applyProtection="1">
      <protection hidden="1"/>
    </xf>
    <xf numFmtId="0" fontId="5" fillId="13" borderId="9" xfId="0" applyFont="1" applyFill="1" applyBorder="1" applyAlignment="1" applyProtection="1">
      <protection hidden="1"/>
    </xf>
    <xf numFmtId="0" fontId="4" fillId="11" borderId="0" xfId="0" applyFont="1" applyFill="1" applyAlignment="1" applyProtection="1">
      <alignment horizontal="center" vertical="center"/>
      <protection hidden="1"/>
    </xf>
    <xf numFmtId="0" fontId="5" fillId="2" borderId="0" xfId="0" applyFont="1" applyFill="1" applyBorder="1" applyAlignment="1" applyProtection="1">
      <alignment horizontal="center"/>
      <protection hidden="1"/>
    </xf>
    <xf numFmtId="0" fontId="31" fillId="11" borderId="0" xfId="0" applyFont="1" applyFill="1" applyBorder="1" applyAlignment="1" applyProtection="1">
      <alignment horizontal="center" vertical="center"/>
      <protection locked="0" hidden="1"/>
    </xf>
    <xf numFmtId="0" fontId="0" fillId="11" borderId="0" xfId="0" applyFill="1" applyBorder="1" applyProtection="1">
      <protection hidden="1"/>
    </xf>
    <xf numFmtId="0" fontId="58" fillId="13" borderId="0" xfId="0" applyFont="1" applyFill="1" applyProtection="1">
      <protection hidden="1"/>
    </xf>
    <xf numFmtId="0" fontId="38" fillId="4" borderId="2" xfId="0" applyFont="1" applyFill="1" applyBorder="1" applyProtection="1">
      <protection hidden="1"/>
    </xf>
    <xf numFmtId="0" fontId="38" fillId="4" borderId="37" xfId="0" applyFont="1" applyFill="1" applyBorder="1" applyProtection="1">
      <protection hidden="1"/>
    </xf>
    <xf numFmtId="0" fontId="5" fillId="11" borderId="0" xfId="0" applyFont="1" applyFill="1" applyAlignment="1" applyProtection="1">
      <alignment horizontal="center" vertical="center"/>
      <protection locked="0" hidden="1"/>
    </xf>
    <xf numFmtId="0" fontId="0" fillId="12" borderId="0" xfId="0" applyFill="1" applyProtection="1">
      <protection locked="0" hidden="1"/>
    </xf>
    <xf numFmtId="0" fontId="31" fillId="11" borderId="0" xfId="0" applyFont="1" applyFill="1" applyAlignment="1" applyProtection="1">
      <alignment horizontal="center" vertical="center"/>
      <protection locked="0"/>
    </xf>
    <xf numFmtId="0" fontId="3" fillId="2" borderId="19" xfId="0" applyFont="1" applyFill="1" applyBorder="1" applyAlignment="1" applyProtection="1">
      <protection hidden="1"/>
    </xf>
    <xf numFmtId="14" fontId="3" fillId="2" borderId="0" xfId="0" applyNumberFormat="1" applyFont="1" applyFill="1" applyBorder="1" applyAlignment="1" applyProtection="1">
      <alignment horizontal="center"/>
      <protection hidden="1"/>
    </xf>
    <xf numFmtId="0" fontId="21" fillId="2" borderId="0" xfId="0" applyFont="1" applyFill="1" applyProtection="1">
      <protection hidden="1"/>
    </xf>
    <xf numFmtId="0" fontId="39" fillId="4" borderId="2" xfId="0" applyFont="1" applyFill="1" applyBorder="1" applyAlignment="1" applyProtection="1">
      <protection hidden="1"/>
    </xf>
    <xf numFmtId="0" fontId="4" fillId="2" borderId="7" xfId="0" applyFont="1" applyFill="1" applyBorder="1" applyProtection="1">
      <protection hidden="1"/>
    </xf>
    <xf numFmtId="0" fontId="38" fillId="4" borderId="2" xfId="0" applyFont="1" applyFill="1" applyBorder="1" applyAlignment="1" applyProtection="1">
      <alignment horizontal="center"/>
      <protection hidden="1"/>
    </xf>
    <xf numFmtId="0" fontId="8" fillId="0" borderId="0" xfId="0" applyFont="1" applyAlignment="1">
      <alignment horizontal="center"/>
    </xf>
    <xf numFmtId="0" fontId="3" fillId="2" borderId="0" xfId="0" applyFont="1" applyFill="1" applyAlignment="1" applyProtection="1">
      <alignment horizontal="center"/>
      <protection locked="0" hidden="1"/>
    </xf>
    <xf numFmtId="0" fontId="33" fillId="11" borderId="0" xfId="0" applyFont="1" applyFill="1" applyAlignment="1" applyProtection="1">
      <alignment horizontal="center" vertical="center"/>
      <protection locked="0" hidden="1"/>
    </xf>
    <xf numFmtId="0" fontId="33" fillId="11" borderId="0" xfId="0" applyFont="1" applyFill="1" applyAlignment="1" applyProtection="1">
      <alignment horizontal="center" vertical="center"/>
      <protection hidden="1"/>
    </xf>
    <xf numFmtId="0" fontId="0" fillId="11" borderId="0" xfId="0" applyFill="1" applyAlignment="1" applyProtection="1">
      <protection hidden="1"/>
    </xf>
    <xf numFmtId="0" fontId="8" fillId="2" borderId="0" xfId="0" applyFont="1" applyFill="1" applyAlignment="1" applyProtection="1">
      <alignment horizontal="center"/>
      <protection hidden="1"/>
    </xf>
    <xf numFmtId="0" fontId="8" fillId="12" borderId="0" xfId="0" applyFont="1" applyFill="1" applyAlignment="1">
      <alignment horizontal="center"/>
    </xf>
    <xf numFmtId="0" fontId="1" fillId="2" borderId="0" xfId="0" applyFont="1" applyFill="1" applyProtection="1">
      <protection hidden="1"/>
    </xf>
    <xf numFmtId="0" fontId="3" fillId="2" borderId="0" xfId="0" applyFont="1" applyFill="1" applyAlignment="1" applyProtection="1">
      <alignment horizontal="center" shrinkToFit="1"/>
      <protection hidden="1"/>
    </xf>
    <xf numFmtId="0" fontId="0" fillId="13" borderId="0" xfId="0" applyFill="1" applyProtection="1">
      <protection hidden="1"/>
    </xf>
    <xf numFmtId="0" fontId="4" fillId="13" borderId="0" xfId="0" applyFont="1" applyFill="1" applyProtection="1">
      <protection hidden="1"/>
    </xf>
    <xf numFmtId="0" fontId="0" fillId="11" borderId="0" xfId="0" applyFont="1" applyFill="1" applyProtection="1">
      <protection hidden="1"/>
    </xf>
    <xf numFmtId="0" fontId="0" fillId="11" borderId="0" xfId="0" applyFont="1" applyFill="1" applyAlignment="1" applyProtection="1">
      <alignment horizontal="center" vertical="center"/>
      <protection hidden="1"/>
    </xf>
    <xf numFmtId="0" fontId="0" fillId="11" borderId="0" xfId="0" applyFont="1" applyFill="1" applyAlignment="1" applyProtection="1">
      <alignment horizontal="center" vertical="center"/>
      <protection locked="0" hidden="1"/>
    </xf>
    <xf numFmtId="14" fontId="3" fillId="2" borderId="0" xfId="0" applyNumberFormat="1" applyFont="1" applyFill="1" applyAlignment="1" applyProtection="1">
      <alignment horizontal="center"/>
      <protection locked="0" hidden="1"/>
    </xf>
    <xf numFmtId="3" fontId="3" fillId="2" borderId="0" xfId="0" applyNumberFormat="1" applyFont="1" applyFill="1" applyBorder="1" applyAlignment="1" applyProtection="1">
      <alignment horizontal="center"/>
      <protection hidden="1"/>
    </xf>
    <xf numFmtId="0" fontId="3" fillId="2" borderId="0" xfId="0" applyFont="1" applyFill="1" applyBorder="1" applyAlignment="1" applyProtection="1">
      <alignment horizontal="center"/>
      <protection hidden="1"/>
    </xf>
    <xf numFmtId="0" fontId="0" fillId="11" borderId="0" xfId="0" applyFill="1" applyAlignment="1" applyProtection="1">
      <alignment horizontal="center"/>
      <protection hidden="1"/>
    </xf>
    <xf numFmtId="0" fontId="31" fillId="11" borderId="0" xfId="0" applyFont="1" applyFill="1" applyBorder="1" applyAlignment="1" applyProtection="1">
      <alignment horizontal="center" vertical="center"/>
      <protection hidden="1"/>
    </xf>
    <xf numFmtId="0" fontId="3" fillId="2" borderId="0" xfId="0" applyFont="1" applyFill="1" applyAlignment="1" applyProtection="1">
      <protection hidden="1"/>
    </xf>
    <xf numFmtId="0" fontId="14" fillId="11" borderId="0" xfId="0" applyFont="1" applyFill="1" applyProtection="1">
      <protection hidden="1"/>
    </xf>
    <xf numFmtId="0" fontId="10" fillId="13" borderId="0" xfId="0" applyFont="1" applyFill="1" applyProtection="1">
      <protection hidden="1"/>
    </xf>
    <xf numFmtId="0" fontId="38" fillId="4" borderId="4" xfId="0" applyFont="1" applyFill="1" applyBorder="1" applyProtection="1">
      <protection hidden="1"/>
    </xf>
    <xf numFmtId="0" fontId="39" fillId="4" borderId="4" xfId="0" applyFont="1" applyFill="1" applyBorder="1" applyAlignment="1" applyProtection="1">
      <protection hidden="1"/>
    </xf>
    <xf numFmtId="0" fontId="38" fillId="4" borderId="4" xfId="0" applyFont="1" applyFill="1" applyBorder="1" applyAlignment="1" applyProtection="1">
      <alignment horizontal="center"/>
      <protection hidden="1"/>
    </xf>
    <xf numFmtId="0" fontId="38" fillId="4" borderId="38" xfId="0" applyFont="1" applyFill="1" applyBorder="1" applyProtection="1">
      <protection hidden="1"/>
    </xf>
    <xf numFmtId="0" fontId="38" fillId="4" borderId="6" xfId="0" applyFont="1" applyFill="1" applyBorder="1" applyProtection="1">
      <protection hidden="1"/>
    </xf>
    <xf numFmtId="0" fontId="39" fillId="4" borderId="6" xfId="0" applyFont="1" applyFill="1" applyBorder="1" applyAlignment="1" applyProtection="1">
      <protection hidden="1"/>
    </xf>
    <xf numFmtId="0" fontId="38" fillId="4" borderId="5" xfId="0" applyFont="1" applyFill="1" applyBorder="1" applyProtection="1">
      <protection hidden="1"/>
    </xf>
    <xf numFmtId="0" fontId="31" fillId="11" borderId="0" xfId="0" applyFont="1" applyFill="1" applyAlignment="1" applyProtection="1">
      <alignment horizontal="center" vertical="center"/>
      <protection locked="0" hidden="1"/>
    </xf>
    <xf numFmtId="0" fontId="0" fillId="14" borderId="0" xfId="0" applyFill="1" applyProtection="1">
      <protection hidden="1"/>
    </xf>
    <xf numFmtId="0" fontId="15" fillId="11" borderId="0" xfId="0" applyFont="1" applyFill="1" applyBorder="1" applyAlignment="1" applyProtection="1">
      <alignment horizontal="center" vertical="center" wrapText="1"/>
      <protection locked="0" hidden="1"/>
    </xf>
    <xf numFmtId="0" fontId="5" fillId="12" borderId="0" xfId="0" applyFont="1" applyFill="1" applyProtection="1">
      <protection locked="0" hidden="1"/>
    </xf>
    <xf numFmtId="0" fontId="31" fillId="2" borderId="0" xfId="0" applyFont="1" applyFill="1" applyAlignment="1" applyProtection="1">
      <alignment horizontal="left" shrinkToFit="1"/>
      <protection hidden="1"/>
    </xf>
    <xf numFmtId="0" fontId="31" fillId="2" borderId="0" xfId="0" applyFont="1" applyFill="1" applyAlignment="1" applyProtection="1">
      <alignment shrinkToFit="1"/>
      <protection hidden="1"/>
    </xf>
    <xf numFmtId="0" fontId="5" fillId="2" borderId="0" xfId="0" applyFont="1" applyFill="1" applyProtection="1">
      <protection locked="0" hidden="1"/>
    </xf>
    <xf numFmtId="0" fontId="33" fillId="2" borderId="0" xfId="0" applyFont="1" applyFill="1" applyAlignment="1" applyProtection="1">
      <alignment horizontal="left"/>
      <protection hidden="1"/>
    </xf>
    <xf numFmtId="0" fontId="5" fillId="2" borderId="0" xfId="0" applyFont="1" applyFill="1" applyAlignment="1" applyProtection="1">
      <alignment horizontal="center" vertical="center"/>
      <protection hidden="1"/>
    </xf>
    <xf numFmtId="0" fontId="66" fillId="12" borderId="0" xfId="0" applyFont="1" applyFill="1" applyAlignment="1" applyProtection="1">
      <alignment horizontal="center"/>
      <protection locked="0"/>
    </xf>
    <xf numFmtId="0" fontId="0" fillId="14" borderId="0" xfId="0" applyFill="1" applyAlignment="1" applyProtection="1">
      <alignment vertical="center"/>
      <protection locked="0" hidden="1"/>
    </xf>
    <xf numFmtId="0" fontId="68" fillId="14" borderId="0" xfId="0" applyFont="1" applyFill="1" applyAlignment="1" applyProtection="1">
      <protection locked="0" hidden="1"/>
    </xf>
    <xf numFmtId="0" fontId="70" fillId="14" borderId="0" xfId="0" applyFont="1" applyFill="1" applyAlignment="1" applyProtection="1">
      <alignment horizontal="left"/>
      <protection locked="0" hidden="1"/>
    </xf>
    <xf numFmtId="0" fontId="70" fillId="14" borderId="0" xfId="0" applyFont="1" applyFill="1" applyAlignment="1" applyProtection="1">
      <alignment horizontal="center"/>
      <protection locked="0" hidden="1"/>
    </xf>
    <xf numFmtId="0" fontId="68" fillId="14" borderId="0" xfId="0" applyFont="1" applyFill="1" applyProtection="1">
      <protection locked="0" hidden="1"/>
    </xf>
    <xf numFmtId="16" fontId="70" fillId="14" borderId="0" xfId="0" applyNumberFormat="1" applyFont="1" applyFill="1" applyAlignment="1" applyProtection="1">
      <alignment horizontal="center"/>
      <protection locked="0" hidden="1"/>
    </xf>
    <xf numFmtId="0" fontId="70" fillId="14" borderId="0" xfId="0" applyNumberFormat="1" applyFont="1" applyFill="1" applyProtection="1">
      <protection locked="0" hidden="1"/>
    </xf>
    <xf numFmtId="0" fontId="68" fillId="14" borderId="0" xfId="0" applyFont="1" applyFill="1" applyAlignment="1" applyProtection="1">
      <alignment horizontal="right"/>
      <protection locked="0" hidden="1"/>
    </xf>
    <xf numFmtId="0" fontId="64" fillId="2" borderId="0" xfId="0" applyFont="1" applyFill="1" applyBorder="1" applyAlignment="1" applyProtection="1">
      <alignment horizontal="center" vertical="top" wrapText="1"/>
      <protection hidden="1"/>
    </xf>
    <xf numFmtId="0" fontId="61" fillId="2" borderId="0" xfId="0" applyFont="1" applyFill="1" applyAlignment="1" applyProtection="1">
      <alignment horizontal="left"/>
      <protection hidden="1"/>
    </xf>
    <xf numFmtId="3" fontId="4" fillId="12" borderId="39" xfId="0" applyNumberFormat="1" applyFont="1" applyFill="1" applyBorder="1" applyAlignment="1" applyProtection="1">
      <alignment horizontal="center" vertical="center" shrinkToFit="1"/>
      <protection locked="0"/>
    </xf>
    <xf numFmtId="3" fontId="4" fillId="12" borderId="40" xfId="0" applyNumberFormat="1" applyFont="1" applyFill="1" applyBorder="1" applyAlignment="1" applyProtection="1">
      <alignment horizontal="center" vertical="center" shrinkToFit="1"/>
      <protection locked="0"/>
    </xf>
    <xf numFmtId="4" fontId="4" fillId="12" borderId="40" xfId="0" applyNumberFormat="1" applyFont="1" applyFill="1" applyBorder="1" applyAlignment="1" applyProtection="1">
      <alignment horizontal="center" vertical="center" shrinkToFit="1"/>
      <protection locked="0"/>
    </xf>
    <xf numFmtId="0" fontId="3" fillId="0" borderId="40" xfId="0" applyFont="1" applyBorder="1" applyAlignment="1" applyProtection="1">
      <alignment horizontal="center" shrinkToFit="1"/>
      <protection hidden="1"/>
    </xf>
    <xf numFmtId="3" fontId="13" fillId="12" borderId="40" xfId="0" applyNumberFormat="1" applyFont="1" applyFill="1" applyBorder="1" applyAlignment="1" applyProtection="1">
      <alignment horizontal="center" shrinkToFit="1"/>
      <protection locked="0"/>
    </xf>
    <xf numFmtId="10" fontId="3" fillId="0" borderId="40" xfId="4" applyNumberFormat="1" applyFont="1" applyBorder="1" applyAlignment="1" applyProtection="1">
      <alignment horizontal="center" shrinkToFit="1"/>
      <protection hidden="1"/>
    </xf>
    <xf numFmtId="10" fontId="3" fillId="0" borderId="41" xfId="4" applyNumberFormat="1" applyFont="1" applyBorder="1" applyAlignment="1" applyProtection="1">
      <alignment horizontal="center" shrinkToFit="1"/>
      <protection hidden="1"/>
    </xf>
    <xf numFmtId="3" fontId="4" fillId="12" borderId="42" xfId="0" applyNumberFormat="1" applyFont="1" applyFill="1" applyBorder="1" applyAlignment="1" applyProtection="1">
      <alignment horizontal="center" vertical="center" shrinkToFit="1"/>
      <protection locked="0"/>
    </xf>
    <xf numFmtId="3" fontId="4" fillId="12" borderId="43" xfId="0" applyNumberFormat="1" applyFont="1" applyFill="1" applyBorder="1" applyAlignment="1" applyProtection="1">
      <alignment horizontal="center" vertical="center" shrinkToFit="1"/>
      <protection locked="0"/>
    </xf>
    <xf numFmtId="4" fontId="4" fillId="12" borderId="43" xfId="0" applyNumberFormat="1" applyFont="1" applyFill="1" applyBorder="1" applyAlignment="1" applyProtection="1">
      <alignment horizontal="center" vertical="center" shrinkToFit="1"/>
      <protection locked="0"/>
    </xf>
    <xf numFmtId="0" fontId="3" fillId="0" borderId="43" xfId="0" applyFont="1" applyBorder="1" applyAlignment="1" applyProtection="1">
      <alignment horizontal="center" shrinkToFit="1"/>
      <protection hidden="1"/>
    </xf>
    <xf numFmtId="3" fontId="13" fillId="12" borderId="43" xfId="0" applyNumberFormat="1" applyFont="1" applyFill="1" applyBorder="1" applyAlignment="1" applyProtection="1">
      <alignment horizontal="center" shrinkToFit="1"/>
      <protection locked="0"/>
    </xf>
    <xf numFmtId="10" fontId="3" fillId="0" borderId="43" xfId="4" applyNumberFormat="1" applyFont="1" applyBorder="1" applyAlignment="1" applyProtection="1">
      <alignment horizontal="center" shrinkToFit="1"/>
      <protection hidden="1"/>
    </xf>
    <xf numFmtId="10" fontId="3" fillId="0" borderId="44" xfId="4" applyNumberFormat="1" applyFont="1" applyBorder="1" applyAlignment="1" applyProtection="1">
      <alignment horizontal="center" shrinkToFit="1"/>
      <protection hidden="1"/>
    </xf>
    <xf numFmtId="0" fontId="3" fillId="0" borderId="45" xfId="0" applyFont="1" applyBorder="1" applyAlignment="1" applyProtection="1">
      <alignment horizontal="center" shrinkToFit="1"/>
      <protection hidden="1"/>
    </xf>
    <xf numFmtId="0" fontId="3" fillId="0" borderId="46" xfId="0" applyFont="1" applyBorder="1" applyAlignment="1" applyProtection="1">
      <alignment horizontal="center" shrinkToFit="1"/>
      <protection hidden="1"/>
    </xf>
    <xf numFmtId="0" fontId="3" fillId="0" borderId="47" xfId="0" applyFont="1" applyBorder="1" applyAlignment="1" applyProtection="1">
      <alignment horizontal="center" shrinkToFit="1"/>
      <protection hidden="1"/>
    </xf>
    <xf numFmtId="0" fontId="3" fillId="0" borderId="44" xfId="0" applyFont="1" applyBorder="1" applyAlignment="1" applyProtection="1">
      <alignment horizontal="center" shrinkToFit="1"/>
      <protection hidden="1"/>
    </xf>
    <xf numFmtId="0" fontId="1" fillId="0" borderId="48" xfId="0" applyFont="1" applyBorder="1" applyAlignment="1" applyProtection="1">
      <alignment horizontal="center" vertical="center"/>
      <protection hidden="1"/>
    </xf>
    <xf numFmtId="0" fontId="1" fillId="0" borderId="49" xfId="0" applyFont="1" applyBorder="1" applyAlignment="1" applyProtection="1">
      <alignment horizontal="center" vertical="center"/>
      <protection hidden="1"/>
    </xf>
    <xf numFmtId="0" fontId="1" fillId="0" borderId="50" xfId="0" applyFont="1" applyBorder="1" applyAlignment="1" applyProtection="1">
      <alignment horizontal="center" vertical="center"/>
      <protection hidden="1"/>
    </xf>
    <xf numFmtId="0" fontId="1" fillId="0" borderId="33" xfId="0" applyFont="1" applyBorder="1" applyAlignment="1" applyProtection="1">
      <alignment horizontal="center" vertical="center" shrinkToFit="1"/>
      <protection hidden="1"/>
    </xf>
    <xf numFmtId="0" fontId="1" fillId="0" borderId="19" xfId="0" applyFont="1" applyBorder="1" applyAlignment="1" applyProtection="1">
      <alignment horizontal="center" vertical="center" shrinkToFit="1"/>
      <protection hidden="1"/>
    </xf>
    <xf numFmtId="0" fontId="1" fillId="0" borderId="51" xfId="0" applyFont="1" applyBorder="1" applyAlignment="1" applyProtection="1">
      <alignment horizontal="center" vertical="center" shrinkToFit="1"/>
      <protection hidden="1"/>
    </xf>
    <xf numFmtId="0" fontId="1" fillId="0" borderId="52" xfId="0" applyFont="1" applyBorder="1" applyAlignment="1" applyProtection="1">
      <alignment horizontal="center" vertical="center" shrinkToFit="1"/>
      <protection hidden="1"/>
    </xf>
    <xf numFmtId="0" fontId="0" fillId="0" borderId="51" xfId="0" applyBorder="1" applyAlignment="1" applyProtection="1">
      <alignment horizontal="center" shrinkToFit="1"/>
      <protection hidden="1"/>
    </xf>
    <xf numFmtId="0" fontId="0" fillId="0" borderId="19" xfId="0" applyBorder="1" applyAlignment="1" applyProtection="1">
      <alignment horizontal="center" shrinkToFit="1"/>
      <protection hidden="1"/>
    </xf>
    <xf numFmtId="0" fontId="0" fillId="0" borderId="52" xfId="0" applyBorder="1" applyAlignment="1" applyProtection="1">
      <alignment horizontal="center" shrinkToFit="1"/>
      <protection hidden="1"/>
    </xf>
    <xf numFmtId="0" fontId="0" fillId="0" borderId="40" xfId="0" applyBorder="1" applyAlignment="1" applyProtection="1">
      <alignment horizontal="center" shrinkToFit="1"/>
      <protection hidden="1"/>
    </xf>
    <xf numFmtId="43" fontId="1" fillId="0" borderId="40" xfId="1" applyFont="1" applyBorder="1" applyAlignment="1" applyProtection="1">
      <alignment horizontal="center" shrinkToFit="1"/>
      <protection hidden="1"/>
    </xf>
    <xf numFmtId="43" fontId="1" fillId="0" borderId="41" xfId="1" applyFont="1" applyBorder="1" applyAlignment="1" applyProtection="1">
      <alignment horizontal="center" shrinkToFit="1"/>
      <protection hidden="1"/>
    </xf>
    <xf numFmtId="0" fontId="3" fillId="0" borderId="51" xfId="0" applyFont="1" applyBorder="1" applyAlignment="1" applyProtection="1">
      <alignment horizontal="center" shrinkToFit="1"/>
      <protection hidden="1"/>
    </xf>
    <xf numFmtId="0" fontId="3" fillId="0" borderId="19" xfId="0" applyFont="1" applyBorder="1" applyAlignment="1" applyProtection="1">
      <alignment horizontal="center" shrinkToFit="1"/>
      <protection hidden="1"/>
    </xf>
    <xf numFmtId="0" fontId="3" fillId="0" borderId="52" xfId="0" applyFont="1" applyBorder="1" applyAlignment="1" applyProtection="1">
      <alignment horizontal="center" shrinkToFit="1"/>
      <protection hidden="1"/>
    </xf>
    <xf numFmtId="0" fontId="3" fillId="0" borderId="41" xfId="0" applyFont="1" applyBorder="1" applyAlignment="1" applyProtection="1">
      <alignment horizontal="center" shrinkToFit="1"/>
      <protection hidden="1"/>
    </xf>
    <xf numFmtId="3" fontId="13" fillId="12" borderId="39" xfId="0" applyNumberFormat="1" applyFont="1" applyFill="1" applyBorder="1" applyAlignment="1" applyProtection="1">
      <alignment horizontal="center" vertical="center" shrinkToFit="1"/>
      <protection locked="0"/>
    </xf>
    <xf numFmtId="3" fontId="13" fillId="12" borderId="40" xfId="0" applyNumberFormat="1" applyFont="1" applyFill="1" applyBorder="1" applyAlignment="1" applyProtection="1">
      <alignment horizontal="center" vertical="center" shrinkToFit="1"/>
      <protection locked="0"/>
    </xf>
    <xf numFmtId="4" fontId="13" fillId="12" borderId="40" xfId="0" applyNumberFormat="1" applyFont="1" applyFill="1" applyBorder="1" applyAlignment="1" applyProtection="1">
      <alignment horizontal="center" vertical="center" shrinkToFit="1"/>
      <protection locked="0"/>
    </xf>
    <xf numFmtId="3" fontId="3" fillId="0" borderId="40" xfId="0" applyNumberFormat="1" applyFont="1" applyBorder="1" applyAlignment="1" applyProtection="1">
      <alignment horizontal="center" shrinkToFit="1"/>
      <protection hidden="1"/>
    </xf>
    <xf numFmtId="3" fontId="13" fillId="12" borderId="42" xfId="0" applyNumberFormat="1" applyFont="1" applyFill="1" applyBorder="1" applyAlignment="1" applyProtection="1">
      <alignment horizontal="center" vertical="center" shrinkToFit="1"/>
      <protection locked="0"/>
    </xf>
    <xf numFmtId="3" fontId="13" fillId="12" borderId="43" xfId="0" applyNumberFormat="1" applyFont="1" applyFill="1" applyBorder="1" applyAlignment="1" applyProtection="1">
      <alignment horizontal="center" vertical="center" shrinkToFit="1"/>
      <protection locked="0"/>
    </xf>
    <xf numFmtId="4" fontId="13" fillId="12" borderId="43" xfId="0" applyNumberFormat="1" applyFont="1" applyFill="1" applyBorder="1" applyAlignment="1" applyProtection="1">
      <alignment horizontal="center" vertical="center" shrinkToFit="1"/>
      <protection locked="0"/>
    </xf>
    <xf numFmtId="3" fontId="3" fillId="0" borderId="43" xfId="0" applyNumberFormat="1" applyFont="1" applyBorder="1" applyAlignment="1" applyProtection="1">
      <alignment horizontal="center" shrinkToFit="1"/>
      <protection hidden="1"/>
    </xf>
    <xf numFmtId="0" fontId="1" fillId="0" borderId="53" xfId="0" applyFont="1" applyBorder="1" applyAlignment="1" applyProtection="1">
      <alignment horizontal="center" vertical="center"/>
      <protection hidden="1"/>
    </xf>
    <xf numFmtId="0" fontId="1" fillId="0" borderId="54" xfId="0" applyFont="1" applyBorder="1" applyAlignment="1" applyProtection="1">
      <alignment horizontal="center" vertical="center"/>
      <protection hidden="1"/>
    </xf>
    <xf numFmtId="0" fontId="1" fillId="0" borderId="55" xfId="0" applyFont="1" applyBorder="1" applyAlignment="1" applyProtection="1">
      <alignment horizontal="center" vertical="center"/>
      <protection hidden="1"/>
    </xf>
    <xf numFmtId="0" fontId="1" fillId="0" borderId="39" xfId="0" applyFont="1" applyBorder="1" applyAlignment="1" applyProtection="1">
      <alignment horizontal="center" vertical="center" shrinkToFit="1"/>
      <protection hidden="1"/>
    </xf>
    <xf numFmtId="0" fontId="1" fillId="0" borderId="40" xfId="0" applyFont="1" applyBorder="1" applyAlignment="1" applyProtection="1">
      <alignment horizontal="center" vertical="center" shrinkToFit="1"/>
      <protection hidden="1"/>
    </xf>
    <xf numFmtId="0" fontId="0" fillId="0" borderId="41" xfId="0" applyBorder="1" applyAlignment="1" applyProtection="1">
      <alignment horizontal="center" shrinkToFit="1"/>
      <protection hidden="1"/>
    </xf>
    <xf numFmtId="0" fontId="0" fillId="2" borderId="0" xfId="0" applyFont="1" applyFill="1" applyAlignment="1" applyProtection="1">
      <alignment horizontal="left" shrinkToFit="1"/>
      <protection hidden="1"/>
    </xf>
    <xf numFmtId="0" fontId="3" fillId="12" borderId="0" xfId="0" applyFont="1" applyFill="1" applyAlignment="1" applyProtection="1">
      <alignment horizontal="center"/>
      <protection locked="0"/>
    </xf>
    <xf numFmtId="0" fontId="4" fillId="12" borderId="0" xfId="0" applyFont="1" applyFill="1" applyAlignment="1" applyProtection="1">
      <alignment horizontal="left" shrinkToFit="1"/>
      <protection locked="0"/>
    </xf>
    <xf numFmtId="0" fontId="3" fillId="12" borderId="0" xfId="0" applyFont="1" applyFill="1" applyBorder="1" applyAlignment="1" applyProtection="1">
      <alignment horizontal="center"/>
      <protection locked="0"/>
    </xf>
    <xf numFmtId="0" fontId="0" fillId="2" borderId="10" xfId="0" applyFill="1" applyBorder="1" applyAlignment="1" applyProtection="1">
      <alignment horizontal="center"/>
      <protection hidden="1"/>
    </xf>
    <xf numFmtId="0" fontId="0" fillId="2" borderId="12" xfId="0" applyFill="1" applyBorder="1" applyAlignment="1" applyProtection="1">
      <alignment horizontal="center"/>
      <protection hidden="1"/>
    </xf>
    <xf numFmtId="0" fontId="0" fillId="2" borderId="11" xfId="0" applyFill="1" applyBorder="1" applyAlignment="1" applyProtection="1">
      <alignment horizontal="center"/>
      <protection hidden="1"/>
    </xf>
    <xf numFmtId="0" fontId="3" fillId="12" borderId="0" xfId="0" applyFont="1" applyFill="1" applyAlignment="1" applyProtection="1">
      <alignment horizontal="left" shrinkToFit="1"/>
      <protection locked="0"/>
    </xf>
    <xf numFmtId="0" fontId="3" fillId="12" borderId="0" xfId="0" applyFont="1" applyFill="1" applyAlignment="1" applyProtection="1">
      <alignment horizontal="center"/>
      <protection locked="0" hidden="1"/>
    </xf>
    <xf numFmtId="3" fontId="13" fillId="12" borderId="52" xfId="0" applyNumberFormat="1" applyFont="1" applyFill="1" applyBorder="1" applyAlignment="1" applyProtection="1">
      <alignment horizontal="center" vertical="center" shrinkToFit="1"/>
      <protection locked="0"/>
    </xf>
    <xf numFmtId="3" fontId="13" fillId="12" borderId="41" xfId="0" applyNumberFormat="1" applyFont="1" applyFill="1" applyBorder="1" applyAlignment="1" applyProtection="1">
      <alignment horizontal="center" vertical="center" shrinkToFit="1"/>
      <protection locked="0"/>
    </xf>
    <xf numFmtId="9" fontId="13" fillId="12" borderId="39" xfId="0" applyNumberFormat="1" applyFont="1" applyFill="1" applyBorder="1" applyAlignment="1" applyProtection="1">
      <alignment horizontal="center" vertical="center" shrinkToFit="1"/>
      <protection locked="0"/>
    </xf>
    <xf numFmtId="9" fontId="13" fillId="12" borderId="40" xfId="0" applyNumberFormat="1" applyFont="1" applyFill="1" applyBorder="1" applyAlignment="1" applyProtection="1">
      <alignment horizontal="center" vertical="center" shrinkToFit="1"/>
      <protection locked="0"/>
    </xf>
    <xf numFmtId="9" fontId="13" fillId="12" borderId="51" xfId="0" applyNumberFormat="1" applyFont="1" applyFill="1" applyBorder="1" applyAlignment="1" applyProtection="1">
      <alignment horizontal="center" vertical="center" shrinkToFit="1"/>
      <protection locked="0"/>
    </xf>
    <xf numFmtId="1" fontId="3" fillId="13" borderId="11" xfId="0" applyNumberFormat="1" applyFont="1" applyFill="1" applyBorder="1" applyAlignment="1" applyProtection="1">
      <alignment horizontal="center"/>
      <protection locked="0" hidden="1"/>
    </xf>
    <xf numFmtId="1" fontId="3" fillId="13" borderId="12" xfId="0" applyNumberFormat="1" applyFont="1" applyFill="1" applyBorder="1" applyAlignment="1" applyProtection="1">
      <alignment horizontal="center"/>
      <protection locked="0" hidden="1"/>
    </xf>
    <xf numFmtId="3" fontId="20" fillId="2" borderId="10" xfId="0" applyNumberFormat="1" applyFont="1" applyFill="1" applyBorder="1" applyAlignment="1" applyProtection="1">
      <alignment horizontal="center"/>
      <protection hidden="1"/>
    </xf>
    <xf numFmtId="3" fontId="20" fillId="2" borderId="11" xfId="0" applyNumberFormat="1" applyFont="1" applyFill="1" applyBorder="1" applyAlignment="1" applyProtection="1">
      <alignment horizontal="center"/>
      <protection hidden="1"/>
    </xf>
    <xf numFmtId="0" fontId="11" fillId="2" borderId="10" xfId="0" applyFont="1" applyFill="1" applyBorder="1" applyAlignment="1" applyProtection="1">
      <alignment horizontal="center"/>
      <protection hidden="1"/>
    </xf>
    <xf numFmtId="0" fontId="11" fillId="2" borderId="11" xfId="0" applyFont="1" applyFill="1" applyBorder="1" applyAlignment="1" applyProtection="1">
      <alignment horizontal="center"/>
      <protection hidden="1"/>
    </xf>
    <xf numFmtId="0" fontId="11" fillId="2" borderId="12" xfId="0" applyFont="1" applyFill="1" applyBorder="1" applyAlignment="1" applyProtection="1">
      <alignment horizontal="center"/>
      <protection hidden="1"/>
    </xf>
    <xf numFmtId="3" fontId="3" fillId="13" borderId="33" xfId="0" applyNumberFormat="1" applyFont="1" applyFill="1" applyBorder="1" applyAlignment="1" applyProtection="1">
      <alignment horizontal="center" vertical="center" shrinkToFit="1"/>
      <protection locked="0" hidden="1"/>
    </xf>
    <xf numFmtId="3" fontId="3" fillId="13" borderId="19" xfId="0" applyNumberFormat="1" applyFont="1" applyFill="1" applyBorder="1" applyAlignment="1" applyProtection="1">
      <alignment horizontal="center" vertical="center" shrinkToFit="1"/>
      <protection locked="0" hidden="1"/>
    </xf>
    <xf numFmtId="3" fontId="3" fillId="13" borderId="34" xfId="0" applyNumberFormat="1" applyFont="1" applyFill="1" applyBorder="1" applyAlignment="1" applyProtection="1">
      <alignment horizontal="center" vertical="center" shrinkToFit="1"/>
      <protection locked="0" hidden="1"/>
    </xf>
    <xf numFmtId="0" fontId="0" fillId="0" borderId="10" xfId="0" applyBorder="1" applyAlignment="1" applyProtection="1">
      <alignment horizontal="left"/>
      <protection hidden="1"/>
    </xf>
    <xf numFmtId="0" fontId="0" fillId="0" borderId="11" xfId="0" applyBorder="1" applyAlignment="1" applyProtection="1">
      <alignment horizontal="left"/>
      <protection hidden="1"/>
    </xf>
    <xf numFmtId="3" fontId="32" fillId="13" borderId="11" xfId="0" applyNumberFormat="1" applyFont="1" applyFill="1" applyBorder="1" applyAlignment="1" applyProtection="1">
      <alignment horizontal="center" vertical="center" shrinkToFit="1"/>
      <protection locked="0" hidden="1"/>
    </xf>
    <xf numFmtId="3" fontId="32" fillId="13" borderId="10" xfId="0" applyNumberFormat="1" applyFont="1" applyFill="1" applyBorder="1" applyAlignment="1" applyProtection="1">
      <alignment horizontal="center" vertical="center" shrinkToFit="1"/>
      <protection locked="0" hidden="1"/>
    </xf>
    <xf numFmtId="3" fontId="32" fillId="13" borderId="12" xfId="0" applyNumberFormat="1" applyFont="1" applyFill="1" applyBorder="1" applyAlignment="1" applyProtection="1">
      <alignment horizontal="center" vertical="center" shrinkToFit="1"/>
      <protection locked="0" hidden="1"/>
    </xf>
    <xf numFmtId="0" fontId="13" fillId="12" borderId="0" xfId="0" applyFont="1" applyFill="1" applyAlignment="1" applyProtection="1">
      <alignment horizontal="left" shrinkToFit="1"/>
      <protection locked="0"/>
    </xf>
    <xf numFmtId="0" fontId="13" fillId="12" borderId="39" xfId="0" applyFont="1" applyFill="1" applyBorder="1" applyAlignment="1" applyProtection="1">
      <alignment horizontal="center" vertical="center" shrinkToFit="1"/>
      <protection locked="0"/>
    </xf>
    <xf numFmtId="0" fontId="13" fillId="12" borderId="40" xfId="0" applyFont="1" applyFill="1" applyBorder="1" applyAlignment="1" applyProtection="1">
      <alignment horizontal="center" vertical="center" shrinkToFit="1"/>
      <protection locked="0"/>
    </xf>
    <xf numFmtId="0" fontId="13" fillId="12" borderId="41" xfId="0" applyFont="1" applyFill="1" applyBorder="1" applyAlignment="1" applyProtection="1">
      <alignment horizontal="center" vertical="center" shrinkToFit="1"/>
      <protection locked="0"/>
    </xf>
    <xf numFmtId="0" fontId="13" fillId="12" borderId="51" xfId="0" applyFont="1" applyFill="1" applyBorder="1" applyAlignment="1" applyProtection="1">
      <alignment horizontal="center" vertical="center" shrinkToFit="1"/>
      <protection locked="0"/>
    </xf>
    <xf numFmtId="3" fontId="3" fillId="13" borderId="56" xfId="0" applyNumberFormat="1" applyFont="1" applyFill="1" applyBorder="1" applyAlignment="1" applyProtection="1">
      <alignment horizontal="center" vertical="center" shrinkToFit="1"/>
      <protection locked="0" hidden="1"/>
    </xf>
    <xf numFmtId="3" fontId="3" fillId="13" borderId="57" xfId="0" applyNumberFormat="1" applyFont="1" applyFill="1" applyBorder="1" applyAlignment="1" applyProtection="1">
      <alignment horizontal="center" vertical="center" shrinkToFit="1"/>
      <protection locked="0" hidden="1"/>
    </xf>
    <xf numFmtId="3" fontId="3" fillId="13" borderId="58" xfId="0" applyNumberFormat="1" applyFont="1" applyFill="1" applyBorder="1" applyAlignment="1" applyProtection="1">
      <alignment horizontal="center" vertical="center" shrinkToFit="1"/>
      <protection locked="0" hidden="1"/>
    </xf>
    <xf numFmtId="3" fontId="20" fillId="2" borderId="59" xfId="0" applyNumberFormat="1" applyFont="1" applyFill="1" applyBorder="1" applyAlignment="1" applyProtection="1">
      <alignment horizontal="center" vertical="center" shrinkToFit="1"/>
      <protection hidden="1"/>
    </xf>
    <xf numFmtId="3" fontId="20" fillId="2" borderId="46" xfId="0" applyNumberFormat="1" applyFont="1" applyFill="1" applyBorder="1" applyAlignment="1" applyProtection="1">
      <alignment horizontal="center" vertical="center" shrinkToFit="1"/>
      <protection hidden="1"/>
    </xf>
    <xf numFmtId="3" fontId="20" fillId="2" borderId="60" xfId="0" applyNumberFormat="1" applyFont="1" applyFill="1" applyBorder="1" applyAlignment="1" applyProtection="1">
      <alignment horizontal="center" vertical="center" shrinkToFit="1"/>
      <protection hidden="1"/>
    </xf>
    <xf numFmtId="3" fontId="13" fillId="12" borderId="48" xfId="0" applyNumberFormat="1" applyFont="1" applyFill="1" applyBorder="1" applyAlignment="1" applyProtection="1">
      <alignment horizontal="center" vertical="center" shrinkToFit="1"/>
      <protection locked="0"/>
    </xf>
    <xf numFmtId="3" fontId="13" fillId="12" borderId="49" xfId="0" applyNumberFormat="1" applyFont="1" applyFill="1" applyBorder="1" applyAlignment="1" applyProtection="1">
      <alignment horizontal="center" vertical="center" shrinkToFit="1"/>
      <protection locked="0"/>
    </xf>
    <xf numFmtId="3" fontId="13" fillId="12" borderId="50" xfId="0" applyNumberFormat="1" applyFont="1" applyFill="1" applyBorder="1" applyAlignment="1" applyProtection="1">
      <alignment horizontal="center" vertical="center" shrinkToFit="1"/>
      <protection locked="0"/>
    </xf>
    <xf numFmtId="3" fontId="13" fillId="12" borderId="61" xfId="0" applyNumberFormat="1" applyFont="1" applyFill="1" applyBorder="1" applyAlignment="1" applyProtection="1">
      <alignment horizontal="center" vertical="center" shrinkToFit="1"/>
      <protection locked="0"/>
    </xf>
    <xf numFmtId="3" fontId="13" fillId="12" borderId="27" xfId="0" applyNumberFormat="1" applyFont="1" applyFill="1" applyBorder="1" applyAlignment="1" applyProtection="1">
      <alignment horizontal="center" vertical="center" shrinkToFit="1"/>
      <protection locked="0"/>
    </xf>
    <xf numFmtId="3" fontId="13" fillId="12" borderId="28" xfId="0" applyNumberFormat="1" applyFont="1" applyFill="1" applyBorder="1" applyAlignment="1" applyProtection="1">
      <alignment horizontal="center" vertical="center" shrinkToFit="1"/>
      <protection locked="0"/>
    </xf>
    <xf numFmtId="3" fontId="3" fillId="13" borderId="10" xfId="0" applyNumberFormat="1" applyFont="1" applyFill="1" applyBorder="1" applyAlignment="1" applyProtection="1">
      <alignment horizontal="center" vertical="center" shrinkToFit="1"/>
      <protection locked="0" hidden="1"/>
    </xf>
    <xf numFmtId="3" fontId="3" fillId="13" borderId="11" xfId="0" applyNumberFormat="1" applyFont="1" applyFill="1" applyBorder="1" applyAlignment="1" applyProtection="1">
      <alignment horizontal="center" vertical="center" shrinkToFit="1"/>
      <protection locked="0" hidden="1"/>
    </xf>
    <xf numFmtId="3" fontId="3" fillId="13" borderId="12" xfId="0" applyNumberFormat="1" applyFont="1" applyFill="1" applyBorder="1" applyAlignment="1" applyProtection="1">
      <alignment horizontal="center" vertical="center" shrinkToFit="1"/>
      <protection locked="0" hidden="1"/>
    </xf>
    <xf numFmtId="0" fontId="25" fillId="0" borderId="10" xfId="0" applyFont="1" applyBorder="1" applyAlignment="1" applyProtection="1">
      <alignment horizontal="left" vertical="center" wrapText="1"/>
      <protection hidden="1"/>
    </xf>
    <xf numFmtId="0" fontId="25" fillId="0" borderId="11" xfId="0" applyFont="1" applyBorder="1" applyAlignment="1" applyProtection="1">
      <alignment horizontal="left" vertical="center" wrapText="1"/>
      <protection hidden="1"/>
    </xf>
    <xf numFmtId="0" fontId="25" fillId="0" borderId="12" xfId="0" applyFont="1" applyBorder="1" applyAlignment="1" applyProtection="1">
      <alignment horizontal="left" vertical="center" wrapText="1"/>
      <protection hidden="1"/>
    </xf>
    <xf numFmtId="0" fontId="8" fillId="0" borderId="33" xfId="0" applyFont="1" applyBorder="1" applyAlignment="1" applyProtection="1">
      <alignment horizontal="left" vertical="center" wrapText="1"/>
      <protection hidden="1"/>
    </xf>
    <xf numFmtId="0" fontId="8" fillId="0" borderId="19" xfId="0" applyFont="1" applyBorder="1" applyAlignment="1" applyProtection="1">
      <alignment horizontal="left" vertical="center" wrapText="1"/>
      <protection hidden="1"/>
    </xf>
    <xf numFmtId="0" fontId="8" fillId="0" borderId="34" xfId="0" applyFont="1" applyBorder="1" applyAlignment="1" applyProtection="1">
      <alignment horizontal="left" vertical="center" wrapText="1"/>
      <protection hidden="1"/>
    </xf>
    <xf numFmtId="0" fontId="11" fillId="0" borderId="59" xfId="0" applyFont="1" applyBorder="1" applyAlignment="1" applyProtection="1">
      <alignment horizontal="left" wrapText="1"/>
      <protection hidden="1"/>
    </xf>
    <xf numFmtId="0" fontId="11" fillId="0" borderId="46" xfId="0" applyFont="1" applyBorder="1" applyAlignment="1" applyProtection="1">
      <alignment horizontal="left" wrapText="1"/>
      <protection hidden="1"/>
    </xf>
    <xf numFmtId="0" fontId="11" fillId="0" borderId="60" xfId="0" applyFont="1" applyBorder="1" applyAlignment="1" applyProtection="1">
      <alignment horizontal="left" wrapText="1"/>
      <protection hidden="1"/>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3" fontId="13" fillId="12" borderId="44" xfId="0" applyNumberFormat="1" applyFont="1" applyFill="1" applyBorder="1" applyAlignment="1" applyProtection="1">
      <alignment horizontal="center" vertical="center" shrinkToFit="1"/>
      <protection locked="0"/>
    </xf>
    <xf numFmtId="0" fontId="4" fillId="0" borderId="16" xfId="0" applyFont="1" applyBorder="1" applyAlignment="1" applyProtection="1">
      <alignment horizontal="center" vertical="center" wrapText="1"/>
      <protection hidden="1"/>
    </xf>
    <xf numFmtId="0" fontId="4" fillId="0" borderId="13" xfId="0" applyFont="1" applyBorder="1" applyAlignment="1" applyProtection="1">
      <alignment horizontal="center" vertical="center" wrapText="1"/>
      <protection hidden="1"/>
    </xf>
    <xf numFmtId="0" fontId="4" fillId="0" borderId="1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17" xfId="0" applyFont="1" applyBorder="1" applyAlignment="1" applyProtection="1">
      <alignment horizontal="center" vertical="center" wrapText="1"/>
      <protection hidden="1"/>
    </xf>
    <xf numFmtId="1" fontId="3" fillId="13" borderId="10" xfId="0" applyNumberFormat="1" applyFont="1" applyFill="1" applyBorder="1" applyAlignment="1" applyProtection="1">
      <alignment horizontal="center" vertical="center"/>
      <protection locked="0" hidden="1"/>
    </xf>
    <xf numFmtId="1" fontId="3" fillId="13" borderId="11" xfId="0" applyNumberFormat="1" applyFont="1" applyFill="1" applyBorder="1" applyAlignment="1" applyProtection="1">
      <alignment horizontal="center" vertical="center"/>
      <protection locked="0" hidden="1"/>
    </xf>
    <xf numFmtId="1" fontId="3" fillId="13" borderId="12" xfId="0" applyNumberFormat="1" applyFont="1" applyFill="1" applyBorder="1" applyAlignment="1" applyProtection="1">
      <alignment horizontal="center" vertical="center"/>
      <protection locked="0" hidden="1"/>
    </xf>
    <xf numFmtId="0" fontId="0" fillId="0" borderId="10" xfId="0" applyBorder="1" applyAlignment="1" applyProtection="1">
      <alignment horizontal="center" vertical="center" shrinkToFit="1"/>
      <protection hidden="1"/>
    </xf>
    <xf numFmtId="0" fontId="0" fillId="0" borderId="11" xfId="0" applyBorder="1" applyAlignment="1" applyProtection="1">
      <alignment horizontal="center" vertical="center" shrinkToFit="1"/>
      <protection hidden="1"/>
    </xf>
    <xf numFmtId="0" fontId="0" fillId="0" borderId="12" xfId="0" applyBorder="1" applyAlignment="1" applyProtection="1">
      <alignment horizontal="center" vertical="center" shrinkToFit="1"/>
      <protection hidden="1"/>
    </xf>
    <xf numFmtId="0" fontId="11" fillId="0" borderId="48" xfId="0" applyFont="1" applyBorder="1" applyAlignment="1" applyProtection="1">
      <alignment horizontal="left" wrapText="1"/>
      <protection hidden="1"/>
    </xf>
    <xf numFmtId="0" fontId="11" fillId="0" borderId="49" xfId="0" applyFont="1" applyBorder="1" applyAlignment="1" applyProtection="1">
      <alignment horizontal="left" wrapText="1"/>
      <protection hidden="1"/>
    </xf>
    <xf numFmtId="0" fontId="11" fillId="0" borderId="50" xfId="0" applyFont="1" applyBorder="1" applyAlignment="1" applyProtection="1">
      <alignment horizontal="left" wrapText="1"/>
      <protection hidden="1"/>
    </xf>
    <xf numFmtId="3" fontId="13" fillId="12" borderId="59" xfId="0" applyNumberFormat="1" applyFont="1" applyFill="1" applyBorder="1" applyAlignment="1" applyProtection="1">
      <alignment horizontal="center" vertical="center" shrinkToFit="1"/>
      <protection locked="0"/>
    </xf>
    <xf numFmtId="3" fontId="13" fillId="12" borderId="46" xfId="0" applyNumberFormat="1" applyFont="1" applyFill="1" applyBorder="1" applyAlignment="1" applyProtection="1">
      <alignment horizontal="center" vertical="center" shrinkToFit="1"/>
      <protection locked="0"/>
    </xf>
    <xf numFmtId="3" fontId="13" fillId="12" borderId="60" xfId="0" applyNumberFormat="1" applyFont="1" applyFill="1" applyBorder="1" applyAlignment="1" applyProtection="1">
      <alignment horizontal="center" vertical="center" shrinkToFit="1"/>
      <protection locked="0"/>
    </xf>
    <xf numFmtId="3" fontId="13" fillId="12" borderId="47" xfId="0" applyNumberFormat="1" applyFont="1" applyFill="1" applyBorder="1" applyAlignment="1" applyProtection="1">
      <alignment horizontal="center" vertical="center" shrinkToFit="1"/>
      <protection locked="0"/>
    </xf>
    <xf numFmtId="3" fontId="13" fillId="12" borderId="45" xfId="0" applyNumberFormat="1" applyFont="1" applyFill="1" applyBorder="1" applyAlignment="1" applyProtection="1">
      <alignment horizontal="center" vertical="center" shrinkToFit="1"/>
      <protection locked="0"/>
    </xf>
    <xf numFmtId="3" fontId="13" fillId="12" borderId="62" xfId="0" applyNumberFormat="1" applyFont="1" applyFill="1" applyBorder="1" applyAlignment="1" applyProtection="1">
      <alignment horizontal="center" vertical="center" shrinkToFit="1"/>
      <protection locked="0"/>
    </xf>
    <xf numFmtId="3" fontId="13" fillId="12" borderId="30" xfId="0" applyNumberFormat="1" applyFont="1" applyFill="1" applyBorder="1" applyAlignment="1" applyProtection="1">
      <alignment horizontal="center" vertical="center" shrinkToFit="1"/>
      <protection locked="0"/>
    </xf>
    <xf numFmtId="3" fontId="13" fillId="12" borderId="63" xfId="0" applyNumberFormat="1" applyFont="1" applyFill="1" applyBorder="1" applyAlignment="1" applyProtection="1">
      <alignment horizontal="center" vertical="center" shrinkToFit="1"/>
      <protection locked="0"/>
    </xf>
    <xf numFmtId="3" fontId="13" fillId="12" borderId="26" xfId="0" applyNumberFormat="1" applyFont="1" applyFill="1" applyBorder="1" applyAlignment="1" applyProtection="1">
      <alignment horizontal="center" vertical="center" shrinkToFit="1"/>
      <protection locked="0"/>
    </xf>
    <xf numFmtId="3" fontId="4" fillId="12" borderId="10" xfId="0" applyNumberFormat="1" applyFont="1" applyFill="1" applyBorder="1" applyAlignment="1" applyProtection="1">
      <alignment horizontal="center" vertical="center" shrinkToFit="1"/>
      <protection locked="0"/>
    </xf>
    <xf numFmtId="3" fontId="4" fillId="12" borderId="11" xfId="0" applyNumberFormat="1" applyFont="1" applyFill="1" applyBorder="1" applyAlignment="1" applyProtection="1">
      <alignment horizontal="center" vertical="center" shrinkToFit="1"/>
      <protection locked="0"/>
    </xf>
    <xf numFmtId="3" fontId="4" fillId="12" borderId="12" xfId="0" applyNumberFormat="1" applyFont="1" applyFill="1" applyBorder="1" applyAlignment="1" applyProtection="1">
      <alignment horizontal="center" vertical="center" shrinkToFit="1"/>
      <protection locked="0"/>
    </xf>
    <xf numFmtId="3" fontId="13" fillId="12" borderId="7" xfId="0" applyNumberFormat="1" applyFont="1" applyFill="1" applyBorder="1" applyAlignment="1" applyProtection="1">
      <alignment horizontal="center" vertical="center" shrinkToFit="1"/>
      <protection locked="0"/>
    </xf>
    <xf numFmtId="3" fontId="13" fillId="12" borderId="0" xfId="0" applyNumberFormat="1" applyFont="1" applyFill="1" applyBorder="1" applyAlignment="1" applyProtection="1">
      <alignment horizontal="center" vertical="center" shrinkToFit="1"/>
      <protection locked="0"/>
    </xf>
    <xf numFmtId="3" fontId="13" fillId="12" borderId="15" xfId="0" applyNumberFormat="1" applyFont="1" applyFill="1" applyBorder="1" applyAlignment="1" applyProtection="1">
      <alignment horizontal="center" vertical="center" shrinkToFit="1"/>
      <protection locked="0"/>
    </xf>
    <xf numFmtId="3" fontId="4" fillId="0" borderId="10" xfId="0" applyNumberFormat="1" applyFont="1" applyBorder="1" applyAlignment="1" applyProtection="1">
      <alignment horizontal="center" vertical="center" wrapText="1"/>
      <protection hidden="1"/>
    </xf>
    <xf numFmtId="3" fontId="4" fillId="0" borderId="11" xfId="0" applyNumberFormat="1" applyFont="1" applyBorder="1" applyAlignment="1" applyProtection="1">
      <alignment horizontal="center" vertical="center" wrapText="1"/>
      <protection hidden="1"/>
    </xf>
    <xf numFmtId="3" fontId="4" fillId="0" borderId="12" xfId="0" applyNumberFormat="1" applyFont="1" applyBorder="1" applyAlignment="1" applyProtection="1">
      <alignment horizontal="center" vertical="center" wrapText="1"/>
      <protection hidden="1"/>
    </xf>
    <xf numFmtId="3" fontId="13" fillId="12" borderId="10" xfId="0" applyNumberFormat="1" applyFont="1" applyFill="1" applyBorder="1" applyAlignment="1" applyProtection="1">
      <alignment horizontal="center" vertical="center" shrinkToFit="1"/>
      <protection locked="0"/>
    </xf>
    <xf numFmtId="3" fontId="13" fillId="12" borderId="11" xfId="0" applyNumberFormat="1" applyFont="1" applyFill="1" applyBorder="1" applyAlignment="1" applyProtection="1">
      <alignment horizontal="center" vertical="center" shrinkToFit="1"/>
      <protection locked="0"/>
    </xf>
    <xf numFmtId="3" fontId="13" fillId="12" borderId="12" xfId="0" applyNumberFormat="1" applyFont="1" applyFill="1" applyBorder="1" applyAlignment="1" applyProtection="1">
      <alignment horizontal="center" vertical="center" shrinkToFit="1"/>
      <protection locked="0"/>
    </xf>
    <xf numFmtId="3" fontId="13" fillId="12" borderId="51" xfId="0" applyNumberFormat="1" applyFont="1" applyFill="1" applyBorder="1" applyAlignment="1" applyProtection="1">
      <alignment horizontal="center" vertical="center" shrinkToFit="1"/>
      <protection locked="0"/>
    </xf>
    <xf numFmtId="3" fontId="3" fillId="13" borderId="76" xfId="0" applyNumberFormat="1" applyFont="1" applyFill="1" applyBorder="1" applyAlignment="1" applyProtection="1">
      <alignment horizontal="center" vertical="center" shrinkToFit="1"/>
      <protection locked="0" hidden="1"/>
    </xf>
    <xf numFmtId="3" fontId="3" fillId="13" borderId="64" xfId="0" applyNumberFormat="1" applyFont="1" applyFill="1" applyBorder="1" applyAlignment="1" applyProtection="1">
      <alignment horizontal="center" vertical="center" shrinkToFit="1"/>
      <protection locked="0" hidden="1"/>
    </xf>
    <xf numFmtId="3" fontId="13" fillId="12" borderId="16" xfId="0" applyNumberFormat="1" applyFont="1" applyFill="1" applyBorder="1" applyAlignment="1" applyProtection="1">
      <alignment horizontal="center" vertical="center" shrinkToFit="1"/>
      <protection locked="0"/>
    </xf>
    <xf numFmtId="3" fontId="13" fillId="12" borderId="13" xfId="0" applyNumberFormat="1" applyFont="1" applyFill="1" applyBorder="1" applyAlignment="1" applyProtection="1">
      <alignment horizontal="center" vertical="center" shrinkToFit="1"/>
      <protection locked="0"/>
    </xf>
    <xf numFmtId="3" fontId="13" fillId="12" borderId="14" xfId="0" applyNumberFormat="1" applyFont="1" applyFill="1" applyBorder="1" applyAlignment="1" applyProtection="1">
      <alignment horizontal="center" vertical="center" shrinkToFit="1"/>
      <protection locked="0"/>
    </xf>
    <xf numFmtId="3" fontId="13" fillId="12" borderId="64" xfId="0" applyNumberFormat="1" applyFont="1" applyFill="1" applyBorder="1" applyAlignment="1" applyProtection="1">
      <alignment horizontal="center" vertical="center" shrinkToFit="1"/>
      <protection locked="0"/>
    </xf>
    <xf numFmtId="3" fontId="13" fillId="12" borderId="19" xfId="0" applyNumberFormat="1" applyFont="1" applyFill="1" applyBorder="1" applyAlignment="1" applyProtection="1">
      <alignment horizontal="center" vertical="center" shrinkToFit="1"/>
      <protection locked="0"/>
    </xf>
    <xf numFmtId="3" fontId="13" fillId="12" borderId="34" xfId="0" applyNumberFormat="1" applyFont="1" applyFill="1" applyBorder="1" applyAlignment="1" applyProtection="1">
      <alignment horizontal="center" vertical="center" shrinkToFit="1"/>
      <protection locked="0"/>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3" fontId="27" fillId="12" borderId="36" xfId="0" applyNumberFormat="1" applyFont="1" applyFill="1" applyBorder="1" applyAlignment="1" applyProtection="1">
      <alignment horizontal="center" vertical="center" shrinkToFit="1"/>
      <protection locked="0"/>
    </xf>
    <xf numFmtId="3" fontId="27" fillId="12" borderId="24" xfId="0" applyNumberFormat="1" applyFont="1" applyFill="1" applyBorder="1" applyAlignment="1" applyProtection="1">
      <alignment horizontal="center" vertical="center" shrinkToFit="1"/>
      <protection locked="0"/>
    </xf>
    <xf numFmtId="3" fontId="27" fillId="12" borderId="25" xfId="0" applyNumberFormat="1" applyFont="1" applyFill="1" applyBorder="1" applyAlignment="1" applyProtection="1">
      <alignment horizontal="center" vertical="center" shrinkToFit="1"/>
      <protection locked="0"/>
    </xf>
    <xf numFmtId="3" fontId="0" fillId="13" borderId="11" xfId="0" applyNumberFormat="1" applyFill="1" applyBorder="1" applyAlignment="1" applyProtection="1">
      <alignment vertical="center" shrinkToFit="1"/>
      <protection locked="0" hidden="1"/>
    </xf>
    <xf numFmtId="3" fontId="0" fillId="13" borderId="12" xfId="0" applyNumberFormat="1" applyFill="1" applyBorder="1" applyAlignment="1" applyProtection="1">
      <alignment vertical="center" shrinkToFit="1"/>
      <protection locked="0" hidden="1"/>
    </xf>
    <xf numFmtId="1" fontId="3" fillId="13" borderId="16" xfId="0" applyNumberFormat="1" applyFont="1" applyFill="1" applyBorder="1" applyAlignment="1" applyProtection="1">
      <alignment horizontal="center" vertical="center" wrapText="1"/>
      <protection locked="0" hidden="1"/>
    </xf>
    <xf numFmtId="1" fontId="3" fillId="13" borderId="13" xfId="0" applyNumberFormat="1" applyFont="1" applyFill="1" applyBorder="1" applyAlignment="1" applyProtection="1">
      <alignment horizontal="center" vertical="center" wrapText="1"/>
      <protection locked="0" hidden="1"/>
    </xf>
    <xf numFmtId="1" fontId="3" fillId="13" borderId="14" xfId="0" applyNumberFormat="1" applyFont="1" applyFill="1" applyBorder="1" applyAlignment="1" applyProtection="1">
      <alignment horizontal="center" vertical="center" wrapText="1"/>
      <protection locked="0" hidden="1"/>
    </xf>
    <xf numFmtId="1" fontId="3" fillId="13" borderId="8" xfId="0" applyNumberFormat="1" applyFont="1" applyFill="1" applyBorder="1" applyAlignment="1" applyProtection="1">
      <alignment horizontal="center" vertical="center" wrapText="1"/>
      <protection locked="0" hidden="1"/>
    </xf>
    <xf numFmtId="1" fontId="3" fillId="13" borderId="9" xfId="0" applyNumberFormat="1" applyFont="1" applyFill="1" applyBorder="1" applyAlignment="1" applyProtection="1">
      <alignment horizontal="center" vertical="center" wrapText="1"/>
      <protection locked="0" hidden="1"/>
    </xf>
    <xf numFmtId="1" fontId="3" fillId="13" borderId="17" xfId="0" applyNumberFormat="1" applyFont="1" applyFill="1" applyBorder="1" applyAlignment="1" applyProtection="1">
      <alignment horizontal="center" vertical="center" wrapText="1"/>
      <protection locked="0" hidden="1"/>
    </xf>
    <xf numFmtId="3" fontId="13" fillId="12" borderId="21" xfId="0" applyNumberFormat="1" applyFont="1" applyFill="1" applyBorder="1" applyAlignment="1" applyProtection="1">
      <alignment horizontal="center" vertical="center" shrinkToFit="1"/>
      <protection locked="0"/>
    </xf>
    <xf numFmtId="3" fontId="3" fillId="0" borderId="10" xfId="0" applyNumberFormat="1" applyFont="1" applyBorder="1" applyAlignment="1" applyProtection="1">
      <alignment horizontal="center" vertical="center" shrinkToFit="1"/>
      <protection hidden="1"/>
    </xf>
    <xf numFmtId="3" fontId="3" fillId="0" borderId="11" xfId="0" applyNumberFormat="1" applyFont="1" applyBorder="1" applyAlignment="1" applyProtection="1">
      <alignment horizontal="center" vertical="center" shrinkToFit="1"/>
      <protection hidden="1"/>
    </xf>
    <xf numFmtId="3" fontId="3" fillId="0" borderId="12" xfId="0" applyNumberFormat="1" applyFont="1" applyBorder="1" applyAlignment="1" applyProtection="1">
      <alignment horizontal="center" vertical="center" shrinkToFit="1"/>
      <protection hidden="1"/>
    </xf>
    <xf numFmtId="3" fontId="13" fillId="12" borderId="23" xfId="0" applyNumberFormat="1" applyFont="1" applyFill="1" applyBorder="1" applyAlignment="1" applyProtection="1">
      <alignment horizontal="center" vertical="center" shrinkToFit="1"/>
      <protection locked="0"/>
    </xf>
    <xf numFmtId="3" fontId="13" fillId="12" borderId="24" xfId="0" applyNumberFormat="1" applyFont="1" applyFill="1" applyBorder="1" applyAlignment="1" applyProtection="1">
      <alignment horizontal="center" vertical="center" shrinkToFit="1"/>
      <protection locked="0"/>
    </xf>
    <xf numFmtId="3" fontId="13" fillId="12" borderId="25" xfId="0" applyNumberFormat="1" applyFont="1" applyFill="1" applyBorder="1" applyAlignment="1" applyProtection="1">
      <alignment horizontal="center" vertical="center" shrinkToFit="1"/>
      <protection locked="0"/>
    </xf>
    <xf numFmtId="0" fontId="8" fillId="0" borderId="65" xfId="0" applyFont="1" applyBorder="1" applyAlignment="1" applyProtection="1">
      <alignment horizontal="center" vertical="center"/>
      <protection hidden="1"/>
    </xf>
    <xf numFmtId="3" fontId="20" fillId="12" borderId="46" xfId="0" applyNumberFormat="1" applyFont="1" applyFill="1" applyBorder="1" applyAlignment="1" applyProtection="1">
      <alignment vertical="center" shrinkToFit="1"/>
      <protection locked="0"/>
    </xf>
    <xf numFmtId="3" fontId="20" fillId="12" borderId="60" xfId="0" applyNumberFormat="1" applyFont="1" applyFill="1" applyBorder="1" applyAlignment="1" applyProtection="1">
      <alignment vertical="center" shrinkToFit="1"/>
      <protection locked="0"/>
    </xf>
    <xf numFmtId="1" fontId="3" fillId="13" borderId="7" xfId="0" applyNumberFormat="1" applyFont="1" applyFill="1" applyBorder="1" applyAlignment="1" applyProtection="1">
      <alignment horizontal="center" vertical="center" wrapText="1"/>
      <protection locked="0" hidden="1"/>
    </xf>
    <xf numFmtId="1" fontId="3" fillId="13" borderId="0" xfId="0" applyNumberFormat="1" applyFont="1" applyFill="1" applyBorder="1" applyAlignment="1" applyProtection="1">
      <alignment horizontal="center" vertical="center" wrapText="1"/>
      <protection locked="0" hidden="1"/>
    </xf>
    <xf numFmtId="1" fontId="3" fillId="13" borderId="15" xfId="0" applyNumberFormat="1" applyFont="1" applyFill="1" applyBorder="1" applyAlignment="1" applyProtection="1">
      <alignment horizontal="center" vertical="center" wrapText="1"/>
      <protection locked="0" hidden="1"/>
    </xf>
    <xf numFmtId="3" fontId="13" fillId="12" borderId="33" xfId="0" applyNumberFormat="1" applyFont="1" applyFill="1" applyBorder="1" applyAlignment="1" applyProtection="1">
      <alignment horizontal="center" vertical="center" shrinkToFit="1"/>
      <protection locked="0"/>
    </xf>
    <xf numFmtId="3" fontId="20" fillId="12" borderId="19" xfId="0" applyNumberFormat="1" applyFont="1" applyFill="1" applyBorder="1" applyAlignment="1" applyProtection="1">
      <alignment vertical="center" shrinkToFit="1"/>
      <protection locked="0"/>
    </xf>
    <xf numFmtId="3" fontId="20" fillId="12" borderId="34" xfId="0" applyNumberFormat="1" applyFont="1" applyFill="1" applyBorder="1" applyAlignment="1" applyProtection="1">
      <alignment vertical="center" shrinkToFit="1"/>
      <protection locked="0"/>
    </xf>
    <xf numFmtId="0" fontId="25" fillId="0" borderId="18" xfId="0" applyFont="1" applyBorder="1" applyAlignment="1" applyProtection="1">
      <alignment horizontal="center" vertical="center"/>
      <protection hidden="1"/>
    </xf>
    <xf numFmtId="0" fontId="13" fillId="12" borderId="39" xfId="0" applyFont="1" applyFill="1" applyBorder="1" applyAlignment="1" applyProtection="1">
      <alignment horizontal="left" vertical="center" shrinkToFit="1"/>
      <protection locked="0"/>
    </xf>
    <xf numFmtId="0" fontId="13" fillId="12" borderId="40" xfId="0" applyFont="1" applyFill="1" applyBorder="1" applyAlignment="1" applyProtection="1">
      <alignment horizontal="left" vertical="center" shrinkToFit="1"/>
      <protection locked="0"/>
    </xf>
    <xf numFmtId="0" fontId="13" fillId="12" borderId="41" xfId="0" applyFont="1" applyFill="1" applyBorder="1" applyAlignment="1" applyProtection="1">
      <alignment horizontal="left" vertical="center" shrinkToFit="1"/>
      <protection locked="0"/>
    </xf>
    <xf numFmtId="3" fontId="3" fillId="0" borderId="10" xfId="0" applyNumberFormat="1" applyFont="1" applyBorder="1" applyAlignment="1" applyProtection="1">
      <alignment horizontal="center" vertical="center"/>
      <protection hidden="1"/>
    </xf>
    <xf numFmtId="3" fontId="3" fillId="0" borderId="11" xfId="0" applyNumberFormat="1" applyFont="1" applyBorder="1" applyAlignment="1" applyProtection="1">
      <alignment horizontal="center" vertical="center"/>
      <protection hidden="1"/>
    </xf>
    <xf numFmtId="3" fontId="3" fillId="0" borderId="12" xfId="0" applyNumberFormat="1" applyFont="1" applyBorder="1" applyAlignment="1" applyProtection="1">
      <alignment horizontal="center" vertical="center"/>
      <protection hidden="1"/>
    </xf>
    <xf numFmtId="0" fontId="13" fillId="12" borderId="42" xfId="0" applyFont="1" applyFill="1" applyBorder="1" applyAlignment="1" applyProtection="1">
      <alignment horizontal="left" vertical="center" shrinkToFit="1"/>
      <protection locked="0"/>
    </xf>
    <xf numFmtId="0" fontId="13" fillId="12" borderId="43" xfId="0" applyFont="1" applyFill="1" applyBorder="1" applyAlignment="1" applyProtection="1">
      <alignment horizontal="left" vertical="center" shrinkToFit="1"/>
      <protection locked="0"/>
    </xf>
    <xf numFmtId="0" fontId="13" fillId="12" borderId="45" xfId="0" applyFont="1" applyFill="1" applyBorder="1" applyAlignment="1" applyProtection="1">
      <alignment horizontal="left" vertical="center" shrinkToFit="1"/>
      <protection locked="0"/>
    </xf>
    <xf numFmtId="0" fontId="5" fillId="0" borderId="10" xfId="0" applyFont="1" applyBorder="1" applyAlignment="1" applyProtection="1">
      <alignment horizontal="center"/>
      <protection hidden="1"/>
    </xf>
    <xf numFmtId="0" fontId="5" fillId="0" borderId="11" xfId="0" applyFont="1" applyBorder="1" applyAlignment="1" applyProtection="1">
      <alignment horizontal="center"/>
      <protection hidden="1"/>
    </xf>
    <xf numFmtId="3" fontId="3" fillId="13" borderId="52" xfId="0" applyNumberFormat="1" applyFont="1" applyFill="1" applyBorder="1" applyAlignment="1" applyProtection="1">
      <alignment horizontal="center" vertical="center" shrinkToFit="1"/>
      <protection locked="0" hidden="1"/>
    </xf>
    <xf numFmtId="3" fontId="3" fillId="13" borderId="40" xfId="0" applyNumberFormat="1" applyFont="1" applyFill="1" applyBorder="1" applyAlignment="1" applyProtection="1">
      <alignment horizontal="center" vertical="center" shrinkToFit="1"/>
      <protection locked="0" hidden="1"/>
    </xf>
    <xf numFmtId="3" fontId="3" fillId="13" borderId="41" xfId="0" applyNumberFormat="1" applyFont="1" applyFill="1" applyBorder="1" applyAlignment="1" applyProtection="1">
      <alignment horizontal="center" vertical="center" shrinkToFit="1"/>
      <protection locked="0" hidden="1"/>
    </xf>
    <xf numFmtId="0" fontId="27" fillId="0" borderId="39" xfId="0" applyFont="1" applyBorder="1" applyAlignment="1" applyProtection="1">
      <alignment horizontal="left" wrapText="1"/>
      <protection hidden="1"/>
    </xf>
    <xf numFmtId="0" fontId="27" fillId="0" borderId="40" xfId="0" applyFont="1" applyBorder="1" applyAlignment="1" applyProtection="1">
      <alignment horizontal="left" wrapText="1"/>
      <protection hidden="1"/>
    </xf>
    <xf numFmtId="0" fontId="27" fillId="0" borderId="51" xfId="0" applyFont="1" applyBorder="1" applyAlignment="1" applyProtection="1">
      <alignment horizontal="left" wrapText="1"/>
      <protection hidden="1"/>
    </xf>
    <xf numFmtId="0" fontId="27" fillId="0" borderId="39" xfId="0" applyFont="1" applyBorder="1" applyAlignment="1" applyProtection="1">
      <alignment horizontal="left"/>
      <protection hidden="1"/>
    </xf>
    <xf numFmtId="0" fontId="27" fillId="0" borderId="40" xfId="0" applyFont="1" applyBorder="1" applyAlignment="1" applyProtection="1">
      <alignment horizontal="left"/>
      <protection hidden="1"/>
    </xf>
    <xf numFmtId="0" fontId="27" fillId="0" borderId="51" xfId="0" applyFont="1" applyBorder="1" applyAlignment="1" applyProtection="1">
      <alignment horizontal="left"/>
      <protection hidden="1"/>
    </xf>
    <xf numFmtId="3" fontId="13" fillId="12" borderId="53" xfId="0" applyNumberFormat="1" applyFont="1" applyFill="1" applyBorder="1" applyAlignment="1" applyProtection="1">
      <alignment horizontal="center" vertical="center" shrinkToFit="1"/>
      <protection locked="0"/>
    </xf>
    <xf numFmtId="3" fontId="13" fillId="12" borderId="54" xfId="0" applyNumberFormat="1" applyFont="1" applyFill="1" applyBorder="1" applyAlignment="1" applyProtection="1">
      <alignment horizontal="center" vertical="center" shrinkToFit="1"/>
      <protection locked="0"/>
    </xf>
    <xf numFmtId="3" fontId="13" fillId="12" borderId="55" xfId="0" applyNumberFormat="1" applyFont="1" applyFill="1" applyBorder="1" applyAlignment="1" applyProtection="1">
      <alignment horizontal="center" vertical="center" shrinkToFit="1"/>
      <protection locked="0"/>
    </xf>
    <xf numFmtId="0" fontId="6" fillId="0" borderId="56" xfId="0" applyFont="1" applyBorder="1" applyAlignment="1" applyProtection="1">
      <alignment horizontal="left" vertical="center" wrapText="1"/>
      <protection hidden="1"/>
    </xf>
    <xf numFmtId="0" fontId="6" fillId="0" borderId="57" xfId="0" applyFont="1" applyBorder="1" applyAlignment="1" applyProtection="1">
      <alignment horizontal="left" vertical="center" wrapText="1"/>
      <protection hidden="1"/>
    </xf>
    <xf numFmtId="3" fontId="13" fillId="12" borderId="57" xfId="0" applyNumberFormat="1" applyFont="1" applyFill="1" applyBorder="1" applyAlignment="1" applyProtection="1">
      <alignment horizontal="center" vertical="center" shrinkToFit="1"/>
      <protection locked="0"/>
    </xf>
    <xf numFmtId="0" fontId="13" fillId="12" borderId="52" xfId="0" applyFont="1" applyFill="1" applyBorder="1" applyAlignment="1" applyProtection="1">
      <alignment horizontal="center" vertical="center" shrinkToFit="1"/>
      <protection locked="0"/>
    </xf>
    <xf numFmtId="14" fontId="3" fillId="13" borderId="0" xfId="0" applyNumberFormat="1" applyFont="1" applyFill="1" applyAlignment="1" applyProtection="1">
      <alignment horizontal="center"/>
      <protection hidden="1"/>
    </xf>
    <xf numFmtId="0" fontId="5" fillId="0" borderId="16"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14"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5" fillId="0" borderId="9" xfId="0" applyFont="1" applyBorder="1" applyAlignment="1" applyProtection="1">
      <alignment horizontal="center" vertical="center" wrapText="1"/>
      <protection hidden="1"/>
    </xf>
    <xf numFmtId="0" fontId="5" fillId="0" borderId="17" xfId="0" applyFont="1" applyBorder="1" applyAlignment="1" applyProtection="1">
      <alignment horizontal="center" vertical="center" wrapText="1"/>
      <protection hidden="1"/>
    </xf>
    <xf numFmtId="0" fontId="13" fillId="12" borderId="33" xfId="0" applyFont="1" applyFill="1" applyBorder="1" applyAlignment="1" applyProtection="1">
      <alignment horizontal="left" vertical="center" shrinkToFit="1"/>
      <protection locked="0"/>
    </xf>
    <xf numFmtId="0" fontId="13" fillId="12" borderId="19" xfId="0" applyFont="1" applyFill="1" applyBorder="1" applyAlignment="1" applyProtection="1">
      <alignment horizontal="left" vertical="center" shrinkToFit="1"/>
      <protection locked="0"/>
    </xf>
    <xf numFmtId="0" fontId="13" fillId="12" borderId="34" xfId="0" applyFont="1" applyFill="1" applyBorder="1" applyAlignment="1" applyProtection="1">
      <alignment horizontal="left" vertical="center" shrinkToFit="1"/>
      <protection locked="0"/>
    </xf>
    <xf numFmtId="0" fontId="3" fillId="12" borderId="33" xfId="0" applyFont="1" applyFill="1" applyBorder="1" applyAlignment="1" applyProtection="1">
      <alignment horizontal="center" vertical="center" shrinkToFit="1"/>
      <protection locked="0"/>
    </xf>
    <xf numFmtId="0" fontId="3" fillId="12" borderId="19" xfId="0" applyFont="1" applyFill="1" applyBorder="1" applyAlignment="1" applyProtection="1">
      <alignment horizontal="center" vertical="center" shrinkToFit="1"/>
      <protection locked="0"/>
    </xf>
    <xf numFmtId="0" fontId="3" fillId="12" borderId="34" xfId="0" applyFont="1" applyFill="1" applyBorder="1" applyAlignment="1" applyProtection="1">
      <alignment horizontal="center" vertical="center" shrinkToFit="1"/>
      <protection locked="0"/>
    </xf>
    <xf numFmtId="0" fontId="13" fillId="12" borderId="53" xfId="0" applyFont="1" applyFill="1" applyBorder="1" applyAlignment="1" applyProtection="1">
      <alignment horizontal="left" vertical="center" shrinkToFit="1"/>
      <protection locked="0"/>
    </xf>
    <xf numFmtId="0" fontId="13" fillId="12" borderId="54" xfId="0" applyFont="1" applyFill="1" applyBorder="1" applyAlignment="1" applyProtection="1">
      <alignment horizontal="left" vertical="center" shrinkToFit="1"/>
      <protection locked="0"/>
    </xf>
    <xf numFmtId="0" fontId="13" fillId="12" borderId="55" xfId="0" applyFont="1" applyFill="1" applyBorder="1" applyAlignment="1" applyProtection="1">
      <alignment horizontal="left" vertical="center" shrinkToFit="1"/>
      <protection locked="0"/>
    </xf>
    <xf numFmtId="0" fontId="3" fillId="12" borderId="48" xfId="0" applyFont="1" applyFill="1" applyBorder="1" applyAlignment="1" applyProtection="1">
      <alignment horizontal="center" vertical="center" shrinkToFit="1"/>
      <protection locked="0"/>
    </xf>
    <xf numFmtId="0" fontId="3" fillId="12" borderId="49" xfId="0" applyFont="1" applyFill="1" applyBorder="1" applyAlignment="1" applyProtection="1">
      <alignment horizontal="center" vertical="center" shrinkToFit="1"/>
      <protection locked="0"/>
    </xf>
    <xf numFmtId="0" fontId="3" fillId="12" borderId="50" xfId="0" applyFont="1" applyFill="1" applyBorder="1" applyAlignment="1" applyProtection="1">
      <alignment horizontal="center" vertical="center" shrinkToFit="1"/>
      <protection locked="0"/>
    </xf>
    <xf numFmtId="0" fontId="13" fillId="12" borderId="48" xfId="0" applyFont="1" applyFill="1" applyBorder="1" applyAlignment="1" applyProtection="1">
      <alignment horizontal="left" vertical="center" shrinkToFit="1"/>
      <protection locked="0"/>
    </xf>
    <xf numFmtId="0" fontId="13" fillId="12" borderId="49" xfId="0" applyFont="1" applyFill="1" applyBorder="1" applyAlignment="1" applyProtection="1">
      <alignment horizontal="left" vertical="center" shrinkToFit="1"/>
      <protection locked="0"/>
    </xf>
    <xf numFmtId="0" fontId="13" fillId="12" borderId="50" xfId="0" applyFont="1" applyFill="1" applyBorder="1" applyAlignment="1" applyProtection="1">
      <alignment horizontal="left" vertical="center" shrinkToFit="1"/>
      <protection locked="0"/>
    </xf>
    <xf numFmtId="43" fontId="1" fillId="0" borderId="16" xfId="1" applyFont="1" applyBorder="1" applyAlignment="1" applyProtection="1">
      <alignment horizontal="center" vertical="center" wrapText="1"/>
      <protection hidden="1"/>
    </xf>
    <xf numFmtId="43" fontId="1" fillId="0" borderId="13" xfId="1" applyFont="1" applyBorder="1" applyAlignment="1" applyProtection="1">
      <alignment horizontal="center" vertical="center" wrapText="1"/>
      <protection hidden="1"/>
    </xf>
    <xf numFmtId="43" fontId="1" fillId="0" borderId="14" xfId="1" applyFont="1" applyBorder="1" applyAlignment="1" applyProtection="1">
      <alignment horizontal="center" vertical="center" wrapText="1"/>
      <protection hidden="1"/>
    </xf>
    <xf numFmtId="43" fontId="1" fillId="0" borderId="8" xfId="1" applyFont="1" applyBorder="1" applyAlignment="1" applyProtection="1">
      <alignment horizontal="center" vertical="center" wrapText="1"/>
      <protection hidden="1"/>
    </xf>
    <xf numFmtId="43" fontId="1" fillId="0" borderId="9" xfId="1" applyFont="1" applyBorder="1" applyAlignment="1" applyProtection="1">
      <alignment horizontal="center" vertical="center" wrapText="1"/>
      <protection hidden="1"/>
    </xf>
    <xf numFmtId="43" fontId="1" fillId="0" borderId="17" xfId="1" applyFont="1" applyBorder="1" applyAlignment="1" applyProtection="1">
      <alignment horizontal="center" vertical="center" wrapText="1"/>
      <protection hidden="1"/>
    </xf>
    <xf numFmtId="0" fontId="20" fillId="0" borderId="29" xfId="0" applyFont="1" applyBorder="1" applyAlignment="1" applyProtection="1">
      <alignment horizontal="center" vertical="center"/>
      <protection hidden="1"/>
    </xf>
    <xf numFmtId="0" fontId="20" fillId="0" borderId="66" xfId="0" applyFont="1" applyBorder="1" applyAlignment="1" applyProtection="1">
      <alignment horizontal="center" vertical="center"/>
      <protection hidden="1"/>
    </xf>
    <xf numFmtId="0" fontId="20" fillId="0" borderId="67" xfId="0" applyFont="1" applyBorder="1" applyAlignment="1" applyProtection="1">
      <alignment horizontal="center" vertical="center"/>
      <protection hidden="1"/>
    </xf>
    <xf numFmtId="0" fontId="0" fillId="0" borderId="42" xfId="0" applyBorder="1" applyAlignment="1" applyProtection="1">
      <alignment horizontal="left"/>
      <protection hidden="1"/>
    </xf>
    <xf numFmtId="0" fontId="0" fillId="0" borderId="43" xfId="0" applyBorder="1" applyAlignment="1" applyProtection="1">
      <alignment horizontal="left"/>
      <protection hidden="1"/>
    </xf>
    <xf numFmtId="0" fontId="0" fillId="0" borderId="45" xfId="0" applyBorder="1" applyAlignment="1" applyProtection="1">
      <alignment horizontal="left"/>
      <protection hidden="1"/>
    </xf>
    <xf numFmtId="0" fontId="13" fillId="12" borderId="42" xfId="0" applyFont="1" applyFill="1" applyBorder="1" applyAlignment="1" applyProtection="1">
      <alignment horizontal="center" vertical="center" shrinkToFit="1"/>
      <protection locked="0"/>
    </xf>
    <xf numFmtId="0" fontId="13" fillId="12" borderId="43" xfId="0" applyFont="1" applyFill="1" applyBorder="1" applyAlignment="1" applyProtection="1">
      <alignment horizontal="center" vertical="center" shrinkToFit="1"/>
      <protection locked="0"/>
    </xf>
    <xf numFmtId="0" fontId="13" fillId="12" borderId="44" xfId="0" applyFont="1" applyFill="1" applyBorder="1" applyAlignment="1" applyProtection="1">
      <alignment horizontal="center" vertical="center" shrinkToFit="1"/>
      <protection locked="0"/>
    </xf>
    <xf numFmtId="0" fontId="4" fillId="0" borderId="10" xfId="0" applyFont="1" applyBorder="1" applyAlignment="1" applyProtection="1">
      <alignment horizontal="left"/>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13" fillId="12" borderId="53" xfId="0" applyFont="1" applyFill="1" applyBorder="1" applyAlignment="1" applyProtection="1">
      <alignment horizontal="center" vertical="center" shrinkToFit="1"/>
      <protection locked="0"/>
    </xf>
    <xf numFmtId="0" fontId="13" fillId="12" borderId="54" xfId="0" applyFont="1" applyFill="1" applyBorder="1" applyAlignment="1" applyProtection="1">
      <alignment horizontal="center" vertical="center" shrinkToFit="1"/>
      <protection locked="0"/>
    </xf>
    <xf numFmtId="0" fontId="13" fillId="12" borderId="69" xfId="0" applyFont="1" applyFill="1" applyBorder="1" applyAlignment="1" applyProtection="1">
      <alignment horizontal="center" vertical="center" shrinkToFit="1"/>
      <protection locked="0"/>
    </xf>
    <xf numFmtId="0" fontId="13" fillId="12" borderId="55" xfId="0" applyFont="1" applyFill="1" applyBorder="1" applyAlignment="1" applyProtection="1">
      <alignment horizontal="center" vertical="center" shrinkToFit="1"/>
      <protection locked="0"/>
    </xf>
    <xf numFmtId="0" fontId="13" fillId="12" borderId="68" xfId="0" applyFont="1" applyFill="1" applyBorder="1" applyAlignment="1" applyProtection="1">
      <alignment horizontal="center" vertical="center" shrinkToFit="1"/>
      <protection locked="0"/>
    </xf>
    <xf numFmtId="0" fontId="13" fillId="12" borderId="47" xfId="0" applyFont="1" applyFill="1" applyBorder="1" applyAlignment="1" applyProtection="1">
      <alignment horizontal="center" vertical="center" shrinkToFit="1"/>
      <protection locked="0"/>
    </xf>
    <xf numFmtId="0" fontId="13" fillId="12" borderId="45" xfId="0" applyFont="1" applyFill="1" applyBorder="1" applyAlignment="1" applyProtection="1">
      <alignment horizontal="center" vertical="center" shrinkToFit="1"/>
      <protection locked="0"/>
    </xf>
    <xf numFmtId="0" fontId="0" fillId="0" borderId="39" xfId="0" applyBorder="1" applyAlignment="1" applyProtection="1">
      <alignment horizontal="left"/>
      <protection hidden="1"/>
    </xf>
    <xf numFmtId="0" fontId="0" fillId="0" borderId="40" xfId="0" applyBorder="1" applyAlignment="1" applyProtection="1">
      <alignment horizontal="left"/>
      <protection hidden="1"/>
    </xf>
    <xf numFmtId="0" fontId="0" fillId="0" borderId="51" xfId="0" applyBorder="1" applyAlignment="1" applyProtection="1">
      <alignment horizontal="left"/>
      <protection hidden="1"/>
    </xf>
    <xf numFmtId="10" fontId="3" fillId="13" borderId="52" xfId="0" applyNumberFormat="1" applyFont="1" applyFill="1" applyBorder="1" applyAlignment="1" applyProtection="1">
      <alignment horizontal="center" vertical="center" shrinkToFit="1"/>
      <protection locked="0" hidden="1"/>
    </xf>
    <xf numFmtId="10" fontId="3" fillId="13" borderId="40" xfId="0" applyNumberFormat="1" applyFont="1" applyFill="1" applyBorder="1" applyAlignment="1" applyProtection="1">
      <alignment horizontal="center" vertical="center" shrinkToFit="1"/>
      <protection locked="0" hidden="1"/>
    </xf>
    <xf numFmtId="10" fontId="3" fillId="13" borderId="41" xfId="0" applyNumberFormat="1" applyFont="1" applyFill="1" applyBorder="1" applyAlignment="1" applyProtection="1">
      <alignment horizontal="center" vertical="center" shrinkToFit="1"/>
      <protection locked="0" hidden="1"/>
    </xf>
    <xf numFmtId="3" fontId="3" fillId="13" borderId="39" xfId="0" applyNumberFormat="1" applyFont="1" applyFill="1" applyBorder="1" applyAlignment="1" applyProtection="1">
      <alignment horizontal="center" vertical="center" shrinkToFit="1"/>
      <protection locked="0" hidden="1"/>
    </xf>
    <xf numFmtId="0" fontId="13" fillId="12" borderId="70" xfId="0" applyFont="1" applyFill="1" applyBorder="1" applyAlignment="1" applyProtection="1">
      <alignment horizontal="left" vertical="center" shrinkToFit="1"/>
      <protection locked="0"/>
    </xf>
    <xf numFmtId="0" fontId="0" fillId="0" borderId="18" xfId="0" applyBorder="1" applyAlignment="1" applyProtection="1">
      <alignment horizontal="center"/>
      <protection hidden="1"/>
    </xf>
    <xf numFmtId="0" fontId="0" fillId="0" borderId="10" xfId="0" applyBorder="1" applyAlignment="1" applyProtection="1">
      <alignment horizontal="center"/>
      <protection hidden="1"/>
    </xf>
    <xf numFmtId="2" fontId="13" fillId="12" borderId="33" xfId="0" applyNumberFormat="1" applyFont="1" applyFill="1" applyBorder="1" applyAlignment="1" applyProtection="1">
      <alignment horizontal="left" vertical="center" shrinkToFit="1"/>
      <protection locked="0"/>
    </xf>
    <xf numFmtId="2" fontId="13" fillId="12" borderId="19" xfId="0" applyNumberFormat="1" applyFont="1" applyFill="1" applyBorder="1" applyAlignment="1" applyProtection="1">
      <alignment horizontal="left" vertical="center" shrinkToFit="1"/>
      <protection locked="0"/>
    </xf>
    <xf numFmtId="2" fontId="13" fillId="12" borderId="34" xfId="0" applyNumberFormat="1" applyFont="1" applyFill="1" applyBorder="1" applyAlignment="1" applyProtection="1">
      <alignment horizontal="left" vertical="center" shrinkToFit="1"/>
      <protection locked="0"/>
    </xf>
    <xf numFmtId="10" fontId="13" fillId="12" borderId="71" xfId="0" applyNumberFormat="1" applyFont="1" applyFill="1" applyBorder="1" applyAlignment="1" applyProtection="1">
      <alignment horizontal="center" vertical="center" shrinkToFit="1"/>
      <protection locked="0"/>
    </xf>
    <xf numFmtId="10" fontId="13" fillId="12" borderId="66" xfId="0" applyNumberFormat="1" applyFont="1" applyFill="1" applyBorder="1" applyAlignment="1" applyProtection="1">
      <alignment horizontal="center" vertical="center" shrinkToFit="1"/>
      <protection locked="0"/>
    </xf>
    <xf numFmtId="10" fontId="13" fillId="12" borderId="67" xfId="0" applyNumberFormat="1" applyFont="1" applyFill="1" applyBorder="1" applyAlignment="1" applyProtection="1">
      <alignment horizontal="center" vertical="center" shrinkToFit="1"/>
      <protection locked="0"/>
    </xf>
    <xf numFmtId="0" fontId="8" fillId="0" borderId="16" xfId="0" applyFont="1" applyBorder="1" applyAlignment="1" applyProtection="1">
      <alignment horizontal="center" vertical="center" wrapText="1"/>
      <protection hidden="1"/>
    </xf>
    <xf numFmtId="0" fontId="8" fillId="0" borderId="13" xfId="0" applyFont="1" applyBorder="1" applyAlignment="1" applyProtection="1">
      <alignment horizontal="center" vertical="center" wrapText="1"/>
      <protection hidden="1"/>
    </xf>
    <xf numFmtId="0" fontId="8" fillId="0" borderId="14" xfId="0" applyFont="1" applyBorder="1" applyAlignment="1" applyProtection="1">
      <alignment horizontal="center" vertical="center" wrapText="1"/>
      <protection hidden="1"/>
    </xf>
    <xf numFmtId="0" fontId="8" fillId="0" borderId="8" xfId="0" applyFont="1" applyBorder="1" applyAlignment="1" applyProtection="1">
      <alignment horizontal="center" vertical="center" wrapText="1"/>
      <protection hidden="1"/>
    </xf>
    <xf numFmtId="0" fontId="8" fillId="0" borderId="9" xfId="0" applyFont="1" applyBorder="1" applyAlignment="1" applyProtection="1">
      <alignment horizontal="center" vertical="center" wrapText="1"/>
      <protection hidden="1"/>
    </xf>
    <xf numFmtId="0" fontId="8" fillId="0" borderId="17" xfId="0" applyFont="1" applyBorder="1" applyAlignment="1" applyProtection="1">
      <alignment horizontal="center" vertical="center" wrapText="1"/>
      <protection hidden="1"/>
    </xf>
    <xf numFmtId="0" fontId="36" fillId="0" borderId="16" xfId="0" applyFont="1" applyBorder="1" applyAlignment="1" applyProtection="1">
      <alignment horizontal="center" vertical="center" wrapText="1"/>
      <protection hidden="1"/>
    </xf>
    <xf numFmtId="0" fontId="36" fillId="0" borderId="13" xfId="0" applyFont="1" applyBorder="1" applyAlignment="1" applyProtection="1">
      <alignment horizontal="center" vertical="center" wrapText="1"/>
      <protection hidden="1"/>
    </xf>
    <xf numFmtId="0" fontId="36" fillId="0" borderId="14" xfId="0" applyFont="1" applyBorder="1" applyAlignment="1" applyProtection="1">
      <alignment horizontal="center" vertical="center" wrapText="1"/>
      <protection hidden="1"/>
    </xf>
    <xf numFmtId="0" fontId="25" fillId="0" borderId="10" xfId="0" applyFont="1" applyBorder="1" applyAlignment="1" applyProtection="1">
      <alignment horizontal="left" wrapText="1"/>
      <protection hidden="1"/>
    </xf>
    <xf numFmtId="0" fontId="25" fillId="0" borderId="11" xfId="0" applyFont="1" applyBorder="1" applyAlignment="1" applyProtection="1">
      <alignment horizontal="left" wrapText="1"/>
      <protection hidden="1"/>
    </xf>
    <xf numFmtId="0" fontId="25" fillId="0" borderId="12" xfId="0" applyFont="1" applyBorder="1" applyAlignment="1" applyProtection="1">
      <alignment horizontal="left" wrapText="1"/>
      <protection hidden="1"/>
    </xf>
    <xf numFmtId="3" fontId="13" fillId="12" borderId="72" xfId="0" applyNumberFormat="1" applyFont="1" applyFill="1" applyBorder="1" applyAlignment="1" applyProtection="1">
      <alignment horizontal="center" vertical="center" shrinkToFit="1"/>
      <protection locked="0"/>
    </xf>
    <xf numFmtId="14" fontId="13" fillId="12" borderId="33" xfId="0" applyNumberFormat="1" applyFont="1" applyFill="1" applyBorder="1" applyAlignment="1" applyProtection="1">
      <alignment horizontal="center" vertical="center" shrinkToFit="1"/>
      <protection locked="0"/>
    </xf>
    <xf numFmtId="14" fontId="13" fillId="12" borderId="19" xfId="0" applyNumberFormat="1" applyFont="1" applyFill="1" applyBorder="1" applyAlignment="1" applyProtection="1">
      <alignment horizontal="center" vertical="center" shrinkToFit="1"/>
      <protection locked="0"/>
    </xf>
    <xf numFmtId="14" fontId="13" fillId="12" borderId="34" xfId="0" applyNumberFormat="1" applyFont="1" applyFill="1" applyBorder="1" applyAlignment="1" applyProtection="1">
      <alignment horizontal="center" vertical="center" shrinkToFit="1"/>
      <protection locked="0"/>
    </xf>
    <xf numFmtId="10" fontId="13" fillId="12" borderId="39" xfId="0" applyNumberFormat="1" applyFont="1" applyFill="1" applyBorder="1" applyAlignment="1" applyProtection="1">
      <alignment horizontal="center" vertical="center" shrinkToFit="1"/>
      <protection locked="0"/>
    </xf>
    <xf numFmtId="10" fontId="13" fillId="12" borderId="40" xfId="0" applyNumberFormat="1" applyFont="1" applyFill="1" applyBorder="1" applyAlignment="1" applyProtection="1">
      <alignment horizontal="center" vertical="center" shrinkToFit="1"/>
      <protection locked="0"/>
    </xf>
    <xf numFmtId="10" fontId="13" fillId="12" borderId="41" xfId="0" applyNumberFormat="1" applyFont="1" applyFill="1" applyBorder="1" applyAlignment="1" applyProtection="1">
      <alignment horizontal="center" vertical="center" shrinkToFit="1"/>
      <protection locked="0"/>
    </xf>
    <xf numFmtId="0" fontId="8" fillId="0" borderId="8" xfId="0" applyFont="1" applyBorder="1" applyAlignment="1" applyProtection="1">
      <alignment horizontal="left" wrapText="1"/>
      <protection hidden="1"/>
    </xf>
    <xf numFmtId="0" fontId="8" fillId="0" borderId="9" xfId="0" applyFont="1" applyBorder="1" applyAlignment="1" applyProtection="1">
      <alignment horizontal="left" wrapText="1"/>
      <protection hidden="1"/>
    </xf>
    <xf numFmtId="0" fontId="8" fillId="0" borderId="17" xfId="0" applyFont="1" applyBorder="1" applyAlignment="1" applyProtection="1">
      <alignment horizontal="left" wrapText="1"/>
      <protection hidden="1"/>
    </xf>
    <xf numFmtId="0" fontId="24" fillId="12" borderId="59" xfId="0" applyFont="1" applyFill="1" applyBorder="1" applyAlignment="1" applyProtection="1">
      <alignment horizontal="right" shrinkToFit="1"/>
      <protection locked="0"/>
    </xf>
    <xf numFmtId="0" fontId="24" fillId="12" borderId="46" xfId="0" applyFont="1" applyFill="1" applyBorder="1" applyAlignment="1" applyProtection="1">
      <alignment horizontal="right" shrinkToFit="1"/>
      <protection locked="0"/>
    </xf>
    <xf numFmtId="0" fontId="24" fillId="12" borderId="60" xfId="0" applyFont="1" applyFill="1" applyBorder="1" applyAlignment="1" applyProtection="1">
      <alignment horizontal="right" shrinkToFit="1"/>
      <protection locked="0"/>
    </xf>
    <xf numFmtId="3" fontId="31" fillId="12" borderId="48" xfId="0" applyNumberFormat="1" applyFont="1" applyFill="1" applyBorder="1" applyAlignment="1" applyProtection="1">
      <alignment horizontal="center" vertical="center" shrinkToFit="1"/>
      <protection locked="0"/>
    </xf>
    <xf numFmtId="3" fontId="31" fillId="12" borderId="49" xfId="0" applyNumberFormat="1" applyFont="1" applyFill="1" applyBorder="1" applyAlignment="1" applyProtection="1">
      <alignment horizontal="center" vertical="center" shrinkToFit="1"/>
      <protection locked="0"/>
    </xf>
    <xf numFmtId="3" fontId="31" fillId="12" borderId="50" xfId="0" applyNumberFormat="1" applyFont="1" applyFill="1" applyBorder="1" applyAlignment="1" applyProtection="1">
      <alignment horizontal="center" vertical="center" shrinkToFit="1"/>
      <protection locked="0"/>
    </xf>
    <xf numFmtId="3" fontId="31" fillId="12" borderId="59" xfId="0" applyNumberFormat="1" applyFont="1" applyFill="1" applyBorder="1" applyAlignment="1" applyProtection="1">
      <alignment horizontal="center" vertical="center" shrinkToFit="1"/>
      <protection locked="0"/>
    </xf>
    <xf numFmtId="3" fontId="31" fillId="12" borderId="46" xfId="0" applyNumberFormat="1" applyFont="1" applyFill="1" applyBorder="1" applyAlignment="1" applyProtection="1">
      <alignment horizontal="center" vertical="center" shrinkToFit="1"/>
      <protection locked="0"/>
    </xf>
    <xf numFmtId="3" fontId="31" fillId="12" borderId="60" xfId="0" applyNumberFormat="1" applyFont="1" applyFill="1" applyBorder="1" applyAlignment="1" applyProtection="1">
      <alignment horizontal="center" vertical="center" shrinkToFit="1"/>
      <protection locked="0"/>
    </xf>
    <xf numFmtId="0" fontId="0" fillId="2" borderId="16" xfId="0" applyFill="1" applyBorder="1" applyAlignment="1" applyProtection="1">
      <alignment horizontal="center"/>
      <protection hidden="1"/>
    </xf>
    <xf numFmtId="0" fontId="0" fillId="2" borderId="13" xfId="0" applyFill="1" applyBorder="1" applyAlignment="1" applyProtection="1">
      <alignment horizontal="center"/>
      <protection hidden="1"/>
    </xf>
    <xf numFmtId="0" fontId="0" fillId="2" borderId="14" xfId="0" applyFill="1" applyBorder="1" applyAlignment="1" applyProtection="1">
      <alignment horizontal="center"/>
      <protection hidden="1"/>
    </xf>
    <xf numFmtId="1" fontId="3" fillId="13" borderId="8" xfId="0" applyNumberFormat="1" applyFont="1" applyFill="1" applyBorder="1" applyAlignment="1" applyProtection="1">
      <alignment horizontal="center" vertical="center"/>
      <protection locked="0" hidden="1"/>
    </xf>
    <xf numFmtId="1" fontId="3" fillId="13" borderId="9" xfId="0" applyNumberFormat="1" applyFont="1" applyFill="1" applyBorder="1" applyAlignment="1" applyProtection="1">
      <alignment horizontal="center" vertical="center"/>
      <protection locked="0" hidden="1"/>
    </xf>
    <xf numFmtId="1" fontId="3" fillId="13" borderId="17" xfId="0" applyNumberFormat="1" applyFont="1" applyFill="1" applyBorder="1" applyAlignment="1" applyProtection="1">
      <alignment horizontal="center" vertical="center"/>
      <protection locked="0" hidden="1"/>
    </xf>
    <xf numFmtId="14" fontId="13" fillId="12" borderId="48" xfId="0" applyNumberFormat="1" applyFont="1" applyFill="1" applyBorder="1" applyAlignment="1" applyProtection="1">
      <alignment horizontal="center" vertical="center" shrinkToFit="1"/>
      <protection locked="0"/>
    </xf>
    <xf numFmtId="14" fontId="13" fillId="12" borderId="49" xfId="0" applyNumberFormat="1" applyFont="1" applyFill="1" applyBorder="1" applyAlignment="1" applyProtection="1">
      <alignment horizontal="center" vertical="center" shrinkToFit="1"/>
      <protection locked="0"/>
    </xf>
    <xf numFmtId="14" fontId="13" fillId="12" borderId="50" xfId="0" applyNumberFormat="1" applyFont="1" applyFill="1" applyBorder="1" applyAlignment="1" applyProtection="1">
      <alignment horizontal="center" vertical="center" shrinkToFit="1"/>
      <protection locked="0"/>
    </xf>
    <xf numFmtId="0" fontId="0" fillId="0" borderId="11" xfId="0" applyBorder="1" applyAlignment="1" applyProtection="1">
      <alignment horizontal="center"/>
      <protection hidden="1"/>
    </xf>
    <xf numFmtId="0" fontId="0" fillId="0" borderId="12" xfId="0" applyBorder="1" applyAlignment="1" applyProtection="1">
      <alignment horizontal="center"/>
      <protection hidden="1"/>
    </xf>
    <xf numFmtId="0" fontId="5" fillId="0" borderId="7"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5" fillId="0" borderId="15" xfId="0" applyFont="1" applyBorder="1" applyAlignment="1" applyProtection="1">
      <alignment horizontal="center" vertical="center" wrapText="1"/>
      <protection hidden="1"/>
    </xf>
    <xf numFmtId="1" fontId="3" fillId="13" borderId="10" xfId="0" applyNumberFormat="1" applyFont="1" applyFill="1" applyBorder="1" applyAlignment="1" applyProtection="1">
      <alignment horizontal="center"/>
      <protection locked="0" hidden="1"/>
    </xf>
    <xf numFmtId="3" fontId="15" fillId="13" borderId="10" xfId="0" applyNumberFormat="1" applyFont="1" applyFill="1" applyBorder="1" applyAlignment="1" applyProtection="1">
      <alignment horizontal="center" vertical="center" shrinkToFit="1"/>
      <protection locked="0" hidden="1"/>
    </xf>
    <xf numFmtId="3" fontId="15" fillId="13" borderId="11" xfId="0" applyNumberFormat="1" applyFont="1" applyFill="1" applyBorder="1" applyAlignment="1" applyProtection="1">
      <alignment horizontal="center" vertical="center" shrinkToFit="1"/>
      <protection locked="0" hidden="1"/>
    </xf>
    <xf numFmtId="3" fontId="15" fillId="13" borderId="12" xfId="0" applyNumberFormat="1" applyFont="1" applyFill="1" applyBorder="1" applyAlignment="1" applyProtection="1">
      <alignment horizontal="center" vertical="center" shrinkToFit="1"/>
      <protection locked="0" hidden="1"/>
    </xf>
    <xf numFmtId="3" fontId="3" fillId="13" borderId="18" xfId="0" applyNumberFormat="1" applyFont="1" applyFill="1" applyBorder="1" applyAlignment="1" applyProtection="1">
      <alignment horizontal="center" vertical="center" shrinkToFit="1"/>
      <protection locked="0" hidden="1"/>
    </xf>
    <xf numFmtId="0" fontId="4" fillId="0" borderId="18" xfId="0" applyFont="1" applyBorder="1" applyAlignment="1" applyProtection="1">
      <alignment horizontal="left"/>
      <protection hidden="1"/>
    </xf>
    <xf numFmtId="0" fontId="11" fillId="0" borderId="42" xfId="0" applyFont="1" applyBorder="1" applyAlignment="1" applyProtection="1">
      <alignment horizontal="left" wrapText="1"/>
      <protection hidden="1"/>
    </xf>
    <xf numFmtId="0" fontId="11" fillId="0" borderId="43" xfId="0" applyFont="1" applyBorder="1" applyAlignment="1" applyProtection="1">
      <alignment horizontal="left" wrapText="1"/>
      <protection hidden="1"/>
    </xf>
    <xf numFmtId="0" fontId="11" fillId="0" borderId="45" xfId="0" applyFont="1" applyBorder="1" applyAlignment="1" applyProtection="1">
      <alignment horizontal="left" wrapText="1"/>
      <protection hidden="1"/>
    </xf>
    <xf numFmtId="0" fontId="0" fillId="0" borderId="16"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0" fillId="0" borderId="9" xfId="0" applyBorder="1" applyAlignment="1" applyProtection="1">
      <alignment horizontal="center" vertical="center"/>
      <protection hidden="1"/>
    </xf>
    <xf numFmtId="3" fontId="4" fillId="12" borderId="48" xfId="0" applyNumberFormat="1" applyFont="1" applyFill="1" applyBorder="1" applyAlignment="1" applyProtection="1">
      <alignment horizontal="center" shrinkToFit="1"/>
      <protection locked="0"/>
    </xf>
    <xf numFmtId="3" fontId="4" fillId="12" borderId="49" xfId="0" applyNumberFormat="1" applyFont="1" applyFill="1" applyBorder="1" applyAlignment="1" applyProtection="1">
      <alignment horizontal="center" shrinkToFit="1"/>
      <protection locked="0"/>
    </xf>
    <xf numFmtId="3" fontId="4" fillId="12" borderId="50" xfId="0" applyNumberFormat="1" applyFont="1" applyFill="1" applyBorder="1" applyAlignment="1" applyProtection="1">
      <alignment horizontal="center" shrinkToFit="1"/>
      <protection locked="0"/>
    </xf>
    <xf numFmtId="3" fontId="4" fillId="12" borderId="10" xfId="0" applyNumberFormat="1" applyFont="1" applyFill="1" applyBorder="1" applyAlignment="1" applyProtection="1">
      <alignment horizontal="center" shrinkToFit="1"/>
      <protection locked="0"/>
    </xf>
    <xf numFmtId="3" fontId="4" fillId="12" borderId="11" xfId="0" applyNumberFormat="1" applyFont="1" applyFill="1" applyBorder="1" applyAlignment="1" applyProtection="1">
      <alignment horizontal="center" shrinkToFit="1"/>
      <protection locked="0"/>
    </xf>
    <xf numFmtId="3" fontId="4" fillId="12" borderId="12" xfId="0" applyNumberFormat="1" applyFont="1" applyFill="1" applyBorder="1" applyAlignment="1" applyProtection="1">
      <alignment horizontal="center" shrinkToFit="1"/>
      <protection locked="0"/>
    </xf>
    <xf numFmtId="4" fontId="3" fillId="13" borderId="10" xfId="0" applyNumberFormat="1" applyFont="1" applyFill="1" applyBorder="1" applyAlignment="1" applyProtection="1">
      <alignment horizontal="center" shrinkToFit="1"/>
      <protection locked="0" hidden="1"/>
    </xf>
    <xf numFmtId="4" fontId="3" fillId="13" borderId="11" xfId="0" applyNumberFormat="1" applyFont="1" applyFill="1" applyBorder="1" applyAlignment="1" applyProtection="1">
      <alignment horizontal="center" shrinkToFit="1"/>
      <protection locked="0" hidden="1"/>
    </xf>
    <xf numFmtId="4" fontId="3" fillId="13" borderId="12" xfId="0" applyNumberFormat="1" applyFont="1" applyFill="1" applyBorder="1" applyAlignment="1" applyProtection="1">
      <alignment horizontal="center" shrinkToFit="1"/>
      <protection locked="0" hidden="1"/>
    </xf>
    <xf numFmtId="0" fontId="0" fillId="0" borderId="48" xfId="0" applyBorder="1" applyAlignment="1" applyProtection="1">
      <alignment horizontal="left"/>
      <protection hidden="1"/>
    </xf>
    <xf numFmtId="0" fontId="0" fillId="0" borderId="49" xfId="0" applyBorder="1" applyAlignment="1" applyProtection="1">
      <alignment horizontal="left"/>
      <protection hidden="1"/>
    </xf>
    <xf numFmtId="0" fontId="0" fillId="0" borderId="48" xfId="0" applyFill="1" applyBorder="1" applyAlignment="1" applyProtection="1">
      <alignment horizontal="left" shrinkToFit="1"/>
      <protection hidden="1"/>
    </xf>
    <xf numFmtId="0" fontId="0" fillId="0" borderId="49" xfId="0" applyFill="1" applyBorder="1" applyAlignment="1" applyProtection="1">
      <alignment horizontal="left" shrinkToFit="1"/>
      <protection hidden="1"/>
    </xf>
    <xf numFmtId="0" fontId="0" fillId="0" borderId="50" xfId="0" applyFill="1" applyBorder="1" applyAlignment="1" applyProtection="1">
      <alignment horizontal="left" shrinkToFit="1"/>
      <protection hidden="1"/>
    </xf>
    <xf numFmtId="4" fontId="4" fillId="12" borderId="59" xfId="0" applyNumberFormat="1" applyFont="1" applyFill="1" applyBorder="1" applyAlignment="1" applyProtection="1">
      <alignment horizontal="center" shrinkToFit="1"/>
      <protection locked="0"/>
    </xf>
    <xf numFmtId="4" fontId="4" fillId="12" borderId="46" xfId="0" applyNumberFormat="1" applyFont="1" applyFill="1" applyBorder="1" applyAlignment="1" applyProtection="1">
      <alignment horizontal="center" shrinkToFit="1"/>
      <protection locked="0"/>
    </xf>
    <xf numFmtId="4" fontId="4" fillId="12" borderId="60" xfId="0" applyNumberFormat="1" applyFont="1" applyFill="1" applyBorder="1" applyAlignment="1" applyProtection="1">
      <alignment horizontal="center" shrinkToFit="1"/>
      <protection locked="0"/>
    </xf>
    <xf numFmtId="0" fontId="0" fillId="0" borderId="33" xfId="0" applyBorder="1" applyAlignment="1" applyProtection="1">
      <alignment horizontal="left"/>
      <protection hidden="1"/>
    </xf>
    <xf numFmtId="0" fontId="0" fillId="0" borderId="19" xfId="0" applyBorder="1" applyAlignment="1" applyProtection="1">
      <alignment horizontal="left"/>
      <protection hidden="1"/>
    </xf>
    <xf numFmtId="0" fontId="0" fillId="0" borderId="59" xfId="0" applyFill="1" applyBorder="1" applyAlignment="1" applyProtection="1">
      <alignment horizontal="left" shrinkToFit="1"/>
      <protection hidden="1"/>
    </xf>
    <xf numFmtId="0" fontId="0" fillId="0" borderId="46" xfId="0" applyFill="1" applyBorder="1" applyAlignment="1" applyProtection="1">
      <alignment horizontal="left" shrinkToFit="1"/>
      <protection hidden="1"/>
    </xf>
    <xf numFmtId="0" fontId="0" fillId="0" borderId="60" xfId="0" applyFill="1" applyBorder="1" applyAlignment="1" applyProtection="1">
      <alignment horizontal="left" shrinkToFit="1"/>
      <protection hidden="1"/>
    </xf>
    <xf numFmtId="0" fontId="0" fillId="0" borderId="33" xfId="0" applyFont="1" applyFill="1" applyBorder="1" applyAlignment="1" applyProtection="1">
      <alignment horizontal="left" shrinkToFit="1"/>
      <protection hidden="1"/>
    </xf>
    <xf numFmtId="0" fontId="0" fillId="0" borderId="19" xfId="0" applyFont="1" applyFill="1" applyBorder="1" applyAlignment="1" applyProtection="1">
      <alignment horizontal="left" shrinkToFit="1"/>
      <protection hidden="1"/>
    </xf>
    <xf numFmtId="0" fontId="0" fillId="0" borderId="34" xfId="0" applyFont="1" applyFill="1" applyBorder="1" applyAlignment="1" applyProtection="1">
      <alignment horizontal="left" shrinkToFit="1"/>
      <protection hidden="1"/>
    </xf>
    <xf numFmtId="1" fontId="15" fillId="13" borderId="8" xfId="0" applyNumberFormat="1" applyFont="1" applyFill="1" applyBorder="1" applyAlignment="1" applyProtection="1">
      <alignment horizontal="center" vertical="center" wrapText="1"/>
      <protection locked="0" hidden="1"/>
    </xf>
    <xf numFmtId="1" fontId="15" fillId="13" borderId="9" xfId="0" applyNumberFormat="1" applyFont="1" applyFill="1" applyBorder="1" applyAlignment="1" applyProtection="1">
      <alignment horizontal="center" vertical="center" wrapText="1"/>
      <protection locked="0" hidden="1"/>
    </xf>
    <xf numFmtId="1" fontId="15" fillId="13" borderId="32" xfId="0" applyNumberFormat="1" applyFont="1" applyFill="1" applyBorder="1" applyAlignment="1" applyProtection="1">
      <alignment horizontal="center" vertical="center" wrapText="1"/>
      <protection locked="0" hidden="1"/>
    </xf>
    <xf numFmtId="3" fontId="4" fillId="12" borderId="33" xfId="0" applyNumberFormat="1" applyFont="1" applyFill="1" applyBorder="1" applyAlignment="1" applyProtection="1">
      <alignment horizontal="center" shrinkToFit="1"/>
      <protection locked="0"/>
    </xf>
    <xf numFmtId="3" fontId="4" fillId="12" borderId="19" xfId="0" applyNumberFormat="1" applyFont="1" applyFill="1" applyBorder="1" applyAlignment="1" applyProtection="1">
      <alignment horizontal="center" shrinkToFit="1"/>
      <protection locked="0"/>
    </xf>
    <xf numFmtId="3" fontId="4" fillId="12" borderId="34" xfId="0" applyNumberFormat="1" applyFont="1" applyFill="1" applyBorder="1" applyAlignment="1" applyProtection="1">
      <alignment horizontal="center" shrinkToFit="1"/>
      <protection locked="0"/>
    </xf>
    <xf numFmtId="4" fontId="3" fillId="13" borderId="48" xfId="0" applyNumberFormat="1" applyFont="1" applyFill="1" applyBorder="1" applyAlignment="1" applyProtection="1">
      <alignment horizontal="center" shrinkToFit="1"/>
      <protection locked="0" hidden="1"/>
    </xf>
    <xf numFmtId="4" fontId="3" fillId="13" borderId="49" xfId="0" applyNumberFormat="1" applyFont="1" applyFill="1" applyBorder="1" applyAlignment="1" applyProtection="1">
      <alignment horizontal="center" shrinkToFit="1"/>
      <protection locked="0" hidden="1"/>
    </xf>
    <xf numFmtId="4" fontId="3" fillId="13" borderId="50" xfId="0" applyNumberFormat="1" applyFont="1" applyFill="1" applyBorder="1" applyAlignment="1" applyProtection="1">
      <alignment horizontal="center" shrinkToFit="1"/>
      <protection locked="0" hidden="1"/>
    </xf>
    <xf numFmtId="0" fontId="0" fillId="0" borderId="10" xfId="0" applyFill="1" applyBorder="1" applyAlignment="1" applyProtection="1">
      <alignment horizontal="left" shrinkToFit="1"/>
      <protection hidden="1"/>
    </xf>
    <xf numFmtId="0" fontId="0" fillId="0" borderId="11" xfId="0" applyFill="1" applyBorder="1" applyAlignment="1" applyProtection="1">
      <alignment horizontal="left" shrinkToFit="1"/>
      <protection hidden="1"/>
    </xf>
    <xf numFmtId="0" fontId="0" fillId="0" borderId="12" xfId="0" applyFill="1" applyBorder="1" applyAlignment="1" applyProtection="1">
      <alignment horizontal="left" shrinkToFit="1"/>
      <protection hidden="1"/>
    </xf>
    <xf numFmtId="3" fontId="4" fillId="12" borderId="54" xfId="0" applyNumberFormat="1" applyFont="1" applyFill="1" applyBorder="1" applyAlignment="1" applyProtection="1">
      <alignment horizontal="center" vertical="center"/>
      <protection locked="0"/>
    </xf>
    <xf numFmtId="3" fontId="4" fillId="12" borderId="55" xfId="0" applyNumberFormat="1" applyFont="1" applyFill="1" applyBorder="1" applyAlignment="1" applyProtection="1">
      <alignment horizontal="center" vertical="center"/>
      <protection locked="0"/>
    </xf>
    <xf numFmtId="3" fontId="4" fillId="12" borderId="43" xfId="0" applyNumberFormat="1" applyFont="1" applyFill="1" applyBorder="1" applyAlignment="1" applyProtection="1">
      <alignment horizontal="center" vertical="center"/>
      <protection locked="0"/>
    </xf>
    <xf numFmtId="3" fontId="4" fillId="12" borderId="44" xfId="0" applyNumberFormat="1" applyFont="1" applyFill="1" applyBorder="1" applyAlignment="1" applyProtection="1">
      <alignment horizontal="center" vertical="center"/>
      <protection locked="0"/>
    </xf>
    <xf numFmtId="0" fontId="0" fillId="2" borderId="48" xfId="0" applyFill="1" applyBorder="1" applyAlignment="1" applyProtection="1">
      <alignment horizontal="left"/>
      <protection hidden="1"/>
    </xf>
    <xf numFmtId="0" fontId="0" fillId="2" borderId="49" xfId="0" applyFill="1" applyBorder="1" applyAlignment="1" applyProtection="1">
      <alignment horizontal="left"/>
      <protection hidden="1"/>
    </xf>
    <xf numFmtId="0" fontId="0" fillId="2" borderId="68" xfId="0" applyFill="1" applyBorder="1" applyAlignment="1" applyProtection="1">
      <alignment horizontal="left"/>
      <protection hidden="1"/>
    </xf>
    <xf numFmtId="0" fontId="0" fillId="2" borderId="59" xfId="0" applyFill="1" applyBorder="1" applyAlignment="1" applyProtection="1">
      <alignment horizontal="left"/>
      <protection hidden="1"/>
    </xf>
    <xf numFmtId="0" fontId="0" fillId="2" borderId="46" xfId="0" applyFill="1" applyBorder="1" applyAlignment="1" applyProtection="1">
      <alignment horizontal="left"/>
      <protection hidden="1"/>
    </xf>
    <xf numFmtId="0" fontId="0" fillId="2" borderId="47" xfId="0" applyFill="1" applyBorder="1" applyAlignment="1" applyProtection="1">
      <alignment horizontal="left"/>
      <protection hidden="1"/>
    </xf>
    <xf numFmtId="3" fontId="3" fillId="13" borderId="16" xfId="0" applyNumberFormat="1" applyFont="1" applyFill="1" applyBorder="1" applyAlignment="1" applyProtection="1">
      <alignment horizontal="center" vertical="center" shrinkToFit="1"/>
      <protection locked="0" hidden="1"/>
    </xf>
    <xf numFmtId="3" fontId="3" fillId="13" borderId="13" xfId="0" applyNumberFormat="1" applyFont="1" applyFill="1" applyBorder="1" applyAlignment="1" applyProtection="1">
      <alignment horizontal="center" vertical="center" shrinkToFit="1"/>
      <protection locked="0" hidden="1"/>
    </xf>
    <xf numFmtId="3" fontId="3" fillId="13" borderId="14" xfId="0" applyNumberFormat="1" applyFont="1" applyFill="1" applyBorder="1" applyAlignment="1" applyProtection="1">
      <alignment horizontal="center" vertical="center" shrinkToFit="1"/>
      <protection locked="0" hidden="1"/>
    </xf>
    <xf numFmtId="3" fontId="13" fillId="12" borderId="69" xfId="0" applyNumberFormat="1" applyFont="1" applyFill="1" applyBorder="1" applyAlignment="1" applyProtection="1">
      <alignment horizontal="center" vertical="center" shrinkToFit="1"/>
      <protection locked="0"/>
    </xf>
    <xf numFmtId="0" fontId="14" fillId="0" borderId="33" xfId="0" applyFont="1" applyBorder="1" applyAlignment="1" applyProtection="1">
      <alignment horizontal="left" wrapText="1"/>
      <protection hidden="1"/>
    </xf>
    <xf numFmtId="0" fontId="14" fillId="0" borderId="19" xfId="0" applyFont="1" applyBorder="1" applyAlignment="1" applyProtection="1">
      <alignment horizontal="left" wrapText="1"/>
      <protection hidden="1"/>
    </xf>
    <xf numFmtId="0" fontId="14" fillId="0" borderId="34" xfId="0" applyFont="1" applyBorder="1" applyAlignment="1" applyProtection="1">
      <alignment horizontal="left" wrapText="1"/>
      <protection hidden="1"/>
    </xf>
    <xf numFmtId="0" fontId="8" fillId="0" borderId="33" xfId="0" applyFont="1" applyBorder="1" applyAlignment="1" applyProtection="1">
      <alignment horizontal="left" wrapText="1"/>
      <protection hidden="1"/>
    </xf>
    <xf numFmtId="0" fontId="8" fillId="0" borderId="19" xfId="0" applyFont="1" applyBorder="1" applyAlignment="1" applyProtection="1">
      <alignment horizontal="left" wrapText="1"/>
      <protection hidden="1"/>
    </xf>
    <xf numFmtId="0" fontId="8" fillId="0" borderId="34" xfId="0" applyFont="1" applyBorder="1" applyAlignment="1" applyProtection="1">
      <alignment horizontal="left" wrapText="1"/>
      <protection hidden="1"/>
    </xf>
    <xf numFmtId="0" fontId="14" fillId="0" borderId="8" xfId="0" applyFont="1" applyBorder="1" applyAlignment="1" applyProtection="1">
      <alignment horizontal="left" wrapText="1"/>
      <protection hidden="1"/>
    </xf>
    <xf numFmtId="0" fontId="14" fillId="0" borderId="9" xfId="0" applyFont="1" applyBorder="1" applyAlignment="1" applyProtection="1">
      <alignment horizontal="left" wrapText="1"/>
      <protection hidden="1"/>
    </xf>
    <xf numFmtId="0" fontId="14" fillId="0" borderId="17" xfId="0" applyFont="1" applyBorder="1" applyAlignment="1" applyProtection="1">
      <alignment horizontal="left" wrapText="1"/>
      <protection hidden="1"/>
    </xf>
    <xf numFmtId="0" fontId="5" fillId="0" borderId="12" xfId="0" applyFont="1" applyBorder="1" applyAlignment="1" applyProtection="1">
      <alignment horizontal="center"/>
      <protection hidden="1"/>
    </xf>
    <xf numFmtId="0" fontId="18" fillId="0" borderId="53" xfId="0" applyFont="1" applyBorder="1" applyAlignment="1" applyProtection="1">
      <alignment horizontal="center" vertical="center" wrapText="1"/>
      <protection hidden="1"/>
    </xf>
    <xf numFmtId="0" fontId="18" fillId="0" borderId="54" xfId="0" applyFont="1" applyBorder="1" applyAlignment="1" applyProtection="1">
      <alignment horizontal="center" vertical="center" wrapText="1"/>
      <protection hidden="1"/>
    </xf>
    <xf numFmtId="0" fontId="18" fillId="0" borderId="69"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18" fillId="0" borderId="40" xfId="0" applyFont="1" applyBorder="1" applyAlignment="1" applyProtection="1">
      <alignment horizontal="center" vertical="center" wrapText="1"/>
      <protection hidden="1"/>
    </xf>
    <xf numFmtId="0" fontId="18" fillId="0" borderId="51" xfId="0" applyFont="1" applyBorder="1" applyAlignment="1" applyProtection="1">
      <alignment horizontal="center" vertical="center" wrapText="1"/>
      <protection hidden="1"/>
    </xf>
    <xf numFmtId="0" fontId="4" fillId="12" borderId="51" xfId="0" applyNumberFormat="1" applyFont="1" applyFill="1" applyBorder="1" applyAlignment="1" applyProtection="1">
      <alignment horizontal="center" shrinkToFit="1"/>
      <protection locked="0"/>
    </xf>
    <xf numFmtId="0" fontId="4" fillId="12" borderId="19" xfId="0" applyNumberFormat="1" applyFont="1" applyFill="1" applyBorder="1" applyAlignment="1" applyProtection="1">
      <alignment horizontal="center" shrinkToFit="1"/>
      <protection locked="0"/>
    </xf>
    <xf numFmtId="0" fontId="4" fillId="12" borderId="34" xfId="0" applyNumberFormat="1" applyFont="1" applyFill="1" applyBorder="1" applyAlignment="1" applyProtection="1">
      <alignment horizontal="center" shrinkToFit="1"/>
      <protection locked="0"/>
    </xf>
    <xf numFmtId="0" fontId="4" fillId="12" borderId="33" xfId="0" applyNumberFormat="1" applyFont="1" applyFill="1" applyBorder="1" applyAlignment="1" applyProtection="1">
      <alignment horizontal="center" shrinkToFit="1"/>
      <protection locked="0"/>
    </xf>
    <xf numFmtId="0" fontId="12" fillId="0" borderId="10" xfId="0" applyFont="1" applyBorder="1" applyAlignment="1" applyProtection="1">
      <alignment horizontal="left"/>
      <protection hidden="1"/>
    </xf>
    <xf numFmtId="0" fontId="12" fillId="0" borderId="11" xfId="0" applyFont="1" applyBorder="1" applyAlignment="1" applyProtection="1">
      <alignment horizontal="left"/>
      <protection hidden="1"/>
    </xf>
    <xf numFmtId="0" fontId="5" fillId="0" borderId="16" xfId="0" applyFont="1" applyFill="1" applyBorder="1" applyAlignment="1" applyProtection="1">
      <alignment horizontal="center" vertical="center"/>
      <protection hidden="1"/>
    </xf>
    <xf numFmtId="0" fontId="5" fillId="0" borderId="13" xfId="0" applyFont="1" applyFill="1" applyBorder="1" applyAlignment="1" applyProtection="1">
      <alignment horizontal="center" vertical="center"/>
      <protection hidden="1"/>
    </xf>
    <xf numFmtId="0" fontId="5" fillId="0" borderId="14" xfId="0" applyFont="1" applyFill="1" applyBorder="1" applyAlignment="1" applyProtection="1">
      <alignment horizontal="center" vertical="center"/>
      <protection hidden="1"/>
    </xf>
    <xf numFmtId="0" fontId="5" fillId="0" borderId="8" xfId="0" applyFont="1" applyFill="1" applyBorder="1" applyAlignment="1" applyProtection="1">
      <alignment horizontal="center" vertical="center"/>
      <protection hidden="1"/>
    </xf>
    <xf numFmtId="0" fontId="5" fillId="0" borderId="9" xfId="0" applyFont="1" applyFill="1" applyBorder="1" applyAlignment="1" applyProtection="1">
      <alignment horizontal="center" vertical="center"/>
      <protection hidden="1"/>
    </xf>
    <xf numFmtId="0" fontId="5" fillId="0" borderId="17" xfId="0" applyFont="1" applyFill="1" applyBorder="1" applyAlignment="1" applyProtection="1">
      <alignment horizontal="center" vertical="center"/>
      <protection hidden="1"/>
    </xf>
    <xf numFmtId="0" fontId="4" fillId="12" borderId="33" xfId="0" applyFont="1" applyFill="1" applyBorder="1" applyAlignment="1" applyProtection="1">
      <alignment horizontal="left" shrinkToFit="1"/>
      <protection locked="0"/>
    </xf>
    <xf numFmtId="0" fontId="4" fillId="12" borderId="19" xfId="0" applyFont="1" applyFill="1" applyBorder="1" applyAlignment="1" applyProtection="1">
      <alignment horizontal="left" shrinkToFit="1"/>
      <protection locked="0"/>
    </xf>
    <xf numFmtId="0" fontId="4" fillId="12" borderId="34" xfId="0" applyFont="1" applyFill="1" applyBorder="1" applyAlignment="1" applyProtection="1">
      <alignment horizontal="left" shrinkToFit="1"/>
      <protection locked="0"/>
    </xf>
    <xf numFmtId="0" fontId="4" fillId="12" borderId="8" xfId="0" applyFont="1" applyFill="1" applyBorder="1" applyAlignment="1" applyProtection="1">
      <alignment horizontal="left" shrinkToFit="1"/>
      <protection locked="0"/>
    </xf>
    <xf numFmtId="0" fontId="4" fillId="12" borderId="9" xfId="0" applyFont="1" applyFill="1" applyBorder="1" applyAlignment="1" applyProtection="1">
      <alignment horizontal="left" shrinkToFit="1"/>
      <protection locked="0"/>
    </xf>
    <xf numFmtId="0" fontId="4" fillId="12" borderId="17" xfId="0" applyFont="1" applyFill="1" applyBorder="1" applyAlignment="1" applyProtection="1">
      <alignment horizontal="left" shrinkToFit="1"/>
      <protection locked="0"/>
    </xf>
    <xf numFmtId="0" fontId="5" fillId="0" borderId="45" xfId="0" applyFont="1" applyFill="1" applyBorder="1" applyAlignment="1" applyProtection="1">
      <alignment horizontal="center" vertical="center" wrapText="1"/>
      <protection hidden="1"/>
    </xf>
    <xf numFmtId="0" fontId="5" fillId="0" borderId="46" xfId="0" applyFont="1" applyFill="1" applyBorder="1" applyAlignment="1" applyProtection="1">
      <alignment horizontal="center" vertical="center" wrapText="1"/>
      <protection hidden="1"/>
    </xf>
    <xf numFmtId="0" fontId="5" fillId="0" borderId="60" xfId="0" applyFont="1" applyFill="1" applyBorder="1" applyAlignment="1" applyProtection="1">
      <alignment horizontal="center" vertical="center" wrapText="1"/>
      <protection hidden="1"/>
    </xf>
    <xf numFmtId="3" fontId="24" fillId="12" borderId="10" xfId="0" applyNumberFormat="1" applyFont="1" applyFill="1" applyBorder="1" applyAlignment="1" applyProtection="1">
      <alignment horizontal="center" vertical="center" shrinkToFit="1"/>
      <protection locked="0"/>
    </xf>
    <xf numFmtId="3" fontId="24" fillId="12" borderId="11" xfId="0" applyNumberFormat="1" applyFont="1" applyFill="1" applyBorder="1" applyAlignment="1" applyProtection="1">
      <alignment horizontal="center" vertical="center" shrinkToFit="1"/>
      <protection locked="0"/>
    </xf>
    <xf numFmtId="3" fontId="24" fillId="12" borderId="12" xfId="0" applyNumberFormat="1" applyFont="1" applyFill="1" applyBorder="1" applyAlignment="1" applyProtection="1">
      <alignment horizontal="center" vertical="center" shrinkToFit="1"/>
      <protection locked="0"/>
    </xf>
    <xf numFmtId="3" fontId="24" fillId="12" borderId="7" xfId="0" applyNumberFormat="1" applyFont="1" applyFill="1" applyBorder="1" applyAlignment="1" applyProtection="1">
      <alignment horizontal="center" vertical="center" shrinkToFit="1"/>
      <protection locked="0"/>
    </xf>
    <xf numFmtId="3" fontId="24" fillId="12" borderId="0" xfId="0" applyNumberFormat="1" applyFont="1" applyFill="1" applyBorder="1" applyAlignment="1" applyProtection="1">
      <alignment horizontal="center" vertical="center" shrinkToFit="1"/>
      <protection locked="0"/>
    </xf>
    <xf numFmtId="3" fontId="24" fillId="12" borderId="15" xfId="0" applyNumberFormat="1" applyFont="1" applyFill="1" applyBorder="1" applyAlignment="1" applyProtection="1">
      <alignment horizontal="center" vertical="center" shrinkToFit="1"/>
      <protection locked="0"/>
    </xf>
    <xf numFmtId="3" fontId="32" fillId="13" borderId="0" xfId="0" applyNumberFormat="1" applyFont="1" applyFill="1" applyBorder="1" applyAlignment="1" applyProtection="1">
      <alignment horizontal="center" vertical="center" shrinkToFit="1"/>
      <protection locked="0" hidden="1"/>
    </xf>
    <xf numFmtId="3" fontId="32" fillId="13" borderId="15" xfId="0" applyNumberFormat="1" applyFont="1" applyFill="1" applyBorder="1" applyAlignment="1" applyProtection="1">
      <alignment horizontal="center" vertical="center" shrinkToFit="1"/>
      <protection locked="0" hidden="1"/>
    </xf>
    <xf numFmtId="0" fontId="8" fillId="0" borderId="7" xfId="0" applyFont="1" applyBorder="1" applyAlignment="1" applyProtection="1">
      <alignment horizontal="left"/>
      <protection hidden="1"/>
    </xf>
    <xf numFmtId="0" fontId="8" fillId="0" borderId="0" xfId="0" applyFont="1" applyBorder="1" applyAlignment="1" applyProtection="1">
      <alignment horizontal="left"/>
      <protection hidden="1"/>
    </xf>
    <xf numFmtId="3" fontId="24" fillId="12" borderId="36" xfId="0" applyNumberFormat="1" applyFont="1" applyFill="1" applyBorder="1" applyAlignment="1" applyProtection="1">
      <alignment horizontal="center" vertical="center" shrinkToFit="1"/>
      <protection locked="0"/>
    </xf>
    <xf numFmtId="3" fontId="24" fillId="12" borderId="24" xfId="0" applyNumberFormat="1" applyFont="1" applyFill="1" applyBorder="1" applyAlignment="1" applyProtection="1">
      <alignment horizontal="center" vertical="center" shrinkToFit="1"/>
      <protection locked="0"/>
    </xf>
    <xf numFmtId="3" fontId="24" fillId="12" borderId="25" xfId="0" applyNumberFormat="1" applyFont="1" applyFill="1" applyBorder="1" applyAlignment="1" applyProtection="1">
      <alignment horizontal="center" vertical="center" shrinkToFit="1"/>
      <protection locked="0"/>
    </xf>
    <xf numFmtId="0" fontId="8" fillId="0" borderId="33" xfId="0" applyFont="1" applyBorder="1" applyAlignment="1" applyProtection="1">
      <alignment horizontal="left"/>
      <protection hidden="1"/>
    </xf>
    <xf numFmtId="0" fontId="8" fillId="0" borderId="19" xfId="0" applyFont="1" applyBorder="1" applyAlignment="1" applyProtection="1">
      <alignment horizontal="left"/>
      <protection hidden="1"/>
    </xf>
    <xf numFmtId="0" fontId="8" fillId="0" borderId="34" xfId="0" applyFont="1" applyBorder="1" applyAlignment="1" applyProtection="1">
      <alignment horizontal="left"/>
      <protection hidden="1"/>
    </xf>
    <xf numFmtId="3" fontId="32" fillId="13" borderId="22" xfId="0" applyNumberFormat="1" applyFont="1" applyFill="1" applyBorder="1" applyAlignment="1" applyProtection="1">
      <alignment horizontal="center" vertical="center" shrinkToFit="1"/>
      <protection locked="0" hidden="1"/>
    </xf>
    <xf numFmtId="3" fontId="32" fillId="13" borderId="74" xfId="0" applyNumberFormat="1" applyFont="1" applyFill="1" applyBorder="1" applyAlignment="1" applyProtection="1">
      <alignment horizontal="center" vertical="center" shrinkToFit="1"/>
      <protection locked="0" hidden="1"/>
    </xf>
    <xf numFmtId="3" fontId="32" fillId="13" borderId="75" xfId="0" applyNumberFormat="1" applyFont="1" applyFill="1" applyBorder="1" applyAlignment="1" applyProtection="1">
      <alignment horizontal="center" vertical="center" shrinkToFit="1"/>
      <protection locked="0" hidden="1"/>
    </xf>
    <xf numFmtId="3" fontId="13" fillId="12" borderId="8" xfId="0" applyNumberFormat="1" applyFont="1" applyFill="1" applyBorder="1" applyAlignment="1" applyProtection="1">
      <alignment horizontal="center" vertical="center" shrinkToFit="1"/>
      <protection locked="0"/>
    </xf>
    <xf numFmtId="3" fontId="13" fillId="12" borderId="9" xfId="0" applyNumberFormat="1" applyFont="1" applyFill="1" applyBorder="1" applyAlignment="1" applyProtection="1">
      <alignment horizontal="center" vertical="center" shrinkToFit="1"/>
      <protection locked="0"/>
    </xf>
    <xf numFmtId="3" fontId="13" fillId="12" borderId="17" xfId="0" applyNumberFormat="1" applyFont="1" applyFill="1" applyBorder="1" applyAlignment="1" applyProtection="1">
      <alignment horizontal="center" vertical="center" shrinkToFit="1"/>
      <protection locked="0"/>
    </xf>
    <xf numFmtId="3" fontId="32" fillId="13" borderId="56" xfId="0" applyNumberFormat="1" applyFont="1" applyFill="1" applyBorder="1" applyAlignment="1" applyProtection="1">
      <alignment horizontal="center" vertical="center" shrinkToFit="1"/>
      <protection locked="0" hidden="1"/>
    </xf>
    <xf numFmtId="3" fontId="32" fillId="13" borderId="57" xfId="0" applyNumberFormat="1" applyFont="1" applyFill="1" applyBorder="1" applyAlignment="1" applyProtection="1">
      <alignment horizontal="center" vertical="center" shrinkToFit="1"/>
      <protection locked="0" hidden="1"/>
    </xf>
    <xf numFmtId="3" fontId="32" fillId="13" borderId="58" xfId="0" applyNumberFormat="1" applyFont="1" applyFill="1" applyBorder="1" applyAlignment="1" applyProtection="1">
      <alignment horizontal="center" vertical="center" shrinkToFit="1"/>
      <protection locked="0" hidden="1"/>
    </xf>
    <xf numFmtId="0" fontId="0" fillId="0" borderId="12" xfId="0" applyBorder="1" applyAlignment="1" applyProtection="1">
      <alignment horizontal="left"/>
      <protection hidden="1"/>
    </xf>
    <xf numFmtId="3" fontId="32" fillId="13" borderId="76" xfId="0" applyNumberFormat="1" applyFont="1" applyFill="1" applyBorder="1" applyAlignment="1" applyProtection="1">
      <alignment horizontal="center" vertical="center" shrinkToFit="1"/>
      <protection locked="0" hidden="1"/>
    </xf>
    <xf numFmtId="3" fontId="32" fillId="13" borderId="64" xfId="0" applyNumberFormat="1" applyFont="1" applyFill="1" applyBorder="1" applyAlignment="1" applyProtection="1">
      <alignment horizontal="center" vertical="center" shrinkToFit="1"/>
      <protection locked="0" hidden="1"/>
    </xf>
    <xf numFmtId="0" fontId="8" fillId="0" borderId="10" xfId="0" applyFont="1" applyBorder="1" applyAlignment="1" applyProtection="1">
      <alignment horizontal="center"/>
      <protection hidden="1"/>
    </xf>
    <xf numFmtId="0" fontId="8" fillId="0" borderId="11" xfId="0" applyFont="1" applyBorder="1" applyAlignment="1" applyProtection="1">
      <alignment horizontal="center"/>
      <protection hidden="1"/>
    </xf>
    <xf numFmtId="0" fontId="8" fillId="0" borderId="12" xfId="0" applyFont="1" applyBorder="1" applyAlignment="1" applyProtection="1">
      <alignment horizontal="center"/>
      <protection hidden="1"/>
    </xf>
    <xf numFmtId="3" fontId="24" fillId="12" borderId="56" xfId="0" applyNumberFormat="1" applyFont="1" applyFill="1" applyBorder="1" applyAlignment="1" applyProtection="1">
      <alignment horizontal="center" vertical="center" shrinkToFit="1"/>
      <protection locked="0"/>
    </xf>
    <xf numFmtId="3" fontId="24" fillId="12" borderId="57" xfId="0" applyNumberFormat="1" applyFont="1" applyFill="1" applyBorder="1" applyAlignment="1" applyProtection="1">
      <alignment horizontal="center" vertical="center" shrinkToFit="1"/>
      <protection locked="0"/>
    </xf>
    <xf numFmtId="3" fontId="24" fillId="12" borderId="58" xfId="0" applyNumberFormat="1" applyFont="1" applyFill="1" applyBorder="1" applyAlignment="1" applyProtection="1">
      <alignment horizontal="center" vertical="center" shrinkToFit="1"/>
      <protection locked="0"/>
    </xf>
    <xf numFmtId="3" fontId="24" fillId="12" borderId="52" xfId="1" applyNumberFormat="1" applyFont="1" applyFill="1" applyBorder="1" applyAlignment="1" applyProtection="1">
      <alignment horizontal="center" vertical="center" shrinkToFit="1"/>
      <protection locked="0"/>
    </xf>
    <xf numFmtId="3" fontId="24" fillId="12" borderId="40" xfId="1" applyNumberFormat="1" applyFont="1" applyFill="1" applyBorder="1" applyAlignment="1" applyProtection="1">
      <alignment horizontal="center" vertical="center" shrinkToFit="1"/>
      <protection locked="0"/>
    </xf>
    <xf numFmtId="3" fontId="24" fillId="12" borderId="51" xfId="1" applyNumberFormat="1" applyFont="1" applyFill="1" applyBorder="1" applyAlignment="1" applyProtection="1">
      <alignment horizontal="center" vertical="center" shrinkToFit="1"/>
      <protection locked="0"/>
    </xf>
    <xf numFmtId="3" fontId="24" fillId="12" borderId="73" xfId="1" applyNumberFormat="1" applyFont="1" applyFill="1" applyBorder="1" applyAlignment="1" applyProtection="1">
      <alignment horizontal="center" vertical="center" shrinkToFit="1"/>
      <protection locked="0"/>
    </xf>
    <xf numFmtId="3" fontId="24" fillId="12" borderId="74" xfId="1" applyNumberFormat="1" applyFont="1" applyFill="1" applyBorder="1" applyAlignment="1" applyProtection="1">
      <alignment horizontal="center" vertical="center" shrinkToFit="1"/>
      <protection locked="0"/>
    </xf>
    <xf numFmtId="3" fontId="24" fillId="12" borderId="75" xfId="1" applyNumberFormat="1" applyFont="1" applyFill="1" applyBorder="1" applyAlignment="1" applyProtection="1">
      <alignment horizontal="center" vertical="center" shrinkToFit="1"/>
      <protection locked="0"/>
    </xf>
    <xf numFmtId="3" fontId="24" fillId="12" borderId="39" xfId="0" applyNumberFormat="1" applyFont="1" applyFill="1" applyBorder="1" applyAlignment="1" applyProtection="1">
      <alignment horizontal="center" vertical="center" shrinkToFit="1"/>
      <protection locked="0"/>
    </xf>
    <xf numFmtId="3" fontId="24" fillId="12" borderId="40" xfId="0" applyNumberFormat="1" applyFont="1" applyFill="1" applyBorder="1" applyAlignment="1" applyProtection="1">
      <alignment horizontal="center" vertical="center" shrinkToFit="1"/>
      <protection locked="0"/>
    </xf>
    <xf numFmtId="3" fontId="24" fillId="12" borderId="41" xfId="0" applyNumberFormat="1" applyFont="1" applyFill="1" applyBorder="1" applyAlignment="1" applyProtection="1">
      <alignment horizontal="center" vertical="center" shrinkToFit="1"/>
      <protection locked="0"/>
    </xf>
    <xf numFmtId="3" fontId="32" fillId="13" borderId="56" xfId="1" applyNumberFormat="1" applyFont="1" applyFill="1" applyBorder="1" applyAlignment="1" applyProtection="1">
      <alignment horizontal="center" vertical="center"/>
      <protection locked="0" hidden="1"/>
    </xf>
    <xf numFmtId="3" fontId="32" fillId="13" borderId="57" xfId="1" applyNumberFormat="1" applyFont="1" applyFill="1" applyBorder="1" applyAlignment="1" applyProtection="1">
      <alignment horizontal="center" vertical="center"/>
      <protection locked="0" hidden="1"/>
    </xf>
    <xf numFmtId="3" fontId="32" fillId="13" borderId="58" xfId="1" applyNumberFormat="1" applyFont="1" applyFill="1" applyBorder="1" applyAlignment="1" applyProtection="1">
      <alignment horizontal="center" vertical="center"/>
      <protection locked="0" hidden="1"/>
    </xf>
    <xf numFmtId="3" fontId="32" fillId="13" borderId="76" xfId="1" applyNumberFormat="1" applyFont="1" applyFill="1" applyBorder="1" applyAlignment="1" applyProtection="1">
      <alignment horizontal="center" vertical="center" shrinkToFit="1"/>
      <protection locked="0" hidden="1"/>
    </xf>
    <xf numFmtId="3" fontId="32" fillId="13" borderId="57" xfId="1" applyNumberFormat="1" applyFont="1" applyFill="1" applyBorder="1" applyAlignment="1" applyProtection="1">
      <alignment horizontal="center" vertical="center" shrinkToFit="1"/>
      <protection locked="0" hidden="1"/>
    </xf>
    <xf numFmtId="3" fontId="32" fillId="13" borderId="64" xfId="1" applyNumberFormat="1" applyFont="1" applyFill="1" applyBorder="1" applyAlignment="1" applyProtection="1">
      <alignment horizontal="center" vertical="center" shrinkToFit="1"/>
      <protection locked="0" hidden="1"/>
    </xf>
    <xf numFmtId="3" fontId="24" fillId="12" borderId="71" xfId="0" applyNumberFormat="1" applyFont="1" applyFill="1" applyBorder="1" applyAlignment="1" applyProtection="1">
      <alignment horizontal="center" vertical="center" shrinkToFit="1"/>
      <protection locked="0"/>
    </xf>
    <xf numFmtId="3" fontId="24" fillId="12" borderId="66" xfId="0" applyNumberFormat="1" applyFont="1" applyFill="1" applyBorder="1" applyAlignment="1" applyProtection="1">
      <alignment horizontal="center" vertical="center" shrinkToFit="1"/>
      <protection locked="0"/>
    </xf>
    <xf numFmtId="3" fontId="24" fillId="12" borderId="67" xfId="0" applyNumberFormat="1" applyFont="1" applyFill="1" applyBorder="1" applyAlignment="1" applyProtection="1">
      <alignment horizontal="center" vertical="center" shrinkToFit="1"/>
      <protection locked="0"/>
    </xf>
    <xf numFmtId="3" fontId="24" fillId="12" borderId="29" xfId="0" applyNumberFormat="1" applyFont="1" applyFill="1" applyBorder="1" applyAlignment="1" applyProtection="1">
      <alignment horizontal="center" vertical="center" shrinkToFit="1"/>
      <protection locked="0"/>
    </xf>
    <xf numFmtId="3" fontId="24" fillId="12" borderId="23" xfId="0" applyNumberFormat="1" applyFont="1" applyFill="1" applyBorder="1" applyAlignment="1" applyProtection="1">
      <alignment horizontal="center" vertical="center" shrinkToFit="1"/>
      <protection locked="0"/>
    </xf>
    <xf numFmtId="3" fontId="24" fillId="12" borderId="71" xfId="1" applyNumberFormat="1" applyFont="1" applyFill="1" applyBorder="1" applyAlignment="1" applyProtection="1">
      <alignment horizontal="center" vertical="center" shrinkToFit="1"/>
      <protection locked="0"/>
    </xf>
    <xf numFmtId="3" fontId="24" fillId="12" borderId="66" xfId="1" applyNumberFormat="1" applyFont="1" applyFill="1" applyBorder="1" applyAlignment="1" applyProtection="1">
      <alignment horizontal="center" vertical="center" shrinkToFit="1"/>
      <protection locked="0"/>
    </xf>
    <xf numFmtId="3" fontId="24" fillId="12" borderId="67" xfId="1" applyNumberFormat="1" applyFont="1" applyFill="1" applyBorder="1" applyAlignment="1" applyProtection="1">
      <alignment horizontal="center" vertical="center" shrinkToFit="1"/>
      <protection locked="0"/>
    </xf>
    <xf numFmtId="3" fontId="24" fillId="12" borderId="29" xfId="1" applyNumberFormat="1" applyFont="1" applyFill="1" applyBorder="1" applyAlignment="1" applyProtection="1">
      <alignment horizontal="center" vertical="center" shrinkToFit="1"/>
      <protection locked="0"/>
    </xf>
    <xf numFmtId="3" fontId="24" fillId="12" borderId="23" xfId="1" applyNumberFormat="1" applyFont="1" applyFill="1" applyBorder="1" applyAlignment="1" applyProtection="1">
      <alignment horizontal="center" vertical="center" shrinkToFit="1"/>
      <protection locked="0"/>
    </xf>
    <xf numFmtId="3" fontId="24" fillId="12" borderId="52" xfId="0" applyNumberFormat="1" applyFont="1" applyFill="1" applyBorder="1" applyAlignment="1" applyProtection="1">
      <alignment horizontal="center" vertical="center" shrinkToFit="1"/>
      <protection locked="0"/>
    </xf>
    <xf numFmtId="3" fontId="24" fillId="12" borderId="51" xfId="0" applyNumberFormat="1" applyFont="1" applyFill="1" applyBorder="1" applyAlignment="1" applyProtection="1">
      <alignment horizontal="center" vertical="center" shrinkToFit="1"/>
      <protection locked="0"/>
    </xf>
    <xf numFmtId="3" fontId="24" fillId="12" borderId="39" xfId="1" applyNumberFormat="1" applyFont="1" applyFill="1" applyBorder="1" applyAlignment="1" applyProtection="1">
      <alignment horizontal="center" vertical="center" shrinkToFit="1"/>
      <protection locked="0"/>
    </xf>
    <xf numFmtId="3" fontId="24" fillId="12" borderId="41" xfId="1" applyNumberFormat="1" applyFont="1" applyFill="1" applyBorder="1" applyAlignment="1" applyProtection="1">
      <alignment horizontal="center" vertical="center" shrinkToFit="1"/>
      <protection locked="0"/>
    </xf>
    <xf numFmtId="0" fontId="8" fillId="0" borderId="48" xfId="0" applyFont="1" applyBorder="1" applyAlignment="1" applyProtection="1">
      <alignment horizontal="left"/>
      <protection hidden="1"/>
    </xf>
    <xf numFmtId="0" fontId="8" fillId="0" borderId="49" xfId="0" applyFont="1" applyBorder="1" applyAlignment="1" applyProtection="1">
      <alignment horizontal="left"/>
      <protection hidden="1"/>
    </xf>
    <xf numFmtId="0" fontId="4" fillId="0" borderId="56" xfId="0" applyFont="1" applyBorder="1" applyAlignment="1" applyProtection="1">
      <alignment horizontal="left"/>
      <protection hidden="1"/>
    </xf>
    <xf numFmtId="0" fontId="4" fillId="0" borderId="57" xfId="0" applyFont="1" applyBorder="1" applyAlignment="1" applyProtection="1">
      <alignment horizontal="left"/>
      <protection hidden="1"/>
    </xf>
    <xf numFmtId="0" fontId="4" fillId="0" borderId="64" xfId="0" applyFont="1" applyBorder="1" applyAlignment="1" applyProtection="1">
      <alignment horizontal="left"/>
      <protection hidden="1"/>
    </xf>
    <xf numFmtId="0" fontId="8" fillId="0" borderId="8" xfId="0" applyFont="1" applyBorder="1" applyAlignment="1" applyProtection="1">
      <alignment horizontal="center"/>
      <protection hidden="1"/>
    </xf>
    <xf numFmtId="0" fontId="8" fillId="0" borderId="9" xfId="0" applyFont="1" applyBorder="1" applyAlignment="1" applyProtection="1">
      <alignment horizontal="center"/>
      <protection hidden="1"/>
    </xf>
    <xf numFmtId="0" fontId="8" fillId="0" borderId="17" xfId="0" applyFont="1" applyBorder="1" applyAlignment="1" applyProtection="1">
      <alignment horizontal="center"/>
      <protection hidden="1"/>
    </xf>
    <xf numFmtId="3" fontId="32" fillId="13" borderId="52" xfId="0" applyNumberFormat="1" applyFont="1" applyFill="1" applyBorder="1" applyAlignment="1" applyProtection="1">
      <alignment horizontal="center" vertical="center" shrinkToFit="1"/>
      <protection locked="0" hidden="1"/>
    </xf>
    <xf numFmtId="3" fontId="32" fillId="13" borderId="40" xfId="0" applyNumberFormat="1" applyFont="1" applyFill="1" applyBorder="1" applyAlignment="1" applyProtection="1">
      <alignment horizontal="center" vertical="center" shrinkToFit="1"/>
      <protection locked="0" hidden="1"/>
    </xf>
    <xf numFmtId="3" fontId="32" fillId="13" borderId="41" xfId="0" applyNumberFormat="1" applyFont="1" applyFill="1" applyBorder="1" applyAlignment="1" applyProtection="1">
      <alignment horizontal="center" vertical="center" shrinkToFit="1"/>
      <protection locked="0" hidden="1"/>
    </xf>
    <xf numFmtId="3" fontId="32" fillId="13" borderId="29" xfId="0" applyNumberFormat="1" applyFont="1" applyFill="1" applyBorder="1" applyAlignment="1" applyProtection="1">
      <alignment horizontal="center" vertical="center" shrinkToFit="1"/>
      <protection locked="0" hidden="1"/>
    </xf>
    <xf numFmtId="3" fontId="32" fillId="13" borderId="66" xfId="0" applyNumberFormat="1" applyFont="1" applyFill="1" applyBorder="1" applyAlignment="1" applyProtection="1">
      <alignment horizontal="center" vertical="center" shrinkToFit="1"/>
      <protection locked="0" hidden="1"/>
    </xf>
    <xf numFmtId="3" fontId="32" fillId="13" borderId="67" xfId="0" applyNumberFormat="1" applyFont="1" applyFill="1" applyBorder="1" applyAlignment="1" applyProtection="1">
      <alignment horizontal="center" vertical="center" shrinkToFit="1"/>
      <protection locked="0" hidden="1"/>
    </xf>
    <xf numFmtId="3" fontId="24" fillId="12" borderId="76" xfId="0" applyNumberFormat="1" applyFont="1" applyFill="1" applyBorder="1" applyAlignment="1" applyProtection="1">
      <alignment horizontal="center" vertical="center" shrinkToFit="1"/>
      <protection locked="0"/>
    </xf>
    <xf numFmtId="3" fontId="24" fillId="12" borderId="64" xfId="0" applyNumberFormat="1" applyFont="1" applyFill="1" applyBorder="1" applyAlignment="1" applyProtection="1">
      <alignment horizontal="center" vertical="center" shrinkToFit="1"/>
      <protection locked="0"/>
    </xf>
    <xf numFmtId="3" fontId="24" fillId="12" borderId="56" xfId="1" applyNumberFormat="1" applyFont="1" applyFill="1" applyBorder="1" applyAlignment="1" applyProtection="1">
      <alignment horizontal="center" vertical="center" shrinkToFit="1"/>
      <protection locked="0"/>
    </xf>
    <xf numFmtId="3" fontId="24" fillId="12" borderId="57" xfId="1" applyNumberFormat="1" applyFont="1" applyFill="1" applyBorder="1" applyAlignment="1" applyProtection="1">
      <alignment horizontal="center" vertical="center" shrinkToFit="1"/>
      <protection locked="0"/>
    </xf>
    <xf numFmtId="3" fontId="24" fillId="12" borderId="58" xfId="1" applyNumberFormat="1" applyFont="1" applyFill="1" applyBorder="1" applyAlignment="1" applyProtection="1">
      <alignment horizontal="center" vertical="center" shrinkToFit="1"/>
      <protection locked="0"/>
    </xf>
    <xf numFmtId="3" fontId="24" fillId="12" borderId="76" xfId="1" applyNumberFormat="1" applyFont="1" applyFill="1" applyBorder="1" applyAlignment="1" applyProtection="1">
      <alignment horizontal="center" vertical="center" shrinkToFit="1"/>
      <protection locked="0"/>
    </xf>
    <xf numFmtId="3" fontId="24" fillId="12" borderId="64" xfId="1" applyNumberFormat="1" applyFont="1" applyFill="1" applyBorder="1" applyAlignment="1" applyProtection="1">
      <alignment horizontal="center" vertical="center" shrinkToFit="1"/>
      <protection locked="0"/>
    </xf>
    <xf numFmtId="3" fontId="24" fillId="12" borderId="62" xfId="0" applyNumberFormat="1" applyFont="1" applyFill="1" applyBorder="1" applyAlignment="1" applyProtection="1">
      <alignment horizontal="center" vertical="center" shrinkToFit="1"/>
      <protection locked="0"/>
    </xf>
    <xf numFmtId="3" fontId="24" fillId="12" borderId="63" xfId="0" applyNumberFormat="1" applyFont="1" applyFill="1" applyBorder="1" applyAlignment="1" applyProtection="1">
      <alignment horizontal="center" vertical="center" shrinkToFit="1"/>
      <protection locked="0"/>
    </xf>
    <xf numFmtId="3" fontId="24" fillId="12" borderId="77" xfId="0" applyNumberFormat="1" applyFont="1" applyFill="1" applyBorder="1" applyAlignment="1" applyProtection="1">
      <alignment horizontal="center" vertical="center" shrinkToFit="1"/>
      <protection locked="0"/>
    </xf>
    <xf numFmtId="0" fontId="8" fillId="0" borderId="39" xfId="0" applyFont="1" applyBorder="1" applyAlignment="1" applyProtection="1">
      <alignment horizontal="left"/>
      <protection hidden="1"/>
    </xf>
    <xf numFmtId="0" fontId="8" fillId="0" borderId="40" xfId="0" applyFont="1" applyBorder="1" applyAlignment="1" applyProtection="1">
      <alignment horizontal="left"/>
      <protection hidden="1"/>
    </xf>
    <xf numFmtId="0" fontId="8" fillId="0" borderId="51" xfId="0" applyFont="1" applyBorder="1" applyAlignment="1" applyProtection="1">
      <alignment horizontal="left"/>
      <protection hidden="1"/>
    </xf>
    <xf numFmtId="3" fontId="32" fillId="13" borderId="30" xfId="0" applyNumberFormat="1" applyFont="1" applyFill="1" applyBorder="1" applyAlignment="1" applyProtection="1">
      <alignment horizontal="center" vertical="center" shrinkToFit="1"/>
      <protection locked="0" hidden="1"/>
    </xf>
    <xf numFmtId="3" fontId="32" fillId="13" borderId="63" xfId="0" applyNumberFormat="1" applyFont="1" applyFill="1" applyBorder="1" applyAlignment="1" applyProtection="1">
      <alignment horizontal="center" vertical="center" shrinkToFit="1"/>
      <protection locked="0" hidden="1"/>
    </xf>
    <xf numFmtId="3" fontId="32" fillId="13" borderId="77" xfId="0" applyNumberFormat="1" applyFont="1" applyFill="1" applyBorder="1" applyAlignment="1" applyProtection="1">
      <alignment horizontal="center" vertical="center" shrinkToFit="1"/>
      <protection locked="0" hidden="1"/>
    </xf>
    <xf numFmtId="3" fontId="24" fillId="12" borderId="30" xfId="0" applyNumberFormat="1" applyFont="1" applyFill="1" applyBorder="1" applyAlignment="1" applyProtection="1">
      <alignment horizontal="center" vertical="center" shrinkToFit="1"/>
      <protection locked="0"/>
    </xf>
    <xf numFmtId="3" fontId="24" fillId="12" borderId="26" xfId="0" applyNumberFormat="1" applyFont="1" applyFill="1" applyBorder="1" applyAlignment="1" applyProtection="1">
      <alignment horizontal="center" vertical="center" shrinkToFit="1"/>
      <protection locked="0"/>
    </xf>
    <xf numFmtId="0" fontId="5" fillId="0" borderId="18" xfId="0" applyFont="1" applyBorder="1" applyAlignment="1" applyProtection="1">
      <alignment horizontal="center"/>
      <protection hidden="1"/>
    </xf>
    <xf numFmtId="0" fontId="8" fillId="0" borderId="62" xfId="0" applyFont="1" applyBorder="1" applyAlignment="1" applyProtection="1">
      <alignment horizontal="left"/>
      <protection hidden="1"/>
    </xf>
    <xf numFmtId="0" fontId="8" fillId="0" borderId="63" xfId="0" applyFont="1" applyBorder="1" applyAlignment="1" applyProtection="1">
      <alignment horizontal="left"/>
      <protection hidden="1"/>
    </xf>
    <xf numFmtId="0" fontId="8" fillId="0" borderId="26" xfId="0" applyFont="1" applyBorder="1" applyAlignment="1" applyProtection="1">
      <alignment horizontal="left"/>
      <protection hidden="1"/>
    </xf>
    <xf numFmtId="3" fontId="24" fillId="12" borderId="62" xfId="1" applyNumberFormat="1" applyFont="1" applyFill="1" applyBorder="1" applyAlignment="1" applyProtection="1">
      <alignment horizontal="center" vertical="center" shrinkToFit="1"/>
      <protection locked="0"/>
    </xf>
    <xf numFmtId="3" fontId="24" fillId="12" borderId="63" xfId="1" applyNumberFormat="1" applyFont="1" applyFill="1" applyBorder="1" applyAlignment="1" applyProtection="1">
      <alignment horizontal="center" vertical="center" shrinkToFit="1"/>
      <protection locked="0"/>
    </xf>
    <xf numFmtId="3" fontId="24" fillId="12" borderId="77" xfId="1" applyNumberFormat="1" applyFont="1" applyFill="1" applyBorder="1" applyAlignment="1" applyProtection="1">
      <alignment horizontal="center" vertical="center" shrinkToFit="1"/>
      <protection locked="0"/>
    </xf>
    <xf numFmtId="3" fontId="24" fillId="12" borderId="30" xfId="1" applyNumberFormat="1" applyFont="1" applyFill="1" applyBorder="1" applyAlignment="1" applyProtection="1">
      <alignment horizontal="center" vertical="center" shrinkToFit="1"/>
      <protection locked="0"/>
    </xf>
    <xf numFmtId="3" fontId="24" fillId="12" borderId="26" xfId="1" applyNumberFormat="1" applyFont="1" applyFill="1" applyBorder="1" applyAlignment="1" applyProtection="1">
      <alignment horizontal="center" vertical="center" shrinkToFit="1"/>
      <protection locked="0"/>
    </xf>
    <xf numFmtId="0" fontId="18" fillId="0" borderId="18" xfId="0" applyFont="1" applyBorder="1" applyAlignment="1" applyProtection="1">
      <alignment horizontal="center" vertical="center" wrapText="1"/>
      <protection hidden="1"/>
    </xf>
    <xf numFmtId="3" fontId="24" fillId="12" borderId="73" xfId="0" applyNumberFormat="1" applyFont="1" applyFill="1" applyBorder="1" applyAlignment="1" applyProtection="1">
      <alignment horizontal="center" vertical="center" shrinkToFit="1"/>
      <protection locked="0"/>
    </xf>
    <xf numFmtId="3" fontId="24" fillId="12" borderId="74" xfId="0" applyNumberFormat="1" applyFont="1" applyFill="1" applyBorder="1" applyAlignment="1" applyProtection="1">
      <alignment horizontal="center" vertical="center" shrinkToFit="1"/>
      <protection locked="0"/>
    </xf>
    <xf numFmtId="3" fontId="24" fillId="12" borderId="75" xfId="0" applyNumberFormat="1" applyFont="1" applyFill="1" applyBorder="1" applyAlignment="1" applyProtection="1">
      <alignment horizontal="center" vertical="center" shrinkToFit="1"/>
      <protection locked="0"/>
    </xf>
    <xf numFmtId="3" fontId="24" fillId="12" borderId="22" xfId="0" applyNumberFormat="1" applyFont="1" applyFill="1" applyBorder="1" applyAlignment="1" applyProtection="1">
      <alignment horizontal="center" vertical="center" shrinkToFit="1"/>
      <protection locked="0"/>
    </xf>
    <xf numFmtId="3" fontId="24" fillId="12" borderId="21" xfId="0" applyNumberFormat="1" applyFont="1" applyFill="1" applyBorder="1" applyAlignment="1" applyProtection="1">
      <alignment horizontal="center" vertical="center" shrinkToFit="1"/>
      <protection locked="0"/>
    </xf>
    <xf numFmtId="0" fontId="8" fillId="0" borderId="73" xfId="0" applyFont="1" applyBorder="1" applyAlignment="1" applyProtection="1">
      <alignment horizontal="left"/>
      <protection hidden="1"/>
    </xf>
    <xf numFmtId="0" fontId="8" fillId="0" borderId="74" xfId="0" applyFont="1" applyBorder="1" applyAlignment="1" applyProtection="1">
      <alignment horizontal="left"/>
      <protection hidden="1"/>
    </xf>
    <xf numFmtId="0" fontId="8" fillId="0" borderId="21" xfId="0" applyFont="1" applyBorder="1" applyAlignment="1" applyProtection="1">
      <alignment horizontal="left"/>
      <protection hidden="1"/>
    </xf>
    <xf numFmtId="3" fontId="24" fillId="12" borderId="22" xfId="1" applyNumberFormat="1" applyFont="1" applyFill="1" applyBorder="1" applyAlignment="1" applyProtection="1">
      <alignment horizontal="center" vertical="center" shrinkToFit="1"/>
      <protection locked="0"/>
    </xf>
    <xf numFmtId="3" fontId="24" fillId="12" borderId="21" xfId="1" applyNumberFormat="1" applyFont="1" applyFill="1" applyBorder="1" applyAlignment="1" applyProtection="1">
      <alignment horizontal="center" vertical="center" shrinkToFit="1"/>
      <protection locked="0"/>
    </xf>
    <xf numFmtId="0" fontId="5" fillId="2" borderId="42" xfId="0" applyFont="1" applyFill="1" applyBorder="1" applyAlignment="1" applyProtection="1">
      <alignment horizontal="center"/>
      <protection hidden="1"/>
    </xf>
    <xf numFmtId="0" fontId="5" fillId="2" borderId="43" xfId="0" applyFont="1" applyFill="1" applyBorder="1" applyAlignment="1" applyProtection="1">
      <alignment horizontal="center"/>
      <protection hidden="1"/>
    </xf>
    <xf numFmtId="0" fontId="5" fillId="2" borderId="45" xfId="0" applyFont="1" applyFill="1" applyBorder="1" applyAlignment="1" applyProtection="1">
      <alignment horizontal="center"/>
      <protection hidden="1"/>
    </xf>
    <xf numFmtId="3" fontId="13" fillId="12" borderId="39" xfId="0" applyNumberFormat="1" applyFont="1" applyFill="1" applyBorder="1" applyAlignment="1" applyProtection="1">
      <alignment horizontal="center" shrinkToFit="1"/>
      <protection locked="0"/>
    </xf>
    <xf numFmtId="0" fontId="0" fillId="2" borderId="53" xfId="0" applyFill="1" applyBorder="1" applyAlignment="1" applyProtection="1">
      <alignment horizontal="center" vertical="center"/>
      <protection hidden="1"/>
    </xf>
    <xf numFmtId="0" fontId="0" fillId="2" borderId="54" xfId="0" applyFill="1" applyBorder="1" applyAlignment="1" applyProtection="1">
      <alignment horizontal="center" vertical="center"/>
      <protection hidden="1"/>
    </xf>
    <xf numFmtId="0" fontId="0" fillId="2" borderId="69" xfId="0" applyFill="1" applyBorder="1" applyAlignment="1" applyProtection="1">
      <alignment horizontal="center" vertical="center"/>
      <protection hidden="1"/>
    </xf>
    <xf numFmtId="0" fontId="0" fillId="2" borderId="39" xfId="0" applyFill="1" applyBorder="1" applyAlignment="1" applyProtection="1">
      <alignment horizontal="center" vertical="center"/>
      <protection hidden="1"/>
    </xf>
    <xf numFmtId="0" fontId="0" fillId="2" borderId="40" xfId="0" applyFill="1" applyBorder="1" applyAlignment="1" applyProtection="1">
      <alignment horizontal="center" vertical="center"/>
      <protection hidden="1"/>
    </xf>
    <xf numFmtId="0" fontId="0" fillId="2" borderId="51" xfId="0" applyFill="1" applyBorder="1" applyAlignment="1" applyProtection="1">
      <alignment horizontal="center" vertical="center"/>
      <protection hidden="1"/>
    </xf>
    <xf numFmtId="10" fontId="13" fillId="12" borderId="39" xfId="0" applyNumberFormat="1" applyFont="1" applyFill="1" applyBorder="1" applyAlignment="1" applyProtection="1">
      <alignment horizontal="center" shrinkToFit="1"/>
      <protection locked="0"/>
    </xf>
    <xf numFmtId="10" fontId="13" fillId="12" borderId="40" xfId="0" applyNumberFormat="1" applyFont="1" applyFill="1" applyBorder="1" applyAlignment="1" applyProtection="1">
      <alignment horizontal="center" shrinkToFit="1"/>
      <protection locked="0"/>
    </xf>
    <xf numFmtId="10" fontId="13" fillId="12" borderId="41" xfId="0" applyNumberFormat="1" applyFont="1" applyFill="1" applyBorder="1" applyAlignment="1" applyProtection="1">
      <alignment horizontal="center" shrinkToFit="1"/>
      <protection locked="0"/>
    </xf>
    <xf numFmtId="0" fontId="5" fillId="2" borderId="53" xfId="0" applyFont="1" applyFill="1" applyBorder="1" applyAlignment="1" applyProtection="1">
      <alignment horizontal="center" vertical="center" wrapText="1"/>
      <protection hidden="1"/>
    </xf>
    <xf numFmtId="0" fontId="5" fillId="2" borderId="54" xfId="0" applyFont="1" applyFill="1" applyBorder="1" applyAlignment="1" applyProtection="1">
      <alignment horizontal="center" vertical="center" wrapText="1"/>
      <protection hidden="1"/>
    </xf>
    <xf numFmtId="0" fontId="5" fillId="2" borderId="55" xfId="0" applyFont="1" applyFill="1" applyBorder="1" applyAlignment="1" applyProtection="1">
      <alignment horizontal="center" vertical="center" wrapText="1"/>
      <protection hidden="1"/>
    </xf>
    <xf numFmtId="0" fontId="5" fillId="2" borderId="39" xfId="0" applyFont="1" applyFill="1" applyBorder="1" applyAlignment="1" applyProtection="1">
      <alignment horizontal="center" vertical="center" wrapText="1"/>
      <protection hidden="1"/>
    </xf>
    <xf numFmtId="0" fontId="5" fillId="2" borderId="40" xfId="0" applyFont="1" applyFill="1" applyBorder="1" applyAlignment="1" applyProtection="1">
      <alignment horizontal="center" vertical="center" wrapText="1"/>
      <protection hidden="1"/>
    </xf>
    <xf numFmtId="0" fontId="5" fillId="2" borderId="41" xfId="0" applyFont="1" applyFill="1" applyBorder="1" applyAlignment="1" applyProtection="1">
      <alignment horizontal="center" vertical="center" wrapText="1"/>
      <protection hidden="1"/>
    </xf>
    <xf numFmtId="10" fontId="3" fillId="13" borderId="52" xfId="0" applyNumberFormat="1" applyFont="1" applyFill="1" applyBorder="1" applyAlignment="1" applyProtection="1">
      <alignment horizontal="center" shrinkToFit="1"/>
      <protection locked="0" hidden="1"/>
    </xf>
    <xf numFmtId="10" fontId="3" fillId="13" borderId="40" xfId="0" applyNumberFormat="1" applyFont="1" applyFill="1" applyBorder="1" applyAlignment="1" applyProtection="1">
      <alignment horizontal="center" shrinkToFit="1"/>
      <protection locked="0" hidden="1"/>
    </xf>
    <xf numFmtId="10" fontId="3" fillId="13" borderId="51" xfId="0" applyNumberFormat="1" applyFont="1" applyFill="1" applyBorder="1" applyAlignment="1" applyProtection="1">
      <alignment horizontal="center" shrinkToFit="1"/>
      <protection locked="0" hidden="1"/>
    </xf>
    <xf numFmtId="10" fontId="3" fillId="13" borderId="29" xfId="0" applyNumberFormat="1" applyFont="1" applyFill="1" applyBorder="1" applyAlignment="1" applyProtection="1">
      <alignment horizontal="center" shrinkToFit="1"/>
      <protection locked="0" hidden="1"/>
    </xf>
    <xf numFmtId="10" fontId="3" fillId="13" borderId="66" xfId="0" applyNumberFormat="1" applyFont="1" applyFill="1" applyBorder="1" applyAlignment="1" applyProtection="1">
      <alignment horizontal="center" shrinkToFit="1"/>
      <protection locked="0" hidden="1"/>
    </xf>
    <xf numFmtId="10" fontId="3" fillId="13" borderId="23" xfId="0" applyNumberFormat="1" applyFont="1" applyFill="1" applyBorder="1" applyAlignment="1" applyProtection="1">
      <alignment horizontal="center" shrinkToFit="1"/>
      <protection locked="0" hidden="1"/>
    </xf>
    <xf numFmtId="0" fontId="5" fillId="2" borderId="68" xfId="0" applyFont="1" applyFill="1" applyBorder="1" applyAlignment="1" applyProtection="1">
      <alignment horizontal="center" wrapText="1"/>
      <protection hidden="1"/>
    </xf>
    <xf numFmtId="0" fontId="5" fillId="2" borderId="54" xfId="0" applyFont="1" applyFill="1" applyBorder="1" applyAlignment="1" applyProtection="1">
      <alignment horizontal="center" wrapText="1"/>
      <protection hidden="1"/>
    </xf>
    <xf numFmtId="0" fontId="5" fillId="2" borderId="69" xfId="0" applyFont="1" applyFill="1" applyBorder="1" applyAlignment="1" applyProtection="1">
      <alignment horizontal="center" wrapText="1"/>
      <protection hidden="1"/>
    </xf>
    <xf numFmtId="0" fontId="5" fillId="2" borderId="52" xfId="0" applyFont="1" applyFill="1" applyBorder="1" applyAlignment="1" applyProtection="1">
      <alignment horizontal="center" wrapText="1"/>
      <protection hidden="1"/>
    </xf>
    <xf numFmtId="0" fontId="5" fillId="2" borderId="40" xfId="0" applyFont="1" applyFill="1" applyBorder="1" applyAlignment="1" applyProtection="1">
      <alignment horizontal="center" wrapText="1"/>
      <protection hidden="1"/>
    </xf>
    <xf numFmtId="0" fontId="5" fillId="2" borderId="51" xfId="0" applyFont="1" applyFill="1" applyBorder="1" applyAlignment="1" applyProtection="1">
      <alignment horizontal="center" wrapText="1"/>
      <protection hidden="1"/>
    </xf>
    <xf numFmtId="0" fontId="5" fillId="2" borderId="44" xfId="0" applyFont="1" applyFill="1" applyBorder="1" applyAlignment="1" applyProtection="1">
      <alignment horizontal="center"/>
      <protection hidden="1"/>
    </xf>
    <xf numFmtId="0" fontId="13" fillId="12" borderId="42" xfId="0" applyFont="1" applyFill="1" applyBorder="1" applyAlignment="1" applyProtection="1">
      <alignment horizontal="center" shrinkToFit="1"/>
      <protection locked="0"/>
    </xf>
    <xf numFmtId="0" fontId="13" fillId="12" borderId="43" xfId="0" applyFont="1" applyFill="1" applyBorder="1" applyAlignment="1" applyProtection="1">
      <alignment horizontal="center" shrinkToFit="1"/>
      <protection locked="0"/>
    </xf>
    <xf numFmtId="0" fontId="13" fillId="12" borderId="44" xfId="0" applyFont="1" applyFill="1" applyBorder="1" applyAlignment="1" applyProtection="1">
      <alignment horizontal="center" shrinkToFit="1"/>
      <protection locked="0"/>
    </xf>
    <xf numFmtId="14" fontId="13" fillId="12" borderId="52" xfId="0" applyNumberFormat="1" applyFont="1" applyFill="1" applyBorder="1" applyAlignment="1" applyProtection="1">
      <alignment horizontal="center" shrinkToFit="1"/>
      <protection locked="0"/>
    </xf>
    <xf numFmtId="14" fontId="13" fillId="12" borderId="40" xfId="0" applyNumberFormat="1" applyFont="1" applyFill="1" applyBorder="1" applyAlignment="1" applyProtection="1">
      <alignment horizontal="center" shrinkToFit="1"/>
      <protection locked="0"/>
    </xf>
    <xf numFmtId="14" fontId="13" fillId="12" borderId="41" xfId="0" applyNumberFormat="1" applyFont="1" applyFill="1" applyBorder="1" applyAlignment="1" applyProtection="1">
      <alignment horizontal="center" shrinkToFit="1"/>
      <protection locked="0"/>
    </xf>
    <xf numFmtId="0" fontId="13" fillId="12" borderId="39" xfId="0" applyFont="1" applyFill="1" applyBorder="1" applyAlignment="1" applyProtection="1">
      <alignment horizontal="center" shrinkToFit="1"/>
      <protection locked="0"/>
    </xf>
    <xf numFmtId="0" fontId="13" fillId="12" borderId="40" xfId="0" applyFont="1" applyFill="1" applyBorder="1" applyAlignment="1" applyProtection="1">
      <alignment horizontal="center" shrinkToFit="1"/>
      <protection locked="0"/>
    </xf>
    <xf numFmtId="0" fontId="13" fillId="12" borderId="41" xfId="0" applyFont="1" applyFill="1" applyBorder="1" applyAlignment="1" applyProtection="1">
      <alignment horizontal="center" shrinkToFit="1"/>
      <protection locked="0"/>
    </xf>
    <xf numFmtId="0" fontId="13" fillId="12" borderId="33" xfId="0" applyFont="1" applyFill="1" applyBorder="1" applyAlignment="1" applyProtection="1">
      <alignment horizontal="left" shrinkToFit="1"/>
      <protection locked="0"/>
    </xf>
    <xf numFmtId="0" fontId="13" fillId="12" borderId="19" xfId="0" applyFont="1" applyFill="1" applyBorder="1" applyAlignment="1" applyProtection="1">
      <alignment horizontal="left" shrinkToFit="1"/>
      <protection locked="0"/>
    </xf>
    <xf numFmtId="0" fontId="13" fillId="12" borderId="34" xfId="0" applyFont="1" applyFill="1" applyBorder="1" applyAlignment="1" applyProtection="1">
      <alignment horizontal="left" shrinkToFit="1"/>
      <protection locked="0"/>
    </xf>
    <xf numFmtId="0" fontId="4" fillId="12" borderId="36" xfId="0" applyFont="1" applyFill="1" applyBorder="1" applyAlignment="1" applyProtection="1">
      <alignment horizontal="left" shrinkToFit="1"/>
      <protection locked="0"/>
    </xf>
    <xf numFmtId="0" fontId="4" fillId="12" borderId="24" xfId="0" applyFont="1" applyFill="1" applyBorder="1" applyAlignment="1" applyProtection="1">
      <alignment horizontal="left" shrinkToFit="1"/>
      <protection locked="0"/>
    </xf>
    <xf numFmtId="0" fontId="4" fillId="12" borderId="25" xfId="0" applyFont="1" applyFill="1" applyBorder="1" applyAlignment="1" applyProtection="1">
      <alignment horizontal="left" shrinkToFit="1"/>
      <protection locked="0"/>
    </xf>
    <xf numFmtId="14" fontId="13" fillId="12" borderId="47" xfId="0" applyNumberFormat="1" applyFont="1" applyFill="1" applyBorder="1" applyAlignment="1" applyProtection="1">
      <alignment horizontal="center" shrinkToFit="1"/>
      <protection locked="0"/>
    </xf>
    <xf numFmtId="14" fontId="13" fillId="12" borderId="43" xfId="0" applyNumberFormat="1" applyFont="1" applyFill="1" applyBorder="1" applyAlignment="1" applyProtection="1">
      <alignment horizontal="center" shrinkToFit="1"/>
      <protection locked="0"/>
    </xf>
    <xf numFmtId="14" fontId="13" fillId="12" borderId="44" xfId="0" applyNumberFormat="1" applyFont="1" applyFill="1" applyBorder="1" applyAlignment="1" applyProtection="1">
      <alignment horizontal="center" shrinkToFit="1"/>
      <protection locked="0"/>
    </xf>
    <xf numFmtId="0" fontId="13" fillId="12" borderId="39" xfId="0" applyFont="1" applyFill="1" applyBorder="1" applyAlignment="1" applyProtection="1">
      <alignment horizontal="left" shrinkToFit="1"/>
      <protection locked="0"/>
    </xf>
    <xf numFmtId="0" fontId="13" fillId="12" borderId="40" xfId="0" applyFont="1" applyFill="1" applyBorder="1" applyAlignment="1" applyProtection="1">
      <alignment horizontal="left" shrinkToFit="1"/>
      <protection locked="0"/>
    </xf>
    <xf numFmtId="0" fontId="13" fillId="12" borderId="51" xfId="0" applyFont="1" applyFill="1" applyBorder="1" applyAlignment="1" applyProtection="1">
      <alignment horizontal="left" shrinkToFit="1"/>
      <protection locked="0"/>
    </xf>
    <xf numFmtId="0" fontId="13" fillId="12" borderId="42" xfId="0" applyFont="1" applyFill="1" applyBorder="1" applyAlignment="1" applyProtection="1">
      <alignment horizontal="left" shrinkToFit="1"/>
      <protection locked="0"/>
    </xf>
    <xf numFmtId="0" fontId="13" fillId="12" borderId="43" xfId="0" applyFont="1" applyFill="1" applyBorder="1" applyAlignment="1" applyProtection="1">
      <alignment horizontal="left" shrinkToFit="1"/>
      <protection locked="0"/>
    </xf>
    <xf numFmtId="0" fontId="13" fillId="12" borderId="45" xfId="0" applyFont="1" applyFill="1" applyBorder="1" applyAlignment="1" applyProtection="1">
      <alignment horizontal="left" shrinkToFit="1"/>
      <protection locked="0"/>
    </xf>
    <xf numFmtId="0" fontId="0" fillId="0" borderId="10" xfId="0" applyFont="1" applyFill="1" applyBorder="1" applyAlignment="1" applyProtection="1">
      <alignment horizontal="center" shrinkToFit="1"/>
      <protection hidden="1"/>
    </xf>
    <xf numFmtId="0" fontId="0" fillId="0" borderId="11" xfId="0" applyFont="1" applyFill="1" applyBorder="1" applyAlignment="1" applyProtection="1">
      <alignment horizontal="center" shrinkToFit="1"/>
      <protection hidden="1"/>
    </xf>
    <xf numFmtId="0" fontId="13" fillId="12" borderId="7" xfId="0" applyFont="1" applyFill="1" applyBorder="1" applyAlignment="1" applyProtection="1">
      <alignment horizontal="left" shrinkToFit="1"/>
      <protection locked="0"/>
    </xf>
    <xf numFmtId="0" fontId="13" fillId="12" borderId="0" xfId="0" applyFont="1" applyFill="1" applyBorder="1" applyAlignment="1" applyProtection="1">
      <alignment horizontal="left" shrinkToFit="1"/>
      <protection locked="0"/>
    </xf>
    <xf numFmtId="0" fontId="13" fillId="12" borderId="15" xfId="0" applyFont="1" applyFill="1" applyBorder="1" applyAlignment="1" applyProtection="1">
      <alignment horizontal="left" shrinkToFit="1"/>
      <protection locked="0"/>
    </xf>
    <xf numFmtId="0" fontId="20" fillId="0" borderId="10" xfId="0" applyFont="1" applyFill="1" applyBorder="1" applyAlignment="1" applyProtection="1">
      <alignment horizontal="center" shrinkToFit="1"/>
      <protection hidden="1"/>
    </xf>
    <xf numFmtId="0" fontId="20" fillId="0" borderId="11" xfId="0" applyFont="1" applyFill="1" applyBorder="1" applyAlignment="1" applyProtection="1">
      <alignment horizontal="center" shrinkToFit="1"/>
      <protection hidden="1"/>
    </xf>
    <xf numFmtId="0" fontId="3" fillId="12" borderId="7" xfId="0" applyFont="1" applyFill="1" applyBorder="1" applyAlignment="1" applyProtection="1">
      <alignment horizontal="left" shrinkToFit="1"/>
      <protection locked="0"/>
    </xf>
    <xf numFmtId="0" fontId="3" fillId="12" borderId="0" xfId="0" applyFont="1" applyFill="1" applyBorder="1" applyAlignment="1" applyProtection="1">
      <alignment horizontal="left" shrinkToFit="1"/>
      <protection locked="0"/>
    </xf>
    <xf numFmtId="14" fontId="13" fillId="12" borderId="39" xfId="0" applyNumberFormat="1" applyFont="1" applyFill="1" applyBorder="1" applyAlignment="1" applyProtection="1">
      <alignment horizontal="center" shrinkToFit="1"/>
      <protection locked="0"/>
    </xf>
    <xf numFmtId="0" fontId="63" fillId="4" borderId="2" xfId="0" applyFont="1" applyFill="1" applyBorder="1" applyAlignment="1" applyProtection="1">
      <alignment horizontal="left"/>
      <protection hidden="1"/>
    </xf>
    <xf numFmtId="0" fontId="63" fillId="4" borderId="37" xfId="0" applyFont="1" applyFill="1" applyBorder="1" applyAlignment="1" applyProtection="1">
      <alignment horizontal="left"/>
      <protection hidden="1"/>
    </xf>
    <xf numFmtId="14" fontId="3" fillId="13" borderId="0" xfId="0" applyNumberFormat="1" applyFont="1" applyFill="1" applyBorder="1" applyAlignment="1" applyProtection="1">
      <alignment horizontal="center"/>
      <protection locked="0" hidden="1"/>
    </xf>
    <xf numFmtId="14" fontId="3" fillId="13" borderId="0" xfId="0" applyNumberFormat="1" applyFont="1" applyFill="1" applyAlignment="1" applyProtection="1">
      <alignment horizontal="center" shrinkToFit="1"/>
      <protection locked="0" hidden="1"/>
    </xf>
    <xf numFmtId="0" fontId="3" fillId="12" borderId="0" xfId="0" applyFont="1" applyFill="1" applyAlignment="1" applyProtection="1">
      <alignment horizontal="center" shrinkToFit="1"/>
      <protection locked="0"/>
    </xf>
    <xf numFmtId="14" fontId="13" fillId="12" borderId="71" xfId="0" applyNumberFormat="1" applyFont="1" applyFill="1" applyBorder="1" applyAlignment="1" applyProtection="1">
      <alignment horizontal="center" shrinkToFit="1"/>
      <protection locked="0"/>
    </xf>
    <xf numFmtId="0" fontId="13" fillId="12" borderId="66" xfId="0" applyFont="1" applyFill="1" applyBorder="1" applyAlignment="1" applyProtection="1">
      <alignment horizontal="center" shrinkToFit="1"/>
      <protection locked="0"/>
    </xf>
    <xf numFmtId="0" fontId="13" fillId="12" borderId="67" xfId="0" applyFont="1" applyFill="1" applyBorder="1" applyAlignment="1" applyProtection="1">
      <alignment horizontal="center" shrinkToFit="1"/>
      <protection locked="0"/>
    </xf>
    <xf numFmtId="0" fontId="17" fillId="2" borderId="0" xfId="0" applyFont="1" applyFill="1" applyAlignment="1" applyProtection="1">
      <alignment horizontal="center" vertical="center"/>
      <protection hidden="1"/>
    </xf>
    <xf numFmtId="0" fontId="4" fillId="2" borderId="0" xfId="0" applyFont="1" applyFill="1" applyAlignment="1" applyProtection="1">
      <alignment horizontal="center"/>
      <protection hidden="1"/>
    </xf>
    <xf numFmtId="0" fontId="4" fillId="2" borderId="9" xfId="0" applyFont="1" applyFill="1" applyBorder="1" applyAlignment="1" applyProtection="1">
      <alignment horizontal="center"/>
      <protection hidden="1"/>
    </xf>
    <xf numFmtId="0" fontId="27" fillId="13" borderId="13" xfId="0" applyFont="1" applyFill="1" applyBorder="1" applyAlignment="1" applyProtection="1">
      <alignment horizontal="left" vertical="center"/>
      <protection hidden="1"/>
    </xf>
    <xf numFmtId="0" fontId="14" fillId="13" borderId="27" xfId="0" applyFont="1" applyFill="1" applyBorder="1" applyAlignment="1" applyProtection="1">
      <alignment horizontal="left" vertical="center"/>
      <protection hidden="1"/>
    </xf>
    <xf numFmtId="0" fontId="14" fillId="13" borderId="0" xfId="0" applyFont="1" applyFill="1" applyBorder="1" applyAlignment="1" applyProtection="1">
      <alignment horizontal="left" vertical="center"/>
      <protection hidden="1"/>
    </xf>
    <xf numFmtId="0" fontId="11" fillId="2" borderId="10" xfId="0" applyFont="1" applyFill="1" applyBorder="1" applyAlignment="1" applyProtection="1">
      <alignment horizontal="center" vertical="center"/>
      <protection hidden="1"/>
    </xf>
    <xf numFmtId="0" fontId="11" fillId="2" borderId="11" xfId="0" applyFont="1" applyFill="1" applyBorder="1" applyAlignment="1" applyProtection="1">
      <alignment horizontal="center" vertical="center"/>
      <protection hidden="1"/>
    </xf>
    <xf numFmtId="0" fontId="11" fillId="2" borderId="12" xfId="0" applyFont="1" applyFill="1" applyBorder="1" applyAlignment="1" applyProtection="1">
      <alignment horizontal="center" vertical="center"/>
      <protection hidden="1"/>
    </xf>
    <xf numFmtId="0" fontId="4" fillId="2" borderId="0" xfId="0" applyFont="1" applyFill="1" applyBorder="1" applyAlignment="1" applyProtection="1">
      <alignment horizontal="center" vertical="center" shrinkToFit="1"/>
      <protection locked="0"/>
    </xf>
    <xf numFmtId="0" fontId="4" fillId="2" borderId="0" xfId="0" applyFont="1" applyFill="1" applyBorder="1" applyAlignment="1" applyProtection="1">
      <alignment horizontal="center" vertical="center"/>
      <protection hidden="1"/>
    </xf>
    <xf numFmtId="0" fontId="20" fillId="2" borderId="11" xfId="0" applyFont="1" applyFill="1" applyBorder="1" applyAlignment="1" applyProtection="1">
      <alignment horizontal="center"/>
      <protection hidden="1"/>
    </xf>
    <xf numFmtId="0" fontId="20" fillId="2" borderId="12" xfId="0" applyFont="1" applyFill="1" applyBorder="1" applyAlignment="1" applyProtection="1">
      <alignment horizontal="center"/>
      <protection hidden="1"/>
    </xf>
    <xf numFmtId="14" fontId="13" fillId="12" borderId="0" xfId="0" applyNumberFormat="1" applyFont="1" applyFill="1" applyAlignment="1" applyProtection="1">
      <alignment horizontal="center" shrinkToFit="1"/>
      <protection locked="0"/>
    </xf>
    <xf numFmtId="0" fontId="13" fillId="12" borderId="0" xfId="0" applyFont="1" applyFill="1" applyAlignment="1" applyProtection="1">
      <alignment horizontal="center" shrinkToFit="1"/>
      <protection locked="0"/>
    </xf>
    <xf numFmtId="3" fontId="13" fillId="12" borderId="33" xfId="0" applyNumberFormat="1" applyFont="1" applyFill="1" applyBorder="1" applyAlignment="1" applyProtection="1">
      <alignment horizontal="left" vertical="center" shrinkToFit="1"/>
      <protection locked="0"/>
    </xf>
    <xf numFmtId="3" fontId="13" fillId="12" borderId="19" xfId="0" applyNumberFormat="1" applyFont="1" applyFill="1" applyBorder="1" applyAlignment="1" applyProtection="1">
      <alignment horizontal="left" vertical="center" shrinkToFit="1"/>
      <protection locked="0"/>
    </xf>
    <xf numFmtId="3" fontId="13" fillId="12" borderId="34" xfId="0" applyNumberFormat="1" applyFont="1" applyFill="1" applyBorder="1" applyAlignment="1" applyProtection="1">
      <alignment horizontal="left" vertical="center" shrinkToFit="1"/>
      <protection locked="0"/>
    </xf>
    <xf numFmtId="0" fontId="4" fillId="12" borderId="48" xfId="0" applyFont="1" applyFill="1" applyBorder="1" applyAlignment="1" applyProtection="1">
      <alignment horizontal="left" shrinkToFit="1"/>
      <protection locked="0"/>
    </xf>
    <xf numFmtId="0" fontId="4" fillId="12" borderId="49" xfId="0" applyFont="1" applyFill="1" applyBorder="1" applyAlignment="1" applyProtection="1">
      <alignment horizontal="left" shrinkToFit="1"/>
      <protection locked="0"/>
    </xf>
    <xf numFmtId="0" fontId="4" fillId="12" borderId="50" xfId="0" applyFont="1" applyFill="1" applyBorder="1" applyAlignment="1" applyProtection="1">
      <alignment horizontal="left" shrinkToFit="1"/>
      <protection locked="0"/>
    </xf>
    <xf numFmtId="0" fontId="5" fillId="13" borderId="9" xfId="0" applyFont="1" applyFill="1" applyBorder="1" applyAlignment="1" applyProtection="1">
      <alignment horizontal="center"/>
      <protection hidden="1"/>
    </xf>
    <xf numFmtId="14" fontId="3" fillId="13" borderId="0" xfId="0" applyNumberFormat="1" applyFont="1" applyFill="1" applyBorder="1" applyAlignment="1" applyProtection="1">
      <alignment horizontal="center" shrinkToFit="1"/>
      <protection locked="0" hidden="1"/>
    </xf>
    <xf numFmtId="14" fontId="3" fillId="12" borderId="0" xfId="0" applyNumberFormat="1" applyFont="1" applyFill="1" applyBorder="1" applyAlignment="1" applyProtection="1">
      <alignment horizontal="center" shrinkToFit="1"/>
      <protection locked="0" hidden="1"/>
    </xf>
    <xf numFmtId="0" fontId="4" fillId="12" borderId="59" xfId="0" applyFont="1" applyFill="1" applyBorder="1" applyAlignment="1" applyProtection="1">
      <alignment horizontal="left" shrinkToFit="1"/>
      <protection locked="0"/>
    </xf>
    <xf numFmtId="0" fontId="4" fillId="12" borderId="46" xfId="0" applyFont="1" applyFill="1" applyBorder="1" applyAlignment="1" applyProtection="1">
      <alignment horizontal="left" shrinkToFit="1"/>
      <protection locked="0"/>
    </xf>
    <xf numFmtId="0" fontId="4" fillId="12" borderId="60" xfId="0" applyFont="1" applyFill="1" applyBorder="1" applyAlignment="1" applyProtection="1">
      <alignment horizontal="left" shrinkToFit="1"/>
      <protection locked="0"/>
    </xf>
    <xf numFmtId="3" fontId="27" fillId="2" borderId="10" xfId="0" applyNumberFormat="1" applyFont="1" applyFill="1" applyBorder="1" applyAlignment="1" applyProtection="1">
      <alignment horizontal="center"/>
      <protection hidden="1"/>
    </xf>
    <xf numFmtId="3" fontId="27" fillId="2" borderId="11" xfId="0" applyNumberFormat="1" applyFont="1" applyFill="1" applyBorder="1" applyAlignment="1" applyProtection="1">
      <alignment horizontal="center"/>
      <protection hidden="1"/>
    </xf>
    <xf numFmtId="3" fontId="27" fillId="2" borderId="12" xfId="0" applyNumberFormat="1" applyFont="1" applyFill="1" applyBorder="1" applyAlignment="1" applyProtection="1">
      <alignment horizontal="center"/>
      <protection hidden="1"/>
    </xf>
    <xf numFmtId="0" fontId="13" fillId="12" borderId="71" xfId="0" applyFont="1" applyFill="1" applyBorder="1" applyAlignment="1" applyProtection="1">
      <alignment horizontal="center" shrinkToFit="1"/>
      <protection locked="0"/>
    </xf>
    <xf numFmtId="14" fontId="13" fillId="12" borderId="29" xfId="0" applyNumberFormat="1" applyFont="1" applyFill="1" applyBorder="1" applyAlignment="1" applyProtection="1">
      <alignment horizontal="center" shrinkToFit="1"/>
      <protection locked="0"/>
    </xf>
    <xf numFmtId="14" fontId="13" fillId="12" borderId="66" xfId="0" applyNumberFormat="1" applyFont="1" applyFill="1" applyBorder="1" applyAlignment="1" applyProtection="1">
      <alignment horizontal="center" shrinkToFit="1"/>
      <protection locked="0"/>
    </xf>
    <xf numFmtId="14" fontId="13" fillId="12" borderId="67" xfId="0" applyNumberFormat="1" applyFont="1" applyFill="1" applyBorder="1" applyAlignment="1" applyProtection="1">
      <alignment horizontal="center" shrinkToFit="1"/>
      <protection locked="0"/>
    </xf>
    <xf numFmtId="0" fontId="5" fillId="2" borderId="47" xfId="0" applyFont="1" applyFill="1" applyBorder="1" applyAlignment="1" applyProtection="1">
      <alignment horizontal="center"/>
      <protection hidden="1"/>
    </xf>
    <xf numFmtId="0" fontId="13" fillId="12" borderId="59" xfId="0" applyFont="1" applyFill="1" applyBorder="1" applyAlignment="1" applyProtection="1">
      <alignment horizontal="left" shrinkToFit="1"/>
      <protection locked="0"/>
    </xf>
    <xf numFmtId="0" fontId="13" fillId="12" borderId="46" xfId="0" applyFont="1" applyFill="1" applyBorder="1" applyAlignment="1" applyProtection="1">
      <alignment horizontal="left" shrinkToFit="1"/>
      <protection locked="0"/>
    </xf>
    <xf numFmtId="0" fontId="13" fillId="12" borderId="60" xfId="0" applyFont="1" applyFill="1" applyBorder="1" applyAlignment="1" applyProtection="1">
      <alignment horizontal="left" shrinkToFit="1"/>
      <protection locked="0"/>
    </xf>
    <xf numFmtId="0" fontId="5" fillId="0" borderId="10" xfId="0" applyFont="1" applyFill="1" applyBorder="1" applyAlignment="1" applyProtection="1">
      <alignment horizontal="center" vertical="center"/>
      <protection hidden="1"/>
    </xf>
    <xf numFmtId="0" fontId="5" fillId="0" borderId="11" xfId="0" applyFont="1" applyFill="1" applyBorder="1" applyAlignment="1" applyProtection="1">
      <alignment horizontal="center" vertical="center"/>
      <protection hidden="1"/>
    </xf>
    <xf numFmtId="0" fontId="5" fillId="0" borderId="12" xfId="0" applyFont="1" applyFill="1" applyBorder="1" applyAlignment="1" applyProtection="1">
      <alignment horizontal="center" vertical="center"/>
      <protection hidden="1"/>
    </xf>
    <xf numFmtId="10" fontId="13" fillId="12" borderId="71" xfId="0" applyNumberFormat="1" applyFont="1" applyFill="1" applyBorder="1" applyAlignment="1" applyProtection="1">
      <alignment horizontal="center" shrinkToFit="1"/>
      <protection locked="0"/>
    </xf>
    <xf numFmtId="10" fontId="13" fillId="12" borderId="66" xfId="0" applyNumberFormat="1" applyFont="1" applyFill="1" applyBorder="1" applyAlignment="1" applyProtection="1">
      <alignment horizontal="center" shrinkToFit="1"/>
      <protection locked="0"/>
    </xf>
    <xf numFmtId="10" fontId="13" fillId="12" borderId="67" xfId="0" applyNumberFormat="1" applyFont="1" applyFill="1" applyBorder="1" applyAlignment="1" applyProtection="1">
      <alignment horizontal="center" shrinkToFit="1"/>
      <protection locked="0"/>
    </xf>
    <xf numFmtId="0" fontId="11" fillId="2" borderId="48" xfId="0" applyFont="1" applyFill="1" applyBorder="1" applyAlignment="1" applyProtection="1">
      <alignment horizontal="left" shrinkToFit="1"/>
      <protection hidden="1"/>
    </xf>
    <xf numFmtId="0" fontId="11" fillId="2" borderId="49" xfId="0" applyFont="1" applyFill="1" applyBorder="1" applyAlignment="1" applyProtection="1">
      <alignment horizontal="left" shrinkToFit="1"/>
      <protection hidden="1"/>
    </xf>
    <xf numFmtId="0" fontId="11" fillId="2" borderId="50" xfId="0" applyFont="1" applyFill="1" applyBorder="1" applyAlignment="1" applyProtection="1">
      <alignment horizontal="left" shrinkToFit="1"/>
      <protection hidden="1"/>
    </xf>
    <xf numFmtId="0" fontId="4" fillId="12" borderId="0" xfId="0" applyFont="1" applyFill="1" applyAlignment="1" applyProtection="1">
      <alignment horizontal="left" shrinkToFit="1"/>
      <protection locked="0" hidden="1"/>
    </xf>
    <xf numFmtId="0" fontId="5" fillId="0" borderId="10" xfId="0" applyFont="1" applyFill="1" applyBorder="1" applyAlignment="1" applyProtection="1">
      <alignment horizontal="center" vertical="center" wrapText="1"/>
      <protection hidden="1"/>
    </xf>
    <xf numFmtId="0" fontId="5" fillId="0" borderId="11" xfId="0" applyFont="1" applyFill="1" applyBorder="1" applyAlignment="1" applyProtection="1">
      <alignment horizontal="center" vertical="center" wrapText="1"/>
      <protection hidden="1"/>
    </xf>
    <xf numFmtId="0" fontId="5" fillId="0" borderId="12" xfId="0" applyFont="1" applyFill="1" applyBorder="1" applyAlignment="1" applyProtection="1">
      <alignment horizontal="center" vertical="center" wrapText="1"/>
      <protection hidden="1"/>
    </xf>
    <xf numFmtId="0" fontId="4" fillId="12" borderId="48" xfId="0" applyFont="1" applyFill="1" applyBorder="1" applyAlignment="1" applyProtection="1">
      <alignment horizontal="center" shrinkToFit="1"/>
      <protection locked="0"/>
    </xf>
    <xf numFmtId="0" fontId="4" fillId="12" borderId="49" xfId="0" applyFont="1" applyFill="1" applyBorder="1" applyAlignment="1" applyProtection="1">
      <alignment horizontal="center" shrinkToFit="1"/>
      <protection locked="0"/>
    </xf>
    <xf numFmtId="0" fontId="4" fillId="12" borderId="50" xfId="0" applyFont="1" applyFill="1" applyBorder="1" applyAlignment="1" applyProtection="1">
      <alignment horizontal="center" shrinkToFit="1"/>
      <protection locked="0"/>
    </xf>
    <xf numFmtId="0" fontId="27" fillId="2" borderId="19" xfId="0" applyFont="1" applyFill="1" applyBorder="1" applyAlignment="1" applyProtection="1">
      <alignment horizontal="left" shrinkToFit="1"/>
      <protection hidden="1"/>
    </xf>
    <xf numFmtId="0" fontId="27" fillId="2" borderId="34" xfId="0" applyFont="1" applyFill="1" applyBorder="1" applyAlignment="1" applyProtection="1">
      <alignment horizontal="left" shrinkToFit="1"/>
      <protection hidden="1"/>
    </xf>
    <xf numFmtId="0" fontId="11" fillId="2" borderId="39" xfId="0" applyFont="1" applyFill="1" applyBorder="1" applyAlignment="1" applyProtection="1">
      <alignment horizontal="center"/>
      <protection hidden="1"/>
    </xf>
    <xf numFmtId="0" fontId="11" fillId="2" borderId="40" xfId="0" applyFont="1" applyFill="1" applyBorder="1" applyAlignment="1" applyProtection="1">
      <alignment horizontal="center"/>
      <protection hidden="1"/>
    </xf>
    <xf numFmtId="0" fontId="11" fillId="2" borderId="53" xfId="0" applyFont="1" applyFill="1" applyBorder="1" applyAlignment="1" applyProtection="1">
      <alignment horizontal="center"/>
      <protection hidden="1"/>
    </xf>
    <xf numFmtId="0" fontId="11" fillId="2" borderId="54" xfId="0" applyFont="1" applyFill="1" applyBorder="1" applyAlignment="1" applyProtection="1">
      <alignment horizontal="center"/>
      <protection hidden="1"/>
    </xf>
    <xf numFmtId="0" fontId="11" fillId="2" borderId="55" xfId="0" applyFont="1" applyFill="1" applyBorder="1" applyAlignment="1" applyProtection="1">
      <alignment horizontal="center"/>
      <protection hidden="1"/>
    </xf>
    <xf numFmtId="0" fontId="13" fillId="12" borderId="51" xfId="0" applyFont="1" applyFill="1" applyBorder="1" applyAlignment="1" applyProtection="1">
      <alignment horizontal="left" vertical="center" shrinkToFit="1"/>
      <protection locked="0"/>
    </xf>
    <xf numFmtId="3" fontId="13" fillId="12" borderId="71" xfId="0" applyNumberFormat="1" applyFont="1" applyFill="1" applyBorder="1" applyAlignment="1" applyProtection="1">
      <alignment horizontal="center" shrinkToFit="1"/>
      <protection locked="0"/>
    </xf>
    <xf numFmtId="3" fontId="13" fillId="12" borderId="66" xfId="0" applyNumberFormat="1" applyFont="1" applyFill="1" applyBorder="1" applyAlignment="1" applyProtection="1">
      <alignment horizontal="center" shrinkToFit="1"/>
      <protection locked="0"/>
    </xf>
    <xf numFmtId="0" fontId="13" fillId="12" borderId="71" xfId="0" applyFont="1" applyFill="1" applyBorder="1" applyAlignment="1" applyProtection="1">
      <alignment horizontal="left" shrinkToFit="1"/>
      <protection locked="0"/>
    </xf>
    <xf numFmtId="0" fontId="13" fillId="12" borderId="66" xfId="0" applyFont="1" applyFill="1" applyBorder="1" applyAlignment="1" applyProtection="1">
      <alignment horizontal="left" shrinkToFit="1"/>
      <protection locked="0"/>
    </xf>
    <xf numFmtId="0" fontId="13" fillId="12" borderId="23" xfId="0" applyFont="1" applyFill="1" applyBorder="1" applyAlignment="1" applyProtection="1">
      <alignment horizontal="left" shrinkToFit="1"/>
      <protection locked="0"/>
    </xf>
    <xf numFmtId="0" fontId="11" fillId="2" borderId="41" xfId="0" applyFont="1" applyFill="1" applyBorder="1" applyAlignment="1" applyProtection="1">
      <alignment horizontal="center"/>
      <protection hidden="1"/>
    </xf>
    <xf numFmtId="43" fontId="1" fillId="0" borderId="7" xfId="1" applyFont="1" applyBorder="1" applyAlignment="1" applyProtection="1">
      <alignment horizontal="center" vertical="center" wrapText="1"/>
      <protection hidden="1"/>
    </xf>
    <xf numFmtId="43" fontId="1" fillId="0" borderId="0" xfId="1" applyFont="1" applyBorder="1" applyAlignment="1" applyProtection="1">
      <alignment horizontal="center" vertical="center" wrapText="1"/>
      <protection hidden="1"/>
    </xf>
    <xf numFmtId="43" fontId="1" fillId="0" borderId="15" xfId="1" applyFont="1" applyBorder="1" applyAlignment="1" applyProtection="1">
      <alignment horizontal="center" vertical="center" wrapText="1"/>
      <protection hidden="1"/>
    </xf>
    <xf numFmtId="49" fontId="4" fillId="12" borderId="33" xfId="0" applyNumberFormat="1" applyFont="1" applyFill="1" applyBorder="1" applyAlignment="1" applyProtection="1">
      <alignment horizontal="left" vertical="center" shrinkToFit="1"/>
      <protection locked="0"/>
    </xf>
    <xf numFmtId="49" fontId="4" fillId="12" borderId="19" xfId="0" applyNumberFormat="1" applyFont="1" applyFill="1" applyBorder="1" applyAlignment="1" applyProtection="1">
      <alignment horizontal="left" vertical="center" shrinkToFit="1"/>
      <protection locked="0"/>
    </xf>
    <xf numFmtId="49" fontId="4" fillId="12" borderId="34" xfId="0" applyNumberFormat="1" applyFont="1" applyFill="1" applyBorder="1" applyAlignment="1" applyProtection="1">
      <alignment horizontal="left" vertical="center" shrinkToFit="1"/>
      <protection locked="0"/>
    </xf>
    <xf numFmtId="3" fontId="13" fillId="12" borderId="68" xfId="0" applyNumberFormat="1" applyFont="1" applyFill="1" applyBorder="1" applyAlignment="1" applyProtection="1">
      <alignment horizontal="center" vertical="center" shrinkToFit="1"/>
      <protection locked="0"/>
    </xf>
    <xf numFmtId="0" fontId="13" fillId="12" borderId="69" xfId="0" applyFont="1" applyFill="1" applyBorder="1" applyAlignment="1" applyProtection="1">
      <alignment horizontal="left" vertical="center" shrinkToFit="1"/>
      <protection locked="0"/>
    </xf>
    <xf numFmtId="0" fontId="27" fillId="0" borderId="53" xfId="0" applyFont="1" applyBorder="1" applyAlignment="1" applyProtection="1">
      <alignment horizontal="left"/>
      <protection hidden="1"/>
    </xf>
    <xf numFmtId="0" fontId="27" fillId="0" borderId="54" xfId="0" applyFont="1" applyBorder="1" applyAlignment="1" applyProtection="1">
      <alignment horizontal="left"/>
      <protection hidden="1"/>
    </xf>
    <xf numFmtId="0" fontId="27" fillId="0" borderId="69" xfId="0" applyFont="1" applyBorder="1" applyAlignment="1" applyProtection="1">
      <alignment horizontal="left"/>
      <protection hidden="1"/>
    </xf>
    <xf numFmtId="0" fontId="4" fillId="0" borderId="7"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wrapText="1"/>
      <protection hidden="1"/>
    </xf>
    <xf numFmtId="0" fontId="4" fillId="12" borderId="33" xfId="0" applyFont="1" applyFill="1" applyBorder="1" applyAlignment="1" applyProtection="1">
      <alignment horizontal="center" shrinkToFit="1"/>
      <protection locked="0"/>
    </xf>
    <xf numFmtId="0" fontId="4" fillId="12" borderId="19" xfId="0" applyFont="1" applyFill="1" applyBorder="1" applyAlignment="1" applyProtection="1">
      <alignment horizontal="center" shrinkToFit="1"/>
      <protection locked="0"/>
    </xf>
    <xf numFmtId="0" fontId="4" fillId="12" borderId="34" xfId="0" applyFont="1" applyFill="1" applyBorder="1" applyAlignment="1" applyProtection="1">
      <alignment horizontal="center" shrinkToFit="1"/>
      <protection locked="0"/>
    </xf>
    <xf numFmtId="0" fontId="0" fillId="2" borderId="48" xfId="0" applyFill="1" applyBorder="1" applyAlignment="1" applyProtection="1">
      <alignment horizontal="center"/>
      <protection hidden="1"/>
    </xf>
    <xf numFmtId="0" fontId="0" fillId="2" borderId="49" xfId="0" applyFill="1" applyBorder="1" applyAlignment="1" applyProtection="1">
      <alignment horizontal="center"/>
      <protection hidden="1"/>
    </xf>
    <xf numFmtId="0" fontId="0" fillId="2" borderId="50" xfId="0" applyFill="1" applyBorder="1" applyAlignment="1" applyProtection="1">
      <alignment horizontal="center"/>
      <protection hidden="1"/>
    </xf>
    <xf numFmtId="49" fontId="4" fillId="12" borderId="39" xfId="0" applyNumberFormat="1" applyFont="1" applyFill="1" applyBorder="1" applyAlignment="1" applyProtection="1">
      <alignment horizontal="center" vertical="center" shrinkToFit="1"/>
      <protection locked="0"/>
    </xf>
    <xf numFmtId="49" fontId="4" fillId="12" borderId="40" xfId="0" applyNumberFormat="1" applyFont="1" applyFill="1" applyBorder="1" applyAlignment="1" applyProtection="1">
      <alignment horizontal="center" vertical="center" shrinkToFit="1"/>
      <protection locked="0"/>
    </xf>
    <xf numFmtId="49" fontId="4" fillId="12" borderId="41" xfId="0" applyNumberFormat="1" applyFont="1" applyFill="1" applyBorder="1" applyAlignment="1" applyProtection="1">
      <alignment horizontal="center" vertical="center" shrinkToFit="1"/>
      <protection locked="0"/>
    </xf>
    <xf numFmtId="0" fontId="4" fillId="12" borderId="59" xfId="0" applyFont="1" applyFill="1" applyBorder="1" applyAlignment="1" applyProtection="1">
      <alignment horizontal="center" shrinkToFit="1"/>
      <protection locked="0"/>
    </xf>
    <xf numFmtId="0" fontId="4" fillId="12" borderId="46" xfId="0" applyFont="1" applyFill="1" applyBorder="1" applyAlignment="1" applyProtection="1">
      <alignment horizontal="center" shrinkToFit="1"/>
      <protection locked="0"/>
    </xf>
    <xf numFmtId="0" fontId="4" fillId="12" borderId="60" xfId="0" applyFont="1" applyFill="1" applyBorder="1" applyAlignment="1" applyProtection="1">
      <alignment horizontal="center" shrinkToFit="1"/>
      <protection locked="0"/>
    </xf>
    <xf numFmtId="0" fontId="0" fillId="0" borderId="71" xfId="0" applyBorder="1" applyAlignment="1" applyProtection="1">
      <alignment horizontal="left"/>
      <protection hidden="1"/>
    </xf>
    <xf numFmtId="0" fontId="0" fillId="0" borderId="66" xfId="0" applyBorder="1" applyAlignment="1" applyProtection="1">
      <alignment horizontal="left"/>
      <protection hidden="1"/>
    </xf>
    <xf numFmtId="0" fontId="0" fillId="0" borderId="23" xfId="0" applyBorder="1" applyAlignment="1" applyProtection="1">
      <alignment horizontal="left"/>
      <protection hidden="1"/>
    </xf>
    <xf numFmtId="0" fontId="11" fillId="0" borderId="33" xfId="0" applyFont="1" applyBorder="1" applyAlignment="1" applyProtection="1">
      <alignment horizontal="left" wrapText="1"/>
      <protection hidden="1"/>
    </xf>
    <xf numFmtId="0" fontId="11" fillId="0" borderId="19" xfId="0" applyFont="1" applyBorder="1" applyAlignment="1" applyProtection="1">
      <alignment horizontal="left" wrapText="1"/>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69" xfId="0" applyFont="1" applyBorder="1" applyAlignment="1" applyProtection="1">
      <alignment horizontal="center" vertical="center"/>
      <protection hidden="1"/>
    </xf>
    <xf numFmtId="0" fontId="4" fillId="0" borderId="42" xfId="0" applyFont="1" applyBorder="1" applyAlignment="1" applyProtection="1">
      <alignment horizontal="center" vertical="center"/>
      <protection hidden="1"/>
    </xf>
    <xf numFmtId="0" fontId="4" fillId="0" borderId="43" xfId="0" applyFont="1" applyBorder="1" applyAlignment="1" applyProtection="1">
      <alignment horizontal="center" vertical="center"/>
      <protection hidden="1"/>
    </xf>
    <xf numFmtId="0" fontId="4" fillId="0" borderId="45" xfId="0" applyFont="1" applyBorder="1" applyAlignment="1" applyProtection="1">
      <alignment horizontal="center" vertical="center"/>
      <protection hidden="1"/>
    </xf>
    <xf numFmtId="1" fontId="3" fillId="13" borderId="56" xfId="0" applyNumberFormat="1" applyFont="1" applyFill="1" applyBorder="1" applyAlignment="1" applyProtection="1">
      <alignment horizontal="center" vertical="center"/>
      <protection locked="0" hidden="1"/>
    </xf>
    <xf numFmtId="1" fontId="3" fillId="13" borderId="57" xfId="0" applyNumberFormat="1" applyFont="1" applyFill="1" applyBorder="1" applyAlignment="1" applyProtection="1">
      <alignment horizontal="center" vertical="center"/>
      <protection locked="0" hidden="1"/>
    </xf>
    <xf numFmtId="1" fontId="3" fillId="13" borderId="58" xfId="0" applyNumberFormat="1" applyFont="1" applyFill="1" applyBorder="1" applyAlignment="1" applyProtection="1">
      <alignment horizontal="center" vertical="center"/>
      <protection locked="0" hidden="1"/>
    </xf>
    <xf numFmtId="0" fontId="0" fillId="0" borderId="79" xfId="0" applyBorder="1" applyAlignment="1" applyProtection="1">
      <alignment horizontal="center"/>
      <protection hidden="1"/>
    </xf>
    <xf numFmtId="0" fontId="0" fillId="0" borderId="80" xfId="0" applyBorder="1" applyAlignment="1" applyProtection="1">
      <alignment horizontal="center"/>
      <protection hidden="1"/>
    </xf>
    <xf numFmtId="0" fontId="11" fillId="0" borderId="80" xfId="0" applyFont="1" applyBorder="1" applyAlignment="1" applyProtection="1">
      <alignment horizontal="center"/>
      <protection hidden="1"/>
    </xf>
    <xf numFmtId="0" fontId="11" fillId="0" borderId="81" xfId="0" applyFont="1" applyBorder="1" applyAlignment="1" applyProtection="1">
      <alignment horizontal="center"/>
      <protection hidden="1"/>
    </xf>
    <xf numFmtId="49" fontId="4" fillId="12" borderId="48" xfId="0" applyNumberFormat="1" applyFont="1" applyFill="1" applyBorder="1" applyAlignment="1" applyProtection="1">
      <alignment horizontal="left" vertical="center" shrinkToFit="1"/>
      <protection locked="0"/>
    </xf>
    <xf numFmtId="49" fontId="4" fillId="12" borderId="49" xfId="0" applyNumberFormat="1" applyFont="1" applyFill="1" applyBorder="1" applyAlignment="1" applyProtection="1">
      <alignment horizontal="left" vertical="center" shrinkToFit="1"/>
      <protection locked="0"/>
    </xf>
    <xf numFmtId="49" fontId="4" fillId="12" borderId="50" xfId="0" applyNumberFormat="1" applyFont="1" applyFill="1" applyBorder="1" applyAlignment="1" applyProtection="1">
      <alignment horizontal="left" vertical="center" shrinkToFit="1"/>
      <protection locked="0"/>
    </xf>
    <xf numFmtId="3" fontId="13" fillId="12" borderId="71" xfId="0" applyNumberFormat="1" applyFont="1" applyFill="1" applyBorder="1" applyAlignment="1" applyProtection="1">
      <alignment horizontal="center" vertical="center" shrinkToFit="1"/>
      <protection locked="0"/>
    </xf>
    <xf numFmtId="3" fontId="13" fillId="12" borderId="66" xfId="0" applyNumberFormat="1" applyFont="1" applyFill="1" applyBorder="1" applyAlignment="1" applyProtection="1">
      <alignment horizontal="center" vertical="center" shrinkToFit="1"/>
      <protection locked="0"/>
    </xf>
    <xf numFmtId="3" fontId="13" fillId="12" borderId="67" xfId="0" applyNumberFormat="1" applyFont="1" applyFill="1" applyBorder="1" applyAlignment="1" applyProtection="1">
      <alignment horizontal="center" vertical="center" shrinkToFit="1"/>
      <protection locked="0"/>
    </xf>
    <xf numFmtId="1" fontId="3" fillId="13" borderId="68" xfId="0" applyNumberFormat="1" applyFont="1" applyFill="1" applyBorder="1" applyAlignment="1" applyProtection="1">
      <alignment horizontal="center" vertical="center" wrapText="1"/>
      <protection locked="0" hidden="1"/>
    </xf>
    <xf numFmtId="1" fontId="3" fillId="13" borderId="54" xfId="0" applyNumberFormat="1" applyFont="1" applyFill="1" applyBorder="1" applyAlignment="1" applyProtection="1">
      <alignment horizontal="center" vertical="center" wrapText="1"/>
      <protection locked="0" hidden="1"/>
    </xf>
    <xf numFmtId="1" fontId="3" fillId="13" borderId="55" xfId="0" applyNumberFormat="1" applyFont="1" applyFill="1" applyBorder="1" applyAlignment="1" applyProtection="1">
      <alignment horizontal="center" vertical="center" wrapText="1"/>
      <protection locked="0" hidden="1"/>
    </xf>
    <xf numFmtId="1" fontId="3" fillId="13" borderId="47" xfId="0" applyNumberFormat="1" applyFont="1" applyFill="1" applyBorder="1" applyAlignment="1" applyProtection="1">
      <alignment horizontal="center" vertical="center" wrapText="1"/>
      <protection locked="0" hidden="1"/>
    </xf>
    <xf numFmtId="1" fontId="3" fillId="13" borderId="43" xfId="0" applyNumberFormat="1" applyFont="1" applyFill="1" applyBorder="1" applyAlignment="1" applyProtection="1">
      <alignment horizontal="center" vertical="center" wrapText="1"/>
      <protection locked="0" hidden="1"/>
    </xf>
    <xf numFmtId="1" fontId="3" fillId="13" borderId="44" xfId="0" applyNumberFormat="1" applyFont="1" applyFill="1" applyBorder="1" applyAlignment="1" applyProtection="1">
      <alignment horizontal="center" vertical="center" wrapText="1"/>
      <protection locked="0" hidden="1"/>
    </xf>
    <xf numFmtId="1" fontId="3" fillId="13" borderId="53" xfId="0" applyNumberFormat="1" applyFont="1" applyFill="1" applyBorder="1" applyAlignment="1" applyProtection="1">
      <alignment horizontal="center" vertical="center" wrapText="1"/>
      <protection locked="0" hidden="1"/>
    </xf>
    <xf numFmtId="1" fontId="3" fillId="13" borderId="42" xfId="0" applyNumberFormat="1" applyFont="1" applyFill="1" applyBorder="1" applyAlignment="1" applyProtection="1">
      <alignment horizontal="center" vertical="center" wrapText="1"/>
      <protection locked="0" hidden="1"/>
    </xf>
    <xf numFmtId="0" fontId="4" fillId="0" borderId="53" xfId="0" applyFont="1" applyBorder="1" applyAlignment="1" applyProtection="1">
      <alignment horizontal="center" vertical="center" wrapText="1"/>
      <protection hidden="1"/>
    </xf>
    <xf numFmtId="0" fontId="4" fillId="0" borderId="54" xfId="0" applyFont="1" applyBorder="1" applyAlignment="1" applyProtection="1">
      <alignment horizontal="center" vertical="center" wrapText="1"/>
      <protection hidden="1"/>
    </xf>
    <xf numFmtId="0" fontId="4" fillId="0" borderId="69" xfId="0" applyFont="1" applyBorder="1" applyAlignment="1" applyProtection="1">
      <alignment horizontal="center" vertical="center" wrapText="1"/>
      <protection hidden="1"/>
    </xf>
    <xf numFmtId="0" fontId="4" fillId="0" borderId="42" xfId="0" applyFont="1" applyBorder="1" applyAlignment="1" applyProtection="1">
      <alignment horizontal="center" vertical="center" wrapText="1"/>
      <protection hidden="1"/>
    </xf>
    <xf numFmtId="0" fontId="4" fillId="0" borderId="43" xfId="0" applyFont="1" applyBorder="1" applyAlignment="1" applyProtection="1">
      <alignment horizontal="center" vertical="center" wrapText="1"/>
      <protection hidden="1"/>
    </xf>
    <xf numFmtId="0" fontId="4" fillId="0" borderId="45" xfId="0" applyFont="1" applyBorder="1" applyAlignment="1" applyProtection="1">
      <alignment horizontal="center" vertical="center" wrapText="1"/>
      <protection hidden="1"/>
    </xf>
    <xf numFmtId="49" fontId="4" fillId="12" borderId="51" xfId="0" applyNumberFormat="1" applyFont="1" applyFill="1" applyBorder="1" applyAlignment="1" applyProtection="1">
      <alignment horizontal="center" vertical="center" shrinkToFit="1"/>
      <protection locked="0"/>
    </xf>
    <xf numFmtId="49" fontId="4" fillId="12" borderId="52" xfId="0" applyNumberFormat="1" applyFont="1" applyFill="1" applyBorder="1" applyAlignment="1" applyProtection="1">
      <alignment horizontal="center" vertical="center" shrinkToFit="1"/>
      <protection locked="0"/>
    </xf>
    <xf numFmtId="0" fontId="4" fillId="0" borderId="16"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9" xfId="0" applyFont="1" applyBorder="1" applyAlignment="1" applyProtection="1">
      <alignment horizontal="center" vertical="center"/>
      <protection hidden="1"/>
    </xf>
    <xf numFmtId="3" fontId="3" fillId="13" borderId="56" xfId="0" applyNumberFormat="1" applyFont="1" applyFill="1" applyBorder="1" applyAlignment="1" applyProtection="1">
      <alignment horizontal="center" shrinkToFit="1"/>
      <protection locked="0" hidden="1"/>
    </xf>
    <xf numFmtId="3" fontId="3" fillId="13" borderId="57" xfId="0" applyNumberFormat="1" applyFont="1" applyFill="1" applyBorder="1" applyAlignment="1" applyProtection="1">
      <alignment horizontal="center" shrinkToFit="1"/>
      <protection locked="0" hidden="1"/>
    </xf>
    <xf numFmtId="3" fontId="3" fillId="13" borderId="58" xfId="0" applyNumberFormat="1" applyFont="1" applyFill="1" applyBorder="1" applyAlignment="1" applyProtection="1">
      <alignment horizontal="center" shrinkToFit="1"/>
      <protection locked="0" hidden="1"/>
    </xf>
    <xf numFmtId="3" fontId="13" fillId="12" borderId="62" xfId="0" applyNumberFormat="1" applyFont="1" applyFill="1" applyBorder="1" applyAlignment="1" applyProtection="1">
      <alignment horizontal="center" shrinkToFit="1"/>
      <protection locked="0"/>
    </xf>
    <xf numFmtId="3" fontId="13" fillId="12" borderId="63" xfId="0" applyNumberFormat="1" applyFont="1" applyFill="1" applyBorder="1" applyAlignment="1" applyProtection="1">
      <alignment horizontal="center" shrinkToFit="1"/>
      <protection locked="0"/>
    </xf>
    <xf numFmtId="3" fontId="13" fillId="12" borderId="77" xfId="0" applyNumberFormat="1" applyFont="1" applyFill="1" applyBorder="1" applyAlignment="1" applyProtection="1">
      <alignment horizontal="center" shrinkToFit="1"/>
      <protection locked="0"/>
    </xf>
    <xf numFmtId="0" fontId="13" fillId="12" borderId="36" xfId="0" applyFont="1" applyFill="1" applyBorder="1" applyAlignment="1" applyProtection="1">
      <alignment horizontal="right" shrinkToFit="1"/>
      <protection locked="0"/>
    </xf>
    <xf numFmtId="0" fontId="13" fillId="12" borderId="24" xfId="0" applyFont="1" applyFill="1" applyBorder="1" applyAlignment="1" applyProtection="1">
      <alignment horizontal="right" shrinkToFit="1"/>
      <protection locked="0"/>
    </xf>
    <xf numFmtId="3" fontId="13" fillId="12" borderId="51" xfId="0" applyNumberFormat="1" applyFont="1" applyFill="1" applyBorder="1" applyAlignment="1" applyProtection="1">
      <alignment horizontal="center" shrinkToFit="1"/>
      <protection locked="0"/>
    </xf>
    <xf numFmtId="0" fontId="11" fillId="0" borderId="16" xfId="0" applyFont="1" applyBorder="1" applyAlignment="1" applyProtection="1">
      <alignment horizontal="left" wrapText="1"/>
      <protection hidden="1"/>
    </xf>
    <xf numFmtId="0" fontId="11" fillId="0" borderId="13" xfId="0" applyFont="1" applyBorder="1" applyAlignment="1" applyProtection="1">
      <alignment horizontal="left" wrapText="1"/>
      <protection hidden="1"/>
    </xf>
    <xf numFmtId="0" fontId="11" fillId="0" borderId="14" xfId="0" applyFont="1" applyBorder="1" applyAlignment="1" applyProtection="1">
      <alignment horizontal="left" wrapText="1"/>
      <protection hidden="1"/>
    </xf>
    <xf numFmtId="3" fontId="13" fillId="12" borderId="56" xfId="0" applyNumberFormat="1" applyFont="1" applyFill="1" applyBorder="1" applyAlignment="1" applyProtection="1">
      <alignment horizontal="center" vertical="center" shrinkToFit="1"/>
      <protection locked="0"/>
    </xf>
    <xf numFmtId="0" fontId="11" fillId="0" borderId="7" xfId="0" applyFont="1" applyBorder="1" applyAlignment="1" applyProtection="1">
      <alignment horizontal="left" wrapText="1"/>
      <protection hidden="1"/>
    </xf>
    <xf numFmtId="0" fontId="11" fillId="0" borderId="0" xfId="0" applyFont="1" applyBorder="1" applyAlignment="1" applyProtection="1">
      <alignment horizontal="left" wrapText="1"/>
      <protection hidden="1"/>
    </xf>
    <xf numFmtId="0" fontId="11" fillId="0" borderId="15" xfId="0" applyFont="1" applyBorder="1" applyAlignment="1" applyProtection="1">
      <alignment horizontal="left" wrapText="1"/>
      <protection hidden="1"/>
    </xf>
    <xf numFmtId="49" fontId="4" fillId="12" borderId="59" xfId="0" applyNumberFormat="1" applyFont="1" applyFill="1" applyBorder="1" applyAlignment="1" applyProtection="1">
      <alignment horizontal="left" vertical="center" shrinkToFit="1"/>
      <protection locked="0"/>
    </xf>
    <xf numFmtId="49" fontId="4" fillId="12" borderId="46" xfId="0" applyNumberFormat="1" applyFont="1" applyFill="1" applyBorder="1" applyAlignment="1" applyProtection="1">
      <alignment horizontal="left" vertical="center" shrinkToFit="1"/>
      <protection locked="0"/>
    </xf>
    <xf numFmtId="49" fontId="4" fillId="12" borderId="60" xfId="0" applyNumberFormat="1" applyFont="1" applyFill="1" applyBorder="1" applyAlignment="1" applyProtection="1">
      <alignment horizontal="left" vertical="center" shrinkToFit="1"/>
      <protection locked="0"/>
    </xf>
    <xf numFmtId="3" fontId="13" fillId="12" borderId="41" xfId="0" applyNumberFormat="1" applyFont="1" applyFill="1" applyBorder="1" applyAlignment="1" applyProtection="1">
      <alignment horizontal="center" shrinkToFit="1"/>
      <protection locked="0"/>
    </xf>
    <xf numFmtId="0" fontId="11" fillId="0" borderId="10" xfId="0" applyFont="1" applyBorder="1" applyAlignment="1" applyProtection="1">
      <alignment horizontal="left" wrapText="1"/>
      <protection hidden="1"/>
    </xf>
    <xf numFmtId="0" fontId="11" fillId="0" borderId="11" xfId="0" applyFont="1" applyBorder="1" applyAlignment="1" applyProtection="1">
      <alignment horizontal="left" wrapText="1"/>
      <protection hidden="1"/>
    </xf>
    <xf numFmtId="0" fontId="11" fillId="0" borderId="12" xfId="0" applyFont="1" applyBorder="1" applyAlignment="1" applyProtection="1">
      <alignment horizontal="left" wrapText="1"/>
      <protection hidden="1"/>
    </xf>
    <xf numFmtId="3" fontId="13" fillId="12" borderId="58" xfId="0" applyNumberFormat="1" applyFont="1" applyFill="1" applyBorder="1" applyAlignment="1" applyProtection="1">
      <alignment horizontal="center" vertical="center" shrinkToFit="1"/>
      <protection locked="0"/>
    </xf>
    <xf numFmtId="0" fontId="5" fillId="0" borderId="76" xfId="0" applyFont="1" applyBorder="1" applyAlignment="1" applyProtection="1">
      <alignment horizontal="center"/>
      <protection hidden="1"/>
    </xf>
    <xf numFmtId="0" fontId="5" fillId="0" borderId="57" xfId="0" applyFont="1" applyBorder="1" applyAlignment="1" applyProtection="1">
      <alignment horizontal="center"/>
      <protection hidden="1"/>
    </xf>
    <xf numFmtId="0" fontId="5" fillId="0" borderId="58" xfId="0" applyFont="1" applyBorder="1" applyAlignment="1" applyProtection="1">
      <alignment horizontal="center"/>
      <protection hidden="1"/>
    </xf>
    <xf numFmtId="0" fontId="5" fillId="0" borderId="64" xfId="0" applyFont="1" applyBorder="1" applyAlignment="1" applyProtection="1">
      <alignment horizontal="center"/>
      <protection hidden="1"/>
    </xf>
    <xf numFmtId="1" fontId="3" fillId="13" borderId="8" xfId="0" applyNumberFormat="1" applyFont="1" applyFill="1" applyBorder="1" applyAlignment="1" applyProtection="1">
      <alignment horizontal="center" vertical="center" shrinkToFit="1"/>
      <protection locked="0" hidden="1"/>
    </xf>
    <xf numFmtId="1" fontId="3" fillId="13" borderId="9" xfId="0" applyNumberFormat="1" applyFont="1" applyFill="1" applyBorder="1" applyAlignment="1" applyProtection="1">
      <alignment horizontal="center" vertical="center" shrinkToFit="1"/>
      <protection locked="0" hidden="1"/>
    </xf>
    <xf numFmtId="1" fontId="3" fillId="13" borderId="17" xfId="0" applyNumberFormat="1" applyFont="1" applyFill="1" applyBorder="1" applyAlignment="1" applyProtection="1">
      <alignment horizontal="center" vertical="center" shrinkToFit="1"/>
      <protection locked="0" hidden="1"/>
    </xf>
    <xf numFmtId="0" fontId="11" fillId="0" borderId="33" xfId="0" applyFont="1" applyBorder="1" applyAlignment="1" applyProtection="1">
      <alignment horizontal="left" shrinkToFit="1"/>
      <protection hidden="1"/>
    </xf>
    <xf numFmtId="0" fontId="11" fillId="0" borderId="19" xfId="0" applyFont="1" applyBorder="1" applyAlignment="1" applyProtection="1">
      <alignment horizontal="left" shrinkToFit="1"/>
      <protection hidden="1"/>
    </xf>
    <xf numFmtId="0" fontId="11" fillId="0" borderId="34" xfId="0" applyFont="1" applyBorder="1" applyAlignment="1" applyProtection="1">
      <alignment horizontal="left" shrinkToFit="1"/>
      <protection hidden="1"/>
    </xf>
    <xf numFmtId="0" fontId="20" fillId="0" borderId="52" xfId="0" applyFont="1" applyBorder="1" applyAlignment="1" applyProtection="1">
      <alignment horizontal="center" vertical="center"/>
      <protection hidden="1"/>
    </xf>
    <xf numFmtId="0" fontId="20" fillId="0" borderId="40" xfId="0" applyFont="1" applyBorder="1" applyAlignment="1" applyProtection="1">
      <alignment horizontal="center" vertical="center"/>
      <protection hidden="1"/>
    </xf>
    <xf numFmtId="0" fontId="20" fillId="0" borderId="51" xfId="0" applyFont="1" applyBorder="1" applyAlignment="1" applyProtection="1">
      <alignment horizontal="center" vertical="center"/>
      <protection hidden="1"/>
    </xf>
    <xf numFmtId="0" fontId="5" fillId="0" borderId="56" xfId="0" applyFont="1" applyBorder="1" applyAlignment="1" applyProtection="1">
      <alignment horizontal="center"/>
      <protection hidden="1"/>
    </xf>
    <xf numFmtId="10" fontId="3" fillId="0" borderId="52" xfId="0" applyNumberFormat="1" applyFont="1" applyBorder="1" applyAlignment="1" applyProtection="1">
      <alignment horizontal="center" vertical="center" shrinkToFit="1"/>
      <protection locked="0" hidden="1"/>
    </xf>
    <xf numFmtId="10" fontId="3" fillId="0" borderId="40" xfId="0" applyNumberFormat="1" applyFont="1" applyBorder="1" applyAlignment="1" applyProtection="1">
      <alignment horizontal="center" vertical="center" shrinkToFit="1"/>
      <protection locked="0" hidden="1"/>
    </xf>
    <xf numFmtId="10" fontId="3" fillId="0" borderId="41" xfId="0" applyNumberFormat="1" applyFont="1" applyBorder="1" applyAlignment="1" applyProtection="1">
      <alignment horizontal="center" vertical="center" shrinkToFit="1"/>
      <protection locked="0" hidden="1"/>
    </xf>
    <xf numFmtId="0" fontId="0" fillId="0" borderId="56" xfId="0" applyBorder="1" applyAlignment="1" applyProtection="1">
      <alignment horizontal="center"/>
      <protection hidden="1"/>
    </xf>
    <xf numFmtId="0" fontId="0" fillId="0" borderId="57" xfId="0" applyBorder="1" applyAlignment="1" applyProtection="1">
      <alignment horizontal="center"/>
      <protection hidden="1"/>
    </xf>
    <xf numFmtId="0" fontId="0" fillId="0" borderId="58" xfId="0" applyBorder="1" applyAlignment="1" applyProtection="1">
      <alignment horizontal="center"/>
      <protection hidden="1"/>
    </xf>
    <xf numFmtId="0" fontId="0" fillId="0" borderId="76" xfId="0" applyBorder="1" applyAlignment="1" applyProtection="1">
      <alignment horizontal="center"/>
      <protection hidden="1"/>
    </xf>
    <xf numFmtId="9" fontId="13" fillId="12" borderId="82" xfId="0" applyNumberFormat="1" applyFont="1" applyFill="1" applyBorder="1" applyAlignment="1" applyProtection="1">
      <alignment horizontal="center" vertical="center" shrinkToFit="1"/>
      <protection locked="0"/>
    </xf>
    <xf numFmtId="9" fontId="13" fillId="12" borderId="83" xfId="0" applyNumberFormat="1" applyFont="1" applyFill="1" applyBorder="1" applyAlignment="1" applyProtection="1">
      <alignment horizontal="center" vertical="center" shrinkToFit="1"/>
      <protection locked="0"/>
    </xf>
    <xf numFmtId="9" fontId="13" fillId="12" borderId="84" xfId="0" applyNumberFormat="1" applyFont="1" applyFill="1" applyBorder="1" applyAlignment="1" applyProtection="1">
      <alignment horizontal="center" vertical="center" shrinkToFit="1"/>
      <protection locked="0"/>
    </xf>
    <xf numFmtId="3" fontId="3" fillId="13" borderId="79" xfId="0" applyNumberFormat="1" applyFont="1" applyFill="1" applyBorder="1" applyAlignment="1" applyProtection="1">
      <alignment horizontal="center" vertical="center" shrinkToFit="1"/>
      <protection locked="0" hidden="1"/>
    </xf>
    <xf numFmtId="3" fontId="3" fillId="13" borderId="80" xfId="0" applyNumberFormat="1" applyFont="1" applyFill="1" applyBorder="1" applyAlignment="1" applyProtection="1">
      <alignment horizontal="center" vertical="center" shrinkToFit="1"/>
      <protection locked="0" hidden="1"/>
    </xf>
    <xf numFmtId="3" fontId="3" fillId="13" borderId="31" xfId="0" applyNumberFormat="1" applyFont="1" applyFill="1" applyBorder="1" applyAlignment="1" applyProtection="1">
      <alignment horizontal="center" vertical="center" shrinkToFit="1"/>
      <protection locked="0" hidden="1"/>
    </xf>
    <xf numFmtId="0" fontId="0" fillId="0" borderId="64" xfId="0" applyBorder="1" applyAlignment="1" applyProtection="1">
      <alignment horizontal="center"/>
      <protection hidden="1"/>
    </xf>
    <xf numFmtId="0" fontId="11" fillId="0" borderId="71" xfId="0" applyFont="1" applyBorder="1" applyAlignment="1" applyProtection="1">
      <alignment horizontal="left"/>
      <protection hidden="1"/>
    </xf>
    <xf numFmtId="0" fontId="11" fillId="0" borderId="66" xfId="0" applyFont="1" applyBorder="1" applyAlignment="1" applyProtection="1">
      <alignment horizontal="left"/>
      <protection hidden="1"/>
    </xf>
    <xf numFmtId="0" fontId="11" fillId="0" borderId="23" xfId="0" applyFont="1" applyBorder="1" applyAlignment="1" applyProtection="1">
      <alignment horizontal="left"/>
      <protection hidden="1"/>
    </xf>
    <xf numFmtId="3" fontId="13" fillId="12" borderId="29" xfId="0" applyNumberFormat="1" applyFont="1" applyFill="1" applyBorder="1" applyAlignment="1" applyProtection="1">
      <alignment horizontal="center" vertical="center" shrinkToFit="1"/>
      <protection locked="0"/>
    </xf>
    <xf numFmtId="0" fontId="20" fillId="0" borderId="71" xfId="0" applyFont="1" applyBorder="1" applyAlignment="1" applyProtection="1">
      <alignment horizontal="center" vertical="center"/>
      <protection hidden="1"/>
    </xf>
    <xf numFmtId="0" fontId="13" fillId="12" borderId="25" xfId="0" applyFont="1" applyFill="1" applyBorder="1" applyAlignment="1" applyProtection="1">
      <alignment horizontal="right" shrinkToFit="1"/>
      <protection locked="0"/>
    </xf>
    <xf numFmtId="0" fontId="27" fillId="0" borderId="48" xfId="0" applyFont="1" applyBorder="1" applyAlignment="1" applyProtection="1">
      <alignment horizontal="left"/>
      <protection hidden="1"/>
    </xf>
    <xf numFmtId="0" fontId="27" fillId="0" borderId="49" xfId="0" applyFont="1" applyBorder="1" applyAlignment="1" applyProtection="1">
      <alignment horizontal="left"/>
      <protection hidden="1"/>
    </xf>
    <xf numFmtId="3" fontId="13" fillId="12" borderId="26" xfId="0" applyNumberFormat="1" applyFont="1" applyFill="1" applyBorder="1" applyAlignment="1" applyProtection="1">
      <alignment horizontal="center" shrinkToFit="1"/>
      <protection locked="0"/>
    </xf>
    <xf numFmtId="3" fontId="13" fillId="12" borderId="67" xfId="0" applyNumberFormat="1" applyFont="1" applyFill="1" applyBorder="1" applyAlignment="1" applyProtection="1">
      <alignment horizontal="center" shrinkToFit="1"/>
      <protection locked="0"/>
    </xf>
    <xf numFmtId="3" fontId="3" fillId="13" borderId="64" xfId="0" applyNumberFormat="1" applyFont="1" applyFill="1" applyBorder="1" applyAlignment="1" applyProtection="1">
      <alignment horizontal="center" shrinkToFit="1"/>
      <protection locked="0" hidden="1"/>
    </xf>
    <xf numFmtId="0" fontId="20" fillId="2" borderId="39" xfId="0" applyFont="1" applyFill="1" applyBorder="1" applyAlignment="1" applyProtection="1">
      <alignment horizontal="left"/>
      <protection hidden="1"/>
    </xf>
    <xf numFmtId="0" fontId="20" fillId="2" borderId="40" xfId="0" applyFont="1" applyFill="1" applyBorder="1" applyAlignment="1" applyProtection="1">
      <alignment horizontal="left"/>
      <protection hidden="1"/>
    </xf>
    <xf numFmtId="0" fontId="20" fillId="2" borderId="51" xfId="0" applyFont="1" applyFill="1" applyBorder="1" applyAlignment="1" applyProtection="1">
      <alignment horizontal="left"/>
      <protection hidden="1"/>
    </xf>
    <xf numFmtId="0" fontId="13" fillId="12" borderId="8" xfId="0" applyFont="1" applyFill="1" applyBorder="1" applyAlignment="1" applyProtection="1">
      <alignment horizontal="right" shrinkToFit="1"/>
      <protection locked="0"/>
    </xf>
    <xf numFmtId="0" fontId="13" fillId="12" borderId="9" xfId="0" applyFont="1" applyFill="1" applyBorder="1" applyAlignment="1" applyProtection="1">
      <alignment horizontal="right" shrinkToFit="1"/>
      <protection locked="0"/>
    </xf>
    <xf numFmtId="0" fontId="13" fillId="12" borderId="17" xfId="0" applyFont="1" applyFill="1" applyBorder="1" applyAlignment="1" applyProtection="1">
      <alignment horizontal="right" shrinkToFit="1"/>
      <protection locked="0"/>
    </xf>
    <xf numFmtId="0" fontId="0" fillId="0" borderId="10" xfId="0" applyBorder="1" applyAlignment="1" applyProtection="1">
      <alignment horizontal="left" shrinkToFit="1"/>
      <protection hidden="1"/>
    </xf>
    <xf numFmtId="0" fontId="0" fillId="0" borderId="11" xfId="0" applyBorder="1" applyAlignment="1" applyProtection="1">
      <alignment horizontal="left" shrinkToFit="1"/>
      <protection hidden="1"/>
    </xf>
    <xf numFmtId="0" fontId="0" fillId="0" borderId="12" xfId="0" applyBorder="1" applyAlignment="1" applyProtection="1">
      <alignment horizontal="left" shrinkToFit="1"/>
      <protection hidden="1"/>
    </xf>
    <xf numFmtId="0" fontId="13" fillId="12" borderId="48" xfId="0" applyFont="1" applyFill="1" applyBorder="1" applyAlignment="1" applyProtection="1">
      <alignment horizontal="right" shrinkToFit="1"/>
      <protection locked="0"/>
    </xf>
    <xf numFmtId="0" fontId="13" fillId="12" borderId="49" xfId="0" applyFont="1" applyFill="1" applyBorder="1" applyAlignment="1" applyProtection="1">
      <alignment horizontal="right" shrinkToFit="1"/>
      <protection locked="0"/>
    </xf>
    <xf numFmtId="0" fontId="13" fillId="12" borderId="50" xfId="0" applyFont="1" applyFill="1" applyBorder="1" applyAlignment="1" applyProtection="1">
      <alignment horizontal="right" shrinkToFit="1"/>
      <protection locked="0"/>
    </xf>
    <xf numFmtId="3" fontId="3" fillId="13" borderId="10" xfId="0" applyNumberFormat="1" applyFont="1" applyFill="1" applyBorder="1" applyAlignment="1" applyProtection="1">
      <alignment horizontal="center" shrinkToFit="1"/>
      <protection locked="0" hidden="1"/>
    </xf>
    <xf numFmtId="3" fontId="3" fillId="13" borderId="11" xfId="0" applyNumberFormat="1" applyFont="1" applyFill="1" applyBorder="1" applyAlignment="1" applyProtection="1">
      <alignment horizontal="center" shrinkToFit="1"/>
      <protection locked="0" hidden="1"/>
    </xf>
    <xf numFmtId="3" fontId="3" fillId="13" borderId="12" xfId="0" applyNumberFormat="1" applyFont="1" applyFill="1" applyBorder="1" applyAlignment="1" applyProtection="1">
      <alignment horizontal="center" shrinkToFit="1"/>
      <protection locked="0" hidden="1"/>
    </xf>
    <xf numFmtId="3" fontId="13" fillId="12" borderId="33" xfId="0" applyNumberFormat="1" applyFont="1" applyFill="1" applyBorder="1" applyAlignment="1" applyProtection="1">
      <alignment horizontal="center" shrinkToFit="1"/>
      <protection locked="0"/>
    </xf>
    <xf numFmtId="3" fontId="13" fillId="12" borderId="19" xfId="0" applyNumberFormat="1" applyFont="1" applyFill="1" applyBorder="1" applyAlignment="1" applyProtection="1">
      <alignment horizontal="center" shrinkToFit="1"/>
      <protection locked="0"/>
    </xf>
    <xf numFmtId="3" fontId="13" fillId="12" borderId="34" xfId="0" applyNumberFormat="1" applyFont="1" applyFill="1" applyBorder="1" applyAlignment="1" applyProtection="1">
      <alignment horizontal="center" shrinkToFit="1"/>
      <protection locked="0"/>
    </xf>
    <xf numFmtId="0" fontId="13" fillId="12" borderId="33" xfId="0" applyFont="1" applyFill="1" applyBorder="1" applyAlignment="1" applyProtection="1">
      <alignment horizontal="right" shrinkToFit="1"/>
      <protection locked="0"/>
    </xf>
    <xf numFmtId="0" fontId="13" fillId="12" borderId="19" xfId="0" applyFont="1" applyFill="1" applyBorder="1" applyAlignment="1" applyProtection="1">
      <alignment horizontal="right" shrinkToFit="1"/>
      <protection locked="0"/>
    </xf>
    <xf numFmtId="0" fontId="13" fillId="12" borderId="34" xfId="0" applyFont="1" applyFill="1" applyBorder="1" applyAlignment="1" applyProtection="1">
      <alignment horizontal="right" shrinkToFit="1"/>
      <protection locked="0"/>
    </xf>
    <xf numFmtId="3" fontId="13" fillId="12" borderId="48" xfId="0" applyNumberFormat="1" applyFont="1" applyFill="1" applyBorder="1" applyAlignment="1" applyProtection="1">
      <alignment horizontal="center" shrinkToFit="1"/>
      <protection locked="0"/>
    </xf>
    <xf numFmtId="3" fontId="13" fillId="12" borderId="49" xfId="0" applyNumberFormat="1" applyFont="1" applyFill="1" applyBorder="1" applyAlignment="1" applyProtection="1">
      <alignment horizontal="center" shrinkToFit="1"/>
      <protection locked="0"/>
    </xf>
    <xf numFmtId="3" fontId="13" fillId="12" borderId="50" xfId="0" applyNumberFormat="1" applyFont="1" applyFill="1" applyBorder="1" applyAlignment="1" applyProtection="1">
      <alignment horizontal="center" shrinkToFit="1"/>
      <protection locked="0"/>
    </xf>
    <xf numFmtId="3" fontId="13" fillId="12" borderId="59" xfId="0" applyNumberFormat="1" applyFont="1" applyFill="1" applyBorder="1" applyAlignment="1" applyProtection="1">
      <alignment horizontal="center" shrinkToFit="1"/>
      <protection locked="0"/>
    </xf>
    <xf numFmtId="3" fontId="13" fillId="12" borderId="46" xfId="0" applyNumberFormat="1" applyFont="1" applyFill="1" applyBorder="1" applyAlignment="1" applyProtection="1">
      <alignment horizontal="center" shrinkToFit="1"/>
      <protection locked="0"/>
    </xf>
    <xf numFmtId="3" fontId="13" fillId="12" borderId="60" xfId="0" applyNumberFormat="1" applyFont="1" applyFill="1" applyBorder="1" applyAlignment="1" applyProtection="1">
      <alignment horizontal="center" shrinkToFit="1"/>
      <protection locked="0"/>
    </xf>
    <xf numFmtId="0" fontId="28" fillId="0" borderId="10" xfId="0" applyFont="1" applyBorder="1" applyAlignment="1" applyProtection="1">
      <alignment horizontal="left"/>
      <protection hidden="1"/>
    </xf>
    <xf numFmtId="0" fontId="28" fillId="0" borderId="11" xfId="0" applyFont="1" applyBorder="1" applyAlignment="1" applyProtection="1">
      <alignment horizontal="left"/>
      <protection hidden="1"/>
    </xf>
    <xf numFmtId="0" fontId="28" fillId="0" borderId="12" xfId="0" applyFont="1" applyBorder="1" applyAlignment="1" applyProtection="1">
      <alignment horizontal="left"/>
      <protection hidden="1"/>
    </xf>
    <xf numFmtId="0" fontId="20" fillId="0" borderId="48" xfId="0" applyFont="1" applyBorder="1" applyAlignment="1" applyProtection="1">
      <alignment horizontal="left"/>
      <protection hidden="1"/>
    </xf>
    <xf numFmtId="0" fontId="20" fillId="0" borderId="49" xfId="0" applyFont="1" applyBorder="1" applyAlignment="1" applyProtection="1">
      <alignment horizontal="left"/>
      <protection hidden="1"/>
    </xf>
    <xf numFmtId="0" fontId="20" fillId="0" borderId="50" xfId="0" applyFont="1" applyBorder="1" applyAlignment="1" applyProtection="1">
      <alignment horizontal="left"/>
      <protection hidden="1"/>
    </xf>
    <xf numFmtId="0" fontId="22" fillId="0" borderId="10" xfId="0" applyFont="1" applyBorder="1" applyAlignment="1" applyProtection="1">
      <alignment horizontal="left" wrapText="1"/>
      <protection hidden="1"/>
    </xf>
    <xf numFmtId="0" fontId="22" fillId="0" borderId="11" xfId="0" applyFont="1" applyBorder="1" applyAlignment="1" applyProtection="1">
      <alignment horizontal="left" wrapText="1"/>
      <protection hidden="1"/>
    </xf>
    <xf numFmtId="0" fontId="22" fillId="0" borderId="12" xfId="0" applyFont="1" applyBorder="1" applyAlignment="1" applyProtection="1">
      <alignment horizontal="left" wrapText="1"/>
      <protection hidden="1"/>
    </xf>
    <xf numFmtId="0" fontId="27" fillId="0" borderId="7" xfId="0" applyFont="1" applyBorder="1" applyAlignment="1" applyProtection="1">
      <alignment horizontal="right"/>
      <protection hidden="1"/>
    </xf>
    <xf numFmtId="0" fontId="27" fillId="0" borderId="0" xfId="0" applyFont="1" applyBorder="1" applyAlignment="1" applyProtection="1">
      <alignment horizontal="right"/>
      <protection hidden="1"/>
    </xf>
    <xf numFmtId="0" fontId="27" fillId="0" borderId="15" xfId="0" applyFont="1" applyBorder="1" applyAlignment="1" applyProtection="1">
      <alignment horizontal="right"/>
      <protection hidden="1"/>
    </xf>
    <xf numFmtId="3" fontId="13" fillId="12" borderId="36" xfId="0" applyNumberFormat="1" applyFont="1" applyFill="1" applyBorder="1" applyAlignment="1" applyProtection="1">
      <alignment horizontal="center" shrinkToFit="1"/>
      <protection locked="0"/>
    </xf>
    <xf numFmtId="3" fontId="13" fillId="12" borderId="24" xfId="0" applyNumberFormat="1" applyFont="1" applyFill="1" applyBorder="1" applyAlignment="1" applyProtection="1">
      <alignment horizontal="center" shrinkToFit="1"/>
      <protection locked="0"/>
    </xf>
    <xf numFmtId="3" fontId="13" fillId="12" borderId="25" xfId="0" applyNumberFormat="1" applyFont="1" applyFill="1" applyBorder="1" applyAlignment="1" applyProtection="1">
      <alignment horizontal="center" shrinkToFit="1"/>
      <protection locked="0"/>
    </xf>
    <xf numFmtId="0" fontId="27" fillId="0" borderId="16" xfId="0" applyFont="1" applyBorder="1" applyAlignment="1" applyProtection="1">
      <alignment horizontal="left" wrapText="1"/>
      <protection hidden="1"/>
    </xf>
    <xf numFmtId="0" fontId="27" fillId="0" borderId="13" xfId="0" applyFont="1" applyBorder="1" applyAlignment="1" applyProtection="1">
      <alignment horizontal="left" wrapText="1"/>
      <protection hidden="1"/>
    </xf>
    <xf numFmtId="0" fontId="27" fillId="0" borderId="14" xfId="0" applyFont="1" applyBorder="1" applyAlignment="1" applyProtection="1">
      <alignment horizontal="left" wrapText="1"/>
      <protection hidden="1"/>
    </xf>
    <xf numFmtId="3" fontId="3" fillId="13" borderId="43" xfId="0" applyNumberFormat="1" applyFont="1" applyFill="1" applyBorder="1" applyAlignment="1" applyProtection="1">
      <alignment horizontal="center" vertical="center" shrinkToFit="1"/>
      <protection locked="0" hidden="1"/>
    </xf>
    <xf numFmtId="3" fontId="3" fillId="13" borderId="44" xfId="0" applyNumberFormat="1" applyFont="1" applyFill="1" applyBorder="1" applyAlignment="1" applyProtection="1">
      <alignment horizontal="center" vertical="center" shrinkToFit="1"/>
      <protection locked="0" hidden="1"/>
    </xf>
    <xf numFmtId="0" fontId="27" fillId="0" borderId="33" xfId="0" applyFont="1" applyBorder="1" applyAlignment="1" applyProtection="1">
      <alignment horizontal="left" wrapText="1"/>
      <protection hidden="1"/>
    </xf>
    <xf numFmtId="0" fontId="27" fillId="0" borderId="19" xfId="0" applyFont="1" applyBorder="1" applyAlignment="1" applyProtection="1">
      <alignment horizontal="left" wrapText="1"/>
      <protection hidden="1"/>
    </xf>
    <xf numFmtId="0" fontId="27" fillId="0" borderId="34" xfId="0" applyFont="1" applyBorder="1" applyAlignment="1" applyProtection="1">
      <alignment horizontal="left" wrapText="1"/>
      <protection hidden="1"/>
    </xf>
    <xf numFmtId="3" fontId="3" fillId="13" borderId="81" xfId="0" applyNumberFormat="1" applyFont="1" applyFill="1" applyBorder="1" applyAlignment="1" applyProtection="1">
      <alignment horizontal="center" vertical="center" shrinkToFit="1"/>
      <protection locked="0" hidden="1"/>
    </xf>
    <xf numFmtId="0" fontId="27" fillId="0" borderId="59" xfId="0" applyFont="1" applyBorder="1" applyAlignment="1" applyProtection="1">
      <alignment horizontal="left" wrapText="1"/>
      <protection hidden="1"/>
    </xf>
    <xf numFmtId="0" fontId="27" fillId="0" borderId="46" xfId="0" applyFont="1" applyBorder="1" applyAlignment="1" applyProtection="1">
      <alignment horizontal="left" wrapText="1"/>
      <protection hidden="1"/>
    </xf>
    <xf numFmtId="0" fontId="27" fillId="0" borderId="60" xfId="0" applyFont="1" applyBorder="1" applyAlignment="1" applyProtection="1">
      <alignment horizontal="left" wrapText="1"/>
      <protection hidden="1"/>
    </xf>
    <xf numFmtId="0" fontId="20" fillId="0" borderId="59" xfId="0" applyFont="1" applyBorder="1" applyAlignment="1" applyProtection="1">
      <alignment horizontal="center" vertical="center"/>
      <protection hidden="1"/>
    </xf>
    <xf numFmtId="0" fontId="20" fillId="0" borderId="46" xfId="0" applyFont="1" applyBorder="1" applyAlignment="1" applyProtection="1">
      <alignment horizontal="center" vertical="center"/>
      <protection hidden="1"/>
    </xf>
    <xf numFmtId="0" fontId="20" fillId="0" borderId="69" xfId="0" applyFont="1" applyBorder="1" applyAlignment="1" applyProtection="1">
      <alignment horizontal="center" vertical="center"/>
      <protection hidden="1"/>
    </xf>
    <xf numFmtId="0" fontId="20" fillId="0" borderId="49" xfId="0" applyFont="1" applyBorder="1" applyAlignment="1" applyProtection="1">
      <alignment horizontal="center" vertical="center"/>
      <protection hidden="1"/>
    </xf>
    <xf numFmtId="0" fontId="20" fillId="0" borderId="50" xfId="0" applyFont="1" applyBorder="1" applyAlignment="1" applyProtection="1">
      <alignment horizontal="center" vertical="center"/>
      <protection hidden="1"/>
    </xf>
    <xf numFmtId="0" fontId="20" fillId="0" borderId="33" xfId="0" applyFont="1" applyBorder="1" applyAlignment="1" applyProtection="1">
      <alignment horizontal="center" vertical="center"/>
      <protection hidden="1"/>
    </xf>
    <xf numFmtId="0" fontId="20" fillId="0" borderId="19" xfId="0" applyFont="1" applyBorder="1" applyAlignment="1" applyProtection="1">
      <alignment horizontal="center" vertical="center"/>
      <protection hidden="1"/>
    </xf>
    <xf numFmtId="0" fontId="27" fillId="0" borderId="8" xfId="0" applyFont="1" applyBorder="1" applyAlignment="1" applyProtection="1">
      <alignment horizontal="left" wrapText="1"/>
      <protection hidden="1"/>
    </xf>
    <xf numFmtId="0" fontId="27" fillId="0" borderId="9" xfId="0" applyFont="1" applyBorder="1" applyAlignment="1" applyProtection="1">
      <alignment horizontal="left" wrapText="1"/>
      <protection hidden="1"/>
    </xf>
    <xf numFmtId="0" fontId="27" fillId="0" borderId="17" xfId="0" applyFont="1" applyBorder="1" applyAlignment="1" applyProtection="1">
      <alignment horizontal="left" wrapText="1"/>
      <protection hidden="1"/>
    </xf>
    <xf numFmtId="0" fontId="20" fillId="0" borderId="34" xfId="0" applyFont="1" applyBorder="1" applyAlignment="1" applyProtection="1">
      <alignment horizontal="center" vertical="center"/>
      <protection hidden="1"/>
    </xf>
    <xf numFmtId="0" fontId="20" fillId="0" borderId="48" xfId="0" applyFont="1" applyBorder="1" applyAlignment="1" applyProtection="1">
      <alignment horizontal="center" vertical="center"/>
      <protection hidden="1"/>
    </xf>
    <xf numFmtId="0" fontId="13" fillId="12" borderId="59" xfId="0" applyFont="1" applyFill="1" applyBorder="1" applyAlignment="1" applyProtection="1">
      <alignment horizontal="right" shrinkToFit="1"/>
      <protection locked="0"/>
    </xf>
    <xf numFmtId="0" fontId="13" fillId="12" borderId="46" xfId="0" applyFont="1" applyFill="1" applyBorder="1" applyAlignment="1" applyProtection="1">
      <alignment horizontal="right" shrinkToFit="1"/>
      <protection locked="0"/>
    </xf>
    <xf numFmtId="0" fontId="13" fillId="12" borderId="60" xfId="0" applyFont="1" applyFill="1" applyBorder="1" applyAlignment="1" applyProtection="1">
      <alignment horizontal="right" shrinkToFit="1"/>
      <protection locked="0"/>
    </xf>
    <xf numFmtId="3" fontId="3" fillId="13" borderId="59" xfId="0" applyNumberFormat="1" applyFont="1" applyFill="1" applyBorder="1" applyAlignment="1" applyProtection="1">
      <alignment horizontal="center" vertical="center" shrinkToFit="1"/>
      <protection locked="0" hidden="1"/>
    </xf>
    <xf numFmtId="3" fontId="3" fillId="13" borderId="46" xfId="0" applyNumberFormat="1" applyFont="1" applyFill="1" applyBorder="1" applyAlignment="1" applyProtection="1">
      <alignment horizontal="center" vertical="center" shrinkToFit="1"/>
      <protection locked="0" hidden="1"/>
    </xf>
    <xf numFmtId="3" fontId="3" fillId="13" borderId="60" xfId="0" applyNumberFormat="1" applyFont="1" applyFill="1" applyBorder="1" applyAlignment="1" applyProtection="1">
      <alignment horizontal="center" vertical="center" shrinkToFit="1"/>
      <protection locked="0" hidden="1"/>
    </xf>
    <xf numFmtId="1" fontId="15" fillId="13" borderId="31" xfId="0" applyNumberFormat="1" applyFont="1" applyFill="1" applyBorder="1" applyAlignment="1" applyProtection="1">
      <alignment horizontal="center" vertical="center" wrapText="1"/>
      <protection locked="0" hidden="1"/>
    </xf>
    <xf numFmtId="1" fontId="15" fillId="13" borderId="17" xfId="0" applyNumberFormat="1" applyFont="1" applyFill="1" applyBorder="1" applyAlignment="1" applyProtection="1">
      <alignment horizontal="center" vertical="center" wrapText="1"/>
      <protection locked="0" hidden="1"/>
    </xf>
    <xf numFmtId="0" fontId="0" fillId="0" borderId="59" xfId="0" applyBorder="1" applyAlignment="1" applyProtection="1">
      <alignment horizontal="left"/>
      <protection hidden="1"/>
    </xf>
    <xf numFmtId="0" fontId="0" fillId="0" borderId="46" xfId="0" applyBorder="1" applyAlignment="1" applyProtection="1">
      <alignment horizontal="left"/>
      <protection hidden="1"/>
    </xf>
    <xf numFmtId="0" fontId="5" fillId="0" borderId="48" xfId="0" applyFont="1" applyFill="1" applyBorder="1" applyAlignment="1" applyProtection="1">
      <alignment horizontal="center" vertical="center" wrapText="1"/>
      <protection hidden="1"/>
    </xf>
    <xf numFmtId="0" fontId="5" fillId="0" borderId="49" xfId="0" applyFont="1" applyFill="1" applyBorder="1" applyAlignment="1" applyProtection="1">
      <alignment horizontal="center" vertical="center" wrapText="1"/>
      <protection hidden="1"/>
    </xf>
    <xf numFmtId="0" fontId="5" fillId="0" borderId="50" xfId="0" applyFont="1" applyFill="1" applyBorder="1" applyAlignment="1" applyProtection="1">
      <alignment horizontal="center" vertical="center" wrapText="1"/>
      <protection hidden="1"/>
    </xf>
    <xf numFmtId="0" fontId="4" fillId="0" borderId="48" xfId="0" applyFont="1" applyFill="1" applyBorder="1" applyAlignment="1" applyProtection="1">
      <alignment horizontal="left" shrinkToFit="1"/>
      <protection hidden="1"/>
    </xf>
    <xf numFmtId="0" fontId="4" fillId="0" borderId="49" xfId="0" applyFont="1" applyFill="1" applyBorder="1" applyAlignment="1" applyProtection="1">
      <alignment horizontal="left" shrinkToFit="1"/>
      <protection hidden="1"/>
    </xf>
    <xf numFmtId="0" fontId="4" fillId="0" borderId="50" xfId="0" applyFont="1" applyFill="1" applyBorder="1" applyAlignment="1" applyProtection="1">
      <alignment horizontal="left" shrinkToFit="1"/>
      <protection hidden="1"/>
    </xf>
    <xf numFmtId="3" fontId="3" fillId="13" borderId="48" xfId="0" applyNumberFormat="1" applyFont="1" applyFill="1" applyBorder="1" applyAlignment="1" applyProtection="1">
      <alignment horizontal="center" vertical="center" shrinkToFit="1"/>
      <protection locked="0" hidden="1"/>
    </xf>
    <xf numFmtId="3" fontId="3" fillId="13" borderId="49" xfId="0" applyNumberFormat="1" applyFont="1" applyFill="1" applyBorder="1" applyAlignment="1" applyProtection="1">
      <alignment horizontal="center" vertical="center" shrinkToFit="1"/>
      <protection locked="0" hidden="1"/>
    </xf>
    <xf numFmtId="3" fontId="3" fillId="13" borderId="50" xfId="0" applyNumberFormat="1" applyFont="1" applyFill="1" applyBorder="1" applyAlignment="1" applyProtection="1">
      <alignment horizontal="center" vertical="center" shrinkToFit="1"/>
      <protection locked="0" hidden="1"/>
    </xf>
    <xf numFmtId="0" fontId="24" fillId="12" borderId="33" xfId="0" applyFont="1" applyFill="1" applyBorder="1" applyAlignment="1" applyProtection="1">
      <alignment horizontal="right" shrinkToFit="1"/>
      <protection locked="0"/>
    </xf>
    <xf numFmtId="0" fontId="24" fillId="12" borderId="19" xfId="0" applyFont="1" applyFill="1" applyBorder="1" applyAlignment="1" applyProtection="1">
      <alignment horizontal="right" shrinkToFit="1"/>
      <protection locked="0"/>
    </xf>
    <xf numFmtId="0" fontId="24" fillId="12" borderId="34" xfId="0" applyFont="1" applyFill="1" applyBorder="1" applyAlignment="1" applyProtection="1">
      <alignment horizontal="right" shrinkToFit="1"/>
      <protection locked="0"/>
    </xf>
    <xf numFmtId="3" fontId="13" fillId="12" borderId="36" xfId="0" applyNumberFormat="1" applyFont="1" applyFill="1" applyBorder="1" applyAlignment="1" applyProtection="1">
      <alignment horizontal="center" vertical="center" shrinkToFit="1"/>
      <protection locked="0"/>
    </xf>
    <xf numFmtId="0" fontId="8" fillId="0" borderId="39" xfId="0" applyFont="1" applyBorder="1" applyAlignment="1" applyProtection="1">
      <alignment horizontal="left" wrapText="1"/>
      <protection hidden="1"/>
    </xf>
    <xf numFmtId="0" fontId="8" fillId="0" borderId="40" xfId="0" applyFont="1" applyBorder="1" applyAlignment="1" applyProtection="1">
      <alignment horizontal="left" wrapText="1"/>
      <protection hidden="1"/>
    </xf>
    <xf numFmtId="0" fontId="8" fillId="0" borderId="51" xfId="0" applyFont="1" applyBorder="1" applyAlignment="1" applyProtection="1">
      <alignment horizontal="left" wrapText="1"/>
      <protection hidden="1"/>
    </xf>
    <xf numFmtId="0" fontId="4" fillId="0" borderId="15" xfId="0" applyFont="1" applyBorder="1" applyAlignment="1" applyProtection="1">
      <alignment horizontal="center" vertical="center" wrapText="1"/>
      <protection hidden="1"/>
    </xf>
    <xf numFmtId="0" fontId="18" fillId="0" borderId="16" xfId="0" applyFont="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18" fillId="0" borderId="14"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9" xfId="0" applyFont="1" applyBorder="1" applyAlignment="1" applyProtection="1">
      <alignment horizontal="center" vertical="center" wrapText="1"/>
      <protection hidden="1"/>
    </xf>
    <xf numFmtId="0" fontId="18" fillId="0" borderId="17" xfId="0" applyFont="1" applyBorder="1" applyAlignment="1" applyProtection="1">
      <alignment horizontal="center" vertical="center" wrapText="1"/>
      <protection hidden="1"/>
    </xf>
    <xf numFmtId="0" fontId="14" fillId="0" borderId="16" xfId="0" applyFont="1" applyBorder="1" applyAlignment="1" applyProtection="1">
      <alignment horizontal="left" wrapText="1"/>
      <protection hidden="1"/>
    </xf>
    <xf numFmtId="0" fontId="14" fillId="0" borderId="13" xfId="0" applyFont="1" applyBorder="1" applyAlignment="1" applyProtection="1">
      <alignment horizontal="left" wrapText="1"/>
      <protection hidden="1"/>
    </xf>
    <xf numFmtId="0" fontId="14" fillId="0" borderId="14" xfId="0" applyFont="1" applyBorder="1" applyAlignment="1" applyProtection="1">
      <alignment horizontal="left" wrapText="1"/>
      <protection hidden="1"/>
    </xf>
    <xf numFmtId="0" fontId="0" fillId="2" borderId="10" xfId="0" applyFill="1" applyBorder="1" applyAlignment="1" applyProtection="1">
      <alignment horizontal="left"/>
      <protection hidden="1"/>
    </xf>
    <xf numFmtId="0" fontId="0" fillId="2" borderId="11" xfId="0" applyFill="1" applyBorder="1" applyAlignment="1" applyProtection="1">
      <alignment horizontal="left"/>
      <protection hidden="1"/>
    </xf>
    <xf numFmtId="3" fontId="24" fillId="12" borderId="61" xfId="0" applyNumberFormat="1" applyFont="1" applyFill="1" applyBorder="1" applyAlignment="1" applyProtection="1">
      <alignment horizontal="center" vertical="center" shrinkToFit="1"/>
      <protection locked="0"/>
    </xf>
    <xf numFmtId="3" fontId="24" fillId="12" borderId="27" xfId="0" applyNumberFormat="1" applyFont="1" applyFill="1" applyBorder="1" applyAlignment="1" applyProtection="1">
      <alignment horizontal="center" vertical="center" shrinkToFit="1"/>
      <protection locked="0"/>
    </xf>
    <xf numFmtId="3" fontId="24" fillId="12" borderId="33" xfId="0" applyNumberFormat="1" applyFont="1" applyFill="1" applyBorder="1" applyAlignment="1" applyProtection="1">
      <alignment horizontal="center" vertical="center" shrinkToFit="1"/>
      <protection locked="0"/>
    </xf>
    <xf numFmtId="3" fontId="24" fillId="12" borderId="19" xfId="0" applyNumberFormat="1" applyFont="1" applyFill="1" applyBorder="1" applyAlignment="1" applyProtection="1">
      <alignment horizontal="center" vertical="center" shrinkToFit="1"/>
      <protection locked="0"/>
    </xf>
    <xf numFmtId="3" fontId="24" fillId="12" borderId="34" xfId="0" applyNumberFormat="1" applyFont="1" applyFill="1" applyBorder="1" applyAlignment="1" applyProtection="1">
      <alignment horizontal="center" vertical="center" shrinkToFit="1"/>
      <protection locked="0"/>
    </xf>
    <xf numFmtId="9" fontId="13" fillId="12" borderId="42" xfId="0" applyNumberFormat="1" applyFont="1" applyFill="1" applyBorder="1" applyAlignment="1" applyProtection="1">
      <alignment horizontal="center" vertical="center" shrinkToFit="1"/>
      <protection locked="0"/>
    </xf>
    <xf numFmtId="9" fontId="13" fillId="12" borderId="43" xfId="0" applyNumberFormat="1" applyFont="1" applyFill="1" applyBorder="1" applyAlignment="1" applyProtection="1">
      <alignment horizontal="center" vertical="center" shrinkToFit="1"/>
      <protection locked="0"/>
    </xf>
    <xf numFmtId="9" fontId="13" fillId="12" borderId="45" xfId="0" applyNumberFormat="1" applyFont="1" applyFill="1" applyBorder="1" applyAlignment="1" applyProtection="1">
      <alignment horizontal="center" vertical="center" shrinkToFit="1"/>
      <protection locked="0"/>
    </xf>
    <xf numFmtId="3" fontId="3" fillId="13" borderId="30" xfId="0" applyNumberFormat="1" applyFont="1" applyFill="1" applyBorder="1" applyAlignment="1" applyProtection="1">
      <alignment horizontal="center" vertical="center" shrinkToFit="1"/>
      <protection locked="0" hidden="1"/>
    </xf>
    <xf numFmtId="3" fontId="3" fillId="13" borderId="63" xfId="0" applyNumberFormat="1" applyFont="1" applyFill="1" applyBorder="1" applyAlignment="1" applyProtection="1">
      <alignment horizontal="center" vertical="center" shrinkToFit="1"/>
      <protection locked="0" hidden="1"/>
    </xf>
    <xf numFmtId="3" fontId="3" fillId="13" borderId="77" xfId="0" applyNumberFormat="1" applyFont="1" applyFill="1" applyBorder="1" applyAlignment="1" applyProtection="1">
      <alignment horizontal="center" vertical="center" shrinkToFit="1"/>
      <protection locked="0" hidden="1"/>
    </xf>
    <xf numFmtId="0" fontId="13" fillId="12" borderId="33" xfId="0" applyFont="1" applyFill="1" applyBorder="1" applyAlignment="1" applyProtection="1">
      <alignment horizontal="center" shrinkToFit="1"/>
      <protection locked="0"/>
    </xf>
    <xf numFmtId="0" fontId="13" fillId="12" borderId="19" xfId="0" applyFont="1" applyFill="1" applyBorder="1" applyAlignment="1" applyProtection="1">
      <alignment horizontal="center" shrinkToFit="1"/>
      <protection locked="0"/>
    </xf>
    <xf numFmtId="0" fontId="13" fillId="12" borderId="34" xfId="0" applyFont="1" applyFill="1" applyBorder="1" applyAlignment="1" applyProtection="1">
      <alignment horizontal="center" shrinkToFit="1"/>
      <protection locked="0"/>
    </xf>
    <xf numFmtId="0" fontId="13" fillId="12" borderId="48" xfId="0" applyFont="1" applyFill="1" applyBorder="1" applyAlignment="1" applyProtection="1">
      <alignment horizontal="left" shrinkToFit="1"/>
      <protection locked="0"/>
    </xf>
    <xf numFmtId="0" fontId="13" fillId="12" borderId="49" xfId="0" applyFont="1" applyFill="1" applyBorder="1" applyAlignment="1" applyProtection="1">
      <alignment horizontal="left" shrinkToFit="1"/>
      <protection locked="0"/>
    </xf>
    <xf numFmtId="0" fontId="13" fillId="12" borderId="50" xfId="0" applyFont="1" applyFill="1" applyBorder="1" applyAlignment="1" applyProtection="1">
      <alignment horizontal="left" shrinkToFit="1"/>
      <protection locked="0"/>
    </xf>
    <xf numFmtId="0" fontId="8" fillId="0" borderId="16" xfId="0" applyFont="1" applyBorder="1" applyAlignment="1" applyProtection="1">
      <alignment horizontal="center"/>
      <protection hidden="1"/>
    </xf>
    <xf numFmtId="0" fontId="8" fillId="0" borderId="13" xfId="0" applyFont="1" applyBorder="1" applyAlignment="1" applyProtection="1">
      <alignment horizontal="center"/>
      <protection hidden="1"/>
    </xf>
    <xf numFmtId="0" fontId="8" fillId="0" borderId="14" xfId="0" applyFont="1" applyBorder="1" applyAlignment="1" applyProtection="1">
      <alignment horizontal="center"/>
      <protection hidden="1"/>
    </xf>
    <xf numFmtId="3" fontId="24" fillId="12" borderId="28" xfId="0" applyNumberFormat="1" applyFont="1" applyFill="1" applyBorder="1" applyAlignment="1" applyProtection="1">
      <alignment horizontal="center" vertical="center" shrinkToFit="1"/>
      <protection locked="0"/>
    </xf>
    <xf numFmtId="0" fontId="12" fillId="0" borderId="12" xfId="0" applyFont="1" applyBorder="1" applyAlignment="1" applyProtection="1">
      <alignment horizontal="left"/>
      <protection hidden="1"/>
    </xf>
    <xf numFmtId="3" fontId="3" fillId="13" borderId="61" xfId="0" applyNumberFormat="1" applyFont="1" applyFill="1" applyBorder="1" applyAlignment="1" applyProtection="1">
      <alignment horizontal="center" vertical="center" shrinkToFit="1"/>
      <protection locked="0" hidden="1"/>
    </xf>
    <xf numFmtId="3" fontId="3" fillId="13" borderId="27" xfId="0" applyNumberFormat="1" applyFont="1" applyFill="1" applyBorder="1" applyAlignment="1" applyProtection="1">
      <alignment horizontal="center" vertical="center" shrinkToFit="1"/>
      <protection locked="0" hidden="1"/>
    </xf>
    <xf numFmtId="3" fontId="3" fillId="13" borderId="28" xfId="0" applyNumberFormat="1" applyFont="1" applyFill="1" applyBorder="1" applyAlignment="1" applyProtection="1">
      <alignment horizontal="center" vertical="center" shrinkToFit="1"/>
      <protection locked="0" hidden="1"/>
    </xf>
    <xf numFmtId="3" fontId="32" fillId="13" borderId="33" xfId="0" applyNumberFormat="1" applyFont="1" applyFill="1" applyBorder="1" applyAlignment="1" applyProtection="1">
      <alignment horizontal="center" vertical="center" shrinkToFit="1"/>
      <protection locked="0" hidden="1"/>
    </xf>
    <xf numFmtId="3" fontId="32" fillId="13" borderId="19" xfId="0" applyNumberFormat="1" applyFont="1" applyFill="1" applyBorder="1" applyAlignment="1" applyProtection="1">
      <alignment horizontal="center" vertical="center" shrinkToFit="1"/>
      <protection locked="0" hidden="1"/>
    </xf>
    <xf numFmtId="3" fontId="32" fillId="13" borderId="34" xfId="0" applyNumberFormat="1" applyFont="1" applyFill="1" applyBorder="1" applyAlignment="1" applyProtection="1">
      <alignment horizontal="center" vertical="center" shrinkToFit="1"/>
      <protection locked="0" hidden="1"/>
    </xf>
    <xf numFmtId="3" fontId="24" fillId="12" borderId="33" xfId="1" applyNumberFormat="1" applyFont="1" applyFill="1" applyBorder="1" applyAlignment="1" applyProtection="1">
      <alignment horizontal="center" vertical="center" shrinkToFit="1"/>
      <protection locked="0"/>
    </xf>
    <xf numFmtId="3" fontId="24" fillId="12" borderId="19" xfId="1" applyNumberFormat="1" applyFont="1" applyFill="1" applyBorder="1" applyAlignment="1" applyProtection="1">
      <alignment horizontal="center" vertical="center" shrinkToFit="1"/>
      <protection locked="0"/>
    </xf>
    <xf numFmtId="3" fontId="24" fillId="12" borderId="34" xfId="1" applyNumberFormat="1" applyFont="1" applyFill="1" applyBorder="1" applyAlignment="1" applyProtection="1">
      <alignment horizontal="center" vertical="center" shrinkToFit="1"/>
      <protection locked="0"/>
    </xf>
    <xf numFmtId="0" fontId="8" fillId="0" borderId="61" xfId="0" applyFont="1" applyBorder="1" applyAlignment="1" applyProtection="1">
      <alignment horizontal="left"/>
      <protection hidden="1"/>
    </xf>
    <xf numFmtId="0" fontId="8" fillId="0" borderId="27" xfId="0" applyFont="1" applyBorder="1" applyAlignment="1" applyProtection="1">
      <alignment horizontal="left"/>
      <protection hidden="1"/>
    </xf>
    <xf numFmtId="0" fontId="5" fillId="0" borderId="59" xfId="0" applyFont="1" applyBorder="1" applyAlignment="1" applyProtection="1">
      <alignment horizontal="center"/>
      <protection hidden="1"/>
    </xf>
    <xf numFmtId="0" fontId="5" fillId="0" borderId="46" xfId="0" applyFont="1" applyBorder="1" applyAlignment="1" applyProtection="1">
      <alignment horizontal="center"/>
      <protection hidden="1"/>
    </xf>
    <xf numFmtId="0" fontId="5" fillId="0" borderId="60" xfId="0" applyFont="1" applyBorder="1" applyAlignment="1" applyProtection="1">
      <alignment horizontal="center"/>
      <protection hidden="1"/>
    </xf>
    <xf numFmtId="10" fontId="3" fillId="13" borderId="33" xfId="0" applyNumberFormat="1" applyFont="1" applyFill="1" applyBorder="1" applyAlignment="1" applyProtection="1">
      <alignment horizontal="center" shrinkToFit="1"/>
      <protection locked="0" hidden="1"/>
    </xf>
    <xf numFmtId="10" fontId="3" fillId="13" borderId="19" xfId="0" applyNumberFormat="1" applyFont="1" applyFill="1" applyBorder="1" applyAlignment="1" applyProtection="1">
      <alignment horizontal="center" shrinkToFit="1"/>
      <protection locked="0" hidden="1"/>
    </xf>
    <xf numFmtId="10" fontId="3" fillId="13" borderId="34" xfId="0" applyNumberFormat="1" applyFont="1" applyFill="1" applyBorder="1" applyAlignment="1" applyProtection="1">
      <alignment horizontal="center" shrinkToFit="1"/>
      <protection locked="0" hidden="1"/>
    </xf>
    <xf numFmtId="14" fontId="13" fillId="12" borderId="33" xfId="0" applyNumberFormat="1" applyFont="1" applyFill="1" applyBorder="1" applyAlignment="1" applyProtection="1">
      <alignment horizontal="center" shrinkToFit="1"/>
      <protection locked="0"/>
    </xf>
    <xf numFmtId="14" fontId="13" fillId="12" borderId="19" xfId="0" applyNumberFormat="1" applyFont="1" applyFill="1" applyBorder="1" applyAlignment="1" applyProtection="1">
      <alignment horizontal="center" shrinkToFit="1"/>
      <protection locked="0"/>
    </xf>
    <xf numFmtId="14" fontId="13" fillId="12" borderId="34" xfId="0" applyNumberFormat="1" applyFont="1" applyFill="1" applyBorder="1" applyAlignment="1" applyProtection="1">
      <alignment horizontal="center" shrinkToFit="1"/>
      <protection locked="0"/>
    </xf>
    <xf numFmtId="10" fontId="13" fillId="12" borderId="33" xfId="0" applyNumberFormat="1" applyFont="1" applyFill="1" applyBorder="1" applyAlignment="1" applyProtection="1">
      <alignment horizontal="center" shrinkToFit="1"/>
      <protection locked="0"/>
    </xf>
    <xf numFmtId="10" fontId="13" fillId="12" borderId="19" xfId="0" applyNumberFormat="1" applyFont="1" applyFill="1" applyBorder="1" applyAlignment="1" applyProtection="1">
      <alignment horizontal="center" shrinkToFit="1"/>
      <protection locked="0"/>
    </xf>
    <xf numFmtId="10" fontId="13" fillId="12" borderId="34" xfId="0" applyNumberFormat="1" applyFont="1" applyFill="1" applyBorder="1" applyAlignment="1" applyProtection="1">
      <alignment horizontal="center" shrinkToFit="1"/>
      <protection locked="0"/>
    </xf>
    <xf numFmtId="10" fontId="3" fillId="13" borderId="48" xfId="0" applyNumberFormat="1" applyFont="1" applyFill="1" applyBorder="1" applyAlignment="1" applyProtection="1">
      <alignment horizontal="center" shrinkToFit="1"/>
      <protection locked="0" hidden="1"/>
    </xf>
    <xf numFmtId="10" fontId="3" fillId="13" borderId="49" xfId="0" applyNumberFormat="1" applyFont="1" applyFill="1" applyBorder="1" applyAlignment="1" applyProtection="1">
      <alignment horizontal="center" shrinkToFit="1"/>
      <protection locked="0" hidden="1"/>
    </xf>
    <xf numFmtId="10" fontId="3" fillId="13" borderId="50" xfId="0" applyNumberFormat="1" applyFont="1" applyFill="1" applyBorder="1" applyAlignment="1" applyProtection="1">
      <alignment horizontal="center" shrinkToFit="1"/>
      <protection locked="0" hidden="1"/>
    </xf>
    <xf numFmtId="0" fontId="16" fillId="0" borderId="16" xfId="0" applyFont="1" applyBorder="1" applyAlignment="1" applyProtection="1">
      <alignment horizontal="center" wrapText="1"/>
      <protection hidden="1"/>
    </xf>
    <xf numFmtId="0" fontId="16" fillId="0" borderId="13" xfId="0" applyFont="1" applyBorder="1" applyAlignment="1" applyProtection="1">
      <alignment horizontal="center" wrapText="1"/>
      <protection hidden="1"/>
    </xf>
    <xf numFmtId="0" fontId="16" fillId="0" borderId="14" xfId="0" applyFont="1" applyBorder="1" applyAlignment="1" applyProtection="1">
      <alignment horizontal="center" wrapText="1"/>
      <protection hidden="1"/>
    </xf>
    <xf numFmtId="0" fontId="16" fillId="0" borderId="7" xfId="0" applyFont="1" applyBorder="1" applyAlignment="1" applyProtection="1">
      <alignment horizontal="center" wrapText="1"/>
      <protection hidden="1"/>
    </xf>
    <xf numFmtId="0" fontId="16" fillId="0" borderId="0" xfId="0" applyFont="1" applyBorder="1" applyAlignment="1" applyProtection="1">
      <alignment horizontal="center" wrapText="1"/>
      <protection hidden="1"/>
    </xf>
    <xf numFmtId="0" fontId="16" fillId="0" borderId="15" xfId="0" applyFont="1" applyBorder="1" applyAlignment="1" applyProtection="1">
      <alignment horizontal="center" wrapText="1"/>
      <protection hidden="1"/>
    </xf>
    <xf numFmtId="0" fontId="16" fillId="0" borderId="36" xfId="0" applyFont="1" applyBorder="1" applyAlignment="1" applyProtection="1">
      <alignment horizontal="center" wrapText="1"/>
      <protection hidden="1"/>
    </xf>
    <xf numFmtId="0" fontId="16" fillId="0" borderId="24" xfId="0" applyFont="1" applyBorder="1" applyAlignment="1" applyProtection="1">
      <alignment horizontal="center" wrapText="1"/>
      <protection hidden="1"/>
    </xf>
    <xf numFmtId="0" fontId="16" fillId="0" borderId="25" xfId="0" applyFont="1" applyBorder="1" applyAlignment="1" applyProtection="1">
      <alignment horizontal="center" wrapText="1"/>
      <protection hidden="1"/>
    </xf>
    <xf numFmtId="0" fontId="11" fillId="0" borderId="16" xfId="0" applyFont="1" applyBorder="1" applyAlignment="1" applyProtection="1">
      <alignment horizontal="center" wrapText="1"/>
      <protection hidden="1"/>
    </xf>
    <xf numFmtId="0" fontId="11" fillId="0" borderId="13" xfId="0" applyFont="1" applyBorder="1" applyAlignment="1" applyProtection="1">
      <alignment horizontal="center" wrapText="1"/>
      <protection hidden="1"/>
    </xf>
    <xf numFmtId="0" fontId="11" fillId="0" borderId="14" xfId="0" applyFont="1" applyBorder="1" applyAlignment="1" applyProtection="1">
      <alignment horizontal="center" wrapText="1"/>
      <protection hidden="1"/>
    </xf>
    <xf numFmtId="0" fontId="11" fillId="0" borderId="7" xfId="0" applyFont="1" applyBorder="1" applyAlignment="1" applyProtection="1">
      <alignment horizontal="center" wrapText="1"/>
      <protection hidden="1"/>
    </xf>
    <xf numFmtId="0" fontId="11" fillId="0" borderId="0" xfId="0" applyFont="1" applyBorder="1" applyAlignment="1" applyProtection="1">
      <alignment horizontal="center" wrapText="1"/>
      <protection hidden="1"/>
    </xf>
    <xf numFmtId="0" fontId="11" fillId="0" borderId="15" xfId="0" applyFont="1" applyBorder="1" applyAlignment="1" applyProtection="1">
      <alignment horizontal="center" wrapText="1"/>
      <protection hidden="1"/>
    </xf>
    <xf numFmtId="0" fontId="11" fillId="0" borderId="36" xfId="0" applyFont="1" applyBorder="1" applyAlignment="1" applyProtection="1">
      <alignment horizontal="center" wrapText="1"/>
      <protection hidden="1"/>
    </xf>
    <xf numFmtId="0" fontId="11" fillId="0" borderId="24" xfId="0" applyFont="1" applyBorder="1" applyAlignment="1" applyProtection="1">
      <alignment horizontal="center" wrapText="1"/>
      <protection hidden="1"/>
    </xf>
    <xf numFmtId="0" fontId="11" fillId="0" borderId="25" xfId="0" applyFont="1" applyBorder="1" applyAlignment="1" applyProtection="1">
      <alignment horizontal="center" wrapText="1"/>
      <protection hidden="1"/>
    </xf>
    <xf numFmtId="0" fontId="20" fillId="12" borderId="33" xfId="0" applyFont="1" applyFill="1" applyBorder="1" applyAlignment="1" applyProtection="1">
      <alignment horizontal="center" shrinkToFit="1"/>
      <protection locked="0"/>
    </xf>
    <xf numFmtId="0" fontId="20" fillId="12" borderId="19" xfId="0" applyFont="1" applyFill="1" applyBorder="1" applyAlignment="1" applyProtection="1">
      <alignment horizontal="center" shrinkToFit="1"/>
      <protection locked="0"/>
    </xf>
    <xf numFmtId="0" fontId="20" fillId="12" borderId="34" xfId="0" applyFont="1" applyFill="1" applyBorder="1" applyAlignment="1" applyProtection="1">
      <alignment horizontal="center" shrinkToFit="1"/>
      <protection locked="0"/>
    </xf>
    <xf numFmtId="43" fontId="20" fillId="12" borderId="33" xfId="1" applyFont="1" applyFill="1" applyBorder="1" applyAlignment="1" applyProtection="1">
      <alignment horizontal="center" shrinkToFit="1"/>
      <protection locked="0"/>
    </xf>
    <xf numFmtId="43" fontId="20" fillId="12" borderId="19" xfId="1" applyFont="1" applyFill="1" applyBorder="1" applyAlignment="1" applyProtection="1">
      <alignment horizontal="center" shrinkToFit="1"/>
      <protection locked="0"/>
    </xf>
    <xf numFmtId="43" fontId="20" fillId="12" borderId="34" xfId="1" applyFont="1" applyFill="1" applyBorder="1" applyAlignment="1" applyProtection="1">
      <alignment horizontal="center" shrinkToFit="1"/>
      <protection locked="0"/>
    </xf>
    <xf numFmtId="10" fontId="3" fillId="13" borderId="10" xfId="0" applyNumberFormat="1" applyFont="1" applyFill="1" applyBorder="1" applyAlignment="1" applyProtection="1">
      <alignment horizontal="center" shrinkToFit="1"/>
      <protection locked="0" hidden="1"/>
    </xf>
    <xf numFmtId="10" fontId="3" fillId="13" borderId="11" xfId="0" applyNumberFormat="1" applyFont="1" applyFill="1" applyBorder="1" applyAlignment="1" applyProtection="1">
      <alignment horizontal="center" shrinkToFit="1"/>
      <protection locked="0" hidden="1"/>
    </xf>
    <xf numFmtId="10" fontId="3" fillId="13" borderId="12" xfId="0" applyNumberFormat="1" applyFont="1" applyFill="1" applyBorder="1" applyAlignment="1" applyProtection="1">
      <alignment horizontal="center" shrinkToFit="1"/>
      <protection locked="0" hidden="1"/>
    </xf>
    <xf numFmtId="0" fontId="13" fillId="12" borderId="62" xfId="0" applyFont="1" applyFill="1" applyBorder="1" applyAlignment="1" applyProtection="1">
      <alignment horizontal="left" shrinkToFit="1"/>
      <protection locked="0"/>
    </xf>
    <xf numFmtId="0" fontId="13" fillId="12" borderId="63" xfId="0" applyFont="1" applyFill="1" applyBorder="1" applyAlignment="1" applyProtection="1">
      <alignment horizontal="left" shrinkToFit="1"/>
      <protection locked="0"/>
    </xf>
    <xf numFmtId="0" fontId="13" fillId="12" borderId="26" xfId="0" applyFont="1" applyFill="1" applyBorder="1" applyAlignment="1" applyProtection="1">
      <alignment horizontal="left" shrinkToFit="1"/>
      <protection locked="0"/>
    </xf>
    <xf numFmtId="10" fontId="3" fillId="13" borderId="41" xfId="0" applyNumberFormat="1" applyFont="1" applyFill="1" applyBorder="1" applyAlignment="1" applyProtection="1">
      <alignment horizontal="center" shrinkToFit="1"/>
      <protection locked="0" hidden="1"/>
    </xf>
    <xf numFmtId="0" fontId="0" fillId="2" borderId="56" xfId="0" applyFill="1" applyBorder="1" applyAlignment="1" applyProtection="1">
      <alignment horizontal="left"/>
      <protection hidden="1"/>
    </xf>
    <xf numFmtId="0" fontId="0" fillId="2" borderId="57" xfId="0" applyFill="1" applyBorder="1" applyAlignment="1" applyProtection="1">
      <alignment horizontal="left"/>
      <protection hidden="1"/>
    </xf>
    <xf numFmtId="0" fontId="0" fillId="2" borderId="64" xfId="0" applyFill="1" applyBorder="1" applyAlignment="1" applyProtection="1">
      <alignment horizontal="left"/>
      <protection hidden="1"/>
    </xf>
    <xf numFmtId="0" fontId="5" fillId="0" borderId="47" xfId="0" applyFont="1" applyBorder="1" applyAlignment="1" applyProtection="1">
      <alignment horizontal="center"/>
      <protection hidden="1"/>
    </xf>
    <xf numFmtId="10" fontId="3" fillId="13" borderId="36" xfId="0" applyNumberFormat="1" applyFont="1" applyFill="1" applyBorder="1" applyAlignment="1" applyProtection="1">
      <alignment horizontal="center" shrinkToFit="1"/>
      <protection locked="0" hidden="1"/>
    </xf>
    <xf numFmtId="10" fontId="3" fillId="13" borderId="24" xfId="0" applyNumberFormat="1" applyFont="1" applyFill="1" applyBorder="1" applyAlignment="1" applyProtection="1">
      <alignment horizontal="center" shrinkToFit="1"/>
      <protection locked="0" hidden="1"/>
    </xf>
    <xf numFmtId="0" fontId="5" fillId="0" borderId="45" xfId="0" applyFont="1" applyBorder="1" applyAlignment="1" applyProtection="1">
      <alignment horizontal="center"/>
      <protection hidden="1"/>
    </xf>
    <xf numFmtId="14" fontId="13" fillId="12" borderId="0" xfId="0" applyNumberFormat="1" applyFont="1" applyFill="1" applyBorder="1" applyAlignment="1" applyProtection="1">
      <alignment horizontal="center" shrinkToFit="1"/>
      <protection locked="0" hidden="1"/>
    </xf>
    <xf numFmtId="10" fontId="3" fillId="13" borderId="59" xfId="0" applyNumberFormat="1" applyFont="1" applyFill="1" applyBorder="1" applyAlignment="1" applyProtection="1">
      <alignment horizontal="center" shrinkToFit="1"/>
      <protection locked="0" hidden="1"/>
    </xf>
    <xf numFmtId="10" fontId="3" fillId="13" borderId="46" xfId="0" applyNumberFormat="1" applyFont="1" applyFill="1" applyBorder="1" applyAlignment="1" applyProtection="1">
      <alignment horizontal="center" shrinkToFit="1"/>
      <protection locked="0" hidden="1"/>
    </xf>
    <xf numFmtId="10" fontId="3" fillId="13" borderId="60" xfId="0" applyNumberFormat="1" applyFont="1" applyFill="1" applyBorder="1" applyAlignment="1" applyProtection="1">
      <alignment horizontal="center" shrinkToFit="1"/>
      <protection locked="0" hidden="1"/>
    </xf>
    <xf numFmtId="14" fontId="13" fillId="12" borderId="59" xfId="0" applyNumberFormat="1" applyFont="1" applyFill="1" applyBorder="1" applyAlignment="1" applyProtection="1">
      <alignment horizontal="center" shrinkToFit="1"/>
      <protection locked="0"/>
    </xf>
    <xf numFmtId="14" fontId="13" fillId="12" borderId="46" xfId="0" applyNumberFormat="1" applyFont="1" applyFill="1" applyBorder="1" applyAlignment="1" applyProtection="1">
      <alignment horizontal="center" shrinkToFit="1"/>
      <protection locked="0"/>
    </xf>
    <xf numFmtId="14" fontId="13" fillId="12" borderId="60" xfId="0" applyNumberFormat="1" applyFont="1" applyFill="1" applyBorder="1" applyAlignment="1" applyProtection="1">
      <alignment horizontal="center" shrinkToFit="1"/>
      <protection locked="0"/>
    </xf>
    <xf numFmtId="0" fontId="5" fillId="0" borderId="36" xfId="0" applyFont="1" applyBorder="1" applyAlignment="1" applyProtection="1">
      <alignment horizontal="center" vertical="center" wrapText="1"/>
      <protection hidden="1"/>
    </xf>
    <xf numFmtId="0" fontId="5" fillId="0" borderId="24" xfId="0" applyFont="1" applyBorder="1" applyAlignment="1" applyProtection="1">
      <alignment horizontal="center" vertical="center" wrapText="1"/>
      <protection hidden="1"/>
    </xf>
    <xf numFmtId="0" fontId="5" fillId="0" borderId="25" xfId="0" applyFont="1" applyBorder="1" applyAlignment="1" applyProtection="1">
      <alignment horizontal="center" vertical="center" wrapText="1"/>
      <protection hidden="1"/>
    </xf>
    <xf numFmtId="0" fontId="5" fillId="0" borderId="48" xfId="0" applyFont="1" applyBorder="1" applyAlignment="1" applyProtection="1">
      <alignment horizontal="center" vertical="center" wrapText="1"/>
      <protection hidden="1"/>
    </xf>
    <xf numFmtId="0" fontId="5" fillId="0" borderId="49" xfId="0" applyFont="1" applyBorder="1" applyAlignment="1" applyProtection="1">
      <alignment horizontal="center" vertical="center" wrapText="1"/>
      <protection hidden="1"/>
    </xf>
    <xf numFmtId="0" fontId="5" fillId="0" borderId="50" xfId="0" applyFont="1" applyBorder="1" applyAlignment="1" applyProtection="1">
      <alignment horizontal="center" vertical="center" wrapText="1"/>
      <protection hidden="1"/>
    </xf>
    <xf numFmtId="0" fontId="11" fillId="0" borderId="69" xfId="0" applyFont="1" applyBorder="1" applyAlignment="1" applyProtection="1">
      <alignment horizontal="center"/>
      <protection hidden="1"/>
    </xf>
    <xf numFmtId="0" fontId="11" fillId="0" borderId="49" xfId="0" applyFont="1" applyBorder="1" applyAlignment="1" applyProtection="1">
      <alignment horizontal="center"/>
      <protection hidden="1"/>
    </xf>
    <xf numFmtId="0" fontId="11" fillId="0" borderId="50" xfId="0" applyFont="1" applyBorder="1" applyAlignment="1" applyProtection="1">
      <alignment horizontal="center"/>
      <protection hidden="1"/>
    </xf>
    <xf numFmtId="0" fontId="11" fillId="0" borderId="48" xfId="0" applyFont="1" applyBorder="1" applyAlignment="1" applyProtection="1">
      <alignment horizontal="center"/>
      <protection hidden="1"/>
    </xf>
    <xf numFmtId="0" fontId="11" fillId="0" borderId="68" xfId="0" applyFont="1" applyBorder="1" applyAlignment="1" applyProtection="1">
      <alignment horizontal="center"/>
      <protection hidden="1"/>
    </xf>
    <xf numFmtId="0" fontId="11" fillId="0" borderId="16" xfId="0" applyFont="1" applyBorder="1" applyAlignment="1" applyProtection="1">
      <alignment horizontal="center" vertical="center"/>
      <protection hidden="1"/>
    </xf>
    <xf numFmtId="0" fontId="11" fillId="0" borderId="13" xfId="0" applyFont="1" applyBorder="1" applyAlignment="1" applyProtection="1">
      <alignment horizontal="center" vertical="center"/>
      <protection hidden="1"/>
    </xf>
    <xf numFmtId="0" fontId="11" fillId="0" borderId="14" xfId="0" applyFont="1" applyBorder="1" applyAlignment="1" applyProtection="1">
      <alignment horizontal="center" vertical="center"/>
      <protection hidden="1"/>
    </xf>
    <xf numFmtId="0" fontId="11" fillId="0" borderId="8" xfId="0" applyFont="1" applyBorder="1" applyAlignment="1" applyProtection="1">
      <alignment horizontal="center" vertical="center"/>
      <protection hidden="1"/>
    </xf>
    <xf numFmtId="0" fontId="11" fillId="0" borderId="9" xfId="0" applyFont="1" applyBorder="1" applyAlignment="1" applyProtection="1">
      <alignment horizontal="center" vertical="center"/>
      <protection hidden="1"/>
    </xf>
    <xf numFmtId="0" fontId="11" fillId="0" borderId="17" xfId="0" applyFont="1" applyBorder="1" applyAlignment="1" applyProtection="1">
      <alignment horizontal="center" vertical="center"/>
      <protection hidden="1"/>
    </xf>
    <xf numFmtId="10" fontId="3" fillId="13" borderId="63" xfId="0" applyNumberFormat="1" applyFont="1" applyFill="1" applyBorder="1" applyAlignment="1" applyProtection="1">
      <alignment horizontal="center" shrinkToFit="1"/>
      <protection locked="0" hidden="1"/>
    </xf>
    <xf numFmtId="10" fontId="3" fillId="13" borderId="77" xfId="0" applyNumberFormat="1" applyFont="1" applyFill="1" applyBorder="1" applyAlignment="1" applyProtection="1">
      <alignment horizontal="center" shrinkToFit="1"/>
      <protection locked="0" hidden="1"/>
    </xf>
    <xf numFmtId="10" fontId="3" fillId="13" borderId="76" xfId="0" applyNumberFormat="1" applyFont="1" applyFill="1" applyBorder="1" applyAlignment="1" applyProtection="1">
      <alignment horizontal="center" shrinkToFit="1"/>
      <protection locked="0" hidden="1"/>
    </xf>
    <xf numFmtId="10" fontId="3" fillId="13" borderId="57" xfId="0" applyNumberFormat="1" applyFont="1" applyFill="1" applyBorder="1" applyAlignment="1" applyProtection="1">
      <alignment horizontal="center" shrinkToFit="1"/>
      <protection locked="0" hidden="1"/>
    </xf>
    <xf numFmtId="10" fontId="3" fillId="13" borderId="64" xfId="0" applyNumberFormat="1" applyFont="1" applyFill="1" applyBorder="1" applyAlignment="1" applyProtection="1">
      <alignment horizontal="center" shrinkToFit="1"/>
      <protection locked="0" hidden="1"/>
    </xf>
    <xf numFmtId="10" fontId="3" fillId="13" borderId="56" xfId="0" applyNumberFormat="1" applyFont="1" applyFill="1" applyBorder="1" applyAlignment="1" applyProtection="1">
      <alignment horizontal="center" shrinkToFit="1"/>
      <protection locked="0" hidden="1"/>
    </xf>
    <xf numFmtId="10" fontId="3" fillId="13" borderId="58" xfId="0" applyNumberFormat="1" applyFont="1" applyFill="1" applyBorder="1" applyAlignment="1" applyProtection="1">
      <alignment horizontal="center" shrinkToFit="1"/>
      <protection locked="0" hidden="1"/>
    </xf>
    <xf numFmtId="49" fontId="20" fillId="12" borderId="33" xfId="0" applyNumberFormat="1" applyFont="1" applyFill="1" applyBorder="1" applyAlignment="1" applyProtection="1">
      <alignment horizontal="center" shrinkToFit="1"/>
      <protection locked="0"/>
    </xf>
    <xf numFmtId="49" fontId="20" fillId="12" borderId="19" xfId="0" applyNumberFormat="1" applyFont="1" applyFill="1" applyBorder="1" applyAlignment="1" applyProtection="1">
      <alignment horizontal="center" shrinkToFit="1"/>
      <protection locked="0"/>
    </xf>
    <xf numFmtId="49" fontId="20" fillId="12" borderId="34" xfId="0" applyNumberFormat="1" applyFont="1" applyFill="1" applyBorder="1" applyAlignment="1" applyProtection="1">
      <alignment horizontal="center" shrinkToFit="1"/>
      <protection locked="0"/>
    </xf>
    <xf numFmtId="0" fontId="20" fillId="12" borderId="48" xfId="0" applyFont="1" applyFill="1" applyBorder="1" applyAlignment="1" applyProtection="1">
      <alignment horizontal="center" shrinkToFit="1"/>
      <protection locked="0"/>
    </xf>
    <xf numFmtId="0" fontId="20" fillId="12" borderId="49" xfId="0" applyFont="1" applyFill="1" applyBorder="1" applyAlignment="1" applyProtection="1">
      <alignment horizontal="center" shrinkToFit="1"/>
      <protection locked="0"/>
    </xf>
    <xf numFmtId="0" fontId="20" fillId="12" borderId="50" xfId="0" applyFont="1" applyFill="1" applyBorder="1" applyAlignment="1" applyProtection="1">
      <alignment horizontal="center" shrinkToFit="1"/>
      <protection locked="0"/>
    </xf>
    <xf numFmtId="49" fontId="20" fillId="12" borderId="48" xfId="0" applyNumberFormat="1" applyFont="1" applyFill="1" applyBorder="1" applyAlignment="1" applyProtection="1">
      <alignment horizontal="center" shrinkToFit="1"/>
      <protection locked="0"/>
    </xf>
    <xf numFmtId="49" fontId="20" fillId="12" borderId="49" xfId="0" applyNumberFormat="1" applyFont="1" applyFill="1" applyBorder="1" applyAlignment="1" applyProtection="1">
      <alignment horizontal="center" shrinkToFit="1"/>
      <protection locked="0"/>
    </xf>
    <xf numFmtId="49" fontId="20" fillId="12" borderId="50" xfId="0" applyNumberFormat="1" applyFont="1" applyFill="1" applyBorder="1" applyAlignment="1" applyProtection="1">
      <alignment horizontal="center" shrinkToFit="1"/>
      <protection locked="0"/>
    </xf>
    <xf numFmtId="3" fontId="3" fillId="13" borderId="68" xfId="0" applyNumberFormat="1" applyFont="1" applyFill="1" applyBorder="1" applyAlignment="1" applyProtection="1">
      <alignment horizontal="center" vertical="center" shrinkToFit="1"/>
      <protection locked="0" hidden="1"/>
    </xf>
    <xf numFmtId="3" fontId="3" fillId="13" borderId="54" xfId="0" applyNumberFormat="1" applyFont="1" applyFill="1" applyBorder="1" applyAlignment="1" applyProtection="1">
      <alignment horizontal="center" vertical="center" shrinkToFit="1"/>
      <protection locked="0" hidden="1"/>
    </xf>
    <xf numFmtId="3" fontId="3" fillId="13" borderId="55" xfId="0" applyNumberFormat="1" applyFont="1" applyFill="1" applyBorder="1" applyAlignment="1" applyProtection="1">
      <alignment horizontal="center" vertical="center" shrinkToFit="1"/>
      <protection locked="0" hidden="1"/>
    </xf>
    <xf numFmtId="0" fontId="4" fillId="12" borderId="7" xfId="0" applyFont="1" applyFill="1" applyBorder="1" applyAlignment="1" applyProtection="1">
      <alignment horizontal="left" shrinkToFit="1"/>
      <protection locked="0"/>
    </xf>
    <xf numFmtId="0" fontId="4" fillId="12" borderId="0" xfId="0" applyFont="1" applyFill="1" applyBorder="1" applyAlignment="1" applyProtection="1">
      <alignment horizontal="left" shrinkToFit="1"/>
      <protection locked="0"/>
    </xf>
    <xf numFmtId="0" fontId="4" fillId="12" borderId="15" xfId="0" applyFont="1" applyFill="1" applyBorder="1" applyAlignment="1" applyProtection="1">
      <alignment horizontal="left" shrinkToFit="1"/>
      <protection locked="0"/>
    </xf>
    <xf numFmtId="0" fontId="8" fillId="0" borderId="18" xfId="0" applyFont="1" applyBorder="1" applyAlignment="1" applyProtection="1">
      <alignment horizontal="center" vertical="center"/>
      <protection hidden="1"/>
    </xf>
    <xf numFmtId="0" fontId="8" fillId="0" borderId="61" xfId="0" applyFont="1" applyBorder="1" applyAlignment="1" applyProtection="1">
      <alignment horizontal="left" vertical="center" wrapText="1"/>
      <protection hidden="1"/>
    </xf>
    <xf numFmtId="0" fontId="8" fillId="0" borderId="27" xfId="0" applyFont="1" applyBorder="1" applyAlignment="1" applyProtection="1">
      <alignment horizontal="left" vertical="center" wrapText="1"/>
      <protection hidden="1"/>
    </xf>
    <xf numFmtId="0" fontId="8" fillId="0" borderId="28" xfId="0" applyFont="1" applyBorder="1" applyAlignment="1" applyProtection="1">
      <alignment horizontal="left" vertical="center" wrapText="1"/>
      <protection hidden="1"/>
    </xf>
    <xf numFmtId="0" fontId="8" fillId="0" borderId="85" xfId="0" applyFont="1" applyBorder="1" applyAlignment="1" applyProtection="1">
      <alignment horizontal="center" vertical="center"/>
      <protection hidden="1"/>
    </xf>
    <xf numFmtId="3" fontId="20" fillId="12" borderId="0" xfId="0" applyNumberFormat="1" applyFont="1" applyFill="1" applyBorder="1" applyAlignment="1" applyProtection="1">
      <alignment vertical="center" shrinkToFit="1"/>
      <protection locked="0"/>
    </xf>
    <xf numFmtId="3" fontId="20" fillId="12" borderId="15" xfId="0" applyNumberFormat="1" applyFont="1" applyFill="1" applyBorder="1" applyAlignment="1" applyProtection="1">
      <alignment vertical="center" shrinkToFit="1"/>
      <protection locked="0"/>
    </xf>
    <xf numFmtId="0" fontId="8" fillId="0" borderId="39" xfId="0" applyFont="1" applyBorder="1" applyAlignment="1" applyProtection="1">
      <alignment horizontal="center" vertical="center" wrapText="1"/>
      <protection hidden="1"/>
    </xf>
    <xf numFmtId="0" fontId="8" fillId="0" borderId="40" xfId="0" applyFont="1" applyBorder="1" applyAlignment="1" applyProtection="1">
      <alignment horizontal="center" vertical="center" wrapText="1"/>
      <protection hidden="1"/>
    </xf>
    <xf numFmtId="0" fontId="8" fillId="0" borderId="51" xfId="0" applyFont="1" applyBorder="1" applyAlignment="1" applyProtection="1">
      <alignment horizontal="center" vertical="center" wrapText="1"/>
      <protection hidden="1"/>
    </xf>
    <xf numFmtId="3" fontId="27" fillId="12" borderId="71" xfId="0" applyNumberFormat="1" applyFont="1" applyFill="1" applyBorder="1" applyAlignment="1" applyProtection="1">
      <alignment horizontal="center" vertical="center" shrinkToFit="1"/>
      <protection locked="0"/>
    </xf>
    <xf numFmtId="3" fontId="27" fillId="12" borderId="29" xfId="0" applyNumberFormat="1" applyFont="1" applyFill="1" applyBorder="1" applyAlignment="1" applyProtection="1">
      <alignment horizontal="center" vertical="center" shrinkToFit="1"/>
      <protection locked="0"/>
    </xf>
    <xf numFmtId="3" fontId="27" fillId="12" borderId="66" xfId="0" applyNumberFormat="1" applyFont="1" applyFill="1" applyBorder="1" applyAlignment="1" applyProtection="1">
      <alignment horizontal="center" vertical="center" shrinkToFit="1"/>
      <protection locked="0"/>
    </xf>
    <xf numFmtId="3" fontId="27" fillId="12" borderId="23" xfId="0" applyNumberFormat="1" applyFont="1" applyFill="1" applyBorder="1" applyAlignment="1" applyProtection="1">
      <alignment horizontal="center" vertical="center" shrinkToFit="1"/>
      <protection locked="0"/>
    </xf>
    <xf numFmtId="0" fontId="8" fillId="0" borderId="10" xfId="0" applyFont="1" applyBorder="1" applyAlignment="1" applyProtection="1">
      <alignment horizontal="left" vertical="center" wrapText="1"/>
      <protection hidden="1"/>
    </xf>
    <xf numFmtId="0" fontId="8" fillId="0" borderId="11" xfId="0" applyFont="1" applyBorder="1" applyAlignment="1" applyProtection="1">
      <alignment horizontal="left" vertical="center" wrapText="1"/>
      <protection hidden="1"/>
    </xf>
    <xf numFmtId="0" fontId="8" fillId="0" borderId="12" xfId="0" applyFont="1" applyBorder="1" applyAlignment="1" applyProtection="1">
      <alignment horizontal="left" vertical="center" wrapText="1"/>
      <protection hidden="1"/>
    </xf>
    <xf numFmtId="0" fontId="8" fillId="0" borderId="18" xfId="0" applyFont="1" applyBorder="1" applyAlignment="1" applyProtection="1">
      <alignment horizontal="left" vertical="center" wrapText="1"/>
      <protection hidden="1"/>
    </xf>
    <xf numFmtId="3" fontId="20" fillId="12" borderId="11" xfId="0" applyNumberFormat="1" applyFont="1" applyFill="1" applyBorder="1" applyAlignment="1" applyProtection="1">
      <alignment vertical="center" shrinkToFit="1"/>
      <protection locked="0"/>
    </xf>
    <xf numFmtId="3" fontId="20" fillId="12" borderId="12" xfId="0" applyNumberFormat="1" applyFont="1" applyFill="1" applyBorder="1" applyAlignment="1" applyProtection="1">
      <alignment vertical="center" shrinkToFit="1"/>
      <protection locked="0"/>
    </xf>
    <xf numFmtId="0" fontId="63" fillId="4" borderId="6" xfId="0" applyFont="1" applyFill="1" applyBorder="1" applyAlignment="1" applyProtection="1">
      <alignment horizontal="left"/>
      <protection hidden="1"/>
    </xf>
    <xf numFmtId="0" fontId="63" fillId="4" borderId="78" xfId="0" applyFont="1" applyFill="1" applyBorder="1" applyAlignment="1" applyProtection="1">
      <alignment horizontal="left"/>
      <protection hidden="1"/>
    </xf>
    <xf numFmtId="0" fontId="11" fillId="0" borderId="16" xfId="0" applyFont="1" applyBorder="1" applyAlignment="1" applyProtection="1">
      <alignment horizontal="center" vertical="center" wrapText="1"/>
      <protection hidden="1"/>
    </xf>
    <xf numFmtId="0" fontId="11" fillId="0" borderId="13" xfId="0" applyFont="1" applyBorder="1" applyAlignment="1" applyProtection="1">
      <alignment horizontal="center" vertical="center" wrapText="1"/>
      <protection hidden="1"/>
    </xf>
    <xf numFmtId="0" fontId="11" fillId="0" borderId="14" xfId="0" applyFont="1" applyBorder="1" applyAlignment="1" applyProtection="1">
      <alignment horizontal="center" vertical="center" wrapText="1"/>
      <protection hidden="1"/>
    </xf>
    <xf numFmtId="0" fontId="11" fillId="0" borderId="7" xfId="0" applyFont="1" applyBorder="1" applyAlignment="1" applyProtection="1">
      <alignment horizontal="center" vertical="center" wrapText="1"/>
      <protection hidden="1"/>
    </xf>
    <xf numFmtId="0" fontId="11" fillId="0" borderId="0" xfId="0" applyFont="1" applyBorder="1" applyAlignment="1" applyProtection="1">
      <alignment horizontal="center" vertical="center" wrapText="1"/>
      <protection hidden="1"/>
    </xf>
    <xf numFmtId="0" fontId="11" fillId="0" borderId="15" xfId="0" applyFont="1" applyBorder="1" applyAlignment="1" applyProtection="1">
      <alignment horizontal="center" vertical="center" wrapText="1"/>
      <protection hidden="1"/>
    </xf>
    <xf numFmtId="3" fontId="20" fillId="12" borderId="24" xfId="0" applyNumberFormat="1" applyFont="1" applyFill="1" applyBorder="1" applyAlignment="1" applyProtection="1">
      <alignment vertical="center" shrinkToFit="1"/>
      <protection locked="0"/>
    </xf>
    <xf numFmtId="3" fontId="20" fillId="12" borderId="25" xfId="0" applyNumberFormat="1" applyFont="1" applyFill="1" applyBorder="1" applyAlignment="1" applyProtection="1">
      <alignment vertical="center" shrinkToFit="1"/>
      <protection locked="0"/>
    </xf>
    <xf numFmtId="0" fontId="8" fillId="0" borderId="36" xfId="0" applyFont="1" applyBorder="1" applyAlignment="1" applyProtection="1">
      <alignment horizontal="left" vertical="center" wrapText="1"/>
      <protection hidden="1"/>
    </xf>
    <xf numFmtId="0" fontId="8" fillId="0" borderId="24" xfId="0" applyFont="1" applyBorder="1" applyAlignment="1" applyProtection="1">
      <alignment horizontal="left" vertical="center" wrapText="1"/>
      <protection hidden="1"/>
    </xf>
    <xf numFmtId="0" fontId="8" fillId="0" borderId="25" xfId="0" applyFont="1" applyBorder="1" applyAlignment="1" applyProtection="1">
      <alignment horizontal="left" vertical="center" wrapText="1"/>
      <protection hidden="1"/>
    </xf>
    <xf numFmtId="0" fontId="8" fillId="0" borderId="7" xfId="0" applyFont="1" applyBorder="1" applyAlignment="1" applyProtection="1">
      <alignment horizontal="center" vertical="center" wrapText="1"/>
      <protection hidden="1"/>
    </xf>
    <xf numFmtId="0" fontId="8" fillId="0" borderId="0" xfId="0" applyFont="1" applyBorder="1" applyAlignment="1" applyProtection="1">
      <alignment horizontal="center" vertical="center" wrapText="1"/>
      <protection hidden="1"/>
    </xf>
    <xf numFmtId="0" fontId="8" fillId="0" borderId="15" xfId="0" applyFont="1" applyBorder="1" applyAlignment="1" applyProtection="1">
      <alignment horizontal="center" vertical="center" wrapText="1"/>
      <protection hidden="1"/>
    </xf>
    <xf numFmtId="10" fontId="3" fillId="13" borderId="67" xfId="0" applyNumberFormat="1" applyFont="1" applyFill="1" applyBorder="1" applyAlignment="1" applyProtection="1">
      <alignment horizontal="center" shrinkToFit="1"/>
      <protection locked="0" hidden="1"/>
    </xf>
    <xf numFmtId="10" fontId="13" fillId="12" borderId="62" xfId="0" applyNumberFormat="1" applyFont="1" applyFill="1" applyBorder="1" applyAlignment="1" applyProtection="1">
      <alignment horizontal="center" shrinkToFit="1"/>
      <protection locked="0"/>
    </xf>
    <xf numFmtId="10" fontId="13" fillId="12" borderId="63" xfId="0" applyNumberFormat="1" applyFont="1" applyFill="1" applyBorder="1" applyAlignment="1" applyProtection="1">
      <alignment horizontal="center" shrinkToFit="1"/>
      <protection locked="0"/>
    </xf>
    <xf numFmtId="10" fontId="13" fillId="12" borderId="77" xfId="0" applyNumberFormat="1" applyFont="1" applyFill="1" applyBorder="1" applyAlignment="1" applyProtection="1">
      <alignment horizontal="center" shrinkToFit="1"/>
      <protection locked="0"/>
    </xf>
    <xf numFmtId="14" fontId="13" fillId="12" borderId="0" xfId="0" applyNumberFormat="1" applyFont="1" applyFill="1" applyBorder="1" applyAlignment="1" applyProtection="1">
      <alignment horizontal="center" shrinkToFit="1"/>
      <protection locked="0"/>
    </xf>
    <xf numFmtId="14" fontId="13" fillId="12" borderId="19" xfId="0" applyNumberFormat="1" applyFont="1" applyFill="1" applyBorder="1" applyAlignment="1" applyProtection="1">
      <alignment horizontal="center"/>
      <protection locked="0"/>
    </xf>
    <xf numFmtId="3" fontId="13" fillId="12" borderId="59" xfId="0" applyNumberFormat="1" applyFont="1" applyFill="1" applyBorder="1" applyAlignment="1" applyProtection="1">
      <alignment horizontal="left" vertical="center" shrinkToFit="1"/>
      <protection locked="0"/>
    </xf>
    <xf numFmtId="3" fontId="13" fillId="12" borderId="46" xfId="0" applyNumberFormat="1" applyFont="1" applyFill="1" applyBorder="1" applyAlignment="1" applyProtection="1">
      <alignment horizontal="left" vertical="center" shrinkToFit="1"/>
      <protection locked="0"/>
    </xf>
    <xf numFmtId="3" fontId="13" fillId="12" borderId="60" xfId="0" applyNumberFormat="1" applyFont="1" applyFill="1" applyBorder="1" applyAlignment="1" applyProtection="1">
      <alignment horizontal="left" vertical="center" shrinkToFit="1"/>
      <protection locked="0"/>
    </xf>
    <xf numFmtId="0" fontId="4" fillId="12" borderId="0" xfId="0" applyFont="1" applyFill="1" applyAlignment="1" applyProtection="1">
      <alignment shrinkToFit="1"/>
      <protection locked="0"/>
    </xf>
    <xf numFmtId="0" fontId="0" fillId="2" borderId="36" xfId="0" applyFill="1" applyBorder="1" applyAlignment="1" applyProtection="1">
      <alignment horizontal="left"/>
      <protection hidden="1"/>
    </xf>
    <xf numFmtId="0" fontId="0" fillId="2" borderId="24" xfId="0" applyFill="1" applyBorder="1" applyAlignment="1" applyProtection="1">
      <alignment horizontal="left"/>
      <protection hidden="1"/>
    </xf>
    <xf numFmtId="0" fontId="0" fillId="2" borderId="33" xfId="0" applyFill="1" applyBorder="1" applyAlignment="1" applyProtection="1">
      <alignment horizontal="left"/>
      <protection hidden="1"/>
    </xf>
    <xf numFmtId="0" fontId="0" fillId="2" borderId="19" xfId="0" applyFill="1" applyBorder="1" applyAlignment="1" applyProtection="1">
      <alignment horizontal="left"/>
      <protection hidden="1"/>
    </xf>
    <xf numFmtId="3" fontId="13" fillId="12" borderId="48" xfId="0" applyNumberFormat="1" applyFont="1" applyFill="1" applyBorder="1" applyAlignment="1" applyProtection="1">
      <alignment horizontal="left" vertical="center" shrinkToFit="1"/>
      <protection locked="0"/>
    </xf>
    <xf numFmtId="3" fontId="13" fillId="12" borderId="49" xfId="0" applyNumberFormat="1" applyFont="1" applyFill="1" applyBorder="1" applyAlignment="1" applyProtection="1">
      <alignment horizontal="left" vertical="center" shrinkToFit="1"/>
      <protection locked="0"/>
    </xf>
    <xf numFmtId="3" fontId="13" fillId="12" borderId="50" xfId="0" applyNumberFormat="1" applyFont="1" applyFill="1" applyBorder="1" applyAlignment="1" applyProtection="1">
      <alignment horizontal="left" vertical="center" shrinkToFit="1"/>
      <protection locked="0"/>
    </xf>
    <xf numFmtId="1" fontId="32" fillId="13" borderId="8" xfId="0" applyNumberFormat="1" applyFont="1" applyFill="1" applyBorder="1" applyAlignment="1" applyProtection="1">
      <alignment horizontal="center" vertical="center" wrapText="1"/>
      <protection locked="0" hidden="1"/>
    </xf>
    <xf numFmtId="1" fontId="32" fillId="13" borderId="9" xfId="0" applyNumberFormat="1" applyFont="1" applyFill="1" applyBorder="1" applyAlignment="1" applyProtection="1">
      <alignment horizontal="center" vertical="center" wrapText="1"/>
      <protection locked="0" hidden="1"/>
    </xf>
    <xf numFmtId="1" fontId="32" fillId="13" borderId="17" xfId="0" applyNumberFormat="1" applyFont="1" applyFill="1" applyBorder="1" applyAlignment="1" applyProtection="1">
      <alignment horizontal="center" vertical="center" wrapText="1"/>
      <protection locked="0" hidden="1"/>
    </xf>
    <xf numFmtId="0" fontId="13" fillId="12" borderId="65" xfId="0" applyFont="1" applyFill="1" applyBorder="1" applyAlignment="1" applyProtection="1">
      <alignment horizontal="left" vertical="center" shrinkToFit="1"/>
      <protection locked="0"/>
    </xf>
    <xf numFmtId="0" fontId="13" fillId="12" borderId="8" xfId="0" applyFont="1" applyFill="1" applyBorder="1" applyAlignment="1" applyProtection="1">
      <alignment horizontal="left" vertical="center" shrinkToFit="1"/>
      <protection locked="0"/>
    </xf>
    <xf numFmtId="1" fontId="3" fillId="13" borderId="16" xfId="0" applyNumberFormat="1" applyFont="1" applyFill="1" applyBorder="1" applyAlignment="1" applyProtection="1">
      <alignment horizontal="center" vertical="center"/>
      <protection locked="0" hidden="1"/>
    </xf>
    <xf numFmtId="1" fontId="3" fillId="13" borderId="13" xfId="0" applyNumberFormat="1" applyFont="1" applyFill="1" applyBorder="1" applyAlignment="1" applyProtection="1">
      <alignment horizontal="center" vertical="center"/>
      <protection locked="0" hidden="1"/>
    </xf>
    <xf numFmtId="1" fontId="3" fillId="13" borderId="14" xfId="0" applyNumberFormat="1" applyFont="1" applyFill="1" applyBorder="1" applyAlignment="1" applyProtection="1">
      <alignment horizontal="center" vertical="center"/>
      <protection locked="0" hidden="1"/>
    </xf>
    <xf numFmtId="1" fontId="3" fillId="13" borderId="48" xfId="0" applyNumberFormat="1" applyFont="1" applyFill="1" applyBorder="1" applyAlignment="1" applyProtection="1">
      <alignment horizontal="center" vertical="center" wrapText="1"/>
      <protection locked="0" hidden="1"/>
    </xf>
    <xf numFmtId="1" fontId="3" fillId="13" borderId="49" xfId="0" applyNumberFormat="1" applyFont="1" applyFill="1" applyBorder="1" applyAlignment="1" applyProtection="1">
      <alignment horizontal="center" vertical="center" wrapText="1"/>
      <protection locked="0" hidden="1"/>
    </xf>
    <xf numFmtId="1" fontId="3" fillId="13" borderId="50" xfId="0" applyNumberFormat="1" applyFont="1" applyFill="1" applyBorder="1" applyAlignment="1" applyProtection="1">
      <alignment horizontal="center" vertical="center" wrapText="1"/>
      <protection locked="0" hidden="1"/>
    </xf>
    <xf numFmtId="1" fontId="3" fillId="13" borderId="59" xfId="0" applyNumberFormat="1" applyFont="1" applyFill="1" applyBorder="1" applyAlignment="1" applyProtection="1">
      <alignment horizontal="center" vertical="center" wrapText="1"/>
      <protection locked="0" hidden="1"/>
    </xf>
    <xf numFmtId="1" fontId="3" fillId="13" borderId="46" xfId="0" applyNumberFormat="1" applyFont="1" applyFill="1" applyBorder="1" applyAlignment="1" applyProtection="1">
      <alignment horizontal="center" vertical="center" wrapText="1"/>
      <protection locked="0" hidden="1"/>
    </xf>
    <xf numFmtId="1" fontId="3" fillId="13" borderId="60" xfId="0" applyNumberFormat="1" applyFont="1" applyFill="1" applyBorder="1" applyAlignment="1" applyProtection="1">
      <alignment horizontal="center" vertical="center" wrapText="1"/>
      <protection locked="0" hidden="1"/>
    </xf>
    <xf numFmtId="0" fontId="11" fillId="0" borderId="10" xfId="0" applyFont="1" applyBorder="1" applyAlignment="1" applyProtection="1">
      <alignment horizontal="center"/>
      <protection hidden="1"/>
    </xf>
    <xf numFmtId="0" fontId="11" fillId="0" borderId="11" xfId="0" applyFont="1" applyBorder="1" applyAlignment="1" applyProtection="1">
      <alignment horizontal="center"/>
      <protection hidden="1"/>
    </xf>
    <xf numFmtId="0" fontId="11" fillId="0" borderId="12" xfId="0" applyFont="1" applyBorder="1" applyAlignment="1" applyProtection="1">
      <alignment horizontal="center"/>
      <protection hidden="1"/>
    </xf>
    <xf numFmtId="0" fontId="3" fillId="13" borderId="19" xfId="0" applyFont="1" applyFill="1" applyBorder="1" applyAlignment="1" applyProtection="1">
      <alignment horizontal="center" vertical="center" shrinkToFit="1"/>
      <protection locked="0" hidden="1"/>
    </xf>
    <xf numFmtId="0" fontId="3" fillId="13" borderId="34" xfId="0" applyFont="1" applyFill="1" applyBorder="1" applyAlignment="1" applyProtection="1">
      <alignment horizontal="center" vertical="center" shrinkToFit="1"/>
      <protection locked="0" hidden="1"/>
    </xf>
    <xf numFmtId="3" fontId="4" fillId="12" borderId="59" xfId="0" applyNumberFormat="1" applyFont="1" applyFill="1" applyBorder="1" applyAlignment="1" applyProtection="1">
      <alignment horizontal="center" shrinkToFit="1"/>
      <protection locked="0"/>
    </xf>
    <xf numFmtId="3" fontId="4" fillId="12" borderId="46" xfId="0" applyNumberFormat="1" applyFont="1" applyFill="1" applyBorder="1" applyAlignment="1" applyProtection="1">
      <alignment horizontal="center" shrinkToFit="1"/>
      <protection locked="0"/>
    </xf>
    <xf numFmtId="3" fontId="4" fillId="12" borderId="60" xfId="0" applyNumberFormat="1" applyFont="1" applyFill="1" applyBorder="1" applyAlignment="1" applyProtection="1">
      <alignment horizontal="center" shrinkToFit="1"/>
      <protection locked="0"/>
    </xf>
    <xf numFmtId="0" fontId="4" fillId="12" borderId="45" xfId="0" applyNumberFormat="1" applyFont="1" applyFill="1" applyBorder="1" applyAlignment="1" applyProtection="1">
      <alignment horizontal="center" shrinkToFit="1"/>
      <protection locked="0"/>
    </xf>
    <xf numFmtId="0" fontId="4" fillId="12" borderId="46" xfId="0" applyNumberFormat="1" applyFont="1" applyFill="1" applyBorder="1" applyAlignment="1" applyProtection="1">
      <alignment horizontal="center" shrinkToFit="1"/>
      <protection locked="0"/>
    </xf>
    <xf numFmtId="0" fontId="4" fillId="12" borderId="60" xfId="0" applyNumberFormat="1" applyFont="1" applyFill="1" applyBorder="1" applyAlignment="1" applyProtection="1">
      <alignment horizontal="center" shrinkToFit="1"/>
      <protection locked="0"/>
    </xf>
    <xf numFmtId="0" fontId="20" fillId="0" borderId="64" xfId="0" applyFont="1" applyBorder="1" applyAlignment="1" applyProtection="1">
      <alignment horizontal="center" vertical="center"/>
      <protection hidden="1"/>
    </xf>
    <xf numFmtId="0" fontId="20" fillId="0" borderId="11" xfId="0" applyFont="1" applyBorder="1" applyAlignment="1" applyProtection="1">
      <alignment horizontal="center" vertical="center"/>
      <protection hidden="1"/>
    </xf>
    <xf numFmtId="0" fontId="20" fillId="0" borderId="12" xfId="0" applyFont="1" applyBorder="1" applyAlignment="1" applyProtection="1">
      <alignment horizontal="center" vertical="center"/>
      <protection hidden="1"/>
    </xf>
    <xf numFmtId="0" fontId="20" fillId="0" borderId="10" xfId="0" applyFont="1" applyBorder="1" applyAlignment="1" applyProtection="1">
      <alignment horizontal="center" vertical="center"/>
      <protection hidden="1"/>
    </xf>
    <xf numFmtId="0" fontId="20" fillId="0" borderId="10" xfId="0" applyFont="1" applyBorder="1" applyAlignment="1" applyProtection="1">
      <alignment horizontal="left" wrapText="1"/>
      <protection hidden="1"/>
    </xf>
    <xf numFmtId="0" fontId="20" fillId="0" borderId="11" xfId="0" applyFont="1" applyBorder="1" applyAlignment="1" applyProtection="1">
      <alignment horizontal="left" wrapText="1"/>
      <protection hidden="1"/>
    </xf>
    <xf numFmtId="0" fontId="20" fillId="0" borderId="12" xfId="0" applyFont="1" applyBorder="1" applyAlignment="1" applyProtection="1">
      <alignment horizontal="left" wrapText="1"/>
      <protection hidden="1"/>
    </xf>
    <xf numFmtId="0" fontId="8" fillId="0" borderId="86" xfId="0" applyFont="1" applyBorder="1" applyAlignment="1" applyProtection="1">
      <alignment horizontal="center" vertical="center"/>
      <protection hidden="1"/>
    </xf>
    <xf numFmtId="0" fontId="8" fillId="0" borderId="48" xfId="0" applyFont="1" applyBorder="1" applyAlignment="1" applyProtection="1">
      <alignment horizontal="left" vertical="center" wrapText="1"/>
      <protection hidden="1"/>
    </xf>
    <xf numFmtId="0" fontId="8" fillId="0" borderId="49" xfId="0" applyFont="1" applyBorder="1" applyAlignment="1" applyProtection="1">
      <alignment horizontal="left" vertical="center" wrapText="1"/>
      <protection hidden="1"/>
    </xf>
    <xf numFmtId="0" fontId="8" fillId="0" borderId="50" xfId="0" applyFont="1" applyBorder="1" applyAlignment="1" applyProtection="1">
      <alignment horizontal="left" vertical="center" wrapText="1"/>
      <protection hidden="1"/>
    </xf>
    <xf numFmtId="0" fontId="8" fillId="0" borderId="56" xfId="0" applyFont="1" applyBorder="1" applyAlignment="1" applyProtection="1">
      <alignment horizontal="center" vertical="center" wrapText="1"/>
      <protection hidden="1"/>
    </xf>
    <xf numFmtId="0" fontId="8" fillId="0" borderId="57" xfId="0" applyFont="1" applyBorder="1" applyAlignment="1" applyProtection="1">
      <alignment horizontal="center" vertical="center" wrapText="1"/>
      <protection hidden="1"/>
    </xf>
    <xf numFmtId="0" fontId="8" fillId="0" borderId="71" xfId="0" applyFont="1" applyBorder="1" applyAlignment="1" applyProtection="1">
      <alignment horizontal="center" vertical="center" wrapText="1"/>
      <protection hidden="1"/>
    </xf>
    <xf numFmtId="0" fontId="8" fillId="0" borderId="66"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5" fillId="0" borderId="56" xfId="0" applyFont="1" applyBorder="1" applyAlignment="1" applyProtection="1">
      <alignment horizontal="center" vertical="center" wrapText="1"/>
      <protection hidden="1"/>
    </xf>
    <xf numFmtId="0" fontId="5" fillId="0" borderId="76" xfId="0" applyFont="1" applyBorder="1" applyAlignment="1" applyProtection="1">
      <alignment horizontal="center" vertical="center" wrapText="1"/>
      <protection hidden="1"/>
    </xf>
    <xf numFmtId="0" fontId="5" fillId="0" borderId="57" xfId="0" applyFont="1" applyBorder="1" applyAlignment="1" applyProtection="1">
      <alignment horizontal="center" vertical="center" wrapText="1"/>
      <protection hidden="1"/>
    </xf>
    <xf numFmtId="0" fontId="5" fillId="0" borderId="64" xfId="0" applyFont="1" applyBorder="1" applyAlignment="1" applyProtection="1">
      <alignment horizontal="center" vertical="center" wrapText="1"/>
      <protection hidden="1"/>
    </xf>
    <xf numFmtId="3" fontId="0" fillId="13" borderId="19" xfId="0" applyNumberFormat="1" applyFill="1" applyBorder="1" applyAlignment="1" applyProtection="1">
      <alignment vertical="center" shrinkToFit="1"/>
      <protection locked="0" hidden="1"/>
    </xf>
    <xf numFmtId="0" fontId="8" fillId="0" borderId="87" xfId="0" applyFont="1" applyBorder="1" applyAlignment="1" applyProtection="1">
      <alignment horizontal="center" vertical="center"/>
      <protection hidden="1"/>
    </xf>
    <xf numFmtId="3" fontId="20" fillId="12" borderId="27" xfId="0" applyNumberFormat="1" applyFont="1" applyFill="1" applyBorder="1" applyAlignment="1" applyProtection="1">
      <alignment vertical="center" shrinkToFit="1"/>
      <protection locked="0"/>
    </xf>
    <xf numFmtId="3" fontId="20" fillId="12" borderId="28" xfId="0" applyNumberFormat="1" applyFont="1" applyFill="1" applyBorder="1" applyAlignment="1" applyProtection="1">
      <alignment vertical="center" shrinkToFit="1"/>
      <protection locked="0"/>
    </xf>
    <xf numFmtId="3" fontId="20" fillId="12" borderId="9" xfId="0" applyNumberFormat="1" applyFont="1" applyFill="1" applyBorder="1" applyAlignment="1" applyProtection="1">
      <alignment vertical="center" shrinkToFit="1"/>
      <protection locked="0"/>
    </xf>
    <xf numFmtId="3" fontId="20" fillId="12" borderId="17" xfId="0" applyNumberFormat="1" applyFont="1" applyFill="1" applyBorder="1" applyAlignment="1" applyProtection="1">
      <alignment vertical="center" shrinkToFit="1"/>
      <protection locked="0"/>
    </xf>
    <xf numFmtId="3" fontId="0" fillId="0" borderId="11" xfId="0" applyNumberFormat="1" applyBorder="1" applyAlignment="1" applyProtection="1">
      <alignment vertical="center" shrinkToFit="1"/>
      <protection hidden="1"/>
    </xf>
    <xf numFmtId="3" fontId="0" fillId="0" borderId="12" xfId="0" applyNumberFormat="1" applyBorder="1" applyAlignment="1" applyProtection="1">
      <alignment vertical="center" shrinkToFit="1"/>
      <protection hidden="1"/>
    </xf>
    <xf numFmtId="43" fontId="25" fillId="0" borderId="10" xfId="1" applyFont="1" applyBorder="1" applyAlignment="1" applyProtection="1">
      <alignment horizontal="left" vertical="center" wrapText="1"/>
      <protection hidden="1"/>
    </xf>
    <xf numFmtId="43" fontId="25" fillId="0" borderId="11" xfId="1" applyFont="1" applyBorder="1" applyAlignment="1" applyProtection="1">
      <alignment horizontal="left" vertical="center" wrapText="1"/>
      <protection hidden="1"/>
    </xf>
    <xf numFmtId="43" fontId="25" fillId="0" borderId="12" xfId="1" applyFont="1" applyBorder="1" applyAlignment="1" applyProtection="1">
      <alignment horizontal="left" vertical="center" wrapText="1"/>
      <protection hidden="1"/>
    </xf>
    <xf numFmtId="0" fontId="8" fillId="0" borderId="72" xfId="0" applyFont="1" applyBorder="1" applyAlignment="1" applyProtection="1">
      <alignment horizontal="center" vertical="center"/>
      <protection hidden="1"/>
    </xf>
    <xf numFmtId="14" fontId="43" fillId="4" borderId="2"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0" fontId="20" fillId="0" borderId="56" xfId="0" applyFont="1" applyBorder="1" applyAlignment="1" applyProtection="1">
      <alignment horizontal="left"/>
      <protection hidden="1"/>
    </xf>
    <xf numFmtId="0" fontId="20" fillId="0" borderId="57" xfId="0" applyFont="1" applyBorder="1" applyAlignment="1" applyProtection="1">
      <alignment horizontal="left"/>
      <protection hidden="1"/>
    </xf>
    <xf numFmtId="0" fontId="20" fillId="0" borderId="64" xfId="0" applyFont="1" applyBorder="1" applyAlignment="1" applyProtection="1">
      <alignment horizontal="left"/>
      <protection hidden="1"/>
    </xf>
    <xf numFmtId="0" fontId="8" fillId="0" borderId="70" xfId="0" applyFont="1" applyBorder="1" applyAlignment="1" applyProtection="1">
      <alignment horizontal="center" vertical="center"/>
      <protection hidden="1"/>
    </xf>
    <xf numFmtId="3" fontId="0" fillId="0" borderId="11" xfId="0" applyNumberFormat="1" applyBorder="1" applyAlignment="1" applyProtection="1">
      <alignment vertical="center"/>
      <protection hidden="1"/>
    </xf>
    <xf numFmtId="3" fontId="0" fillId="0" borderId="12" xfId="0" applyNumberFormat="1" applyBorder="1" applyAlignment="1" applyProtection="1">
      <alignment vertical="center"/>
      <protection hidden="1"/>
    </xf>
    <xf numFmtId="0" fontId="25" fillId="0" borderId="16" xfId="0" applyFont="1" applyBorder="1" applyAlignment="1" applyProtection="1">
      <alignment horizontal="center" vertical="center" wrapText="1"/>
      <protection hidden="1"/>
    </xf>
    <xf numFmtId="0" fontId="25" fillId="0" borderId="13" xfId="0" applyFont="1" applyBorder="1" applyAlignment="1" applyProtection="1">
      <alignment horizontal="center" vertical="center" wrapText="1"/>
      <protection hidden="1"/>
    </xf>
    <xf numFmtId="0" fontId="25" fillId="0" borderId="14" xfId="0" applyFont="1" applyBorder="1" applyAlignment="1" applyProtection="1">
      <alignment horizontal="center" vertical="center" wrapText="1"/>
      <protection hidden="1"/>
    </xf>
    <xf numFmtId="0" fontId="25" fillId="0" borderId="8" xfId="0" applyFont="1" applyBorder="1" applyAlignment="1" applyProtection="1">
      <alignment horizontal="center" vertical="center" wrapText="1"/>
      <protection hidden="1"/>
    </xf>
    <xf numFmtId="0" fontId="25" fillId="0" borderId="9"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0" fontId="6" fillId="0" borderId="16"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0" fontId="6" fillId="0" borderId="8" xfId="0" applyFont="1" applyBorder="1" applyAlignment="1" applyProtection="1">
      <alignment horizontal="center" vertical="center" wrapText="1"/>
      <protection hidden="1"/>
    </xf>
    <xf numFmtId="0" fontId="6" fillId="0" borderId="9" xfId="0" applyFont="1" applyBorder="1" applyAlignment="1" applyProtection="1">
      <alignment horizontal="center" vertical="center" wrapText="1"/>
      <protection hidden="1"/>
    </xf>
    <xf numFmtId="0" fontId="6" fillId="0" borderId="17" xfId="0" applyFont="1" applyBorder="1" applyAlignment="1" applyProtection="1">
      <alignment horizontal="center" vertical="center" wrapText="1"/>
      <protection hidden="1"/>
    </xf>
    <xf numFmtId="0" fontId="25" fillId="0" borderId="18" xfId="0" applyFont="1" applyBorder="1" applyAlignment="1" applyProtection="1">
      <alignment horizontal="center"/>
      <protection hidden="1"/>
    </xf>
    <xf numFmtId="0" fontId="27" fillId="0" borderId="42" xfId="0" applyFont="1" applyBorder="1" applyAlignment="1" applyProtection="1">
      <alignment horizontal="left" wrapText="1"/>
      <protection hidden="1"/>
    </xf>
    <xf numFmtId="0" fontId="27" fillId="0" borderId="43" xfId="0" applyFont="1" applyBorder="1" applyAlignment="1" applyProtection="1">
      <alignment horizontal="left" wrapText="1"/>
      <protection hidden="1"/>
    </xf>
    <xf numFmtId="0" fontId="27" fillId="0" borderId="45" xfId="0" applyFont="1" applyBorder="1" applyAlignment="1" applyProtection="1">
      <alignment horizontal="left" wrapText="1"/>
      <protection hidden="1"/>
    </xf>
    <xf numFmtId="0" fontId="31" fillId="2" borderId="0" xfId="0" applyFont="1" applyFill="1" applyAlignment="1" applyProtection="1">
      <alignment horizontal="left" shrinkToFit="1"/>
      <protection hidden="1"/>
    </xf>
    <xf numFmtId="0" fontId="0" fillId="0" borderId="16" xfId="0" applyFont="1" applyBorder="1" applyAlignment="1" applyProtection="1">
      <alignment horizontal="center" vertical="center" wrapText="1"/>
      <protection hidden="1"/>
    </xf>
    <xf numFmtId="0" fontId="0" fillId="0" borderId="13" xfId="0" applyFont="1" applyBorder="1" applyAlignment="1" applyProtection="1">
      <alignment horizontal="center" vertical="center" wrapText="1"/>
      <protection hidden="1"/>
    </xf>
    <xf numFmtId="0" fontId="0" fillId="0" borderId="14" xfId="0" applyFont="1" applyBorder="1" applyAlignment="1" applyProtection="1">
      <alignment horizontal="center" vertical="center" wrapText="1"/>
      <protection hidden="1"/>
    </xf>
    <xf numFmtId="0" fontId="0" fillId="0" borderId="7"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15" xfId="0" applyFont="1" applyBorder="1" applyAlignment="1" applyProtection="1">
      <alignment horizontal="center" vertical="center" wrapText="1"/>
      <protection hidden="1"/>
    </xf>
    <xf numFmtId="0" fontId="0" fillId="0" borderId="8" xfId="0" applyFont="1" applyBorder="1" applyAlignment="1" applyProtection="1">
      <alignment horizontal="center" vertical="center" wrapText="1"/>
      <protection hidden="1"/>
    </xf>
    <xf numFmtId="0" fontId="0" fillId="0" borderId="9" xfId="0" applyFont="1" applyBorder="1" applyAlignment="1" applyProtection="1">
      <alignment horizontal="center" vertical="center" wrapText="1"/>
      <protection hidden="1"/>
    </xf>
    <xf numFmtId="0" fontId="0" fillId="0" borderId="17" xfId="0" applyFont="1" applyBorder="1" applyAlignment="1" applyProtection="1">
      <alignment horizontal="center" vertical="center" wrapText="1"/>
      <protection hidden="1"/>
    </xf>
    <xf numFmtId="0" fontId="13" fillId="12" borderId="44" xfId="0" applyFont="1" applyFill="1" applyBorder="1" applyAlignment="1" applyProtection="1">
      <alignment horizontal="left" vertical="center" shrinkToFit="1"/>
      <protection locked="0"/>
    </xf>
    <xf numFmtId="0" fontId="3" fillId="12" borderId="59" xfId="0" applyFont="1" applyFill="1" applyBorder="1" applyAlignment="1" applyProtection="1">
      <alignment horizontal="center" vertical="center" shrinkToFit="1"/>
      <protection locked="0"/>
    </xf>
    <xf numFmtId="0" fontId="3" fillId="12" borderId="46" xfId="0" applyFont="1" applyFill="1" applyBorder="1" applyAlignment="1" applyProtection="1">
      <alignment horizontal="center" vertical="center" shrinkToFit="1"/>
      <protection locked="0"/>
    </xf>
    <xf numFmtId="0" fontId="3" fillId="12" borderId="60" xfId="0" applyFont="1" applyFill="1" applyBorder="1" applyAlignment="1" applyProtection="1">
      <alignment horizontal="center" vertical="center" shrinkToFit="1"/>
      <protection locked="0"/>
    </xf>
    <xf numFmtId="0" fontId="0" fillId="2" borderId="0" xfId="0" applyFill="1" applyAlignment="1" applyProtection="1">
      <alignment horizontal="left" vertical="center" shrinkToFit="1"/>
      <protection hidden="1"/>
    </xf>
    <xf numFmtId="0" fontId="65" fillId="2" borderId="0" xfId="0" applyFont="1" applyFill="1" applyAlignment="1" applyProtection="1">
      <alignment horizontal="left" wrapText="1"/>
      <protection hidden="1"/>
    </xf>
    <xf numFmtId="0" fontId="4" fillId="2" borderId="63" xfId="0" applyFont="1" applyFill="1" applyBorder="1" applyAlignment="1" applyProtection="1">
      <alignment horizontal="center" vertical="center" wrapText="1"/>
      <protection hidden="1"/>
    </xf>
    <xf numFmtId="0" fontId="4" fillId="2" borderId="74" xfId="0" applyFont="1" applyFill="1" applyBorder="1" applyAlignment="1" applyProtection="1">
      <alignment horizontal="center" vertical="center" wrapText="1"/>
      <protection hidden="1"/>
    </xf>
    <xf numFmtId="0" fontId="4" fillId="2" borderId="66" xfId="0" applyFont="1" applyFill="1" applyBorder="1" applyAlignment="1" applyProtection="1">
      <alignment horizontal="center" vertical="center" wrapText="1"/>
      <protection hidden="1"/>
    </xf>
    <xf numFmtId="0" fontId="3" fillId="2" borderId="63" xfId="0" applyFont="1" applyFill="1" applyBorder="1" applyAlignment="1" applyProtection="1">
      <alignment horizontal="center" vertical="center" wrapText="1"/>
      <protection hidden="1"/>
    </xf>
    <xf numFmtId="0" fontId="3" fillId="2" borderId="74" xfId="0" applyFont="1" applyFill="1" applyBorder="1" applyAlignment="1" applyProtection="1">
      <alignment horizontal="center" vertical="center" wrapText="1"/>
      <protection hidden="1"/>
    </xf>
    <xf numFmtId="0" fontId="3" fillId="2" borderId="66" xfId="0" applyFont="1" applyFill="1" applyBorder="1" applyAlignment="1" applyProtection="1">
      <alignment horizontal="center" vertical="center" wrapText="1"/>
      <protection hidden="1"/>
    </xf>
    <xf numFmtId="0" fontId="5" fillId="0" borderId="39" xfId="0" applyFont="1" applyBorder="1" applyAlignment="1" applyProtection="1">
      <alignment horizontal="right" vertical="center" wrapText="1"/>
      <protection hidden="1"/>
    </xf>
    <xf numFmtId="0" fontId="5" fillId="0" borderId="40" xfId="0" applyFont="1" applyBorder="1" applyAlignment="1" applyProtection="1">
      <alignment horizontal="right" vertical="center" wrapText="1"/>
      <protection hidden="1"/>
    </xf>
    <xf numFmtId="0" fontId="5" fillId="0" borderId="42" xfId="0" applyFont="1" applyBorder="1" applyAlignment="1" applyProtection="1">
      <alignment horizontal="right" vertical="center" wrapText="1"/>
      <protection hidden="1"/>
    </xf>
    <xf numFmtId="0" fontId="5" fillId="0" borderId="43" xfId="0" applyFont="1" applyBorder="1" applyAlignment="1" applyProtection="1">
      <alignment horizontal="right" vertical="center" wrapText="1"/>
      <protection hidden="1"/>
    </xf>
    <xf numFmtId="0" fontId="0" fillId="0" borderId="0" xfId="0" applyFill="1" applyAlignment="1" applyProtection="1">
      <alignment horizontal="left"/>
      <protection hidden="1"/>
    </xf>
    <xf numFmtId="0" fontId="8" fillId="0" borderId="79" xfId="0" applyFont="1" applyBorder="1" applyAlignment="1" applyProtection="1">
      <alignment horizontal="center" vertical="center" wrapText="1"/>
      <protection hidden="1"/>
    </xf>
    <xf numFmtId="0" fontId="8" fillId="0" borderId="80" xfId="0" applyFont="1" applyBorder="1" applyAlignment="1" applyProtection="1">
      <alignment horizontal="center" vertical="center" wrapText="1"/>
      <protection hidden="1"/>
    </xf>
    <xf numFmtId="0" fontId="8" fillId="0" borderId="31" xfId="0" applyFont="1" applyBorder="1" applyAlignment="1" applyProtection="1">
      <alignment horizontal="center" vertical="center" wrapText="1"/>
      <protection hidden="1"/>
    </xf>
    <xf numFmtId="0" fontId="11" fillId="0" borderId="42" xfId="0" applyFont="1" applyBorder="1" applyAlignment="1" applyProtection="1">
      <alignment horizontal="left"/>
      <protection hidden="1"/>
    </xf>
    <xf numFmtId="0" fontId="11" fillId="0" borderId="43" xfId="0" applyFont="1" applyBorder="1" applyAlignment="1" applyProtection="1">
      <alignment horizontal="left"/>
      <protection hidden="1"/>
    </xf>
    <xf numFmtId="0" fontId="11" fillId="0" borderId="45" xfId="0" applyFont="1" applyBorder="1" applyAlignment="1" applyProtection="1">
      <alignment horizontal="left"/>
      <protection hidden="1"/>
    </xf>
    <xf numFmtId="3" fontId="3" fillId="13" borderId="42" xfId="0" applyNumberFormat="1" applyFont="1" applyFill="1" applyBorder="1" applyAlignment="1" applyProtection="1">
      <alignment horizontal="center" vertical="center" shrinkToFit="1"/>
      <protection locked="0" hidden="1"/>
    </xf>
    <xf numFmtId="0" fontId="11" fillId="0" borderId="39" xfId="0" applyFont="1" applyBorder="1" applyAlignment="1" applyProtection="1">
      <alignment horizontal="left"/>
      <protection hidden="1"/>
    </xf>
    <xf numFmtId="0" fontId="11" fillId="0" borderId="40" xfId="0" applyFont="1" applyBorder="1" applyAlignment="1" applyProtection="1">
      <alignment horizontal="left"/>
      <protection hidden="1"/>
    </xf>
    <xf numFmtId="0" fontId="11" fillId="0" borderId="51" xfId="0" applyFont="1" applyBorder="1" applyAlignment="1" applyProtection="1">
      <alignment horizontal="left"/>
      <protection hidden="1"/>
    </xf>
    <xf numFmtId="0" fontId="20" fillId="0" borderId="39" xfId="0" applyFont="1" applyBorder="1" applyAlignment="1" applyProtection="1">
      <alignment horizontal="center" vertical="center"/>
      <protection hidden="1"/>
    </xf>
    <xf numFmtId="10" fontId="3" fillId="13" borderId="47" xfId="0" applyNumberFormat="1" applyFont="1" applyFill="1" applyBorder="1" applyAlignment="1" applyProtection="1">
      <alignment horizontal="center" vertical="center" shrinkToFit="1"/>
      <protection locked="0" hidden="1"/>
    </xf>
    <xf numFmtId="10" fontId="3" fillId="13" borderId="43" xfId="0" applyNumberFormat="1" applyFont="1" applyFill="1" applyBorder="1" applyAlignment="1" applyProtection="1">
      <alignment horizontal="center" vertical="center" shrinkToFit="1"/>
      <protection locked="0" hidden="1"/>
    </xf>
    <xf numFmtId="10" fontId="3" fillId="13" borderId="44" xfId="0" applyNumberFormat="1" applyFont="1" applyFill="1" applyBorder="1" applyAlignment="1" applyProtection="1">
      <alignment horizontal="center" vertical="center" shrinkToFit="1"/>
      <protection locked="0" hidden="1"/>
    </xf>
    <xf numFmtId="0" fontId="20" fillId="0" borderId="42" xfId="0" applyFont="1" applyBorder="1" applyAlignment="1" applyProtection="1">
      <alignment horizontal="center" vertical="center"/>
      <protection hidden="1"/>
    </xf>
    <xf numFmtId="0" fontId="20" fillId="0" borderId="43" xfId="0" applyFont="1" applyBorder="1" applyAlignment="1" applyProtection="1">
      <alignment horizontal="center" vertical="center"/>
      <protection hidden="1"/>
    </xf>
    <xf numFmtId="0" fontId="20" fillId="0" borderId="45" xfId="0" applyFont="1" applyBorder="1" applyAlignment="1" applyProtection="1">
      <alignment horizontal="center" vertical="center"/>
      <protection hidden="1"/>
    </xf>
    <xf numFmtId="0" fontId="0" fillId="0" borderId="39" xfId="0" applyFont="1" applyBorder="1" applyAlignment="1" applyProtection="1">
      <alignment horizontal="left" vertical="center" wrapText="1"/>
      <protection hidden="1"/>
    </xf>
    <xf numFmtId="0" fontId="0" fillId="0" borderId="40" xfId="0" applyFont="1" applyBorder="1" applyAlignment="1" applyProtection="1">
      <alignment horizontal="left" vertical="center" wrapText="1"/>
      <protection hidden="1"/>
    </xf>
    <xf numFmtId="3" fontId="13" fillId="0" borderId="51" xfId="0" applyNumberFormat="1" applyFont="1" applyFill="1" applyBorder="1" applyAlignment="1" applyProtection="1">
      <alignment horizontal="center" vertical="center" shrinkToFit="1"/>
      <protection hidden="1"/>
    </xf>
    <xf numFmtId="3" fontId="13" fillId="0" borderId="19" xfId="0" applyNumberFormat="1" applyFont="1" applyFill="1" applyBorder="1" applyAlignment="1" applyProtection="1">
      <alignment horizontal="center" vertical="center" shrinkToFit="1"/>
      <protection hidden="1"/>
    </xf>
    <xf numFmtId="3" fontId="13" fillId="0" borderId="34" xfId="0" applyNumberFormat="1" applyFont="1" applyFill="1" applyBorder="1" applyAlignment="1" applyProtection="1">
      <alignment horizontal="center" vertical="center" shrinkToFit="1"/>
      <protection hidden="1"/>
    </xf>
    <xf numFmtId="0" fontId="0" fillId="0" borderId="48" xfId="0" applyBorder="1" applyAlignment="1" applyProtection="1">
      <alignment horizontal="center"/>
      <protection hidden="1"/>
    </xf>
    <xf numFmtId="0" fontId="0" fillId="0" borderId="49" xfId="0" applyBorder="1" applyAlignment="1" applyProtection="1">
      <alignment horizontal="center"/>
      <protection hidden="1"/>
    </xf>
    <xf numFmtId="0" fontId="0" fillId="0" borderId="50" xfId="0" applyBorder="1" applyAlignment="1" applyProtection="1">
      <alignment horizontal="center"/>
      <protection hidden="1"/>
    </xf>
    <xf numFmtId="0" fontId="20" fillId="0" borderId="47" xfId="0" applyFont="1" applyBorder="1" applyAlignment="1" applyProtection="1">
      <alignment horizontal="center" vertical="center"/>
      <protection hidden="1"/>
    </xf>
    <xf numFmtId="0" fontId="27" fillId="0" borderId="10" xfId="0" applyFont="1" applyBorder="1" applyAlignment="1" applyProtection="1">
      <alignment horizontal="center" vertical="center" wrapText="1"/>
      <protection hidden="1"/>
    </xf>
    <xf numFmtId="0" fontId="27" fillId="0" borderId="11" xfId="0" applyFont="1" applyBorder="1" applyAlignment="1" applyProtection="1">
      <alignment horizontal="center" vertical="center" wrapText="1"/>
      <protection hidden="1"/>
    </xf>
    <xf numFmtId="0" fontId="27" fillId="0" borderId="12" xfId="0" applyFont="1" applyBorder="1" applyAlignment="1" applyProtection="1">
      <alignment horizontal="center" vertical="center" wrapText="1"/>
      <protection hidden="1"/>
    </xf>
    <xf numFmtId="0" fontId="20" fillId="0" borderId="60" xfId="0" applyFont="1" applyBorder="1" applyAlignment="1" applyProtection="1">
      <alignment horizontal="center" vertical="center"/>
      <protection hidden="1"/>
    </xf>
    <xf numFmtId="3" fontId="3" fillId="13" borderId="51" xfId="0" applyNumberFormat="1" applyFont="1" applyFill="1" applyBorder="1" applyAlignment="1" applyProtection="1">
      <alignment horizontal="center" vertical="center" shrinkToFit="1"/>
      <protection locked="0" hidden="1"/>
    </xf>
    <xf numFmtId="3" fontId="3" fillId="0" borderId="10" xfId="0" applyNumberFormat="1" applyFont="1" applyBorder="1" applyAlignment="1" applyProtection="1">
      <alignment horizontal="center" shrinkToFit="1"/>
      <protection hidden="1"/>
    </xf>
    <xf numFmtId="3" fontId="3" fillId="0" borderId="11" xfId="0" applyNumberFormat="1" applyFont="1" applyBorder="1" applyAlignment="1" applyProtection="1">
      <alignment horizontal="center" shrinkToFit="1"/>
      <protection hidden="1"/>
    </xf>
    <xf numFmtId="0" fontId="20" fillId="2" borderId="53" xfId="0" applyFont="1" applyFill="1" applyBorder="1" applyAlignment="1" applyProtection="1">
      <alignment horizontal="left"/>
      <protection hidden="1"/>
    </xf>
    <xf numFmtId="0" fontId="20" fillId="2" borderId="54" xfId="0" applyFont="1" applyFill="1" applyBorder="1" applyAlignment="1" applyProtection="1">
      <alignment horizontal="left"/>
      <protection hidden="1"/>
    </xf>
    <xf numFmtId="0" fontId="20" fillId="2" borderId="69" xfId="0" applyFont="1" applyFill="1" applyBorder="1" applyAlignment="1" applyProtection="1">
      <alignment horizontal="left"/>
      <protection hidden="1"/>
    </xf>
    <xf numFmtId="3" fontId="13" fillId="12" borderId="23" xfId="0" applyNumberFormat="1" applyFont="1" applyFill="1" applyBorder="1" applyAlignment="1" applyProtection="1">
      <alignment horizontal="center" shrinkToFit="1"/>
      <protection locked="0"/>
    </xf>
    <xf numFmtId="3" fontId="13" fillId="12" borderId="70" xfId="0" applyNumberFormat="1" applyFont="1" applyFill="1" applyBorder="1" applyAlignment="1" applyProtection="1">
      <alignment horizontal="center" vertical="center" shrinkToFit="1"/>
      <protection locked="0"/>
    </xf>
    <xf numFmtId="0" fontId="4" fillId="0" borderId="14" xfId="0" applyFont="1" applyBorder="1" applyAlignment="1" applyProtection="1">
      <alignment horizontal="center" vertical="center"/>
      <protection hidden="1"/>
    </xf>
    <xf numFmtId="0" fontId="4" fillId="0" borderId="7"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0" borderId="17" xfId="0" applyFont="1" applyBorder="1" applyAlignment="1" applyProtection="1">
      <alignment horizontal="center" vertical="center"/>
      <protection hidden="1"/>
    </xf>
    <xf numFmtId="0" fontId="0" fillId="0" borderId="50" xfId="0" applyBorder="1" applyAlignment="1" applyProtection="1">
      <alignment horizontal="left"/>
      <protection hidden="1"/>
    </xf>
    <xf numFmtId="0" fontId="4" fillId="0" borderId="18" xfId="0" applyFont="1" applyBorder="1" applyAlignment="1" applyProtection="1">
      <alignment horizontal="center" vertical="center" wrapText="1"/>
      <protection hidden="1"/>
    </xf>
    <xf numFmtId="0" fontId="11" fillId="0" borderId="53" xfId="0" applyFont="1" applyBorder="1" applyAlignment="1" applyProtection="1">
      <alignment horizontal="left" wrapText="1"/>
      <protection hidden="1"/>
    </xf>
    <xf numFmtId="0" fontId="11" fillId="0" borderId="54" xfId="0" applyFont="1" applyBorder="1" applyAlignment="1" applyProtection="1">
      <alignment horizontal="left" wrapText="1"/>
      <protection hidden="1"/>
    </xf>
    <xf numFmtId="0" fontId="11" fillId="0" borderId="69" xfId="0" applyFont="1" applyBorder="1" applyAlignment="1" applyProtection="1">
      <alignment horizontal="left" wrapText="1"/>
      <protection hidden="1"/>
    </xf>
    <xf numFmtId="0" fontId="24" fillId="12" borderId="48" xfId="0" applyFont="1" applyFill="1" applyBorder="1" applyAlignment="1" applyProtection="1">
      <alignment horizontal="right" shrinkToFit="1"/>
      <protection locked="0"/>
    </xf>
    <xf numFmtId="0" fontId="24" fillId="12" borderId="49" xfId="0" applyFont="1" applyFill="1" applyBorder="1" applyAlignment="1" applyProtection="1">
      <alignment horizontal="right" shrinkToFit="1"/>
      <protection locked="0"/>
    </xf>
    <xf numFmtId="0" fontId="24" fillId="12" borderId="50" xfId="0" applyFont="1" applyFill="1" applyBorder="1" applyAlignment="1" applyProtection="1">
      <alignment horizontal="right" shrinkToFit="1"/>
      <protection locked="0"/>
    </xf>
    <xf numFmtId="0" fontId="24" fillId="0" borderId="10" xfId="0" applyFont="1" applyBorder="1" applyAlignment="1" applyProtection="1">
      <alignment horizontal="left" wrapText="1"/>
      <protection hidden="1"/>
    </xf>
    <xf numFmtId="0" fontId="24" fillId="0" borderId="11" xfId="0" applyFont="1" applyBorder="1" applyAlignment="1" applyProtection="1">
      <alignment horizontal="left" wrapText="1"/>
      <protection hidden="1"/>
    </xf>
    <xf numFmtId="0" fontId="24" fillId="0" borderId="12" xfId="0" applyFont="1" applyBorder="1" applyAlignment="1" applyProtection="1">
      <alignment horizontal="left" wrapText="1"/>
      <protection hidden="1"/>
    </xf>
    <xf numFmtId="0" fontId="0" fillId="0" borderId="60" xfId="0" applyBorder="1" applyAlignment="1" applyProtection="1">
      <alignment horizontal="left"/>
      <protection hidden="1"/>
    </xf>
    <xf numFmtId="43" fontId="5" fillId="0" borderId="16" xfId="1" applyFont="1" applyBorder="1" applyAlignment="1" applyProtection="1">
      <alignment horizontal="center" vertical="center" wrapText="1"/>
      <protection hidden="1"/>
    </xf>
    <xf numFmtId="43" fontId="5" fillId="0" borderId="13" xfId="1" applyFont="1" applyBorder="1" applyAlignment="1" applyProtection="1">
      <alignment horizontal="center" vertical="center" wrapText="1"/>
      <protection hidden="1"/>
    </xf>
    <xf numFmtId="43" fontId="5" fillId="0" borderId="14" xfId="1" applyFont="1" applyBorder="1" applyAlignment="1" applyProtection="1">
      <alignment horizontal="center" vertical="center" wrapText="1"/>
      <protection hidden="1"/>
    </xf>
    <xf numFmtId="43" fontId="5" fillId="0" borderId="7" xfId="1" applyFont="1" applyBorder="1" applyAlignment="1" applyProtection="1">
      <alignment horizontal="center" vertical="center" wrapText="1"/>
      <protection hidden="1"/>
    </xf>
    <xf numFmtId="43" fontId="5" fillId="0" borderId="0" xfId="1" applyFont="1" applyBorder="1" applyAlignment="1" applyProtection="1">
      <alignment horizontal="center" vertical="center" wrapText="1"/>
      <protection hidden="1"/>
    </xf>
    <xf numFmtId="43" fontId="5" fillId="0" borderId="15" xfId="1" applyFont="1" applyBorder="1" applyAlignment="1" applyProtection="1">
      <alignment horizontal="center" vertical="center" wrapText="1"/>
      <protection hidden="1"/>
    </xf>
    <xf numFmtId="0" fontId="8" fillId="0" borderId="16" xfId="0" applyFont="1" applyBorder="1" applyAlignment="1" applyProtection="1">
      <alignment horizontal="left" wrapText="1"/>
      <protection hidden="1"/>
    </xf>
    <xf numFmtId="0" fontId="8" fillId="0" borderId="13" xfId="0" applyFont="1" applyBorder="1" applyAlignment="1" applyProtection="1">
      <alignment horizontal="left" wrapText="1"/>
      <protection hidden="1"/>
    </xf>
    <xf numFmtId="0" fontId="8" fillId="0" borderId="14" xfId="0" applyFont="1" applyBorder="1" applyAlignment="1" applyProtection="1">
      <alignment horizontal="left" wrapText="1"/>
      <protection hidden="1"/>
    </xf>
    <xf numFmtId="0" fontId="8" fillId="0" borderId="10" xfId="0" applyFont="1" applyBorder="1" applyAlignment="1" applyProtection="1">
      <alignment horizontal="left" shrinkToFit="1"/>
      <protection hidden="1"/>
    </xf>
    <xf numFmtId="0" fontId="8" fillId="0" borderId="11" xfId="0" applyFont="1" applyBorder="1" applyAlignment="1" applyProtection="1">
      <alignment horizontal="left" shrinkToFit="1"/>
      <protection hidden="1"/>
    </xf>
    <xf numFmtId="0" fontId="8" fillId="0" borderId="12" xfId="0" applyFont="1" applyBorder="1" applyAlignment="1" applyProtection="1">
      <alignment horizontal="left" shrinkToFit="1"/>
      <protection hidden="1"/>
    </xf>
    <xf numFmtId="0" fontId="23" fillId="0" borderId="10" xfId="0" applyFont="1" applyBorder="1" applyAlignment="1" applyProtection="1">
      <alignment horizontal="left" wrapText="1"/>
      <protection hidden="1"/>
    </xf>
    <xf numFmtId="0" fontId="23" fillId="0" borderId="11" xfId="0" applyFont="1" applyBorder="1" applyAlignment="1" applyProtection="1">
      <alignment horizontal="left" wrapText="1"/>
      <protection hidden="1"/>
    </xf>
    <xf numFmtId="0" fontId="23" fillId="0" borderId="12" xfId="0" applyFont="1" applyBorder="1" applyAlignment="1" applyProtection="1">
      <alignment horizontal="left" wrapText="1"/>
      <protection hidden="1"/>
    </xf>
    <xf numFmtId="0" fontId="0" fillId="0" borderId="16" xfId="0" applyBorder="1" applyAlignment="1" applyProtection="1">
      <alignment horizontal="left"/>
      <protection hidden="1"/>
    </xf>
    <xf numFmtId="0" fontId="0" fillId="0" borderId="13" xfId="0" applyBorder="1" applyAlignment="1" applyProtection="1">
      <alignment horizontal="left"/>
      <protection hidden="1"/>
    </xf>
    <xf numFmtId="0" fontId="0" fillId="0" borderId="14" xfId="0" applyBorder="1" applyAlignment="1" applyProtection="1">
      <alignment horizontal="left"/>
      <protection hidden="1"/>
    </xf>
    <xf numFmtId="3" fontId="13" fillId="12" borderId="77" xfId="0" applyNumberFormat="1" applyFont="1" applyFill="1" applyBorder="1" applyAlignment="1" applyProtection="1">
      <alignment horizontal="center" vertical="center" shrinkToFit="1"/>
      <protection locked="0"/>
    </xf>
    <xf numFmtId="0" fontId="16" fillId="0" borderId="56" xfId="0" applyFont="1" applyBorder="1" applyAlignment="1" applyProtection="1">
      <alignment horizontal="left" wrapText="1"/>
      <protection hidden="1"/>
    </xf>
    <xf numFmtId="0" fontId="16" fillId="0" borderId="57" xfId="0" applyFont="1" applyBorder="1" applyAlignment="1" applyProtection="1">
      <alignment horizontal="left" wrapText="1"/>
      <protection hidden="1"/>
    </xf>
    <xf numFmtId="0" fontId="16" fillId="0" borderId="64" xfId="0" applyFont="1" applyBorder="1" applyAlignment="1" applyProtection="1">
      <alignment horizontal="left" wrapText="1"/>
      <protection hidden="1"/>
    </xf>
    <xf numFmtId="0" fontId="0" fillId="0" borderId="10" xfId="0" applyBorder="1" applyAlignment="1" applyProtection="1">
      <alignment horizontal="left" vertical="center"/>
      <protection hidden="1"/>
    </xf>
    <xf numFmtId="0" fontId="0" fillId="0" borderId="11" xfId="0" applyBorder="1" applyAlignment="1" applyProtection="1">
      <alignment horizontal="left" vertical="center"/>
      <protection hidden="1"/>
    </xf>
    <xf numFmtId="0" fontId="4" fillId="0" borderId="10" xfId="0" applyFont="1" applyBorder="1" applyAlignment="1" applyProtection="1">
      <alignment horizontal="left" vertical="center" wrapText="1"/>
      <protection hidden="1"/>
    </xf>
    <xf numFmtId="0" fontId="4" fillId="0" borderId="11" xfId="0" applyFont="1" applyBorder="1" applyAlignment="1" applyProtection="1">
      <alignment horizontal="left" vertical="center" wrapText="1"/>
      <protection hidden="1"/>
    </xf>
    <xf numFmtId="0" fontId="4" fillId="0" borderId="12" xfId="0" applyFont="1" applyBorder="1" applyAlignment="1" applyProtection="1">
      <alignment horizontal="left" vertical="center" wrapText="1"/>
      <protection hidden="1"/>
    </xf>
    <xf numFmtId="0" fontId="0" fillId="0" borderId="34" xfId="0" applyBorder="1" applyAlignment="1" applyProtection="1">
      <alignment horizontal="left"/>
      <protection hidden="1"/>
    </xf>
    <xf numFmtId="0" fontId="11" fillId="0" borderId="8" xfId="0" applyFont="1" applyBorder="1" applyAlignment="1" applyProtection="1">
      <alignment horizontal="left" wrapText="1"/>
      <protection hidden="1"/>
    </xf>
    <xf numFmtId="0" fontId="11" fillId="0" borderId="9" xfId="0" applyFont="1" applyBorder="1" applyAlignment="1" applyProtection="1">
      <alignment horizontal="left" wrapText="1"/>
      <protection hidden="1"/>
    </xf>
    <xf numFmtId="0" fontId="11" fillId="0" borderId="17" xfId="0" applyFont="1" applyBorder="1" applyAlignment="1" applyProtection="1">
      <alignment horizontal="left" wrapText="1"/>
      <protection hidden="1"/>
    </xf>
    <xf numFmtId="0" fontId="11" fillId="0" borderId="34" xfId="0" applyFont="1" applyBorder="1" applyAlignment="1" applyProtection="1">
      <alignment horizontal="left" wrapText="1"/>
      <protection hidden="1"/>
    </xf>
    <xf numFmtId="0" fontId="5" fillId="0" borderId="33" xfId="0" applyFont="1" applyBorder="1" applyAlignment="1" applyProtection="1">
      <alignment horizontal="left" wrapText="1"/>
      <protection hidden="1"/>
    </xf>
    <xf numFmtId="0" fontId="5" fillId="0" borderId="19" xfId="0" applyFont="1" applyBorder="1" applyAlignment="1" applyProtection="1">
      <alignment horizontal="left" wrapText="1"/>
      <protection hidden="1"/>
    </xf>
    <xf numFmtId="0" fontId="5" fillId="0" borderId="34" xfId="0" applyFont="1" applyBorder="1" applyAlignment="1" applyProtection="1">
      <alignment horizontal="left" wrapText="1"/>
      <protection hidden="1"/>
    </xf>
    <xf numFmtId="0" fontId="0" fillId="0" borderId="16"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0" fillId="0" borderId="8" xfId="0" applyBorder="1" applyAlignment="1" applyProtection="1">
      <alignment horizontal="center" vertical="center" wrapText="1"/>
      <protection hidden="1"/>
    </xf>
    <xf numFmtId="0" fontId="0" fillId="0" borderId="9" xfId="0"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3" fontId="3" fillId="13" borderId="36" xfId="0" applyNumberFormat="1" applyFont="1" applyFill="1" applyBorder="1" applyAlignment="1" applyProtection="1">
      <alignment horizontal="center" vertical="center" shrinkToFit="1"/>
      <protection locked="0" hidden="1"/>
    </xf>
    <xf numFmtId="3" fontId="3" fillId="13" borderId="24" xfId="0" applyNumberFormat="1" applyFont="1" applyFill="1" applyBorder="1" applyAlignment="1" applyProtection="1">
      <alignment horizontal="center" vertical="center" shrinkToFit="1"/>
      <protection locked="0" hidden="1"/>
    </xf>
    <xf numFmtId="3" fontId="3" fillId="13" borderId="25" xfId="0" applyNumberFormat="1" applyFont="1" applyFill="1" applyBorder="1" applyAlignment="1" applyProtection="1">
      <alignment horizontal="center" vertical="center" shrinkToFit="1"/>
      <protection locked="0" hidden="1"/>
    </xf>
    <xf numFmtId="0" fontId="5" fillId="0" borderId="16" xfId="0" applyFont="1" applyBorder="1" applyAlignment="1" applyProtection="1">
      <alignment horizontal="center"/>
      <protection hidden="1"/>
    </xf>
    <xf numFmtId="0" fontId="5" fillId="0" borderId="13" xfId="0" applyFont="1" applyBorder="1" applyAlignment="1" applyProtection="1">
      <alignment horizontal="center"/>
      <protection hidden="1"/>
    </xf>
    <xf numFmtId="0" fontId="5" fillId="0" borderId="14" xfId="0" applyFont="1" applyBorder="1" applyAlignment="1" applyProtection="1">
      <alignment horizontal="center"/>
      <protection hidden="1"/>
    </xf>
    <xf numFmtId="0" fontId="4" fillId="0" borderId="10" xfId="0" applyFont="1" applyBorder="1" applyAlignment="1" applyProtection="1">
      <alignment horizontal="center"/>
      <protection hidden="1"/>
    </xf>
    <xf numFmtId="0" fontId="4" fillId="0" borderId="11" xfId="0" applyFont="1" applyBorder="1" applyAlignment="1" applyProtection="1">
      <alignment horizontal="center"/>
      <protection hidden="1"/>
    </xf>
    <xf numFmtId="0" fontId="6" fillId="0" borderId="10" xfId="0" applyFont="1" applyBorder="1" applyAlignment="1" applyProtection="1">
      <alignment horizontal="left"/>
      <protection hidden="1"/>
    </xf>
    <xf numFmtId="0" fontId="6" fillId="0" borderId="11" xfId="0" applyFont="1" applyBorder="1" applyAlignment="1" applyProtection="1">
      <alignment horizontal="left"/>
      <protection hidden="1"/>
    </xf>
    <xf numFmtId="0" fontId="6" fillId="0" borderId="12" xfId="0" applyFont="1" applyBorder="1" applyAlignment="1" applyProtection="1">
      <alignment horizontal="left"/>
      <protection hidden="1"/>
    </xf>
    <xf numFmtId="3" fontId="15" fillId="13" borderId="56" xfId="0" applyNumberFormat="1" applyFont="1" applyFill="1" applyBorder="1" applyAlignment="1" applyProtection="1">
      <alignment horizontal="center" vertical="center" shrinkToFit="1"/>
      <protection locked="0" hidden="1"/>
    </xf>
    <xf numFmtId="3" fontId="15" fillId="13" borderId="57" xfId="0" applyNumberFormat="1" applyFont="1" applyFill="1" applyBorder="1" applyAlignment="1" applyProtection="1">
      <alignment horizontal="center" vertical="center" shrinkToFit="1"/>
      <protection locked="0" hidden="1"/>
    </xf>
    <xf numFmtId="3" fontId="15" fillId="13" borderId="58" xfId="0" applyNumberFormat="1" applyFont="1" applyFill="1" applyBorder="1" applyAlignment="1" applyProtection="1">
      <alignment horizontal="center" vertical="center" shrinkToFit="1"/>
      <protection locked="0" hidden="1"/>
    </xf>
    <xf numFmtId="3" fontId="3" fillId="13" borderId="8" xfId="0" applyNumberFormat="1" applyFont="1" applyFill="1" applyBorder="1" applyAlignment="1" applyProtection="1">
      <alignment horizontal="center" vertical="center" shrinkToFit="1"/>
      <protection locked="0" hidden="1"/>
    </xf>
    <xf numFmtId="3" fontId="3" fillId="13" borderId="9" xfId="0" applyNumberFormat="1" applyFont="1" applyFill="1" applyBorder="1" applyAlignment="1" applyProtection="1">
      <alignment horizontal="center" vertical="center" shrinkToFit="1"/>
      <protection locked="0" hidden="1"/>
    </xf>
    <xf numFmtId="3" fontId="3" fillId="13" borderId="17" xfId="0" applyNumberFormat="1" applyFont="1" applyFill="1" applyBorder="1" applyAlignment="1" applyProtection="1">
      <alignment horizontal="center" vertical="center" shrinkToFit="1"/>
      <protection locked="0" hidden="1"/>
    </xf>
    <xf numFmtId="3" fontId="31" fillId="12" borderId="8" xfId="0" applyNumberFormat="1" applyFont="1" applyFill="1" applyBorder="1" applyAlignment="1" applyProtection="1">
      <alignment horizontal="center" vertical="center" shrinkToFit="1"/>
      <protection locked="0"/>
    </xf>
    <xf numFmtId="3" fontId="31" fillId="12" borderId="9" xfId="0" applyNumberFormat="1" applyFont="1" applyFill="1" applyBorder="1" applyAlignment="1" applyProtection="1">
      <alignment horizontal="center" vertical="center" shrinkToFit="1"/>
      <protection locked="0"/>
    </xf>
    <xf numFmtId="3" fontId="31" fillId="12" borderId="27" xfId="0" applyNumberFormat="1" applyFont="1" applyFill="1" applyBorder="1" applyAlignment="1" applyProtection="1">
      <alignment horizontal="center" vertical="center" shrinkToFit="1"/>
      <protection locked="0"/>
    </xf>
    <xf numFmtId="3" fontId="31" fillId="12" borderId="28" xfId="0" applyNumberFormat="1" applyFont="1" applyFill="1" applyBorder="1" applyAlignment="1" applyProtection="1">
      <alignment horizontal="center" vertical="center" shrinkToFit="1"/>
      <protection locked="0"/>
    </xf>
    <xf numFmtId="3" fontId="31" fillId="12" borderId="71" xfId="0" applyNumberFormat="1" applyFont="1" applyFill="1" applyBorder="1" applyAlignment="1" applyProtection="1">
      <alignment horizontal="center" vertical="center" shrinkToFit="1"/>
      <protection locked="0"/>
    </xf>
    <xf numFmtId="3" fontId="31" fillId="12" borderId="66" xfId="0" applyNumberFormat="1" applyFont="1" applyFill="1" applyBorder="1" applyAlignment="1" applyProtection="1">
      <alignment horizontal="center" vertical="center" shrinkToFit="1"/>
      <protection locked="0"/>
    </xf>
    <xf numFmtId="3" fontId="31" fillId="12" borderId="67" xfId="0" applyNumberFormat="1" applyFont="1" applyFill="1" applyBorder="1" applyAlignment="1" applyProtection="1">
      <alignment horizontal="center" vertical="center" shrinkToFit="1"/>
      <protection locked="0"/>
    </xf>
    <xf numFmtId="3" fontId="31" fillId="12" borderId="62" xfId="0" applyNumberFormat="1" applyFont="1" applyFill="1" applyBorder="1" applyAlignment="1" applyProtection="1">
      <alignment horizontal="center" vertical="center" shrinkToFit="1"/>
      <protection locked="0"/>
    </xf>
    <xf numFmtId="3" fontId="31" fillId="12" borderId="63" xfId="0" applyNumberFormat="1" applyFont="1" applyFill="1" applyBorder="1" applyAlignment="1" applyProtection="1">
      <alignment horizontal="center" vertical="center" shrinkToFit="1"/>
      <protection locked="0"/>
    </xf>
    <xf numFmtId="3" fontId="31" fillId="12" borderId="77" xfId="0" applyNumberFormat="1" applyFont="1" applyFill="1" applyBorder="1" applyAlignment="1" applyProtection="1">
      <alignment horizontal="center" vertical="center" shrinkToFit="1"/>
      <protection locked="0"/>
    </xf>
    <xf numFmtId="1" fontId="3" fillId="13" borderId="0" xfId="0" applyNumberFormat="1" applyFont="1" applyFill="1" applyAlignment="1" applyProtection="1">
      <alignment horizontal="center"/>
      <protection locked="0" hidden="1"/>
    </xf>
    <xf numFmtId="0" fontId="8" fillId="0" borderId="50" xfId="0" applyFont="1" applyBorder="1" applyAlignment="1" applyProtection="1">
      <alignment horizontal="left"/>
      <protection hidden="1"/>
    </xf>
    <xf numFmtId="3" fontId="31" fillId="12" borderId="36" xfId="0" applyNumberFormat="1" applyFont="1" applyFill="1" applyBorder="1" applyAlignment="1" applyProtection="1">
      <alignment horizontal="center" vertical="center" shrinkToFit="1"/>
      <protection locked="0"/>
    </xf>
    <xf numFmtId="3" fontId="31" fillId="12" borderId="24" xfId="0" applyNumberFormat="1" applyFont="1" applyFill="1" applyBorder="1" applyAlignment="1" applyProtection="1">
      <alignment horizontal="center" vertical="center" shrinkToFit="1"/>
      <protection locked="0"/>
    </xf>
    <xf numFmtId="0" fontId="18" fillId="0" borderId="7" xfId="0" applyFont="1" applyBorder="1" applyAlignment="1" applyProtection="1">
      <alignment horizontal="center" vertical="center" wrapText="1"/>
      <protection hidden="1"/>
    </xf>
    <xf numFmtId="0" fontId="18" fillId="0" borderId="0" xfId="0" applyFont="1" applyBorder="1" applyAlignment="1" applyProtection="1">
      <alignment horizontal="center" vertical="center" wrapText="1"/>
      <protection hidden="1"/>
    </xf>
    <xf numFmtId="0" fontId="18" fillId="0" borderId="15" xfId="0" applyFont="1" applyBorder="1" applyAlignment="1" applyProtection="1">
      <alignment horizontal="center" vertical="center" wrapText="1"/>
      <protection hidden="1"/>
    </xf>
    <xf numFmtId="0" fontId="8" fillId="0" borderId="59" xfId="0" applyFont="1" applyBorder="1" applyAlignment="1" applyProtection="1">
      <alignment horizontal="left"/>
      <protection hidden="1"/>
    </xf>
    <xf numFmtId="0" fontId="8" fillId="0" borderId="46" xfId="0" applyFont="1" applyBorder="1" applyAlignment="1" applyProtection="1">
      <alignment horizontal="left"/>
      <protection hidden="1"/>
    </xf>
    <xf numFmtId="0" fontId="8" fillId="0" borderId="60" xfId="0" applyFont="1" applyBorder="1" applyAlignment="1" applyProtection="1">
      <alignment horizontal="left"/>
      <protection hidden="1"/>
    </xf>
    <xf numFmtId="1" fontId="3" fillId="13" borderId="0" xfId="0" applyNumberFormat="1" applyFont="1" applyFill="1" applyAlignment="1" applyProtection="1">
      <alignment horizontal="center"/>
      <protection hidden="1"/>
    </xf>
    <xf numFmtId="0" fontId="13" fillId="0" borderId="10" xfId="0" applyFont="1" applyBorder="1" applyAlignment="1" applyProtection="1">
      <alignment horizontal="left" wrapText="1"/>
      <protection hidden="1"/>
    </xf>
    <xf numFmtId="0" fontId="13" fillId="0" borderId="11" xfId="0" applyFont="1" applyBorder="1" applyAlignment="1" applyProtection="1">
      <alignment horizontal="left" wrapText="1"/>
      <protection hidden="1"/>
    </xf>
    <xf numFmtId="0" fontId="13" fillId="0" borderId="12" xfId="0" applyFont="1" applyBorder="1" applyAlignment="1" applyProtection="1">
      <alignment horizontal="left" wrapText="1"/>
      <protection hidden="1"/>
    </xf>
    <xf numFmtId="9" fontId="13" fillId="12" borderId="53" xfId="0" applyNumberFormat="1" applyFont="1" applyFill="1" applyBorder="1" applyAlignment="1" applyProtection="1">
      <alignment horizontal="center" vertical="center" shrinkToFit="1"/>
      <protection locked="0"/>
    </xf>
    <xf numFmtId="9" fontId="13" fillId="12" borderId="54" xfId="0" applyNumberFormat="1" applyFont="1" applyFill="1" applyBorder="1" applyAlignment="1" applyProtection="1">
      <alignment horizontal="center" vertical="center" shrinkToFit="1"/>
      <protection locked="0"/>
    </xf>
    <xf numFmtId="9" fontId="13" fillId="12" borderId="69" xfId="0" applyNumberFormat="1" applyFont="1" applyFill="1" applyBorder="1" applyAlignment="1" applyProtection="1">
      <alignment horizontal="center" vertical="center" shrinkToFit="1"/>
      <protection locked="0"/>
    </xf>
    <xf numFmtId="0" fontId="19" fillId="0" borderId="53" xfId="0" applyFont="1" applyBorder="1" applyAlignment="1" applyProtection="1">
      <alignment horizontal="center" vertical="center" wrapText="1"/>
      <protection hidden="1"/>
    </xf>
    <xf numFmtId="0" fontId="19" fillId="0" borderId="54" xfId="0" applyFont="1" applyBorder="1" applyAlignment="1" applyProtection="1">
      <alignment horizontal="center" vertical="center" wrapText="1"/>
      <protection hidden="1"/>
    </xf>
    <xf numFmtId="0" fontId="19" fillId="0" borderId="55"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41" xfId="0" applyFont="1" applyBorder="1" applyAlignment="1" applyProtection="1">
      <alignment horizontal="center" vertical="center" wrapText="1"/>
      <protection hidden="1"/>
    </xf>
    <xf numFmtId="0" fontId="19" fillId="0" borderId="42" xfId="0" applyFont="1" applyBorder="1" applyAlignment="1" applyProtection="1">
      <alignment horizontal="center" vertical="center" wrapText="1"/>
      <protection hidden="1"/>
    </xf>
    <xf numFmtId="0" fontId="19" fillId="0" borderId="43" xfId="0" applyFont="1" applyBorder="1" applyAlignment="1" applyProtection="1">
      <alignment horizontal="center" vertical="center" wrapText="1"/>
      <protection hidden="1"/>
    </xf>
    <xf numFmtId="0" fontId="19" fillId="0" borderId="44" xfId="0" applyFont="1" applyBorder="1" applyAlignment="1" applyProtection="1">
      <alignment horizontal="center" vertical="center" wrapText="1"/>
      <protection hidden="1"/>
    </xf>
    <xf numFmtId="0" fontId="5" fillId="0" borderId="8" xfId="0" applyFont="1" applyBorder="1" applyAlignment="1" applyProtection="1">
      <alignment horizontal="center"/>
      <protection hidden="1"/>
    </xf>
    <xf numFmtId="0" fontId="5" fillId="0" borderId="9" xfId="0" applyFont="1" applyBorder="1" applyAlignment="1" applyProtection="1">
      <alignment horizontal="center"/>
      <protection hidden="1"/>
    </xf>
    <xf numFmtId="0" fontId="5" fillId="0" borderId="17" xfId="0" applyFont="1" applyBorder="1" applyAlignment="1" applyProtection="1">
      <alignment horizontal="center"/>
      <protection hidden="1"/>
    </xf>
    <xf numFmtId="0" fontId="21" fillId="0" borderId="10" xfId="0" applyFont="1" applyBorder="1" applyAlignment="1" applyProtection="1">
      <alignment horizontal="left"/>
      <protection hidden="1"/>
    </xf>
    <xf numFmtId="0" fontId="21" fillId="0" borderId="11" xfId="0" applyFont="1" applyBorder="1" applyAlignment="1" applyProtection="1">
      <alignment horizontal="left"/>
      <protection hidden="1"/>
    </xf>
    <xf numFmtId="0" fontId="21" fillId="0" borderId="12" xfId="0" applyFont="1" applyBorder="1" applyAlignment="1" applyProtection="1">
      <alignment horizontal="left"/>
      <protection hidden="1"/>
    </xf>
    <xf numFmtId="0" fontId="4" fillId="0" borderId="55" xfId="0" applyFont="1" applyBorder="1" applyAlignment="1" applyProtection="1">
      <alignment horizontal="center" vertical="center" wrapText="1"/>
      <protection hidden="1"/>
    </xf>
    <xf numFmtId="0" fontId="4" fillId="0" borderId="39" xfId="0" applyFont="1" applyBorder="1" applyAlignment="1" applyProtection="1">
      <alignment horizontal="center" vertical="center" wrapText="1"/>
      <protection hidden="1"/>
    </xf>
    <xf numFmtId="0" fontId="4" fillId="0" borderId="40" xfId="0" applyFont="1" applyBorder="1" applyAlignment="1" applyProtection="1">
      <alignment horizontal="center" vertical="center" wrapText="1"/>
      <protection hidden="1"/>
    </xf>
    <xf numFmtId="0" fontId="4" fillId="0" borderId="41" xfId="0" applyFont="1" applyBorder="1" applyAlignment="1" applyProtection="1">
      <alignment horizontal="center" vertical="center" wrapText="1"/>
      <protection hidden="1"/>
    </xf>
    <xf numFmtId="0" fontId="4" fillId="0" borderId="44" xfId="0" applyFont="1" applyBorder="1" applyAlignment="1" applyProtection="1">
      <alignment horizontal="center" vertical="center" wrapText="1"/>
      <protection hidden="1"/>
    </xf>
    <xf numFmtId="0" fontId="0" fillId="2" borderId="48" xfId="0" applyFill="1" applyBorder="1" applyAlignment="1" applyProtection="1">
      <alignment horizontal="right"/>
      <protection hidden="1"/>
    </xf>
    <xf numFmtId="0" fontId="0" fillId="2" borderId="49" xfId="0" applyFill="1" applyBorder="1" applyAlignment="1" applyProtection="1">
      <alignment horizontal="right"/>
      <protection hidden="1"/>
    </xf>
    <xf numFmtId="0" fontId="0" fillId="2" borderId="24" xfId="0" applyFill="1" applyBorder="1" applyAlignment="1" applyProtection="1">
      <alignment horizontal="right"/>
      <protection hidden="1"/>
    </xf>
    <xf numFmtId="0" fontId="0" fillId="2" borderId="33" xfId="0" applyFill="1" applyBorder="1" applyAlignment="1" applyProtection="1">
      <alignment horizontal="right" wrapText="1"/>
      <protection hidden="1"/>
    </xf>
    <xf numFmtId="0" fontId="0" fillId="2" borderId="19" xfId="0" applyFill="1" applyBorder="1" applyAlignment="1" applyProtection="1">
      <alignment horizontal="right" wrapText="1"/>
      <protection hidden="1"/>
    </xf>
    <xf numFmtId="0" fontId="0" fillId="2" borderId="34" xfId="0" applyFill="1" applyBorder="1" applyAlignment="1" applyProtection="1">
      <alignment horizontal="right" wrapText="1"/>
      <protection hidden="1"/>
    </xf>
    <xf numFmtId="0" fontId="5" fillId="0" borderId="79" xfId="0" applyFont="1" applyBorder="1" applyAlignment="1" applyProtection="1">
      <alignment horizontal="center"/>
      <protection hidden="1"/>
    </xf>
    <xf numFmtId="0" fontId="5" fillId="0" borderId="80" xfId="0" applyFont="1" applyBorder="1" applyAlignment="1" applyProtection="1">
      <alignment horizontal="center"/>
      <protection hidden="1"/>
    </xf>
    <xf numFmtId="0" fontId="5" fillId="0" borderId="31" xfId="0" applyFont="1" applyBorder="1" applyAlignment="1" applyProtection="1">
      <alignment horizontal="center"/>
      <protection hidden="1"/>
    </xf>
    <xf numFmtId="0" fontId="5" fillId="0" borderId="32" xfId="0" applyFont="1" applyBorder="1" applyAlignment="1" applyProtection="1">
      <alignment horizontal="center"/>
      <protection hidden="1"/>
    </xf>
    <xf numFmtId="0" fontId="5" fillId="0" borderId="81" xfId="0" applyFont="1" applyBorder="1" applyAlignment="1" applyProtection="1">
      <alignment horizontal="center"/>
      <protection hidden="1"/>
    </xf>
    <xf numFmtId="0" fontId="13" fillId="0" borderId="10" xfId="0" applyFont="1" applyBorder="1" applyAlignment="1" applyProtection="1">
      <alignment horizontal="center"/>
      <protection hidden="1"/>
    </xf>
    <xf numFmtId="0" fontId="13" fillId="0" borderId="11" xfId="0" applyFont="1" applyBorder="1" applyAlignment="1" applyProtection="1">
      <alignment horizontal="center"/>
      <protection hidden="1"/>
    </xf>
    <xf numFmtId="0" fontId="13" fillId="0" borderId="12" xfId="0" applyFont="1" applyBorder="1" applyAlignment="1" applyProtection="1">
      <alignment horizontal="center"/>
      <protection hidden="1"/>
    </xf>
    <xf numFmtId="0" fontId="0" fillId="0" borderId="56" xfId="0" applyBorder="1" applyAlignment="1" applyProtection="1">
      <alignment horizontal="left"/>
      <protection hidden="1"/>
    </xf>
    <xf numFmtId="0" fontId="0" fillId="0" borderId="57" xfId="0" applyBorder="1" applyAlignment="1" applyProtection="1">
      <alignment horizontal="left"/>
      <protection hidden="1"/>
    </xf>
    <xf numFmtId="0" fontId="0" fillId="0" borderId="58" xfId="0" applyBorder="1" applyAlignment="1" applyProtection="1">
      <alignment horizontal="left"/>
      <protection hidden="1"/>
    </xf>
    <xf numFmtId="0" fontId="0" fillId="2" borderId="62" xfId="0" applyFill="1" applyBorder="1" applyAlignment="1" applyProtection="1">
      <alignment horizontal="right"/>
      <protection hidden="1"/>
    </xf>
    <xf numFmtId="0" fontId="0" fillId="2" borderId="63" xfId="0" applyFill="1" applyBorder="1" applyAlignment="1" applyProtection="1">
      <alignment horizontal="right"/>
      <protection hidden="1"/>
    </xf>
    <xf numFmtId="0" fontId="0" fillId="2" borderId="26" xfId="0" applyFill="1" applyBorder="1" applyAlignment="1" applyProtection="1">
      <alignment horizontal="right"/>
      <protection hidden="1"/>
    </xf>
    <xf numFmtId="0" fontId="13" fillId="12" borderId="59" xfId="0" applyFont="1" applyFill="1" applyBorder="1" applyAlignment="1" applyProtection="1">
      <alignment horizontal="left" vertical="center" shrinkToFit="1"/>
      <protection locked="0"/>
    </xf>
    <xf numFmtId="0" fontId="13" fillId="12" borderId="46" xfId="0" applyFont="1" applyFill="1" applyBorder="1" applyAlignment="1" applyProtection="1">
      <alignment horizontal="left" vertical="center" shrinkToFit="1"/>
      <protection locked="0"/>
    </xf>
    <xf numFmtId="1" fontId="15" fillId="13" borderId="80" xfId="0" applyNumberFormat="1" applyFont="1" applyFill="1" applyBorder="1" applyAlignment="1" applyProtection="1">
      <alignment horizontal="center" vertical="center" wrapText="1"/>
      <protection locked="0" hidden="1"/>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0" borderId="39" xfId="0" applyFont="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2"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5" fillId="0" borderId="63" xfId="0" applyFont="1" applyBorder="1" applyAlignment="1" applyProtection="1">
      <alignment horizontal="center" vertical="center" wrapText="1"/>
      <protection hidden="1"/>
    </xf>
    <xf numFmtId="0" fontId="5" fillId="0" borderId="77" xfId="0" applyFont="1" applyBorder="1" applyAlignment="1" applyProtection="1">
      <alignment horizontal="center" vertical="center" wrapText="1"/>
      <protection hidden="1"/>
    </xf>
    <xf numFmtId="0" fontId="21" fillId="0" borderId="16" xfId="0" applyFont="1" applyBorder="1" applyAlignment="1" applyProtection="1">
      <alignment horizontal="left"/>
      <protection hidden="1"/>
    </xf>
    <xf numFmtId="0" fontId="21" fillId="0" borderId="13" xfId="0" applyFont="1" applyBorder="1" applyAlignment="1" applyProtection="1">
      <alignment horizontal="left"/>
      <protection hidden="1"/>
    </xf>
    <xf numFmtId="0" fontId="21" fillId="0" borderId="14" xfId="0" applyFont="1" applyBorder="1" applyAlignment="1" applyProtection="1">
      <alignment horizontal="left"/>
      <protection hidden="1"/>
    </xf>
    <xf numFmtId="0" fontId="13" fillId="12" borderId="59" xfId="0" applyFont="1" applyFill="1" applyBorder="1" applyAlignment="1" applyProtection="1">
      <alignment horizontal="center" shrinkToFit="1"/>
      <protection locked="0"/>
    </xf>
    <xf numFmtId="0" fontId="13" fillId="12" borderId="46" xfId="0" applyFont="1" applyFill="1" applyBorder="1" applyAlignment="1" applyProtection="1">
      <alignment horizontal="center" shrinkToFit="1"/>
      <protection locked="0"/>
    </xf>
    <xf numFmtId="0" fontId="13" fillId="12" borderId="60" xfId="0" applyFont="1" applyFill="1" applyBorder="1" applyAlignment="1" applyProtection="1">
      <alignment horizontal="center" shrinkToFit="1"/>
      <protection locked="0"/>
    </xf>
    <xf numFmtId="0" fontId="5" fillId="0" borderId="42" xfId="0" applyFont="1" applyBorder="1" applyAlignment="1" applyProtection="1">
      <alignment horizontal="center"/>
      <protection hidden="1"/>
    </xf>
    <xf numFmtId="0" fontId="5" fillId="0" borderId="43" xfId="0" applyFont="1" applyBorder="1" applyAlignment="1" applyProtection="1">
      <alignment horizontal="center"/>
      <protection hidden="1"/>
    </xf>
    <xf numFmtId="1" fontId="3" fillId="13" borderId="56" xfId="0" applyNumberFormat="1" applyFont="1" applyFill="1" applyBorder="1" applyAlignment="1" applyProtection="1">
      <alignment horizontal="center"/>
      <protection locked="0" hidden="1"/>
    </xf>
    <xf numFmtId="1" fontId="3" fillId="13" borderId="57" xfId="0" applyNumberFormat="1" applyFont="1" applyFill="1" applyBorder="1" applyAlignment="1" applyProtection="1">
      <alignment horizontal="center"/>
      <protection locked="0" hidden="1"/>
    </xf>
    <xf numFmtId="1" fontId="3" fillId="13" borderId="58" xfId="0" applyNumberFormat="1" applyFont="1" applyFill="1" applyBorder="1" applyAlignment="1" applyProtection="1">
      <alignment horizontal="center"/>
      <protection locked="0" hidden="1"/>
    </xf>
    <xf numFmtId="0" fontId="18" fillId="0" borderId="68" xfId="0" applyFont="1" applyBorder="1" applyAlignment="1" applyProtection="1">
      <alignment horizontal="center" vertical="center" wrapText="1"/>
      <protection hidden="1"/>
    </xf>
    <xf numFmtId="0" fontId="18" fillId="0" borderId="55" xfId="0" applyFont="1" applyBorder="1" applyAlignment="1" applyProtection="1">
      <alignment horizontal="center" vertical="center" wrapText="1"/>
      <protection hidden="1"/>
    </xf>
    <xf numFmtId="0" fontId="18" fillId="0" borderId="52" xfId="0" applyFont="1" applyBorder="1" applyAlignment="1" applyProtection="1">
      <alignment horizontal="center" vertical="center" wrapText="1"/>
      <protection hidden="1"/>
    </xf>
    <xf numFmtId="0" fontId="18" fillId="0" borderId="41" xfId="0" applyFont="1" applyBorder="1" applyAlignment="1" applyProtection="1">
      <alignment horizontal="center" vertical="center" wrapText="1"/>
      <protection hidden="1"/>
    </xf>
    <xf numFmtId="0" fontId="5" fillId="0" borderId="44" xfId="0" applyFont="1" applyBorder="1" applyAlignment="1" applyProtection="1">
      <alignment horizontal="center"/>
      <protection hidden="1"/>
    </xf>
    <xf numFmtId="3" fontId="32" fillId="13" borderId="24" xfId="0" applyNumberFormat="1" applyFont="1" applyFill="1" applyBorder="1" applyAlignment="1" applyProtection="1">
      <alignment horizontal="center" vertical="center" shrinkToFit="1"/>
      <protection locked="0" hidden="1"/>
    </xf>
    <xf numFmtId="3" fontId="32" fillId="13" borderId="25" xfId="0" applyNumberFormat="1" applyFont="1" applyFill="1" applyBorder="1" applyAlignment="1" applyProtection="1">
      <alignment horizontal="center" vertical="center" shrinkToFit="1"/>
      <protection locked="0" hidden="1"/>
    </xf>
    <xf numFmtId="3" fontId="32" fillId="13" borderId="27" xfId="0" applyNumberFormat="1" applyFont="1" applyFill="1" applyBorder="1" applyAlignment="1" applyProtection="1">
      <alignment horizontal="center" vertical="center" shrinkToFit="1"/>
      <protection locked="0" hidden="1"/>
    </xf>
    <xf numFmtId="3" fontId="32" fillId="13" borderId="28" xfId="0" applyNumberFormat="1" applyFont="1" applyFill="1" applyBorder="1" applyAlignment="1" applyProtection="1">
      <alignment horizontal="center" vertical="center" shrinkToFit="1"/>
      <protection locked="0" hidden="1"/>
    </xf>
    <xf numFmtId="0" fontId="4" fillId="0" borderId="51" xfId="0" applyFont="1" applyBorder="1" applyAlignment="1" applyProtection="1">
      <alignment horizontal="center" vertical="center" wrapText="1"/>
      <protection hidden="1"/>
    </xf>
    <xf numFmtId="1" fontId="15" fillId="13" borderId="59" xfId="0" applyNumberFormat="1" applyFont="1" applyFill="1" applyBorder="1" applyAlignment="1" applyProtection="1">
      <alignment horizontal="center" vertical="center" wrapText="1"/>
      <protection locked="0" hidden="1"/>
    </xf>
    <xf numFmtId="1" fontId="15" fillId="13" borderId="46" xfId="0" applyNumberFormat="1" applyFont="1" applyFill="1" applyBorder="1" applyAlignment="1" applyProtection="1">
      <alignment horizontal="center" vertical="center" wrapText="1"/>
      <protection locked="0" hidden="1"/>
    </xf>
    <xf numFmtId="0" fontId="4" fillId="12" borderId="48" xfId="0" applyNumberFormat="1" applyFont="1" applyFill="1" applyBorder="1" applyAlignment="1" applyProtection="1">
      <alignment horizontal="center" shrinkToFit="1"/>
      <protection locked="0"/>
    </xf>
    <xf numFmtId="0" fontId="4" fillId="12" borderId="49" xfId="0" applyNumberFormat="1" applyFont="1" applyFill="1" applyBorder="1" applyAlignment="1" applyProtection="1">
      <alignment horizontal="center" shrinkToFit="1"/>
      <protection locked="0"/>
    </xf>
    <xf numFmtId="3" fontId="4" fillId="12" borderId="51" xfId="0" applyNumberFormat="1" applyFont="1" applyFill="1" applyBorder="1" applyAlignment="1" applyProtection="1">
      <alignment horizontal="center" shrinkToFit="1"/>
      <protection locked="0"/>
    </xf>
    <xf numFmtId="3" fontId="32" fillId="13" borderId="36" xfId="0" applyNumberFormat="1" applyFont="1" applyFill="1" applyBorder="1" applyAlignment="1" applyProtection="1">
      <alignment horizontal="center" vertical="center" shrinkToFit="1"/>
      <protection locked="0" hidden="1"/>
    </xf>
    <xf numFmtId="0" fontId="0" fillId="0" borderId="8" xfId="0" applyBorder="1" applyAlignment="1" applyProtection="1">
      <alignment horizontal="left" shrinkToFit="1"/>
      <protection hidden="1"/>
    </xf>
    <xf numFmtId="0" fontId="0" fillId="0" borderId="9" xfId="0" applyBorder="1" applyAlignment="1" applyProtection="1">
      <alignment horizontal="left" shrinkToFit="1"/>
      <protection hidden="1"/>
    </xf>
    <xf numFmtId="0" fontId="0" fillId="0" borderId="17" xfId="0" applyBorder="1" applyAlignment="1" applyProtection="1">
      <alignment horizontal="left" shrinkToFit="1"/>
      <protection hidden="1"/>
    </xf>
    <xf numFmtId="3" fontId="4" fillId="12" borderId="45" xfId="0" applyNumberFormat="1" applyFont="1" applyFill="1" applyBorder="1" applyAlignment="1" applyProtection="1">
      <alignment horizontal="center" shrinkToFit="1"/>
      <protection locked="0"/>
    </xf>
    <xf numFmtId="3" fontId="4" fillId="12" borderId="23" xfId="0" applyNumberFormat="1" applyFont="1" applyFill="1" applyBorder="1" applyAlignment="1" applyProtection="1">
      <alignment horizontal="center" shrinkToFit="1"/>
      <protection locked="0"/>
    </xf>
    <xf numFmtId="3" fontId="4" fillId="12" borderId="24" xfId="0" applyNumberFormat="1" applyFont="1" applyFill="1" applyBorder="1" applyAlignment="1" applyProtection="1">
      <alignment horizontal="center" shrinkToFit="1"/>
      <protection locked="0"/>
    </xf>
    <xf numFmtId="3" fontId="4" fillId="12" borderId="25" xfId="0" applyNumberFormat="1" applyFont="1" applyFill="1" applyBorder="1" applyAlignment="1" applyProtection="1">
      <alignment horizontal="center" shrinkToFit="1"/>
      <protection locked="0"/>
    </xf>
    <xf numFmtId="1" fontId="15" fillId="13" borderId="45" xfId="0" applyNumberFormat="1" applyFont="1" applyFill="1" applyBorder="1" applyAlignment="1" applyProtection="1">
      <alignment horizontal="center" vertical="center" wrapText="1"/>
      <protection locked="0" hidden="1"/>
    </xf>
    <xf numFmtId="1" fontId="15" fillId="13" borderId="60" xfId="0" applyNumberFormat="1" applyFont="1" applyFill="1" applyBorder="1" applyAlignment="1" applyProtection="1">
      <alignment horizontal="center" vertical="center" wrapText="1"/>
      <protection locked="0" hidden="1"/>
    </xf>
    <xf numFmtId="0" fontId="4" fillId="12" borderId="59" xfId="0" applyNumberFormat="1" applyFont="1" applyFill="1" applyBorder="1" applyAlignment="1" applyProtection="1">
      <alignment horizontal="center" shrinkToFit="1"/>
      <protection locked="0"/>
    </xf>
    <xf numFmtId="0" fontId="5" fillId="0" borderId="59" xfId="0" applyFont="1" applyFill="1" applyBorder="1" applyAlignment="1" applyProtection="1">
      <alignment horizontal="center" vertical="center" wrapText="1"/>
      <protection hidden="1"/>
    </xf>
    <xf numFmtId="0" fontId="8" fillId="0" borderId="0" xfId="0" applyFont="1" applyBorder="1" applyAlignment="1" applyProtection="1">
      <alignment horizontal="center"/>
      <protection hidden="1"/>
    </xf>
    <xf numFmtId="0" fontId="8" fillId="0" borderId="15" xfId="0" applyFont="1" applyBorder="1" applyAlignment="1" applyProtection="1">
      <alignment horizontal="center"/>
      <protection hidden="1"/>
    </xf>
    <xf numFmtId="0" fontId="3" fillId="13" borderId="46" xfId="0" applyFont="1" applyFill="1" applyBorder="1" applyAlignment="1" applyProtection="1">
      <alignment horizontal="center" vertical="center" shrinkToFit="1"/>
      <protection locked="0" hidden="1"/>
    </xf>
    <xf numFmtId="0" fontId="3" fillId="13" borderId="60" xfId="0" applyFont="1" applyFill="1" applyBorder="1" applyAlignment="1" applyProtection="1">
      <alignment horizontal="center" vertical="center" shrinkToFit="1"/>
      <protection locked="0" hidden="1"/>
    </xf>
    <xf numFmtId="0" fontId="11" fillId="2" borderId="33" xfId="0" applyFont="1" applyFill="1" applyBorder="1" applyAlignment="1" applyProtection="1">
      <alignment horizontal="left" shrinkToFit="1"/>
      <protection hidden="1"/>
    </xf>
    <xf numFmtId="0" fontId="11" fillId="2" borderId="19" xfId="0" applyFont="1" applyFill="1" applyBorder="1" applyAlignment="1" applyProtection="1">
      <alignment horizontal="left" shrinkToFit="1"/>
      <protection hidden="1"/>
    </xf>
    <xf numFmtId="0" fontId="11" fillId="2" borderId="34" xfId="0" applyFont="1" applyFill="1" applyBorder="1" applyAlignment="1" applyProtection="1">
      <alignment horizontal="left" shrinkToFit="1"/>
      <protection hidden="1"/>
    </xf>
    <xf numFmtId="0" fontId="0" fillId="2" borderId="0" xfId="0" applyFill="1" applyAlignment="1" applyProtection="1">
      <alignment horizontal="left"/>
      <protection hidden="1"/>
    </xf>
    <xf numFmtId="10" fontId="3" fillId="13" borderId="30" xfId="0" applyNumberFormat="1" applyFont="1" applyFill="1" applyBorder="1" applyAlignment="1" applyProtection="1">
      <alignment horizontal="center" shrinkToFit="1"/>
      <protection locked="0" hidden="1"/>
    </xf>
    <xf numFmtId="10" fontId="3" fillId="13" borderId="26" xfId="0" applyNumberFormat="1" applyFont="1" applyFill="1" applyBorder="1" applyAlignment="1" applyProtection="1">
      <alignment horizontal="center" shrinkToFit="1"/>
      <protection locked="0" hidden="1"/>
    </xf>
    <xf numFmtId="10" fontId="13" fillId="12" borderId="48" xfId="0" applyNumberFormat="1" applyFont="1" applyFill="1" applyBorder="1" applyAlignment="1" applyProtection="1">
      <alignment horizontal="center" shrinkToFit="1"/>
      <protection locked="0"/>
    </xf>
    <xf numFmtId="10" fontId="13" fillId="12" borderId="49" xfId="0" applyNumberFormat="1" applyFont="1" applyFill="1" applyBorder="1" applyAlignment="1" applyProtection="1">
      <alignment horizontal="center" shrinkToFit="1"/>
      <protection locked="0"/>
    </xf>
    <xf numFmtId="10" fontId="13" fillId="12" borderId="50" xfId="0" applyNumberFormat="1" applyFont="1" applyFill="1" applyBorder="1" applyAlignment="1" applyProtection="1">
      <alignment horizontal="center" shrinkToFit="1"/>
      <protection locked="0"/>
    </xf>
    <xf numFmtId="14" fontId="29" fillId="9" borderId="0" xfId="0" applyNumberFormat="1" applyFont="1" applyFill="1" applyAlignment="1" applyProtection="1">
      <alignment horizontal="center" shrinkToFit="1"/>
      <protection hidden="1"/>
    </xf>
    <xf numFmtId="0" fontId="4" fillId="2" borderId="10" xfId="0" applyFont="1" applyFill="1" applyBorder="1" applyAlignment="1" applyProtection="1">
      <alignment horizontal="center"/>
      <protection locked="0" hidden="1"/>
    </xf>
    <xf numFmtId="0" fontId="4" fillId="2" borderId="11" xfId="0" applyFont="1" applyFill="1" applyBorder="1" applyAlignment="1" applyProtection="1">
      <alignment horizontal="center"/>
      <protection locked="0" hidden="1"/>
    </xf>
    <xf numFmtId="0" fontId="5" fillId="0" borderId="16" xfId="0" applyFont="1" applyBorder="1" applyAlignment="1" applyProtection="1">
      <alignment horizontal="center" vertical="center"/>
      <protection hidden="1"/>
    </xf>
    <xf numFmtId="0" fontId="5" fillId="0" borderId="13" xfId="0" applyFont="1" applyBorder="1" applyAlignment="1" applyProtection="1">
      <alignment horizontal="center" vertical="center"/>
      <protection hidden="1"/>
    </xf>
    <xf numFmtId="0" fontId="5" fillId="0" borderId="14"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0" fontId="4" fillId="2" borderId="0" xfId="0" applyFont="1" applyFill="1" applyAlignment="1" applyProtection="1">
      <alignment horizontal="left" shrinkToFit="1"/>
      <protection hidden="1"/>
    </xf>
    <xf numFmtId="10" fontId="13" fillId="12" borderId="61" xfId="0" applyNumberFormat="1" applyFont="1" applyFill="1" applyBorder="1" applyAlignment="1" applyProtection="1">
      <alignment horizontal="center" shrinkToFit="1"/>
      <protection locked="0"/>
    </xf>
    <xf numFmtId="10" fontId="13" fillId="12" borderId="27" xfId="0" applyNumberFormat="1" applyFont="1" applyFill="1" applyBorder="1" applyAlignment="1" applyProtection="1">
      <alignment horizontal="center" shrinkToFit="1"/>
      <protection locked="0"/>
    </xf>
    <xf numFmtId="10" fontId="13" fillId="12" borderId="28" xfId="0" applyNumberFormat="1" applyFont="1" applyFill="1" applyBorder="1" applyAlignment="1" applyProtection="1">
      <alignment horizontal="center" shrinkToFit="1"/>
      <protection locked="0"/>
    </xf>
    <xf numFmtId="0" fontId="8" fillId="0" borderId="71" xfId="0" applyFont="1" applyBorder="1" applyAlignment="1" applyProtection="1">
      <alignment horizontal="left"/>
      <protection hidden="1"/>
    </xf>
    <xf numFmtId="0" fontId="8" fillId="0" borderId="66" xfId="0" applyFont="1" applyBorder="1" applyAlignment="1" applyProtection="1">
      <alignment horizontal="left"/>
      <protection hidden="1"/>
    </xf>
    <xf numFmtId="0" fontId="8" fillId="0" borderId="23" xfId="0" applyFont="1" applyBorder="1" applyAlignment="1" applyProtection="1">
      <alignment horizontal="left"/>
      <protection hidden="1"/>
    </xf>
    <xf numFmtId="3" fontId="4" fillId="12" borderId="36" xfId="0" applyNumberFormat="1" applyFont="1" applyFill="1" applyBorder="1" applyAlignment="1" applyProtection="1">
      <alignment horizontal="center" shrinkToFit="1"/>
      <protection locked="0"/>
    </xf>
    <xf numFmtId="0" fontId="4" fillId="12" borderId="69" xfId="0" applyNumberFormat="1" applyFont="1" applyFill="1" applyBorder="1" applyAlignment="1" applyProtection="1">
      <alignment horizontal="center" shrinkToFit="1"/>
      <protection locked="0"/>
    </xf>
    <xf numFmtId="0" fontId="4" fillId="12" borderId="50" xfId="0" applyNumberFormat="1" applyFont="1" applyFill="1" applyBorder="1" applyAlignment="1" applyProtection="1">
      <alignment horizontal="center" shrinkToFit="1"/>
      <protection locked="0"/>
    </xf>
    <xf numFmtId="3" fontId="31" fillId="12" borderId="25" xfId="0" applyNumberFormat="1" applyFont="1" applyFill="1" applyBorder="1" applyAlignment="1" applyProtection="1">
      <alignment horizontal="center" vertical="center" shrinkToFit="1"/>
      <protection locked="0"/>
    </xf>
    <xf numFmtId="0" fontId="8" fillId="0" borderId="42" xfId="0" applyFont="1" applyBorder="1" applyAlignment="1" applyProtection="1">
      <alignment horizontal="center" vertical="center" wrapText="1"/>
      <protection hidden="1"/>
    </xf>
    <xf numFmtId="0" fontId="8" fillId="0" borderId="43" xfId="0" applyFont="1" applyBorder="1" applyAlignment="1" applyProtection="1">
      <alignment horizontal="center" vertical="center" wrapText="1"/>
      <protection hidden="1"/>
    </xf>
    <xf numFmtId="0" fontId="8" fillId="0" borderId="45" xfId="0" applyFont="1" applyBorder="1" applyAlignment="1" applyProtection="1">
      <alignment horizontal="center" vertical="center" wrapText="1"/>
      <protection hidden="1"/>
    </xf>
    <xf numFmtId="0" fontId="8" fillId="0" borderId="59" xfId="0" applyFont="1" applyBorder="1" applyAlignment="1" applyProtection="1">
      <alignment horizontal="left" vertical="center" wrapText="1"/>
      <protection hidden="1"/>
    </xf>
    <xf numFmtId="0" fontId="8" fillId="0" borderId="46" xfId="0" applyFont="1" applyBorder="1" applyAlignment="1" applyProtection="1">
      <alignment horizontal="left" vertical="center" wrapText="1"/>
      <protection hidden="1"/>
    </xf>
    <xf numFmtId="0" fontId="8" fillId="0" borderId="60" xfId="0" applyFont="1" applyBorder="1" applyAlignment="1" applyProtection="1">
      <alignment horizontal="left" vertical="center" wrapText="1"/>
      <protection hidden="1"/>
    </xf>
    <xf numFmtId="0" fontId="8" fillId="0" borderId="64" xfId="0" applyFont="1" applyBorder="1" applyAlignment="1" applyProtection="1">
      <alignment horizontal="center" vertical="center" wrapText="1"/>
      <protection hidden="1"/>
    </xf>
    <xf numFmtId="3" fontId="4" fillId="13" borderId="9" xfId="0" applyNumberFormat="1" applyFont="1" applyFill="1" applyBorder="1" applyAlignment="1" applyProtection="1">
      <alignment vertical="center" shrinkToFit="1"/>
      <protection locked="0" hidden="1"/>
    </xf>
    <xf numFmtId="3" fontId="13" fillId="12" borderId="76" xfId="0" applyNumberFormat="1" applyFont="1" applyFill="1" applyBorder="1" applyAlignment="1" applyProtection="1">
      <alignment horizontal="center" vertical="center" shrinkToFit="1"/>
      <protection locked="0"/>
    </xf>
    <xf numFmtId="0" fontId="8" fillId="0" borderId="62" xfId="0" applyFont="1" applyBorder="1" applyAlignment="1" applyProtection="1">
      <alignment horizontal="center" vertical="center" wrapText="1"/>
      <protection hidden="1"/>
    </xf>
    <xf numFmtId="0" fontId="8" fillId="0" borderId="63"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25" fillId="0" borderId="56" xfId="0" applyFont="1" applyBorder="1" applyAlignment="1" applyProtection="1">
      <alignment horizontal="center" vertical="center" wrapText="1"/>
      <protection hidden="1"/>
    </xf>
    <xf numFmtId="0" fontId="25" fillId="0" borderId="57" xfId="0" applyFont="1" applyBorder="1" applyAlignment="1" applyProtection="1">
      <alignment horizontal="center" vertical="center" wrapText="1"/>
      <protection hidden="1"/>
    </xf>
    <xf numFmtId="0" fontId="25" fillId="0" borderId="64" xfId="0" applyFont="1" applyBorder="1" applyAlignment="1" applyProtection="1">
      <alignment horizontal="center" vertical="center" wrapText="1"/>
      <protection hidden="1"/>
    </xf>
    <xf numFmtId="0" fontId="25" fillId="0" borderId="62" xfId="0" applyFont="1" applyBorder="1" applyAlignment="1" applyProtection="1">
      <alignment horizontal="center" vertical="center" wrapText="1"/>
      <protection hidden="1"/>
    </xf>
    <xf numFmtId="0" fontId="25" fillId="0" borderId="63" xfId="0" applyFont="1" applyBorder="1" applyAlignment="1" applyProtection="1">
      <alignment horizontal="center" vertical="center" wrapText="1"/>
      <protection hidden="1"/>
    </xf>
    <xf numFmtId="0" fontId="25" fillId="0" borderId="26" xfId="0" applyFont="1" applyBorder="1" applyAlignment="1" applyProtection="1">
      <alignment horizontal="center" vertical="center" wrapText="1"/>
      <protection hidden="1"/>
    </xf>
    <xf numFmtId="3" fontId="4" fillId="0" borderId="62" xfId="0" applyNumberFormat="1" applyFont="1" applyBorder="1" applyAlignment="1" applyProtection="1">
      <alignment horizontal="center" vertical="center" wrapText="1"/>
      <protection hidden="1"/>
    </xf>
    <xf numFmtId="3" fontId="4" fillId="0" borderId="30" xfId="0" applyNumberFormat="1" applyFont="1" applyBorder="1" applyAlignment="1" applyProtection="1">
      <alignment horizontal="center" vertical="center" wrapText="1"/>
      <protection hidden="1"/>
    </xf>
    <xf numFmtId="3" fontId="4" fillId="0" borderId="63" xfId="0" applyNumberFormat="1" applyFont="1" applyBorder="1" applyAlignment="1" applyProtection="1">
      <alignment horizontal="center" vertical="center" wrapText="1"/>
      <protection hidden="1"/>
    </xf>
    <xf numFmtId="3" fontId="4" fillId="0" borderId="26" xfId="0" applyNumberFormat="1" applyFont="1" applyBorder="1" applyAlignment="1" applyProtection="1">
      <alignment horizontal="center" vertical="center" wrapText="1"/>
      <protection hidden="1"/>
    </xf>
    <xf numFmtId="1" fontId="3" fillId="13" borderId="13" xfId="0" applyNumberFormat="1" applyFont="1" applyFill="1" applyBorder="1" applyAlignment="1" applyProtection="1">
      <alignment horizontal="center"/>
      <protection locked="0" hidden="1"/>
    </xf>
    <xf numFmtId="0" fontId="5" fillId="0" borderId="59" xfId="0" applyFont="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1" fontId="3" fillId="13" borderId="53" xfId="0" applyNumberFormat="1" applyFont="1" applyFill="1" applyBorder="1" applyAlignment="1" applyProtection="1">
      <alignment horizontal="center" vertical="center"/>
      <protection locked="0" hidden="1"/>
    </xf>
    <xf numFmtId="1" fontId="3" fillId="13" borderId="54" xfId="0" applyNumberFormat="1" applyFont="1" applyFill="1" applyBorder="1" applyAlignment="1" applyProtection="1">
      <alignment horizontal="center" vertical="center"/>
      <protection locked="0" hidden="1"/>
    </xf>
    <xf numFmtId="1" fontId="3" fillId="13" borderId="69" xfId="0" applyNumberFormat="1" applyFont="1" applyFill="1" applyBorder="1" applyAlignment="1" applyProtection="1">
      <alignment horizontal="center" vertical="center"/>
      <protection locked="0" hidden="1"/>
    </xf>
    <xf numFmtId="1" fontId="3" fillId="13" borderId="42" xfId="0" applyNumberFormat="1" applyFont="1" applyFill="1" applyBorder="1" applyAlignment="1" applyProtection="1">
      <alignment horizontal="center" vertical="center"/>
      <protection locked="0" hidden="1"/>
    </xf>
    <xf numFmtId="1" fontId="3" fillId="13" borderId="43" xfId="0" applyNumberFormat="1" applyFont="1" applyFill="1" applyBorder="1" applyAlignment="1" applyProtection="1">
      <alignment horizontal="center" vertical="center"/>
      <protection locked="0" hidden="1"/>
    </xf>
    <xf numFmtId="1" fontId="3" fillId="13" borderId="45" xfId="0" applyNumberFormat="1" applyFont="1" applyFill="1" applyBorder="1" applyAlignment="1" applyProtection="1">
      <alignment horizontal="center" vertical="center"/>
      <protection locked="0" hidden="1"/>
    </xf>
    <xf numFmtId="0" fontId="20" fillId="0" borderId="33" xfId="0" applyFont="1" applyBorder="1" applyAlignment="1" applyProtection="1">
      <alignment horizontal="left" wrapText="1"/>
      <protection hidden="1"/>
    </xf>
    <xf numFmtId="0" fontId="20" fillId="0" borderId="19" xfId="0" applyFont="1" applyBorder="1" applyAlignment="1" applyProtection="1">
      <alignment horizontal="left" wrapText="1"/>
      <protection hidden="1"/>
    </xf>
    <xf numFmtId="0" fontId="20" fillId="0" borderId="34" xfId="0" applyFont="1" applyBorder="1" applyAlignment="1" applyProtection="1">
      <alignment horizontal="left" wrapText="1"/>
      <protection hidden="1"/>
    </xf>
    <xf numFmtId="0" fontId="0" fillId="2" borderId="61" xfId="0" applyFill="1" applyBorder="1" applyAlignment="1" applyProtection="1">
      <alignment horizontal="right"/>
      <protection hidden="1"/>
    </xf>
    <xf numFmtId="0" fontId="0" fillId="2" borderId="27" xfId="0" applyFill="1" applyBorder="1" applyAlignment="1" applyProtection="1">
      <alignment horizontal="right"/>
      <protection hidden="1"/>
    </xf>
    <xf numFmtId="3" fontId="3" fillId="13" borderId="29" xfId="0" applyNumberFormat="1" applyFont="1" applyFill="1" applyBorder="1" applyAlignment="1" applyProtection="1">
      <alignment horizontal="center" vertical="center" shrinkToFit="1"/>
      <protection locked="0" hidden="1"/>
    </xf>
    <xf numFmtId="3" fontId="3" fillId="13" borderId="66" xfId="0" applyNumberFormat="1" applyFont="1" applyFill="1" applyBorder="1" applyAlignment="1" applyProtection="1">
      <alignment horizontal="center" vertical="center" shrinkToFit="1"/>
      <protection locked="0" hidden="1"/>
    </xf>
    <xf numFmtId="3" fontId="3" fillId="13" borderId="67" xfId="0" applyNumberFormat="1" applyFont="1" applyFill="1" applyBorder="1" applyAlignment="1" applyProtection="1">
      <alignment horizontal="center" vertical="center" shrinkToFit="1"/>
      <protection locked="0" hidden="1"/>
    </xf>
    <xf numFmtId="14" fontId="3" fillId="12" borderId="0" xfId="0" applyNumberFormat="1" applyFont="1" applyFill="1" applyAlignment="1" applyProtection="1">
      <alignment horizontal="center" shrinkToFit="1"/>
      <protection locked="0" hidden="1"/>
    </xf>
    <xf numFmtId="0" fontId="3" fillId="12" borderId="0" xfId="0" applyFont="1" applyFill="1" applyAlignment="1" applyProtection="1">
      <alignment horizontal="center" shrinkToFit="1"/>
      <protection locked="0" hidden="1"/>
    </xf>
    <xf numFmtId="0" fontId="20" fillId="12" borderId="59" xfId="0" applyFont="1" applyFill="1" applyBorder="1" applyAlignment="1" applyProtection="1">
      <alignment horizontal="center" shrinkToFit="1"/>
      <protection locked="0"/>
    </xf>
    <xf numFmtId="0" fontId="20" fillId="12" borderId="46" xfId="0" applyFont="1" applyFill="1" applyBorder="1" applyAlignment="1" applyProtection="1">
      <alignment horizontal="center" shrinkToFit="1"/>
      <protection locked="0"/>
    </xf>
    <xf numFmtId="0" fontId="20" fillId="12" borderId="60" xfId="0" applyFont="1" applyFill="1" applyBorder="1" applyAlignment="1" applyProtection="1">
      <alignment horizontal="center" shrinkToFit="1"/>
      <protection locked="0"/>
    </xf>
    <xf numFmtId="43" fontId="20" fillId="12" borderId="59" xfId="1" applyFont="1" applyFill="1" applyBorder="1" applyAlignment="1" applyProtection="1">
      <alignment horizontal="center" shrinkToFit="1"/>
      <protection locked="0"/>
    </xf>
    <xf numFmtId="43" fontId="20" fillId="12" borderId="46" xfId="1" applyFont="1" applyFill="1" applyBorder="1" applyAlignment="1" applyProtection="1">
      <alignment horizontal="center" shrinkToFit="1"/>
      <protection locked="0"/>
    </xf>
    <xf numFmtId="43" fontId="20" fillId="12" borderId="60" xfId="1" applyFont="1" applyFill="1" applyBorder="1" applyAlignment="1" applyProtection="1">
      <alignment horizontal="center" shrinkToFit="1"/>
      <protection locked="0"/>
    </xf>
    <xf numFmtId="10" fontId="13" fillId="12" borderId="42" xfId="0" applyNumberFormat="1" applyFont="1" applyFill="1" applyBorder="1" applyAlignment="1" applyProtection="1">
      <alignment horizontal="center" vertical="center" shrinkToFit="1"/>
      <protection locked="0"/>
    </xf>
    <xf numFmtId="10" fontId="13" fillId="12" borderId="43" xfId="0" applyNumberFormat="1" applyFont="1" applyFill="1" applyBorder="1" applyAlignment="1" applyProtection="1">
      <alignment horizontal="center" vertical="center" shrinkToFit="1"/>
      <protection locked="0"/>
    </xf>
    <xf numFmtId="10" fontId="13" fillId="12" borderId="44" xfId="0" applyNumberFormat="1" applyFont="1" applyFill="1" applyBorder="1" applyAlignment="1" applyProtection="1">
      <alignment horizontal="center" vertical="center" shrinkToFit="1"/>
      <protection locked="0"/>
    </xf>
    <xf numFmtId="0" fontId="13" fillId="12" borderId="7" xfId="0" applyFont="1" applyFill="1" applyBorder="1" applyAlignment="1" applyProtection="1">
      <alignment horizontal="right" shrinkToFit="1"/>
      <protection locked="0"/>
    </xf>
    <xf numFmtId="0" fontId="13" fillId="12" borderId="0" xfId="0" applyFont="1" applyFill="1" applyBorder="1" applyAlignment="1" applyProtection="1">
      <alignment horizontal="right" shrinkToFit="1"/>
      <protection locked="0"/>
    </xf>
    <xf numFmtId="0" fontId="8" fillId="0" borderId="10" xfId="0" applyFont="1" applyBorder="1" applyAlignment="1" applyProtection="1">
      <alignment horizontal="left"/>
      <protection hidden="1"/>
    </xf>
    <xf numFmtId="0" fontId="8" fillId="0" borderId="11" xfId="0" applyFont="1" applyBorder="1" applyAlignment="1" applyProtection="1">
      <alignment horizontal="left"/>
      <protection hidden="1"/>
    </xf>
    <xf numFmtId="0" fontId="8" fillId="0" borderId="12" xfId="0" applyFont="1" applyBorder="1" applyAlignment="1" applyProtection="1">
      <alignment horizontal="left"/>
      <protection hidden="1"/>
    </xf>
    <xf numFmtId="0" fontId="11" fillId="0" borderId="9" xfId="0" applyFont="1" applyBorder="1" applyAlignment="1" applyProtection="1">
      <alignment horizontal="center" vertical="center" wrapText="1"/>
      <protection hidden="1"/>
    </xf>
    <xf numFmtId="0" fontId="11" fillId="0" borderId="17" xfId="0" applyFont="1" applyBorder="1" applyAlignment="1" applyProtection="1">
      <alignment horizontal="center" vertical="center" wrapText="1"/>
      <protection hidden="1"/>
    </xf>
    <xf numFmtId="0" fontId="0" fillId="0" borderId="10"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0" fillId="0" borderId="12" xfId="0" applyBorder="1" applyAlignment="1" applyProtection="1">
      <alignment horizontal="center" vertical="center" wrapText="1"/>
      <protection hidden="1"/>
    </xf>
    <xf numFmtId="0" fontId="13" fillId="12" borderId="16" xfId="0" applyFont="1" applyFill="1" applyBorder="1" applyAlignment="1" applyProtection="1">
      <alignment horizontal="right" shrinkToFit="1"/>
      <protection locked="0"/>
    </xf>
    <xf numFmtId="0" fontId="13" fillId="12" borderId="13" xfId="0" applyFont="1" applyFill="1" applyBorder="1" applyAlignment="1" applyProtection="1">
      <alignment horizontal="right" shrinkToFit="1"/>
      <protection locked="0"/>
    </xf>
    <xf numFmtId="0" fontId="13" fillId="12" borderId="14" xfId="0" applyFont="1" applyFill="1" applyBorder="1" applyAlignment="1" applyProtection="1">
      <alignment horizontal="right" shrinkToFit="1"/>
      <protection locked="0"/>
    </xf>
    <xf numFmtId="49" fontId="20" fillId="12" borderId="59" xfId="0" applyNumberFormat="1" applyFont="1" applyFill="1" applyBorder="1" applyAlignment="1" applyProtection="1">
      <alignment horizontal="center" shrinkToFit="1"/>
      <protection locked="0"/>
    </xf>
    <xf numFmtId="49" fontId="20" fillId="12" borderId="46" xfId="0" applyNumberFormat="1" applyFont="1" applyFill="1" applyBorder="1" applyAlignment="1" applyProtection="1">
      <alignment horizontal="center" shrinkToFit="1"/>
      <protection locked="0"/>
    </xf>
    <xf numFmtId="49" fontId="20" fillId="12" borderId="60" xfId="0" applyNumberFormat="1" applyFont="1" applyFill="1" applyBorder="1" applyAlignment="1" applyProtection="1">
      <alignment horizontal="center" shrinkToFit="1"/>
      <protection locked="0"/>
    </xf>
    <xf numFmtId="3" fontId="13" fillId="12" borderId="88" xfId="0" applyNumberFormat="1" applyFont="1" applyFill="1" applyBorder="1" applyAlignment="1" applyProtection="1">
      <alignment horizontal="center" vertical="center" shrinkToFit="1"/>
      <protection locked="0"/>
    </xf>
    <xf numFmtId="0" fontId="3" fillId="12" borderId="33" xfId="0" applyFont="1" applyFill="1" applyBorder="1" applyAlignment="1" applyProtection="1">
      <alignment horizontal="center" shrinkToFit="1"/>
      <protection locked="0" hidden="1"/>
    </xf>
    <xf numFmtId="0" fontId="3" fillId="12" borderId="19" xfId="0" applyFont="1" applyFill="1" applyBorder="1" applyAlignment="1" applyProtection="1">
      <alignment horizontal="center" shrinkToFit="1"/>
      <protection locked="0" hidden="1"/>
    </xf>
    <xf numFmtId="0" fontId="4" fillId="2" borderId="0" xfId="0" applyFont="1" applyFill="1" applyAlignment="1" applyProtection="1">
      <alignment horizontal="center" shrinkToFit="1"/>
      <protection hidden="1"/>
    </xf>
    <xf numFmtId="0" fontId="4" fillId="12" borderId="39" xfId="0" applyFont="1" applyFill="1" applyBorder="1" applyAlignment="1" applyProtection="1">
      <alignment horizontal="left" shrinkToFit="1"/>
      <protection locked="0"/>
    </xf>
    <xf numFmtId="0" fontId="4" fillId="12" borderId="40" xfId="0" applyFont="1" applyFill="1" applyBorder="1" applyAlignment="1" applyProtection="1">
      <alignment horizontal="left" shrinkToFit="1"/>
      <protection locked="0"/>
    </xf>
    <xf numFmtId="0" fontId="4" fillId="12" borderId="41" xfId="0" applyFont="1" applyFill="1" applyBorder="1" applyAlignment="1" applyProtection="1">
      <alignment horizontal="left" shrinkToFit="1"/>
      <protection locked="0"/>
    </xf>
    <xf numFmtId="0" fontId="8" fillId="0" borderId="56" xfId="0" applyFont="1" applyFill="1" applyBorder="1" applyAlignment="1" applyProtection="1">
      <alignment horizontal="center" vertical="center"/>
      <protection hidden="1"/>
    </xf>
    <xf numFmtId="0" fontId="8" fillId="0" borderId="57" xfId="0" applyFont="1" applyFill="1" applyBorder="1" applyAlignment="1" applyProtection="1">
      <alignment horizontal="center" vertical="center"/>
      <protection hidden="1"/>
    </xf>
    <xf numFmtId="0" fontId="8" fillId="0" borderId="64" xfId="0" applyFont="1" applyFill="1" applyBorder="1" applyAlignment="1" applyProtection="1">
      <alignment horizontal="center" vertical="center"/>
      <protection hidden="1"/>
    </xf>
    <xf numFmtId="0" fontId="4" fillId="12" borderId="71" xfId="0" applyFont="1" applyFill="1" applyBorder="1" applyAlignment="1" applyProtection="1">
      <alignment horizontal="left" shrinkToFit="1"/>
      <protection locked="0"/>
    </xf>
    <xf numFmtId="0" fontId="4" fillId="12" borderId="66" xfId="0" applyFont="1" applyFill="1" applyBorder="1" applyAlignment="1" applyProtection="1">
      <alignment horizontal="left" shrinkToFit="1"/>
      <protection locked="0"/>
    </xf>
    <xf numFmtId="0" fontId="4" fillId="12" borderId="23" xfId="0" applyFont="1" applyFill="1" applyBorder="1" applyAlignment="1" applyProtection="1">
      <alignment horizontal="left" shrinkToFit="1"/>
      <protection locked="0"/>
    </xf>
    <xf numFmtId="0" fontId="4" fillId="12" borderId="67" xfId="0" applyFont="1" applyFill="1" applyBorder="1" applyAlignment="1" applyProtection="1">
      <alignment horizontal="left" shrinkToFit="1"/>
      <protection locked="0"/>
    </xf>
    <xf numFmtId="0" fontId="4" fillId="12" borderId="51" xfId="0" applyFont="1" applyFill="1" applyBorder="1" applyAlignment="1" applyProtection="1">
      <alignment horizontal="left" shrinkToFit="1"/>
      <protection locked="0"/>
    </xf>
    <xf numFmtId="0" fontId="19" fillId="0" borderId="16" xfId="0" applyFont="1" applyBorder="1" applyAlignment="1" applyProtection="1">
      <alignment horizontal="center" vertical="center" wrapText="1"/>
      <protection hidden="1"/>
    </xf>
    <xf numFmtId="0" fontId="19" fillId="0" borderId="13" xfId="0" applyFont="1" applyBorder="1" applyAlignment="1" applyProtection="1">
      <alignment horizontal="center" vertical="center" wrapText="1"/>
      <protection hidden="1"/>
    </xf>
    <xf numFmtId="0" fontId="19" fillId="0" borderId="14" xfId="0" applyFont="1" applyBorder="1" applyAlignment="1" applyProtection="1">
      <alignment horizontal="center" vertical="center" wrapText="1"/>
      <protection hidden="1"/>
    </xf>
    <xf numFmtId="0" fontId="19" fillId="0" borderId="7" xfId="0" applyFont="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19" fillId="0" borderId="15" xfId="0" applyFont="1" applyBorder="1" applyAlignment="1" applyProtection="1">
      <alignment horizontal="center" vertical="center" wrapText="1"/>
      <protection hidden="1"/>
    </xf>
    <xf numFmtId="0" fontId="19" fillId="0" borderId="8" xfId="0" applyFont="1" applyBorder="1" applyAlignment="1" applyProtection="1">
      <alignment horizontal="center" vertical="center" wrapText="1"/>
      <protection hidden="1"/>
    </xf>
    <xf numFmtId="0" fontId="19" fillId="0" borderId="9" xfId="0" applyFont="1" applyBorder="1" applyAlignment="1" applyProtection="1">
      <alignment horizontal="center" vertical="center" wrapText="1"/>
      <protection hidden="1"/>
    </xf>
    <xf numFmtId="0" fontId="19" fillId="0" borderId="17" xfId="0" applyFont="1" applyBorder="1" applyAlignment="1" applyProtection="1">
      <alignment horizontal="center" vertical="center" wrapText="1"/>
      <protection hidden="1"/>
    </xf>
    <xf numFmtId="0" fontId="0" fillId="2" borderId="39" xfId="0" applyFill="1" applyBorder="1" applyAlignment="1" applyProtection="1">
      <alignment horizontal="right"/>
      <protection hidden="1"/>
    </xf>
    <xf numFmtId="0" fontId="0" fillId="2" borderId="40" xfId="0" applyFill="1" applyBorder="1" applyAlignment="1" applyProtection="1">
      <alignment horizontal="right"/>
      <protection hidden="1"/>
    </xf>
    <xf numFmtId="0" fontId="0" fillId="2" borderId="51" xfId="0" applyFill="1" applyBorder="1" applyAlignment="1" applyProtection="1">
      <alignment horizontal="right"/>
      <protection hidden="1"/>
    </xf>
    <xf numFmtId="1" fontId="15" fillId="13" borderId="81" xfId="0" applyNumberFormat="1" applyFont="1" applyFill="1" applyBorder="1" applyAlignment="1" applyProtection="1">
      <alignment horizontal="center" vertical="center" wrapText="1"/>
      <protection locked="0" hidden="1"/>
    </xf>
    <xf numFmtId="0" fontId="5" fillId="0" borderId="68" xfId="0" applyFont="1" applyBorder="1" applyAlignment="1" applyProtection="1">
      <alignment horizontal="center" vertical="center" wrapText="1"/>
      <protection hidden="1"/>
    </xf>
    <xf numFmtId="0" fontId="5" fillId="0" borderId="69"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51"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5" fillId="0" borderId="45" xfId="0" applyFont="1" applyBorder="1" applyAlignment="1" applyProtection="1">
      <alignment horizontal="center" vertical="center" wrapText="1"/>
      <protection hidden="1"/>
    </xf>
    <xf numFmtId="0" fontId="5" fillId="0" borderId="61" xfId="0" applyFont="1" applyBorder="1" applyAlignment="1" applyProtection="1">
      <alignment horizontal="center" vertical="center" wrapText="1"/>
      <protection hidden="1"/>
    </xf>
    <xf numFmtId="0" fontId="5" fillId="0" borderId="27" xfId="0" applyFont="1" applyBorder="1" applyAlignment="1" applyProtection="1">
      <alignment horizontal="center" vertical="center" wrapText="1"/>
      <protection hidden="1"/>
    </xf>
    <xf numFmtId="0" fontId="5" fillId="0" borderId="28" xfId="0" applyFont="1" applyBorder="1" applyAlignment="1" applyProtection="1">
      <alignment horizontal="center" vertical="center" wrapText="1"/>
      <protection hidden="1"/>
    </xf>
    <xf numFmtId="3" fontId="20" fillId="12" borderId="13" xfId="0" applyNumberFormat="1" applyFont="1" applyFill="1" applyBorder="1" applyAlignment="1" applyProtection="1">
      <alignment vertical="center" shrinkToFit="1"/>
      <protection locked="0"/>
    </xf>
    <xf numFmtId="43" fontId="13" fillId="12" borderId="71" xfId="1" applyFont="1" applyFill="1" applyBorder="1" applyAlignment="1" applyProtection="1">
      <alignment horizontal="center" vertical="center" shrinkToFit="1"/>
      <protection locked="0"/>
    </xf>
    <xf numFmtId="43" fontId="13" fillId="12" borderId="66" xfId="1" applyFont="1" applyFill="1" applyBorder="1" applyAlignment="1" applyProtection="1">
      <alignment horizontal="center" vertical="center" shrinkToFit="1"/>
      <protection locked="0"/>
    </xf>
    <xf numFmtId="43" fontId="13" fillId="12" borderId="67" xfId="1" applyFont="1" applyFill="1" applyBorder="1" applyAlignment="1" applyProtection="1">
      <alignment horizontal="center" vertical="center" shrinkToFit="1"/>
      <protection locked="0"/>
    </xf>
    <xf numFmtId="3" fontId="13" fillId="12" borderId="61" xfId="0" applyNumberFormat="1" applyFont="1" applyFill="1" applyBorder="1" applyAlignment="1" applyProtection="1">
      <alignment horizontal="center" shrinkToFit="1"/>
      <protection locked="0"/>
    </xf>
    <xf numFmtId="3" fontId="13" fillId="12" borderId="27" xfId="0" applyNumberFormat="1" applyFont="1" applyFill="1" applyBorder="1" applyAlignment="1" applyProtection="1">
      <alignment horizontal="center" shrinkToFit="1"/>
      <protection locked="0"/>
    </xf>
    <xf numFmtId="3" fontId="13" fillId="12" borderId="28" xfId="0" applyNumberFormat="1" applyFont="1" applyFill="1" applyBorder="1" applyAlignment="1" applyProtection="1">
      <alignment horizontal="center" shrinkToFit="1"/>
      <protection locked="0"/>
    </xf>
    <xf numFmtId="0" fontId="0" fillId="0" borderId="14" xfId="0" applyBorder="1" applyAlignment="1" applyProtection="1">
      <alignment horizontal="center" vertical="center"/>
      <protection hidden="1"/>
    </xf>
    <xf numFmtId="0" fontId="16" fillId="0" borderId="33" xfId="0" applyFont="1" applyBorder="1" applyAlignment="1" applyProtection="1">
      <alignment horizontal="left" wrapText="1"/>
      <protection hidden="1"/>
    </xf>
    <xf numFmtId="0" fontId="16" fillId="0" borderId="19" xfId="0" applyFont="1" applyBorder="1" applyAlignment="1" applyProtection="1">
      <alignment horizontal="left" wrapText="1"/>
      <protection hidden="1"/>
    </xf>
    <xf numFmtId="0" fontId="16" fillId="0" borderId="34" xfId="0" applyFont="1" applyBorder="1" applyAlignment="1" applyProtection="1">
      <alignment horizontal="left" wrapText="1"/>
      <protection hidden="1"/>
    </xf>
    <xf numFmtId="0" fontId="8" fillId="0" borderId="36" xfId="0" applyFont="1" applyBorder="1" applyAlignment="1" applyProtection="1">
      <alignment horizontal="left" wrapText="1"/>
      <protection hidden="1"/>
    </xf>
    <xf numFmtId="0" fontId="8" fillId="0" borderId="24" xfId="0" applyFont="1" applyBorder="1" applyAlignment="1" applyProtection="1">
      <alignment horizontal="left" wrapText="1"/>
      <protection hidden="1"/>
    </xf>
    <xf numFmtId="0" fontId="8" fillId="0" borderId="25" xfId="0" applyFont="1" applyBorder="1" applyAlignment="1" applyProtection="1">
      <alignment horizontal="left" wrapText="1"/>
      <protection hidden="1"/>
    </xf>
    <xf numFmtId="0" fontId="5" fillId="2" borderId="10" xfId="0" applyFont="1" applyFill="1" applyBorder="1" applyAlignment="1" applyProtection="1">
      <alignment horizontal="center"/>
      <protection hidden="1"/>
    </xf>
    <xf numFmtId="0" fontId="5" fillId="2" borderId="11" xfId="0" applyFont="1" applyFill="1" applyBorder="1" applyAlignment="1" applyProtection="1">
      <alignment horizontal="center"/>
      <protection hidden="1"/>
    </xf>
    <xf numFmtId="0" fontId="5" fillId="2" borderId="12" xfId="0" applyFont="1" applyFill="1" applyBorder="1" applyAlignment="1" applyProtection="1">
      <alignment horizontal="center"/>
      <protection hidden="1"/>
    </xf>
    <xf numFmtId="0" fontId="0" fillId="0" borderId="17" xfId="0" applyBorder="1" applyAlignment="1" applyProtection="1">
      <alignment horizontal="center" vertical="center"/>
      <protection hidden="1"/>
    </xf>
    <xf numFmtId="0" fontId="8" fillId="0" borderId="48" xfId="0" applyFont="1" applyBorder="1" applyAlignment="1" applyProtection="1">
      <alignment horizontal="left" wrapText="1"/>
      <protection hidden="1"/>
    </xf>
    <xf numFmtId="0" fontId="8" fillId="0" borderId="49" xfId="0" applyFont="1" applyBorder="1" applyAlignment="1" applyProtection="1">
      <alignment horizontal="left" wrapText="1"/>
      <protection hidden="1"/>
    </xf>
    <xf numFmtId="0" fontId="11" fillId="0" borderId="8" xfId="0" applyFont="1" applyBorder="1" applyAlignment="1" applyProtection="1">
      <alignment horizontal="center" vertical="center" wrapText="1"/>
      <protection hidden="1"/>
    </xf>
    <xf numFmtId="0" fontId="5" fillId="0" borderId="7" xfId="0" applyFont="1" applyBorder="1" applyAlignment="1" applyProtection="1">
      <alignment horizontal="center"/>
      <protection hidden="1"/>
    </xf>
    <xf numFmtId="0" fontId="5" fillId="0" borderId="0" xfId="0" applyFont="1" applyBorder="1" applyAlignment="1" applyProtection="1">
      <alignment horizontal="center"/>
      <protection hidden="1"/>
    </xf>
    <xf numFmtId="0" fontId="5" fillId="0" borderId="15" xfId="0" applyFont="1" applyBorder="1" applyAlignment="1" applyProtection="1">
      <alignment horizontal="center"/>
      <protection hidden="1"/>
    </xf>
    <xf numFmtId="0" fontId="8" fillId="0" borderId="62" xfId="0" applyFont="1" applyBorder="1" applyAlignment="1" applyProtection="1">
      <alignment horizontal="left" wrapText="1"/>
      <protection hidden="1"/>
    </xf>
    <xf numFmtId="0" fontId="8" fillId="0" borderId="63" xfId="0" applyFont="1" applyBorder="1" applyAlignment="1" applyProtection="1">
      <alignment horizontal="left" wrapText="1"/>
      <protection hidden="1"/>
    </xf>
    <xf numFmtId="0" fontId="8" fillId="0" borderId="26" xfId="0" applyFont="1" applyBorder="1" applyAlignment="1" applyProtection="1">
      <alignment horizontal="left" wrapText="1"/>
      <protection hidden="1"/>
    </xf>
    <xf numFmtId="0" fontId="8" fillId="0" borderId="53" xfId="0" applyFont="1" applyBorder="1" applyAlignment="1" applyProtection="1">
      <alignment horizontal="left"/>
      <protection hidden="1"/>
    </xf>
    <xf numFmtId="0" fontId="8" fillId="0" borderId="54" xfId="0" applyFont="1" applyBorder="1" applyAlignment="1" applyProtection="1">
      <alignment horizontal="left"/>
      <protection hidden="1"/>
    </xf>
    <xf numFmtId="0" fontId="8" fillId="0" borderId="69" xfId="0" applyFont="1" applyBorder="1" applyAlignment="1" applyProtection="1">
      <alignment horizontal="left"/>
      <protection hidden="1"/>
    </xf>
    <xf numFmtId="3" fontId="13" fillId="12" borderId="65" xfId="0" applyNumberFormat="1" applyFont="1" applyFill="1" applyBorder="1" applyAlignment="1" applyProtection="1">
      <alignment horizontal="center" vertical="center" shrinkToFit="1"/>
      <protection locked="0"/>
    </xf>
    <xf numFmtId="0" fontId="1" fillId="0" borderId="42" xfId="0" applyFont="1" applyBorder="1" applyAlignment="1" applyProtection="1">
      <alignment horizontal="left"/>
      <protection hidden="1"/>
    </xf>
    <xf numFmtId="0" fontId="1" fillId="0" borderId="43" xfId="0" applyFont="1" applyBorder="1" applyAlignment="1" applyProtection="1">
      <alignment horizontal="left"/>
      <protection hidden="1"/>
    </xf>
    <xf numFmtId="0" fontId="1" fillId="0" borderId="45" xfId="0" applyFont="1" applyBorder="1" applyAlignment="1" applyProtection="1">
      <alignment horizontal="left"/>
      <protection hidden="1"/>
    </xf>
    <xf numFmtId="14" fontId="13" fillId="12" borderId="59" xfId="0" applyNumberFormat="1" applyFont="1" applyFill="1" applyBorder="1" applyAlignment="1" applyProtection="1">
      <alignment horizontal="center" vertical="center" shrinkToFit="1"/>
      <protection locked="0"/>
    </xf>
    <xf numFmtId="14" fontId="13" fillId="12" borderId="46" xfId="0" applyNumberFormat="1" applyFont="1" applyFill="1" applyBorder="1" applyAlignment="1" applyProtection="1">
      <alignment horizontal="center" vertical="center" shrinkToFit="1"/>
      <protection locked="0"/>
    </xf>
    <xf numFmtId="14" fontId="13" fillId="12" borderId="60" xfId="0" applyNumberFormat="1" applyFont="1" applyFill="1" applyBorder="1" applyAlignment="1" applyProtection="1">
      <alignment horizontal="center" vertical="center" shrinkToFit="1"/>
      <protection locked="0"/>
    </xf>
    <xf numFmtId="2" fontId="13" fillId="12" borderId="59" xfId="0" applyNumberFormat="1" applyFont="1" applyFill="1" applyBorder="1" applyAlignment="1" applyProtection="1">
      <alignment horizontal="left" vertical="center" shrinkToFit="1"/>
      <protection locked="0"/>
    </xf>
    <xf numFmtId="2" fontId="13" fillId="12" borderId="46" xfId="0" applyNumberFormat="1" applyFont="1" applyFill="1" applyBorder="1" applyAlignment="1" applyProtection="1">
      <alignment horizontal="left" vertical="center" shrinkToFit="1"/>
      <protection locked="0"/>
    </xf>
    <xf numFmtId="2" fontId="13" fillId="12" borderId="60" xfId="0" applyNumberFormat="1" applyFont="1" applyFill="1" applyBorder="1" applyAlignment="1" applyProtection="1">
      <alignment horizontal="left" vertical="center" shrinkToFit="1"/>
      <protection locked="0"/>
    </xf>
    <xf numFmtId="0" fontId="14" fillId="0" borderId="10" xfId="0" applyFont="1" applyBorder="1" applyAlignment="1" applyProtection="1">
      <alignment horizontal="center" vertical="center" wrapText="1"/>
      <protection hidden="1"/>
    </xf>
    <xf numFmtId="0" fontId="14" fillId="0" borderId="11" xfId="0" applyFont="1" applyBorder="1" applyAlignment="1" applyProtection="1">
      <alignment horizontal="center" vertical="center" wrapText="1"/>
      <protection hidden="1"/>
    </xf>
    <xf numFmtId="3" fontId="20" fillId="12" borderId="39" xfId="0" applyNumberFormat="1" applyFont="1" applyFill="1" applyBorder="1" applyAlignment="1" applyProtection="1">
      <alignment horizontal="center" vertical="center" shrinkToFit="1"/>
      <protection locked="0"/>
    </xf>
    <xf numFmtId="3" fontId="20" fillId="12" borderId="40" xfId="0" applyNumberFormat="1" applyFont="1" applyFill="1" applyBorder="1" applyAlignment="1" applyProtection="1">
      <alignment horizontal="center" vertical="center" shrinkToFit="1"/>
      <protection locked="0"/>
    </xf>
    <xf numFmtId="3" fontId="20" fillId="12" borderId="51" xfId="0" applyNumberFormat="1" applyFont="1" applyFill="1" applyBorder="1" applyAlignment="1" applyProtection="1">
      <alignment horizontal="center" vertical="center" shrinkToFit="1"/>
      <protection locked="0"/>
    </xf>
    <xf numFmtId="3" fontId="20" fillId="12" borderId="41" xfId="0" applyNumberFormat="1" applyFont="1" applyFill="1" applyBorder="1" applyAlignment="1" applyProtection="1">
      <alignment horizontal="center" vertical="center" shrinkToFit="1"/>
      <protection locked="0"/>
    </xf>
    <xf numFmtId="0" fontId="14" fillId="0" borderId="10" xfId="0" applyFont="1" applyBorder="1" applyAlignment="1" applyProtection="1">
      <alignment horizontal="center" vertical="center"/>
      <protection hidden="1"/>
    </xf>
    <xf numFmtId="0" fontId="14" fillId="0" borderId="11" xfId="0" applyFont="1" applyBorder="1" applyAlignment="1" applyProtection="1">
      <alignment horizontal="center" vertical="center"/>
      <protection hidden="1"/>
    </xf>
    <xf numFmtId="0" fontId="13" fillId="12" borderId="53" xfId="0" applyFont="1" applyFill="1" applyBorder="1" applyAlignment="1" applyProtection="1">
      <alignment horizontal="left" shrinkToFit="1"/>
      <protection locked="0"/>
    </xf>
    <xf numFmtId="0" fontId="13" fillId="12" borderId="54" xfId="0" applyFont="1" applyFill="1" applyBorder="1" applyAlignment="1" applyProtection="1">
      <alignment horizontal="left" shrinkToFit="1"/>
      <protection locked="0"/>
    </xf>
    <xf numFmtId="0" fontId="13" fillId="12" borderId="69" xfId="0" applyFont="1" applyFill="1" applyBorder="1" applyAlignment="1" applyProtection="1">
      <alignment horizontal="left" shrinkToFit="1"/>
      <protection locked="0"/>
    </xf>
    <xf numFmtId="3" fontId="20" fillId="12" borderId="42" xfId="0" applyNumberFormat="1" applyFont="1" applyFill="1" applyBorder="1" applyAlignment="1" applyProtection="1">
      <alignment horizontal="center" vertical="center" shrinkToFit="1"/>
      <protection locked="0"/>
    </xf>
    <xf numFmtId="3" fontId="20" fillId="12" borderId="43" xfId="0" applyNumberFormat="1" applyFont="1" applyFill="1" applyBorder="1" applyAlignment="1" applyProtection="1">
      <alignment horizontal="center" vertical="center" shrinkToFit="1"/>
      <protection locked="0"/>
    </xf>
    <xf numFmtId="3" fontId="20" fillId="12" borderId="45" xfId="0" applyNumberFormat="1" applyFont="1" applyFill="1" applyBorder="1" applyAlignment="1" applyProtection="1">
      <alignment horizontal="center" vertical="center" shrinkToFit="1"/>
      <protection locked="0"/>
    </xf>
    <xf numFmtId="3" fontId="20" fillId="12" borderId="44" xfId="0" applyNumberFormat="1" applyFont="1" applyFill="1" applyBorder="1" applyAlignment="1" applyProtection="1">
      <alignment horizontal="center" vertical="center" shrinkToFit="1"/>
      <protection locked="0"/>
    </xf>
    <xf numFmtId="3" fontId="20" fillId="12" borderId="52" xfId="0" applyNumberFormat="1" applyFont="1" applyFill="1" applyBorder="1" applyAlignment="1" applyProtection="1">
      <alignment horizontal="center" vertical="center" shrinkToFit="1"/>
      <protection locked="0"/>
    </xf>
    <xf numFmtId="0" fontId="14" fillId="0" borderId="12" xfId="0" applyFont="1" applyBorder="1" applyAlignment="1" applyProtection="1">
      <alignment horizontal="center" vertical="center" wrapText="1"/>
      <protection hidden="1"/>
    </xf>
    <xf numFmtId="1" fontId="3" fillId="13" borderId="39" xfId="0" applyNumberFormat="1" applyFont="1" applyFill="1" applyBorder="1" applyAlignment="1" applyProtection="1">
      <alignment horizontal="center" vertical="center" wrapText="1"/>
      <protection locked="0" hidden="1"/>
    </xf>
    <xf numFmtId="1" fontId="3" fillId="13" borderId="40" xfId="0" applyNumberFormat="1" applyFont="1" applyFill="1" applyBorder="1" applyAlignment="1" applyProtection="1">
      <alignment horizontal="center" vertical="center" wrapText="1"/>
      <protection locked="0" hidden="1"/>
    </xf>
    <xf numFmtId="1" fontId="3" fillId="13" borderId="62" xfId="0" applyNumberFormat="1" applyFont="1" applyFill="1" applyBorder="1" applyAlignment="1" applyProtection="1">
      <alignment horizontal="center" vertical="center" wrapText="1"/>
      <protection locked="0" hidden="1"/>
    </xf>
    <xf numFmtId="1" fontId="3" fillId="13" borderId="63" xfId="0" applyNumberFormat="1" applyFont="1" applyFill="1" applyBorder="1" applyAlignment="1" applyProtection="1">
      <alignment horizontal="center" vertical="center" wrapText="1"/>
      <protection locked="0" hidden="1"/>
    </xf>
    <xf numFmtId="1" fontId="3" fillId="13" borderId="10" xfId="0" applyNumberFormat="1" applyFont="1" applyFill="1" applyBorder="1" applyAlignment="1" applyProtection="1">
      <alignment horizontal="center" vertical="center" wrapText="1"/>
      <protection locked="0" hidden="1"/>
    </xf>
    <xf numFmtId="1" fontId="3" fillId="13" borderId="11" xfId="0" applyNumberFormat="1" applyFont="1" applyFill="1" applyBorder="1" applyAlignment="1" applyProtection="1">
      <alignment horizontal="center" vertical="center" wrapText="1"/>
      <protection locked="0" hidden="1"/>
    </xf>
    <xf numFmtId="1" fontId="3" fillId="13" borderId="12" xfId="0" applyNumberFormat="1" applyFont="1" applyFill="1" applyBorder="1" applyAlignment="1" applyProtection="1">
      <alignment horizontal="center" vertical="center" wrapText="1"/>
      <protection locked="0" hidden="1"/>
    </xf>
    <xf numFmtId="3" fontId="20" fillId="12" borderId="47" xfId="0" applyNumberFormat="1" applyFont="1" applyFill="1" applyBorder="1" applyAlignment="1" applyProtection="1">
      <alignment horizontal="center" vertical="center" shrinkToFit="1"/>
      <protection locked="0"/>
    </xf>
    <xf numFmtId="0" fontId="27" fillId="2" borderId="33" xfId="0" applyFont="1" applyFill="1" applyBorder="1" applyAlignment="1" applyProtection="1">
      <alignment horizontal="left"/>
      <protection hidden="1"/>
    </xf>
    <xf numFmtId="0" fontId="27" fillId="2" borderId="19" xfId="0" applyFont="1" applyFill="1" applyBorder="1" applyAlignment="1" applyProtection="1">
      <alignment horizontal="left"/>
      <protection hidden="1"/>
    </xf>
    <xf numFmtId="0" fontId="27" fillId="2" borderId="34" xfId="0" applyFont="1" applyFill="1" applyBorder="1" applyAlignment="1" applyProtection="1">
      <alignment horizontal="left"/>
      <protection hidden="1"/>
    </xf>
    <xf numFmtId="0" fontId="14" fillId="0" borderId="12" xfId="0" applyFont="1" applyBorder="1" applyAlignment="1" applyProtection="1">
      <alignment horizontal="center" vertical="center"/>
      <protection hidden="1"/>
    </xf>
    <xf numFmtId="0" fontId="13" fillId="12" borderId="10" xfId="0" applyFont="1" applyFill="1" applyBorder="1" applyAlignment="1" applyProtection="1">
      <alignment horizontal="center" shrinkToFit="1"/>
      <protection locked="0"/>
    </xf>
    <xf numFmtId="0" fontId="13" fillId="12" borderId="11" xfId="0" applyFont="1" applyFill="1" applyBorder="1" applyAlignment="1" applyProtection="1">
      <alignment horizontal="center" shrinkToFit="1"/>
      <protection locked="0"/>
    </xf>
    <xf numFmtId="0" fontId="13" fillId="12" borderId="12" xfId="0" applyFont="1" applyFill="1" applyBorder="1" applyAlignment="1" applyProtection="1">
      <alignment horizontal="center" shrinkToFit="1"/>
      <protection locked="0"/>
    </xf>
    <xf numFmtId="0" fontId="20" fillId="2" borderId="33" xfId="0" applyFont="1" applyFill="1" applyBorder="1" applyAlignment="1" applyProtection="1">
      <alignment horizontal="left"/>
      <protection hidden="1"/>
    </xf>
    <xf numFmtId="0" fontId="20" fillId="2" borderId="19" xfId="0" applyFont="1" applyFill="1" applyBorder="1" applyAlignment="1" applyProtection="1">
      <alignment horizontal="left"/>
      <protection hidden="1"/>
    </xf>
    <xf numFmtId="0" fontId="20" fillId="2" borderId="34" xfId="0" applyFont="1" applyFill="1" applyBorder="1" applyAlignment="1" applyProtection="1">
      <alignment horizontal="left"/>
      <protection hidden="1"/>
    </xf>
    <xf numFmtId="1" fontId="3" fillId="13" borderId="41" xfId="0" applyNumberFormat="1" applyFont="1" applyFill="1" applyBorder="1" applyAlignment="1" applyProtection="1">
      <alignment horizontal="center" vertical="center" wrapText="1"/>
      <protection locked="0" hidden="1"/>
    </xf>
    <xf numFmtId="0" fontId="27" fillId="0" borderId="10" xfId="0" applyFont="1" applyBorder="1" applyAlignment="1" applyProtection="1">
      <alignment horizontal="center" wrapText="1"/>
      <protection hidden="1"/>
    </xf>
    <xf numFmtId="0" fontId="27" fillId="0" borderId="11" xfId="0" applyFont="1" applyBorder="1" applyAlignment="1" applyProtection="1">
      <alignment horizontal="center" wrapText="1"/>
      <protection hidden="1"/>
    </xf>
    <xf numFmtId="0" fontId="27" fillId="0" borderId="12" xfId="0" applyFont="1" applyBorder="1" applyAlignment="1" applyProtection="1">
      <alignment horizontal="center" wrapText="1"/>
      <protection hidden="1"/>
    </xf>
    <xf numFmtId="0" fontId="5" fillId="0" borderId="83" xfId="0" applyFont="1" applyBorder="1" applyAlignment="1" applyProtection="1">
      <alignment horizontal="center"/>
      <protection hidden="1"/>
    </xf>
    <xf numFmtId="0" fontId="5" fillId="0" borderId="84" xfId="0" applyFont="1" applyBorder="1" applyAlignment="1" applyProtection="1">
      <alignment horizontal="center"/>
      <protection hidden="1"/>
    </xf>
    <xf numFmtId="0" fontId="5" fillId="0" borderId="20" xfId="0" applyFont="1" applyBorder="1" applyAlignment="1" applyProtection="1">
      <alignment horizontal="center" vertical="center" wrapText="1"/>
      <protection hidden="1"/>
    </xf>
    <xf numFmtId="0" fontId="5" fillId="0" borderId="21"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1" fontId="3" fillId="13" borderId="77" xfId="0" applyNumberFormat="1" applyFont="1" applyFill="1" applyBorder="1" applyAlignment="1" applyProtection="1">
      <alignment horizontal="center" vertical="center" wrapText="1"/>
      <protection locked="0" hidden="1"/>
    </xf>
    <xf numFmtId="0" fontId="5" fillId="0" borderId="82" xfId="0" applyFont="1" applyBorder="1" applyAlignment="1" applyProtection="1">
      <alignment horizontal="center"/>
      <protection hidden="1"/>
    </xf>
    <xf numFmtId="3" fontId="3" fillId="13" borderId="53" xfId="0" applyNumberFormat="1" applyFont="1" applyFill="1" applyBorder="1" applyAlignment="1" applyProtection="1">
      <alignment horizontal="center" vertical="center" shrinkToFit="1"/>
      <protection locked="0" hidden="1"/>
    </xf>
    <xf numFmtId="0" fontId="22" fillId="0" borderId="36" xfId="0" applyFont="1" applyBorder="1" applyAlignment="1" applyProtection="1">
      <alignment horizontal="right"/>
      <protection hidden="1"/>
    </xf>
    <xf numFmtId="0" fontId="22" fillId="0" borderId="24" xfId="0" applyFont="1" applyBorder="1" applyAlignment="1" applyProtection="1">
      <alignment horizontal="right"/>
      <protection hidden="1"/>
    </xf>
    <xf numFmtId="0" fontId="5" fillId="2" borderId="16" xfId="0" applyFont="1" applyFill="1" applyBorder="1" applyAlignment="1" applyProtection="1">
      <alignment horizontal="center"/>
      <protection hidden="1"/>
    </xf>
    <xf numFmtId="0" fontId="5" fillId="2" borderId="13" xfId="0" applyFont="1" applyFill="1" applyBorder="1" applyAlignment="1" applyProtection="1">
      <alignment horizontal="center"/>
      <protection hidden="1"/>
    </xf>
    <xf numFmtId="0" fontId="5" fillId="2" borderId="14" xfId="0" applyFont="1" applyFill="1" applyBorder="1" applyAlignment="1" applyProtection="1">
      <alignment horizontal="center"/>
      <protection hidden="1"/>
    </xf>
    <xf numFmtId="3" fontId="3" fillId="0" borderId="12" xfId="0" applyNumberFormat="1" applyFont="1" applyBorder="1" applyAlignment="1" applyProtection="1">
      <alignment horizontal="center" shrinkToFit="1"/>
      <protection hidden="1"/>
    </xf>
    <xf numFmtId="0" fontId="22" fillId="0" borderId="10" xfId="0" applyFont="1" applyBorder="1" applyAlignment="1" applyProtection="1">
      <alignment horizontal="left"/>
      <protection hidden="1"/>
    </xf>
    <xf numFmtId="0" fontId="22" fillId="0" borderId="11" xfId="0" applyFont="1" applyBorder="1" applyAlignment="1" applyProtection="1">
      <alignment horizontal="left"/>
      <protection hidden="1"/>
    </xf>
    <xf numFmtId="0" fontId="11" fillId="0" borderId="10" xfId="0" applyFont="1" applyBorder="1" applyAlignment="1" applyProtection="1">
      <alignment horizontal="left"/>
      <protection hidden="1"/>
    </xf>
    <xf numFmtId="0" fontId="11" fillId="0" borderId="11" xfId="0" applyFont="1" applyBorder="1" applyAlignment="1" applyProtection="1">
      <alignment horizontal="left"/>
      <protection hidden="1"/>
    </xf>
    <xf numFmtId="0" fontId="22" fillId="0" borderId="7" xfId="0" applyFont="1" applyBorder="1" applyAlignment="1" applyProtection="1">
      <alignment horizontal="right"/>
      <protection hidden="1"/>
    </xf>
    <xf numFmtId="0" fontId="22" fillId="0" borderId="0" xfId="0" applyFont="1" applyBorder="1" applyAlignment="1" applyProtection="1">
      <alignment horizontal="right"/>
      <protection hidden="1"/>
    </xf>
    <xf numFmtId="0" fontId="22" fillId="0" borderId="48" xfId="0" applyFont="1" applyBorder="1" applyAlignment="1" applyProtection="1">
      <alignment horizontal="left"/>
      <protection hidden="1"/>
    </xf>
    <xf numFmtId="0" fontId="22" fillId="0" borderId="49" xfId="0" applyFont="1" applyBorder="1" applyAlignment="1" applyProtection="1">
      <alignment horizontal="left"/>
      <protection hidden="1"/>
    </xf>
    <xf numFmtId="3" fontId="3" fillId="13" borderId="71" xfId="0" applyNumberFormat="1" applyFont="1" applyFill="1" applyBorder="1" applyAlignment="1" applyProtection="1">
      <alignment horizontal="center" shrinkToFit="1"/>
      <protection locked="0" hidden="1"/>
    </xf>
    <xf numFmtId="3" fontId="3" fillId="13" borderId="66" xfId="0" applyNumberFormat="1" applyFont="1" applyFill="1" applyBorder="1" applyAlignment="1" applyProtection="1">
      <alignment horizontal="center" shrinkToFit="1"/>
      <protection locked="0" hidden="1"/>
    </xf>
    <xf numFmtId="3" fontId="3" fillId="13" borderId="67" xfId="0" applyNumberFormat="1" applyFont="1" applyFill="1" applyBorder="1" applyAlignment="1" applyProtection="1">
      <alignment horizontal="center" shrinkToFit="1"/>
      <protection locked="0" hidden="1"/>
    </xf>
    <xf numFmtId="1" fontId="3" fillId="13" borderId="35" xfId="0" applyNumberFormat="1" applyFont="1" applyFill="1" applyBorder="1" applyAlignment="1" applyProtection="1">
      <alignment horizontal="center"/>
      <protection locked="0" hidden="1"/>
    </xf>
    <xf numFmtId="1" fontId="3" fillId="13" borderId="83" xfId="0" applyNumberFormat="1" applyFont="1" applyFill="1" applyBorder="1" applyAlignment="1" applyProtection="1">
      <alignment horizontal="center"/>
      <protection locked="0" hidden="1"/>
    </xf>
    <xf numFmtId="1" fontId="3" fillId="13" borderId="84" xfId="0" applyNumberFormat="1" applyFont="1" applyFill="1" applyBorder="1" applyAlignment="1" applyProtection="1">
      <alignment horizontal="center"/>
      <protection locked="0" hidden="1"/>
    </xf>
    <xf numFmtId="3" fontId="3" fillId="0" borderId="52" xfId="0" applyNumberFormat="1" applyFont="1" applyBorder="1" applyAlignment="1" applyProtection="1">
      <alignment horizontal="center" vertical="center"/>
      <protection locked="0" hidden="1"/>
    </xf>
    <xf numFmtId="3" fontId="3" fillId="0" borderId="40" xfId="0" applyNumberFormat="1" applyFont="1" applyBorder="1" applyAlignment="1" applyProtection="1">
      <alignment horizontal="center" vertical="center"/>
      <protection locked="0" hidden="1"/>
    </xf>
    <xf numFmtId="3" fontId="3" fillId="0" borderId="51" xfId="0" applyNumberFormat="1" applyFont="1" applyBorder="1" applyAlignment="1" applyProtection="1">
      <alignment horizontal="center" vertical="center"/>
      <protection locked="0" hidden="1"/>
    </xf>
    <xf numFmtId="0" fontId="8" fillId="0" borderId="56" xfId="0" applyFont="1" applyFill="1" applyBorder="1" applyAlignment="1" applyProtection="1">
      <alignment horizontal="center" vertical="center" wrapText="1"/>
      <protection hidden="1"/>
    </xf>
    <xf numFmtId="0" fontId="8" fillId="0" borderId="57" xfId="0" applyFont="1" applyFill="1" applyBorder="1" applyAlignment="1" applyProtection="1">
      <alignment horizontal="center" vertical="center" wrapText="1"/>
      <protection hidden="1"/>
    </xf>
    <xf numFmtId="0" fontId="8" fillId="0" borderId="58" xfId="0" applyFont="1" applyFill="1" applyBorder="1" applyAlignment="1" applyProtection="1">
      <alignment horizontal="center" vertical="center" wrapText="1"/>
      <protection hidden="1"/>
    </xf>
    <xf numFmtId="0" fontId="33" fillId="0" borderId="10" xfId="0" applyFont="1" applyBorder="1" applyAlignment="1" applyProtection="1">
      <alignment horizontal="left" wrapText="1"/>
      <protection hidden="1"/>
    </xf>
    <xf numFmtId="0" fontId="33" fillId="0" borderId="11" xfId="0" applyFont="1" applyBorder="1" applyAlignment="1" applyProtection="1">
      <alignment horizontal="left" wrapText="1"/>
      <protection hidden="1"/>
    </xf>
    <xf numFmtId="0" fontId="33" fillId="0" borderId="12" xfId="0" applyFont="1" applyBorder="1" applyAlignment="1" applyProtection="1">
      <alignment horizontal="left" wrapText="1"/>
      <protection hidden="1"/>
    </xf>
    <xf numFmtId="0" fontId="0" fillId="13" borderId="7" xfId="0" applyFont="1" applyFill="1" applyBorder="1" applyAlignment="1" applyProtection="1">
      <alignment horizontal="center"/>
      <protection hidden="1"/>
    </xf>
    <xf numFmtId="0" fontId="0" fillId="13" borderId="0" xfId="0" applyFont="1" applyFill="1" applyBorder="1" applyAlignment="1" applyProtection="1">
      <alignment horizontal="center"/>
      <protection hidden="1"/>
    </xf>
    <xf numFmtId="0" fontId="23" fillId="13" borderId="16" xfId="0" applyFont="1" applyFill="1" applyBorder="1" applyAlignment="1" applyProtection="1">
      <alignment horizontal="left"/>
      <protection hidden="1"/>
    </xf>
    <xf numFmtId="0" fontId="23" fillId="13" borderId="13" xfId="0" applyFont="1" applyFill="1" applyBorder="1" applyAlignment="1" applyProtection="1">
      <alignment horizontal="left"/>
      <protection hidden="1"/>
    </xf>
    <xf numFmtId="0" fontId="23" fillId="13" borderId="14" xfId="0" applyFont="1" applyFill="1" applyBorder="1" applyAlignment="1" applyProtection="1">
      <alignment horizontal="left"/>
      <protection hidden="1"/>
    </xf>
    <xf numFmtId="0" fontId="4" fillId="13" borderId="0" xfId="0" applyFont="1" applyFill="1" applyBorder="1" applyAlignment="1" applyProtection="1">
      <alignment horizontal="center" vertical="center"/>
      <protection hidden="1"/>
    </xf>
    <xf numFmtId="0" fontId="4" fillId="13" borderId="9" xfId="0" applyFont="1" applyFill="1" applyBorder="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27" fillId="13" borderId="13" xfId="0" applyFont="1" applyFill="1" applyBorder="1" applyAlignment="1" applyProtection="1">
      <alignment horizontal="left"/>
      <protection hidden="1"/>
    </xf>
    <xf numFmtId="0" fontId="27" fillId="13" borderId="13" xfId="0" applyFont="1" applyFill="1" applyBorder="1" applyAlignment="1" applyProtection="1">
      <alignment horizontal="center"/>
      <protection hidden="1"/>
    </xf>
    <xf numFmtId="0" fontId="27" fillId="13" borderId="13" xfId="0" applyFont="1" applyFill="1" applyBorder="1" applyAlignment="1" applyProtection="1">
      <alignment horizontal="right"/>
      <protection hidden="1"/>
    </xf>
    <xf numFmtId="0" fontId="27" fillId="13" borderId="35" xfId="0" applyFont="1" applyFill="1" applyBorder="1" applyAlignment="1" applyProtection="1">
      <alignment horizontal="right"/>
      <protection hidden="1"/>
    </xf>
    <xf numFmtId="0" fontId="6" fillId="2" borderId="0" xfId="0" applyFont="1" applyFill="1" applyBorder="1" applyAlignment="1" applyProtection="1">
      <alignment horizontal="center" shrinkToFit="1"/>
      <protection locked="0"/>
    </xf>
    <xf numFmtId="0" fontId="6" fillId="2" borderId="0" xfId="0" applyFont="1" applyFill="1" applyBorder="1" applyAlignment="1" applyProtection="1">
      <alignment horizontal="left" shrinkToFit="1"/>
      <protection locked="0"/>
    </xf>
    <xf numFmtId="0" fontId="14" fillId="13" borderId="0" xfId="0" applyFont="1" applyFill="1" applyBorder="1" applyAlignment="1" applyProtection="1">
      <alignment horizontal="left"/>
      <protection hidden="1"/>
    </xf>
    <xf numFmtId="0" fontId="27" fillId="13" borderId="0" xfId="0" applyFont="1" applyFill="1" applyBorder="1" applyAlignment="1" applyProtection="1">
      <alignment horizontal="center"/>
      <protection hidden="1"/>
    </xf>
    <xf numFmtId="0" fontId="14" fillId="13" borderId="0" xfId="0" applyFont="1" applyFill="1" applyBorder="1" applyAlignment="1" applyProtection="1">
      <alignment horizontal="center" vertical="center"/>
      <protection hidden="1"/>
    </xf>
    <xf numFmtId="0" fontId="14" fillId="13" borderId="22" xfId="0" applyFont="1" applyFill="1" applyBorder="1" applyAlignment="1" applyProtection="1">
      <alignment horizontal="center" vertical="center"/>
      <protection hidden="1"/>
    </xf>
    <xf numFmtId="0" fontId="27" fillId="13" borderId="0" xfId="0" applyFont="1" applyFill="1" applyBorder="1" applyAlignment="1" applyProtection="1">
      <alignment horizontal="left"/>
      <protection hidden="1"/>
    </xf>
    <xf numFmtId="0" fontId="14" fillId="13" borderId="0" xfId="0" applyFont="1" applyFill="1" applyBorder="1" applyAlignment="1" applyProtection="1">
      <alignment horizontal="left" vertical="center" shrinkToFit="1"/>
      <protection hidden="1"/>
    </xf>
    <xf numFmtId="0" fontId="14" fillId="13" borderId="0" xfId="0" applyFont="1" applyFill="1" applyBorder="1" applyAlignment="1" applyProtection="1">
      <alignment horizontal="left" shrinkToFit="1"/>
      <protection hidden="1"/>
    </xf>
    <xf numFmtId="0" fontId="35" fillId="13" borderId="0" xfId="0" applyFont="1" applyFill="1" applyBorder="1" applyAlignment="1" applyProtection="1">
      <alignment horizontal="center"/>
      <protection hidden="1"/>
    </xf>
    <xf numFmtId="0" fontId="35" fillId="13" borderId="22" xfId="0" applyFont="1" applyFill="1" applyBorder="1" applyAlignment="1" applyProtection="1">
      <alignment horizontal="center"/>
      <protection hidden="1"/>
    </xf>
    <xf numFmtId="0" fontId="8" fillId="13" borderId="0" xfId="0" applyFont="1" applyFill="1" applyBorder="1" applyAlignment="1" applyProtection="1">
      <alignment horizontal="left" wrapText="1"/>
      <protection hidden="1"/>
    </xf>
    <xf numFmtId="0" fontId="27" fillId="13" borderId="0" xfId="0" applyFont="1" applyFill="1" applyBorder="1" applyAlignment="1" applyProtection="1">
      <alignment horizontal="left" vertical="center"/>
      <protection hidden="1"/>
    </xf>
    <xf numFmtId="0" fontId="4" fillId="2" borderId="0" xfId="0" applyFont="1" applyFill="1" applyBorder="1" applyAlignment="1" applyProtection="1">
      <alignment horizontal="center" vertical="center" shrinkToFit="1"/>
      <protection hidden="1"/>
    </xf>
    <xf numFmtId="49" fontId="20" fillId="13" borderId="0" xfId="0" applyNumberFormat="1" applyFont="1" applyFill="1" applyBorder="1" applyAlignment="1" applyProtection="1">
      <alignment horizontal="center"/>
      <protection hidden="1"/>
    </xf>
    <xf numFmtId="0" fontId="14" fillId="13" borderId="13" xfId="0" applyFont="1" applyFill="1" applyBorder="1" applyAlignment="1" applyProtection="1">
      <alignment horizontal="left" vertical="center"/>
      <protection hidden="1"/>
    </xf>
    <xf numFmtId="0" fontId="4" fillId="13" borderId="24" xfId="0" applyFont="1" applyFill="1" applyBorder="1" applyAlignment="1" applyProtection="1">
      <alignment horizontal="center" vertical="center"/>
      <protection hidden="1"/>
    </xf>
    <xf numFmtId="0" fontId="14" fillId="0" borderId="0" xfId="0" applyFont="1" applyFill="1" applyBorder="1" applyAlignment="1" applyProtection="1">
      <alignment horizontal="center" shrinkToFit="1"/>
      <protection locked="0"/>
    </xf>
    <xf numFmtId="0" fontId="14" fillId="13" borderId="13" xfId="0" applyFont="1" applyFill="1" applyBorder="1" applyAlignment="1" applyProtection="1">
      <alignment horizontal="left" vertical="top" wrapText="1"/>
      <protection hidden="1"/>
    </xf>
    <xf numFmtId="0" fontId="14" fillId="13" borderId="0" xfId="0" applyFont="1" applyFill="1" applyBorder="1" applyAlignment="1" applyProtection="1">
      <alignment horizontal="left" vertical="top" wrapText="1"/>
      <protection hidden="1"/>
    </xf>
    <xf numFmtId="0" fontId="22" fillId="13" borderId="13" xfId="0" applyFont="1" applyFill="1" applyBorder="1" applyAlignment="1" applyProtection="1">
      <alignment horizontal="left" vertical="top" wrapText="1"/>
      <protection hidden="1"/>
    </xf>
    <xf numFmtId="0" fontId="22" fillId="13" borderId="0" xfId="0" applyFont="1" applyFill="1" applyBorder="1" applyAlignment="1" applyProtection="1">
      <alignment horizontal="left" vertical="top" wrapText="1"/>
      <protection hidden="1"/>
    </xf>
    <xf numFmtId="0" fontId="0" fillId="0" borderId="0" xfId="0" applyFill="1" applyBorder="1" applyAlignment="1" applyProtection="1">
      <alignment horizontal="center"/>
      <protection hidden="1"/>
    </xf>
    <xf numFmtId="14" fontId="13" fillId="12" borderId="48" xfId="0" applyNumberFormat="1" applyFont="1" applyFill="1" applyBorder="1" applyAlignment="1" applyProtection="1">
      <alignment horizontal="center" shrinkToFit="1"/>
      <protection locked="0"/>
    </xf>
    <xf numFmtId="14" fontId="13" fillId="12" borderId="49" xfId="0" applyNumberFormat="1" applyFont="1" applyFill="1" applyBorder="1" applyAlignment="1" applyProtection="1">
      <alignment horizontal="center" shrinkToFit="1"/>
      <protection locked="0"/>
    </xf>
    <xf numFmtId="14" fontId="13" fillId="12" borderId="50" xfId="0" applyNumberFormat="1" applyFont="1" applyFill="1" applyBorder="1" applyAlignment="1" applyProtection="1">
      <alignment horizontal="center" shrinkToFit="1"/>
      <protection locked="0"/>
    </xf>
    <xf numFmtId="0" fontId="5" fillId="0" borderId="32" xfId="0" applyFont="1" applyBorder="1" applyAlignment="1" applyProtection="1">
      <alignment horizontal="center"/>
      <protection locked="0" hidden="1"/>
    </xf>
    <xf numFmtId="0" fontId="5" fillId="0" borderId="80" xfId="0" applyFont="1" applyBorder="1" applyAlignment="1" applyProtection="1">
      <alignment horizontal="center"/>
      <protection locked="0" hidden="1"/>
    </xf>
    <xf numFmtId="0" fontId="5" fillId="0" borderId="81" xfId="0" applyFont="1" applyBorder="1" applyAlignment="1" applyProtection="1">
      <alignment horizontal="center"/>
      <protection locked="0" hidden="1"/>
    </xf>
    <xf numFmtId="43" fontId="18" fillId="0" borderId="16" xfId="1" applyFont="1" applyBorder="1" applyAlignment="1" applyProtection="1">
      <alignment horizontal="center" vertical="center" wrapText="1"/>
      <protection hidden="1"/>
    </xf>
    <xf numFmtId="43" fontId="18" fillId="0" borderId="13" xfId="1" applyFont="1" applyBorder="1" applyAlignment="1" applyProtection="1">
      <alignment horizontal="center" vertical="center" wrapText="1"/>
      <protection hidden="1"/>
    </xf>
    <xf numFmtId="43" fontId="18" fillId="0" borderId="14" xfId="1" applyFont="1" applyBorder="1" applyAlignment="1" applyProtection="1">
      <alignment horizontal="center" vertical="center" wrapText="1"/>
      <protection hidden="1"/>
    </xf>
    <xf numFmtId="43" fontId="18" fillId="0" borderId="8" xfId="1" applyFont="1" applyBorder="1" applyAlignment="1" applyProtection="1">
      <alignment horizontal="center" vertical="center" wrapText="1"/>
      <protection hidden="1"/>
    </xf>
    <xf numFmtId="43" fontId="18" fillId="0" borderId="9" xfId="1" applyFont="1" applyBorder="1" applyAlignment="1" applyProtection="1">
      <alignment horizontal="center" vertical="center" wrapText="1"/>
      <protection hidden="1"/>
    </xf>
    <xf numFmtId="43" fontId="18" fillId="0" borderId="17" xfId="1" applyFont="1" applyBorder="1" applyAlignment="1" applyProtection="1">
      <alignment horizontal="center" vertical="center" wrapText="1"/>
      <protection hidden="1"/>
    </xf>
    <xf numFmtId="0" fontId="13" fillId="0" borderId="10" xfId="0" applyFont="1" applyBorder="1" applyAlignment="1" applyProtection="1">
      <alignment horizontal="left"/>
      <protection hidden="1"/>
    </xf>
    <xf numFmtId="0" fontId="13" fillId="0" borderId="11" xfId="0" applyFont="1" applyBorder="1" applyAlignment="1" applyProtection="1">
      <alignment horizontal="left"/>
      <protection hidden="1"/>
    </xf>
    <xf numFmtId="0" fontId="0" fillId="0" borderId="8" xfId="0" applyBorder="1" applyAlignment="1" applyProtection="1">
      <alignment horizontal="left"/>
      <protection hidden="1"/>
    </xf>
    <xf numFmtId="0" fontId="0" fillId="0" borderId="9" xfId="0" applyBorder="1" applyAlignment="1" applyProtection="1">
      <alignment horizontal="left"/>
      <protection hidden="1"/>
    </xf>
    <xf numFmtId="0" fontId="21" fillId="0" borderId="59" xfId="0" applyFont="1" applyBorder="1" applyAlignment="1" applyProtection="1">
      <alignment horizontal="left"/>
      <protection hidden="1"/>
    </xf>
    <xf numFmtId="0" fontId="21" fillId="0" borderId="46" xfId="0" applyFont="1" applyBorder="1" applyAlignment="1" applyProtection="1">
      <alignment horizontal="left"/>
      <protection hidden="1"/>
    </xf>
    <xf numFmtId="0" fontId="11" fillId="0" borderId="61" xfId="0" applyFont="1" applyBorder="1" applyAlignment="1" applyProtection="1">
      <alignment horizontal="left" wrapText="1"/>
      <protection hidden="1"/>
    </xf>
    <xf numFmtId="0" fontId="11" fillId="0" borderId="27" xfId="0" applyFont="1" applyBorder="1" applyAlignment="1" applyProtection="1">
      <alignment horizontal="left" wrapText="1"/>
      <protection hidden="1"/>
    </xf>
    <xf numFmtId="3" fontId="20" fillId="2" borderId="33" xfId="0" applyNumberFormat="1" applyFont="1" applyFill="1" applyBorder="1" applyAlignment="1" applyProtection="1">
      <alignment horizontal="center" vertical="center" shrinkToFit="1"/>
      <protection hidden="1"/>
    </xf>
    <xf numFmtId="3" fontId="20" fillId="2" borderId="19" xfId="0" applyNumberFormat="1" applyFont="1" applyFill="1" applyBorder="1" applyAlignment="1" applyProtection="1">
      <alignment horizontal="center" vertical="center" shrinkToFit="1"/>
      <protection hidden="1"/>
    </xf>
    <xf numFmtId="3" fontId="20" fillId="2" borderId="34" xfId="0" applyNumberFormat="1" applyFont="1" applyFill="1" applyBorder="1" applyAlignment="1" applyProtection="1">
      <alignment horizontal="center" vertical="center" shrinkToFit="1"/>
      <protection hidden="1"/>
    </xf>
    <xf numFmtId="3" fontId="31" fillId="12" borderId="23" xfId="0" applyNumberFormat="1" applyFont="1" applyFill="1" applyBorder="1" applyAlignment="1" applyProtection="1">
      <alignment horizontal="center" vertical="center" shrinkToFit="1"/>
      <protection locked="0"/>
    </xf>
    <xf numFmtId="3" fontId="31" fillId="12" borderId="26" xfId="0" applyNumberFormat="1" applyFont="1" applyFill="1" applyBorder="1" applyAlignment="1" applyProtection="1">
      <alignment horizontal="center" vertical="center" shrinkToFit="1"/>
      <protection locked="0"/>
    </xf>
    <xf numFmtId="3" fontId="15" fillId="13" borderId="64" xfId="0" applyNumberFormat="1" applyFont="1" applyFill="1" applyBorder="1" applyAlignment="1" applyProtection="1">
      <alignment horizontal="center" vertical="center" shrinkToFit="1"/>
      <protection locked="0" hidden="1"/>
    </xf>
    <xf numFmtId="0" fontId="11" fillId="0" borderId="10" xfId="0" applyFont="1" applyBorder="1" applyAlignment="1" applyProtection="1">
      <alignment horizontal="center" vertical="center" wrapText="1"/>
      <protection hidden="1"/>
    </xf>
    <xf numFmtId="0" fontId="11" fillId="0" borderId="11" xfId="0" applyFont="1" applyBorder="1" applyAlignment="1" applyProtection="1">
      <alignment horizontal="center" vertical="center" wrapText="1"/>
      <protection hidden="1"/>
    </xf>
    <xf numFmtId="0" fontId="11" fillId="0" borderId="12" xfId="0" applyFont="1" applyBorder="1" applyAlignment="1" applyProtection="1">
      <alignment horizontal="center" vertical="center" wrapText="1"/>
      <protection hidden="1"/>
    </xf>
    <xf numFmtId="0" fontId="20" fillId="2" borderId="16" xfId="0" applyFont="1" applyFill="1" applyBorder="1" applyAlignment="1" applyProtection="1">
      <alignment horizontal="left"/>
      <protection hidden="1"/>
    </xf>
    <xf numFmtId="0" fontId="20" fillId="2" borderId="13" xfId="0" applyFont="1" applyFill="1" applyBorder="1" applyAlignment="1" applyProtection="1">
      <alignment horizontal="left"/>
      <protection hidden="1"/>
    </xf>
    <xf numFmtId="0" fontId="20" fillId="2" borderId="14" xfId="0" applyFont="1" applyFill="1" applyBorder="1" applyAlignment="1" applyProtection="1">
      <alignment horizontal="left"/>
      <protection hidden="1"/>
    </xf>
    <xf numFmtId="0" fontId="22" fillId="2" borderId="8" xfId="0" applyFont="1" applyFill="1" applyBorder="1" applyAlignment="1" applyProtection="1">
      <alignment horizontal="left" wrapText="1"/>
      <protection hidden="1"/>
    </xf>
    <xf numFmtId="0" fontId="22" fillId="2" borderId="9" xfId="0" applyFont="1" applyFill="1" applyBorder="1" applyAlignment="1" applyProtection="1">
      <alignment horizontal="left" wrapText="1"/>
      <protection hidden="1"/>
    </xf>
    <xf numFmtId="0" fontId="22" fillId="2" borderId="17" xfId="0" applyFont="1" applyFill="1" applyBorder="1" applyAlignment="1" applyProtection="1">
      <alignment horizontal="left" wrapText="1"/>
      <protection hidden="1"/>
    </xf>
    <xf numFmtId="3" fontId="20" fillId="12" borderId="53" xfId="0" applyNumberFormat="1" applyFont="1" applyFill="1" applyBorder="1" applyAlignment="1" applyProtection="1">
      <alignment horizontal="center" vertical="center" shrinkToFit="1"/>
      <protection locked="0"/>
    </xf>
    <xf numFmtId="3" fontId="20" fillId="12" borderId="54" xfId="0" applyNumberFormat="1" applyFont="1" applyFill="1" applyBorder="1" applyAlignment="1" applyProtection="1">
      <alignment horizontal="center" vertical="center" shrinkToFit="1"/>
      <protection locked="0"/>
    </xf>
    <xf numFmtId="3" fontId="20" fillId="12" borderId="55" xfId="0" applyNumberFormat="1" applyFont="1" applyFill="1" applyBorder="1" applyAlignment="1" applyProtection="1">
      <alignment horizontal="center" vertical="center" shrinkToFit="1"/>
      <protection locked="0"/>
    </xf>
    <xf numFmtId="3" fontId="20" fillId="12" borderId="68" xfId="0" applyNumberFormat="1" applyFont="1" applyFill="1" applyBorder="1" applyAlignment="1" applyProtection="1">
      <alignment horizontal="center" vertical="center" shrinkToFit="1"/>
      <protection locked="0"/>
    </xf>
    <xf numFmtId="3" fontId="20" fillId="12" borderId="69" xfId="0" applyNumberFormat="1" applyFont="1" applyFill="1" applyBorder="1" applyAlignment="1" applyProtection="1">
      <alignment horizontal="center" vertical="center" shrinkToFit="1"/>
      <protection locked="0"/>
    </xf>
    <xf numFmtId="1" fontId="3" fillId="13" borderId="56" xfId="0" applyNumberFormat="1" applyFont="1" applyFill="1" applyBorder="1" applyAlignment="1" applyProtection="1">
      <alignment horizontal="center" vertical="center" wrapText="1"/>
      <protection locked="0" hidden="1"/>
    </xf>
    <xf numFmtId="1" fontId="3" fillId="13" borderId="57" xfId="0" applyNumberFormat="1" applyFont="1" applyFill="1" applyBorder="1" applyAlignment="1" applyProtection="1">
      <alignment horizontal="center" vertical="center" wrapText="1"/>
      <protection locked="0" hidden="1"/>
    </xf>
    <xf numFmtId="1" fontId="3" fillId="13" borderId="58" xfId="0" applyNumberFormat="1" applyFont="1" applyFill="1" applyBorder="1" applyAlignment="1" applyProtection="1">
      <alignment horizontal="center" vertical="center" wrapText="1"/>
      <protection locked="0" hidden="1"/>
    </xf>
    <xf numFmtId="0" fontId="14" fillId="0" borderId="56" xfId="0" applyFont="1" applyBorder="1" applyAlignment="1" applyProtection="1">
      <alignment horizontal="center" vertical="center"/>
      <protection hidden="1"/>
    </xf>
    <xf numFmtId="0" fontId="14" fillId="0" borderId="57" xfId="0" applyFont="1" applyBorder="1" applyAlignment="1" applyProtection="1">
      <alignment horizontal="center" vertical="center"/>
      <protection hidden="1"/>
    </xf>
    <xf numFmtId="0" fontId="14" fillId="0" borderId="58" xfId="0" applyFont="1" applyBorder="1" applyAlignment="1" applyProtection="1">
      <alignment horizontal="center" vertical="center"/>
      <protection hidden="1"/>
    </xf>
    <xf numFmtId="0" fontId="0" fillId="0" borderId="82" xfId="0" applyFont="1" applyBorder="1" applyAlignment="1" applyProtection="1">
      <alignment horizontal="center" vertical="center" wrapText="1"/>
      <protection hidden="1"/>
    </xf>
    <xf numFmtId="0" fontId="0" fillId="0" borderId="83" xfId="0" applyFont="1" applyBorder="1" applyAlignment="1" applyProtection="1">
      <alignment horizontal="center" vertical="center" wrapText="1"/>
      <protection hidden="1"/>
    </xf>
    <xf numFmtId="0" fontId="0" fillId="0" borderId="84" xfId="0" applyFont="1" applyBorder="1" applyAlignment="1" applyProtection="1">
      <alignment horizontal="center" vertical="center" wrapText="1"/>
      <protection hidden="1"/>
    </xf>
    <xf numFmtId="3" fontId="3" fillId="13" borderId="56" xfId="0" applyNumberFormat="1" applyFont="1" applyFill="1" applyBorder="1" applyAlignment="1" applyProtection="1">
      <alignment horizontal="center" vertical="center"/>
      <protection locked="0" hidden="1"/>
    </xf>
    <xf numFmtId="3" fontId="3" fillId="13" borderId="57" xfId="0" applyNumberFormat="1" applyFont="1" applyFill="1" applyBorder="1" applyAlignment="1" applyProtection="1">
      <alignment horizontal="center" vertical="center"/>
      <protection locked="0" hidden="1"/>
    </xf>
    <xf numFmtId="3" fontId="3" fillId="13" borderId="64" xfId="0" applyNumberFormat="1" applyFont="1" applyFill="1" applyBorder="1" applyAlignment="1" applyProtection="1">
      <alignment horizontal="center" vertical="center"/>
      <protection locked="0" hidden="1"/>
    </xf>
    <xf numFmtId="3" fontId="3" fillId="13" borderId="58" xfId="0" applyNumberFormat="1" applyFont="1" applyFill="1" applyBorder="1" applyAlignment="1" applyProtection="1">
      <alignment horizontal="center" vertical="center"/>
      <protection locked="0" hidden="1"/>
    </xf>
    <xf numFmtId="0" fontId="14" fillId="0" borderId="64" xfId="0" applyFont="1" applyBorder="1" applyAlignment="1" applyProtection="1">
      <alignment horizontal="center" vertical="center"/>
      <protection hidden="1"/>
    </xf>
    <xf numFmtId="1" fontId="3" fillId="13" borderId="69" xfId="0" applyNumberFormat="1" applyFont="1" applyFill="1" applyBorder="1" applyAlignment="1" applyProtection="1">
      <alignment horizontal="center" vertical="center" wrapText="1"/>
      <protection locked="0" hidden="1"/>
    </xf>
    <xf numFmtId="1" fontId="3" fillId="13" borderId="45" xfId="0" applyNumberFormat="1" applyFont="1" applyFill="1" applyBorder="1" applyAlignment="1" applyProtection="1">
      <alignment horizontal="center" vertical="center" wrapText="1"/>
      <protection locked="0" hidden="1"/>
    </xf>
    <xf numFmtId="3" fontId="3" fillId="13" borderId="79" xfId="0" applyNumberFormat="1" applyFont="1" applyFill="1" applyBorder="1" applyAlignment="1" applyProtection="1">
      <alignment horizontal="center" shrinkToFit="1"/>
      <protection locked="0" hidden="1"/>
    </xf>
    <xf numFmtId="3" fontId="3" fillId="13" borderId="80" xfId="0" applyNumberFormat="1" applyFont="1" applyFill="1" applyBorder="1" applyAlignment="1" applyProtection="1">
      <alignment horizontal="center" shrinkToFit="1"/>
      <protection locked="0" hidden="1"/>
    </xf>
    <xf numFmtId="3" fontId="3" fillId="13" borderId="81" xfId="0" applyNumberFormat="1" applyFont="1" applyFill="1" applyBorder="1" applyAlignment="1" applyProtection="1">
      <alignment horizontal="center" shrinkToFit="1"/>
      <protection locked="0" hidden="1"/>
    </xf>
    <xf numFmtId="3" fontId="3" fillId="13" borderId="31" xfId="0" applyNumberFormat="1" applyFont="1" applyFill="1" applyBorder="1" applyAlignment="1" applyProtection="1">
      <alignment horizontal="center" shrinkToFit="1"/>
      <protection locked="0" hidden="1"/>
    </xf>
    <xf numFmtId="3" fontId="3" fillId="13" borderId="23" xfId="0" applyNumberFormat="1" applyFont="1" applyFill="1" applyBorder="1" applyAlignment="1" applyProtection="1">
      <alignment horizontal="center" shrinkToFit="1"/>
      <protection locked="0" hidden="1"/>
    </xf>
    <xf numFmtId="3" fontId="13" fillId="12" borderId="42" xfId="0" applyNumberFormat="1" applyFont="1" applyFill="1" applyBorder="1" applyAlignment="1" applyProtection="1">
      <alignment horizontal="center" shrinkToFit="1"/>
      <protection locked="0"/>
    </xf>
    <xf numFmtId="3" fontId="13" fillId="12" borderId="45" xfId="0" applyNumberFormat="1" applyFont="1" applyFill="1" applyBorder="1" applyAlignment="1" applyProtection="1">
      <alignment horizontal="center" shrinkToFit="1"/>
      <protection locked="0"/>
    </xf>
    <xf numFmtId="3" fontId="13" fillId="12" borderId="44" xfId="0" applyNumberFormat="1" applyFont="1" applyFill="1" applyBorder="1" applyAlignment="1" applyProtection="1">
      <alignment horizontal="center" shrinkToFit="1"/>
      <protection locked="0"/>
    </xf>
    <xf numFmtId="9" fontId="13" fillId="12" borderId="20" xfId="0" applyNumberFormat="1" applyFont="1" applyFill="1" applyBorder="1" applyAlignment="1" applyProtection="1">
      <alignment horizontal="center" vertical="center" shrinkToFit="1"/>
      <protection locked="0"/>
    </xf>
    <xf numFmtId="0" fontId="8" fillId="0" borderId="59" xfId="0" applyFont="1" applyBorder="1" applyAlignment="1" applyProtection="1">
      <alignment horizontal="left" wrapText="1"/>
      <protection hidden="1"/>
    </xf>
    <xf numFmtId="0" fontId="8" fillId="0" borderId="46" xfId="0" applyFont="1" applyBorder="1" applyAlignment="1" applyProtection="1">
      <alignment horizontal="left" wrapText="1"/>
      <protection hidden="1"/>
    </xf>
    <xf numFmtId="0" fontId="8" fillId="0" borderId="60" xfId="0" applyFont="1" applyBorder="1" applyAlignment="1" applyProtection="1">
      <alignment horizontal="left" wrapText="1"/>
      <protection hidden="1"/>
    </xf>
    <xf numFmtId="0" fontId="8" fillId="0" borderId="50" xfId="0" applyFont="1" applyBorder="1" applyAlignment="1" applyProtection="1">
      <alignment horizontal="left" wrapText="1"/>
      <protection hidden="1"/>
    </xf>
    <xf numFmtId="0" fontId="0" fillId="2" borderId="68" xfId="0" applyFill="1" applyBorder="1" applyAlignment="1" applyProtection="1">
      <alignment horizontal="center"/>
      <protection hidden="1"/>
    </xf>
    <xf numFmtId="0" fontId="0" fillId="2" borderId="54" xfId="0" applyFill="1" applyBorder="1" applyAlignment="1" applyProtection="1">
      <alignment horizontal="center"/>
      <protection hidden="1"/>
    </xf>
    <xf numFmtId="0" fontId="0" fillId="2" borderId="55" xfId="0" applyFill="1" applyBorder="1" applyAlignment="1" applyProtection="1">
      <alignment horizontal="center"/>
      <protection hidden="1"/>
    </xf>
    <xf numFmtId="0" fontId="0" fillId="2" borderId="53" xfId="0" applyFill="1" applyBorder="1" applyAlignment="1" applyProtection="1">
      <alignment horizontal="center"/>
      <protection hidden="1"/>
    </xf>
    <xf numFmtId="0" fontId="0" fillId="2" borderId="69" xfId="0" applyFill="1" applyBorder="1" applyAlignment="1" applyProtection="1">
      <alignment horizontal="center"/>
      <protection hidden="1"/>
    </xf>
    <xf numFmtId="0" fontId="0" fillId="0" borderId="39" xfId="0" applyFont="1" applyBorder="1" applyAlignment="1" applyProtection="1">
      <alignment horizontal="left" wrapText="1"/>
      <protection hidden="1"/>
    </xf>
    <xf numFmtId="0" fontId="0" fillId="0" borderId="40" xfId="0" applyFont="1" applyBorder="1" applyAlignment="1" applyProtection="1">
      <alignment horizontal="left" wrapText="1"/>
      <protection hidden="1"/>
    </xf>
    <xf numFmtId="0" fontId="0" fillId="0" borderId="51" xfId="0" applyFont="1" applyBorder="1" applyAlignment="1" applyProtection="1">
      <alignment horizontal="left" wrapText="1"/>
      <protection hidden="1"/>
    </xf>
    <xf numFmtId="49" fontId="4" fillId="12" borderId="47" xfId="0" applyNumberFormat="1" applyFont="1" applyFill="1" applyBorder="1" applyAlignment="1" applyProtection="1">
      <alignment horizontal="center" vertical="center" shrinkToFit="1"/>
      <protection locked="0"/>
    </xf>
    <xf numFmtId="49" fontId="4" fillId="12" borderId="43" xfId="0" applyNumberFormat="1" applyFont="1" applyFill="1" applyBorder="1" applyAlignment="1" applyProtection="1">
      <alignment horizontal="center" vertical="center" shrinkToFit="1"/>
      <protection locked="0"/>
    </xf>
    <xf numFmtId="49" fontId="4" fillId="12" borderId="44" xfId="0" applyNumberFormat="1" applyFont="1" applyFill="1" applyBorder="1" applyAlignment="1" applyProtection="1">
      <alignment horizontal="center" vertical="center" shrinkToFit="1"/>
      <protection locked="0"/>
    </xf>
    <xf numFmtId="49" fontId="4" fillId="12" borderId="42" xfId="0" applyNumberFormat="1" applyFont="1" applyFill="1" applyBorder="1" applyAlignment="1" applyProtection="1">
      <alignment horizontal="center" vertical="center" shrinkToFit="1"/>
      <protection locked="0"/>
    </xf>
    <xf numFmtId="49" fontId="4" fillId="12" borderId="45" xfId="0" applyNumberFormat="1" applyFont="1" applyFill="1" applyBorder="1" applyAlignment="1" applyProtection="1">
      <alignment horizontal="center" vertical="center" shrinkToFit="1"/>
      <protection locked="0"/>
    </xf>
    <xf numFmtId="0" fontId="0" fillId="0" borderId="71" xfId="0" applyFont="1" applyBorder="1" applyAlignment="1" applyProtection="1">
      <alignment horizontal="left" wrapText="1"/>
      <protection hidden="1"/>
    </xf>
    <xf numFmtId="0" fontId="0" fillId="0" borderId="66" xfId="0" applyFont="1" applyBorder="1" applyAlignment="1" applyProtection="1">
      <alignment horizontal="left" wrapText="1"/>
      <protection hidden="1"/>
    </xf>
    <xf numFmtId="0" fontId="0" fillId="0" borderId="23" xfId="0" applyFont="1" applyBorder="1" applyAlignment="1" applyProtection="1">
      <alignment horizontal="left" wrapText="1"/>
      <protection hidden="1"/>
    </xf>
    <xf numFmtId="1" fontId="3" fillId="13" borderId="82" xfId="0" applyNumberFormat="1" applyFont="1" applyFill="1" applyBorder="1" applyAlignment="1" applyProtection="1">
      <alignment horizontal="center"/>
      <protection locked="0" hidden="1"/>
    </xf>
    <xf numFmtId="0" fontId="4" fillId="12" borderId="42" xfId="0" applyFont="1" applyFill="1" applyBorder="1" applyAlignment="1" applyProtection="1">
      <alignment horizontal="left" shrinkToFit="1"/>
      <protection locked="0"/>
    </xf>
    <xf numFmtId="0" fontId="4" fillId="12" borderId="43" xfId="0" applyFont="1" applyFill="1" applyBorder="1" applyAlignment="1" applyProtection="1">
      <alignment horizontal="left" shrinkToFit="1"/>
      <protection locked="0"/>
    </xf>
    <xf numFmtId="0" fontId="4" fillId="12" borderId="45" xfId="0" applyFont="1" applyFill="1" applyBorder="1" applyAlignment="1" applyProtection="1">
      <alignment horizontal="left" shrinkToFit="1"/>
      <protection locked="0"/>
    </xf>
    <xf numFmtId="0" fontId="4" fillId="12" borderId="44" xfId="0" applyFont="1" applyFill="1" applyBorder="1" applyAlignment="1" applyProtection="1">
      <alignment horizontal="left" shrinkToFit="1"/>
      <protection locked="0"/>
    </xf>
    <xf numFmtId="14" fontId="13" fillId="12" borderId="49" xfId="0" applyNumberFormat="1" applyFont="1" applyFill="1" applyBorder="1" applyAlignment="1" applyProtection="1">
      <alignment horizontal="center"/>
      <protection locked="0"/>
    </xf>
    <xf numFmtId="14" fontId="13" fillId="12" borderId="68" xfId="0" applyNumberFormat="1" applyFont="1" applyFill="1" applyBorder="1" applyAlignment="1" applyProtection="1">
      <alignment horizontal="center"/>
      <protection locked="0"/>
    </xf>
    <xf numFmtId="0" fontId="4" fillId="0" borderId="48" xfId="0" applyFont="1" applyBorder="1" applyAlignment="1" applyProtection="1">
      <alignment horizontal="left" vertical="center" wrapText="1"/>
      <protection hidden="1"/>
    </xf>
    <xf numFmtId="0" fontId="4" fillId="0" borderId="49" xfId="0" applyFont="1" applyBorder="1" applyAlignment="1" applyProtection="1">
      <alignment horizontal="left" vertical="center" wrapText="1"/>
      <protection hidden="1"/>
    </xf>
    <xf numFmtId="1" fontId="26" fillId="13" borderId="16" xfId="0" applyNumberFormat="1" applyFont="1" applyFill="1" applyBorder="1" applyAlignment="1" applyProtection="1">
      <alignment horizontal="center"/>
      <protection locked="0" hidden="1"/>
    </xf>
    <xf numFmtId="1" fontId="26" fillId="13" borderId="13" xfId="0" applyNumberFormat="1" applyFont="1" applyFill="1" applyBorder="1" applyAlignment="1" applyProtection="1">
      <alignment horizontal="center"/>
      <protection locked="0" hidden="1"/>
    </xf>
    <xf numFmtId="0" fontId="0" fillId="0" borderId="61" xfId="0" applyFont="1" applyBorder="1" applyAlignment="1" applyProtection="1">
      <alignment horizontal="left" vertical="center" wrapText="1"/>
      <protection hidden="1"/>
    </xf>
    <xf numFmtId="0" fontId="0" fillId="0" borderId="27" xfId="0" applyFont="1" applyBorder="1" applyAlignment="1" applyProtection="1">
      <alignment horizontal="left" vertical="center" wrapText="1"/>
      <protection hidden="1"/>
    </xf>
    <xf numFmtId="0" fontId="0" fillId="0" borderId="7" xfId="0" applyFont="1"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0" fontId="0" fillId="0" borderId="8" xfId="0" applyFont="1" applyBorder="1" applyAlignment="1" applyProtection="1">
      <alignment horizontal="left" vertical="center" wrapText="1"/>
      <protection hidden="1"/>
    </xf>
    <xf numFmtId="0" fontId="0" fillId="0" borderId="9" xfId="0" applyFont="1" applyBorder="1" applyAlignment="1" applyProtection="1">
      <alignment horizontal="left" vertical="center" wrapText="1"/>
      <protection hidden="1"/>
    </xf>
    <xf numFmtId="0" fontId="4" fillId="12" borderId="27" xfId="0" applyFont="1" applyFill="1" applyBorder="1" applyAlignment="1" applyProtection="1">
      <alignment horizontal="left"/>
      <protection locked="0"/>
    </xf>
    <xf numFmtId="0" fontId="4" fillId="12" borderId="28" xfId="0" applyFont="1" applyFill="1" applyBorder="1" applyAlignment="1" applyProtection="1">
      <alignment horizontal="left"/>
      <protection locked="0"/>
    </xf>
    <xf numFmtId="0" fontId="4" fillId="0" borderId="53" xfId="0" applyFont="1" applyBorder="1" applyAlignment="1" applyProtection="1">
      <alignment horizontal="left" vertical="center" wrapText="1"/>
      <protection hidden="1"/>
    </xf>
    <xf numFmtId="0" fontId="4" fillId="0" borderId="54" xfId="0" applyFont="1" applyBorder="1" applyAlignment="1" applyProtection="1">
      <alignment horizontal="left" vertical="center" wrapText="1"/>
      <protection hidden="1"/>
    </xf>
    <xf numFmtId="0" fontId="4" fillId="12" borderId="46" xfId="0" applyFont="1" applyFill="1" applyBorder="1" applyAlignment="1" applyProtection="1">
      <alignment horizontal="left"/>
      <protection locked="0"/>
    </xf>
    <xf numFmtId="0" fontId="4" fillId="12" borderId="60" xfId="0" applyFont="1" applyFill="1" applyBorder="1" applyAlignment="1" applyProtection="1">
      <alignment horizontal="left"/>
      <protection locked="0"/>
    </xf>
    <xf numFmtId="0" fontId="0" fillId="0" borderId="16" xfId="0" applyFont="1" applyBorder="1" applyAlignment="1" applyProtection="1">
      <alignment horizontal="left" vertical="center"/>
      <protection hidden="1"/>
    </xf>
    <xf numFmtId="0" fontId="0" fillId="0" borderId="13" xfId="0" applyFont="1" applyBorder="1" applyAlignment="1" applyProtection="1">
      <alignment horizontal="left" vertical="center"/>
      <protection hidden="1"/>
    </xf>
    <xf numFmtId="0" fontId="0" fillId="0" borderId="14" xfId="0" applyFont="1" applyBorder="1" applyAlignment="1" applyProtection="1">
      <alignment horizontal="left" vertical="center"/>
      <protection hidden="1"/>
    </xf>
    <xf numFmtId="0" fontId="0" fillId="0" borderId="8" xfId="0" applyFont="1" applyBorder="1" applyAlignment="1" applyProtection="1">
      <alignment horizontal="left" vertical="center"/>
      <protection hidden="1"/>
    </xf>
    <xf numFmtId="0" fontId="0" fillId="0" borderId="9" xfId="0" applyFont="1" applyBorder="1" applyAlignment="1" applyProtection="1">
      <alignment horizontal="left" vertical="center"/>
      <protection hidden="1"/>
    </xf>
    <xf numFmtId="0" fontId="0" fillId="0" borderId="17" xfId="0" applyFont="1" applyBorder="1" applyAlignment="1" applyProtection="1">
      <alignment horizontal="left" vertical="center"/>
      <protection hidden="1"/>
    </xf>
    <xf numFmtId="0" fontId="13" fillId="12" borderId="60" xfId="0" applyFont="1" applyFill="1" applyBorder="1" applyAlignment="1" applyProtection="1">
      <alignment horizontal="left" vertical="center" shrinkToFit="1"/>
      <protection locked="0"/>
    </xf>
    <xf numFmtId="0" fontId="0" fillId="0" borderId="42" xfId="0" applyFont="1" applyBorder="1" applyAlignment="1" applyProtection="1">
      <alignment horizontal="left" wrapText="1"/>
      <protection hidden="1"/>
    </xf>
    <xf numFmtId="0" fontId="0" fillId="0" borderId="43" xfId="0" applyFont="1" applyBorder="1" applyAlignment="1" applyProtection="1">
      <alignment horizontal="left" wrapText="1"/>
      <protection hidden="1"/>
    </xf>
    <xf numFmtId="0" fontId="0" fillId="0" borderId="45" xfId="0" applyFont="1" applyBorder="1" applyAlignment="1" applyProtection="1">
      <alignment horizontal="left" wrapText="1"/>
      <protection hidden="1"/>
    </xf>
    <xf numFmtId="0" fontId="25" fillId="0" borderId="18" xfId="0" applyFont="1" applyBorder="1" applyAlignment="1" applyProtection="1">
      <alignment horizontal="center" vertical="center" wrapText="1"/>
      <protection hidden="1"/>
    </xf>
    <xf numFmtId="0" fontId="25" fillId="0" borderId="10" xfId="0" applyFont="1" applyBorder="1" applyAlignment="1" applyProtection="1">
      <alignment horizontal="center" vertical="center" wrapText="1"/>
      <protection hidden="1"/>
    </xf>
    <xf numFmtId="3" fontId="4" fillId="12" borderId="18" xfId="0" applyNumberFormat="1" applyFont="1" applyFill="1" applyBorder="1" applyAlignment="1" applyProtection="1">
      <alignment horizontal="center" vertical="center" shrinkToFit="1"/>
      <protection locked="0"/>
    </xf>
  </cellXfs>
  <cellStyles count="5">
    <cellStyle name="Čiarka" xfId="1" builtinId="3"/>
    <cellStyle name="Hypertextové prepojenie" xfId="2" builtinId="8"/>
    <cellStyle name="Normal_vzorvykazov98" xfId="3"/>
    <cellStyle name="Normálna" xfId="0" builtinId="0"/>
    <cellStyle name="Percentá" xfId="4" builtinId="5"/>
  </cellStyles>
  <dxfs count="40">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EH3711"/>
  <sheetViews>
    <sheetView zoomScaleNormal="100" workbookViewId="0">
      <selection activeCell="BY1" sqref="BY1:BZ65536"/>
    </sheetView>
  </sheetViews>
  <sheetFormatPr defaultColWidth="2.875" defaultRowHeight="14.3" x14ac:dyDescent="0.25"/>
  <cols>
    <col min="1" max="1" width="2.875" style="54" customWidth="1"/>
    <col min="2" max="3" width="2.875" style="54"/>
    <col min="4" max="4" width="3" style="54" bestFit="1" customWidth="1"/>
    <col min="5" max="7" width="2.875" style="54"/>
    <col min="8" max="9" width="2.875" style="54" customWidth="1"/>
    <col min="10" max="10" width="42.5" style="54" customWidth="1"/>
    <col min="11" max="11" width="2.875" style="54" customWidth="1"/>
    <col min="12" max="12" width="2.875" style="54"/>
    <col min="13" max="44" width="2.875" style="54" hidden="1" customWidth="1"/>
    <col min="45" max="45" width="2.875" style="116" hidden="1" customWidth="1"/>
    <col min="46" max="49" width="2.875" style="54" hidden="1" customWidth="1"/>
    <col min="50" max="74" width="2.875" style="2" hidden="1" customWidth="1"/>
    <col min="75" max="75" width="2.875" style="2" customWidth="1"/>
    <col min="76" max="76" width="3.125" style="75" customWidth="1"/>
    <col min="77" max="77" width="15.5" style="319" customWidth="1"/>
    <col min="78" max="78" width="20.375" style="321" customWidth="1"/>
    <col min="79" max="79" width="3.125" style="75" customWidth="1"/>
    <col min="80" max="80" width="2.875" style="76"/>
    <col min="81" max="84" width="2.875" style="2"/>
    <col min="85" max="86" width="2.875" style="2" customWidth="1"/>
    <col min="87" max="133" width="2.875" style="2"/>
    <col min="134" max="138" width="2.875" style="76" customWidth="1"/>
    <col min="139" max="16384" width="2.875" style="2"/>
  </cols>
  <sheetData>
    <row r="1" spans="1:135" x14ac:dyDescent="0.25">
      <c r="A1" s="114"/>
      <c r="B1" s="114"/>
      <c r="C1" s="114"/>
      <c r="D1" s="114"/>
      <c r="E1" s="114"/>
      <c r="F1" s="114"/>
      <c r="G1" s="114"/>
      <c r="H1" s="114"/>
      <c r="I1" s="115"/>
      <c r="J1" s="115"/>
      <c r="K1" s="115"/>
      <c r="M1" s="55">
        <v>1</v>
      </c>
      <c r="N1" s="55">
        <v>2</v>
      </c>
      <c r="O1" s="55">
        <v>3</v>
      </c>
      <c r="P1" s="55">
        <v>4</v>
      </c>
      <c r="Q1" s="55">
        <v>5</v>
      </c>
      <c r="R1" s="55">
        <v>6</v>
      </c>
      <c r="S1" s="55">
        <v>7</v>
      </c>
      <c r="T1" s="55">
        <v>8</v>
      </c>
      <c r="U1" s="55">
        <v>9</v>
      </c>
      <c r="V1" s="55">
        <v>10</v>
      </c>
      <c r="W1" s="55">
        <v>11</v>
      </c>
      <c r="X1" s="55">
        <v>12</v>
      </c>
      <c r="Y1" s="55">
        <v>13</v>
      </c>
      <c r="Z1" s="55">
        <v>14</v>
      </c>
      <c r="AA1" s="55">
        <v>15</v>
      </c>
      <c r="AB1" s="55">
        <v>16</v>
      </c>
      <c r="AC1" s="55">
        <v>17</v>
      </c>
      <c r="AD1" s="55">
        <v>18</v>
      </c>
      <c r="AE1" s="55">
        <v>19</v>
      </c>
      <c r="AF1" s="55">
        <v>20</v>
      </c>
      <c r="AG1" s="55">
        <v>21</v>
      </c>
      <c r="AH1" s="55">
        <v>22</v>
      </c>
      <c r="AI1" s="55">
        <v>23</v>
      </c>
      <c r="AJ1" s="55">
        <v>24</v>
      </c>
      <c r="AK1" s="55">
        <v>25</v>
      </c>
      <c r="AL1" s="55">
        <v>26</v>
      </c>
      <c r="AM1" s="55">
        <v>27</v>
      </c>
      <c r="AN1" s="55">
        <v>28</v>
      </c>
      <c r="AO1" s="55">
        <v>29</v>
      </c>
      <c r="AP1" s="55">
        <v>30</v>
      </c>
      <c r="AQ1" s="55">
        <v>31</v>
      </c>
      <c r="AR1" s="54">
        <v>32</v>
      </c>
      <c r="AS1" s="116">
        <v>33</v>
      </c>
      <c r="AT1" s="54">
        <v>34</v>
      </c>
      <c r="AU1" s="54">
        <v>35</v>
      </c>
      <c r="AV1" s="54">
        <v>36</v>
      </c>
      <c r="AW1" s="54">
        <v>37</v>
      </c>
      <c r="BX1" s="86" t="s">
        <v>26</v>
      </c>
      <c r="BY1" s="319">
        <v>997</v>
      </c>
      <c r="BZ1" s="320" t="s">
        <v>1053</v>
      </c>
      <c r="CA1" s="77"/>
      <c r="CY1" s="76">
        <f>+IF(J2=BZ1,0,1)</f>
        <v>0</v>
      </c>
    </row>
    <row r="2" spans="1:135" x14ac:dyDescent="0.25">
      <c r="A2" s="114"/>
      <c r="B2" s="327" t="s">
        <v>738</v>
      </c>
      <c r="C2" s="327"/>
      <c r="D2" s="327"/>
      <c r="E2" s="327"/>
      <c r="F2" s="327"/>
      <c r="G2" s="327"/>
      <c r="H2" s="327"/>
      <c r="I2" s="86" t="s">
        <v>26</v>
      </c>
      <c r="J2" s="318" t="s">
        <v>1053</v>
      </c>
      <c r="K2" s="115"/>
      <c r="M2" s="55">
        <v>38</v>
      </c>
      <c r="N2" s="55">
        <v>39</v>
      </c>
      <c r="O2" s="55">
        <v>40</v>
      </c>
      <c r="P2" s="55">
        <v>41</v>
      </c>
      <c r="Q2" s="55">
        <v>42</v>
      </c>
      <c r="R2" s="55">
        <v>43</v>
      </c>
      <c r="S2" s="55">
        <v>44</v>
      </c>
      <c r="T2" s="55">
        <v>45</v>
      </c>
      <c r="U2" s="55">
        <v>46</v>
      </c>
      <c r="V2" s="55">
        <v>47</v>
      </c>
      <c r="W2" s="55">
        <v>48</v>
      </c>
      <c r="X2" s="55">
        <v>49</v>
      </c>
      <c r="Y2" s="55">
        <v>50</v>
      </c>
      <c r="Z2" s="55">
        <v>51</v>
      </c>
      <c r="AA2" s="55">
        <v>52</v>
      </c>
      <c r="AB2" s="55">
        <v>53</v>
      </c>
      <c r="AC2" s="55">
        <v>54</v>
      </c>
      <c r="AD2" s="55">
        <v>55</v>
      </c>
      <c r="AE2" s="55">
        <v>56</v>
      </c>
      <c r="AF2" s="55">
        <v>57</v>
      </c>
      <c r="AG2" s="55">
        <v>58</v>
      </c>
      <c r="AH2" s="55">
        <v>59</v>
      </c>
      <c r="AI2" s="55">
        <v>60</v>
      </c>
      <c r="AJ2" s="55">
        <v>61</v>
      </c>
      <c r="AK2" s="55">
        <v>62</v>
      </c>
      <c r="AL2" s="55">
        <v>63</v>
      </c>
      <c r="AM2" s="55">
        <v>64</v>
      </c>
      <c r="AN2" s="55">
        <v>65</v>
      </c>
      <c r="AO2" s="55">
        <v>66</v>
      </c>
      <c r="AP2" s="55">
        <v>67</v>
      </c>
      <c r="AQ2" s="55">
        <v>68</v>
      </c>
      <c r="AR2" s="55">
        <v>69</v>
      </c>
      <c r="AS2" s="54">
        <v>70</v>
      </c>
      <c r="AT2" s="116">
        <v>71</v>
      </c>
      <c r="AU2" s="54">
        <v>72</v>
      </c>
      <c r="AV2" s="54">
        <v>73</v>
      </c>
      <c r="AW2" s="54">
        <v>74</v>
      </c>
      <c r="BX2" s="78"/>
      <c r="BY2" s="319">
        <v>182</v>
      </c>
      <c r="BZ2" s="320" t="s">
        <v>1054</v>
      </c>
      <c r="CA2" s="78"/>
      <c r="CY2" s="76">
        <f>+IF(J3=BZ2,0,1)</f>
        <v>0</v>
      </c>
      <c r="EE2" s="76" t="str">
        <f>+Poznamky_k_UZ!C52&amp;Poznamky_k_UZ!E52&amp;Poznamky_k_UZ!G52&amp;Poznamky_k_UZ!I52&amp;Poznamky_k_UZ!K52&amp;Poznamky_k_UZ!M52&amp;Poznamky_k_UZ!O52&amp;Poznamky_k_UZ!Q52&amp;Poznamky_k_UZ!S52&amp;Poznamky_k_UZ!U52&amp;Poznamky_k_UZ!W52&amp;Poznamky_k_UZ!Y52&amp;Poznamky_k_UZ!AA52&amp;Poznamky_k_UZ!AC52&amp;Poznamky_k_UZ!AE52&amp;Poznamky_k_UZ!AG52&amp;Poznamky_k_UZ!AI52&amp;Poznamky_k_UZ!AK52&amp;Poznamky_k_UZ!AM52&amp;Poznamky_k_UZ!AP52&amp;Poznamky_k_UZ!AR52&amp;Poznamky_k_UZ!AT52&amp;Poznamky_k_UZ!AV52&amp;Poznamky_k_UZ!AX52&amp;Poznamky_k_UZ!AZ52&amp;Poznamky_k_UZ!BB52&amp;Poznamky_k_UZ!BD52&amp;Poznamky_k_UZ!BF52&amp;Poznamky_k_UZ!BI52&amp;Poznamky_k_UZ!BK52&amp;Poznamky_k_UZ!BM52&amp;Poznamky_k_UZ!C57&amp;Poznamky_k_UZ!E57&amp;Poznamky_k_UZ!G57&amp;Poznamky_k_UZ!I57&amp;Poznamky_k_UZ!K57&amp;Poznamky_k_UZ!M57&amp;Poznamky_k_UZ!O57&amp;Poznamky_k_UZ!Q57&amp;Poznamky_k_UZ!S57&amp;Poznamky_k_UZ!U57&amp;Poznamky_k_UZ!W57&amp;Poznamky_k_UZ!Y57&amp;Poznamky_k_UZ!AA57&amp;Poznamky_k_UZ!AC57&amp;Poznamky_k_UZ!AE57&amp;Poznamky_k_UZ!AG57&amp;Poznamky_k_UZ!AI57&amp;Poznamky_k_UZ!AK57&amp;Poznamky_k_UZ!AM57&amp;Poznamky_k_UZ!AP57&amp;Poznamky_k_UZ!AR57&amp;Poznamky_k_UZ!AT57&amp;Poznamky_k_UZ!AV57&amp;Poznamky_k_UZ!AX57&amp;Poznamky_k_UZ!AZ57&amp;Poznamky_k_UZ!BB57&amp;Poznamky_k_UZ!BD57&amp;Poznamky_k_UZ!BF57&amp;Poznamky_k_UZ!BI57&amp;Poznamky_k_UZ!BK57&amp;Poznamky_k_UZ!BM57</f>
        <v>Resumo s.r.o.</v>
      </c>
    </row>
    <row r="3" spans="1:135" x14ac:dyDescent="0.25">
      <c r="A3" s="114"/>
      <c r="B3" s="327" t="s">
        <v>739</v>
      </c>
      <c r="C3" s="327"/>
      <c r="D3" s="327"/>
      <c r="E3" s="327"/>
      <c r="F3" s="327"/>
      <c r="G3" s="327"/>
      <c r="H3" s="327"/>
      <c r="I3" s="117"/>
      <c r="J3" s="318" t="s">
        <v>1054</v>
      </c>
      <c r="K3" s="115"/>
      <c r="BX3" s="78"/>
      <c r="BY3" s="319">
        <v>658</v>
      </c>
      <c r="BZ3" s="320" t="s">
        <v>1055</v>
      </c>
      <c r="CA3" s="78"/>
      <c r="CY3" s="76">
        <f>+IF(J4=BZ3,0,1)</f>
        <v>0</v>
      </c>
      <c r="EE3" s="76" t="str">
        <f>+Poznamky_k_UZ!C64&amp;Poznamky_k_UZ!E64&amp;Poznamky_k_UZ!G64&amp;Poznamky_k_UZ!I64&amp;Poznamky_k_UZ!K64&amp;Poznamky_k_UZ!M64&amp;Poznamky_k_UZ!O64&amp;Poznamky_k_UZ!Q64&amp;Poznamky_k_UZ!S64&amp;Poznamky_k_UZ!U64&amp;Poznamky_k_UZ!W64&amp;Poznamky_k_UZ!Y64&amp;Poznamky_k_UZ!AA64&amp;Poznamky_k_UZ!AC64&amp;Poznamky_k_UZ!AE64&amp;Poznamky_k_UZ!AG64&amp;Poznamky_k_UZ!AI64&amp;Poznamky_k_UZ!AK64&amp;Poznamky_k_UZ!AM64&amp;Poznamky_k_UZ!AP64&amp;Poznamky_k_UZ!AR64&amp;Poznamky_k_UZ!AT64</f>
        <v>Dolná</v>
      </c>
    </row>
    <row r="4" spans="1:135" x14ac:dyDescent="0.25">
      <c r="A4" s="114"/>
      <c r="B4" s="327" t="s">
        <v>740</v>
      </c>
      <c r="C4" s="327"/>
      <c r="D4" s="327"/>
      <c r="E4" s="327"/>
      <c r="F4" s="327"/>
      <c r="G4" s="327"/>
      <c r="H4" s="327"/>
      <c r="I4" s="117"/>
      <c r="J4" s="318" t="s">
        <v>1055</v>
      </c>
      <c r="K4" s="115"/>
      <c r="M4" s="118" t="str">
        <f t="shared" ref="M4:AQ4" si="0">MID($J$2,M1,1)</f>
        <v>R</v>
      </c>
      <c r="N4" s="118" t="str">
        <f t="shared" si="0"/>
        <v>e</v>
      </c>
      <c r="O4" s="118" t="str">
        <f t="shared" si="0"/>
        <v>s</v>
      </c>
      <c r="P4" s="118" t="str">
        <f t="shared" si="0"/>
        <v>u</v>
      </c>
      <c r="Q4" s="118" t="str">
        <f t="shared" si="0"/>
        <v>m</v>
      </c>
      <c r="R4" s="118" t="str">
        <f t="shared" si="0"/>
        <v>o</v>
      </c>
      <c r="S4" s="118" t="str">
        <f t="shared" si="0"/>
        <v xml:space="preserve"> </v>
      </c>
      <c r="T4" s="118" t="str">
        <f t="shared" si="0"/>
        <v>s</v>
      </c>
      <c r="U4" s="118" t="str">
        <f t="shared" si="0"/>
        <v>.</v>
      </c>
      <c r="V4" s="118" t="str">
        <f t="shared" si="0"/>
        <v>r</v>
      </c>
      <c r="W4" s="118" t="str">
        <f t="shared" si="0"/>
        <v>.</v>
      </c>
      <c r="X4" s="118" t="str">
        <f t="shared" si="0"/>
        <v>o</v>
      </c>
      <c r="Y4" s="118" t="str">
        <f t="shared" si="0"/>
        <v>.</v>
      </c>
      <c r="Z4" s="118" t="str">
        <f t="shared" si="0"/>
        <v/>
      </c>
      <c r="AA4" s="118" t="str">
        <f t="shared" si="0"/>
        <v/>
      </c>
      <c r="AB4" s="118" t="str">
        <f t="shared" si="0"/>
        <v/>
      </c>
      <c r="AC4" s="118" t="str">
        <f t="shared" si="0"/>
        <v/>
      </c>
      <c r="AD4" s="118" t="str">
        <f t="shared" si="0"/>
        <v/>
      </c>
      <c r="AE4" s="118" t="str">
        <f t="shared" si="0"/>
        <v/>
      </c>
      <c r="AF4" s="118" t="str">
        <f t="shared" si="0"/>
        <v/>
      </c>
      <c r="AG4" s="118" t="str">
        <f t="shared" si="0"/>
        <v/>
      </c>
      <c r="AH4" s="118" t="str">
        <f t="shared" si="0"/>
        <v/>
      </c>
      <c r="AI4" s="118" t="str">
        <f t="shared" si="0"/>
        <v/>
      </c>
      <c r="AJ4" s="118" t="str">
        <f t="shared" si="0"/>
        <v/>
      </c>
      <c r="AK4" s="118" t="str">
        <f t="shared" si="0"/>
        <v/>
      </c>
      <c r="AL4" s="118" t="str">
        <f t="shared" si="0"/>
        <v/>
      </c>
      <c r="AM4" s="118" t="str">
        <f t="shared" si="0"/>
        <v/>
      </c>
      <c r="AN4" s="118" t="str">
        <f t="shared" si="0"/>
        <v/>
      </c>
      <c r="AO4" s="118" t="str">
        <f t="shared" si="0"/>
        <v/>
      </c>
      <c r="AP4" s="118" t="str">
        <f t="shared" si="0"/>
        <v/>
      </c>
      <c r="AQ4" s="118" t="str">
        <f t="shared" si="0"/>
        <v/>
      </c>
      <c r="AR4" s="119" t="str">
        <f t="shared" ref="AR4:AW4" si="1">MID($J$2,AR1,1)</f>
        <v/>
      </c>
      <c r="AS4" s="119" t="str">
        <f t="shared" si="1"/>
        <v/>
      </c>
      <c r="AT4" s="119" t="str">
        <f t="shared" si="1"/>
        <v/>
      </c>
      <c r="AU4" s="119" t="str">
        <f t="shared" si="1"/>
        <v/>
      </c>
      <c r="AV4" s="119" t="str">
        <f t="shared" si="1"/>
        <v/>
      </c>
      <c r="AW4" s="119" t="str">
        <f t="shared" si="1"/>
        <v/>
      </c>
      <c r="BX4" s="77"/>
      <c r="BY4" s="319">
        <v>201</v>
      </c>
      <c r="BZ4" s="320" t="s">
        <v>1056</v>
      </c>
      <c r="CA4" s="77"/>
      <c r="CY4" s="76">
        <f>+IF(J5=BZ4,0,1)</f>
        <v>0</v>
      </c>
      <c r="EE4" s="76" t="str">
        <f>+Poznamky_k_UZ!BK64&amp;Poznamky_k_UZ!BM64&amp;Poznamky_k_UZ!BO64&amp;Poznamky_k_UZ!BQ64&amp;Poznamky_k_UZ!BS64&amp;Poznamky_k_UZ!BU64&amp;Poznamky_k_UZ!BW64&amp;Poznamky_k_UZ!BY64</f>
        <v>19</v>
      </c>
    </row>
    <row r="5" spans="1:135" x14ac:dyDescent="0.25">
      <c r="A5" s="114"/>
      <c r="B5" s="327" t="s">
        <v>742</v>
      </c>
      <c r="C5" s="327"/>
      <c r="D5" s="327"/>
      <c r="E5" s="327"/>
      <c r="F5" s="327"/>
      <c r="G5" s="327"/>
      <c r="H5" s="327"/>
      <c r="I5" s="117"/>
      <c r="J5" s="318" t="s">
        <v>1056</v>
      </c>
      <c r="K5" s="115"/>
      <c r="M5" s="118" t="str">
        <f t="shared" ref="M5:AQ5" si="2">MID($J$2,M2,1)</f>
        <v/>
      </c>
      <c r="N5" s="118" t="str">
        <f t="shared" si="2"/>
        <v/>
      </c>
      <c r="O5" s="118" t="str">
        <f t="shared" si="2"/>
        <v/>
      </c>
      <c r="P5" s="118" t="str">
        <f t="shared" si="2"/>
        <v/>
      </c>
      <c r="Q5" s="118" t="str">
        <f t="shared" si="2"/>
        <v/>
      </c>
      <c r="R5" s="118" t="str">
        <f t="shared" si="2"/>
        <v/>
      </c>
      <c r="S5" s="118" t="str">
        <f t="shared" si="2"/>
        <v/>
      </c>
      <c r="T5" s="118" t="str">
        <f t="shared" si="2"/>
        <v/>
      </c>
      <c r="U5" s="118" t="str">
        <f t="shared" si="2"/>
        <v/>
      </c>
      <c r="V5" s="118" t="str">
        <f t="shared" si="2"/>
        <v/>
      </c>
      <c r="W5" s="118" t="str">
        <f t="shared" si="2"/>
        <v/>
      </c>
      <c r="X5" s="118" t="str">
        <f t="shared" si="2"/>
        <v/>
      </c>
      <c r="Y5" s="118" t="str">
        <f t="shared" si="2"/>
        <v/>
      </c>
      <c r="Z5" s="118" t="str">
        <f t="shared" si="2"/>
        <v/>
      </c>
      <c r="AA5" s="118" t="str">
        <f t="shared" si="2"/>
        <v/>
      </c>
      <c r="AB5" s="118" t="str">
        <f t="shared" si="2"/>
        <v/>
      </c>
      <c r="AC5" s="118" t="str">
        <f t="shared" si="2"/>
        <v/>
      </c>
      <c r="AD5" s="118" t="str">
        <f t="shared" si="2"/>
        <v/>
      </c>
      <c r="AE5" s="118" t="str">
        <f t="shared" si="2"/>
        <v/>
      </c>
      <c r="AF5" s="118" t="str">
        <f t="shared" si="2"/>
        <v/>
      </c>
      <c r="AG5" s="118" t="str">
        <f t="shared" si="2"/>
        <v/>
      </c>
      <c r="AH5" s="118" t="str">
        <f t="shared" si="2"/>
        <v/>
      </c>
      <c r="AI5" s="118" t="str">
        <f t="shared" si="2"/>
        <v/>
      </c>
      <c r="AJ5" s="118" t="str">
        <f t="shared" si="2"/>
        <v/>
      </c>
      <c r="AK5" s="118" t="str">
        <f t="shared" si="2"/>
        <v/>
      </c>
      <c r="AL5" s="118" t="str">
        <f t="shared" si="2"/>
        <v/>
      </c>
      <c r="AM5" s="118" t="str">
        <f t="shared" si="2"/>
        <v/>
      </c>
      <c r="AN5" s="118" t="str">
        <f t="shared" si="2"/>
        <v/>
      </c>
      <c r="AO5" s="118" t="str">
        <f t="shared" si="2"/>
        <v/>
      </c>
      <c r="AP5" s="118" t="str">
        <f t="shared" si="2"/>
        <v/>
      </c>
      <c r="AQ5" s="118" t="str">
        <f t="shared" si="2"/>
        <v/>
      </c>
      <c r="AR5" s="119" t="str">
        <f t="shared" ref="AR5:AW5" si="3">MID($J$2,AR2,1)</f>
        <v/>
      </c>
      <c r="AS5" s="119" t="str">
        <f t="shared" si="3"/>
        <v/>
      </c>
      <c r="AT5" s="119" t="str">
        <f t="shared" si="3"/>
        <v/>
      </c>
      <c r="AU5" s="119" t="str">
        <f t="shared" si="3"/>
        <v/>
      </c>
      <c r="AV5" s="119" t="str">
        <f t="shared" si="3"/>
        <v/>
      </c>
      <c r="AW5" s="119" t="str">
        <f t="shared" si="3"/>
        <v/>
      </c>
      <c r="BX5" s="77"/>
      <c r="BY5" s="319">
        <v>522</v>
      </c>
      <c r="BZ5" s="320" t="s">
        <v>1057</v>
      </c>
      <c r="CA5" s="77"/>
      <c r="CY5" s="76">
        <f>+IF(J6=BZ5,0,1)</f>
        <v>0</v>
      </c>
      <c r="EE5" s="76" t="str">
        <f>+Poznamky_k_UZ!O69&amp;Poznamky_k_UZ!Q69&amp;Poznamky_k_UZ!S69&amp;Poznamky_k_UZ!U69&amp;Poznamky_k_UZ!W69&amp;Poznamky_k_UZ!Y69&amp;Poznamky_k_UZ!AA69&amp;Poznamky_k_UZ!AC69&amp;Poznamky_k_UZ!AE69&amp;Poznamky_k_UZ!AG69&amp;Poznamky_k_UZ!AI69&amp;Poznamky_k_UZ!AK69&amp;Poznamky_k_UZ!AM69&amp;Poznamky_k_UZ!AP69&amp;Poznamky_k_UZ!AR69&amp;Poznamky_k_UZ!AT69&amp;Poznamky_k_UZ!AV69&amp;Poznamky_k_UZ!AX69&amp;Poznamky_k_UZ!AZ69&amp;Poznamky_k_UZ!BB69&amp;Poznamky_k_UZ!BD69&amp;Poznamky_k_UZ!BF69&amp;Poznamky_k_UZ!BI69&amp;Poznamky_k_UZ!BK69&amp;Poznamky_k_UZ!BM69</f>
        <v>Banská Bystrica</v>
      </c>
    </row>
    <row r="6" spans="1:135" x14ac:dyDescent="0.25">
      <c r="A6" s="114"/>
      <c r="B6" s="327" t="s">
        <v>741</v>
      </c>
      <c r="C6" s="327"/>
      <c r="D6" s="327"/>
      <c r="E6" s="327"/>
      <c r="F6" s="327"/>
      <c r="G6" s="327"/>
      <c r="H6" s="327"/>
      <c r="I6" s="117"/>
      <c r="J6" s="318" t="s">
        <v>1057</v>
      </c>
      <c r="K6" s="115"/>
      <c r="M6" s="118" t="str">
        <f t="shared" ref="M6:AN6" si="4">MID($J$3,M1,1)</f>
        <v>D</v>
      </c>
      <c r="N6" s="118" t="str">
        <f t="shared" si="4"/>
        <v>o</v>
      </c>
      <c r="O6" s="118" t="str">
        <f t="shared" si="4"/>
        <v>l</v>
      </c>
      <c r="P6" s="118" t="str">
        <f t="shared" si="4"/>
        <v>n</v>
      </c>
      <c r="Q6" s="118" t="str">
        <f t="shared" si="4"/>
        <v>á</v>
      </c>
      <c r="R6" s="118" t="str">
        <f t="shared" si="4"/>
        <v/>
      </c>
      <c r="S6" s="118" t="str">
        <f t="shared" si="4"/>
        <v/>
      </c>
      <c r="T6" s="118" t="str">
        <f t="shared" si="4"/>
        <v/>
      </c>
      <c r="U6" s="118" t="str">
        <f t="shared" si="4"/>
        <v/>
      </c>
      <c r="V6" s="118" t="str">
        <f t="shared" si="4"/>
        <v/>
      </c>
      <c r="W6" s="118" t="str">
        <f t="shared" si="4"/>
        <v/>
      </c>
      <c r="X6" s="118" t="str">
        <f t="shared" si="4"/>
        <v/>
      </c>
      <c r="Y6" s="118" t="str">
        <f t="shared" si="4"/>
        <v/>
      </c>
      <c r="Z6" s="118" t="str">
        <f t="shared" si="4"/>
        <v/>
      </c>
      <c r="AA6" s="118" t="str">
        <f t="shared" si="4"/>
        <v/>
      </c>
      <c r="AB6" s="118" t="str">
        <f t="shared" si="4"/>
        <v/>
      </c>
      <c r="AC6" s="118" t="str">
        <f t="shared" si="4"/>
        <v/>
      </c>
      <c r="AD6" s="118" t="str">
        <f t="shared" si="4"/>
        <v/>
      </c>
      <c r="AE6" s="118" t="str">
        <f t="shared" si="4"/>
        <v/>
      </c>
      <c r="AF6" s="118" t="str">
        <f t="shared" si="4"/>
        <v/>
      </c>
      <c r="AG6" s="118" t="str">
        <f t="shared" si="4"/>
        <v/>
      </c>
      <c r="AH6" s="118" t="str">
        <f t="shared" si="4"/>
        <v/>
      </c>
      <c r="AI6" s="119" t="str">
        <f t="shared" si="4"/>
        <v/>
      </c>
      <c r="AJ6" s="119" t="str">
        <f t="shared" si="4"/>
        <v/>
      </c>
      <c r="AK6" s="119" t="str">
        <f t="shared" si="4"/>
        <v/>
      </c>
      <c r="AL6" s="119" t="str">
        <f t="shared" si="4"/>
        <v/>
      </c>
      <c r="AM6" s="119" t="str">
        <f t="shared" si="4"/>
        <v/>
      </c>
      <c r="AN6" s="119" t="str">
        <f t="shared" si="4"/>
        <v/>
      </c>
      <c r="BX6" s="77"/>
      <c r="BY6" s="319">
        <v>224</v>
      </c>
      <c r="BZ6" s="320"/>
      <c r="CA6" s="77"/>
      <c r="CY6" s="76"/>
    </row>
    <row r="7" spans="1:135" x14ac:dyDescent="0.25">
      <c r="A7" s="114"/>
      <c r="B7" s="114"/>
      <c r="C7" s="114"/>
      <c r="D7" s="114"/>
      <c r="E7" s="114"/>
      <c r="F7" s="114"/>
      <c r="G7" s="114"/>
      <c r="H7" s="114"/>
      <c r="I7" s="115"/>
      <c r="J7" s="115"/>
      <c r="K7" s="115"/>
      <c r="M7" s="118" t="str">
        <f t="shared" ref="M7:T7" si="5">MID($J$4,M1,1)</f>
        <v>1</v>
      </c>
      <c r="N7" s="118" t="str">
        <f t="shared" si="5"/>
        <v>9</v>
      </c>
      <c r="O7" s="118" t="str">
        <f t="shared" si="5"/>
        <v/>
      </c>
      <c r="P7" s="118" t="str">
        <f t="shared" si="5"/>
        <v/>
      </c>
      <c r="Q7" s="118" t="str">
        <f t="shared" si="5"/>
        <v/>
      </c>
      <c r="R7" s="118" t="str">
        <f t="shared" si="5"/>
        <v/>
      </c>
      <c r="S7" s="118" t="str">
        <f t="shared" si="5"/>
        <v/>
      </c>
      <c r="T7" s="118" t="str">
        <f t="shared" si="5"/>
        <v/>
      </c>
      <c r="AI7" s="54">
        <v>23</v>
      </c>
      <c r="AJ7" s="54">
        <v>24</v>
      </c>
      <c r="AK7" s="54">
        <v>25</v>
      </c>
      <c r="AL7" s="54">
        <v>26</v>
      </c>
      <c r="AM7" s="54">
        <v>27</v>
      </c>
      <c r="AN7" s="54">
        <v>28</v>
      </c>
      <c r="BX7" s="77"/>
      <c r="BY7" s="319">
        <v>463</v>
      </c>
      <c r="BZ7" s="320"/>
      <c r="CA7" s="77"/>
      <c r="CY7" s="76"/>
    </row>
    <row r="8" spans="1:135" x14ac:dyDescent="0.25">
      <c r="M8" s="118" t="str">
        <f>MID($J$6,M1,1)</f>
        <v>9</v>
      </c>
      <c r="N8" s="118" t="str">
        <f>MID($J$6,N1,1)</f>
        <v>7</v>
      </c>
      <c r="O8" s="118" t="str">
        <f>MID($J$6,O1,1)</f>
        <v>4</v>
      </c>
      <c r="P8" s="118" t="str">
        <f>MID($J$6,P1,1)</f>
        <v>0</v>
      </c>
      <c r="Q8" s="118" t="str">
        <f>MID($J$6,Q1,1)</f>
        <v>1</v>
      </c>
      <c r="BX8" s="77"/>
      <c r="BY8" s="319">
        <v>1082</v>
      </c>
      <c r="BZ8" s="320"/>
      <c r="CA8" s="77"/>
      <c r="CY8" s="76"/>
    </row>
    <row r="9" spans="1:135" x14ac:dyDescent="0.25">
      <c r="J9" s="326" t="str">
        <f>+IF(CY11=0,"",B23&amp;" "&amp;B24&amp;" "&amp;B25&amp;" "&amp;B26)</f>
        <v/>
      </c>
      <c r="M9" s="118" t="str">
        <f t="shared" ref="M9:AQ9" si="6">MID($J$5,M1,1)</f>
        <v>B</v>
      </c>
      <c r="N9" s="118" t="str">
        <f t="shared" si="6"/>
        <v>a</v>
      </c>
      <c r="O9" s="118" t="str">
        <f t="shared" si="6"/>
        <v>n</v>
      </c>
      <c r="P9" s="118" t="str">
        <f t="shared" si="6"/>
        <v>s</v>
      </c>
      <c r="Q9" s="118" t="str">
        <f t="shared" si="6"/>
        <v>k</v>
      </c>
      <c r="R9" s="118" t="str">
        <f t="shared" si="6"/>
        <v>á</v>
      </c>
      <c r="S9" s="118" t="str">
        <f t="shared" si="6"/>
        <v xml:space="preserve"> </v>
      </c>
      <c r="T9" s="118" t="str">
        <f t="shared" si="6"/>
        <v>B</v>
      </c>
      <c r="U9" s="118" t="str">
        <f t="shared" si="6"/>
        <v>y</v>
      </c>
      <c r="V9" s="118" t="str">
        <f t="shared" si="6"/>
        <v>s</v>
      </c>
      <c r="W9" s="118" t="str">
        <f t="shared" si="6"/>
        <v>t</v>
      </c>
      <c r="X9" s="118" t="str">
        <f t="shared" si="6"/>
        <v>r</v>
      </c>
      <c r="Y9" s="118" t="str">
        <f t="shared" si="6"/>
        <v>i</v>
      </c>
      <c r="Z9" s="118" t="str">
        <f t="shared" si="6"/>
        <v>c</v>
      </c>
      <c r="AA9" s="118" t="str">
        <f t="shared" si="6"/>
        <v>a</v>
      </c>
      <c r="AB9" s="118" t="str">
        <f t="shared" si="6"/>
        <v/>
      </c>
      <c r="AC9" s="118" t="str">
        <f t="shared" si="6"/>
        <v/>
      </c>
      <c r="AD9" s="118" t="str">
        <f t="shared" si="6"/>
        <v/>
      </c>
      <c r="AE9" s="118" t="str">
        <f t="shared" si="6"/>
        <v/>
      </c>
      <c r="AF9" s="118" t="str">
        <f t="shared" si="6"/>
        <v/>
      </c>
      <c r="AG9" s="118" t="str">
        <f t="shared" si="6"/>
        <v/>
      </c>
      <c r="AH9" s="118" t="str">
        <f t="shared" si="6"/>
        <v/>
      </c>
      <c r="AI9" s="118" t="str">
        <f t="shared" si="6"/>
        <v/>
      </c>
      <c r="AJ9" s="118" t="str">
        <f t="shared" si="6"/>
        <v/>
      </c>
      <c r="AK9" s="118" t="str">
        <f t="shared" si="6"/>
        <v/>
      </c>
      <c r="AL9" s="119" t="str">
        <f t="shared" si="6"/>
        <v/>
      </c>
      <c r="AM9" s="119" t="str">
        <f t="shared" si="6"/>
        <v/>
      </c>
      <c r="AN9" s="119" t="str">
        <f t="shared" si="6"/>
        <v/>
      </c>
      <c r="AO9" s="119" t="str">
        <f t="shared" si="6"/>
        <v/>
      </c>
      <c r="AP9" s="119" t="str">
        <f t="shared" si="6"/>
        <v/>
      </c>
      <c r="AQ9" s="119" t="str">
        <f t="shared" si="6"/>
        <v/>
      </c>
      <c r="BX9" s="77"/>
      <c r="BY9" s="319">
        <v>572</v>
      </c>
      <c r="BZ9" s="320"/>
      <c r="CA9" s="77"/>
      <c r="CY9" s="76"/>
    </row>
    <row r="10" spans="1:135" x14ac:dyDescent="0.25">
      <c r="J10" s="326"/>
      <c r="AL10" s="54">
        <v>26</v>
      </c>
      <c r="AM10" s="54">
        <v>27</v>
      </c>
      <c r="AN10" s="54">
        <v>28</v>
      </c>
      <c r="AO10" s="54">
        <v>29</v>
      </c>
      <c r="AP10" s="54">
        <v>30</v>
      </c>
      <c r="AQ10" s="54">
        <v>31</v>
      </c>
      <c r="BX10" s="77"/>
      <c r="BY10" s="319">
        <v>415</v>
      </c>
      <c r="BZ10" s="320"/>
      <c r="CA10" s="77"/>
      <c r="CY10" s="76"/>
    </row>
    <row r="11" spans="1:135" x14ac:dyDescent="0.25">
      <c r="J11" s="326"/>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BX11" s="78"/>
      <c r="BY11" s="319">
        <v>137</v>
      </c>
      <c r="BZ11" s="320"/>
      <c r="CA11" s="78"/>
      <c r="CY11" s="76">
        <f>+SUM(CY1:CY5)</f>
        <v>0</v>
      </c>
      <c r="EE11" s="76" t="str">
        <f>+Poznamky_k_UZ!C69&amp;Poznamky_k_UZ!E69&amp;Poznamky_k_UZ!G69&amp;Poznamky_k_UZ!I69&amp;Poznamky_k_UZ!K69</f>
        <v>97401</v>
      </c>
    </row>
    <row r="12" spans="1:135" x14ac:dyDescent="0.25">
      <c r="J12" s="326"/>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BX12" s="78"/>
      <c r="BY12" s="319">
        <v>190</v>
      </c>
      <c r="BZ12" s="320"/>
      <c r="CA12" s="78"/>
      <c r="CY12" s="76"/>
    </row>
    <row r="13" spans="1:135" x14ac:dyDescent="0.25">
      <c r="J13" s="326"/>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BX13" s="78"/>
      <c r="BY13" s="319">
        <v>130</v>
      </c>
      <c r="BZ13" s="320"/>
      <c r="CA13" s="78"/>
      <c r="CY13" s="76"/>
    </row>
    <row r="14" spans="1:135" x14ac:dyDescent="0.25">
      <c r="J14" s="326"/>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BX14" s="78"/>
      <c r="BY14" s="319">
        <v>546</v>
      </c>
      <c r="BZ14" s="320"/>
      <c r="CA14" s="78"/>
      <c r="CY14" s="76"/>
    </row>
    <row r="15" spans="1:135" x14ac:dyDescent="0.25">
      <c r="J15" s="326"/>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BX15" s="78"/>
      <c r="BY15" s="319">
        <v>141</v>
      </c>
      <c r="BZ15" s="320"/>
      <c r="CA15" s="78"/>
      <c r="CY15" s="76"/>
    </row>
    <row r="16" spans="1:135" x14ac:dyDescent="0.25">
      <c r="J16" s="326"/>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BX16" s="78"/>
      <c r="BY16" s="319">
        <v>136</v>
      </c>
      <c r="BZ16" s="320"/>
      <c r="CA16" s="78"/>
      <c r="CY16" s="76"/>
    </row>
    <row r="17" spans="2:103" x14ac:dyDescent="0.25">
      <c r="J17" s="326"/>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BX17" s="78"/>
      <c r="BY17" s="319">
        <v>130</v>
      </c>
      <c r="BZ17" s="320"/>
      <c r="CA17" s="78"/>
      <c r="CY17" s="76"/>
    </row>
    <row r="18" spans="2:103" x14ac:dyDescent="0.25">
      <c r="J18" s="326"/>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BX18" s="78"/>
      <c r="BY18" s="319">
        <v>164</v>
      </c>
      <c r="BZ18" s="320"/>
      <c r="CA18" s="78"/>
      <c r="CY18" s="76"/>
    </row>
    <row r="19" spans="2:103" x14ac:dyDescent="0.25">
      <c r="J19" s="326"/>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BX19" s="78"/>
      <c r="BY19" s="319">
        <v>134</v>
      </c>
      <c r="BZ19" s="320"/>
      <c r="CA19" s="78"/>
      <c r="CY19" s="76"/>
    </row>
    <row r="20" spans="2:103" x14ac:dyDescent="0.25">
      <c r="J20" s="326"/>
      <c r="BX20" s="78"/>
      <c r="BY20" s="319">
        <v>1097</v>
      </c>
      <c r="CA20" s="78"/>
      <c r="CY20" s="76"/>
    </row>
    <row r="21" spans="2:103" x14ac:dyDescent="0.25">
      <c r="J21" s="326"/>
      <c r="BX21" s="78"/>
      <c r="BY21" s="319">
        <v>156</v>
      </c>
      <c r="CA21" s="78"/>
      <c r="CY21" s="76"/>
    </row>
    <row r="22" spans="2:103" x14ac:dyDescent="0.25">
      <c r="B22" s="76"/>
      <c r="C22" s="76"/>
      <c r="D22" s="76"/>
      <c r="E22" s="76"/>
      <c r="F22" s="76"/>
      <c r="G22" s="76"/>
      <c r="H22" s="76"/>
      <c r="I22" s="76"/>
      <c r="J22" s="120"/>
      <c r="K22" s="76"/>
      <c r="L22" s="76"/>
      <c r="M22" s="76"/>
      <c r="N22" s="76"/>
      <c r="BX22" s="78"/>
      <c r="BY22" s="319">
        <v>870</v>
      </c>
      <c r="CA22" s="78"/>
      <c r="CY22" s="76"/>
    </row>
    <row r="23" spans="2:103" x14ac:dyDescent="0.25">
      <c r="B23" s="80" t="s">
        <v>847</v>
      </c>
      <c r="C23" s="76"/>
      <c r="D23" s="76"/>
      <c r="E23" s="76"/>
      <c r="F23" s="76"/>
      <c r="G23" s="76"/>
      <c r="H23" s="76"/>
      <c r="I23" s="76"/>
      <c r="J23" s="120"/>
      <c r="K23" s="76"/>
      <c r="L23" s="76"/>
      <c r="M23" s="76"/>
      <c r="N23" s="76"/>
      <c r="BX23" s="78"/>
      <c r="BY23" s="319">
        <v>371</v>
      </c>
      <c r="CA23" s="78"/>
      <c r="CY23" s="76"/>
    </row>
    <row r="24" spans="2:103" x14ac:dyDescent="0.25">
      <c r="B24" s="80" t="s">
        <v>845</v>
      </c>
      <c r="C24" s="76"/>
      <c r="D24" s="76"/>
      <c r="E24" s="76"/>
      <c r="F24" s="76"/>
      <c r="G24" s="76"/>
      <c r="H24" s="76"/>
      <c r="I24" s="76"/>
      <c r="J24" s="120"/>
      <c r="K24" s="76"/>
      <c r="L24" s="76"/>
      <c r="M24" s="76"/>
      <c r="N24" s="76"/>
      <c r="BX24" s="78"/>
      <c r="BY24" s="319">
        <v>985</v>
      </c>
      <c r="CA24" s="78"/>
      <c r="CY24" s="76"/>
    </row>
    <row r="25" spans="2:103" x14ac:dyDescent="0.25">
      <c r="B25" s="80" t="s">
        <v>848</v>
      </c>
      <c r="C25" s="76"/>
      <c r="D25" s="76"/>
      <c r="E25" s="76"/>
      <c r="F25" s="76"/>
      <c r="G25" s="76"/>
      <c r="H25" s="76"/>
      <c r="I25" s="76"/>
      <c r="J25" s="120"/>
      <c r="K25" s="76"/>
      <c r="L25" s="76"/>
      <c r="M25" s="76"/>
      <c r="N25" s="76"/>
      <c r="BW25" s="2" t="s">
        <v>36</v>
      </c>
      <c r="BX25" s="78"/>
      <c r="BY25" s="319">
        <v>387</v>
      </c>
      <c r="CA25" s="78"/>
      <c r="CY25" s="76"/>
    </row>
    <row r="26" spans="2:103" x14ac:dyDescent="0.25">
      <c r="B26" s="80" t="s">
        <v>846</v>
      </c>
      <c r="C26" s="76"/>
      <c r="D26" s="76"/>
      <c r="E26" s="76"/>
      <c r="F26" s="76"/>
      <c r="G26" s="76"/>
      <c r="H26" s="76"/>
      <c r="I26" s="76"/>
      <c r="J26" s="120"/>
      <c r="K26" s="76"/>
      <c r="L26" s="76"/>
      <c r="M26" s="76"/>
      <c r="N26" s="76"/>
      <c r="BX26" s="78"/>
      <c r="BY26" s="319">
        <v>848</v>
      </c>
      <c r="CA26" s="78"/>
      <c r="CY26" s="76"/>
    </row>
    <row r="27" spans="2:103" x14ac:dyDescent="0.25">
      <c r="B27" s="76"/>
      <c r="C27" s="76"/>
      <c r="D27" s="76"/>
      <c r="E27" s="76"/>
      <c r="F27" s="76"/>
      <c r="G27" s="76"/>
      <c r="H27" s="76"/>
      <c r="I27" s="76"/>
      <c r="J27" s="76"/>
      <c r="K27" s="76"/>
      <c r="L27" s="76"/>
      <c r="M27" s="76"/>
      <c r="N27" s="76"/>
      <c r="BX27" s="78"/>
      <c r="BY27" s="319">
        <v>186</v>
      </c>
      <c r="CA27" s="78"/>
      <c r="CY27" s="76"/>
    </row>
    <row r="28" spans="2:103" x14ac:dyDescent="0.25">
      <c r="BX28" s="78"/>
      <c r="BY28" s="319">
        <v>944</v>
      </c>
      <c r="CA28" s="78"/>
    </row>
    <row r="29" spans="2:103" x14ac:dyDescent="0.25">
      <c r="BX29" s="78"/>
      <c r="BY29" s="319">
        <v>120</v>
      </c>
      <c r="CA29" s="78"/>
    </row>
    <row r="30" spans="2:103" x14ac:dyDescent="0.25">
      <c r="BX30" s="78"/>
      <c r="BY30" s="319">
        <v>176</v>
      </c>
      <c r="CA30" s="78"/>
    </row>
    <row r="31" spans="2:103" x14ac:dyDescent="0.25">
      <c r="BX31" s="78"/>
      <c r="BY31" s="319">
        <v>115</v>
      </c>
      <c r="CA31" s="78"/>
    </row>
    <row r="32" spans="2:103" x14ac:dyDescent="0.25">
      <c r="BX32" s="78"/>
      <c r="BY32" s="319">
        <v>105</v>
      </c>
      <c r="CA32" s="78"/>
    </row>
    <row r="33" spans="2:79" x14ac:dyDescent="0.25">
      <c r="BX33" s="78"/>
      <c r="BY33" s="319">
        <v>120</v>
      </c>
      <c r="CA33" s="78"/>
    </row>
    <row r="34" spans="2:79" x14ac:dyDescent="0.25">
      <c r="BX34" s="78"/>
      <c r="BY34" s="319">
        <v>101</v>
      </c>
      <c r="CA34" s="78"/>
    </row>
    <row r="35" spans="2:79" x14ac:dyDescent="0.25">
      <c r="BX35" s="78"/>
      <c r="BY35" s="319">
        <v>102</v>
      </c>
      <c r="CA35" s="78"/>
    </row>
    <row r="36" spans="2:79" x14ac:dyDescent="0.25">
      <c r="B36" s="54" t="s">
        <v>36</v>
      </c>
      <c r="BX36" s="78"/>
      <c r="BY36" s="319">
        <v>184</v>
      </c>
      <c r="CA36" s="78"/>
    </row>
    <row r="37" spans="2:79" x14ac:dyDescent="0.25">
      <c r="BX37" s="78"/>
      <c r="BY37" s="319">
        <v>167</v>
      </c>
      <c r="CA37" s="78"/>
    </row>
    <row r="38" spans="2:79" x14ac:dyDescent="0.25">
      <c r="BX38" s="78"/>
      <c r="BY38" s="319">
        <v>701</v>
      </c>
      <c r="CA38" s="78"/>
    </row>
    <row r="39" spans="2:79" x14ac:dyDescent="0.25">
      <c r="BX39" s="78"/>
      <c r="BY39" s="319">
        <v>435</v>
      </c>
      <c r="CA39" s="78"/>
    </row>
    <row r="40" spans="2:79" x14ac:dyDescent="0.25">
      <c r="BX40" s="78"/>
      <c r="BY40" s="319">
        <v>219</v>
      </c>
      <c r="CA40" s="78"/>
    </row>
    <row r="41" spans="2:79" x14ac:dyDescent="0.25">
      <c r="BX41" s="78"/>
      <c r="BY41" s="319">
        <v>348</v>
      </c>
      <c r="CA41" s="78"/>
    </row>
    <row r="42" spans="2:79" x14ac:dyDescent="0.25">
      <c r="BX42" s="78"/>
      <c r="BY42" s="319">
        <v>1043</v>
      </c>
      <c r="CA42" s="78"/>
    </row>
    <row r="43" spans="2:79" x14ac:dyDescent="0.25">
      <c r="BX43" s="78"/>
      <c r="BY43" s="319">
        <v>196</v>
      </c>
      <c r="CA43" s="78"/>
    </row>
    <row r="44" spans="2:79" x14ac:dyDescent="0.25">
      <c r="BX44" s="78"/>
      <c r="BY44" s="319">
        <v>473</v>
      </c>
      <c r="CA44" s="78"/>
    </row>
    <row r="45" spans="2:79" x14ac:dyDescent="0.25">
      <c r="BX45" s="78"/>
      <c r="BY45" s="319">
        <v>162</v>
      </c>
      <c r="CA45" s="78"/>
    </row>
    <row r="46" spans="2:79" x14ac:dyDescent="0.25">
      <c r="BX46" s="78"/>
      <c r="BY46" s="319">
        <v>1105</v>
      </c>
      <c r="CA46" s="78"/>
    </row>
    <row r="47" spans="2:79" x14ac:dyDescent="0.25">
      <c r="BX47" s="78"/>
      <c r="BY47" s="319">
        <v>156</v>
      </c>
      <c r="CA47" s="78"/>
    </row>
    <row r="48" spans="2:79" x14ac:dyDescent="0.25">
      <c r="BX48" s="78"/>
      <c r="BY48" s="319">
        <v>1168</v>
      </c>
      <c r="CA48" s="78"/>
    </row>
    <row r="49" spans="76:79" x14ac:dyDescent="0.25">
      <c r="BX49" s="78"/>
      <c r="BY49" s="319">
        <v>199</v>
      </c>
      <c r="CA49" s="78"/>
    </row>
    <row r="50" spans="76:79" x14ac:dyDescent="0.25">
      <c r="BX50" s="78"/>
      <c r="BY50" s="319">
        <v>112</v>
      </c>
      <c r="CA50" s="78"/>
    </row>
    <row r="51" spans="76:79" x14ac:dyDescent="0.25">
      <c r="BX51" s="78"/>
      <c r="BY51" s="319">
        <v>150</v>
      </c>
      <c r="CA51" s="78"/>
    </row>
    <row r="52" spans="76:79" x14ac:dyDescent="0.25">
      <c r="BX52" s="78"/>
      <c r="BY52" s="319">
        <v>161</v>
      </c>
      <c r="CA52" s="78"/>
    </row>
    <row r="53" spans="76:79" x14ac:dyDescent="0.25">
      <c r="BX53" s="78"/>
      <c r="BY53" s="319">
        <v>128</v>
      </c>
      <c r="CA53" s="78"/>
    </row>
    <row r="54" spans="76:79" x14ac:dyDescent="0.25">
      <c r="BX54" s="78"/>
      <c r="BY54" s="319">
        <v>136</v>
      </c>
      <c r="CA54" s="78"/>
    </row>
    <row r="55" spans="76:79" x14ac:dyDescent="0.25">
      <c r="BX55" s="78"/>
      <c r="BY55" s="319">
        <v>129</v>
      </c>
      <c r="CA55" s="78"/>
    </row>
    <row r="56" spans="76:79" x14ac:dyDescent="0.25">
      <c r="BX56" s="78"/>
      <c r="BY56" s="319">
        <v>123</v>
      </c>
      <c r="CA56" s="78"/>
    </row>
    <row r="57" spans="76:79" x14ac:dyDescent="0.25">
      <c r="BX57" s="78"/>
      <c r="BY57" s="319">
        <v>490</v>
      </c>
      <c r="CA57" s="78"/>
    </row>
    <row r="58" spans="76:79" x14ac:dyDescent="0.25">
      <c r="BX58" s="78"/>
      <c r="BY58" s="319">
        <v>967</v>
      </c>
      <c r="CA58" s="78"/>
    </row>
    <row r="59" spans="76:79" x14ac:dyDescent="0.25">
      <c r="BX59" s="78"/>
      <c r="BY59" s="319">
        <v>504</v>
      </c>
      <c r="CA59" s="78"/>
    </row>
    <row r="60" spans="76:79" x14ac:dyDescent="0.25">
      <c r="BX60" s="78"/>
      <c r="BY60" s="319">
        <v>651</v>
      </c>
      <c r="CA60" s="78"/>
    </row>
    <row r="61" spans="76:79" x14ac:dyDescent="0.25">
      <c r="BX61" s="78"/>
      <c r="BY61" s="319">
        <v>154</v>
      </c>
      <c r="CA61" s="78"/>
    </row>
    <row r="62" spans="76:79" x14ac:dyDescent="0.25">
      <c r="BX62" s="78"/>
      <c r="BY62" s="319">
        <v>406</v>
      </c>
      <c r="CA62" s="78"/>
    </row>
    <row r="63" spans="76:79" x14ac:dyDescent="0.25">
      <c r="BX63" s="78"/>
      <c r="BY63" s="319">
        <v>206</v>
      </c>
      <c r="CA63" s="78"/>
    </row>
    <row r="64" spans="76:79" x14ac:dyDescent="0.25">
      <c r="BX64" s="78"/>
      <c r="BY64" s="319">
        <v>7</v>
      </c>
      <c r="CA64" s="78"/>
    </row>
    <row r="65" spans="76:79" x14ac:dyDescent="0.25">
      <c r="BX65" s="78"/>
      <c r="BY65" s="319">
        <v>6</v>
      </c>
      <c r="CA65" s="78"/>
    </row>
    <row r="66" spans="76:79" x14ac:dyDescent="0.25">
      <c r="BX66" s="78"/>
      <c r="BY66" s="319">
        <v>6</v>
      </c>
      <c r="CA66" s="78"/>
    </row>
    <row r="67" spans="76:79" x14ac:dyDescent="0.25">
      <c r="BX67" s="78"/>
      <c r="BY67" s="319">
        <v>127</v>
      </c>
      <c r="CA67" s="78"/>
    </row>
    <row r="68" spans="76:79" x14ac:dyDescent="0.25">
      <c r="BX68" s="78"/>
      <c r="BY68" s="319">
        <v>998</v>
      </c>
      <c r="CA68" s="78"/>
    </row>
    <row r="69" spans="76:79" x14ac:dyDescent="0.25">
      <c r="BX69" s="78"/>
      <c r="BY69" s="319">
        <v>8</v>
      </c>
      <c r="CA69" s="78"/>
    </row>
    <row r="70" spans="76:79" x14ac:dyDescent="0.25">
      <c r="BX70" s="78"/>
      <c r="BY70" s="319">
        <v>1083</v>
      </c>
      <c r="CA70" s="78"/>
    </row>
    <row r="71" spans="76:79" x14ac:dyDescent="0.25">
      <c r="BX71" s="78"/>
      <c r="BY71" s="319">
        <v>577</v>
      </c>
      <c r="CA71" s="78"/>
    </row>
    <row r="72" spans="76:79" x14ac:dyDescent="0.25">
      <c r="BX72" s="78"/>
      <c r="BY72" s="319">
        <v>1123</v>
      </c>
      <c r="CA72" s="78"/>
    </row>
    <row r="73" spans="76:79" x14ac:dyDescent="0.25">
      <c r="BX73" s="78"/>
      <c r="BY73" s="319">
        <v>140</v>
      </c>
      <c r="CA73" s="78"/>
    </row>
    <row r="74" spans="76:79" x14ac:dyDescent="0.25">
      <c r="BX74" s="78"/>
      <c r="BY74" s="319">
        <v>120</v>
      </c>
      <c r="CA74" s="78"/>
    </row>
    <row r="75" spans="76:79" x14ac:dyDescent="0.25">
      <c r="BX75" s="78"/>
      <c r="BY75" s="319">
        <v>145</v>
      </c>
      <c r="CA75" s="78"/>
    </row>
    <row r="76" spans="76:79" x14ac:dyDescent="0.25">
      <c r="BX76" s="78"/>
      <c r="BY76" s="319">
        <v>116</v>
      </c>
      <c r="CA76" s="78"/>
    </row>
    <row r="77" spans="76:79" x14ac:dyDescent="0.25">
      <c r="BX77" s="78"/>
      <c r="BY77" s="319">
        <v>117</v>
      </c>
      <c r="CA77" s="78"/>
    </row>
    <row r="78" spans="76:79" x14ac:dyDescent="0.25">
      <c r="BX78" s="78"/>
      <c r="BY78" s="319">
        <v>135</v>
      </c>
      <c r="CA78" s="78"/>
    </row>
    <row r="79" spans="76:79" x14ac:dyDescent="0.25">
      <c r="BX79" s="78"/>
      <c r="BY79" s="319">
        <v>778</v>
      </c>
      <c r="CA79" s="78"/>
    </row>
    <row r="80" spans="76:79" x14ac:dyDescent="0.25">
      <c r="BX80" s="78"/>
      <c r="BY80" s="319">
        <v>976</v>
      </c>
      <c r="CA80" s="78"/>
    </row>
    <row r="81" spans="76:79" x14ac:dyDescent="0.25">
      <c r="BX81" s="78"/>
      <c r="BY81" s="319">
        <v>759</v>
      </c>
      <c r="CA81" s="78"/>
    </row>
    <row r="82" spans="76:79" x14ac:dyDescent="0.25">
      <c r="BX82" s="78"/>
      <c r="BY82" s="319">
        <v>595</v>
      </c>
      <c r="CA82" s="78"/>
    </row>
    <row r="83" spans="76:79" x14ac:dyDescent="0.25">
      <c r="BX83" s="78"/>
      <c r="BY83" s="319">
        <v>196</v>
      </c>
      <c r="CA83" s="78"/>
    </row>
    <row r="84" spans="76:79" x14ac:dyDescent="0.25">
      <c r="BX84" s="78"/>
      <c r="BY84" s="319">
        <v>752</v>
      </c>
      <c r="CA84" s="78"/>
    </row>
    <row r="85" spans="76:79" x14ac:dyDescent="0.25">
      <c r="BX85" s="78"/>
      <c r="BY85" s="319">
        <v>7</v>
      </c>
      <c r="CA85" s="78"/>
    </row>
    <row r="86" spans="76:79" x14ac:dyDescent="0.25">
      <c r="BX86" s="78"/>
      <c r="BY86" s="319">
        <v>146</v>
      </c>
      <c r="CA86" s="78"/>
    </row>
    <row r="87" spans="76:79" x14ac:dyDescent="0.25">
      <c r="BX87" s="78"/>
      <c r="BY87" s="319">
        <v>407</v>
      </c>
      <c r="CA87" s="78"/>
    </row>
    <row r="88" spans="76:79" x14ac:dyDescent="0.25">
      <c r="BX88" s="78"/>
      <c r="BY88" s="319">
        <v>907</v>
      </c>
      <c r="CA88" s="78"/>
    </row>
    <row r="89" spans="76:79" x14ac:dyDescent="0.25">
      <c r="BX89" s="78"/>
      <c r="BY89" s="319">
        <v>363</v>
      </c>
      <c r="CA89" s="78"/>
    </row>
    <row r="90" spans="76:79" x14ac:dyDescent="0.25">
      <c r="BX90" s="78"/>
      <c r="BY90" s="319">
        <v>299</v>
      </c>
      <c r="CA90" s="78"/>
    </row>
    <row r="91" spans="76:79" x14ac:dyDescent="0.25">
      <c r="BX91" s="78"/>
      <c r="BY91" s="319">
        <v>120</v>
      </c>
      <c r="CA91" s="78"/>
    </row>
    <row r="92" spans="76:79" x14ac:dyDescent="0.25">
      <c r="BX92" s="78"/>
      <c r="BY92" s="319">
        <v>417</v>
      </c>
      <c r="CA92" s="78"/>
    </row>
    <row r="93" spans="76:79" x14ac:dyDescent="0.25">
      <c r="BX93" s="78"/>
      <c r="BY93" s="319">
        <v>1031</v>
      </c>
      <c r="CA93" s="78"/>
    </row>
    <row r="94" spans="76:79" x14ac:dyDescent="0.25">
      <c r="BX94" s="78"/>
      <c r="BY94" s="319">
        <v>935</v>
      </c>
      <c r="CA94" s="78"/>
    </row>
    <row r="95" spans="76:79" x14ac:dyDescent="0.25">
      <c r="BX95" s="78"/>
      <c r="BY95" s="319">
        <v>245</v>
      </c>
      <c r="CA95" s="78"/>
    </row>
    <row r="96" spans="76:79" x14ac:dyDescent="0.25">
      <c r="BX96" s="78"/>
      <c r="BY96" s="319">
        <v>122</v>
      </c>
      <c r="CA96" s="78"/>
    </row>
    <row r="97" spans="76:79" x14ac:dyDescent="0.25">
      <c r="BX97" s="78"/>
      <c r="BY97" s="319">
        <v>553</v>
      </c>
      <c r="CA97" s="78"/>
    </row>
    <row r="98" spans="76:79" x14ac:dyDescent="0.25">
      <c r="BX98" s="78"/>
      <c r="BY98" s="319">
        <v>177</v>
      </c>
      <c r="CA98" s="78"/>
    </row>
    <row r="99" spans="76:79" x14ac:dyDescent="0.25">
      <c r="BX99" s="78"/>
      <c r="BY99" s="319">
        <v>191</v>
      </c>
      <c r="CA99" s="78"/>
    </row>
    <row r="100" spans="76:79" x14ac:dyDescent="0.25">
      <c r="BX100" s="78"/>
      <c r="BY100" s="319">
        <v>339</v>
      </c>
      <c r="CA100" s="78"/>
    </row>
    <row r="101" spans="76:79" x14ac:dyDescent="0.25">
      <c r="BX101" s="78"/>
      <c r="BY101" s="319">
        <v>767</v>
      </c>
      <c r="CA101" s="78"/>
    </row>
    <row r="102" spans="76:79" x14ac:dyDescent="0.25">
      <c r="BX102" s="78"/>
      <c r="BY102" s="319">
        <v>941</v>
      </c>
      <c r="CA102" s="78"/>
    </row>
    <row r="103" spans="76:79" x14ac:dyDescent="0.25">
      <c r="BX103" s="78"/>
      <c r="BY103" s="319">
        <v>1102</v>
      </c>
      <c r="CA103" s="78"/>
    </row>
    <row r="104" spans="76:79" x14ac:dyDescent="0.25">
      <c r="BX104" s="78"/>
      <c r="BY104" s="319">
        <v>314</v>
      </c>
      <c r="CA104" s="78"/>
    </row>
    <row r="105" spans="76:79" x14ac:dyDescent="0.25">
      <c r="BX105" s="78"/>
      <c r="BY105" s="319">
        <v>738</v>
      </c>
      <c r="CA105" s="78"/>
    </row>
    <row r="106" spans="76:79" x14ac:dyDescent="0.25">
      <c r="BX106" s="78"/>
      <c r="BY106" s="319">
        <v>596</v>
      </c>
      <c r="CA106" s="78"/>
    </row>
    <row r="107" spans="76:79" x14ac:dyDescent="0.25">
      <c r="BX107" s="78"/>
      <c r="BY107" s="319">
        <v>1115</v>
      </c>
      <c r="CA107" s="78"/>
    </row>
    <row r="108" spans="76:79" x14ac:dyDescent="0.25">
      <c r="BX108" s="78"/>
      <c r="BY108" s="319">
        <v>483</v>
      </c>
      <c r="CA108" s="78"/>
    </row>
    <row r="109" spans="76:79" x14ac:dyDescent="0.25">
      <c r="BX109" s="78"/>
      <c r="BY109" s="319">
        <v>589</v>
      </c>
      <c r="CA109" s="78"/>
    </row>
    <row r="110" spans="76:79" x14ac:dyDescent="0.25">
      <c r="BX110" s="78"/>
      <c r="BY110" s="319">
        <v>788</v>
      </c>
      <c r="CA110" s="78"/>
    </row>
    <row r="111" spans="76:79" x14ac:dyDescent="0.25">
      <c r="BX111" s="78"/>
      <c r="BY111" s="319">
        <v>355</v>
      </c>
      <c r="CA111" s="78"/>
    </row>
    <row r="112" spans="76:79" x14ac:dyDescent="0.25">
      <c r="BX112" s="78"/>
      <c r="BY112" s="319">
        <v>432</v>
      </c>
      <c r="CA112" s="78"/>
    </row>
    <row r="113" spans="76:79" x14ac:dyDescent="0.25">
      <c r="BX113" s="78"/>
      <c r="BY113" s="319">
        <v>834</v>
      </c>
      <c r="CA113" s="78"/>
    </row>
    <row r="114" spans="76:79" x14ac:dyDescent="0.25">
      <c r="BX114" s="78"/>
      <c r="BY114" s="319">
        <v>179</v>
      </c>
      <c r="CA114" s="78"/>
    </row>
    <row r="115" spans="76:79" x14ac:dyDescent="0.25">
      <c r="BX115" s="78"/>
      <c r="BY115" s="319">
        <v>922</v>
      </c>
      <c r="CA115" s="78"/>
    </row>
    <row r="116" spans="76:79" x14ac:dyDescent="0.25">
      <c r="BX116" s="78"/>
      <c r="CA116" s="78"/>
    </row>
    <row r="117" spans="76:79" x14ac:dyDescent="0.25">
      <c r="BX117" s="78"/>
      <c r="CA117" s="78"/>
    </row>
    <row r="118" spans="76:79" x14ac:dyDescent="0.25">
      <c r="BX118" s="78"/>
      <c r="CA118" s="78"/>
    </row>
    <row r="119" spans="76:79" x14ac:dyDescent="0.25">
      <c r="BX119" s="78"/>
      <c r="CA119" s="78"/>
    </row>
    <row r="120" spans="76:79" x14ac:dyDescent="0.25">
      <c r="BX120" s="78"/>
      <c r="BY120" s="319">
        <v>1143</v>
      </c>
      <c r="CA120" s="78"/>
    </row>
    <row r="121" spans="76:79" x14ac:dyDescent="0.25">
      <c r="BX121" s="78"/>
      <c r="BY121" s="319">
        <v>111</v>
      </c>
      <c r="CA121" s="78"/>
    </row>
    <row r="122" spans="76:79" x14ac:dyDescent="0.25">
      <c r="BX122" s="78"/>
      <c r="BY122" s="319">
        <v>359</v>
      </c>
      <c r="CA122" s="78"/>
    </row>
    <row r="123" spans="76:79" x14ac:dyDescent="0.25">
      <c r="BX123" s="78"/>
      <c r="BY123" s="319">
        <v>120</v>
      </c>
      <c r="CA123" s="78"/>
    </row>
    <row r="124" spans="76:79" x14ac:dyDescent="0.25">
      <c r="BX124" s="78"/>
      <c r="BY124" s="319">
        <v>1066</v>
      </c>
      <c r="CA124" s="78"/>
    </row>
    <row r="125" spans="76:79" x14ac:dyDescent="0.25">
      <c r="BX125" s="78"/>
      <c r="BY125" s="319">
        <v>166</v>
      </c>
      <c r="CA125" s="78"/>
    </row>
    <row r="126" spans="76:79" x14ac:dyDescent="0.25">
      <c r="BX126" s="78"/>
      <c r="BY126" s="319">
        <v>520</v>
      </c>
      <c r="CA126" s="78"/>
    </row>
    <row r="127" spans="76:79" x14ac:dyDescent="0.25">
      <c r="BX127" s="78"/>
      <c r="BY127" s="319">
        <v>141</v>
      </c>
      <c r="CA127" s="78"/>
    </row>
    <row r="128" spans="76:79" x14ac:dyDescent="0.25">
      <c r="BX128" s="78"/>
      <c r="BY128" s="319">
        <v>140</v>
      </c>
      <c r="CA128" s="78"/>
    </row>
    <row r="129" spans="76:135" x14ac:dyDescent="0.25">
      <c r="BX129" s="78"/>
      <c r="BY129" s="319">
        <v>159</v>
      </c>
      <c r="CA129" s="78"/>
    </row>
    <row r="130" spans="76:135" x14ac:dyDescent="0.25">
      <c r="BX130" s="78"/>
      <c r="BY130" s="319">
        <v>493</v>
      </c>
      <c r="CA130" s="78"/>
    </row>
    <row r="131" spans="76:135" x14ac:dyDescent="0.25">
      <c r="BX131" s="78"/>
      <c r="BY131" s="319">
        <v>186</v>
      </c>
      <c r="CA131" s="78"/>
    </row>
    <row r="132" spans="76:135" x14ac:dyDescent="0.25">
      <c r="BX132" s="78"/>
      <c r="BY132" s="319">
        <v>161</v>
      </c>
      <c r="CA132" s="78"/>
    </row>
    <row r="133" spans="76:135" x14ac:dyDescent="0.25">
      <c r="BX133" s="78"/>
      <c r="BY133" s="319">
        <v>9</v>
      </c>
      <c r="CA133" s="78"/>
    </row>
    <row r="134" spans="76:135" x14ac:dyDescent="0.25">
      <c r="BX134" s="78"/>
      <c r="BY134" s="319">
        <v>120</v>
      </c>
      <c r="CA134" s="78"/>
    </row>
    <row r="135" spans="76:135" x14ac:dyDescent="0.25">
      <c r="BX135" s="78"/>
      <c r="BY135" s="319">
        <v>107</v>
      </c>
      <c r="CA135" s="78"/>
    </row>
    <row r="136" spans="76:135" x14ac:dyDescent="0.25">
      <c r="BX136" s="78"/>
      <c r="BY136" s="319">
        <v>540</v>
      </c>
      <c r="CA136" s="78"/>
    </row>
    <row r="137" spans="76:135" x14ac:dyDescent="0.25">
      <c r="BX137" s="78"/>
      <c r="BY137" s="319">
        <v>125</v>
      </c>
      <c r="CA137" s="78"/>
    </row>
    <row r="138" spans="76:135" x14ac:dyDescent="0.25">
      <c r="BX138" s="78"/>
      <c r="BY138" s="319">
        <v>996</v>
      </c>
      <c r="CA138" s="78"/>
    </row>
    <row r="139" spans="76:135" x14ac:dyDescent="0.25">
      <c r="BX139" s="78"/>
      <c r="BY139" s="319">
        <v>125</v>
      </c>
      <c r="CA139" s="78"/>
    </row>
    <row r="140" spans="76:135" x14ac:dyDescent="0.25">
      <c r="BX140" s="78"/>
      <c r="BY140" s="319">
        <v>13</v>
      </c>
      <c r="CA140" s="78"/>
      <c r="EE140" s="76">
        <f>+IF(MID($J$6,1,5)=MID($EE$11,1,5),0,1)</f>
        <v>0</v>
      </c>
    </row>
    <row r="141" spans="76:135" x14ac:dyDescent="0.25">
      <c r="BX141" s="78"/>
      <c r="BY141" s="319">
        <v>176</v>
      </c>
      <c r="CA141" s="78"/>
      <c r="EE141" s="76">
        <f>+IF(MID($J$2,1,10)=MID($EE$2,1,10),4,1)</f>
        <v>4</v>
      </c>
    </row>
    <row r="142" spans="76:135" x14ac:dyDescent="0.25">
      <c r="BX142" s="78"/>
      <c r="BY142" s="319">
        <v>471</v>
      </c>
      <c r="BZ142" s="321">
        <v>13</v>
      </c>
      <c r="CA142" s="78"/>
      <c r="EE142" s="76">
        <f>+IF(MID($J$2,1,10)=MID($EE$2,1,10),0,1)</f>
        <v>0</v>
      </c>
    </row>
    <row r="143" spans="76:135" x14ac:dyDescent="0.25">
      <c r="BX143" s="78"/>
      <c r="BY143" s="319">
        <v>160</v>
      </c>
      <c r="BZ143" s="321">
        <v>13</v>
      </c>
      <c r="CA143" s="78"/>
      <c r="EE143" s="76">
        <f>+IF(MID($J$3,1,10)=MID($EE$3,1,10),2,1)</f>
        <v>2</v>
      </c>
    </row>
    <row r="144" spans="76:135" x14ac:dyDescent="0.25">
      <c r="BX144" s="78"/>
      <c r="BY144" s="319">
        <v>472</v>
      </c>
      <c r="BZ144" s="321">
        <v>13</v>
      </c>
      <c r="CA144" s="78"/>
      <c r="EE144" s="76">
        <f>+IF(MID($J$3,1,10)=MID($EE$3,1,10),2,1)</f>
        <v>2</v>
      </c>
    </row>
    <row r="145" spans="76:135" x14ac:dyDescent="0.25">
      <c r="BX145" s="78"/>
      <c r="BY145" s="319">
        <v>197</v>
      </c>
      <c r="CA145" s="78"/>
      <c r="EE145" s="76">
        <f>+IF(MID($J$2,1,10)=MID($EE$2,1,10),4,1)</f>
        <v>4</v>
      </c>
    </row>
    <row r="146" spans="76:135" x14ac:dyDescent="0.25">
      <c r="BX146" s="78"/>
      <c r="BY146" s="319">
        <v>131</v>
      </c>
      <c r="CA146" s="78"/>
      <c r="EE146" s="76">
        <f>+IF(MID($J$3,1,10)=MID($EE$3,1,10),2,1)</f>
        <v>2</v>
      </c>
    </row>
    <row r="147" spans="76:135" x14ac:dyDescent="0.25">
      <c r="BX147" s="78"/>
      <c r="BY147" s="319">
        <v>15</v>
      </c>
      <c r="CA147" s="78"/>
      <c r="EE147" s="76">
        <f>+IF(MID($J$6,1,5)=MID($EE$11,1,5),0,1)</f>
        <v>0</v>
      </c>
    </row>
    <row r="148" spans="76:135" x14ac:dyDescent="0.25">
      <c r="BX148" s="78"/>
      <c r="BY148" s="319">
        <v>4</v>
      </c>
      <c r="CA148" s="78"/>
      <c r="EE148" s="76">
        <f>+IF(MID($J$2,1,10)=MID($EE$2,1,10),1,2)</f>
        <v>1</v>
      </c>
    </row>
    <row r="149" spans="76:135" x14ac:dyDescent="0.25">
      <c r="BX149" s="78"/>
      <c r="BY149" s="319">
        <v>152</v>
      </c>
      <c r="CA149" s="78"/>
      <c r="EE149" s="76">
        <f>+IF(MID($J$2,1,10)=MID($EE$2,1,10),3,1)</f>
        <v>3</v>
      </c>
    </row>
    <row r="150" spans="76:135" x14ac:dyDescent="0.25">
      <c r="BX150" s="78"/>
      <c r="BY150" s="319">
        <v>103</v>
      </c>
      <c r="CA150" s="78"/>
      <c r="EE150" s="76">
        <f>+IF(MID($J$2,1,10)=MID($EE$2,1,10),1,2)</f>
        <v>1</v>
      </c>
    </row>
    <row r="151" spans="76:135" x14ac:dyDescent="0.25">
      <c r="BX151" s="78"/>
      <c r="BY151" s="319">
        <v>205</v>
      </c>
      <c r="CA151" s="78"/>
      <c r="EE151" s="76">
        <f>+IF(MID($J$3,1,10)=MID($EE$3,1,10),2,1)</f>
        <v>2</v>
      </c>
    </row>
    <row r="152" spans="76:135" x14ac:dyDescent="0.25">
      <c r="BX152" s="78"/>
      <c r="BY152" s="319">
        <v>381</v>
      </c>
      <c r="CA152" s="78"/>
      <c r="EE152" s="76">
        <f>+IF(MID($J$2,1,10)=MID($EE$2,1,10),1,2)</f>
        <v>1</v>
      </c>
    </row>
    <row r="153" spans="76:135" x14ac:dyDescent="0.25">
      <c r="BX153" s="78"/>
      <c r="BY153" s="322">
        <v>28</v>
      </c>
      <c r="CA153" s="78"/>
      <c r="EE153" s="76">
        <f>+IF(MID($J$6,1,5)=MID($EE$11,1,5),0,1)</f>
        <v>0</v>
      </c>
    </row>
    <row r="154" spans="76:135" x14ac:dyDescent="0.25">
      <c r="BX154" s="78"/>
      <c r="BY154" s="319">
        <v>669</v>
      </c>
      <c r="CA154" s="78"/>
      <c r="EE154" s="76">
        <f>+IF(MID($J$2,1,10)=MID($EE$2,1,10),0,1)</f>
        <v>0</v>
      </c>
    </row>
    <row r="155" spans="76:135" x14ac:dyDescent="0.25">
      <c r="BX155" s="78"/>
      <c r="BY155" s="319">
        <v>107</v>
      </c>
      <c r="CA155" s="78"/>
      <c r="EE155" s="76">
        <f>+IF(MID($J$2,1,10)=MID($EE$2,1,10),0,1)</f>
        <v>0</v>
      </c>
    </row>
    <row r="156" spans="76:135" x14ac:dyDescent="0.25">
      <c r="BX156" s="78"/>
      <c r="BY156" s="319">
        <v>1062</v>
      </c>
      <c r="CA156" s="78"/>
      <c r="EE156" s="76">
        <f>+IF(MID($J$2,1,10)=MID($EE$2,1,10),1,2)</f>
        <v>1</v>
      </c>
    </row>
    <row r="157" spans="76:135" x14ac:dyDescent="0.25">
      <c r="BX157" s="78"/>
      <c r="BY157" s="319">
        <v>7</v>
      </c>
      <c r="CA157" s="78"/>
      <c r="EE157" s="76">
        <f>+IF(MID($J$2,1,10)=MID($EE$2,1,10),1,2)</f>
        <v>1</v>
      </c>
    </row>
    <row r="158" spans="76:135" x14ac:dyDescent="0.25">
      <c r="BX158" s="78"/>
      <c r="BY158" s="319">
        <v>333</v>
      </c>
      <c r="CA158" s="78"/>
      <c r="EE158" s="76">
        <f>+IF(MID($J$2,1,10)=MID($EE$2,1,10),3,1)</f>
        <v>3</v>
      </c>
    </row>
    <row r="159" spans="76:135" x14ac:dyDescent="0.25">
      <c r="BX159" s="78"/>
      <c r="BY159" s="319">
        <v>13</v>
      </c>
      <c r="CA159" s="78"/>
      <c r="EE159" s="76">
        <f>+IF(MID($J$2,1,10)=MID($EE$2,1,10),3,1)</f>
        <v>3</v>
      </c>
    </row>
    <row r="160" spans="76:135" x14ac:dyDescent="0.25">
      <c r="BX160" s="79"/>
      <c r="BY160" s="322">
        <v>20</v>
      </c>
      <c r="BZ160" s="323"/>
      <c r="CA160" s="79"/>
      <c r="EE160" s="76">
        <f>+IF(MID($J$6,1,5)=MID($EE$11,1,5),0,1)</f>
        <v>0</v>
      </c>
    </row>
    <row r="161" spans="76:135" x14ac:dyDescent="0.25">
      <c r="BX161" s="78"/>
      <c r="BY161" s="319">
        <v>190</v>
      </c>
      <c r="CA161" s="78"/>
      <c r="EE161" s="76">
        <f>+IF(MID($J$2,1,10)=MID($EE$2,1,10),0,1)</f>
        <v>0</v>
      </c>
    </row>
    <row r="162" spans="76:135" x14ac:dyDescent="0.25">
      <c r="BX162" s="78"/>
      <c r="BY162" s="319">
        <v>898</v>
      </c>
      <c r="CA162" s="78"/>
      <c r="EE162" s="76">
        <f>+IF(MID($J$2,1,10)=MID($EE$2,1,10),1,2)</f>
        <v>1</v>
      </c>
    </row>
    <row r="163" spans="76:135" x14ac:dyDescent="0.25">
      <c r="BX163" s="78"/>
      <c r="BY163" s="322">
        <v>28</v>
      </c>
      <c r="CA163" s="78"/>
      <c r="EE163" s="76">
        <f>+IF(MID($J$6,1,5)=MID($EE$11,1,5),0,1)</f>
        <v>0</v>
      </c>
    </row>
    <row r="164" spans="76:135" x14ac:dyDescent="0.25">
      <c r="BX164" s="78"/>
      <c r="BY164" s="319">
        <v>144</v>
      </c>
      <c r="CA164" s="78"/>
      <c r="EE164" s="76">
        <f>+IF(MID($J$2,1,10)=MID($EE$2,1,10),3,1)</f>
        <v>3</v>
      </c>
    </row>
    <row r="165" spans="76:135" x14ac:dyDescent="0.25">
      <c r="BX165" s="78"/>
      <c r="BY165" s="319">
        <v>397</v>
      </c>
      <c r="CA165" s="78"/>
      <c r="EE165" s="76">
        <f>+IF(MID($J$2,1,10)=MID($EE$2,1,10),0,1)</f>
        <v>0</v>
      </c>
    </row>
    <row r="166" spans="76:135" x14ac:dyDescent="0.25">
      <c r="BX166" s="78"/>
      <c r="BY166" s="319">
        <v>152</v>
      </c>
      <c r="CA166" s="78"/>
      <c r="EE166" s="76">
        <f>+IF(MID($J$2,1,10)=MID($EE$2,1,10),3,1)</f>
        <v>3</v>
      </c>
    </row>
    <row r="167" spans="76:135" x14ac:dyDescent="0.25">
      <c r="BX167" s="78"/>
      <c r="BY167" s="322">
        <v>10</v>
      </c>
      <c r="CA167" s="78"/>
      <c r="EE167" s="76">
        <f>+IF(MID($J$6,1,5)=MID($EE$11,1,5),0,1)</f>
        <v>0</v>
      </c>
    </row>
    <row r="168" spans="76:135" x14ac:dyDescent="0.25">
      <c r="BX168" s="78"/>
      <c r="BY168" s="319">
        <v>182</v>
      </c>
      <c r="CA168" s="78"/>
      <c r="EE168" s="76">
        <f>+IF(MID($J$2,1,10)=MID($EE$2,1,10),3,1)</f>
        <v>3</v>
      </c>
    </row>
    <row r="169" spans="76:135" x14ac:dyDescent="0.25">
      <c r="BX169" s="78"/>
      <c r="BY169" s="319">
        <v>964</v>
      </c>
      <c r="CA169" s="78"/>
      <c r="EE169" s="76">
        <f>+IF(MID($J$2,1,10)=MID($EE$2,1,10),1,2)</f>
        <v>1</v>
      </c>
    </row>
    <row r="170" spans="76:135" x14ac:dyDescent="0.25">
      <c r="BX170" s="78"/>
      <c r="BY170" s="319">
        <v>13</v>
      </c>
      <c r="CA170" s="78"/>
      <c r="EE170" s="76">
        <f>+IF(MID($J$6,1,5)=MID($EE$11,1,5),0,1)</f>
        <v>0</v>
      </c>
    </row>
    <row r="171" spans="76:135" x14ac:dyDescent="0.25">
      <c r="BX171" s="78"/>
      <c r="BY171" s="319">
        <v>13</v>
      </c>
      <c r="CA171" s="78"/>
      <c r="EE171" s="76">
        <f>+IF(MID($J$6,1,5)=MID($EE$11,1,5),0,1)</f>
        <v>0</v>
      </c>
    </row>
    <row r="172" spans="76:135" x14ac:dyDescent="0.25">
      <c r="BX172" s="78"/>
      <c r="BY172" s="319">
        <v>148</v>
      </c>
      <c r="CA172" s="78"/>
      <c r="EE172" s="76">
        <f>+IF(MID($J$2,1,10)=MID($EE$2,1,10),0,1)</f>
        <v>0</v>
      </c>
    </row>
    <row r="173" spans="76:135" x14ac:dyDescent="0.25">
      <c r="BX173" s="78"/>
      <c r="BY173" s="319">
        <v>335</v>
      </c>
      <c r="CA173" s="78"/>
      <c r="EE173" s="76">
        <f>+IF(MID($J$3,1,10)=MID($EE$3,1,10),2,1)</f>
        <v>2</v>
      </c>
    </row>
    <row r="174" spans="76:135" x14ac:dyDescent="0.25">
      <c r="BX174" s="78"/>
      <c r="BY174" s="319">
        <v>147</v>
      </c>
      <c r="CA174" s="78"/>
      <c r="EE174" s="76">
        <f>+IF(MID($J$3,1,10)=MID($EE$3,1,10),2,1)</f>
        <v>2</v>
      </c>
    </row>
    <row r="175" spans="76:135" x14ac:dyDescent="0.25">
      <c r="BX175" s="78"/>
      <c r="BY175" s="319">
        <v>121</v>
      </c>
      <c r="CA175" s="78"/>
      <c r="EE175" s="76">
        <f>+IF(MID($J$2,1,10)=MID($EE$2,1,10),4,1)</f>
        <v>4</v>
      </c>
    </row>
    <row r="176" spans="76:135" x14ac:dyDescent="0.25">
      <c r="BX176" s="78"/>
      <c r="BY176" s="319">
        <v>153</v>
      </c>
      <c r="CA176" s="78"/>
      <c r="EE176" s="76">
        <f>+IF(MID($J$3,1,10)=MID($EE$3,1,10),2,1)</f>
        <v>2</v>
      </c>
    </row>
    <row r="177" spans="76:135" x14ac:dyDescent="0.25">
      <c r="BX177" s="78"/>
      <c r="BY177" s="319">
        <v>800</v>
      </c>
      <c r="CA177" s="78"/>
    </row>
    <row r="178" spans="76:135" x14ac:dyDescent="0.25">
      <c r="BX178" s="79"/>
      <c r="BY178" s="322">
        <v>20</v>
      </c>
      <c r="BZ178" s="323"/>
      <c r="CA178" s="79"/>
      <c r="EE178" s="76">
        <f>+IF(MID($J$6,1,5)=MID($EE$11,1,5),0,1)</f>
        <v>0</v>
      </c>
    </row>
    <row r="179" spans="76:135" x14ac:dyDescent="0.25">
      <c r="BX179" s="78"/>
      <c r="BY179" s="319">
        <v>136</v>
      </c>
      <c r="CA179" s="78"/>
      <c r="EE179" s="76">
        <f>+IF(MID($J$2,1,10)=MID($EE$2,1,10),1,2)</f>
        <v>1</v>
      </c>
    </row>
    <row r="180" spans="76:135" x14ac:dyDescent="0.25">
      <c r="BX180" s="78"/>
      <c r="BY180" s="319">
        <v>111</v>
      </c>
      <c r="CA180" s="78"/>
      <c r="EE180" s="76">
        <f>+IF(MID($J$2,1,10)=MID($EE$2,1,10),3,1)</f>
        <v>3</v>
      </c>
    </row>
    <row r="181" spans="76:135" x14ac:dyDescent="0.25">
      <c r="BX181" s="78"/>
      <c r="BY181" s="319">
        <v>197</v>
      </c>
      <c r="CA181" s="78"/>
      <c r="EE181" s="76">
        <f>+IF(MID($J$2,1,10)=MID($EE$2,1,10),1,2)</f>
        <v>1</v>
      </c>
    </row>
    <row r="182" spans="76:135" x14ac:dyDescent="0.25">
      <c r="BX182" s="78"/>
      <c r="BY182" s="319">
        <v>235</v>
      </c>
      <c r="CA182" s="78"/>
      <c r="EE182" s="76">
        <f>+IF(MID($J$3,1,10)=MID($EE$3,1,10),2,1)</f>
        <v>2</v>
      </c>
    </row>
    <row r="183" spans="76:135" x14ac:dyDescent="0.25">
      <c r="BX183" s="78"/>
      <c r="BY183" s="319">
        <v>3</v>
      </c>
      <c r="CA183" s="78"/>
      <c r="EE183" s="76">
        <f>+IF(MID($J$2,1,10)=MID($EE$2,1,10),1,2)</f>
        <v>1</v>
      </c>
    </row>
    <row r="184" spans="76:135" x14ac:dyDescent="0.25">
      <c r="BX184" s="78"/>
      <c r="BY184" s="319">
        <v>372</v>
      </c>
      <c r="CA184" s="78"/>
      <c r="EE184" s="76">
        <f>+IF(MID($J$2,1,10)=MID($EE$2,1,10),0,1)</f>
        <v>0</v>
      </c>
    </row>
    <row r="185" spans="76:135" x14ac:dyDescent="0.25">
      <c r="BX185" s="78"/>
      <c r="BY185" s="319">
        <v>173</v>
      </c>
      <c r="CA185" s="78"/>
      <c r="EE185" s="76">
        <f>+IF(MID($J$2,1,10)=MID($EE$2,1,10),0,1)</f>
        <v>0</v>
      </c>
    </row>
    <row r="186" spans="76:135" x14ac:dyDescent="0.25">
      <c r="BX186" s="78"/>
      <c r="BY186" s="319">
        <v>347</v>
      </c>
      <c r="CA186" s="78"/>
      <c r="EE186" s="76">
        <f>+IF(MID($J$2,1,10)=MID($EE$2,1,10),0,1)</f>
        <v>0</v>
      </c>
    </row>
    <row r="187" spans="76:135" x14ac:dyDescent="0.25">
      <c r="BX187" s="78"/>
      <c r="BY187" s="319">
        <v>114</v>
      </c>
      <c r="CA187" s="78"/>
      <c r="EE187" s="76">
        <f>+IF(MID($J$2,1,10)=MID($EE$2,1,10),1,2)</f>
        <v>1</v>
      </c>
    </row>
    <row r="188" spans="76:135" x14ac:dyDescent="0.25">
      <c r="BX188" s="78"/>
      <c r="BY188" s="319">
        <v>898</v>
      </c>
      <c r="CA188" s="78"/>
      <c r="EE188" s="76">
        <f>+IF(MID($J$2,1,10)=MID($EE$2,1,10),1,2)</f>
        <v>1</v>
      </c>
    </row>
    <row r="189" spans="76:135" x14ac:dyDescent="0.25">
      <c r="BX189" s="78"/>
      <c r="BY189" s="319">
        <v>181</v>
      </c>
      <c r="CA189" s="78"/>
      <c r="EE189" s="76">
        <f>+IF(MID($J$2,1,10)=MID($EE$2,1,10),3,1)</f>
        <v>3</v>
      </c>
    </row>
    <row r="190" spans="76:135" x14ac:dyDescent="0.25">
      <c r="BX190" s="78"/>
      <c r="BY190" s="319">
        <v>190</v>
      </c>
      <c r="CA190" s="78"/>
      <c r="EE190" s="76">
        <f>+IF(MID($J$2,1,10)=MID($EE$2,1,10),3,1)</f>
        <v>3</v>
      </c>
    </row>
    <row r="191" spans="76:135" x14ac:dyDescent="0.25">
      <c r="BX191" s="78"/>
      <c r="BY191" s="319">
        <v>163</v>
      </c>
      <c r="CA191" s="78"/>
      <c r="EE191" s="76">
        <f>+IF(MID($J$2,1,10)=MID($EE$2,1,10),3,1)</f>
        <v>3</v>
      </c>
    </row>
    <row r="192" spans="76:135" x14ac:dyDescent="0.25">
      <c r="BX192" s="78"/>
      <c r="BY192" s="319">
        <v>183</v>
      </c>
      <c r="CA192" s="78"/>
      <c r="EE192" s="76">
        <f>+IF(MID($J$2,1,10)=MID($EE$2,1,10),0,1)</f>
        <v>0</v>
      </c>
    </row>
    <row r="193" spans="76:135" x14ac:dyDescent="0.25">
      <c r="BX193" s="78"/>
      <c r="BY193" s="319">
        <v>13</v>
      </c>
      <c r="CA193" s="78"/>
      <c r="EE193" s="76">
        <f>+IF(MID($J$2,1,10)=MID($EE$2,1,10),1,2)</f>
        <v>1</v>
      </c>
    </row>
    <row r="194" spans="76:135" x14ac:dyDescent="0.25">
      <c r="BX194" s="78"/>
      <c r="BY194" s="319">
        <v>120</v>
      </c>
      <c r="CA194" s="78"/>
      <c r="EE194" s="76">
        <f>+IF(MID($J$2,1,10)=MID($EE$2,1,10),3,1)</f>
        <v>3</v>
      </c>
    </row>
    <row r="195" spans="76:135" x14ac:dyDescent="0.25">
      <c r="BX195" s="78"/>
      <c r="BY195" s="319">
        <v>356</v>
      </c>
      <c r="CA195" s="78"/>
      <c r="EE195" s="76">
        <f>+IF(MID($J$2,1,10)=MID($EE$2,1,10),3,1)</f>
        <v>3</v>
      </c>
    </row>
    <row r="196" spans="76:135" x14ac:dyDescent="0.25">
      <c r="BX196" s="78"/>
      <c r="BY196" s="319">
        <v>171</v>
      </c>
      <c r="CA196" s="78"/>
      <c r="EE196" s="76">
        <f>+IF(MID($J$2,1,10)=MID($EE$2,1,10),0,1)</f>
        <v>0</v>
      </c>
    </row>
    <row r="197" spans="76:135" x14ac:dyDescent="0.25">
      <c r="BX197" s="78"/>
      <c r="BY197" s="319">
        <v>15</v>
      </c>
      <c r="CA197" s="78"/>
      <c r="EE197" s="76">
        <f>+IF(MID($J$2,1,10)=MID($EE$2,1,10),3,1)</f>
        <v>3</v>
      </c>
    </row>
    <row r="198" spans="76:135" x14ac:dyDescent="0.25">
      <c r="BX198" s="78"/>
      <c r="BY198" s="319">
        <v>130</v>
      </c>
      <c r="CA198" s="78"/>
      <c r="EE198" s="76">
        <f>+IF(MID($J$2,1,10)=MID($EE$2,1,10),3,1)</f>
        <v>3</v>
      </c>
    </row>
    <row r="199" spans="76:135" x14ac:dyDescent="0.25">
      <c r="BX199" s="78"/>
      <c r="BY199" s="319">
        <v>618</v>
      </c>
      <c r="CA199" s="78"/>
      <c r="EE199" s="76">
        <f>+IF(MID($J$2,1,10)=MID($EE$2,1,10),3,1)</f>
        <v>3</v>
      </c>
    </row>
    <row r="200" spans="76:135" x14ac:dyDescent="0.25">
      <c r="BX200" s="78"/>
      <c r="BY200" s="319">
        <v>149</v>
      </c>
      <c r="CA200" s="78"/>
      <c r="EE200" s="76">
        <f>+IF(MID($J$2,1,10)=MID($EE$2,1,10),1,2)</f>
        <v>1</v>
      </c>
    </row>
    <row r="201" spans="76:135" x14ac:dyDescent="0.25">
      <c r="BX201" s="78"/>
      <c r="BY201" s="319">
        <v>8</v>
      </c>
      <c r="CA201" s="78"/>
      <c r="EE201" s="76">
        <f>+IF(MID($J$3,1,10)=MID($EE$3,1,10),2,1)</f>
        <v>2</v>
      </c>
    </row>
    <row r="202" spans="76:135" x14ac:dyDescent="0.25">
      <c r="BX202" s="78"/>
      <c r="BY202" s="322">
        <v>10</v>
      </c>
      <c r="CA202" s="78"/>
      <c r="EE202" s="76">
        <f>+IF(MID($J$6,1,5)=MID($EE$11,1,5),0,1)</f>
        <v>0</v>
      </c>
    </row>
    <row r="203" spans="76:135" x14ac:dyDescent="0.25">
      <c r="BX203" s="78"/>
      <c r="BY203" s="319">
        <v>408</v>
      </c>
      <c r="CA203" s="78"/>
      <c r="EE203" s="76">
        <f>+IF(MID($J$2,1,10)=MID($EE$2,1,10),0,1)</f>
        <v>0</v>
      </c>
    </row>
    <row r="204" spans="76:135" x14ac:dyDescent="0.25">
      <c r="BX204" s="78"/>
      <c r="BY204" s="319">
        <v>282</v>
      </c>
      <c r="CA204" s="78"/>
      <c r="EE204" s="76">
        <f>+IF(MID($J$3,1,10)=MID($EE$3,1,10),2,1)</f>
        <v>2</v>
      </c>
    </row>
    <row r="205" spans="76:135" x14ac:dyDescent="0.25">
      <c r="BX205" s="78"/>
      <c r="BY205" s="319">
        <v>122</v>
      </c>
      <c r="CA205" s="78"/>
      <c r="EE205" s="76">
        <f>+IF(MID($J$3,1,10)=MID($EE$3,1,10),2,1)</f>
        <v>2</v>
      </c>
    </row>
    <row r="206" spans="76:135" x14ac:dyDescent="0.25">
      <c r="BX206" s="78"/>
      <c r="BY206" s="319">
        <v>695</v>
      </c>
      <c r="CA206" s="78"/>
      <c r="EE206" s="76">
        <f>+IF(MID($J$2,1,10)=MID($EE$2,1,10),4,1)</f>
        <v>4</v>
      </c>
    </row>
    <row r="207" spans="76:135" x14ac:dyDescent="0.25">
      <c r="BX207" s="78"/>
      <c r="BY207" s="319">
        <v>168</v>
      </c>
      <c r="CA207" s="78"/>
      <c r="EE207" s="76">
        <f>+IF(MID($J$3,1,10)=MID($EE$3,1,10),2,1)</f>
        <v>2</v>
      </c>
    </row>
    <row r="208" spans="76:135" x14ac:dyDescent="0.25">
      <c r="BX208" s="78"/>
      <c r="BY208" s="319">
        <v>272</v>
      </c>
      <c r="CA208" s="78"/>
      <c r="EE208" s="76">
        <f>+IF(MID($J$2,1,10)=MID($EE$2,1,10),4,1)</f>
        <v>4</v>
      </c>
    </row>
    <row r="209" spans="76:135" x14ac:dyDescent="0.25">
      <c r="BX209" s="78"/>
      <c r="BY209" s="319">
        <v>121</v>
      </c>
      <c r="CA209" s="78"/>
      <c r="EE209" s="76">
        <f>+IF(MID($J$2,1,10)=MID($EE$2,1,10),1,2)</f>
        <v>1</v>
      </c>
    </row>
    <row r="210" spans="76:135" x14ac:dyDescent="0.25">
      <c r="BX210" s="78"/>
      <c r="BY210" s="319">
        <v>801</v>
      </c>
      <c r="CA210" s="78"/>
      <c r="EE210" s="76">
        <f>+IF(MID($J$2,1,10)=MID($EE$2,1,10),3,1)</f>
        <v>3</v>
      </c>
    </row>
    <row r="211" spans="76:135" x14ac:dyDescent="0.25">
      <c r="BX211" s="78"/>
      <c r="BY211" s="319">
        <v>166</v>
      </c>
      <c r="CA211" s="78"/>
      <c r="EE211" s="76">
        <f>+IF(MID($J$2,1,10)=MID($EE$2,1,10),1,2)</f>
        <v>1</v>
      </c>
    </row>
    <row r="212" spans="76:135" x14ac:dyDescent="0.25">
      <c r="BX212" s="78"/>
      <c r="BY212" s="319">
        <v>189</v>
      </c>
      <c r="CA212" s="78"/>
      <c r="EE212" s="76">
        <f>+IF(MID($J$3,1,10)=MID($EE$3,1,10),2,1)</f>
        <v>2</v>
      </c>
    </row>
    <row r="213" spans="76:135" x14ac:dyDescent="0.25">
      <c r="BX213" s="78"/>
      <c r="BY213" s="319">
        <v>178</v>
      </c>
      <c r="CA213" s="78"/>
      <c r="EE213" s="76">
        <f>+IF(MID($J$2,1,10)=MID($EE$2,1,10),1,2)</f>
        <v>1</v>
      </c>
    </row>
    <row r="214" spans="76:135" x14ac:dyDescent="0.25">
      <c r="BX214" s="78"/>
      <c r="BY214" s="319">
        <v>1089</v>
      </c>
      <c r="CA214" s="78"/>
      <c r="EE214" s="76">
        <f>+IF(MID($J$2,1,10)=MID($EE$2,1,10),0,1)</f>
        <v>0</v>
      </c>
    </row>
    <row r="215" spans="76:135" x14ac:dyDescent="0.25">
      <c r="BX215" s="78"/>
      <c r="BY215" s="319">
        <v>114</v>
      </c>
      <c r="CA215" s="78"/>
      <c r="EE215" s="76">
        <f>+IF(MID($J$2,1,10)=MID($EE$2,1,10),0,1)</f>
        <v>0</v>
      </c>
    </row>
    <row r="216" spans="76:135" x14ac:dyDescent="0.25">
      <c r="BX216" s="78"/>
      <c r="BY216" s="319">
        <v>146</v>
      </c>
      <c r="CA216" s="78"/>
      <c r="EE216" s="76">
        <f>+IF(MID($J$2,1,10)=MID($EE$2,1,10),0,1)</f>
        <v>0</v>
      </c>
    </row>
    <row r="217" spans="76:135" x14ac:dyDescent="0.25">
      <c r="BX217" s="78"/>
      <c r="BY217" s="319">
        <v>169</v>
      </c>
      <c r="CA217" s="78"/>
      <c r="EE217" s="76">
        <f>+IF(MID($J$2,1,10)=MID($EE$2,1,10),1,2)</f>
        <v>1</v>
      </c>
    </row>
    <row r="218" spans="76:135" x14ac:dyDescent="0.25">
      <c r="BX218" s="78"/>
      <c r="BY218" s="319">
        <v>13</v>
      </c>
      <c r="CA218" s="78"/>
      <c r="EE218" s="76">
        <f>+IF(MID($J$2,1,10)=MID($EE$2,1,10),1,2)</f>
        <v>1</v>
      </c>
    </row>
    <row r="219" spans="76:135" x14ac:dyDescent="0.25">
      <c r="BX219" s="78"/>
      <c r="BY219" s="319">
        <v>138</v>
      </c>
      <c r="CA219" s="78"/>
      <c r="EE219" s="76">
        <f>+IF(MID($J$2,1,10)=MID($EE$2,1,10),3,1)</f>
        <v>3</v>
      </c>
    </row>
    <row r="220" spans="76:135" x14ac:dyDescent="0.25">
      <c r="BX220" s="78"/>
      <c r="BY220" s="319">
        <v>1042</v>
      </c>
      <c r="CA220" s="78"/>
      <c r="EE220" s="76">
        <f>+IF(MID($J$2,1,10)=MID($EE$2,1,10),3,1)</f>
        <v>3</v>
      </c>
    </row>
    <row r="221" spans="76:135" x14ac:dyDescent="0.25">
      <c r="BX221" s="78"/>
      <c r="BY221" s="319">
        <v>190</v>
      </c>
      <c r="CA221" s="78"/>
      <c r="EE221" s="76">
        <f>+IF(MID($J$2,1,10)=MID($EE$2,1,10),3,1)</f>
        <v>3</v>
      </c>
    </row>
    <row r="222" spans="76:135" x14ac:dyDescent="0.25">
      <c r="BX222" s="78"/>
      <c r="BY222" s="319">
        <v>992</v>
      </c>
      <c r="CA222" s="78"/>
      <c r="EE222" s="76">
        <f>+IF(MID($J$2,1,10)=MID($EE$2,1,10),0,1)</f>
        <v>0</v>
      </c>
    </row>
    <row r="223" spans="76:135" x14ac:dyDescent="0.25">
      <c r="BX223" s="78"/>
      <c r="BY223" s="319">
        <v>168</v>
      </c>
      <c r="CA223" s="78"/>
      <c r="EE223" s="76">
        <f>+IF(MID($J$2,1,10)=MID($EE$2,1,10),1,2)</f>
        <v>1</v>
      </c>
    </row>
    <row r="224" spans="76:135" x14ac:dyDescent="0.25">
      <c r="BX224" s="78"/>
      <c r="BY224" s="319">
        <v>426</v>
      </c>
      <c r="CA224" s="78"/>
      <c r="EE224" s="76">
        <f>+IF(MID($J$2,1,10)=MID($EE$2,1,10),3,1)</f>
        <v>3</v>
      </c>
    </row>
    <row r="225" spans="76:135" x14ac:dyDescent="0.25">
      <c r="BX225" s="78"/>
      <c r="BY225" s="319">
        <v>188</v>
      </c>
      <c r="CA225" s="78"/>
      <c r="EE225" s="76">
        <f>+IF(MID($J$2,1,10)=MID($EE$2,1,10),3,1)</f>
        <v>3</v>
      </c>
    </row>
    <row r="226" spans="76:135" x14ac:dyDescent="0.25">
      <c r="BX226" s="78"/>
      <c r="BY226" s="322">
        <v>28</v>
      </c>
      <c r="CA226" s="78"/>
      <c r="EE226" s="76">
        <f>+IF(MID($J$2,1,10)=MID($EE$2,1,10),0,1)</f>
        <v>0</v>
      </c>
    </row>
    <row r="227" spans="76:135" x14ac:dyDescent="0.25">
      <c r="BX227" s="78"/>
      <c r="BY227" s="319">
        <v>173</v>
      </c>
      <c r="CA227" s="78"/>
      <c r="EE227" s="76">
        <f>+IF(MID($J$2,1,10)=MID($EE$2,1,10),3,1)</f>
        <v>3</v>
      </c>
    </row>
    <row r="228" spans="76:135" x14ac:dyDescent="0.25">
      <c r="BX228" s="78"/>
      <c r="BY228" s="319">
        <v>205</v>
      </c>
      <c r="CA228" s="78"/>
      <c r="EE228" s="76">
        <f>+IF(MID($J$2,1,10)=MID($EE$2,1,10),3,1)</f>
        <v>3</v>
      </c>
    </row>
    <row r="229" spans="76:135" x14ac:dyDescent="0.25">
      <c r="BX229" s="78"/>
      <c r="BY229" s="319">
        <v>196</v>
      </c>
      <c r="CA229" s="78"/>
      <c r="EE229" s="76">
        <f>+IF(MID($J$2,1,10)=MID($EE$2,1,10),3,1)</f>
        <v>3</v>
      </c>
    </row>
    <row r="230" spans="76:135" x14ac:dyDescent="0.25">
      <c r="BX230" s="78"/>
      <c r="BY230" s="319">
        <v>961</v>
      </c>
      <c r="CA230" s="78"/>
      <c r="EE230" s="76">
        <f>+IF(MID($J$2,1,10)=MID($EE$2,1,10),1,2)</f>
        <v>1</v>
      </c>
    </row>
    <row r="231" spans="76:135" x14ac:dyDescent="0.25">
      <c r="BX231" s="78"/>
      <c r="BY231" s="319">
        <v>198</v>
      </c>
      <c r="CA231" s="78"/>
      <c r="EE231" s="76">
        <f>+IF(MID($J$3,1,10)=MID($EE$3,1,10),2,1)</f>
        <v>2</v>
      </c>
    </row>
    <row r="232" spans="76:135" x14ac:dyDescent="0.25">
      <c r="BX232" s="78"/>
      <c r="BY232" s="319">
        <v>714</v>
      </c>
      <c r="CA232" s="78"/>
      <c r="EE232" s="76">
        <f>+IF(MID($J$2,1,10)=MID($EE$2,1,10),4,1)</f>
        <v>4</v>
      </c>
    </row>
    <row r="233" spans="76:135" x14ac:dyDescent="0.25">
      <c r="BX233" s="78"/>
      <c r="BY233" s="319">
        <v>138</v>
      </c>
      <c r="CA233" s="78"/>
      <c r="EE233" s="76">
        <f>+IF(MID($J$2,1,10)=MID($EE$2,1,10),0,1)</f>
        <v>0</v>
      </c>
    </row>
    <row r="234" spans="76:135" x14ac:dyDescent="0.25">
      <c r="BX234" s="78"/>
      <c r="BY234" s="319">
        <v>956</v>
      </c>
      <c r="CA234" s="78"/>
      <c r="EE234" s="76">
        <f>+IF(MID($J$3,1,10)=MID($EE$3,1,10),2,1)</f>
        <v>2</v>
      </c>
    </row>
    <row r="235" spans="76:135" x14ac:dyDescent="0.25">
      <c r="BX235" s="78"/>
      <c r="BY235" s="319">
        <v>145</v>
      </c>
      <c r="CA235" s="78"/>
      <c r="EE235" s="76">
        <f>+IF(MID($J$3,1,10)=MID($EE$3,1,10),2,1)</f>
        <v>2</v>
      </c>
    </row>
    <row r="236" spans="76:135" x14ac:dyDescent="0.25">
      <c r="BX236" s="78"/>
      <c r="BY236" s="319">
        <v>480</v>
      </c>
      <c r="CA236" s="78"/>
      <c r="EE236" s="76">
        <f>+IF(MID($J$2,1,10)=MID($EE$2,1,10),4,1)</f>
        <v>4</v>
      </c>
    </row>
    <row r="237" spans="76:135" x14ac:dyDescent="0.25">
      <c r="BX237" s="78"/>
      <c r="BY237" s="319">
        <v>161</v>
      </c>
      <c r="CA237" s="78"/>
      <c r="EE237" s="76">
        <f>+IF(MID($J$3,1,10)=MID($EE$3,1,10),2,1)</f>
        <v>2</v>
      </c>
    </row>
    <row r="238" spans="76:135" x14ac:dyDescent="0.25">
      <c r="BX238" s="78"/>
      <c r="BY238" s="319">
        <v>947</v>
      </c>
      <c r="CA238" s="78"/>
      <c r="EE238" s="76">
        <f>+IF(MID($J$2,1,10)=MID($EE$2,1,10),4,1)</f>
        <v>4</v>
      </c>
    </row>
    <row r="239" spans="76:135" x14ac:dyDescent="0.25">
      <c r="BX239" s="78"/>
      <c r="BY239" s="319">
        <v>132</v>
      </c>
      <c r="CA239" s="78"/>
      <c r="EE239" s="76">
        <f>+IF(MID($J$2,1,10)=MID($EE$2,1,10),1,2)</f>
        <v>1</v>
      </c>
    </row>
    <row r="240" spans="76:135" x14ac:dyDescent="0.25">
      <c r="BX240" s="78"/>
      <c r="BY240" s="319">
        <v>13</v>
      </c>
      <c r="CA240" s="78"/>
      <c r="EE240" s="76">
        <f>+IF(MID($J$2,1,10)=MID($EE$2,1,10),3,1)</f>
        <v>3</v>
      </c>
    </row>
    <row r="241" spans="76:135" x14ac:dyDescent="0.25">
      <c r="BX241" s="78"/>
      <c r="BY241" s="319">
        <v>184</v>
      </c>
      <c r="CA241" s="78"/>
      <c r="EE241" s="76">
        <f>+IF(MID($J$2,1,10)=MID($EE$2,1,10),1,2)</f>
        <v>1</v>
      </c>
    </row>
    <row r="242" spans="76:135" x14ac:dyDescent="0.25">
      <c r="BX242" s="78"/>
      <c r="BY242" s="319">
        <v>286</v>
      </c>
      <c r="CA242" s="78"/>
      <c r="EE242" s="76">
        <f>+IF(MID($J$3,1,10)=MID($EE$3,1,10),2,1)</f>
        <v>2</v>
      </c>
    </row>
    <row r="243" spans="76:135" x14ac:dyDescent="0.25">
      <c r="BX243" s="78"/>
      <c r="BY243" s="319">
        <v>941</v>
      </c>
      <c r="CA243" s="78"/>
      <c r="EE243" s="76">
        <f>+IF(MID($J$2,1,10)=MID($EE$2,1,10),1,2)</f>
        <v>1</v>
      </c>
    </row>
    <row r="244" spans="76:135" x14ac:dyDescent="0.25">
      <c r="BX244" s="78"/>
      <c r="BY244" s="319">
        <v>112</v>
      </c>
      <c r="CA244" s="78"/>
      <c r="EE244" s="76">
        <f>+IF(MID($J$2,1,10)=MID($EE$2,1,10),0,1)</f>
        <v>0</v>
      </c>
    </row>
    <row r="245" spans="76:135" x14ac:dyDescent="0.25">
      <c r="BX245" s="78"/>
      <c r="BY245" s="319">
        <v>452</v>
      </c>
      <c r="CA245" s="78"/>
      <c r="EE245" s="76">
        <f>+IF(MID($J$2,1,10)=MID($EE$2,1,10),0,1)</f>
        <v>0</v>
      </c>
    </row>
    <row r="246" spans="76:135" x14ac:dyDescent="0.25">
      <c r="BX246" s="78"/>
      <c r="BY246" s="319">
        <v>0</v>
      </c>
      <c r="CA246" s="78"/>
      <c r="EE246" s="76">
        <f>+IF(MID($J$2,1,10)=MID($EE$2,1,10),0,1)</f>
        <v>0</v>
      </c>
    </row>
    <row r="247" spans="76:135" x14ac:dyDescent="0.25">
      <c r="BX247" s="78"/>
      <c r="BY247" s="319">
        <v>1087</v>
      </c>
      <c r="CA247" s="78"/>
      <c r="EE247" s="76">
        <f>+IF(MID($J$2,1,10)=MID($EE$2,1,10),1,2)</f>
        <v>1</v>
      </c>
    </row>
    <row r="248" spans="76:135" x14ac:dyDescent="0.25">
      <c r="BX248" s="78"/>
      <c r="BY248" s="324">
        <v>5</v>
      </c>
      <c r="CA248" s="78"/>
      <c r="EE248" s="76">
        <f>+IF(MID($J$6,1,5)=MID($EE$11,1,5),0,1)</f>
        <v>0</v>
      </c>
    </row>
    <row r="249" spans="76:135" x14ac:dyDescent="0.25">
      <c r="BX249" s="78"/>
      <c r="BY249" s="319">
        <v>1109</v>
      </c>
      <c r="CA249" s="78"/>
      <c r="EE249" s="76">
        <f>+IF(MID($J$2,1,10)=MID($EE$2,1,10),3,1)</f>
        <v>3</v>
      </c>
    </row>
    <row r="250" spans="76:135" x14ac:dyDescent="0.25">
      <c r="BX250" s="78"/>
      <c r="BY250" s="319">
        <v>118</v>
      </c>
      <c r="CA250" s="78"/>
      <c r="EE250" s="76">
        <f>+IF(MID($J$2,1,10)=MID($EE$2,1,10),3,1)</f>
        <v>3</v>
      </c>
    </row>
    <row r="251" spans="76:135" x14ac:dyDescent="0.25">
      <c r="BX251" s="78"/>
      <c r="BY251" s="319">
        <v>1111</v>
      </c>
      <c r="CA251" s="78"/>
      <c r="EE251" s="76">
        <f>+IF(MID($J$2,1,10)=MID($EE$2,1,10),3,1)</f>
        <v>3</v>
      </c>
    </row>
    <row r="252" spans="76:135" x14ac:dyDescent="0.25">
      <c r="BX252" s="78"/>
      <c r="BY252" s="319">
        <v>133</v>
      </c>
      <c r="CA252" s="78"/>
      <c r="EE252" s="76">
        <f>+IF(MID($J$2,1,10)=MID($EE$2,1,10),0,1)</f>
        <v>0</v>
      </c>
    </row>
    <row r="253" spans="76:135" x14ac:dyDescent="0.25">
      <c r="BX253" s="78"/>
      <c r="BY253" s="319">
        <v>643</v>
      </c>
      <c r="CA253" s="78"/>
      <c r="EE253" s="76">
        <f>+IF(MID($J$2,1,10)=MID($EE$2,1,10),1,2)</f>
        <v>1</v>
      </c>
    </row>
    <row r="254" spans="76:135" x14ac:dyDescent="0.25">
      <c r="BX254" s="78"/>
      <c r="BY254" s="319">
        <v>183</v>
      </c>
      <c r="CA254" s="78"/>
      <c r="EE254" s="76">
        <f>+IF(MID($J$2,1,10)=MID($EE$2,1,10),3,1)</f>
        <v>3</v>
      </c>
    </row>
    <row r="255" spans="76:135" x14ac:dyDescent="0.25">
      <c r="BX255" s="78"/>
      <c r="BY255" s="319">
        <v>117</v>
      </c>
      <c r="CA255" s="78"/>
      <c r="EE255" s="76">
        <f>+IF(MID($J$2,1,10)=MID($EE$2,1,10),3,1)</f>
        <v>3</v>
      </c>
    </row>
    <row r="256" spans="76:135" x14ac:dyDescent="0.25">
      <c r="BX256" s="78"/>
      <c r="BY256" s="319">
        <v>166</v>
      </c>
      <c r="CA256" s="78"/>
      <c r="EE256" s="76">
        <f>+IF(MID($J$2,1,10)=MID($EE$2,1,10),0,1)</f>
        <v>0</v>
      </c>
    </row>
    <row r="257" spans="76:135" x14ac:dyDescent="0.25">
      <c r="BX257" s="78"/>
      <c r="BY257" s="319">
        <v>964</v>
      </c>
      <c r="CA257" s="78"/>
      <c r="EE257" s="76">
        <f>+IF(MID($J$3,1,10)=MID($EE$3,1,10),2,1)</f>
        <v>2</v>
      </c>
    </row>
    <row r="258" spans="76:135" x14ac:dyDescent="0.25">
      <c r="BX258" s="78"/>
      <c r="BY258" s="319">
        <v>200</v>
      </c>
      <c r="CA258" s="78"/>
      <c r="EE258" s="76">
        <f>+IF(MID($J$2,1,10)=MID($EE$2,1,10),4,1)</f>
        <v>4</v>
      </c>
    </row>
    <row r="259" spans="76:135" x14ac:dyDescent="0.25">
      <c r="BX259" s="78"/>
      <c r="BY259" s="319">
        <v>930</v>
      </c>
      <c r="CA259" s="78"/>
      <c r="EE259" s="76">
        <f>+IF(MID($J$2,1,10)=MID($EE$2,1,10),0,1)</f>
        <v>0</v>
      </c>
    </row>
    <row r="260" spans="76:135" x14ac:dyDescent="0.25">
      <c r="BX260" s="78"/>
      <c r="BY260" s="319">
        <v>165</v>
      </c>
      <c r="CA260" s="78"/>
      <c r="EE260" s="76">
        <f>+IF(MID($J$3,1,10)=MID($EE$3,1,10),2,1)</f>
        <v>2</v>
      </c>
    </row>
    <row r="261" spans="76:135" x14ac:dyDescent="0.25">
      <c r="BX261" s="78"/>
      <c r="BY261" s="319">
        <v>930</v>
      </c>
      <c r="CA261" s="78"/>
      <c r="EE261" s="76">
        <f>+IF(MID($J$3,1,10)=MID($EE$3,1,10),2,1)</f>
        <v>2</v>
      </c>
    </row>
    <row r="262" spans="76:135" x14ac:dyDescent="0.25">
      <c r="BX262" s="78"/>
      <c r="BY262" s="319">
        <v>172</v>
      </c>
      <c r="CA262" s="78"/>
      <c r="EE262" s="76">
        <f>+IF(MID($J$2,1,10)=MID($EE$2,1,10),4,1)</f>
        <v>4</v>
      </c>
    </row>
    <row r="263" spans="76:135" x14ac:dyDescent="0.25">
      <c r="BX263" s="78"/>
      <c r="BY263" s="319">
        <v>243</v>
      </c>
      <c r="CA263" s="78"/>
      <c r="EE263" s="76">
        <f>+IF(MID($J$3,1,10)=MID($EE$3,1,10),2,1)</f>
        <v>2</v>
      </c>
    </row>
    <row r="264" spans="76:135" x14ac:dyDescent="0.25">
      <c r="BX264" s="78"/>
      <c r="BY264" s="319">
        <v>178</v>
      </c>
      <c r="CA264" s="78"/>
      <c r="EE264" s="76">
        <f>+IF(MID($J$2,1,10)=MID($EE$2,1,10),4,1)</f>
        <v>4</v>
      </c>
    </row>
    <row r="265" spans="76:135" x14ac:dyDescent="0.25">
      <c r="BX265" s="78"/>
      <c r="BY265" s="319">
        <v>944</v>
      </c>
      <c r="CA265" s="78"/>
      <c r="EE265" s="76">
        <f>+IF(MID($J$2,1,10)=MID($EE$2,1,10),1,2)</f>
        <v>1</v>
      </c>
    </row>
    <row r="266" spans="76:135" x14ac:dyDescent="0.25">
      <c r="BX266" s="78"/>
      <c r="BY266" s="319">
        <v>154</v>
      </c>
      <c r="CA266" s="78"/>
      <c r="EE266" s="76">
        <f>+IF(MID($J$2,1,10)=MID($EE$2,1,10),3,1)</f>
        <v>3</v>
      </c>
    </row>
    <row r="267" spans="76:135" x14ac:dyDescent="0.25">
      <c r="BX267" s="78"/>
      <c r="BY267" s="319">
        <v>898</v>
      </c>
      <c r="CA267" s="78"/>
      <c r="EE267" s="76">
        <f>+IF(MID($J$2,1,10)=MID($EE$2,1,10),1,2)</f>
        <v>1</v>
      </c>
    </row>
    <row r="268" spans="76:135" x14ac:dyDescent="0.25">
      <c r="BX268" s="78"/>
      <c r="BY268" s="319">
        <v>161</v>
      </c>
      <c r="CA268" s="78"/>
      <c r="EE268" s="76">
        <f>+IF(MID($J$3,1,10)=MID($EE$3,1,10),2,1)</f>
        <v>2</v>
      </c>
    </row>
    <row r="269" spans="76:135" x14ac:dyDescent="0.25">
      <c r="BX269" s="78"/>
      <c r="BY269" s="319">
        <v>174</v>
      </c>
      <c r="CA269" s="78"/>
      <c r="EE269" s="76">
        <f>+IF(MID($J$2,1,10)=MID($EE$2,1,10),1,2)</f>
        <v>1</v>
      </c>
    </row>
    <row r="270" spans="76:135" x14ac:dyDescent="0.25">
      <c r="BX270" s="78"/>
      <c r="BY270" s="319">
        <v>232</v>
      </c>
      <c r="CA270" s="78"/>
      <c r="EE270" s="76">
        <f>+IF(MID($J$2,1,10)=MID($EE$2,1,10),0,1)</f>
        <v>0</v>
      </c>
    </row>
    <row r="271" spans="76:135" x14ac:dyDescent="0.25">
      <c r="BX271" s="78"/>
      <c r="BY271" s="319">
        <v>126</v>
      </c>
      <c r="CA271" s="78"/>
      <c r="EE271" s="76">
        <f>+IF(MID($J$2,1,10)=MID($EE$2,1,10),0,1)</f>
        <v>0</v>
      </c>
    </row>
    <row r="272" spans="76:135" x14ac:dyDescent="0.25">
      <c r="BX272" s="78"/>
      <c r="BY272" s="319">
        <v>651</v>
      </c>
      <c r="CA272" s="78"/>
      <c r="EE272" s="76">
        <f>+IF(MID($J$2,1,10)=MID($EE$2,1,10),0,1)</f>
        <v>0</v>
      </c>
    </row>
    <row r="273" spans="76:135" x14ac:dyDescent="0.25">
      <c r="BX273" s="78"/>
      <c r="BY273" s="319">
        <v>129</v>
      </c>
      <c r="CA273" s="78"/>
      <c r="EE273" s="76">
        <f>+IF(MID($J$2,1,10)=MID($EE$2,1,10),1,2)</f>
        <v>1</v>
      </c>
    </row>
    <row r="274" spans="76:135" x14ac:dyDescent="0.25">
      <c r="BX274" s="78"/>
      <c r="BY274" s="319">
        <v>685</v>
      </c>
      <c r="CA274" s="78"/>
      <c r="EE274" s="76">
        <f>+IF(MID($J$2,1,10)=MID($EE$2,1,10),1,2)</f>
        <v>1</v>
      </c>
    </row>
    <row r="275" spans="76:135" x14ac:dyDescent="0.25">
      <c r="BX275" s="78"/>
      <c r="BY275" s="319">
        <v>193</v>
      </c>
      <c r="CA275" s="78"/>
      <c r="EE275" s="76">
        <f>+IF(MID($J$2,1,10)=MID($EE$2,1,10),3,1)</f>
        <v>3</v>
      </c>
    </row>
    <row r="276" spans="76:135" x14ac:dyDescent="0.25">
      <c r="BX276" s="78"/>
      <c r="BY276" s="319">
        <v>211</v>
      </c>
      <c r="CA276" s="78"/>
      <c r="EE276" s="76">
        <f>+IF(MID($J$2,1,10)=MID($EE$2,1,10),3,1)</f>
        <v>3</v>
      </c>
    </row>
    <row r="277" spans="76:135" x14ac:dyDescent="0.25">
      <c r="BX277" s="78"/>
      <c r="BY277" s="319">
        <v>166</v>
      </c>
      <c r="CA277" s="78"/>
      <c r="EE277" s="76">
        <f>+IF(MID($J$2,1,10)=MID($EE$2,1,10),3,1)</f>
        <v>3</v>
      </c>
    </row>
    <row r="278" spans="76:135" x14ac:dyDescent="0.25">
      <c r="BX278" s="78"/>
      <c r="BY278" s="319">
        <v>746</v>
      </c>
      <c r="CA278" s="78"/>
      <c r="EE278" s="76">
        <f>+IF(MID($J$2,1,10)=MID($EE$2,1,10),0,1)</f>
        <v>0</v>
      </c>
    </row>
    <row r="279" spans="76:135" x14ac:dyDescent="0.25">
      <c r="BX279" s="78"/>
      <c r="BY279" s="319">
        <v>109</v>
      </c>
      <c r="CA279" s="78"/>
      <c r="EE279" s="76">
        <f>+IF(MID($J$2,1,10)=MID($EE$2,1,10),1,2)</f>
        <v>1</v>
      </c>
    </row>
    <row r="280" spans="76:135" x14ac:dyDescent="0.25">
      <c r="BX280" s="78"/>
      <c r="BY280" s="319">
        <v>334</v>
      </c>
      <c r="CA280" s="78"/>
      <c r="EE280" s="76">
        <f>+IF(MID($J$2,1,10)=MID($EE$2,1,10),3,1)</f>
        <v>3</v>
      </c>
    </row>
    <row r="281" spans="76:135" x14ac:dyDescent="0.25">
      <c r="BX281" s="78"/>
      <c r="BY281" s="319">
        <v>181</v>
      </c>
      <c r="CA281" s="78"/>
      <c r="EE281" s="76">
        <f>+IF(MID($J$2,1,10)=MID($EE$2,1,10),3,1)</f>
        <v>3</v>
      </c>
    </row>
    <row r="282" spans="76:135" x14ac:dyDescent="0.25">
      <c r="BX282" s="78"/>
      <c r="BY282" s="319">
        <v>511</v>
      </c>
      <c r="CA282" s="78"/>
      <c r="EE282" s="76">
        <f>+IF(MID($J$2,1,10)=MID($EE$2,1,10),0,1)</f>
        <v>0</v>
      </c>
    </row>
    <row r="283" spans="76:135" x14ac:dyDescent="0.25">
      <c r="BX283" s="78"/>
      <c r="BY283" s="319">
        <v>443</v>
      </c>
      <c r="CA283" s="78"/>
      <c r="EE283" s="76">
        <f>+IF(MID($J$2,1,10)=MID($EE$2,1,10),3,1)</f>
        <v>3</v>
      </c>
    </row>
    <row r="284" spans="76:135" x14ac:dyDescent="0.25">
      <c r="BX284" s="78"/>
      <c r="BY284" s="319">
        <v>108</v>
      </c>
      <c r="CA284" s="78"/>
      <c r="EE284" s="76">
        <f>+IF(MID($J$2,1,10)=MID($EE$2,1,10),3,1)</f>
        <v>3</v>
      </c>
    </row>
    <row r="285" spans="76:135" x14ac:dyDescent="0.25">
      <c r="BX285" s="78"/>
      <c r="BY285" s="322">
        <v>18</v>
      </c>
      <c r="CA285" s="78"/>
      <c r="EE285" s="76">
        <f>+IF(MID($J$6,1,5)=MID($EE$11,1,5),0,1)</f>
        <v>0</v>
      </c>
    </row>
    <row r="286" spans="76:135" x14ac:dyDescent="0.25">
      <c r="BX286" s="78"/>
      <c r="BY286" s="319">
        <v>4</v>
      </c>
      <c r="CA286" s="78"/>
      <c r="EE286" s="76">
        <f>+IF(MID($J$2,1,10)=MID($EE$2,1,10),1,2)</f>
        <v>1</v>
      </c>
    </row>
    <row r="287" spans="76:135" x14ac:dyDescent="0.25">
      <c r="BX287" s="78"/>
      <c r="BY287" s="319">
        <v>498</v>
      </c>
      <c r="CA287" s="78"/>
      <c r="EE287" s="76">
        <f>+IF(MID($J$3,1,10)=MID($EE$3,1,10),2,1)</f>
        <v>2</v>
      </c>
    </row>
    <row r="288" spans="76:135" x14ac:dyDescent="0.25">
      <c r="BX288" s="78"/>
      <c r="BY288" s="319">
        <v>181</v>
      </c>
      <c r="CA288" s="78"/>
      <c r="EE288" s="76">
        <f>+IF(MID($J$2,1,10)=MID($EE$2,1,10),4,1)</f>
        <v>4</v>
      </c>
    </row>
    <row r="289" spans="76:135" x14ac:dyDescent="0.25">
      <c r="BX289" s="78"/>
      <c r="BY289" s="319">
        <v>191</v>
      </c>
      <c r="CA289" s="78"/>
      <c r="EE289" s="76">
        <f>+IF(MID($J$2,1,10)=MID($EE$2,1,10),0,1)</f>
        <v>0</v>
      </c>
    </row>
    <row r="290" spans="76:135" x14ac:dyDescent="0.25">
      <c r="BX290" s="78"/>
      <c r="BY290" s="319">
        <v>176</v>
      </c>
      <c r="CA290" s="78"/>
      <c r="EE290" s="76">
        <f>+IF(MID($J$3,1,10)=MID($EE$3,1,10),2,1)</f>
        <v>2</v>
      </c>
    </row>
    <row r="291" spans="76:135" x14ac:dyDescent="0.25">
      <c r="BX291" s="78"/>
      <c r="BY291" s="319">
        <v>1172</v>
      </c>
      <c r="CA291" s="78"/>
      <c r="EE291" s="76">
        <f>+IF(MID($J$3,1,10)=MID($EE$3,1,10),2,1)</f>
        <v>2</v>
      </c>
    </row>
    <row r="292" spans="76:135" x14ac:dyDescent="0.25">
      <c r="BX292" s="78"/>
      <c r="BY292" s="319">
        <v>193</v>
      </c>
      <c r="CA292" s="78"/>
      <c r="EE292" s="76">
        <f>+IF(MID($J$2,1,10)=MID($EE$2,1,10),4,1)</f>
        <v>4</v>
      </c>
    </row>
    <row r="293" spans="76:135" x14ac:dyDescent="0.25">
      <c r="BX293" s="78"/>
      <c r="BY293" s="319">
        <v>150</v>
      </c>
      <c r="CA293" s="78"/>
      <c r="EE293" s="76">
        <f>+IF(MID($J$3,1,10)=MID($EE$3,1,10),2,1)</f>
        <v>2</v>
      </c>
    </row>
    <row r="294" spans="76:135" x14ac:dyDescent="0.25">
      <c r="BX294" s="78"/>
      <c r="BY294" s="319">
        <v>180</v>
      </c>
      <c r="CA294" s="78"/>
      <c r="EE294" s="76">
        <f>+IF(MID($J$2,1,10)=MID($EE$2,1,10),4,1)</f>
        <v>4</v>
      </c>
    </row>
    <row r="295" spans="76:135" x14ac:dyDescent="0.25">
      <c r="BX295" s="78"/>
      <c r="BY295" s="319">
        <v>121</v>
      </c>
      <c r="CA295" s="78"/>
      <c r="EE295" s="76">
        <f>+IF(MID($J$2,1,10)=MID($EE$2,1,10),1,2)</f>
        <v>1</v>
      </c>
    </row>
    <row r="296" spans="76:135" x14ac:dyDescent="0.25">
      <c r="BX296" s="78"/>
      <c r="BY296" s="319">
        <v>178</v>
      </c>
      <c r="CA296" s="78"/>
      <c r="EE296" s="76">
        <f>+IF(MID($J$2,1,10)=MID($EE$2,1,10),3,1)</f>
        <v>3</v>
      </c>
    </row>
    <row r="297" spans="76:135" x14ac:dyDescent="0.25">
      <c r="BX297" s="78"/>
      <c r="BY297" s="319">
        <v>437</v>
      </c>
      <c r="CA297" s="78"/>
      <c r="EE297" s="76">
        <f>+IF(MID($J$2,1,10)=MID($EE$2,1,10),1,2)</f>
        <v>1</v>
      </c>
    </row>
    <row r="298" spans="76:135" x14ac:dyDescent="0.25">
      <c r="BX298" s="78"/>
      <c r="BY298" s="319">
        <v>177</v>
      </c>
      <c r="CA298" s="78"/>
      <c r="EE298" s="76">
        <f>+IF(MID($J$3,1,10)=MID($EE$3,1,10),2,1)</f>
        <v>2</v>
      </c>
    </row>
    <row r="299" spans="76:135" x14ac:dyDescent="0.25">
      <c r="BX299" s="78"/>
      <c r="BY299" s="319">
        <v>793</v>
      </c>
      <c r="CA299" s="78"/>
      <c r="EE299" s="76">
        <f>+IF(MID($J$2,1,10)=MID($EE$2,1,10),1,2)</f>
        <v>1</v>
      </c>
    </row>
    <row r="300" spans="76:135" x14ac:dyDescent="0.25">
      <c r="BX300" s="78"/>
      <c r="BY300" s="319">
        <v>201</v>
      </c>
      <c r="CA300" s="78"/>
      <c r="EE300" s="76">
        <f>+IF(MID($J$2,1,10)=MID($EE$2,1,10),0,1)</f>
        <v>0</v>
      </c>
    </row>
    <row r="301" spans="76:135" x14ac:dyDescent="0.25">
      <c r="BX301" s="78"/>
      <c r="BY301" s="319">
        <v>113</v>
      </c>
      <c r="CA301" s="78"/>
      <c r="EE301" s="76">
        <f>+IF(MID($J$2,1,10)=MID($EE$2,1,10),0,1)</f>
        <v>0</v>
      </c>
    </row>
    <row r="302" spans="76:135" x14ac:dyDescent="0.25">
      <c r="BX302" s="78"/>
      <c r="BY302" s="319">
        <v>192</v>
      </c>
      <c r="CA302" s="78"/>
      <c r="EE302" s="76">
        <f>+IF(MID($J$2,1,10)=MID($EE$2,1,10),0,1)</f>
        <v>0</v>
      </c>
    </row>
    <row r="303" spans="76:135" x14ac:dyDescent="0.25">
      <c r="BX303" s="78"/>
      <c r="BY303" s="319">
        <v>1124</v>
      </c>
      <c r="CA303" s="78"/>
      <c r="EE303" s="76">
        <f>+IF(MID($J$2,1,10)=MID($EE$2,1,10),1,2)</f>
        <v>1</v>
      </c>
    </row>
    <row r="304" spans="76:135" x14ac:dyDescent="0.25">
      <c r="BX304" s="78"/>
      <c r="BY304" s="319">
        <v>111</v>
      </c>
      <c r="CA304" s="78"/>
      <c r="EE304" s="76">
        <f>+IF(MID($J$2,1,10)=MID($EE$2,1,10),1,2)</f>
        <v>1</v>
      </c>
    </row>
    <row r="305" spans="76:135" x14ac:dyDescent="0.25">
      <c r="BX305" s="78"/>
      <c r="BY305" s="319">
        <v>190</v>
      </c>
      <c r="CA305" s="78"/>
      <c r="EE305" s="76">
        <f>+IF(MID($J$2,1,10)=MID($EE$2,1,10),3,1)</f>
        <v>3</v>
      </c>
    </row>
    <row r="306" spans="76:135" x14ac:dyDescent="0.25">
      <c r="BX306" s="78"/>
      <c r="BY306" s="322">
        <v>15</v>
      </c>
      <c r="CA306" s="78"/>
      <c r="EE306" s="76">
        <f>+IF(MID($J$6,1,5)=MID($EE$11,1,5),0,1)</f>
        <v>0</v>
      </c>
    </row>
    <row r="307" spans="76:135" x14ac:dyDescent="0.25">
      <c r="BX307" s="78"/>
      <c r="BY307" s="322">
        <v>7</v>
      </c>
      <c r="CA307" s="78"/>
      <c r="EE307" s="76">
        <f>+IF(MID($J$6,1,5)=MID($EE$11,1,5),0,1)</f>
        <v>0</v>
      </c>
    </row>
    <row r="308" spans="76:135" x14ac:dyDescent="0.25">
      <c r="BX308" s="78"/>
      <c r="BY308" s="319">
        <v>9</v>
      </c>
      <c r="CA308" s="78"/>
      <c r="EE308" s="76">
        <f>+IF(MID($J$2,1,10)=MID($EE$2,1,10),0,1)</f>
        <v>0</v>
      </c>
    </row>
    <row r="309" spans="76:135" x14ac:dyDescent="0.25">
      <c r="BX309" s="78"/>
      <c r="BY309" s="319">
        <v>168</v>
      </c>
      <c r="CA309" s="78"/>
      <c r="EE309" s="76">
        <f>+IF(MID($J$2,1,10)=MID($EE$2,1,10),1,2)</f>
        <v>1</v>
      </c>
    </row>
    <row r="310" spans="76:135" x14ac:dyDescent="0.25">
      <c r="BX310" s="78"/>
      <c r="BY310" s="319">
        <v>635</v>
      </c>
      <c r="CA310" s="78"/>
      <c r="EE310" s="76">
        <f>+IF(MID($J$2,1,10)=MID($EE$2,1,10),3,1)</f>
        <v>3</v>
      </c>
    </row>
    <row r="311" spans="76:135" x14ac:dyDescent="0.25">
      <c r="BX311" s="78"/>
      <c r="BY311" s="319">
        <v>123</v>
      </c>
      <c r="CA311" s="78"/>
      <c r="EE311" s="76">
        <f>+IF(MID($J$2,1,10)=MID($EE$2,1,10),3,1)</f>
        <v>3</v>
      </c>
    </row>
    <row r="312" spans="76:135" x14ac:dyDescent="0.25">
      <c r="BX312" s="78"/>
      <c r="BY312" s="319">
        <v>618</v>
      </c>
      <c r="CA312" s="78"/>
      <c r="EE312" s="76">
        <f>+IF(MID($J$2,1,10)=MID($EE$2,1,10),0,1)</f>
        <v>0</v>
      </c>
    </row>
    <row r="313" spans="76:135" x14ac:dyDescent="0.25">
      <c r="BX313" s="78"/>
      <c r="BY313" s="319">
        <v>156</v>
      </c>
      <c r="CA313" s="78"/>
      <c r="EE313" s="76">
        <f>+IF(MID($J$2,1,10)=MID($EE$2,1,10),3,1)</f>
        <v>3</v>
      </c>
    </row>
    <row r="314" spans="76:135" x14ac:dyDescent="0.25">
      <c r="BX314" s="78"/>
      <c r="BY314" s="319">
        <v>1168</v>
      </c>
      <c r="CA314" s="78"/>
      <c r="EE314" s="76">
        <f>+IF(MID($J$2,1,10)=MID($EE$2,1,10),3,1)</f>
        <v>3</v>
      </c>
    </row>
    <row r="315" spans="76:135" x14ac:dyDescent="0.25">
      <c r="BX315" s="78"/>
      <c r="BY315" s="319">
        <v>200</v>
      </c>
      <c r="CA315" s="78"/>
      <c r="EE315" s="76">
        <f>+IF(MID($J$2,1,10)=MID($EE$2,1,10),3,1)</f>
        <v>3</v>
      </c>
    </row>
    <row r="316" spans="76:135" x14ac:dyDescent="0.25">
      <c r="BX316" s="78"/>
      <c r="BY316" s="319">
        <v>124</v>
      </c>
      <c r="CA316" s="78"/>
      <c r="EE316" s="76">
        <f>+IF(MID($J$2,1,10)=MID($EE$2,1,10),1,2)</f>
        <v>1</v>
      </c>
    </row>
    <row r="317" spans="76:135" x14ac:dyDescent="0.25">
      <c r="BX317" s="78"/>
      <c r="BY317" s="319">
        <v>125</v>
      </c>
      <c r="CA317" s="78"/>
      <c r="EE317" s="76">
        <f>+IF(MID($J$2,1,10)=MID($EE$2,1,10),3,1)</f>
        <v>3</v>
      </c>
    </row>
    <row r="318" spans="76:135" x14ac:dyDescent="0.25">
      <c r="BX318" s="78"/>
      <c r="BY318" s="319">
        <v>174</v>
      </c>
      <c r="CA318" s="78"/>
      <c r="EE318" s="76">
        <f>+IF(MID($J$2,1,10)=MID($EE$2,1,10),0,1)</f>
        <v>0</v>
      </c>
    </row>
    <row r="319" spans="76:135" x14ac:dyDescent="0.25">
      <c r="BX319" s="78"/>
      <c r="BY319" s="319">
        <v>164</v>
      </c>
      <c r="CA319" s="78"/>
      <c r="EE319" s="76">
        <f>+IF(MID($J$2,1,10)=MID($EE$2,1,10),3,1)</f>
        <v>3</v>
      </c>
    </row>
    <row r="320" spans="76:135" x14ac:dyDescent="0.25">
      <c r="BX320" s="78"/>
      <c r="BY320" s="319">
        <v>157</v>
      </c>
      <c r="CA320" s="78"/>
      <c r="EE320" s="76">
        <f>+IF(MID($J$2,1,10)=MID($EE$2,1,10),3,1)</f>
        <v>3</v>
      </c>
    </row>
    <row r="321" spans="76:135" x14ac:dyDescent="0.25">
      <c r="BX321" s="78"/>
      <c r="BY321" s="319">
        <v>136</v>
      </c>
      <c r="CA321" s="78"/>
      <c r="EE321" s="76">
        <f>+IF(MID($J$2,1,10)=MID($EE$2,1,10),3,1)</f>
        <v>3</v>
      </c>
    </row>
    <row r="322" spans="76:135" x14ac:dyDescent="0.25">
      <c r="BX322" s="78"/>
      <c r="BY322" s="319">
        <v>147</v>
      </c>
      <c r="CA322" s="78"/>
      <c r="EE322" s="76">
        <f>+IF(MID($J$3,1,10)=MID($EE$3,1,10),2,1)</f>
        <v>2</v>
      </c>
    </row>
    <row r="323" spans="76:135" x14ac:dyDescent="0.25">
      <c r="BX323" s="78"/>
      <c r="BY323" s="319">
        <v>140</v>
      </c>
      <c r="CA323" s="78"/>
      <c r="EE323" s="76">
        <f>+IF(MID($J$2,1,10)=MID($EE$2,1,10),4,1)</f>
        <v>4</v>
      </c>
    </row>
    <row r="324" spans="76:135" x14ac:dyDescent="0.25">
      <c r="BX324" s="78"/>
      <c r="BY324" s="319">
        <v>189</v>
      </c>
      <c r="CA324" s="78"/>
      <c r="EE324" s="76">
        <f>+IF(MID($J$2,1,10)=MID($EE$2,1,10),0,1)</f>
        <v>0</v>
      </c>
    </row>
    <row r="325" spans="76:135" x14ac:dyDescent="0.25">
      <c r="BX325" s="78"/>
      <c r="BY325" s="319">
        <v>187</v>
      </c>
      <c r="CA325" s="78"/>
      <c r="EE325" s="76">
        <f>+IF(MID($J$3,1,10)=MID($EE$3,1,10),2,1)</f>
        <v>2</v>
      </c>
    </row>
    <row r="326" spans="76:135" x14ac:dyDescent="0.25">
      <c r="BX326" s="78"/>
      <c r="BY326" s="319">
        <v>133</v>
      </c>
      <c r="CA326" s="78"/>
      <c r="EE326" s="76">
        <f>+IF(MID($J$3,1,10)=MID($EE$3,1,10),2,1)</f>
        <v>2</v>
      </c>
    </row>
    <row r="327" spans="76:135" x14ac:dyDescent="0.25">
      <c r="BX327" s="78"/>
      <c r="BY327" s="319">
        <v>197</v>
      </c>
      <c r="CA327" s="78"/>
      <c r="EE327" s="76">
        <f>+IF(MID($J$2,1,10)=MID($EE$2,1,10),4,1)</f>
        <v>4</v>
      </c>
    </row>
    <row r="328" spans="76:135" x14ac:dyDescent="0.25">
      <c r="BX328" s="78"/>
      <c r="BY328" s="319">
        <v>118</v>
      </c>
      <c r="CA328" s="78"/>
      <c r="EE328" s="76">
        <f>+IF(MID($J$3,1,10)=MID($EE$3,1,10),2,1)</f>
        <v>2</v>
      </c>
    </row>
    <row r="329" spans="76:135" x14ac:dyDescent="0.25">
      <c r="BX329" s="78"/>
      <c r="BY329" s="319">
        <v>166</v>
      </c>
      <c r="CA329" s="78"/>
      <c r="EE329" s="76">
        <f>+IF(MID($J$2,1,10)=MID($EE$2,1,10),4,1)</f>
        <v>4</v>
      </c>
    </row>
    <row r="330" spans="76:135" x14ac:dyDescent="0.25">
      <c r="BX330" s="78"/>
      <c r="BY330" s="319">
        <v>200</v>
      </c>
      <c r="CA330" s="78"/>
      <c r="EE330" s="76">
        <f>+IF(MID($J$2,1,10)=MID($EE$2,1,10),1,2)</f>
        <v>1</v>
      </c>
    </row>
    <row r="331" spans="76:135" x14ac:dyDescent="0.25">
      <c r="BX331" s="78"/>
      <c r="BY331" s="319">
        <v>114</v>
      </c>
      <c r="CA331" s="78"/>
      <c r="EE331" s="76">
        <f>+IF(MID($J$2,1,10)=MID($EE$2,1,10),3,1)</f>
        <v>3</v>
      </c>
    </row>
    <row r="332" spans="76:135" x14ac:dyDescent="0.25">
      <c r="BX332" s="78"/>
      <c r="BY332" s="319">
        <v>142</v>
      </c>
      <c r="CA332" s="78"/>
      <c r="EE332" s="76">
        <f>+IF(MID($J$2,1,10)=MID($EE$2,1,10),1,2)</f>
        <v>1</v>
      </c>
    </row>
    <row r="333" spans="76:135" x14ac:dyDescent="0.25">
      <c r="BX333" s="78"/>
      <c r="BY333" s="319">
        <v>495</v>
      </c>
      <c r="CA333" s="78"/>
      <c r="EE333" s="76">
        <f>+IF(MID($J$3,1,10)=MID($EE$3,1,10),2,1)</f>
        <v>2</v>
      </c>
    </row>
    <row r="334" spans="76:135" x14ac:dyDescent="0.25">
      <c r="BX334" s="78"/>
      <c r="BY334" s="319">
        <v>475</v>
      </c>
      <c r="CA334" s="78"/>
      <c r="EE334" s="76">
        <f>+IF(MID($J$2,1,10)=MID($EE$2,1,10),1,2)</f>
        <v>1</v>
      </c>
    </row>
    <row r="335" spans="76:135" x14ac:dyDescent="0.25">
      <c r="BX335" s="78"/>
      <c r="BY335" s="319">
        <v>174</v>
      </c>
      <c r="CA335" s="78"/>
      <c r="EE335" s="76">
        <f>+IF(MID($J$2,1,10)=MID($EE$2,1,10),0,1)</f>
        <v>0</v>
      </c>
    </row>
    <row r="336" spans="76:135" x14ac:dyDescent="0.25">
      <c r="BX336" s="79"/>
      <c r="BY336" s="322">
        <v>20</v>
      </c>
      <c r="BZ336" s="323"/>
      <c r="CA336" s="79"/>
      <c r="EE336" s="76">
        <f>+IF(MID($J$2,1,10)=MID($EE$2,1,10),0,1)</f>
        <v>0</v>
      </c>
    </row>
    <row r="337" spans="76:135" x14ac:dyDescent="0.25">
      <c r="BX337" s="78"/>
      <c r="BY337" s="319">
        <v>168</v>
      </c>
      <c r="CA337" s="78"/>
      <c r="EE337" s="76">
        <f>+IF(MID($J$2,1,10)=MID($EE$2,1,10),0,1)</f>
        <v>0</v>
      </c>
    </row>
    <row r="338" spans="76:135" x14ac:dyDescent="0.25">
      <c r="BX338" s="78"/>
      <c r="BY338" s="319">
        <v>1052</v>
      </c>
      <c r="CA338" s="78"/>
      <c r="EE338" s="76">
        <f>+IF(MID($J$2,1,10)=MID($EE$2,1,10),1,2)</f>
        <v>1</v>
      </c>
    </row>
    <row r="339" spans="76:135" x14ac:dyDescent="0.25">
      <c r="BX339" s="78"/>
      <c r="BY339" s="319">
        <v>13</v>
      </c>
      <c r="CA339" s="78"/>
      <c r="EE339" s="76">
        <f>+IF(MID($J$6,1,5)=MID($EE$11,1,5),0,1)</f>
        <v>0</v>
      </c>
    </row>
    <row r="340" spans="76:135" x14ac:dyDescent="0.25">
      <c r="BX340" s="78"/>
      <c r="BY340" s="319">
        <v>552</v>
      </c>
      <c r="CA340" s="78"/>
      <c r="EE340" s="76">
        <f>+IF(MID($J$2,1,10)=MID($EE$2,1,10),3,1)</f>
        <v>3</v>
      </c>
    </row>
    <row r="341" spans="76:135" x14ac:dyDescent="0.25">
      <c r="BX341" s="78"/>
      <c r="BY341" s="319">
        <v>121</v>
      </c>
      <c r="CA341" s="78"/>
      <c r="EE341" s="76">
        <f>+IF(MID($J$2,1,10)=MID($EE$2,1,10),3,1)</f>
        <v>3</v>
      </c>
    </row>
    <row r="342" spans="76:135" x14ac:dyDescent="0.25">
      <c r="BX342" s="78"/>
      <c r="BY342" s="322">
        <v>15</v>
      </c>
      <c r="CA342" s="78"/>
      <c r="EE342" s="76">
        <f>+IF(MID($J$6,1,5)=MID($EE$11,1,5),0,1)</f>
        <v>0</v>
      </c>
    </row>
    <row r="343" spans="76:135" x14ac:dyDescent="0.25">
      <c r="BX343" s="78"/>
      <c r="BY343" s="319">
        <v>0</v>
      </c>
      <c r="CA343" s="78"/>
      <c r="EE343" s="76">
        <f>+IF(MID($J$2,1,10)=MID($EE$2,1,10),0,1)</f>
        <v>0</v>
      </c>
    </row>
    <row r="344" spans="76:135" x14ac:dyDescent="0.25">
      <c r="BX344" s="78"/>
      <c r="BY344" s="319">
        <v>616</v>
      </c>
      <c r="CA344" s="78"/>
      <c r="EE344" s="76">
        <f>+IF(MID($J$2,1,10)=MID($EE$2,1,10),1,2)</f>
        <v>1</v>
      </c>
    </row>
    <row r="345" spans="76:135" x14ac:dyDescent="0.25">
      <c r="BX345" s="78"/>
      <c r="BY345" s="319">
        <v>128</v>
      </c>
      <c r="CA345" s="78"/>
      <c r="EE345" s="76">
        <f>+IF(MID($J$2,1,10)=MID($EE$2,1,10),3,1)</f>
        <v>3</v>
      </c>
    </row>
    <row r="346" spans="76:135" x14ac:dyDescent="0.25">
      <c r="BX346" s="78"/>
      <c r="BY346" s="319">
        <v>124</v>
      </c>
      <c r="CA346" s="78"/>
      <c r="EE346" s="76">
        <f>+IF(MID($J$2,1,10)=MID($EE$2,1,10),3,1)</f>
        <v>3</v>
      </c>
    </row>
    <row r="347" spans="76:135" x14ac:dyDescent="0.25">
      <c r="BX347" s="78"/>
      <c r="BY347" s="319">
        <v>190</v>
      </c>
      <c r="CA347" s="78"/>
      <c r="EE347" s="76">
        <f>+IF(MID($J$2,1,10)=MID($EE$2,1,10),0,1)</f>
        <v>0</v>
      </c>
    </row>
    <row r="348" spans="76:135" x14ac:dyDescent="0.25">
      <c r="BX348" s="78"/>
      <c r="BY348" s="319">
        <v>524</v>
      </c>
      <c r="CA348" s="78"/>
      <c r="EE348" s="76">
        <f>+IF(MID($J$2,1,10)=MID($EE$2,1,10),3,1)</f>
        <v>3</v>
      </c>
    </row>
    <row r="349" spans="76:135" x14ac:dyDescent="0.25">
      <c r="BX349" s="78"/>
      <c r="BY349" s="319">
        <v>147</v>
      </c>
      <c r="CA349" s="78"/>
      <c r="EE349" s="76">
        <f>+IF(MID($J$2,1,10)=MID($EE$2,1,10),3,1)</f>
        <v>3</v>
      </c>
    </row>
    <row r="350" spans="76:135" x14ac:dyDescent="0.25">
      <c r="BX350" s="78"/>
      <c r="BY350" s="319">
        <v>529</v>
      </c>
      <c r="CA350" s="78"/>
      <c r="EE350" s="76">
        <f>+IF(MID($J$2,1,10)=MID($EE$2,1,10),3,1)</f>
        <v>3</v>
      </c>
    </row>
    <row r="351" spans="76:135" x14ac:dyDescent="0.25">
      <c r="BX351" s="78"/>
      <c r="BY351" s="319">
        <v>140</v>
      </c>
      <c r="CA351" s="78"/>
      <c r="EE351" s="76">
        <f>+IF(MID($J$2,1,10)=MID($EE$2,1,10),1,2)</f>
        <v>1</v>
      </c>
    </row>
    <row r="352" spans="76:135" x14ac:dyDescent="0.25">
      <c r="BX352" s="78"/>
      <c r="BY352" s="319">
        <v>297</v>
      </c>
      <c r="CA352" s="78"/>
      <c r="EE352" s="76">
        <f>+IF(MID($J$3,1,10)=MID($EE$3,1,10),2,1)</f>
        <v>2</v>
      </c>
    </row>
    <row r="353" spans="76:135" x14ac:dyDescent="0.25">
      <c r="BX353" s="78"/>
      <c r="BY353" s="319">
        <v>124</v>
      </c>
      <c r="CA353" s="78"/>
      <c r="EE353" s="76">
        <f>+IF(MID($J$2,1,10)=MID($EE$2,1,10),4,1)</f>
        <v>4</v>
      </c>
    </row>
    <row r="354" spans="76:135" x14ac:dyDescent="0.25">
      <c r="BX354" s="78"/>
      <c r="BY354" s="319">
        <v>180</v>
      </c>
      <c r="CA354" s="78"/>
      <c r="EE354" s="76">
        <f>+IF(MID($J$2,1,10)=MID($EE$2,1,10),0,1)</f>
        <v>0</v>
      </c>
    </row>
    <row r="355" spans="76:135" x14ac:dyDescent="0.25">
      <c r="BX355" s="78"/>
      <c r="BY355" s="319">
        <v>189</v>
      </c>
      <c r="CA355" s="78"/>
      <c r="EE355" s="76">
        <f>+IF(MID($J$3,1,10)=MID($EE$3,1,10),2,1)</f>
        <v>2</v>
      </c>
    </row>
    <row r="356" spans="76:135" x14ac:dyDescent="0.25">
      <c r="BX356" s="78"/>
      <c r="BY356" s="319">
        <v>617</v>
      </c>
      <c r="CA356" s="78"/>
      <c r="EE356" s="76">
        <f>+IF(MID($J$3,1,10)=MID($EE$3,1,10),2,1)</f>
        <v>2</v>
      </c>
    </row>
    <row r="357" spans="76:135" x14ac:dyDescent="0.25">
      <c r="BX357" s="78"/>
      <c r="BY357" s="322">
        <v>15</v>
      </c>
      <c r="CA357" s="78"/>
      <c r="EE357" s="76">
        <f>+IF(MID($J$6,1,5)=MID($EE$11,1,5),0,1)</f>
        <v>0</v>
      </c>
    </row>
    <row r="358" spans="76:135" x14ac:dyDescent="0.25">
      <c r="BX358" s="78"/>
      <c r="BY358" s="319">
        <v>172</v>
      </c>
      <c r="CA358" s="78"/>
      <c r="EE358" s="76">
        <f>+IF(MID($J$3,1,10)=MID($EE$3,1,10),2,1)</f>
        <v>2</v>
      </c>
    </row>
    <row r="359" spans="76:135" x14ac:dyDescent="0.25">
      <c r="BX359" s="78"/>
      <c r="BY359" s="319">
        <v>184</v>
      </c>
      <c r="CA359" s="78"/>
      <c r="EE359" s="76">
        <f>+IF(MID($J$2,1,10)=MID($EE$2,1,10),4,1)</f>
        <v>4</v>
      </c>
    </row>
    <row r="360" spans="76:135" x14ac:dyDescent="0.25">
      <c r="BX360" s="78"/>
      <c r="BY360" s="319">
        <v>146</v>
      </c>
      <c r="CA360" s="78"/>
      <c r="EE360" s="76">
        <f>+IF(MID($J$2,1,10)=MID($EE$2,1,10),1,2)</f>
        <v>1</v>
      </c>
    </row>
    <row r="361" spans="76:135" x14ac:dyDescent="0.25">
      <c r="BX361" s="78"/>
      <c r="BY361" s="319">
        <v>1195</v>
      </c>
      <c r="CA361" s="78"/>
      <c r="EE361" s="76">
        <f>+IF(MID($J$2,1,10)=MID($EE$2,1,10),3,1)</f>
        <v>3</v>
      </c>
    </row>
    <row r="362" spans="76:135" x14ac:dyDescent="0.25">
      <c r="BX362" s="78"/>
      <c r="BY362" s="319">
        <v>5</v>
      </c>
      <c r="CA362" s="78"/>
      <c r="EE362" s="76">
        <f>+IF(MID($J$2,1,10)=MID($EE$2,1,10),1,2)</f>
        <v>1</v>
      </c>
    </row>
    <row r="363" spans="76:135" x14ac:dyDescent="0.25">
      <c r="BX363" s="78"/>
      <c r="BY363" s="319">
        <v>1008</v>
      </c>
      <c r="CA363" s="78"/>
      <c r="EE363" s="76">
        <f>+IF(MID($J$3,1,10)=MID($EE$3,1,10),2,1)</f>
        <v>2</v>
      </c>
    </row>
    <row r="364" spans="76:135" x14ac:dyDescent="0.25">
      <c r="BX364" s="78"/>
      <c r="BY364" s="319">
        <v>173</v>
      </c>
      <c r="CA364" s="78"/>
      <c r="EE364" s="76">
        <f>+IF(MID($J$2,1,10)=MID($EE$2,1,10),1,2)</f>
        <v>1</v>
      </c>
    </row>
    <row r="365" spans="76:135" x14ac:dyDescent="0.25">
      <c r="BX365" s="78"/>
      <c r="BY365" s="319">
        <v>446</v>
      </c>
      <c r="CA365" s="78"/>
      <c r="EE365" s="76">
        <f>+IF(MID($J$2,1,10)=MID($EE$2,1,10),0,1)</f>
        <v>0</v>
      </c>
    </row>
    <row r="366" spans="76:135" x14ac:dyDescent="0.25">
      <c r="BX366" s="78"/>
      <c r="BY366" s="319">
        <v>128</v>
      </c>
      <c r="CA366" s="78"/>
      <c r="EE366" s="76">
        <f>+IF(MID($J$2,1,10)=MID($EE$2,1,10),0,1)</f>
        <v>0</v>
      </c>
    </row>
    <row r="367" spans="76:135" x14ac:dyDescent="0.25">
      <c r="BX367" s="78"/>
      <c r="BY367" s="319">
        <v>326</v>
      </c>
      <c r="CA367" s="78"/>
      <c r="EE367" s="76">
        <f>+IF(MID($J$3,1,10)=MID($EE$3,1,10),2,1)</f>
        <v>2</v>
      </c>
    </row>
    <row r="368" spans="76:135" x14ac:dyDescent="0.25">
      <c r="BX368" s="78"/>
      <c r="BY368" s="319">
        <v>189</v>
      </c>
      <c r="CA368" s="78"/>
      <c r="EE368" s="76">
        <f>+IF(MID($J$2,1,10)=MID($EE$2,1,10),4,1)</f>
        <v>4</v>
      </c>
    </row>
    <row r="369" spans="76:135" x14ac:dyDescent="0.25">
      <c r="BX369" s="78"/>
      <c r="BY369" s="319">
        <v>716</v>
      </c>
      <c r="CA369" s="78"/>
      <c r="EE369" s="76">
        <f>+IF(MID($J$2,1,10)=MID($EE$2,1,10),0,1)</f>
        <v>0</v>
      </c>
    </row>
    <row r="370" spans="76:135" x14ac:dyDescent="0.25">
      <c r="BX370" s="78"/>
      <c r="BY370" s="319">
        <v>105</v>
      </c>
      <c r="CA370" s="78"/>
      <c r="EE370" s="76">
        <f>+IF(MID($J$3,1,10)=MID($EE$3,1,10),2,1)</f>
        <v>2</v>
      </c>
    </row>
    <row r="371" spans="76:135" x14ac:dyDescent="0.25">
      <c r="BX371" s="78"/>
      <c r="BY371" s="319">
        <v>650</v>
      </c>
      <c r="CA371" s="78"/>
      <c r="EE371" s="76">
        <f>+IF(MID($J$3,1,10)=MID($EE$3,1,10),2,1)</f>
        <v>2</v>
      </c>
    </row>
    <row r="372" spans="76:135" x14ac:dyDescent="0.25">
      <c r="BX372" s="78"/>
      <c r="BY372" s="319">
        <v>155</v>
      </c>
      <c r="CA372" s="78"/>
      <c r="EE372" s="76">
        <f>+IF(MID($J$2,1,10)=MID($EE$2,1,10),4,1)</f>
        <v>4</v>
      </c>
    </row>
    <row r="373" spans="76:135" x14ac:dyDescent="0.25">
      <c r="BX373" s="78"/>
      <c r="BY373" s="319">
        <v>185</v>
      </c>
      <c r="CA373" s="78"/>
      <c r="EE373" s="76">
        <f>+IF(MID($J$3,1,10)=MID($EE$3,1,10),2,1)</f>
        <v>2</v>
      </c>
    </row>
    <row r="374" spans="76:135" x14ac:dyDescent="0.25">
      <c r="BX374" s="78"/>
      <c r="BY374" s="319">
        <v>254</v>
      </c>
      <c r="CA374" s="78"/>
      <c r="EE374" s="76">
        <f>+IF(MID($J$2,1,10)=MID($EE$2,1,10),4,1)</f>
        <v>4</v>
      </c>
    </row>
    <row r="375" spans="76:135" x14ac:dyDescent="0.25">
      <c r="BX375" s="78"/>
      <c r="BY375" s="319">
        <v>129</v>
      </c>
      <c r="CA375" s="78"/>
      <c r="EE375" s="76">
        <f>+IF(MID($J$2,1,10)=MID($EE$2,1,10),1,2)</f>
        <v>1</v>
      </c>
    </row>
    <row r="376" spans="76:135" x14ac:dyDescent="0.25">
      <c r="BX376" s="78"/>
      <c r="BY376" s="319">
        <v>718</v>
      </c>
      <c r="CA376" s="78"/>
      <c r="EE376" s="76">
        <f>+IF(MID($J$2,1,10)=MID($EE$2,1,10),3,1)</f>
        <v>3</v>
      </c>
    </row>
    <row r="377" spans="76:135" x14ac:dyDescent="0.25">
      <c r="BX377" s="78"/>
      <c r="BY377" s="319">
        <v>125</v>
      </c>
      <c r="CA377" s="78"/>
      <c r="EE377" s="76">
        <f>+IF(MID($J$2,1,10)=MID($EE$2,1,10),1,2)</f>
        <v>1</v>
      </c>
    </row>
    <row r="378" spans="76:135" x14ac:dyDescent="0.25">
      <c r="BX378" s="78"/>
      <c r="BY378" s="319">
        <v>260</v>
      </c>
      <c r="CA378" s="78"/>
      <c r="EE378" s="76">
        <f>+IF(MID($J$3,1,10)=MID($EE$3,1,10),2,1)</f>
        <v>2</v>
      </c>
    </row>
    <row r="379" spans="76:135" x14ac:dyDescent="0.25">
      <c r="BX379" s="79"/>
      <c r="BY379" s="322">
        <v>20</v>
      </c>
      <c r="BZ379" s="323"/>
      <c r="CA379" s="79"/>
      <c r="EE379" s="76">
        <f>+IF(MID($J$6,1,5)=MID($EE$11,1,5),0,1)</f>
        <v>0</v>
      </c>
    </row>
    <row r="380" spans="76:135" x14ac:dyDescent="0.25">
      <c r="BX380" s="78"/>
      <c r="BY380" s="319">
        <v>743</v>
      </c>
      <c r="CA380" s="78"/>
      <c r="EE380" s="76">
        <f>+IF(MID($J$2,1,10)=MID($EE$2,1,10),0,1)</f>
        <v>0</v>
      </c>
    </row>
    <row r="381" spans="76:135" x14ac:dyDescent="0.25">
      <c r="BX381" s="78"/>
      <c r="BY381" s="319">
        <v>137</v>
      </c>
      <c r="CA381" s="78"/>
      <c r="EE381" s="76">
        <f>+IF(MID($J$2,1,10)=MID($EE$2,1,10),0,1)</f>
        <v>0</v>
      </c>
    </row>
    <row r="382" spans="76:135" x14ac:dyDescent="0.25">
      <c r="BX382" s="78"/>
      <c r="BY382" s="319">
        <v>290</v>
      </c>
      <c r="CA382" s="78"/>
      <c r="EE382" s="76">
        <f>+IF(MID($J$2,1,10)=MID($EE$2,1,10),0,1)</f>
        <v>0</v>
      </c>
    </row>
    <row r="383" spans="76:135" x14ac:dyDescent="0.25">
      <c r="BX383" s="78"/>
      <c r="BY383" s="319">
        <v>179</v>
      </c>
      <c r="CA383" s="78"/>
      <c r="EE383" s="76">
        <f>+IF(MID($J$2,1,10)=MID($EE$2,1,10),1,2)</f>
        <v>1</v>
      </c>
    </row>
    <row r="384" spans="76:135" x14ac:dyDescent="0.25">
      <c r="BX384" s="78"/>
      <c r="BY384" s="319">
        <v>5</v>
      </c>
      <c r="CA384" s="78"/>
      <c r="EE384" s="76">
        <f>+IF(MID($J$2,1,10)=MID($EE$2,1,10),1,2)</f>
        <v>1</v>
      </c>
    </row>
    <row r="385" spans="76:135" x14ac:dyDescent="0.25">
      <c r="BX385" s="78"/>
      <c r="BY385" s="319">
        <v>99</v>
      </c>
      <c r="CA385" s="78"/>
      <c r="EE385" s="76">
        <f>+IF(MID($J$2,1,10)=MID($EE$2,1,10),3,1)</f>
        <v>3</v>
      </c>
    </row>
    <row r="386" spans="76:135" x14ac:dyDescent="0.25">
      <c r="BX386" s="78"/>
      <c r="BY386" s="319">
        <v>105</v>
      </c>
      <c r="CA386" s="78"/>
      <c r="EE386" s="76">
        <f>+IF(MID($J$2,1,10)=MID($EE$2,1,10),3,1)</f>
        <v>3</v>
      </c>
    </row>
    <row r="387" spans="76:135" x14ac:dyDescent="0.25">
      <c r="BX387" s="78"/>
      <c r="BY387" s="319">
        <v>204</v>
      </c>
      <c r="CA387" s="78"/>
      <c r="EE387" s="76">
        <f>+IF(MID($J$2,1,10)=MID($EE$2,1,10),3,1)</f>
        <v>3</v>
      </c>
    </row>
    <row r="388" spans="76:135" x14ac:dyDescent="0.25">
      <c r="BX388" s="78"/>
      <c r="BY388" s="319">
        <v>662</v>
      </c>
      <c r="CA388" s="78"/>
      <c r="EE388" s="76">
        <f>+IF(MID($J$2,1,10)=MID($EE$2,1,10),0,1)</f>
        <v>0</v>
      </c>
    </row>
    <row r="389" spans="76:135" x14ac:dyDescent="0.25">
      <c r="BX389" s="78"/>
      <c r="BY389" s="319">
        <v>109</v>
      </c>
      <c r="CA389" s="78"/>
      <c r="EE389" s="76">
        <f>+IF(MID($J$2,1,10)=MID($EE$2,1,10),1,2)</f>
        <v>1</v>
      </c>
    </row>
    <row r="390" spans="76:135" x14ac:dyDescent="0.25">
      <c r="BX390" s="78"/>
      <c r="BY390" s="319">
        <v>367</v>
      </c>
      <c r="CA390" s="78"/>
      <c r="EE390" s="76">
        <f>+IF(MID($J$2,1,10)=MID($EE$2,1,10),3,1)</f>
        <v>3</v>
      </c>
    </row>
    <row r="391" spans="76:135" x14ac:dyDescent="0.25">
      <c r="BX391" s="78"/>
      <c r="BY391" s="319">
        <v>104</v>
      </c>
      <c r="CA391" s="78"/>
      <c r="EE391" s="76">
        <f>+IF(MID($J$2,1,10)=MID($EE$2,1,10),3,1)</f>
        <v>3</v>
      </c>
    </row>
    <row r="392" spans="76:135" x14ac:dyDescent="0.25">
      <c r="BX392" s="78"/>
      <c r="BY392" s="319">
        <v>934</v>
      </c>
      <c r="CA392" s="78"/>
      <c r="EE392" s="76">
        <f>+IF(MID($J$2,1,10)=MID($EE$2,1,10),0,1)</f>
        <v>0</v>
      </c>
    </row>
    <row r="393" spans="76:135" x14ac:dyDescent="0.25">
      <c r="BX393" s="78"/>
      <c r="BY393" s="319">
        <v>180</v>
      </c>
      <c r="CA393" s="78"/>
      <c r="EE393" s="76">
        <f>+IF(MID($J$2,1,10)=MID($EE$2,1,10),3,1)</f>
        <v>3</v>
      </c>
    </row>
    <row r="394" spans="76:135" x14ac:dyDescent="0.25">
      <c r="BX394" s="78"/>
      <c r="BY394" s="319">
        <v>313</v>
      </c>
      <c r="CA394" s="78"/>
      <c r="EE394" s="76">
        <f>+IF(MID($J$2,1,10)=MID($EE$2,1,10),3,1)</f>
        <v>3</v>
      </c>
    </row>
    <row r="395" spans="76:135" x14ac:dyDescent="0.25">
      <c r="BX395" s="78"/>
      <c r="BY395" s="319">
        <v>134</v>
      </c>
      <c r="CA395" s="78"/>
      <c r="EE395" s="76">
        <f>+IF(MID($J$2,1,10)=MID($EE$2,1,10),3,1)</f>
        <v>3</v>
      </c>
    </row>
    <row r="396" spans="76:135" x14ac:dyDescent="0.25">
      <c r="BX396" s="78"/>
      <c r="BY396" s="319">
        <v>119</v>
      </c>
      <c r="CA396" s="78"/>
      <c r="EE396" s="76">
        <f>+IF(MID($J$2,1,10)=MID($EE$2,1,10),1,2)</f>
        <v>1</v>
      </c>
    </row>
    <row r="397" spans="76:135" x14ac:dyDescent="0.25">
      <c r="BX397" s="78"/>
      <c r="BY397" s="319">
        <v>151</v>
      </c>
      <c r="CA397" s="78"/>
      <c r="EE397" s="76">
        <f>+IF(MID($J$3,1,10)=MID($EE$3,1,10),2,1)</f>
        <v>2</v>
      </c>
    </row>
    <row r="398" spans="76:135" x14ac:dyDescent="0.25">
      <c r="BX398" s="78"/>
      <c r="BY398" s="319">
        <v>133</v>
      </c>
      <c r="CA398" s="78"/>
      <c r="EE398" s="76">
        <f>+IF(MID($J$2,1,10)=MID($EE$2,1,10),4,1)</f>
        <v>4</v>
      </c>
    </row>
    <row r="399" spans="76:135" x14ac:dyDescent="0.25">
      <c r="BX399" s="78"/>
      <c r="BY399" s="319">
        <v>315</v>
      </c>
      <c r="CA399" s="78"/>
      <c r="EE399" s="76">
        <f>+IF(MID($J$2,1,10)=MID($EE$2,1,10),0,1)</f>
        <v>0</v>
      </c>
    </row>
    <row r="400" spans="76:135" x14ac:dyDescent="0.25">
      <c r="BX400" s="78"/>
      <c r="BY400" s="319">
        <v>132</v>
      </c>
      <c r="CA400" s="78"/>
      <c r="EE400" s="76">
        <f>+IF(MID($J$3,1,10)=MID($EE$3,1,10),2,1)</f>
        <v>2</v>
      </c>
    </row>
    <row r="401" spans="76:135" x14ac:dyDescent="0.25">
      <c r="BX401" s="78"/>
      <c r="BY401" s="319">
        <v>676</v>
      </c>
      <c r="CA401" s="78"/>
      <c r="EE401" s="76">
        <f>+IF(MID($J$3,1,10)=MID($EE$3,1,10),2,1)</f>
        <v>2</v>
      </c>
    </row>
    <row r="402" spans="76:135" x14ac:dyDescent="0.25">
      <c r="BX402" s="78"/>
      <c r="BY402" s="319">
        <v>157</v>
      </c>
      <c r="CA402" s="78"/>
      <c r="EE402" s="76">
        <f>+IF(MID($J$2,1,10)=MID($EE$2,1,10),4,1)</f>
        <v>4</v>
      </c>
    </row>
    <row r="403" spans="76:135" x14ac:dyDescent="0.25">
      <c r="BX403" s="78"/>
      <c r="BY403" s="319">
        <v>975</v>
      </c>
      <c r="CA403" s="78"/>
      <c r="EE403" s="76">
        <f>+IF(MID($J$3,1,10)=MID($EE$3,1,10),2,1)</f>
        <v>2</v>
      </c>
    </row>
    <row r="404" spans="76:135" x14ac:dyDescent="0.25">
      <c r="BX404" s="78"/>
      <c r="BY404" s="319">
        <v>134</v>
      </c>
      <c r="CA404" s="78"/>
      <c r="EE404" s="76">
        <f>+IF(MID($J$2,1,10)=MID($EE$2,1,10),4,1)</f>
        <v>4</v>
      </c>
    </row>
    <row r="405" spans="76:135" x14ac:dyDescent="0.25">
      <c r="BX405" s="78"/>
      <c r="BY405" s="319">
        <v>528</v>
      </c>
      <c r="CA405" s="78"/>
      <c r="EE405" s="76">
        <f>+IF(MID($J$2,1,10)=MID($EE$2,1,10),1,2)</f>
        <v>1</v>
      </c>
    </row>
    <row r="406" spans="76:135" x14ac:dyDescent="0.25">
      <c r="BX406" s="78"/>
      <c r="BY406" s="319">
        <v>146</v>
      </c>
      <c r="CA406" s="78"/>
      <c r="EE406" s="76">
        <f>+IF(MID($J$2,1,10)=MID($EE$2,1,10),3,1)</f>
        <v>3</v>
      </c>
    </row>
    <row r="407" spans="76:135" x14ac:dyDescent="0.25">
      <c r="BX407" s="78"/>
      <c r="BY407" s="319">
        <v>227</v>
      </c>
      <c r="CA407" s="78"/>
      <c r="EE407" s="76">
        <f>+IF(MID($J$2,1,10)=MID($EE$2,1,10),1,2)</f>
        <v>1</v>
      </c>
    </row>
    <row r="408" spans="76:135" x14ac:dyDescent="0.25">
      <c r="BX408" s="78"/>
      <c r="BY408" s="319">
        <v>167</v>
      </c>
      <c r="CA408" s="78"/>
      <c r="EE408" s="76">
        <f>+IF(MID($J$3,1,10)=MID($EE$3,1,10),2,1)</f>
        <v>2</v>
      </c>
    </row>
    <row r="409" spans="76:135" x14ac:dyDescent="0.25">
      <c r="BX409" s="78"/>
      <c r="BY409" s="319">
        <v>143</v>
      </c>
      <c r="CA409" s="78"/>
      <c r="EE409" s="76">
        <f>+IF(MID($J$2,1,10)=MID($EE$2,1,10),1,2)</f>
        <v>1</v>
      </c>
    </row>
    <row r="410" spans="76:135" x14ac:dyDescent="0.25">
      <c r="BX410" s="78"/>
      <c r="BY410" s="319">
        <v>160</v>
      </c>
      <c r="CA410" s="78"/>
      <c r="EE410" s="76">
        <f>+IF(MID($J$2,1,10)=MID($EE$2,1,10),0,1)</f>
        <v>0</v>
      </c>
    </row>
    <row r="411" spans="76:135" x14ac:dyDescent="0.25">
      <c r="BX411" s="78"/>
      <c r="BY411" s="319">
        <v>975</v>
      </c>
      <c r="CA411" s="78"/>
      <c r="EE411" s="76">
        <f>+IF(MID($J$2,1,10)=MID($EE$2,1,10),0,1)</f>
        <v>0</v>
      </c>
    </row>
    <row r="412" spans="76:135" x14ac:dyDescent="0.25">
      <c r="BX412" s="78"/>
      <c r="BY412" s="319">
        <v>880</v>
      </c>
      <c r="CA412" s="78"/>
      <c r="EE412" s="76">
        <f>+IF(MID($J$2,1,10)=MID($EE$2,1,10),0,1)</f>
        <v>0</v>
      </c>
    </row>
    <row r="413" spans="76:135" x14ac:dyDescent="0.25">
      <c r="BX413" s="78"/>
      <c r="BY413" s="319">
        <v>106</v>
      </c>
      <c r="CA413" s="78"/>
      <c r="EE413" s="76">
        <f>+IF(MID($J$2,1,10)=MID($EE$2,1,10),1,2)</f>
        <v>1</v>
      </c>
    </row>
    <row r="414" spans="76:135" x14ac:dyDescent="0.25">
      <c r="BX414" s="78"/>
      <c r="BY414" s="319">
        <v>945</v>
      </c>
      <c r="CA414" s="78"/>
      <c r="EE414" s="76">
        <f>+IF(MID($J$2,1,10)=MID($EE$2,1,10),1,2)</f>
        <v>1</v>
      </c>
    </row>
    <row r="415" spans="76:135" x14ac:dyDescent="0.25">
      <c r="BX415" s="78"/>
      <c r="BY415" s="319">
        <v>13</v>
      </c>
      <c r="CA415" s="78"/>
      <c r="EE415" s="76">
        <f>+IF(MID($J$6,1,5)=MID($EE$11,1,5),0,1)</f>
        <v>0</v>
      </c>
    </row>
    <row r="416" spans="76:135" x14ac:dyDescent="0.25">
      <c r="BX416" s="78"/>
      <c r="BY416" s="319">
        <v>249</v>
      </c>
      <c r="CA416" s="78"/>
      <c r="EE416" s="76">
        <f>+IF(MID($J$2,1,10)=MID($EE$2,1,10),3,1)</f>
        <v>3</v>
      </c>
    </row>
    <row r="417" spans="76:135" x14ac:dyDescent="0.25">
      <c r="BX417" s="78"/>
      <c r="BY417" s="319">
        <v>187</v>
      </c>
      <c r="CA417" s="78"/>
      <c r="EE417" s="76">
        <f>+IF(MID($J$2,1,10)=MID($EE$2,1,10),3,1)</f>
        <v>3</v>
      </c>
    </row>
    <row r="418" spans="76:135" x14ac:dyDescent="0.25">
      <c r="BX418" s="78"/>
      <c r="BY418" s="319">
        <v>666</v>
      </c>
      <c r="CA418" s="78"/>
      <c r="EE418" s="76">
        <f>+IF(MID($J$2,1,10)=MID($EE$2,1,10),0,1)</f>
        <v>0</v>
      </c>
    </row>
    <row r="419" spans="76:135" x14ac:dyDescent="0.25">
      <c r="BX419" s="78"/>
      <c r="BY419" s="319">
        <v>132</v>
      </c>
      <c r="CA419" s="78"/>
      <c r="EE419" s="76">
        <f>+IF(MID($J$2,1,10)=MID($EE$2,1,10),1,2)</f>
        <v>1</v>
      </c>
    </row>
    <row r="420" spans="76:135" x14ac:dyDescent="0.25">
      <c r="BX420" s="78"/>
      <c r="BY420" s="319">
        <v>925</v>
      </c>
      <c r="CA420" s="78"/>
      <c r="EE420" s="76">
        <f>+IF(MID($J$2,1,10)=MID($EE$2,1,10),3,1)</f>
        <v>3</v>
      </c>
    </row>
    <row r="421" spans="76:135" x14ac:dyDescent="0.25">
      <c r="BX421" s="78"/>
      <c r="BY421" s="319">
        <v>151</v>
      </c>
      <c r="CA421" s="78"/>
      <c r="EE421" s="76">
        <f>+IF(MID($J$2,1,10)=MID($EE$2,1,10),3,1)</f>
        <v>3</v>
      </c>
    </row>
    <row r="422" spans="76:135" x14ac:dyDescent="0.25">
      <c r="BX422" s="78"/>
      <c r="BY422" s="319">
        <v>3</v>
      </c>
      <c r="CA422" s="78"/>
      <c r="EE422" s="76">
        <f>+IF(MID($J$2,1,10)=MID($EE$2,1,10),0,1)</f>
        <v>0</v>
      </c>
    </row>
    <row r="423" spans="76:135" x14ac:dyDescent="0.25">
      <c r="BX423" s="78"/>
      <c r="BY423" s="319">
        <v>175</v>
      </c>
      <c r="CA423" s="78"/>
      <c r="EE423" s="76">
        <f>+IF(MID($J$2,1,10)=MID($EE$2,1,10),3,1)</f>
        <v>3</v>
      </c>
    </row>
    <row r="424" spans="76:135" x14ac:dyDescent="0.25">
      <c r="BX424" s="78"/>
      <c r="BY424" s="319">
        <v>133</v>
      </c>
      <c r="CA424" s="78"/>
      <c r="EE424" s="76">
        <f>+IF(MID($J$2,1,10)=MID($EE$2,1,10),3,1)</f>
        <v>3</v>
      </c>
    </row>
    <row r="425" spans="76:135" x14ac:dyDescent="0.25">
      <c r="BX425" s="78"/>
      <c r="BY425" s="319">
        <v>176</v>
      </c>
      <c r="CA425" s="78"/>
      <c r="EE425" s="76">
        <f>+IF(MID($J$2,1,10)=MID($EE$2,1,10),3,1)</f>
        <v>3</v>
      </c>
    </row>
    <row r="426" spans="76:135" x14ac:dyDescent="0.25">
      <c r="BX426" s="78"/>
      <c r="BY426" s="319">
        <v>623</v>
      </c>
      <c r="CA426" s="78"/>
      <c r="EE426" s="76">
        <f>+IF(MID($J$2,1,10)=MID($EE$2,1,10),1,2)</f>
        <v>1</v>
      </c>
    </row>
    <row r="427" spans="76:135" x14ac:dyDescent="0.25">
      <c r="BX427" s="78"/>
      <c r="BY427" s="319">
        <v>144</v>
      </c>
      <c r="CA427" s="78"/>
      <c r="EE427" s="76">
        <f>+IF(MID($J$3,1,10)=MID($EE$3,1,10),2,1)</f>
        <v>2</v>
      </c>
    </row>
    <row r="428" spans="76:135" x14ac:dyDescent="0.25">
      <c r="BX428" s="78"/>
      <c r="BY428" s="319">
        <v>443</v>
      </c>
      <c r="CA428" s="78"/>
      <c r="EE428" s="76">
        <f>+IF(MID($J$2,1,10)=MID($EE$2,1,10),4,1)</f>
        <v>4</v>
      </c>
    </row>
    <row r="429" spans="76:135" x14ac:dyDescent="0.25">
      <c r="BX429" s="78"/>
      <c r="BY429" s="319">
        <v>185</v>
      </c>
      <c r="CA429" s="78"/>
      <c r="EE429" s="76">
        <f>+IF(MID($J$2,1,10)=MID($EE$2,1,10),0,1)</f>
        <v>0</v>
      </c>
    </row>
    <row r="430" spans="76:135" x14ac:dyDescent="0.25">
      <c r="BX430" s="78"/>
      <c r="BY430" s="322">
        <v>18</v>
      </c>
      <c r="CA430" s="78"/>
      <c r="EE430" s="76">
        <f>+IF(MID($J$6,1,5)=MID($EE$11,1,5),0,1)</f>
        <v>0</v>
      </c>
    </row>
    <row r="431" spans="76:135" x14ac:dyDescent="0.25">
      <c r="BX431" s="78"/>
      <c r="BY431" s="319">
        <v>153</v>
      </c>
      <c r="CA431" s="78"/>
      <c r="EE431" s="76">
        <f>+IF(MID($J$3,1,10)=MID($EE$3,1,10),2,1)</f>
        <v>2</v>
      </c>
    </row>
    <row r="432" spans="76:135" x14ac:dyDescent="0.25">
      <c r="BX432" s="78"/>
      <c r="BY432" s="319">
        <v>1103</v>
      </c>
      <c r="CA432" s="78"/>
      <c r="EE432" s="76">
        <f>+IF(MID($J$2,1,10)=MID($EE$2,1,10),4,1)</f>
        <v>4</v>
      </c>
    </row>
    <row r="433" spans="76:135" x14ac:dyDescent="0.25">
      <c r="BX433" s="78"/>
      <c r="BY433" s="319">
        <v>134</v>
      </c>
      <c r="CA433" s="78"/>
      <c r="EE433" s="76">
        <f>+IF(MID($J$3,1,10)=MID($EE$3,1,10),2,1)</f>
        <v>2</v>
      </c>
    </row>
    <row r="434" spans="76:135" x14ac:dyDescent="0.25">
      <c r="BX434" s="78"/>
      <c r="BY434" s="319">
        <v>212</v>
      </c>
      <c r="CA434" s="78"/>
      <c r="EE434" s="76">
        <f>+IF(MID($J$2,1,10)=MID($EE$2,1,10),4,1)</f>
        <v>4</v>
      </c>
    </row>
    <row r="435" spans="76:135" x14ac:dyDescent="0.25">
      <c r="BX435" s="78"/>
      <c r="BY435" s="319">
        <v>184</v>
      </c>
      <c r="CA435" s="78"/>
      <c r="EE435" s="76">
        <f>+IF(MID($J$2,1,10)=MID($EE$2,1,10),1,2)</f>
        <v>1</v>
      </c>
    </row>
    <row r="436" spans="76:135" x14ac:dyDescent="0.25">
      <c r="BX436" s="78"/>
      <c r="BY436" s="319">
        <v>159</v>
      </c>
      <c r="CA436" s="78"/>
      <c r="EE436" s="76">
        <f>+IF(MID($J$2,1,10)=MID($EE$2,1,10),3,1)</f>
        <v>3</v>
      </c>
    </row>
    <row r="437" spans="76:135" x14ac:dyDescent="0.25">
      <c r="BX437" s="78"/>
      <c r="BY437" s="319">
        <v>186</v>
      </c>
      <c r="CA437" s="78"/>
      <c r="EE437" s="76">
        <f>+IF(MID($J$2,1,10)=MID($EE$2,1,10),1,2)</f>
        <v>1</v>
      </c>
    </row>
    <row r="438" spans="76:135" x14ac:dyDescent="0.25">
      <c r="BX438" s="78"/>
      <c r="BY438" s="319">
        <v>119</v>
      </c>
      <c r="CA438" s="78"/>
      <c r="EE438" s="76">
        <f>+IF(MID($J$3,1,10)=MID($EE$3,1,10),2,1)</f>
        <v>2</v>
      </c>
    </row>
    <row r="439" spans="76:135" x14ac:dyDescent="0.25">
      <c r="BX439" s="78"/>
      <c r="BY439" s="319">
        <v>328</v>
      </c>
      <c r="CA439" s="78"/>
      <c r="EE439" s="76">
        <f>+IF(MID($J$2,1,10)=MID($EE$2,1,10),1,2)</f>
        <v>1</v>
      </c>
    </row>
    <row r="440" spans="76:135" x14ac:dyDescent="0.25">
      <c r="BX440" s="78"/>
      <c r="BY440" s="319">
        <v>187</v>
      </c>
      <c r="CA440" s="78"/>
      <c r="EE440" s="76">
        <f>+IF(MID($J$2,1,10)=MID($EE$2,1,10),0,1)</f>
        <v>0</v>
      </c>
    </row>
    <row r="441" spans="76:135" x14ac:dyDescent="0.25">
      <c r="BX441" s="78"/>
      <c r="BY441" s="319">
        <v>1029</v>
      </c>
      <c r="CA441" s="78"/>
      <c r="EE441" s="76">
        <f>+IF(MID($J$2,1,10)=MID($EE$2,1,10),0,1)</f>
        <v>0</v>
      </c>
    </row>
    <row r="442" spans="76:135" x14ac:dyDescent="0.25">
      <c r="BX442" s="78"/>
      <c r="BY442" s="319">
        <v>200</v>
      </c>
      <c r="CA442" s="78"/>
      <c r="EE442" s="76">
        <f>+IF(MID($J$2,1,10)=MID($EE$2,1,10),0,1)</f>
        <v>0</v>
      </c>
    </row>
    <row r="443" spans="76:135" x14ac:dyDescent="0.25">
      <c r="BX443" s="78"/>
      <c r="BY443" s="319">
        <v>469</v>
      </c>
      <c r="CA443" s="78"/>
      <c r="EE443" s="76">
        <f>+IF(MID($J$2,1,10)=MID($EE$2,1,10),1,2)</f>
        <v>1</v>
      </c>
    </row>
    <row r="444" spans="76:135" x14ac:dyDescent="0.25">
      <c r="BX444" s="78"/>
      <c r="BY444" s="319">
        <v>185</v>
      </c>
      <c r="CA444" s="78"/>
      <c r="EE444" s="76">
        <f>+IF(MID($J$2,1,10)=MID($EE$2,1,10),1,2)</f>
        <v>1</v>
      </c>
    </row>
    <row r="445" spans="76:135" x14ac:dyDescent="0.25">
      <c r="BX445" s="78"/>
      <c r="BY445" s="319">
        <v>932</v>
      </c>
      <c r="CA445" s="78"/>
      <c r="EE445" s="76">
        <f>+IF(MID($J$2,1,10)=MID($EE$2,1,10),3,1)</f>
        <v>3</v>
      </c>
    </row>
    <row r="446" spans="76:135" x14ac:dyDescent="0.25">
      <c r="BX446" s="78"/>
      <c r="BY446" s="319">
        <v>4</v>
      </c>
      <c r="CA446" s="78"/>
      <c r="EE446" s="76">
        <f>+IF(MID($J$2,1,10)=MID($EE$2,1,10),3,1)</f>
        <v>3</v>
      </c>
    </row>
    <row r="447" spans="76:135" x14ac:dyDescent="0.25">
      <c r="BX447" s="78"/>
      <c r="BY447" s="319">
        <v>675</v>
      </c>
      <c r="CA447" s="78"/>
      <c r="EE447" s="76">
        <f>+IF(MID($J$2,1,10)=MID($EE$2,1,10),3,1)</f>
        <v>3</v>
      </c>
    </row>
    <row r="448" spans="76:135" x14ac:dyDescent="0.25">
      <c r="BX448" s="78"/>
      <c r="BY448" s="319">
        <v>145</v>
      </c>
      <c r="CA448" s="78"/>
      <c r="EE448" s="76">
        <f>+IF(MID($J$2,1,10)=MID($EE$2,1,10),0,1)</f>
        <v>0</v>
      </c>
    </row>
    <row r="449" spans="76:135" x14ac:dyDescent="0.25">
      <c r="BX449" s="78"/>
      <c r="BY449" s="319">
        <v>646</v>
      </c>
      <c r="CA449" s="78"/>
      <c r="EE449" s="76">
        <f>+IF(MID($J$2,1,10)=MID($EE$2,1,10),1,2)</f>
        <v>1</v>
      </c>
    </row>
    <row r="450" spans="76:135" x14ac:dyDescent="0.25">
      <c r="BX450" s="78"/>
      <c r="BY450" s="319">
        <v>165</v>
      </c>
      <c r="CA450" s="78"/>
      <c r="EE450" s="76">
        <f>+IF(MID($J$2,1,10)=MID($EE$2,1,10),3,1)</f>
        <v>3</v>
      </c>
    </row>
    <row r="451" spans="76:135" x14ac:dyDescent="0.25">
      <c r="BX451" s="78"/>
      <c r="BY451" s="319">
        <v>146</v>
      </c>
      <c r="CA451" s="78"/>
      <c r="EE451" s="76">
        <f>+IF(MID($J$2,1,10)=MID($EE$2,1,10),3,1)</f>
        <v>3</v>
      </c>
    </row>
    <row r="452" spans="76:135" x14ac:dyDescent="0.25">
      <c r="BX452" s="78"/>
      <c r="BY452" s="319">
        <v>689</v>
      </c>
      <c r="CA452" s="78"/>
      <c r="EE452" s="76">
        <f>+IF(MID($J$2,1,10)=MID($EE$2,1,10),0,1)</f>
        <v>0</v>
      </c>
    </row>
    <row r="453" spans="76:135" x14ac:dyDescent="0.25">
      <c r="BX453" s="78"/>
      <c r="BY453" s="319">
        <v>147</v>
      </c>
      <c r="CA453" s="78"/>
      <c r="EE453" s="76">
        <f>+IF(MID($J$2,1,10)=MID($EE$2,1,10),3,1)</f>
        <v>3</v>
      </c>
    </row>
    <row r="454" spans="76:135" x14ac:dyDescent="0.25">
      <c r="BX454" s="78"/>
      <c r="BY454" s="319">
        <v>911</v>
      </c>
      <c r="CA454" s="78"/>
      <c r="EE454" s="76">
        <f>+IF(MID($J$2,1,10)=MID($EE$2,1,10),3,1)</f>
        <v>3</v>
      </c>
    </row>
    <row r="455" spans="76:135" x14ac:dyDescent="0.25">
      <c r="BX455" s="78"/>
      <c r="BY455" s="319">
        <v>200</v>
      </c>
      <c r="CA455" s="78"/>
      <c r="EE455" s="76">
        <f>+IF(MID($J$2,1,10)=MID($EE$2,1,10),3,1)</f>
        <v>3</v>
      </c>
    </row>
    <row r="456" spans="76:135" x14ac:dyDescent="0.25">
      <c r="BX456" s="78"/>
      <c r="BY456" s="319">
        <v>893</v>
      </c>
      <c r="CA456" s="78"/>
      <c r="EE456" s="76">
        <f>+IF(MID($J$2,1,10)=MID($EE$2,1,10),1,2)</f>
        <v>1</v>
      </c>
    </row>
    <row r="457" spans="76:135" x14ac:dyDescent="0.25">
      <c r="BX457" s="78"/>
      <c r="BY457" s="319">
        <v>136</v>
      </c>
      <c r="CA457" s="78"/>
      <c r="EE457" s="76">
        <f>+IF(MID($J$3,1,10)=MID($EE$3,1,10),2,1)</f>
        <v>2</v>
      </c>
    </row>
    <row r="458" spans="76:135" x14ac:dyDescent="0.25">
      <c r="BX458" s="78"/>
      <c r="BY458" s="319">
        <v>621</v>
      </c>
      <c r="CA458" s="78"/>
      <c r="EE458" s="76">
        <f>+IF(MID($J$2,1,10)=MID($EE$2,1,10),4,1)</f>
        <v>4</v>
      </c>
    </row>
    <row r="459" spans="76:135" x14ac:dyDescent="0.25">
      <c r="BX459" s="78"/>
      <c r="BY459" s="319">
        <v>176</v>
      </c>
      <c r="CA459" s="78"/>
      <c r="EE459" s="76">
        <f>+IF(MID($J$2,1,10)=MID($EE$2,1,10),0,1)</f>
        <v>0</v>
      </c>
    </row>
    <row r="460" spans="76:135" x14ac:dyDescent="0.25">
      <c r="BX460" s="78"/>
      <c r="BY460" s="319">
        <v>171</v>
      </c>
      <c r="CA460" s="78"/>
      <c r="EE460" s="76">
        <f>+IF(MID($J$3,1,10)=MID($EE$3,1,10),2,1)</f>
        <v>2</v>
      </c>
    </row>
    <row r="461" spans="76:135" x14ac:dyDescent="0.25">
      <c r="BX461" s="78"/>
      <c r="BY461" s="319">
        <v>185</v>
      </c>
      <c r="CA461" s="78"/>
      <c r="EE461" s="76">
        <f>+IF(MID($J$3,1,10)=MID($EE$3,1,10),2,1)</f>
        <v>2</v>
      </c>
    </row>
    <row r="462" spans="76:135" x14ac:dyDescent="0.25">
      <c r="BX462" s="78"/>
      <c r="BY462" s="319">
        <v>408</v>
      </c>
      <c r="CA462" s="78"/>
      <c r="EE462" s="76">
        <f>+IF(MID($J$2,1,10)=MID($EE$2,1,10),4,1)</f>
        <v>4</v>
      </c>
    </row>
    <row r="463" spans="76:135" x14ac:dyDescent="0.25">
      <c r="BX463" s="78"/>
      <c r="BY463" s="319">
        <v>123</v>
      </c>
      <c r="CA463" s="78"/>
      <c r="EE463" s="76">
        <f>+IF(MID($J$3,1,10)=MID($EE$3,1,10),2,1)</f>
        <v>2</v>
      </c>
    </row>
    <row r="464" spans="76:135" x14ac:dyDescent="0.25">
      <c r="BX464" s="78"/>
      <c r="BY464" s="319">
        <v>144</v>
      </c>
      <c r="CA464" s="78"/>
      <c r="EE464" s="76">
        <f>+IF(MID($J$2,1,10)=MID($EE$2,1,10),4,1)</f>
        <v>4</v>
      </c>
    </row>
    <row r="465" spans="76:135" x14ac:dyDescent="0.25">
      <c r="BX465" s="78"/>
      <c r="BY465" s="319">
        <v>122</v>
      </c>
      <c r="CA465" s="78"/>
      <c r="EE465" s="76">
        <f>+IF(MID($J$2,1,10)=MID($EE$2,1,10),1,2)</f>
        <v>1</v>
      </c>
    </row>
    <row r="466" spans="76:135" x14ac:dyDescent="0.25">
      <c r="BX466" s="78"/>
      <c r="BY466" s="319">
        <v>340</v>
      </c>
      <c r="CA466" s="78"/>
      <c r="EE466" s="76">
        <f>+IF(MID($J$2,1,10)=MID($EE$2,1,10),3,1)</f>
        <v>3</v>
      </c>
    </row>
    <row r="467" spans="76:135" x14ac:dyDescent="0.25">
      <c r="BX467" s="78"/>
      <c r="BY467" s="319">
        <v>151</v>
      </c>
      <c r="CA467" s="78"/>
      <c r="EE467" s="76">
        <f>+IF(MID($J$2,1,10)=MID($EE$2,1,10),1,2)</f>
        <v>1</v>
      </c>
    </row>
    <row r="468" spans="76:135" x14ac:dyDescent="0.25">
      <c r="BX468" s="78"/>
      <c r="BY468" s="319">
        <v>418</v>
      </c>
      <c r="CA468" s="78"/>
      <c r="EE468" s="76">
        <f>+IF(MID($J$3,1,10)=MID($EE$3,1,10),2,1)</f>
        <v>2</v>
      </c>
    </row>
    <row r="469" spans="76:135" x14ac:dyDescent="0.25">
      <c r="BX469" s="78"/>
      <c r="BY469" s="319">
        <v>157</v>
      </c>
      <c r="CA469" s="78"/>
      <c r="EE469" s="76">
        <f>+IF(MID($J$2,1,10)=MID($EE$2,1,10),1,2)</f>
        <v>1</v>
      </c>
    </row>
    <row r="470" spans="76:135" x14ac:dyDescent="0.25">
      <c r="BX470" s="78"/>
      <c r="BY470" s="319">
        <v>1112</v>
      </c>
      <c r="CA470" s="78"/>
      <c r="EE470" s="76">
        <f>+IF(MID($J$2,1,10)=MID($EE$2,1,10),0,1)</f>
        <v>0</v>
      </c>
    </row>
    <row r="471" spans="76:135" x14ac:dyDescent="0.25">
      <c r="BX471" s="78"/>
      <c r="BY471" s="319">
        <v>193</v>
      </c>
      <c r="CA471" s="78"/>
      <c r="EE471" s="76">
        <f>+IF(MID($J$2,1,10)=MID($EE$2,1,10),0,1)</f>
        <v>0</v>
      </c>
    </row>
    <row r="472" spans="76:135" x14ac:dyDescent="0.25">
      <c r="BX472" s="78"/>
      <c r="BY472" s="319">
        <v>1129</v>
      </c>
      <c r="CA472" s="78"/>
      <c r="EE472" s="76">
        <f>+IF(MID($J$2,1,10)=MID($EE$2,1,10),0,1)</f>
        <v>0</v>
      </c>
    </row>
    <row r="473" spans="76:135" x14ac:dyDescent="0.25">
      <c r="BX473" s="78"/>
      <c r="BY473" s="319">
        <v>160</v>
      </c>
      <c r="CA473" s="78"/>
      <c r="EE473" s="76">
        <f>+IF(MID($J$2,1,10)=MID($EE$2,1,10),1,2)</f>
        <v>1</v>
      </c>
    </row>
    <row r="474" spans="76:135" x14ac:dyDescent="0.25">
      <c r="BX474" s="78"/>
      <c r="BY474" s="324">
        <v>5</v>
      </c>
      <c r="CA474" s="78"/>
      <c r="EE474" s="76">
        <f>+IF(MID($J$6,1,5)=MID($EE$11,1,5),0,1)</f>
        <v>0</v>
      </c>
    </row>
    <row r="475" spans="76:135" x14ac:dyDescent="0.25">
      <c r="BX475" s="78"/>
      <c r="BY475" s="319">
        <v>146</v>
      </c>
      <c r="CA475" s="78"/>
      <c r="EE475" s="76">
        <f>+IF(MID($J$2,1,10)=MID($EE$2,1,10),4,1)</f>
        <v>4</v>
      </c>
    </row>
    <row r="476" spans="76:135" x14ac:dyDescent="0.25">
      <c r="BX476" s="78"/>
      <c r="BY476" s="319">
        <v>109</v>
      </c>
      <c r="CA476" s="78"/>
      <c r="EE476" s="76">
        <f>+IF(MID($J$2,1,10)=MID($EE$2,1,10),0,1)</f>
        <v>0</v>
      </c>
    </row>
    <row r="477" spans="76:135" x14ac:dyDescent="0.25">
      <c r="BX477" s="78"/>
      <c r="BY477" s="319">
        <v>203</v>
      </c>
      <c r="CA477" s="78"/>
      <c r="EE477" s="76">
        <f>+IF(MID($J$3,1,10)=MID($EE$3,1,10),2,1)</f>
        <v>2</v>
      </c>
    </row>
    <row r="478" spans="76:135" x14ac:dyDescent="0.25">
      <c r="BX478" s="78"/>
      <c r="BY478" s="319">
        <v>148</v>
      </c>
      <c r="CA478" s="78"/>
      <c r="EE478" s="76">
        <f>+IF(MID($J$3,1,10)=MID($EE$3,1,10),2,1)</f>
        <v>2</v>
      </c>
    </row>
    <row r="479" spans="76:135" x14ac:dyDescent="0.25">
      <c r="BX479" s="78"/>
      <c r="BY479" s="319">
        <v>144</v>
      </c>
      <c r="CA479" s="78"/>
      <c r="EE479" s="76">
        <f>+IF(MID($J$2,1,10)=MID($EE$2,1,10),4,1)</f>
        <v>4</v>
      </c>
    </row>
    <row r="480" spans="76:135" x14ac:dyDescent="0.25">
      <c r="BX480" s="78"/>
      <c r="BY480" s="319">
        <v>103</v>
      </c>
      <c r="CA480" s="78"/>
      <c r="EE480" s="76">
        <f>+IF(MID($J$3,1,10)=MID($EE$3,1,10),2,1)</f>
        <v>2</v>
      </c>
    </row>
    <row r="481" spans="76:135" x14ac:dyDescent="0.25">
      <c r="BX481" s="78"/>
      <c r="BY481" s="319">
        <v>184</v>
      </c>
      <c r="CA481" s="78"/>
      <c r="EE481" s="76">
        <f>+IF(MID($J$2,1,10)=MID($EE$2,1,10),4,1)</f>
        <v>4</v>
      </c>
    </row>
    <row r="482" spans="76:135" x14ac:dyDescent="0.25">
      <c r="BX482" s="78"/>
      <c r="BY482" s="319">
        <v>127</v>
      </c>
      <c r="CA482" s="78"/>
      <c r="EE482" s="76">
        <f>+IF(MID($J$2,1,10)=MID($EE$2,1,10),1,2)</f>
        <v>1</v>
      </c>
    </row>
    <row r="483" spans="76:135" x14ac:dyDescent="0.25">
      <c r="BX483" s="78"/>
      <c r="BY483" s="319">
        <v>197</v>
      </c>
      <c r="CA483" s="78"/>
      <c r="EE483" s="76">
        <f>+IF(MID($J$2,1,10)=MID($EE$2,1,10),3,1)</f>
        <v>3</v>
      </c>
    </row>
    <row r="484" spans="76:135" x14ac:dyDescent="0.25">
      <c r="BX484" s="78"/>
      <c r="BY484" s="319">
        <v>184</v>
      </c>
      <c r="CA484" s="78"/>
      <c r="EE484" s="76">
        <f>+IF(MID($J$2,1,10)=MID($EE$2,1,10),1,2)</f>
        <v>1</v>
      </c>
    </row>
    <row r="485" spans="76:135" x14ac:dyDescent="0.25">
      <c r="BX485" s="78"/>
      <c r="BY485" s="319">
        <v>891</v>
      </c>
      <c r="CA485" s="78"/>
      <c r="EE485" s="76">
        <f>+IF(MID($J$3,1,10)=MID($EE$3,1,10),2,1)</f>
        <v>2</v>
      </c>
    </row>
    <row r="486" spans="76:135" x14ac:dyDescent="0.25">
      <c r="BX486" s="78"/>
      <c r="BY486" s="319">
        <v>1</v>
      </c>
      <c r="CA486" s="78"/>
      <c r="EE486" s="76">
        <f>+IF(MID($J$2,1,10)=MID($EE$2,1,10),1,2)</f>
        <v>1</v>
      </c>
    </row>
    <row r="487" spans="76:135" x14ac:dyDescent="0.25">
      <c r="BX487" s="78"/>
      <c r="BY487" s="319">
        <v>832</v>
      </c>
      <c r="CA487" s="78"/>
      <c r="EE487" s="76">
        <f>+IF(MID($J$2,1,10)=MID($EE$2,1,10),0,1)</f>
        <v>0</v>
      </c>
    </row>
    <row r="488" spans="76:135" x14ac:dyDescent="0.25">
      <c r="BX488" s="78"/>
      <c r="BY488" s="319">
        <v>175</v>
      </c>
      <c r="CA488" s="78"/>
      <c r="EE488" s="76">
        <f>+IF(MID($J$2,1,10)=MID($EE$2,1,10),0,1)</f>
        <v>0</v>
      </c>
    </row>
    <row r="489" spans="76:135" x14ac:dyDescent="0.25">
      <c r="BX489" s="78"/>
      <c r="BY489" s="319">
        <v>397</v>
      </c>
      <c r="CA489" s="78"/>
      <c r="EE489" s="76">
        <f>+IF(MID($J$2,1,10)=MID($EE$2,1,10),0,1)</f>
        <v>0</v>
      </c>
    </row>
    <row r="490" spans="76:135" x14ac:dyDescent="0.25">
      <c r="BX490" s="78"/>
      <c r="BY490" s="319">
        <v>113</v>
      </c>
      <c r="CA490" s="78"/>
      <c r="EE490" s="76">
        <f>+IF(MID($J$2,1,10)=MID($EE$2,1,10),1,2)</f>
        <v>1</v>
      </c>
    </row>
    <row r="491" spans="76:135" x14ac:dyDescent="0.25">
      <c r="BX491" s="78"/>
      <c r="BY491" s="319">
        <v>293</v>
      </c>
      <c r="CA491" s="78"/>
      <c r="EE491" s="76">
        <f>+IF(MID($J$2,1,10)=MID($EE$2,1,10),1,2)</f>
        <v>1</v>
      </c>
    </row>
    <row r="492" spans="76:135" x14ac:dyDescent="0.25">
      <c r="BX492" s="78"/>
      <c r="BY492" s="319">
        <v>120</v>
      </c>
      <c r="CA492" s="78"/>
      <c r="EE492" s="76">
        <f>+IF(MID($J$2,1,10)=MID($EE$2,1,10),3,1)</f>
        <v>3</v>
      </c>
    </row>
    <row r="493" spans="76:135" x14ac:dyDescent="0.25">
      <c r="BX493" s="78"/>
      <c r="BY493" s="319">
        <v>182</v>
      </c>
      <c r="CA493" s="78"/>
      <c r="EE493" s="76">
        <f>+IF(MID($J$2,1,10)=MID($EE$2,1,10),3,1)</f>
        <v>3</v>
      </c>
    </row>
    <row r="494" spans="76:135" x14ac:dyDescent="0.25">
      <c r="BX494" s="78"/>
      <c r="BY494" s="319">
        <v>153</v>
      </c>
      <c r="CA494" s="78"/>
      <c r="EE494" s="76">
        <f>+IF(MID($J$2,1,10)=MID($EE$2,1,10),3,1)</f>
        <v>3</v>
      </c>
    </row>
    <row r="495" spans="76:135" x14ac:dyDescent="0.25">
      <c r="BX495" s="78"/>
      <c r="BY495" s="319">
        <v>1098</v>
      </c>
      <c r="CA495" s="78"/>
      <c r="EE495" s="76">
        <f>+IF(MID($J$2,1,10)=MID($EE$2,1,10),0,1)</f>
        <v>0</v>
      </c>
    </row>
    <row r="496" spans="76:135" x14ac:dyDescent="0.25">
      <c r="BX496" s="78"/>
      <c r="BY496" s="319">
        <v>15</v>
      </c>
      <c r="CA496" s="78"/>
      <c r="EE496" s="76">
        <f>+IF(MID($J$6,1,5)=MID($EE$11,1,5),0,1)</f>
        <v>0</v>
      </c>
    </row>
    <row r="497" spans="76:135" x14ac:dyDescent="0.25">
      <c r="BX497" s="78"/>
      <c r="BY497" s="319">
        <v>227</v>
      </c>
      <c r="CA497" s="78"/>
      <c r="EE497" s="76">
        <f>+IF(MID($J$2,1,10)=MID($EE$2,1,10),3,1)</f>
        <v>3</v>
      </c>
    </row>
    <row r="498" spans="76:135" x14ac:dyDescent="0.25">
      <c r="BX498" s="78"/>
      <c r="BY498" s="319">
        <v>1067</v>
      </c>
      <c r="CA498" s="78"/>
      <c r="EE498" s="76">
        <f>+IF(MID($J$2,1,10)=MID($EE$2,1,10),3,1)</f>
        <v>3</v>
      </c>
    </row>
    <row r="499" spans="76:135" x14ac:dyDescent="0.25">
      <c r="BX499" s="78"/>
      <c r="BY499" s="319">
        <v>174</v>
      </c>
      <c r="CA499" s="78"/>
      <c r="EE499" s="76">
        <f>+IF(MID($J$2,1,10)=MID($EE$2,1,10),0,1)</f>
        <v>0</v>
      </c>
    </row>
    <row r="500" spans="76:135" x14ac:dyDescent="0.25">
      <c r="BX500" s="78"/>
      <c r="BY500" s="319">
        <v>144</v>
      </c>
      <c r="CA500" s="78"/>
      <c r="EE500" s="76">
        <f>+IF(MID($J$2,1,10)=MID($EE$2,1,10),3,1)</f>
        <v>3</v>
      </c>
    </row>
    <row r="501" spans="76:135" x14ac:dyDescent="0.25">
      <c r="BX501" s="78"/>
      <c r="BY501" s="319">
        <v>185</v>
      </c>
      <c r="CA501" s="78"/>
      <c r="EE501" s="76">
        <f>+IF(MID($J$2,1,10)=MID($EE$2,1,10),3,1)</f>
        <v>3</v>
      </c>
    </row>
    <row r="502" spans="76:135" x14ac:dyDescent="0.25">
      <c r="BX502" s="78"/>
      <c r="BY502" s="319">
        <v>547</v>
      </c>
      <c r="CA502" s="78"/>
      <c r="EE502" s="76">
        <f>+IF(MID($J$2,1,10)=MID($EE$2,1,10),3,1)</f>
        <v>3</v>
      </c>
    </row>
    <row r="503" spans="76:135" x14ac:dyDescent="0.25">
      <c r="BX503" s="78"/>
      <c r="BY503" s="319">
        <v>191</v>
      </c>
      <c r="CA503" s="78"/>
      <c r="EE503" s="76">
        <f>+IF(MID($J$2,1,10)=MID($EE$2,1,10),1,2)</f>
        <v>1</v>
      </c>
    </row>
    <row r="504" spans="76:135" x14ac:dyDescent="0.25">
      <c r="BX504" s="78"/>
      <c r="BY504" s="319">
        <v>596</v>
      </c>
      <c r="CA504" s="78"/>
      <c r="EE504" s="76">
        <f>+IF(MID($J$3,1,10)=MID($EE$3,1,10),2,1)</f>
        <v>2</v>
      </c>
    </row>
    <row r="505" spans="76:135" x14ac:dyDescent="0.25">
      <c r="BX505" s="78"/>
      <c r="BY505" s="319">
        <v>167</v>
      </c>
      <c r="CA505" s="78"/>
      <c r="EE505" s="76">
        <f>+IF(MID($J$2,1,10)=MID($EE$2,1,10),4,1)</f>
        <v>4</v>
      </c>
    </row>
    <row r="506" spans="76:135" x14ac:dyDescent="0.25">
      <c r="BX506" s="78"/>
      <c r="BY506" s="319">
        <v>1096</v>
      </c>
      <c r="CA506" s="78"/>
      <c r="EE506" s="76">
        <f>+IF(MID($J$2,1,10)=MID($EE$2,1,10),0,1)</f>
        <v>0</v>
      </c>
    </row>
    <row r="507" spans="76:135" x14ac:dyDescent="0.25">
      <c r="BX507" s="78"/>
      <c r="BY507" s="319">
        <v>122</v>
      </c>
      <c r="CA507" s="78"/>
      <c r="EE507" s="76">
        <f>+IF(MID($J$3,1,10)=MID($EE$3,1,10),2,1)</f>
        <v>2</v>
      </c>
    </row>
    <row r="508" spans="76:135" x14ac:dyDescent="0.25">
      <c r="BX508" s="78"/>
      <c r="BY508" s="319">
        <v>616</v>
      </c>
      <c r="CA508" s="78"/>
      <c r="EE508" s="76">
        <f>+IF(MID($J$3,1,10)=MID($EE$3,1,10),2,1)</f>
        <v>2</v>
      </c>
    </row>
    <row r="509" spans="76:135" x14ac:dyDescent="0.25">
      <c r="BX509" s="78"/>
      <c r="BY509" s="319">
        <v>105</v>
      </c>
      <c r="CA509" s="78"/>
      <c r="EE509" s="76">
        <f>+IF(MID($J$2,1,10)=MID($EE$2,1,10),4,1)</f>
        <v>4</v>
      </c>
    </row>
    <row r="510" spans="76:135" x14ac:dyDescent="0.25">
      <c r="BX510" s="78"/>
      <c r="BY510" s="319">
        <v>148</v>
      </c>
      <c r="CA510" s="78"/>
      <c r="EE510" s="76">
        <f>+IF(MID($J$3,1,10)=MID($EE$3,1,10),2,1)</f>
        <v>2</v>
      </c>
    </row>
    <row r="511" spans="76:135" x14ac:dyDescent="0.25">
      <c r="BX511" s="78"/>
      <c r="BY511" s="319">
        <v>199</v>
      </c>
      <c r="CA511" s="78"/>
      <c r="EE511" s="76">
        <f>+IF(MID($J$2,1,10)=MID($EE$2,1,10),4,1)</f>
        <v>4</v>
      </c>
    </row>
    <row r="512" spans="76:135" x14ac:dyDescent="0.25">
      <c r="BX512" s="78"/>
      <c r="BY512" s="319">
        <v>855</v>
      </c>
      <c r="CA512" s="78"/>
      <c r="EE512" s="76">
        <f>+IF(MID($J$2,1,10)=MID($EE$2,1,10),1,2)</f>
        <v>1</v>
      </c>
    </row>
    <row r="513" spans="76:135" x14ac:dyDescent="0.25">
      <c r="BX513" s="78"/>
      <c r="BY513" s="319">
        <v>126</v>
      </c>
      <c r="CA513" s="78"/>
      <c r="EE513" s="76">
        <f>+IF(MID($J$2,1,10)=MID($EE$2,1,10),3,1)</f>
        <v>3</v>
      </c>
    </row>
    <row r="514" spans="76:135" x14ac:dyDescent="0.25">
      <c r="BX514" s="78"/>
      <c r="BY514" s="319">
        <v>822</v>
      </c>
      <c r="CA514" s="78"/>
      <c r="EE514" s="76">
        <f>+IF(MID($J$2,1,10)=MID($EE$2,1,10),1,2)</f>
        <v>1</v>
      </c>
    </row>
    <row r="515" spans="76:135" x14ac:dyDescent="0.25">
      <c r="BX515" s="78"/>
      <c r="BY515" s="319">
        <v>185</v>
      </c>
      <c r="CA515" s="78"/>
      <c r="EE515" s="76">
        <f>+IF(MID($J$3,1,10)=MID($EE$3,1,10),2,1)</f>
        <v>2</v>
      </c>
    </row>
    <row r="516" spans="76:135" x14ac:dyDescent="0.25">
      <c r="BX516" s="78"/>
      <c r="BY516" s="319">
        <v>321</v>
      </c>
      <c r="CA516" s="78"/>
      <c r="EE516" s="76">
        <f>+IF(MID($J$2,1,10)=MID($EE$2,1,10),1,2)</f>
        <v>1</v>
      </c>
    </row>
    <row r="517" spans="76:135" x14ac:dyDescent="0.25">
      <c r="BX517" s="78"/>
      <c r="BY517" s="319">
        <v>126</v>
      </c>
      <c r="CA517" s="78"/>
      <c r="EE517" s="76">
        <f>+IF(MID($J$2,1,10)=MID($EE$2,1,10),0,1)</f>
        <v>0</v>
      </c>
    </row>
    <row r="518" spans="76:135" x14ac:dyDescent="0.25">
      <c r="BX518" s="78"/>
      <c r="BY518" s="322">
        <v>18</v>
      </c>
      <c r="CA518" s="78"/>
      <c r="EE518" s="76">
        <f>+IF(MID($J$2,1,10)=MID($EE$2,1,10),0,1)</f>
        <v>0</v>
      </c>
    </row>
    <row r="519" spans="76:135" x14ac:dyDescent="0.25">
      <c r="BX519" s="78"/>
      <c r="BY519" s="319">
        <v>198</v>
      </c>
      <c r="CA519" s="78"/>
      <c r="EE519" s="76">
        <f>+IF(MID($J$2,1,10)=MID($EE$2,1,10),0,1)</f>
        <v>0</v>
      </c>
    </row>
    <row r="520" spans="76:135" x14ac:dyDescent="0.25">
      <c r="BX520" s="78"/>
      <c r="BY520" s="319">
        <v>633</v>
      </c>
      <c r="CA520" s="78"/>
      <c r="EE520" s="76">
        <f>+IF(MID($J$2,1,10)=MID($EE$2,1,10),1,2)</f>
        <v>1</v>
      </c>
    </row>
    <row r="521" spans="76:135" x14ac:dyDescent="0.25">
      <c r="BX521" s="78"/>
      <c r="BY521" s="319">
        <v>181</v>
      </c>
      <c r="CA521" s="78"/>
      <c r="EE521" s="76">
        <f>+IF(MID($J$2,1,10)=MID($EE$2,1,10),1,2)</f>
        <v>1</v>
      </c>
    </row>
    <row r="522" spans="76:135" x14ac:dyDescent="0.25">
      <c r="BX522" s="78"/>
      <c r="BY522" s="319">
        <v>9</v>
      </c>
      <c r="CA522" s="78"/>
      <c r="EE522" s="76">
        <f>+IF(MID($J$2,1,10)=MID($EE$2,1,10),3,1)</f>
        <v>3</v>
      </c>
    </row>
    <row r="523" spans="76:135" x14ac:dyDescent="0.25">
      <c r="BX523" s="78"/>
      <c r="BY523" s="319">
        <v>183</v>
      </c>
      <c r="CA523" s="78"/>
      <c r="EE523" s="76">
        <f>+IF(MID($J$2,1,10)=MID($EE$2,1,10),3,1)</f>
        <v>3</v>
      </c>
    </row>
    <row r="524" spans="76:135" x14ac:dyDescent="0.25">
      <c r="BX524" s="78"/>
      <c r="BY524" s="319">
        <v>204</v>
      </c>
      <c r="CA524" s="78"/>
      <c r="EE524" s="76">
        <f>+IF(MID($J$2,1,10)=MID($EE$2,1,10),3,1)</f>
        <v>3</v>
      </c>
    </row>
    <row r="525" spans="76:135" x14ac:dyDescent="0.25">
      <c r="BX525" s="78"/>
      <c r="BY525" s="319">
        <v>1058</v>
      </c>
      <c r="CA525" s="78"/>
      <c r="EE525" s="76">
        <f>+IF(MID($J$2,1,10)=MID($EE$2,1,10),0,1)</f>
        <v>0</v>
      </c>
    </row>
    <row r="526" spans="76:135" x14ac:dyDescent="0.25">
      <c r="BX526" s="78"/>
      <c r="BY526" s="319">
        <v>133</v>
      </c>
      <c r="CA526" s="78"/>
      <c r="EE526" s="76">
        <f>+IF(MID($J$2,1,10)=MID($EE$2,1,10),1,2)</f>
        <v>1</v>
      </c>
    </row>
    <row r="527" spans="76:135" x14ac:dyDescent="0.25">
      <c r="BX527" s="78"/>
      <c r="BY527" s="319">
        <v>925</v>
      </c>
      <c r="CA527" s="78"/>
      <c r="EE527" s="76">
        <f>+IF(MID($J$2,1,10)=MID($EE$2,1,10),3,1)</f>
        <v>3</v>
      </c>
    </row>
    <row r="528" spans="76:135" x14ac:dyDescent="0.25">
      <c r="BX528" s="78"/>
      <c r="BY528" s="319">
        <v>152</v>
      </c>
      <c r="CA528" s="78"/>
      <c r="EE528" s="76">
        <f>+IF(MID($J$2,1,10)=MID($EE$2,1,10),3,1)</f>
        <v>3</v>
      </c>
    </row>
    <row r="529" spans="76:135" x14ac:dyDescent="0.25">
      <c r="BX529" s="78"/>
      <c r="BY529" s="319">
        <v>1105</v>
      </c>
      <c r="CA529" s="78"/>
      <c r="EE529" s="76">
        <f>+IF(MID($J$2,1,10)=MID($EE$2,1,10),0,1)</f>
        <v>0</v>
      </c>
    </row>
    <row r="530" spans="76:135" x14ac:dyDescent="0.25">
      <c r="BX530" s="78"/>
      <c r="BY530" s="319">
        <v>125</v>
      </c>
      <c r="CA530" s="78"/>
      <c r="EE530" s="76">
        <f>+IF(MID($J$2,1,10)=MID($EE$2,1,10),3,1)</f>
        <v>3</v>
      </c>
    </row>
    <row r="531" spans="76:135" x14ac:dyDescent="0.25">
      <c r="BX531" s="78"/>
      <c r="BY531" s="319">
        <v>945</v>
      </c>
      <c r="CA531" s="78"/>
      <c r="EE531" s="76">
        <f>+IF(MID($J$2,1,10)=MID($EE$2,1,10),3,1)</f>
        <v>3</v>
      </c>
    </row>
    <row r="532" spans="76:135" x14ac:dyDescent="0.25">
      <c r="BX532" s="78"/>
      <c r="BY532" s="319">
        <v>184</v>
      </c>
      <c r="CA532" s="78"/>
      <c r="EE532" s="76">
        <f>+IF(MID($J$2,1,10)=MID($EE$2,1,10),3,1)</f>
        <v>3</v>
      </c>
    </row>
    <row r="533" spans="76:135" x14ac:dyDescent="0.25">
      <c r="BX533" s="78"/>
      <c r="BY533" s="319">
        <v>140</v>
      </c>
      <c r="CA533" s="78"/>
      <c r="EE533" s="76">
        <f>+IF(MID($J$3,1,10)=MID($EE$3,1,10),2,1)</f>
        <v>2</v>
      </c>
    </row>
    <row r="534" spans="76:135" x14ac:dyDescent="0.25">
      <c r="BX534" s="78"/>
      <c r="BY534" s="319">
        <v>160</v>
      </c>
      <c r="CA534" s="78"/>
      <c r="EE534" s="76">
        <f>+IF(MID($J$2,1,10)=MID($EE$2,1,10),4,1)</f>
        <v>4</v>
      </c>
    </row>
    <row r="535" spans="76:135" x14ac:dyDescent="0.25">
      <c r="BX535" s="78"/>
      <c r="BY535" s="319">
        <v>987</v>
      </c>
      <c r="CA535" s="78"/>
      <c r="EE535" s="76">
        <f>+IF(MID($J$2,1,10)=MID($EE$2,1,10),0,1)</f>
        <v>0</v>
      </c>
    </row>
    <row r="536" spans="76:135" x14ac:dyDescent="0.25">
      <c r="BX536" s="78"/>
      <c r="BY536" s="319">
        <v>203</v>
      </c>
      <c r="CA536" s="78"/>
      <c r="EE536" s="76">
        <f>+IF(MID($J$3,1,10)=MID($EE$3,1,10),2,1)</f>
        <v>2</v>
      </c>
    </row>
    <row r="537" spans="76:135" x14ac:dyDescent="0.25">
      <c r="BX537" s="78"/>
      <c r="BY537" s="319">
        <v>429</v>
      </c>
      <c r="CA537" s="78"/>
      <c r="EE537" s="76">
        <f>+IF(MID($J$3,1,10)=MID($EE$3,1,10),2,1)</f>
        <v>2</v>
      </c>
    </row>
    <row r="538" spans="76:135" x14ac:dyDescent="0.25">
      <c r="BX538" s="78"/>
      <c r="BY538" s="319">
        <v>1116</v>
      </c>
      <c r="CA538" s="78"/>
      <c r="EE538" s="76">
        <f>+IF(MID($J$2,1,10)=MID($EE$2,1,10),4,1)</f>
        <v>4</v>
      </c>
    </row>
    <row r="539" spans="76:135" x14ac:dyDescent="0.25">
      <c r="BX539" s="78"/>
      <c r="BY539" s="319">
        <v>140</v>
      </c>
      <c r="CA539" s="78"/>
      <c r="EE539" s="76">
        <f>+IF(MID($J$3,1,10)=MID($EE$3,1,10),2,1)</f>
        <v>2</v>
      </c>
    </row>
    <row r="540" spans="76:135" x14ac:dyDescent="0.25">
      <c r="BX540" s="78"/>
      <c r="BY540" s="322">
        <v>15</v>
      </c>
      <c r="CA540" s="78"/>
      <c r="EE540" s="76">
        <f>+IF(MID($J$6,1,5)=MID($EE$11,1,5),0,1)</f>
        <v>0</v>
      </c>
    </row>
    <row r="541" spans="76:135" x14ac:dyDescent="0.25">
      <c r="BX541" s="78"/>
      <c r="BY541" s="319">
        <v>195</v>
      </c>
      <c r="CA541" s="78"/>
      <c r="EE541" s="76">
        <f>+IF(MID($J$2,1,10)=MID($EE$2,1,10),1,2)</f>
        <v>1</v>
      </c>
    </row>
    <row r="542" spans="76:135" x14ac:dyDescent="0.25">
      <c r="BX542" s="78"/>
      <c r="BY542" s="319">
        <v>985</v>
      </c>
      <c r="CA542" s="78"/>
      <c r="EE542" s="76">
        <f>+IF(MID($J$2,1,10)=MID($EE$2,1,10),3,1)</f>
        <v>3</v>
      </c>
    </row>
    <row r="543" spans="76:135" x14ac:dyDescent="0.25">
      <c r="BX543" s="78"/>
      <c r="BY543" s="319">
        <v>8</v>
      </c>
      <c r="CA543" s="78"/>
      <c r="EE543" s="76">
        <f>+IF(MID($J$2,1,10)=MID($EE$2,1,10),1,2)</f>
        <v>1</v>
      </c>
    </row>
    <row r="544" spans="76:135" x14ac:dyDescent="0.25">
      <c r="BX544" s="78"/>
      <c r="BY544" s="319">
        <v>1077</v>
      </c>
      <c r="CA544" s="78"/>
      <c r="EE544" s="76">
        <f>+IF(MID($J$3,1,10)=MID($EE$3,1,10),2,1)</f>
        <v>2</v>
      </c>
    </row>
    <row r="545" spans="76:135" x14ac:dyDescent="0.25">
      <c r="BX545" s="78"/>
      <c r="BY545" s="319">
        <v>109</v>
      </c>
      <c r="CA545" s="78"/>
      <c r="EE545" s="76">
        <f>+IF(MID($J$2,1,10)=MID($EE$2,1,10),1,2)</f>
        <v>1</v>
      </c>
    </row>
    <row r="546" spans="76:135" x14ac:dyDescent="0.25">
      <c r="BX546" s="78"/>
      <c r="BY546" s="319">
        <v>909</v>
      </c>
      <c r="CA546" s="78"/>
      <c r="EE546" s="76">
        <f>+IF(MID($J$2,1,10)=MID($EE$2,1,10),0,1)</f>
        <v>0</v>
      </c>
    </row>
    <row r="547" spans="76:135" x14ac:dyDescent="0.25">
      <c r="BX547" s="78"/>
      <c r="BY547" s="319">
        <v>166</v>
      </c>
      <c r="CA547" s="78"/>
      <c r="EE547" s="76">
        <f>+IF(MID($J$2,1,10)=MID($EE$2,1,10),0,1)</f>
        <v>0</v>
      </c>
    </row>
    <row r="548" spans="76:135" x14ac:dyDescent="0.25">
      <c r="BX548" s="78"/>
      <c r="BY548" s="319">
        <v>936</v>
      </c>
      <c r="CA548" s="78"/>
      <c r="EE548" s="76">
        <f>+IF(MID($J$2,1,10)=MID($EE$2,1,10),0,1)</f>
        <v>0</v>
      </c>
    </row>
    <row r="549" spans="76:135" x14ac:dyDescent="0.25">
      <c r="BX549" s="78"/>
      <c r="BY549" s="319">
        <v>128</v>
      </c>
      <c r="CA549" s="78"/>
      <c r="EE549" s="76">
        <f>+IF(MID($J$2,1,10)=MID($EE$2,1,10),1,2)</f>
        <v>1</v>
      </c>
    </row>
    <row r="550" spans="76:135" x14ac:dyDescent="0.25">
      <c r="BX550" s="78"/>
      <c r="BY550" s="319">
        <v>187</v>
      </c>
      <c r="CA550" s="78"/>
      <c r="EE550" s="76">
        <f>+IF(MID($J$2,1,10)=MID($EE$2,1,10),1,2)</f>
        <v>1</v>
      </c>
    </row>
    <row r="551" spans="76:135" x14ac:dyDescent="0.25">
      <c r="BX551" s="78"/>
      <c r="BY551" s="319">
        <v>120</v>
      </c>
      <c r="CA551" s="78"/>
      <c r="EE551" s="76">
        <f>+IF(MID($J$2,1,10)=MID($EE$2,1,10),3,1)</f>
        <v>3</v>
      </c>
    </row>
    <row r="552" spans="76:135" x14ac:dyDescent="0.25">
      <c r="BX552" s="78"/>
      <c r="BY552" s="319">
        <v>260</v>
      </c>
      <c r="CA552" s="78"/>
      <c r="EE552" s="76">
        <f>+IF(MID($J$2,1,10)=MID($EE$2,1,10),3,1)</f>
        <v>3</v>
      </c>
    </row>
    <row r="553" spans="76:135" x14ac:dyDescent="0.25">
      <c r="BX553" s="78"/>
      <c r="BY553" s="319">
        <v>150</v>
      </c>
      <c r="CA553" s="78"/>
      <c r="EE553" s="76">
        <f>+IF(MID($J$2,1,10)=MID($EE$2,1,10),3,1)</f>
        <v>3</v>
      </c>
    </row>
    <row r="554" spans="76:135" x14ac:dyDescent="0.25">
      <c r="BX554" s="78"/>
      <c r="BY554" s="319">
        <v>243</v>
      </c>
      <c r="CA554" s="78"/>
      <c r="EE554" s="76">
        <f>+IF(MID($J$2,1,10)=MID($EE$2,1,10),0,1)</f>
        <v>0</v>
      </c>
    </row>
    <row r="555" spans="76:135" x14ac:dyDescent="0.25">
      <c r="BX555" s="78"/>
      <c r="BY555" s="319">
        <v>133</v>
      </c>
      <c r="CA555" s="78"/>
      <c r="EE555" s="76">
        <f>+IF(MID($J$2,1,10)=MID($EE$2,1,10),1,2)</f>
        <v>1</v>
      </c>
    </row>
    <row r="556" spans="76:135" x14ac:dyDescent="0.25">
      <c r="BX556" s="78"/>
      <c r="BY556" s="319">
        <v>636</v>
      </c>
      <c r="CA556" s="78"/>
      <c r="EE556" s="76">
        <f>+IF(MID($J$2,1,10)=MID($EE$2,1,10),3,1)</f>
        <v>3</v>
      </c>
    </row>
    <row r="557" spans="76:135" x14ac:dyDescent="0.25">
      <c r="BX557" s="78"/>
      <c r="BY557" s="319">
        <v>149</v>
      </c>
      <c r="CA557" s="78"/>
      <c r="EE557" s="76">
        <f>+IF(MID($J$2,1,10)=MID($EE$2,1,10),3,1)</f>
        <v>3</v>
      </c>
    </row>
    <row r="558" spans="76:135" x14ac:dyDescent="0.25">
      <c r="BX558" s="78"/>
      <c r="BY558" s="319">
        <v>957</v>
      </c>
      <c r="CA558" s="78"/>
      <c r="EE558" s="76">
        <f>+IF(MID($J$2,1,10)=MID($EE$2,1,10),0,1)</f>
        <v>0</v>
      </c>
    </row>
    <row r="559" spans="76:135" x14ac:dyDescent="0.25">
      <c r="BX559" s="78"/>
      <c r="BY559" s="319">
        <v>134</v>
      </c>
      <c r="CA559" s="78"/>
      <c r="EE559" s="76">
        <f>+IF(MID($J$2,1,10)=MID($EE$2,1,10),3,1)</f>
        <v>3</v>
      </c>
    </row>
    <row r="560" spans="76:135" x14ac:dyDescent="0.25">
      <c r="BX560" s="78"/>
      <c r="BY560" s="319">
        <v>155</v>
      </c>
      <c r="CA560" s="78"/>
      <c r="EE560" s="76">
        <f>+IF(MID($J$2,1,10)=MID($EE$2,1,10),3,1)</f>
        <v>3</v>
      </c>
    </row>
    <row r="561" spans="76:135" x14ac:dyDescent="0.25">
      <c r="BX561" s="78"/>
      <c r="BY561" s="319">
        <v>151</v>
      </c>
      <c r="CA561" s="78"/>
      <c r="EE561" s="76">
        <f>+IF(MID($J$2,1,10)=MID($EE$2,1,10),3,1)</f>
        <v>3</v>
      </c>
    </row>
    <row r="562" spans="76:135" x14ac:dyDescent="0.25">
      <c r="BX562" s="78"/>
      <c r="BY562" s="324">
        <v>5</v>
      </c>
      <c r="CA562" s="78"/>
      <c r="EE562" s="76">
        <f>+IF(MID($J$6,1,5)=MID($EE$11,1,5),0,1)</f>
        <v>0</v>
      </c>
    </row>
    <row r="563" spans="76:135" x14ac:dyDescent="0.25">
      <c r="BX563" s="78"/>
      <c r="BY563" s="319">
        <v>129</v>
      </c>
      <c r="CA563" s="78"/>
      <c r="EE563" s="76">
        <f>+IF(MID($J$3,1,10)=MID($EE$3,1,10),2,1)</f>
        <v>2</v>
      </c>
    </row>
    <row r="564" spans="76:135" x14ac:dyDescent="0.25">
      <c r="BX564" s="78"/>
      <c r="BY564" s="319">
        <v>115</v>
      </c>
      <c r="CA564" s="78"/>
      <c r="EE564" s="76">
        <f>+IF(MID($J$2,1,10)=MID($EE$2,1,10),4,1)</f>
        <v>4</v>
      </c>
    </row>
    <row r="565" spans="76:135" x14ac:dyDescent="0.25">
      <c r="BX565" s="78"/>
      <c r="BY565" s="319">
        <v>167</v>
      </c>
      <c r="CA565" s="78"/>
      <c r="EE565" s="76">
        <f>+IF(MID($J$2,1,10)=MID($EE$2,1,10),0,1)</f>
        <v>0</v>
      </c>
    </row>
    <row r="566" spans="76:135" x14ac:dyDescent="0.25">
      <c r="BX566" s="78"/>
      <c r="BY566" s="319">
        <v>192</v>
      </c>
      <c r="CA566" s="78"/>
      <c r="EE566" s="76">
        <f>+IF(MID($J$3,1,10)=MID($EE$3,1,10),2,1)</f>
        <v>2</v>
      </c>
    </row>
    <row r="567" spans="76:135" x14ac:dyDescent="0.25">
      <c r="BX567" s="78"/>
      <c r="BY567" s="319">
        <v>142</v>
      </c>
      <c r="CA567" s="78"/>
      <c r="EE567" s="76">
        <f>+IF(MID($J$3,1,10)=MID($EE$3,1,10),2,1)</f>
        <v>2</v>
      </c>
    </row>
    <row r="568" spans="76:135" x14ac:dyDescent="0.25">
      <c r="BX568" s="78"/>
      <c r="BY568" s="319">
        <v>158</v>
      </c>
      <c r="CA568" s="78"/>
      <c r="EE568" s="76">
        <f>+IF(MID($J$2,1,10)=MID($EE$2,1,10),4,1)</f>
        <v>4</v>
      </c>
    </row>
    <row r="569" spans="76:135" x14ac:dyDescent="0.25">
      <c r="BX569" s="78"/>
      <c r="BY569" s="319">
        <v>198</v>
      </c>
      <c r="CA569" s="78"/>
      <c r="EE569" s="76">
        <f>+IF(MID($J$3,1,10)=MID($EE$3,1,10),2,1)</f>
        <v>2</v>
      </c>
    </row>
    <row r="570" spans="76:135" x14ac:dyDescent="0.25">
      <c r="BX570" s="78"/>
      <c r="BY570" s="319">
        <v>158</v>
      </c>
      <c r="CA570" s="78"/>
      <c r="EE570" s="76">
        <f>+IF(MID($J$2,1,10)=MID($EE$2,1,10),4,1)</f>
        <v>4</v>
      </c>
    </row>
    <row r="571" spans="76:135" x14ac:dyDescent="0.25">
      <c r="BX571" s="78"/>
      <c r="BY571" s="319">
        <v>107</v>
      </c>
      <c r="CA571" s="78"/>
      <c r="EE571" s="76">
        <f>+IF(MID($J$2,1,10)=MID($EE$2,1,10),1,2)</f>
        <v>1</v>
      </c>
    </row>
    <row r="572" spans="76:135" x14ac:dyDescent="0.25">
      <c r="BX572" s="78"/>
      <c r="BY572" s="319">
        <v>198</v>
      </c>
      <c r="CA572" s="78"/>
      <c r="EE572" s="76">
        <f>+IF(MID($J$2,1,10)=MID($EE$2,1,10),3,1)</f>
        <v>3</v>
      </c>
    </row>
    <row r="573" spans="76:135" x14ac:dyDescent="0.25">
      <c r="BX573" s="78"/>
      <c r="BY573" s="319">
        <v>241</v>
      </c>
      <c r="CA573" s="78"/>
      <c r="EE573" s="76">
        <f>+IF(MID($J$2,1,10)=MID($EE$2,1,10),1,2)</f>
        <v>1</v>
      </c>
    </row>
    <row r="574" spans="76:135" x14ac:dyDescent="0.25">
      <c r="BX574" s="78"/>
      <c r="BY574" s="319">
        <v>171</v>
      </c>
      <c r="CA574" s="78"/>
      <c r="EE574" s="76">
        <f>+IF(MID($J$3,1,10)=MID($EE$3,1,10),2,1)</f>
        <v>2</v>
      </c>
    </row>
    <row r="575" spans="76:135" x14ac:dyDescent="0.25">
      <c r="BX575" s="78"/>
      <c r="BY575" s="319">
        <v>364</v>
      </c>
      <c r="CA575" s="78"/>
      <c r="EE575" s="76">
        <f>+IF(MID($J$2,1,10)=MID($EE$2,1,10),1,2)</f>
        <v>1</v>
      </c>
    </row>
    <row r="576" spans="76:135" x14ac:dyDescent="0.25">
      <c r="BX576" s="78"/>
      <c r="BY576" s="319">
        <v>188</v>
      </c>
      <c r="CA576" s="78"/>
      <c r="EE576" s="76">
        <f>+IF(MID($J$2,1,10)=MID($EE$2,1,10),0,1)</f>
        <v>0</v>
      </c>
    </row>
    <row r="577" spans="76:135" x14ac:dyDescent="0.25">
      <c r="BX577" s="78"/>
      <c r="BY577" s="319">
        <v>604</v>
      </c>
      <c r="CA577" s="78"/>
      <c r="EE577" s="76">
        <f>+IF(MID($J$2,1,10)=MID($EE$2,1,10),0,1)</f>
        <v>0</v>
      </c>
    </row>
    <row r="578" spans="76:135" x14ac:dyDescent="0.25">
      <c r="BX578" s="78"/>
      <c r="BY578" s="319">
        <v>148</v>
      </c>
      <c r="CA578" s="78"/>
      <c r="EE578" s="76">
        <f>+IF(MID($J$2,1,10)=MID($EE$2,1,10),0,1)</f>
        <v>0</v>
      </c>
    </row>
    <row r="579" spans="76:135" x14ac:dyDescent="0.25">
      <c r="BX579" s="78"/>
      <c r="BY579" s="319">
        <v>377</v>
      </c>
      <c r="CA579" s="78"/>
      <c r="EE579" s="76">
        <f>+IF(MID($J$2,1,10)=MID($EE$2,1,10),1,2)</f>
        <v>1</v>
      </c>
    </row>
    <row r="580" spans="76:135" x14ac:dyDescent="0.25">
      <c r="BX580" s="78"/>
      <c r="BY580" s="319">
        <v>116</v>
      </c>
      <c r="CA580" s="78"/>
      <c r="EE580" s="76">
        <f>+IF(MID($J$2,1,10)=MID($EE$2,1,10),1,2)</f>
        <v>1</v>
      </c>
    </row>
    <row r="581" spans="76:135" x14ac:dyDescent="0.25">
      <c r="BX581" s="78"/>
      <c r="BY581" s="319">
        <v>304</v>
      </c>
      <c r="CA581" s="78"/>
      <c r="EE581" s="76">
        <f>+IF(MID($J$2,1,10)=MID($EE$2,1,10),3,1)</f>
        <v>3</v>
      </c>
    </row>
    <row r="582" spans="76:135" x14ac:dyDescent="0.25">
      <c r="BX582" s="78"/>
      <c r="BY582" s="319">
        <v>137</v>
      </c>
      <c r="CA582" s="78"/>
      <c r="EE582" s="76">
        <f>+IF(MID($J$2,1,10)=MID($EE$2,1,10),3,1)</f>
        <v>3</v>
      </c>
    </row>
    <row r="583" spans="76:135" x14ac:dyDescent="0.25">
      <c r="BX583" s="78"/>
      <c r="BY583" s="319">
        <v>317</v>
      </c>
      <c r="CA583" s="78"/>
      <c r="EE583" s="76">
        <f>+IF(MID($J$2,1,10)=MID($EE$2,1,10),3,1)</f>
        <v>3</v>
      </c>
    </row>
    <row r="584" spans="76:135" x14ac:dyDescent="0.25">
      <c r="BX584" s="78"/>
      <c r="BY584" s="322">
        <v>7</v>
      </c>
      <c r="CA584" s="78"/>
      <c r="EE584" s="76">
        <f>+IF(MID($J$2,1,10)=MID($EE$2,1,10),0,1)</f>
        <v>0</v>
      </c>
    </row>
    <row r="585" spans="76:135" x14ac:dyDescent="0.25">
      <c r="BX585" s="78"/>
      <c r="BY585" s="319">
        <v>4</v>
      </c>
      <c r="CA585" s="78"/>
      <c r="EE585" s="76">
        <f>+IF(MID($J$2,1,10)=MID($EE$2,1,10),1,2)</f>
        <v>1</v>
      </c>
    </row>
    <row r="586" spans="76:135" x14ac:dyDescent="0.25">
      <c r="BX586" s="78"/>
      <c r="BY586" s="319">
        <v>903</v>
      </c>
      <c r="CA586" s="78"/>
      <c r="EE586" s="76">
        <f>+IF(MID($J$2,1,10)=MID($EE$2,1,10),3,1)</f>
        <v>3</v>
      </c>
    </row>
    <row r="587" spans="76:135" x14ac:dyDescent="0.25">
      <c r="BX587" s="78"/>
      <c r="BY587" s="319">
        <v>130</v>
      </c>
      <c r="CA587" s="78"/>
      <c r="EE587" s="76">
        <f>+IF(MID($J$2,1,10)=MID($EE$2,1,10),3,1)</f>
        <v>3</v>
      </c>
    </row>
    <row r="588" spans="76:135" x14ac:dyDescent="0.25">
      <c r="BX588" s="78"/>
      <c r="BY588" s="319">
        <v>832</v>
      </c>
      <c r="CA588" s="78"/>
      <c r="EE588" s="76">
        <f>+IF(MID($J$2,1,10)=MID($EE$2,1,10),0,1)</f>
        <v>0</v>
      </c>
    </row>
    <row r="589" spans="76:135" x14ac:dyDescent="0.25">
      <c r="BX589" s="78"/>
      <c r="BY589" s="319">
        <v>140</v>
      </c>
      <c r="CA589" s="78"/>
      <c r="EE589" s="76">
        <f>+IF(MID($J$2,1,10)=MID($EE$2,1,10),3,1)</f>
        <v>3</v>
      </c>
    </row>
    <row r="590" spans="76:135" x14ac:dyDescent="0.25">
      <c r="BX590" s="78"/>
      <c r="BY590" s="319">
        <v>819</v>
      </c>
      <c r="CA590" s="78"/>
      <c r="EE590" s="76">
        <f>+IF(MID($J$2,1,10)=MID($EE$2,1,10),3,1)</f>
        <v>3</v>
      </c>
    </row>
    <row r="591" spans="76:135" x14ac:dyDescent="0.25">
      <c r="BX591" s="78"/>
      <c r="BY591" s="319">
        <v>197</v>
      </c>
      <c r="CA591" s="78"/>
      <c r="EE591" s="76">
        <f>+IF(MID($J$2,1,10)=MID($EE$2,1,10),3,1)</f>
        <v>3</v>
      </c>
    </row>
    <row r="592" spans="76:135" x14ac:dyDescent="0.25">
      <c r="BX592" s="78"/>
      <c r="BY592" s="319">
        <v>155</v>
      </c>
      <c r="CA592" s="78"/>
      <c r="EE592" s="76">
        <f>+IF(MID($J$2,1,10)=MID($EE$2,1,10),1,2)</f>
        <v>1</v>
      </c>
    </row>
    <row r="593" spans="76:135" x14ac:dyDescent="0.25">
      <c r="BX593" s="78"/>
      <c r="BY593" s="319">
        <v>178</v>
      </c>
      <c r="CA593" s="78"/>
      <c r="EE593" s="76">
        <f>+IF(MID($J$3,1,10)=MID($EE$3,1,10),2,1)</f>
        <v>2</v>
      </c>
    </row>
    <row r="594" spans="76:135" x14ac:dyDescent="0.25">
      <c r="BX594" s="78"/>
      <c r="BY594" s="319">
        <v>284</v>
      </c>
      <c r="CA594" s="78"/>
      <c r="EE594" s="76">
        <f>+IF(MID($J$2,1,10)=MID($EE$2,1,10),4,1)</f>
        <v>4</v>
      </c>
    </row>
    <row r="595" spans="76:135" x14ac:dyDescent="0.25">
      <c r="BX595" s="78"/>
      <c r="BY595" s="319">
        <v>159</v>
      </c>
      <c r="CA595" s="78"/>
      <c r="EE595" s="76">
        <f>+IF(MID($J$2,1,10)=MID($EE$2,1,10),0,1)</f>
        <v>0</v>
      </c>
    </row>
    <row r="596" spans="76:135" x14ac:dyDescent="0.25">
      <c r="BX596" s="78"/>
      <c r="BY596" s="319">
        <v>132</v>
      </c>
      <c r="CA596" s="78"/>
      <c r="EE596" s="76">
        <f>+IF(MID($J$3,1,10)=MID($EE$3,1,10),2,1)</f>
        <v>2</v>
      </c>
    </row>
    <row r="597" spans="76:135" x14ac:dyDescent="0.25">
      <c r="BX597" s="78"/>
      <c r="BY597" s="319">
        <v>171</v>
      </c>
      <c r="CA597" s="78"/>
      <c r="EE597" s="76">
        <f>+IF(MID($J$3,1,10)=MID($EE$3,1,10),2,1)</f>
        <v>2</v>
      </c>
    </row>
    <row r="598" spans="76:135" x14ac:dyDescent="0.25">
      <c r="BX598" s="78"/>
      <c r="BY598" s="319">
        <v>197</v>
      </c>
      <c r="CA598" s="78"/>
      <c r="EE598" s="76">
        <f>+IF(MID($J$2,1,10)=MID($EE$2,1,10),4,1)</f>
        <v>4</v>
      </c>
    </row>
    <row r="599" spans="76:135" x14ac:dyDescent="0.25">
      <c r="BX599" s="78"/>
      <c r="BY599" s="319">
        <v>109</v>
      </c>
      <c r="CA599" s="78"/>
      <c r="EE599" s="76">
        <f>+IF(MID($J$3,1,10)=MID($EE$3,1,10),2,1)</f>
        <v>2</v>
      </c>
    </row>
    <row r="600" spans="76:135" x14ac:dyDescent="0.25">
      <c r="BX600" s="78"/>
      <c r="BY600" s="319">
        <v>679</v>
      </c>
      <c r="CA600" s="78"/>
      <c r="EE600" s="76">
        <f>+IF(MID($J$2,1,10)=MID($EE$2,1,10),4,1)</f>
        <v>4</v>
      </c>
    </row>
    <row r="601" spans="76:135" x14ac:dyDescent="0.25">
      <c r="BX601" s="78"/>
      <c r="BY601" s="319">
        <v>114</v>
      </c>
      <c r="CA601" s="78"/>
      <c r="EE601" s="76">
        <f>+IF(MID($J$2,1,10)=MID($EE$2,1,10),1,2)</f>
        <v>1</v>
      </c>
    </row>
    <row r="602" spans="76:135" x14ac:dyDescent="0.25">
      <c r="BX602" s="78"/>
      <c r="BY602" s="319">
        <v>1117</v>
      </c>
      <c r="CA602" s="78"/>
      <c r="EE602" s="76">
        <f>+IF(MID($J$2,1,10)=MID($EE$2,1,10),3,1)</f>
        <v>3</v>
      </c>
    </row>
    <row r="603" spans="76:135" x14ac:dyDescent="0.25">
      <c r="BX603" s="78"/>
      <c r="BY603" s="319">
        <v>126</v>
      </c>
      <c r="CA603" s="78"/>
      <c r="EE603" s="76">
        <f>+IF(MID($J$2,1,10)=MID($EE$2,1,10),1,2)</f>
        <v>1</v>
      </c>
    </row>
    <row r="604" spans="76:135" x14ac:dyDescent="0.25">
      <c r="BX604" s="78"/>
      <c r="BY604" s="319">
        <v>709</v>
      </c>
      <c r="CA604" s="78"/>
      <c r="EE604" s="76">
        <f>+IF(MID($J$3,1,10)=MID($EE$3,1,10),2,1)</f>
        <v>2</v>
      </c>
    </row>
    <row r="605" spans="76:135" x14ac:dyDescent="0.25">
      <c r="BX605" s="78"/>
      <c r="BY605" s="319">
        <v>3</v>
      </c>
      <c r="CA605" s="78"/>
      <c r="EE605" s="76">
        <f>+IF(MID($J$2,1,10)=MID($EE$2,1,10),1,2)</f>
        <v>1</v>
      </c>
    </row>
    <row r="606" spans="76:135" x14ac:dyDescent="0.25">
      <c r="BX606" s="78"/>
      <c r="BY606" s="319">
        <v>15</v>
      </c>
      <c r="CA606" s="78"/>
      <c r="EE606" s="76">
        <f>+IF(MID($J$2,1,10)=MID($EE$2,1,10),0,1)</f>
        <v>0</v>
      </c>
    </row>
    <row r="607" spans="76:135" x14ac:dyDescent="0.25">
      <c r="BX607" s="78"/>
      <c r="BY607" s="319">
        <v>203</v>
      </c>
      <c r="CA607" s="78"/>
      <c r="EE607" s="76">
        <f>+IF(MID($J$2,1,10)=MID($EE$2,1,10),0,1)</f>
        <v>0</v>
      </c>
    </row>
    <row r="608" spans="76:135" x14ac:dyDescent="0.25">
      <c r="BX608" s="78"/>
      <c r="BY608" s="319">
        <v>272</v>
      </c>
      <c r="CA608" s="78"/>
      <c r="EE608" s="76">
        <f>+IF(MID($J$2,1,10)=MID($EE$2,1,10),0,1)</f>
        <v>0</v>
      </c>
    </row>
    <row r="609" spans="76:135" x14ac:dyDescent="0.25">
      <c r="BX609" s="78"/>
      <c r="BY609" s="319">
        <v>204</v>
      </c>
      <c r="CA609" s="78"/>
      <c r="EE609" s="76">
        <f>+IF(MID($J$2,1,10)=MID($EE$2,1,10),1,2)</f>
        <v>1</v>
      </c>
    </row>
    <row r="610" spans="76:135" x14ac:dyDescent="0.25">
      <c r="BX610" s="78"/>
      <c r="BY610" s="319">
        <v>115</v>
      </c>
      <c r="CA610" s="78"/>
      <c r="EE610" s="76">
        <f>+IF(MID($J$2,1,10)=MID($EE$2,1,10),1,2)</f>
        <v>1</v>
      </c>
    </row>
    <row r="611" spans="76:135" x14ac:dyDescent="0.25">
      <c r="BX611" s="78"/>
      <c r="BY611" s="319">
        <v>156</v>
      </c>
      <c r="CA611" s="78"/>
      <c r="EE611" s="76">
        <f>+IF(MID($J$2,1,10)=MID($EE$2,1,10),3,1)</f>
        <v>3</v>
      </c>
    </row>
    <row r="612" spans="76:135" x14ac:dyDescent="0.25">
      <c r="BX612" s="78"/>
      <c r="BY612" s="319">
        <v>145</v>
      </c>
      <c r="CA612" s="78"/>
      <c r="EE612" s="76">
        <f>+IF(MID($J$2,1,10)=MID($EE$2,1,10),3,1)</f>
        <v>3</v>
      </c>
    </row>
    <row r="613" spans="76:135" x14ac:dyDescent="0.25">
      <c r="BX613" s="78"/>
      <c r="BY613" s="319">
        <v>1137</v>
      </c>
      <c r="CA613" s="78"/>
      <c r="EE613" s="76">
        <f>+IF(MID($J$2,1,10)=MID($EE$2,1,10),3,1)</f>
        <v>3</v>
      </c>
    </row>
    <row r="614" spans="76:135" x14ac:dyDescent="0.25">
      <c r="BX614" s="78"/>
      <c r="BY614" s="319">
        <v>193</v>
      </c>
      <c r="CA614" s="78"/>
      <c r="EE614" s="76">
        <f>+IF(MID($J$2,1,10)=MID($EE$2,1,10),0,1)</f>
        <v>0</v>
      </c>
    </row>
    <row r="615" spans="76:135" x14ac:dyDescent="0.25">
      <c r="BX615" s="78"/>
      <c r="BY615" s="319">
        <v>639</v>
      </c>
      <c r="CA615" s="78"/>
      <c r="EE615" s="76">
        <f>+IF(MID($J$2,1,10)=MID($EE$2,1,10),1,2)</f>
        <v>1</v>
      </c>
    </row>
    <row r="616" spans="76:135" x14ac:dyDescent="0.25">
      <c r="BX616" s="78"/>
      <c r="BY616" s="319">
        <v>188</v>
      </c>
      <c r="CA616" s="78"/>
      <c r="EE616" s="76">
        <f>+IF(MID($J$2,1,10)=MID($EE$2,1,10),3,1)</f>
        <v>3</v>
      </c>
    </row>
    <row r="617" spans="76:135" x14ac:dyDescent="0.25">
      <c r="BX617" s="78"/>
      <c r="BY617" s="319">
        <v>1102</v>
      </c>
      <c r="CA617" s="78"/>
      <c r="EE617" s="76">
        <f>+IF(MID($J$2,1,10)=MID($EE$2,1,10),3,1)</f>
        <v>3</v>
      </c>
    </row>
    <row r="618" spans="76:135" x14ac:dyDescent="0.25">
      <c r="BX618" s="78"/>
      <c r="BY618" s="319">
        <v>177</v>
      </c>
      <c r="CA618" s="78"/>
      <c r="EE618" s="76">
        <f>+IF(MID($J$2,1,10)=MID($EE$2,1,10),0,1)</f>
        <v>0</v>
      </c>
    </row>
    <row r="619" spans="76:135" x14ac:dyDescent="0.25">
      <c r="BX619" s="78"/>
      <c r="BY619" s="319">
        <v>381</v>
      </c>
      <c r="CA619" s="78"/>
      <c r="EE619" s="76">
        <f>+IF(MID($J$2,1,10)=MID($EE$2,1,10),3,1)</f>
        <v>3</v>
      </c>
    </row>
    <row r="620" spans="76:135" x14ac:dyDescent="0.25">
      <c r="BX620" s="78"/>
      <c r="BY620" s="319">
        <v>149</v>
      </c>
      <c r="CA620" s="78"/>
      <c r="EE620" s="76">
        <f>+IF(MID($J$2,1,10)=MID($EE$2,1,10),3,1)</f>
        <v>3</v>
      </c>
    </row>
    <row r="621" spans="76:135" x14ac:dyDescent="0.25">
      <c r="BX621" s="78"/>
      <c r="BY621" s="319">
        <v>676</v>
      </c>
      <c r="CA621" s="78"/>
      <c r="EE621" s="76">
        <f>+IF(MID($J$2,1,10)=MID($EE$2,1,10),3,1)</f>
        <v>3</v>
      </c>
    </row>
    <row r="622" spans="76:135" x14ac:dyDescent="0.25">
      <c r="BX622" s="78"/>
      <c r="BY622" s="319">
        <v>203</v>
      </c>
      <c r="CA622" s="78"/>
      <c r="EE622" s="76">
        <f>+IF(MID($J$2,1,10)=MID($EE$2,1,10),1,2)</f>
        <v>1</v>
      </c>
    </row>
    <row r="623" spans="76:135" x14ac:dyDescent="0.25">
      <c r="BX623" s="78"/>
      <c r="BY623" s="319">
        <v>230</v>
      </c>
      <c r="CA623" s="78"/>
      <c r="EE623" s="76">
        <f>+IF(MID($J$3,1,10)=MID($EE$3,1,10),2,1)</f>
        <v>2</v>
      </c>
    </row>
    <row r="624" spans="76:135" x14ac:dyDescent="0.25">
      <c r="BX624" s="78"/>
      <c r="BY624" s="319">
        <v>159</v>
      </c>
      <c r="CA624" s="78"/>
      <c r="EE624" s="76">
        <f>+IF(MID($J$2,1,10)=MID($EE$2,1,10),4,1)</f>
        <v>4</v>
      </c>
    </row>
    <row r="625" spans="76:135" x14ac:dyDescent="0.25">
      <c r="BX625" s="78"/>
      <c r="BY625" s="319">
        <v>540</v>
      </c>
      <c r="CA625" s="78"/>
      <c r="EE625" s="76">
        <f>+IF(MID($J$2,1,10)=MID($EE$2,1,10),0,1)</f>
        <v>0</v>
      </c>
    </row>
    <row r="626" spans="76:135" x14ac:dyDescent="0.25">
      <c r="BX626" s="78"/>
      <c r="BY626" s="319">
        <v>244</v>
      </c>
      <c r="CA626" s="78"/>
      <c r="EE626" s="76">
        <f>+IF(MID($J$3,1,10)=MID($EE$3,1,10),2,1)</f>
        <v>2</v>
      </c>
    </row>
    <row r="627" spans="76:135" x14ac:dyDescent="0.25">
      <c r="BX627" s="78"/>
      <c r="BY627" s="319">
        <v>117</v>
      </c>
      <c r="CA627" s="78"/>
      <c r="EE627" s="76">
        <f>+IF(MID($J$3,1,10)=MID($EE$3,1,10),2,1)</f>
        <v>2</v>
      </c>
    </row>
    <row r="628" spans="76:135" x14ac:dyDescent="0.25">
      <c r="BX628" s="78"/>
      <c r="BY628" s="322">
        <v>15</v>
      </c>
      <c r="CA628" s="78"/>
      <c r="EE628" s="76">
        <f>+IF(MID($J$6,1,5)=MID($EE$11,1,5),0,1)</f>
        <v>0</v>
      </c>
    </row>
    <row r="629" spans="76:135" x14ac:dyDescent="0.25">
      <c r="BX629" s="78"/>
      <c r="BY629" s="319">
        <v>180</v>
      </c>
      <c r="CA629" s="78"/>
      <c r="EE629" s="76">
        <f>+IF(MID($J$3,1,10)=MID($EE$3,1,10),2,1)</f>
        <v>2</v>
      </c>
    </row>
    <row r="630" spans="76:135" x14ac:dyDescent="0.25">
      <c r="BX630" s="78"/>
      <c r="BY630" s="319">
        <v>675</v>
      </c>
      <c r="CA630" s="78"/>
      <c r="EE630" s="76">
        <f>+IF(MID($J$2,1,10)=MID($EE$2,1,10),4,1)</f>
        <v>4</v>
      </c>
    </row>
    <row r="631" spans="76:135" x14ac:dyDescent="0.25">
      <c r="BX631" s="78"/>
      <c r="BY631" s="319">
        <v>156</v>
      </c>
      <c r="CA631" s="78"/>
      <c r="EE631" s="76">
        <f>+IF(MID($J$2,1,10)=MID($EE$2,1,10),1,2)</f>
        <v>1</v>
      </c>
    </row>
    <row r="632" spans="76:135" x14ac:dyDescent="0.25">
      <c r="BX632" s="78"/>
      <c r="BY632" s="319">
        <v>697</v>
      </c>
      <c r="CA632" s="78"/>
      <c r="EE632" s="76">
        <f>+IF(MID($J$2,1,10)=MID($EE$2,1,10),3,1)</f>
        <v>3</v>
      </c>
    </row>
    <row r="633" spans="76:135" x14ac:dyDescent="0.25">
      <c r="BX633" s="78"/>
      <c r="BY633" s="319">
        <v>136</v>
      </c>
      <c r="CA633" s="78"/>
      <c r="EE633" s="76">
        <f>+IF(MID($J$2,1,10)=MID($EE$2,1,10),1,2)</f>
        <v>1</v>
      </c>
    </row>
    <row r="634" spans="76:135" x14ac:dyDescent="0.25">
      <c r="BX634" s="78"/>
      <c r="BY634" s="319">
        <v>589</v>
      </c>
      <c r="CA634" s="78"/>
      <c r="EE634" s="76">
        <f>+IF(MID($J$3,1,10)=MID($EE$3,1,10),2,1)</f>
        <v>2</v>
      </c>
    </row>
    <row r="635" spans="76:135" x14ac:dyDescent="0.25">
      <c r="BX635" s="78"/>
      <c r="BY635" s="319">
        <v>128</v>
      </c>
      <c r="CA635" s="78"/>
      <c r="EE635" s="76">
        <f>+IF(MID($J$2,1,10)=MID($EE$2,1,10),1,2)</f>
        <v>1</v>
      </c>
    </row>
    <row r="636" spans="76:135" x14ac:dyDescent="0.25">
      <c r="BX636" s="78"/>
      <c r="BY636" s="319">
        <v>833</v>
      </c>
      <c r="CA636" s="78"/>
      <c r="EE636" s="76">
        <f>+IF(MID($J$2,1,10)=MID($EE$2,1,10),0,1)</f>
        <v>0</v>
      </c>
    </row>
    <row r="637" spans="76:135" x14ac:dyDescent="0.25">
      <c r="BX637" s="78"/>
      <c r="BY637" s="319">
        <v>101</v>
      </c>
      <c r="CA637" s="78"/>
      <c r="EE637" s="76">
        <f>+IF(MID($J$2,1,10)=MID($EE$2,1,10),0,1)</f>
        <v>0</v>
      </c>
    </row>
    <row r="638" spans="76:135" x14ac:dyDescent="0.25">
      <c r="BX638" s="78"/>
      <c r="BY638" s="319">
        <v>174</v>
      </c>
      <c r="CA638" s="78"/>
      <c r="EE638" s="76">
        <f>+IF(MID($J$2,1,10)=MID($EE$2,1,10),0,1)</f>
        <v>0</v>
      </c>
    </row>
    <row r="639" spans="76:135" x14ac:dyDescent="0.25">
      <c r="BX639" s="78"/>
      <c r="BY639" s="319">
        <v>164</v>
      </c>
      <c r="CA639" s="78"/>
      <c r="EE639" s="76">
        <f>+IF(MID($J$2,1,10)=MID($EE$2,1,10),1,2)</f>
        <v>1</v>
      </c>
    </row>
    <row r="640" spans="76:135" x14ac:dyDescent="0.25">
      <c r="BX640" s="78"/>
      <c r="BY640" s="319">
        <v>628</v>
      </c>
      <c r="CA640" s="78"/>
      <c r="EE640" s="76">
        <f>+IF(MID($J$2,1,10)=MID($EE$2,1,10),1,2)</f>
        <v>1</v>
      </c>
    </row>
    <row r="641" spans="76:135" x14ac:dyDescent="0.25">
      <c r="BX641" s="78"/>
      <c r="BY641" s="319">
        <v>153</v>
      </c>
      <c r="CA641" s="78"/>
      <c r="EE641" s="76">
        <f>+IF(MID($J$2,1,10)=MID($EE$2,1,10),3,1)</f>
        <v>3</v>
      </c>
    </row>
    <row r="642" spans="76:135" x14ac:dyDescent="0.25">
      <c r="BX642" s="78"/>
      <c r="BY642" s="319">
        <v>638</v>
      </c>
      <c r="CA642" s="78"/>
      <c r="EE642" s="76">
        <f>+IF(MID($J$2,1,10)=MID($EE$2,1,10),3,1)</f>
        <v>3</v>
      </c>
    </row>
    <row r="643" spans="76:135" x14ac:dyDescent="0.25">
      <c r="BX643" s="78"/>
      <c r="BY643" s="319">
        <v>197</v>
      </c>
      <c r="CA643" s="78"/>
      <c r="EE643" s="76">
        <f>+IF(MID($J$2,1,10)=MID($EE$2,1,10),3,1)</f>
        <v>3</v>
      </c>
    </row>
    <row r="644" spans="76:135" x14ac:dyDescent="0.25">
      <c r="BX644" s="78"/>
      <c r="BY644" s="319">
        <v>1052</v>
      </c>
      <c r="CA644" s="78"/>
      <c r="EE644" s="76">
        <f>+IF(MID($J$2,1,10)=MID($EE$2,1,10),0,1)</f>
        <v>0</v>
      </c>
    </row>
    <row r="645" spans="76:135" x14ac:dyDescent="0.25">
      <c r="BX645" s="78"/>
      <c r="BY645" s="319">
        <v>138</v>
      </c>
      <c r="CA645" s="78"/>
      <c r="EE645" s="76">
        <f>+IF(MID($J$2,1,10)=MID($EE$2,1,10),1,2)</f>
        <v>1</v>
      </c>
    </row>
    <row r="646" spans="76:135" x14ac:dyDescent="0.25">
      <c r="BX646" s="78"/>
      <c r="BY646" s="319">
        <v>4</v>
      </c>
      <c r="CA646" s="78"/>
      <c r="EE646" s="76">
        <f>+IF(MID($J$2,1,10)=MID($EE$2,1,10),3,1)</f>
        <v>3</v>
      </c>
    </row>
    <row r="647" spans="76:135" x14ac:dyDescent="0.25">
      <c r="BX647" s="78"/>
      <c r="BY647" s="319">
        <v>114</v>
      </c>
      <c r="CA647" s="78"/>
      <c r="EE647" s="76">
        <f>+IF(MID($J$2,1,10)=MID($EE$2,1,10),3,1)</f>
        <v>3</v>
      </c>
    </row>
    <row r="648" spans="76:135" x14ac:dyDescent="0.25">
      <c r="BX648" s="78"/>
      <c r="BY648" s="319">
        <v>114</v>
      </c>
      <c r="CA648" s="78"/>
      <c r="EE648" s="76">
        <f>+IF(MID($J$2,1,10)=MID($EE$2,1,10),0,1)</f>
        <v>0</v>
      </c>
    </row>
    <row r="649" spans="76:135" x14ac:dyDescent="0.25">
      <c r="BX649" s="78"/>
      <c r="BY649" s="319">
        <v>161</v>
      </c>
      <c r="CA649" s="78"/>
      <c r="EE649" s="76">
        <f>+IF(MID($J$2,1,10)=MID($EE$2,1,10),3,1)</f>
        <v>3</v>
      </c>
    </row>
    <row r="650" spans="76:135" x14ac:dyDescent="0.25">
      <c r="BX650" s="78"/>
      <c r="BY650" s="322">
        <v>7</v>
      </c>
      <c r="CA650" s="78"/>
      <c r="EE650" s="76">
        <f>+IF(MID($J$6,1,5)=MID($EE$11,1,5),0,1)</f>
        <v>0</v>
      </c>
    </row>
    <row r="651" spans="76:135" x14ac:dyDescent="0.25">
      <c r="BX651" s="78"/>
      <c r="BY651" s="319">
        <v>110</v>
      </c>
      <c r="CA651" s="78"/>
      <c r="EE651" s="76">
        <f>+IF(MID($J$2,1,10)=MID($EE$2,1,10),3,1)</f>
        <v>3</v>
      </c>
    </row>
    <row r="652" spans="76:135" x14ac:dyDescent="0.25">
      <c r="BX652" s="78"/>
      <c r="BY652" s="319">
        <v>121</v>
      </c>
      <c r="CA652" s="78"/>
      <c r="EE652" s="76">
        <f>+IF(MID($J$2,1,10)=MID($EE$2,1,10),1,2)</f>
        <v>1</v>
      </c>
    </row>
    <row r="653" spans="76:135" x14ac:dyDescent="0.25">
      <c r="BX653" s="78"/>
      <c r="BY653" s="319">
        <v>129</v>
      </c>
      <c r="CA653" s="78"/>
      <c r="EE653" s="76">
        <f>+IF(MID($J$3,1,10)=MID($EE$3,1,10),2,1)</f>
        <v>2</v>
      </c>
    </row>
    <row r="654" spans="76:135" x14ac:dyDescent="0.25">
      <c r="BX654" s="78"/>
      <c r="BY654" s="319">
        <v>179</v>
      </c>
      <c r="CA654" s="78"/>
      <c r="EE654" s="76">
        <f>+IF(MID($J$2,1,10)=MID($EE$2,1,10),4,1)</f>
        <v>4</v>
      </c>
    </row>
    <row r="655" spans="76:135" x14ac:dyDescent="0.25">
      <c r="BX655" s="78"/>
      <c r="BY655" s="319">
        <v>113</v>
      </c>
      <c r="CA655" s="78"/>
      <c r="EE655" s="76">
        <f>+IF(MID($J$2,1,10)=MID($EE$2,1,10),0,1)</f>
        <v>0</v>
      </c>
    </row>
    <row r="656" spans="76:135" x14ac:dyDescent="0.25">
      <c r="BX656" s="78"/>
      <c r="BY656" s="319">
        <v>180</v>
      </c>
      <c r="CA656" s="78"/>
      <c r="EE656" s="76">
        <f>+IF(MID($J$3,1,10)=MID($EE$3,1,10),2,1)</f>
        <v>2</v>
      </c>
    </row>
    <row r="657" spans="76:135" x14ac:dyDescent="0.25">
      <c r="BX657" s="78"/>
      <c r="BY657" s="319">
        <v>202</v>
      </c>
      <c r="CA657" s="78"/>
      <c r="EE657" s="76">
        <f>+IF(MID($J$3,1,10)=MID($EE$3,1,10),2,1)</f>
        <v>2</v>
      </c>
    </row>
    <row r="658" spans="76:135" x14ac:dyDescent="0.25">
      <c r="BX658" s="78"/>
      <c r="BY658" s="319">
        <v>192</v>
      </c>
      <c r="CA658" s="78"/>
      <c r="EE658" s="76">
        <f>+IF(MID($J$2,1,10)=MID($EE$2,1,10),4,1)</f>
        <v>4</v>
      </c>
    </row>
    <row r="659" spans="76:135" x14ac:dyDescent="0.25">
      <c r="BX659" s="78"/>
      <c r="BY659" s="319">
        <v>165</v>
      </c>
      <c r="CA659" s="78"/>
      <c r="EE659" s="76">
        <f>+IF(MID($J$3,1,10)=MID($EE$3,1,10),2,1)</f>
        <v>2</v>
      </c>
    </row>
    <row r="660" spans="76:135" x14ac:dyDescent="0.25">
      <c r="BX660" s="78"/>
      <c r="BY660" s="319">
        <v>110</v>
      </c>
      <c r="CA660" s="78"/>
      <c r="EE660" s="76">
        <f>+IF(MID($J$2,1,10)=MID($EE$2,1,10),4,1)</f>
        <v>4</v>
      </c>
    </row>
    <row r="661" spans="76:135" x14ac:dyDescent="0.25">
      <c r="BX661" s="78"/>
      <c r="BY661" s="319">
        <v>163</v>
      </c>
      <c r="CA661" s="78"/>
      <c r="EE661" s="76">
        <f>+IF(MID($J$2,1,10)=MID($EE$2,1,10),1,2)</f>
        <v>1</v>
      </c>
    </row>
    <row r="662" spans="76:135" x14ac:dyDescent="0.25">
      <c r="BX662" s="78"/>
      <c r="BY662" s="319">
        <v>153</v>
      </c>
      <c r="CA662" s="78"/>
      <c r="EE662" s="76">
        <f>+IF(MID($J$2,1,10)=MID($EE$2,1,10),3,1)</f>
        <v>3</v>
      </c>
    </row>
    <row r="663" spans="76:135" x14ac:dyDescent="0.25">
      <c r="BX663" s="78"/>
      <c r="BY663" s="319">
        <v>500</v>
      </c>
      <c r="CA663" s="78"/>
      <c r="EE663" s="76">
        <f>+IF(MID($J$2,1,10)=MID($EE$2,1,10),1,2)</f>
        <v>1</v>
      </c>
    </row>
    <row r="664" spans="76:135" x14ac:dyDescent="0.25">
      <c r="BX664" s="78"/>
      <c r="BY664" s="319">
        <v>122</v>
      </c>
      <c r="CA664" s="78"/>
      <c r="EE664" s="76">
        <f>+IF(MID($J$3,1,10)=MID($EE$3,1,10),2,1)</f>
        <v>2</v>
      </c>
    </row>
    <row r="665" spans="76:135" x14ac:dyDescent="0.25">
      <c r="BX665" s="78"/>
      <c r="BY665" s="319">
        <v>697</v>
      </c>
      <c r="CA665" s="78"/>
      <c r="EE665" s="76">
        <f>+IF(MID($J$2,1,10)=MID($EE$2,1,10),1,2)</f>
        <v>1</v>
      </c>
    </row>
    <row r="666" spans="76:135" x14ac:dyDescent="0.25">
      <c r="BX666" s="78"/>
      <c r="BY666" s="319">
        <v>138</v>
      </c>
      <c r="CA666" s="78"/>
      <c r="EE666" s="76">
        <f>+IF(MID($J$2,1,10)=MID($EE$2,1,10),0,1)</f>
        <v>0</v>
      </c>
    </row>
    <row r="667" spans="76:135" x14ac:dyDescent="0.25">
      <c r="BX667" s="78"/>
      <c r="BY667" s="319">
        <v>1083</v>
      </c>
      <c r="CA667" s="78"/>
      <c r="EE667" s="76">
        <f>+IF(MID($J$2,1,10)=MID($EE$2,1,10),0,1)</f>
        <v>0</v>
      </c>
    </row>
    <row r="668" spans="76:135" x14ac:dyDescent="0.25">
      <c r="BX668" s="78"/>
      <c r="BY668" s="319">
        <v>141</v>
      </c>
      <c r="CA668" s="78"/>
      <c r="EE668" s="76">
        <f>+IF(MID($J$2,1,10)=MID($EE$2,1,10),0,1)</f>
        <v>0</v>
      </c>
    </row>
    <row r="669" spans="76:135" x14ac:dyDescent="0.25">
      <c r="BX669" s="78"/>
      <c r="BY669" s="319">
        <v>388</v>
      </c>
      <c r="CA669" s="78"/>
      <c r="EE669" s="76">
        <f>+IF(MID($J$2,1,10)=MID($EE$2,1,10),1,2)</f>
        <v>1</v>
      </c>
    </row>
    <row r="670" spans="76:135" x14ac:dyDescent="0.25">
      <c r="BX670" s="78"/>
      <c r="BY670" s="319">
        <v>160</v>
      </c>
      <c r="CA670" s="78"/>
      <c r="EE670" s="76">
        <f>+IF(MID($J$2,1,10)=MID($EE$2,1,10),1,2)</f>
        <v>1</v>
      </c>
    </row>
    <row r="671" spans="76:135" x14ac:dyDescent="0.25">
      <c r="BX671" s="78"/>
      <c r="BY671" s="319">
        <v>724</v>
      </c>
      <c r="CA671" s="78"/>
      <c r="EE671" s="76">
        <f>+IF(MID($J$2,1,10)=MID($EE$2,1,10),3,1)</f>
        <v>3</v>
      </c>
    </row>
    <row r="672" spans="76:135" x14ac:dyDescent="0.25">
      <c r="BX672" s="79"/>
      <c r="BY672" s="322">
        <v>20</v>
      </c>
      <c r="BZ672" s="323"/>
      <c r="CA672" s="79"/>
      <c r="EE672" s="76">
        <f>+IF(MID($J$6,1,5)=MID($EE$11,1,5),0,1)</f>
        <v>0</v>
      </c>
    </row>
    <row r="673" spans="76:135" x14ac:dyDescent="0.25">
      <c r="BX673" s="78"/>
      <c r="BY673" s="319">
        <v>721</v>
      </c>
      <c r="CA673" s="78"/>
      <c r="EE673" s="76">
        <f>+IF(MID($J$2,1,10)=MID($EE$2,1,10),3,1)</f>
        <v>3</v>
      </c>
    </row>
    <row r="674" spans="76:135" x14ac:dyDescent="0.25">
      <c r="BX674" s="78"/>
      <c r="BY674" s="319">
        <v>161</v>
      </c>
      <c r="CA674" s="78"/>
      <c r="EE674" s="76">
        <f>+IF(MID($J$2,1,10)=MID($EE$2,1,10),0,1)</f>
        <v>0</v>
      </c>
    </row>
    <row r="675" spans="76:135" x14ac:dyDescent="0.25">
      <c r="BX675" s="78"/>
      <c r="BY675" s="319">
        <v>1140</v>
      </c>
      <c r="CA675" s="78"/>
      <c r="EE675" s="76">
        <f>+IF(MID($J$2,1,10)=MID($EE$2,1,10),1,2)</f>
        <v>1</v>
      </c>
    </row>
    <row r="676" spans="76:135" x14ac:dyDescent="0.25">
      <c r="BX676" s="78"/>
      <c r="BY676" s="319">
        <v>800</v>
      </c>
      <c r="CA676" s="78"/>
      <c r="EE676" s="76">
        <f>+IF(MID($J$2,1,10)=MID($EE$2,1,10),3,1)</f>
        <v>3</v>
      </c>
    </row>
    <row r="677" spans="76:135" x14ac:dyDescent="0.25">
      <c r="BX677" s="78"/>
      <c r="BY677" s="319">
        <v>168</v>
      </c>
      <c r="CA677" s="78"/>
      <c r="EE677" s="76">
        <f>+IF(MID($J$2,1,10)=MID($EE$2,1,10),3,1)</f>
        <v>3</v>
      </c>
    </row>
    <row r="678" spans="76:135" x14ac:dyDescent="0.25">
      <c r="BX678" s="78"/>
      <c r="BY678" s="319">
        <v>2</v>
      </c>
      <c r="CA678" s="78"/>
      <c r="EE678" s="76">
        <f>+IF(MID($J$2,1,10)=MID($EE$2,1,10),0,1)</f>
        <v>0</v>
      </c>
    </row>
    <row r="679" spans="76:135" x14ac:dyDescent="0.25">
      <c r="BX679" s="78"/>
      <c r="BY679" s="319">
        <v>144</v>
      </c>
      <c r="CA679" s="78"/>
      <c r="EE679" s="76">
        <f>+IF(MID($J$2,1,10)=MID($EE$2,1,10),3,1)</f>
        <v>3</v>
      </c>
    </row>
    <row r="680" spans="76:135" x14ac:dyDescent="0.25">
      <c r="BX680" s="78"/>
      <c r="BY680" s="319">
        <v>192</v>
      </c>
      <c r="CA680" s="78"/>
      <c r="EE680" s="76">
        <f>+IF(MID($J$2,1,10)=MID($EE$2,1,10),3,1)</f>
        <v>3</v>
      </c>
    </row>
    <row r="681" spans="76:135" x14ac:dyDescent="0.25">
      <c r="BX681" s="78"/>
      <c r="BY681" s="319">
        <v>195</v>
      </c>
      <c r="CA681" s="78"/>
      <c r="EE681" s="76">
        <f>+IF(MID($J$2,1,10)=MID($EE$2,1,10),3,1)</f>
        <v>3</v>
      </c>
    </row>
    <row r="682" spans="76:135" x14ac:dyDescent="0.25">
      <c r="BX682" s="78"/>
      <c r="BY682" s="319">
        <v>652</v>
      </c>
      <c r="CA682" s="78"/>
      <c r="EE682" s="76">
        <f>+IF(MID($J$2,1,10)=MID($EE$2,1,10),1,2)</f>
        <v>1</v>
      </c>
    </row>
    <row r="683" spans="76:135" x14ac:dyDescent="0.25">
      <c r="BX683" s="78"/>
      <c r="BY683" s="319">
        <v>151</v>
      </c>
      <c r="CA683" s="78"/>
      <c r="EE683" s="76">
        <f>+IF(MID($J$3,1,10)=MID($EE$3,1,10),2,1)</f>
        <v>2</v>
      </c>
    </row>
    <row r="684" spans="76:135" x14ac:dyDescent="0.25">
      <c r="BX684" s="78"/>
      <c r="BY684" s="319">
        <v>696</v>
      </c>
      <c r="CA684" s="78"/>
      <c r="EE684" s="76">
        <f>+IF(MID($J$2,1,10)=MID($EE$2,1,10),4,1)</f>
        <v>4</v>
      </c>
    </row>
    <row r="685" spans="76:135" x14ac:dyDescent="0.25">
      <c r="BX685" s="78"/>
      <c r="BY685" s="319">
        <v>179</v>
      </c>
      <c r="CA685" s="78"/>
      <c r="EE685" s="76">
        <f>+IF(MID($J$2,1,10)=MID($EE$2,1,10),0,1)</f>
        <v>0</v>
      </c>
    </row>
    <row r="686" spans="76:135" x14ac:dyDescent="0.25">
      <c r="BX686" s="78"/>
      <c r="BY686" s="319">
        <v>878</v>
      </c>
      <c r="CA686" s="78"/>
      <c r="EE686" s="76">
        <f>+IF(MID($J$3,1,10)=MID($EE$3,1,10),2,1)</f>
        <v>2</v>
      </c>
    </row>
    <row r="687" spans="76:135" x14ac:dyDescent="0.25">
      <c r="BX687" s="78"/>
      <c r="BY687" s="319">
        <v>188</v>
      </c>
      <c r="CA687" s="78"/>
      <c r="EE687" s="76">
        <f>+IF(MID($J$3,1,10)=MID($EE$3,1,10),2,1)</f>
        <v>2</v>
      </c>
    </row>
    <row r="688" spans="76:135" x14ac:dyDescent="0.25">
      <c r="BX688" s="78"/>
      <c r="BY688" s="319">
        <v>138</v>
      </c>
      <c r="CA688" s="78"/>
      <c r="EE688" s="76">
        <f>+IF(MID($J$2,1,10)=MID($EE$2,1,10),4,1)</f>
        <v>4</v>
      </c>
    </row>
    <row r="689" spans="76:135" x14ac:dyDescent="0.25">
      <c r="BX689" s="78"/>
      <c r="BY689" s="319">
        <v>149</v>
      </c>
      <c r="CA689" s="78"/>
      <c r="EE689" s="76">
        <f>+IF(MID($J$3,1,10)=MID($EE$3,1,10),2,1)</f>
        <v>2</v>
      </c>
    </row>
    <row r="690" spans="76:135" x14ac:dyDescent="0.25">
      <c r="BX690" s="78"/>
      <c r="BY690" s="319">
        <v>346</v>
      </c>
      <c r="CA690" s="78"/>
      <c r="EE690" s="76">
        <f>+IF(MID($J$2,1,10)=MID($EE$2,1,10),4,1)</f>
        <v>4</v>
      </c>
    </row>
    <row r="691" spans="76:135" x14ac:dyDescent="0.25">
      <c r="BX691" s="78"/>
      <c r="BY691" s="319">
        <v>189</v>
      </c>
      <c r="CA691" s="78"/>
      <c r="EE691" s="76">
        <f>+IF(MID($J$2,1,10)=MID($EE$2,1,10),1,2)</f>
        <v>1</v>
      </c>
    </row>
    <row r="692" spans="76:135" x14ac:dyDescent="0.25">
      <c r="BX692" s="78"/>
      <c r="BY692" s="319">
        <v>450</v>
      </c>
      <c r="CA692" s="78"/>
      <c r="EE692" s="76">
        <f>+IF(MID($J$2,1,10)=MID($EE$2,1,10),3,1)</f>
        <v>3</v>
      </c>
    </row>
    <row r="693" spans="76:135" x14ac:dyDescent="0.25">
      <c r="BX693" s="78"/>
      <c r="BY693" s="319">
        <v>182</v>
      </c>
      <c r="CA693" s="78"/>
      <c r="EE693" s="76">
        <f>+IF(MID($J$2,1,10)=MID($EE$2,1,10),1,2)</f>
        <v>1</v>
      </c>
    </row>
    <row r="694" spans="76:135" x14ac:dyDescent="0.25">
      <c r="BX694" s="78"/>
      <c r="BY694" s="319">
        <v>13</v>
      </c>
      <c r="CA694" s="78"/>
      <c r="EE694" s="76">
        <f>+IF(MID($J$6,1,5)=MID($EE$11,1,5),0,1)</f>
        <v>0</v>
      </c>
    </row>
    <row r="695" spans="76:135" x14ac:dyDescent="0.25">
      <c r="BX695" s="78"/>
      <c r="BY695" s="319">
        <v>177</v>
      </c>
      <c r="CA695" s="78"/>
      <c r="EE695" s="76">
        <f>+IF(MID($J$2,1,10)=MID($EE$2,1,10),1,2)</f>
        <v>1</v>
      </c>
    </row>
    <row r="696" spans="76:135" x14ac:dyDescent="0.25">
      <c r="BX696" s="78"/>
      <c r="BY696" s="319">
        <v>460</v>
      </c>
      <c r="CA696" s="78"/>
      <c r="EE696" s="76">
        <f>+IF(MID($J$2,1,10)=MID($EE$2,1,10),0,1)</f>
        <v>0</v>
      </c>
    </row>
    <row r="697" spans="76:135" x14ac:dyDescent="0.25">
      <c r="BX697" s="78"/>
      <c r="BY697" s="319">
        <v>189</v>
      </c>
      <c r="CA697" s="78"/>
      <c r="EE697" s="76">
        <f>+IF(MID($J$2,1,10)=MID($EE$2,1,10),0,1)</f>
        <v>0</v>
      </c>
    </row>
    <row r="698" spans="76:135" x14ac:dyDescent="0.25">
      <c r="BX698" s="78"/>
      <c r="BY698" s="319">
        <v>1019</v>
      </c>
      <c r="CA698" s="78"/>
      <c r="EE698" s="76">
        <f>+IF(MID($J$2,1,10)=MID($EE$2,1,10),0,1)</f>
        <v>0</v>
      </c>
    </row>
    <row r="699" spans="76:135" x14ac:dyDescent="0.25">
      <c r="BX699" s="78"/>
      <c r="BY699" s="319">
        <v>141</v>
      </c>
      <c r="CA699" s="78"/>
      <c r="EE699" s="76">
        <f>+IF(MID($J$2,1,10)=MID($EE$2,1,10),1,2)</f>
        <v>1</v>
      </c>
    </row>
    <row r="700" spans="76:135" x14ac:dyDescent="0.25">
      <c r="BX700" s="78"/>
      <c r="BY700" s="319">
        <v>121</v>
      </c>
      <c r="CA700" s="78"/>
      <c r="EE700" s="76">
        <f>+IF(MID($J$2,1,10)=MID($EE$2,1,10),1,2)</f>
        <v>1</v>
      </c>
    </row>
    <row r="701" spans="76:135" x14ac:dyDescent="0.25">
      <c r="BX701" s="78"/>
      <c r="BY701" s="319">
        <v>143</v>
      </c>
      <c r="CA701" s="78"/>
      <c r="EE701" s="76">
        <f>+IF(MID($J$2,1,10)=MID($EE$2,1,10),3,1)</f>
        <v>3</v>
      </c>
    </row>
    <row r="702" spans="76:135" x14ac:dyDescent="0.25">
      <c r="BX702" s="78"/>
      <c r="BY702" s="319">
        <v>135</v>
      </c>
      <c r="CA702" s="78"/>
      <c r="EE702" s="76">
        <f>+IF(MID($J$2,1,10)=MID($EE$2,1,10),3,1)</f>
        <v>3</v>
      </c>
    </row>
    <row r="703" spans="76:135" x14ac:dyDescent="0.25">
      <c r="BX703" s="78"/>
      <c r="BY703" s="319">
        <v>932</v>
      </c>
      <c r="CA703" s="78"/>
      <c r="EE703" s="76">
        <f>+IF(MID($J$2,1,10)=MID($EE$2,1,10),3,1)</f>
        <v>3</v>
      </c>
    </row>
    <row r="704" spans="76:135" x14ac:dyDescent="0.25">
      <c r="BX704" s="78"/>
      <c r="BY704" s="319">
        <v>113</v>
      </c>
      <c r="CA704" s="78"/>
      <c r="EE704" s="76">
        <f>+IF(MID($J$2,1,10)=MID($EE$2,1,10),0,1)</f>
        <v>0</v>
      </c>
    </row>
    <row r="705" spans="76:135" x14ac:dyDescent="0.25">
      <c r="BX705" s="78"/>
      <c r="BY705" s="319">
        <v>981</v>
      </c>
      <c r="CA705" s="78"/>
      <c r="EE705" s="76">
        <f>+IF(MID($J$2,1,10)=MID($EE$2,1,10),1,2)</f>
        <v>1</v>
      </c>
    </row>
    <row r="706" spans="76:135" x14ac:dyDescent="0.25">
      <c r="BX706" s="78"/>
      <c r="BY706" s="319">
        <v>185</v>
      </c>
      <c r="CA706" s="78"/>
      <c r="EE706" s="76">
        <f>+IF(MID($J$2,1,10)=MID($EE$2,1,10),3,1)</f>
        <v>3</v>
      </c>
    </row>
    <row r="707" spans="76:135" x14ac:dyDescent="0.25">
      <c r="BX707" s="78"/>
      <c r="BY707" s="319">
        <v>2</v>
      </c>
      <c r="CA707" s="78"/>
      <c r="EE707" s="76">
        <f>+IF(MID($J$2,1,10)=MID($EE$2,1,10),3,1)</f>
        <v>3</v>
      </c>
    </row>
    <row r="708" spans="76:135" x14ac:dyDescent="0.25">
      <c r="BX708" s="78"/>
      <c r="BY708" s="319">
        <v>119</v>
      </c>
      <c r="CA708" s="78"/>
      <c r="EE708" s="76">
        <f>+IF(MID($J$2,1,10)=MID($EE$2,1,10),0,1)</f>
        <v>0</v>
      </c>
    </row>
    <row r="709" spans="76:135" x14ac:dyDescent="0.25">
      <c r="BX709" s="78"/>
      <c r="BY709" s="319">
        <v>928</v>
      </c>
      <c r="CA709" s="78"/>
      <c r="EE709" s="76">
        <f>+IF(MID($J$3,1,10)=MID($EE$3,1,10),2,1)</f>
        <v>2</v>
      </c>
    </row>
    <row r="710" spans="76:135" x14ac:dyDescent="0.25">
      <c r="BX710" s="78"/>
      <c r="BY710" s="319">
        <v>131</v>
      </c>
      <c r="CA710" s="78"/>
      <c r="EE710" s="76">
        <f>+IF(MID($J$2,1,10)=MID($EE$2,1,10),4,1)</f>
        <v>4</v>
      </c>
    </row>
    <row r="711" spans="76:135" x14ac:dyDescent="0.25">
      <c r="BX711" s="78"/>
      <c r="BY711" s="319">
        <v>978</v>
      </c>
      <c r="CA711" s="78"/>
      <c r="EE711" s="76">
        <f>+IF(MID($J$2,1,10)=MID($EE$2,1,10),0,1)</f>
        <v>0</v>
      </c>
    </row>
    <row r="712" spans="76:135" x14ac:dyDescent="0.25">
      <c r="BX712" s="78"/>
      <c r="BY712" s="319">
        <v>167</v>
      </c>
      <c r="CA712" s="78"/>
      <c r="EE712" s="76">
        <f>+IF(MID($J$3,1,10)=MID($EE$3,1,10),2,1)</f>
        <v>2</v>
      </c>
    </row>
    <row r="713" spans="76:135" x14ac:dyDescent="0.25">
      <c r="BX713" s="78"/>
      <c r="BY713" s="319">
        <v>734</v>
      </c>
      <c r="CA713" s="78"/>
      <c r="EE713" s="76">
        <f>+IF(MID($J$3,1,10)=MID($EE$3,1,10),2,1)</f>
        <v>2</v>
      </c>
    </row>
    <row r="714" spans="76:135" x14ac:dyDescent="0.25">
      <c r="BX714" s="78"/>
      <c r="BY714" s="319">
        <v>174</v>
      </c>
      <c r="CA714" s="78"/>
      <c r="EE714" s="76">
        <f>+IF(MID($J$2,1,10)=MID($EE$2,1,10),4,1)</f>
        <v>4</v>
      </c>
    </row>
    <row r="715" spans="76:135" x14ac:dyDescent="0.25">
      <c r="BX715" s="78"/>
      <c r="BY715" s="319">
        <v>641</v>
      </c>
      <c r="CA715" s="78"/>
      <c r="EE715" s="76">
        <f>+IF(MID($J$3,1,10)=MID($EE$3,1,10),2,1)</f>
        <v>2</v>
      </c>
    </row>
    <row r="716" spans="76:135" x14ac:dyDescent="0.25">
      <c r="BX716" s="78"/>
      <c r="BY716" s="322">
        <v>18</v>
      </c>
      <c r="CA716" s="78"/>
      <c r="EE716" s="76">
        <f>+IF(MID($J$6,1,5)=MID($EE$11,1,5),0,1)</f>
        <v>0</v>
      </c>
    </row>
    <row r="717" spans="76:135" x14ac:dyDescent="0.25">
      <c r="BX717" s="78"/>
      <c r="BY717" s="319">
        <v>102</v>
      </c>
      <c r="CA717" s="78"/>
      <c r="EE717" s="76">
        <f>+IF(MID($J$2,1,10)=MID($EE$2,1,10),1,2)</f>
        <v>1</v>
      </c>
    </row>
    <row r="718" spans="76:135" x14ac:dyDescent="0.25">
      <c r="BX718" s="78"/>
      <c r="BY718" s="319">
        <v>344</v>
      </c>
      <c r="CA718" s="78"/>
      <c r="EE718" s="76">
        <f>+IF(MID($J$2,1,10)=MID($EE$2,1,10),3,1)</f>
        <v>3</v>
      </c>
    </row>
    <row r="719" spans="76:135" x14ac:dyDescent="0.25">
      <c r="BX719" s="78"/>
      <c r="BY719" s="319">
        <v>136</v>
      </c>
      <c r="CA719" s="78"/>
      <c r="EE719" s="76">
        <f>+IF(MID($J$2,1,10)=MID($EE$2,1,10),1,2)</f>
        <v>1</v>
      </c>
    </row>
    <row r="720" spans="76:135" x14ac:dyDescent="0.25">
      <c r="BX720" s="78"/>
      <c r="BY720" s="319">
        <v>409</v>
      </c>
      <c r="CA720" s="78"/>
      <c r="EE720" s="76">
        <f>+IF(MID($J$3,1,10)=MID($EE$3,1,10),2,1)</f>
        <v>2</v>
      </c>
    </row>
    <row r="721" spans="76:135" x14ac:dyDescent="0.25">
      <c r="BX721" s="78"/>
      <c r="BY721" s="319">
        <v>166</v>
      </c>
      <c r="CA721" s="78"/>
      <c r="EE721" s="76">
        <f>+IF(MID($J$2,1,10)=MID($EE$2,1,10),1,2)</f>
        <v>1</v>
      </c>
    </row>
    <row r="722" spans="76:135" x14ac:dyDescent="0.25">
      <c r="BX722" s="78"/>
      <c r="BY722" s="319">
        <v>1</v>
      </c>
      <c r="CA722" s="78"/>
      <c r="EE722" s="76">
        <f>+IF(MID($J$2,1,10)=MID($EE$2,1,10),0,1)</f>
        <v>0</v>
      </c>
    </row>
    <row r="723" spans="76:135" x14ac:dyDescent="0.25">
      <c r="BX723" s="78"/>
      <c r="BY723" s="319">
        <v>110</v>
      </c>
      <c r="CA723" s="78"/>
      <c r="EE723" s="76">
        <f>+IF(MID($J$2,1,10)=MID($EE$2,1,10),0,1)</f>
        <v>0</v>
      </c>
    </row>
    <row r="724" spans="76:135" x14ac:dyDescent="0.25">
      <c r="BX724" s="78"/>
      <c r="BY724" s="319">
        <v>1021</v>
      </c>
      <c r="CA724" s="78"/>
      <c r="EE724" s="76">
        <f>+IF(MID($J$2,1,10)=MID($EE$2,1,10),0,1)</f>
        <v>0</v>
      </c>
    </row>
    <row r="725" spans="76:135" x14ac:dyDescent="0.25">
      <c r="BX725" s="78"/>
      <c r="BY725" s="319">
        <v>137</v>
      </c>
      <c r="CA725" s="78"/>
      <c r="EE725" s="76">
        <f>+IF(MID($J$2,1,10)=MID($EE$2,1,10),1,2)</f>
        <v>1</v>
      </c>
    </row>
    <row r="726" spans="76:135" x14ac:dyDescent="0.25">
      <c r="BX726" s="78"/>
      <c r="BY726" s="319">
        <v>203</v>
      </c>
      <c r="CA726" s="78"/>
      <c r="EE726" s="76">
        <f>+IF(MID($J$2,1,10)=MID($EE$2,1,10),1,2)</f>
        <v>1</v>
      </c>
    </row>
    <row r="727" spans="76:135" x14ac:dyDescent="0.25">
      <c r="BX727" s="78"/>
      <c r="BY727" s="319">
        <v>143</v>
      </c>
      <c r="CA727" s="78"/>
      <c r="EE727" s="76">
        <f>+IF(MID($J$2,1,10)=MID($EE$2,1,10),3,1)</f>
        <v>3</v>
      </c>
    </row>
    <row r="728" spans="76:135" x14ac:dyDescent="0.25">
      <c r="BX728" s="78"/>
      <c r="BY728" s="319">
        <v>189</v>
      </c>
      <c r="CA728" s="78"/>
      <c r="EE728" s="76">
        <f>+IF(MID($J$2,1,10)=MID($EE$2,1,10),3,1)</f>
        <v>3</v>
      </c>
    </row>
    <row r="729" spans="76:135" x14ac:dyDescent="0.25">
      <c r="BX729" s="78"/>
      <c r="BY729" s="319">
        <v>126</v>
      </c>
      <c r="CA729" s="78"/>
      <c r="EE729" s="76">
        <f>+IF(MID($J$2,1,10)=MID($EE$2,1,10),3,1)</f>
        <v>3</v>
      </c>
    </row>
    <row r="730" spans="76:135" x14ac:dyDescent="0.25">
      <c r="BX730" s="78"/>
      <c r="BY730" s="319">
        <v>934</v>
      </c>
      <c r="CA730" s="78"/>
      <c r="EE730" s="76">
        <f>+IF(MID($J$2,1,10)=MID($EE$2,1,10),0,1)</f>
        <v>0</v>
      </c>
    </row>
    <row r="731" spans="76:135" x14ac:dyDescent="0.25">
      <c r="BX731" s="78"/>
      <c r="BY731" s="319">
        <v>110</v>
      </c>
      <c r="CA731" s="78"/>
      <c r="EE731" s="76">
        <f>+IF(MID($J$2,1,10)=MID($EE$2,1,10),1,2)</f>
        <v>1</v>
      </c>
    </row>
    <row r="732" spans="76:135" x14ac:dyDescent="0.25">
      <c r="BX732" s="78"/>
      <c r="BY732" s="319">
        <v>232</v>
      </c>
      <c r="CA732" s="78"/>
      <c r="EE732" s="76">
        <f>+IF(MID($J$2,1,10)=MID($EE$2,1,10),3,1)</f>
        <v>3</v>
      </c>
    </row>
    <row r="733" spans="76:135" x14ac:dyDescent="0.25">
      <c r="BX733" s="78"/>
      <c r="BY733" s="319">
        <v>149</v>
      </c>
      <c r="CA733" s="78"/>
      <c r="EE733" s="76">
        <f>+IF(MID($J$2,1,10)=MID($EE$2,1,10),3,1)</f>
        <v>3</v>
      </c>
    </row>
    <row r="734" spans="76:135" x14ac:dyDescent="0.25">
      <c r="BX734" s="78"/>
      <c r="BY734" s="319">
        <v>522</v>
      </c>
      <c r="CA734" s="78"/>
      <c r="EE734" s="76">
        <f>+IF(MID($J$2,1,10)=MID($EE$2,1,10),0,1)</f>
        <v>0</v>
      </c>
    </row>
    <row r="735" spans="76:135" x14ac:dyDescent="0.25">
      <c r="BX735" s="78"/>
      <c r="BY735" s="319">
        <v>105</v>
      </c>
      <c r="CA735" s="78"/>
      <c r="EE735" s="76">
        <f>+IF(MID($J$2,1,10)=MID($EE$2,1,10),3,1)</f>
        <v>3</v>
      </c>
    </row>
    <row r="736" spans="76:135" x14ac:dyDescent="0.25">
      <c r="BX736" s="78"/>
      <c r="BY736" s="319">
        <v>836</v>
      </c>
      <c r="CA736" s="78"/>
      <c r="EE736" s="76">
        <f>+IF(MID($J$2,1,10)=MID($EE$2,1,10),3,1)</f>
        <v>3</v>
      </c>
    </row>
    <row r="737" spans="76:135" x14ac:dyDescent="0.25">
      <c r="BX737" s="78"/>
      <c r="BY737" s="319">
        <v>117</v>
      </c>
      <c r="CA737" s="78"/>
      <c r="EE737" s="76">
        <f>+IF(MID($J$2,1,10)=MID($EE$2,1,10),3,1)</f>
        <v>3</v>
      </c>
    </row>
    <row r="738" spans="76:135" x14ac:dyDescent="0.25">
      <c r="BX738" s="78"/>
      <c r="BY738" s="325">
        <v>15</v>
      </c>
      <c r="CA738" s="78"/>
      <c r="EE738" s="76">
        <f>+IF(MID($J$6,1,5)=MID($EE$11,1,5),0,1)</f>
        <v>0</v>
      </c>
    </row>
    <row r="739" spans="76:135" x14ac:dyDescent="0.25">
      <c r="BX739" s="78"/>
      <c r="BY739" s="319">
        <v>169</v>
      </c>
      <c r="CA739" s="78"/>
      <c r="EE739" s="76">
        <f>+IF(MID($J$3,1,10)=MID($EE$3,1,10),2,1)</f>
        <v>2</v>
      </c>
    </row>
    <row r="740" spans="76:135" x14ac:dyDescent="0.25">
      <c r="BX740" s="78"/>
      <c r="BY740" s="319">
        <v>0</v>
      </c>
      <c r="CA740" s="78"/>
      <c r="EE740" s="76">
        <f>+IF(MID($J$2,1,10)=MID($EE$2,1,10),4,1)</f>
        <v>4</v>
      </c>
    </row>
    <row r="741" spans="76:135" x14ac:dyDescent="0.25">
      <c r="BX741" s="78"/>
      <c r="BY741" s="319">
        <v>166</v>
      </c>
      <c r="CA741" s="78"/>
      <c r="EE741" s="76">
        <f>+IF(MID($J$2,1,10)=MID($EE$2,1,10),0,1)</f>
        <v>0</v>
      </c>
    </row>
    <row r="742" spans="76:135" x14ac:dyDescent="0.25">
      <c r="BX742" s="78"/>
      <c r="BY742" s="319">
        <v>125</v>
      </c>
      <c r="CA742" s="78"/>
      <c r="EE742" s="76">
        <f>+IF(MID($J$3,1,10)=MID($EE$3,1,10),2,1)</f>
        <v>2</v>
      </c>
    </row>
    <row r="743" spans="76:135" x14ac:dyDescent="0.25">
      <c r="BX743" s="78"/>
      <c r="BY743" s="319">
        <v>180</v>
      </c>
      <c r="CA743" s="78"/>
      <c r="EE743" s="76">
        <f>+IF(MID($J$3,1,10)=MID($EE$3,1,10),2,1)</f>
        <v>2</v>
      </c>
    </row>
    <row r="744" spans="76:135" x14ac:dyDescent="0.25">
      <c r="BX744" s="78"/>
      <c r="BY744" s="319">
        <v>178</v>
      </c>
      <c r="CA744" s="78"/>
      <c r="EE744" s="76">
        <f>+IF(MID($J$2,1,10)=MID($EE$2,1,10),4,1)</f>
        <v>4</v>
      </c>
    </row>
    <row r="745" spans="76:135" x14ac:dyDescent="0.25">
      <c r="BX745" s="78"/>
      <c r="BY745" s="319">
        <v>152</v>
      </c>
      <c r="CA745" s="78"/>
      <c r="EE745" s="76">
        <f>+IF(MID($J$3,1,10)=MID($EE$3,1,10),2,1)</f>
        <v>2</v>
      </c>
    </row>
    <row r="746" spans="76:135" x14ac:dyDescent="0.25">
      <c r="BX746" s="78"/>
      <c r="BY746" s="319">
        <v>138</v>
      </c>
      <c r="CA746" s="78"/>
      <c r="EE746" s="76">
        <f>+IF(MID($J$2,1,10)=MID($EE$2,1,10),4,1)</f>
        <v>4</v>
      </c>
    </row>
    <row r="747" spans="76:135" x14ac:dyDescent="0.25">
      <c r="BX747" s="78"/>
      <c r="BY747" s="319">
        <v>144</v>
      </c>
      <c r="CA747" s="78"/>
      <c r="EE747" s="76">
        <f>+IF(MID($J$2,1,10)=MID($EE$2,1,10),1,2)</f>
        <v>1</v>
      </c>
    </row>
    <row r="748" spans="76:135" x14ac:dyDescent="0.25">
      <c r="BX748" s="78"/>
      <c r="BY748" s="319">
        <v>192</v>
      </c>
      <c r="CA748" s="78"/>
      <c r="EE748" s="76">
        <f>+IF(MID($J$2,1,10)=MID($EE$2,1,10),3,1)</f>
        <v>3</v>
      </c>
    </row>
    <row r="749" spans="76:135" x14ac:dyDescent="0.25">
      <c r="BX749" s="78"/>
      <c r="BY749" s="319">
        <v>152</v>
      </c>
      <c r="CA749" s="78"/>
      <c r="EE749" s="76">
        <f>+IF(MID($J$2,1,10)=MID($EE$2,1,10),1,2)</f>
        <v>1</v>
      </c>
    </row>
    <row r="750" spans="76:135" x14ac:dyDescent="0.25">
      <c r="BX750" s="78"/>
      <c r="BY750" s="319">
        <v>161</v>
      </c>
      <c r="CA750" s="78"/>
      <c r="EE750" s="76">
        <f>+IF(MID($J$3,1,10)=MID($EE$3,1,10),2,1)</f>
        <v>2</v>
      </c>
    </row>
    <row r="751" spans="76:135" x14ac:dyDescent="0.25">
      <c r="BX751" s="78"/>
      <c r="BY751" s="319">
        <v>99</v>
      </c>
      <c r="CA751" s="78"/>
      <c r="EE751" s="76">
        <f>+IF(MID($J$2,1,10)=MID($EE$2,1,10),1,2)</f>
        <v>1</v>
      </c>
    </row>
    <row r="752" spans="76:135" x14ac:dyDescent="0.25">
      <c r="BX752" s="78"/>
      <c r="BY752" s="319">
        <v>423</v>
      </c>
      <c r="CA752" s="78"/>
      <c r="EE752" s="76">
        <f>+IF(MID($J$2,1,10)=MID($EE$2,1,10),0,1)</f>
        <v>0</v>
      </c>
    </row>
    <row r="753" spans="76:135" x14ac:dyDescent="0.25">
      <c r="BX753" s="78"/>
      <c r="BY753" s="319">
        <v>109</v>
      </c>
      <c r="CA753" s="78"/>
      <c r="EE753" s="76">
        <f>+IF(MID($J$2,1,10)=MID($EE$2,1,10),0,1)</f>
        <v>0</v>
      </c>
    </row>
    <row r="754" spans="76:135" x14ac:dyDescent="0.25">
      <c r="BX754" s="78"/>
      <c r="BY754" s="319">
        <v>1040</v>
      </c>
      <c r="CA754" s="78"/>
      <c r="EE754" s="76">
        <f>+IF(MID($J$2,1,10)=MID($EE$2,1,10),0,1)</f>
        <v>0</v>
      </c>
    </row>
    <row r="755" spans="76:135" x14ac:dyDescent="0.25">
      <c r="BX755" s="78"/>
      <c r="BY755" s="319">
        <v>114</v>
      </c>
      <c r="CA755" s="78"/>
      <c r="EE755" s="76">
        <f>+IF(MID($J$2,1,10)=MID($EE$2,1,10),1,2)</f>
        <v>1</v>
      </c>
    </row>
    <row r="756" spans="76:135" x14ac:dyDescent="0.25">
      <c r="BX756" s="78"/>
      <c r="BY756" s="319">
        <v>341</v>
      </c>
      <c r="CA756" s="78"/>
      <c r="EE756" s="76">
        <f>+IF(MID($J$2,1,10)=MID($EE$2,1,10),1,2)</f>
        <v>1</v>
      </c>
    </row>
    <row r="757" spans="76:135" x14ac:dyDescent="0.25">
      <c r="BX757" s="78"/>
      <c r="BY757" s="319">
        <v>157</v>
      </c>
      <c r="CA757" s="78"/>
      <c r="EE757" s="76">
        <f>+IF(MID($J$2,1,10)=MID($EE$2,1,10),3,1)</f>
        <v>3</v>
      </c>
    </row>
    <row r="758" spans="76:135" x14ac:dyDescent="0.25">
      <c r="BX758" s="78"/>
      <c r="BY758" s="319">
        <v>1006</v>
      </c>
      <c r="CA758" s="78"/>
      <c r="EE758" s="76">
        <f>+IF(MID($J$2,1,10)=MID($EE$2,1,10),3,1)</f>
        <v>3</v>
      </c>
    </row>
    <row r="759" spans="76:135" x14ac:dyDescent="0.25">
      <c r="BX759" s="78"/>
      <c r="BY759" s="319">
        <v>178</v>
      </c>
      <c r="CA759" s="78"/>
      <c r="EE759" s="76">
        <f>+IF(MID($J$2,1,10)=MID($EE$2,1,10),3,1)</f>
        <v>3</v>
      </c>
    </row>
    <row r="760" spans="76:135" x14ac:dyDescent="0.25">
      <c r="BX760" s="78"/>
      <c r="BY760" s="322">
        <v>15</v>
      </c>
      <c r="CA760" s="78"/>
      <c r="EE760" s="76">
        <f>+IF(MID($J$2,1,10)=MID($EE$2,1,10),0,1)</f>
        <v>0</v>
      </c>
    </row>
    <row r="761" spans="76:135" x14ac:dyDescent="0.25">
      <c r="BX761" s="78"/>
      <c r="BY761" s="319">
        <v>190</v>
      </c>
      <c r="CA761" s="78"/>
      <c r="EE761" s="76">
        <f>+IF(MID($J$2,1,10)=MID($EE$2,1,10),1,2)</f>
        <v>1</v>
      </c>
    </row>
    <row r="762" spans="76:135" x14ac:dyDescent="0.25">
      <c r="BX762" s="78"/>
      <c r="BY762" s="319">
        <v>524</v>
      </c>
      <c r="CA762" s="78"/>
      <c r="EE762" s="76">
        <f>+IF(MID($J$2,1,10)=MID($EE$2,1,10),3,1)</f>
        <v>3</v>
      </c>
    </row>
    <row r="763" spans="76:135" x14ac:dyDescent="0.25">
      <c r="BX763" s="78"/>
      <c r="BY763" s="319">
        <v>202</v>
      </c>
      <c r="CA763" s="78"/>
      <c r="EE763" s="76">
        <f>+IF(MID($J$2,1,10)=MID($EE$2,1,10),3,1)</f>
        <v>3</v>
      </c>
    </row>
    <row r="764" spans="76:135" x14ac:dyDescent="0.25">
      <c r="BX764" s="78"/>
      <c r="BY764" s="319">
        <v>1102</v>
      </c>
      <c r="CA764" s="78"/>
      <c r="EE764" s="76">
        <f>+IF(MID($J$2,1,10)=MID($EE$2,1,10),0,1)</f>
        <v>0</v>
      </c>
    </row>
    <row r="765" spans="76:135" x14ac:dyDescent="0.25">
      <c r="BX765" s="78"/>
      <c r="BY765" s="319">
        <v>300</v>
      </c>
      <c r="CA765" s="78"/>
      <c r="EE765" s="76">
        <f>+IF(MID($J$2,1,10)=MID($EE$2,1,10),3,1)</f>
        <v>3</v>
      </c>
    </row>
    <row r="766" spans="76:135" x14ac:dyDescent="0.25">
      <c r="BX766" s="78"/>
      <c r="BY766" s="319">
        <v>139</v>
      </c>
      <c r="CA766" s="78"/>
      <c r="EE766" s="76">
        <f>+IF(MID($J$2,1,10)=MID($EE$2,1,10),3,1)</f>
        <v>3</v>
      </c>
    </row>
    <row r="767" spans="76:135" x14ac:dyDescent="0.25">
      <c r="BX767" s="78"/>
      <c r="BY767" s="319">
        <v>1113</v>
      </c>
      <c r="CA767" s="78"/>
      <c r="EE767" s="76">
        <f>+IF(MID($J$2,1,10)=MID($EE$2,1,10),3,1)</f>
        <v>3</v>
      </c>
    </row>
    <row r="768" spans="76:135" x14ac:dyDescent="0.25">
      <c r="BX768" s="78"/>
      <c r="BY768" s="319">
        <v>159</v>
      </c>
      <c r="CA768" s="78"/>
      <c r="EE768" s="76">
        <f>+IF(MID($J$2,1,10)=MID($EE$2,1,10),1,2)</f>
        <v>1</v>
      </c>
    </row>
    <row r="769" spans="76:135" x14ac:dyDescent="0.25">
      <c r="BX769" s="78"/>
      <c r="BY769" s="319">
        <v>135</v>
      </c>
      <c r="CA769" s="78"/>
      <c r="EE769" s="76">
        <f>+IF(MID($J$2,1,10)=MID($EE$2,1,10),3,1)</f>
        <v>3</v>
      </c>
    </row>
    <row r="770" spans="76:135" x14ac:dyDescent="0.25">
      <c r="BX770" s="78"/>
      <c r="BY770" s="319">
        <v>168</v>
      </c>
      <c r="CA770" s="78"/>
      <c r="EE770" s="76">
        <f>+IF(MID($J$2,1,10)=MID($EE$2,1,10),0,1)</f>
        <v>0</v>
      </c>
    </row>
    <row r="771" spans="76:135" x14ac:dyDescent="0.25">
      <c r="BX771" s="78"/>
      <c r="BY771" s="319">
        <v>120</v>
      </c>
      <c r="CA771" s="78"/>
      <c r="EE771" s="76">
        <f>+IF(MID($J$2,1,10)=MID($EE$2,1,10),3,1)</f>
        <v>3</v>
      </c>
    </row>
    <row r="772" spans="76:135" x14ac:dyDescent="0.25">
      <c r="BX772" s="78"/>
      <c r="BY772" s="319">
        <v>142</v>
      </c>
      <c r="CA772" s="78"/>
      <c r="EE772" s="76">
        <f>+IF(MID($J$2,1,10)=MID($EE$2,1,10),3,1)</f>
        <v>3</v>
      </c>
    </row>
    <row r="773" spans="76:135" x14ac:dyDescent="0.25">
      <c r="BX773" s="78"/>
      <c r="BY773" s="319">
        <v>191</v>
      </c>
      <c r="CA773" s="78"/>
      <c r="EE773" s="76">
        <f>+IF(MID($J$2,1,10)=MID($EE$2,1,10),3,1)</f>
        <v>3</v>
      </c>
    </row>
    <row r="774" spans="76:135" x14ac:dyDescent="0.25">
      <c r="BX774" s="78"/>
      <c r="BY774" s="319">
        <v>149</v>
      </c>
      <c r="CA774" s="78"/>
      <c r="EE774" s="76">
        <f>+IF(MID($J$3,1,10)=MID($EE$3,1,10),2,1)</f>
        <v>2</v>
      </c>
    </row>
    <row r="775" spans="76:135" x14ac:dyDescent="0.25">
      <c r="BX775" s="78"/>
      <c r="BY775" s="319">
        <v>479</v>
      </c>
      <c r="CA775" s="78"/>
      <c r="EE775" s="76">
        <f>+IF(MID($J$2,1,10)=MID($EE$2,1,10),4,1)</f>
        <v>4</v>
      </c>
    </row>
    <row r="776" spans="76:135" x14ac:dyDescent="0.25">
      <c r="BX776" s="78"/>
      <c r="BY776" s="319">
        <v>184</v>
      </c>
      <c r="CA776" s="78"/>
      <c r="EE776" s="76">
        <f>+IF(MID($J$2,1,10)=MID($EE$2,1,10),0,1)</f>
        <v>0</v>
      </c>
    </row>
    <row r="777" spans="76:135" x14ac:dyDescent="0.25">
      <c r="BX777" s="78"/>
      <c r="BY777" s="319">
        <v>198</v>
      </c>
      <c r="CA777" s="78"/>
      <c r="EE777" s="76">
        <f>+IF(MID($J$3,1,10)=MID($EE$3,1,10),2,1)</f>
        <v>2</v>
      </c>
    </row>
    <row r="778" spans="76:135" x14ac:dyDescent="0.25">
      <c r="BX778" s="78"/>
      <c r="BY778" s="319">
        <v>175</v>
      </c>
      <c r="CA778" s="78"/>
      <c r="EE778" s="76">
        <f>+IF(MID($J$3,1,10)=MID($EE$3,1,10),2,1)</f>
        <v>2</v>
      </c>
    </row>
    <row r="779" spans="76:135" x14ac:dyDescent="0.25">
      <c r="BX779" s="78"/>
      <c r="BY779" s="319">
        <v>1075</v>
      </c>
      <c r="CA779" s="78"/>
      <c r="EE779" s="76">
        <f>+IF(MID($J$2,1,10)=MID($EE$2,1,10),4,1)</f>
        <v>4</v>
      </c>
    </row>
    <row r="780" spans="76:135" x14ac:dyDescent="0.25">
      <c r="BX780" s="78"/>
      <c r="BY780" s="319">
        <v>153</v>
      </c>
      <c r="CA780" s="78"/>
      <c r="EE780" s="76">
        <f>+IF(MID($J$3,1,10)=MID($EE$3,1,10),2,1)</f>
        <v>2</v>
      </c>
    </row>
    <row r="781" spans="76:135" x14ac:dyDescent="0.25">
      <c r="BX781" s="78"/>
      <c r="BY781" s="319">
        <v>130</v>
      </c>
      <c r="CA781" s="78"/>
      <c r="EE781" s="76">
        <f>+IF(MID($J$2,1,10)=MID($EE$2,1,10),4,1)</f>
        <v>4</v>
      </c>
    </row>
    <row r="782" spans="76:135" x14ac:dyDescent="0.25">
      <c r="BX782" s="78"/>
      <c r="BY782" s="322">
        <v>15</v>
      </c>
      <c r="CA782" s="78"/>
      <c r="EE782" s="76">
        <f>+IF(MID($J$6,1,5)=MID($EE$11,1,5),0,1)</f>
        <v>0</v>
      </c>
    </row>
    <row r="783" spans="76:135" x14ac:dyDescent="0.25">
      <c r="BX783" s="78"/>
      <c r="BY783" s="319">
        <v>164</v>
      </c>
      <c r="CA783" s="78"/>
      <c r="EE783" s="76">
        <f>+IF(MID($J$2,1,10)=MID($EE$2,1,10),3,1)</f>
        <v>3</v>
      </c>
    </row>
    <row r="784" spans="76:135" x14ac:dyDescent="0.25">
      <c r="BX784" s="78"/>
      <c r="BY784" s="319">
        <v>149</v>
      </c>
      <c r="CA784" s="78"/>
      <c r="EE784" s="76">
        <f>+IF(MID($J$2,1,10)=MID($EE$2,1,10),1,2)</f>
        <v>1</v>
      </c>
    </row>
    <row r="785" spans="76:135" x14ac:dyDescent="0.25">
      <c r="BX785" s="78"/>
      <c r="BY785" s="319">
        <v>2</v>
      </c>
      <c r="CA785" s="78"/>
      <c r="EE785" s="76">
        <f>+IF(MID($J$3,1,10)=MID($EE$3,1,10),2,1)</f>
        <v>2</v>
      </c>
    </row>
    <row r="786" spans="76:135" x14ac:dyDescent="0.25">
      <c r="BX786" s="78"/>
      <c r="BY786" s="319">
        <v>203</v>
      </c>
      <c r="CA786" s="78"/>
      <c r="EE786" s="76">
        <f>+IF(MID($J$2,1,10)=MID($EE$2,1,10),1,2)</f>
        <v>1</v>
      </c>
    </row>
    <row r="787" spans="76:135" x14ac:dyDescent="0.25">
      <c r="BX787" s="78"/>
      <c r="BY787" s="319">
        <v>468</v>
      </c>
      <c r="CA787" s="78"/>
      <c r="EE787" s="76">
        <f>+IF(MID($J$2,1,10)=MID($EE$2,1,10),0,1)</f>
        <v>0</v>
      </c>
    </row>
    <row r="788" spans="76:135" x14ac:dyDescent="0.25">
      <c r="BX788" s="78"/>
      <c r="BY788" s="319">
        <v>175</v>
      </c>
      <c r="CA788" s="78"/>
      <c r="EE788" s="76">
        <f>+IF(MID($J$2,1,10)=MID($EE$2,1,10),0,1)</f>
        <v>0</v>
      </c>
    </row>
    <row r="789" spans="76:135" x14ac:dyDescent="0.25">
      <c r="BX789" s="78"/>
      <c r="BY789" s="319">
        <v>559</v>
      </c>
      <c r="CA789" s="78"/>
      <c r="EE789" s="76">
        <f>+IF(MID($J$2,1,10)=MID($EE$2,1,10),0,1)</f>
        <v>0</v>
      </c>
    </row>
    <row r="790" spans="76:135" x14ac:dyDescent="0.25">
      <c r="BX790" s="78"/>
      <c r="BY790" s="319">
        <v>134</v>
      </c>
      <c r="CA790" s="78"/>
      <c r="EE790" s="76">
        <f>+IF(MID($J$2,1,10)=MID($EE$2,1,10),1,2)</f>
        <v>1</v>
      </c>
    </row>
    <row r="791" spans="76:135" x14ac:dyDescent="0.25">
      <c r="BX791" s="78"/>
      <c r="BY791" s="319">
        <v>159</v>
      </c>
      <c r="CA791" s="78"/>
      <c r="EE791" s="76">
        <f>+IF(MID($J$2,1,10)=MID($EE$2,1,10),1,2)</f>
        <v>1</v>
      </c>
    </row>
    <row r="792" spans="76:135" x14ac:dyDescent="0.25">
      <c r="BX792" s="78"/>
      <c r="BY792" s="319">
        <v>799</v>
      </c>
      <c r="CA792" s="78"/>
      <c r="EE792" s="76">
        <f>+IF(MID($J$2,1,10)=MID($EE$2,1,10),3,1)</f>
        <v>3</v>
      </c>
    </row>
    <row r="793" spans="76:135" x14ac:dyDescent="0.25">
      <c r="BX793" s="78"/>
      <c r="BY793" s="319">
        <v>180</v>
      </c>
      <c r="CA793" s="78"/>
      <c r="EE793" s="76">
        <f>+IF(MID($J$2,1,10)=MID($EE$2,1,10),3,1)</f>
        <v>3</v>
      </c>
    </row>
    <row r="794" spans="76:135" x14ac:dyDescent="0.25">
      <c r="BX794" s="78"/>
      <c r="BY794" s="319">
        <v>123</v>
      </c>
      <c r="CA794" s="78"/>
      <c r="EE794" s="76">
        <f>+IF(MID($J$2,1,10)=MID($EE$2,1,10),3,1)</f>
        <v>3</v>
      </c>
    </row>
    <row r="795" spans="76:135" x14ac:dyDescent="0.25">
      <c r="BX795" s="78"/>
      <c r="BY795" s="319">
        <v>198</v>
      </c>
      <c r="CA795" s="78"/>
      <c r="EE795" s="76">
        <f>+IF(MID($J$2,1,10)=MID($EE$2,1,10),0,1)</f>
        <v>0</v>
      </c>
    </row>
    <row r="796" spans="76:135" x14ac:dyDescent="0.25">
      <c r="BX796" s="78"/>
      <c r="BY796" s="319">
        <v>136</v>
      </c>
      <c r="CA796" s="78"/>
      <c r="EE796" s="76">
        <f>+IF(MID($J$2,1,10)=MID($EE$2,1,10),1,2)</f>
        <v>1</v>
      </c>
    </row>
    <row r="797" spans="76:135" x14ac:dyDescent="0.25">
      <c r="BX797" s="78"/>
      <c r="BY797" s="319">
        <v>186</v>
      </c>
      <c r="CA797" s="78"/>
      <c r="EE797" s="76">
        <f>+IF(MID($J$2,1,10)=MID($EE$2,1,10),3,1)</f>
        <v>3</v>
      </c>
    </row>
    <row r="798" spans="76:135" x14ac:dyDescent="0.25">
      <c r="BX798" s="78"/>
      <c r="BY798" s="319">
        <v>647</v>
      </c>
      <c r="CA798" s="78"/>
      <c r="EE798" s="76">
        <f>+IF(MID($J$2,1,10)=MID($EE$2,1,10),3,1)</f>
        <v>3</v>
      </c>
    </row>
    <row r="799" spans="76:135" x14ac:dyDescent="0.25">
      <c r="BX799" s="78"/>
      <c r="BY799" s="319">
        <v>153</v>
      </c>
      <c r="CA799" s="78"/>
      <c r="EE799" s="76">
        <f>+IF(MID($J$2,1,10)=MID($EE$2,1,10),0,1)</f>
        <v>0</v>
      </c>
    </row>
    <row r="800" spans="76:135" x14ac:dyDescent="0.25">
      <c r="BX800" s="78"/>
      <c r="BY800" s="319">
        <v>285</v>
      </c>
      <c r="CA800" s="78"/>
      <c r="EE800" s="76">
        <f>+IF(MID($J$2,1,10)=MID($EE$2,1,10),3,1)</f>
        <v>3</v>
      </c>
    </row>
    <row r="801" spans="76:135" x14ac:dyDescent="0.25">
      <c r="BX801" s="78"/>
      <c r="BY801" s="319">
        <v>175</v>
      </c>
      <c r="CA801" s="78"/>
      <c r="EE801" s="76">
        <f>+IF(MID($J$2,1,10)=MID($EE$2,1,10),3,1)</f>
        <v>3</v>
      </c>
    </row>
    <row r="802" spans="76:135" x14ac:dyDescent="0.25">
      <c r="BX802" s="78"/>
      <c r="BY802" s="319">
        <v>874</v>
      </c>
      <c r="CA802" s="78"/>
      <c r="EE802" s="76">
        <f>+IF(MID($J$2,1,10)=MID($EE$2,1,10),3,1)</f>
        <v>3</v>
      </c>
    </row>
    <row r="803" spans="76:135" x14ac:dyDescent="0.25">
      <c r="BX803" s="78"/>
      <c r="BY803" s="319">
        <v>175</v>
      </c>
      <c r="CA803" s="78"/>
      <c r="EE803" s="76">
        <f>+IF(MID($J$2,1,10)=MID($EE$2,1,10),1,2)</f>
        <v>1</v>
      </c>
    </row>
    <row r="804" spans="76:135" x14ac:dyDescent="0.25">
      <c r="BX804" s="78"/>
      <c r="BY804" s="322">
        <v>10</v>
      </c>
      <c r="CA804" s="78"/>
      <c r="EE804" s="76">
        <f>+IF(MID($J$6,1,5)=MID($EE$11,1,5),0,1)</f>
        <v>0</v>
      </c>
    </row>
    <row r="805" spans="76:135" x14ac:dyDescent="0.25">
      <c r="BX805" s="78"/>
      <c r="BY805" s="319">
        <v>868</v>
      </c>
      <c r="CA805" s="78"/>
      <c r="EE805" s="76">
        <f>+IF(MID($J$2,1,10)=MID($EE$2,1,10),4,1)</f>
        <v>4</v>
      </c>
    </row>
    <row r="806" spans="76:135" x14ac:dyDescent="0.25">
      <c r="BX806" s="78"/>
      <c r="BY806" s="319">
        <v>204</v>
      </c>
      <c r="CA806" s="78"/>
      <c r="EE806" s="76">
        <f>+IF(MID($J$2,1,10)=MID($EE$2,1,10),0,1)</f>
        <v>0</v>
      </c>
    </row>
    <row r="807" spans="76:135" x14ac:dyDescent="0.25">
      <c r="BX807" s="78"/>
      <c r="BY807" s="319">
        <v>764</v>
      </c>
      <c r="CA807" s="78"/>
      <c r="EE807" s="76">
        <f>+IF(MID($J$3,1,10)=MID($EE$3,1,10),2,1)</f>
        <v>2</v>
      </c>
    </row>
    <row r="808" spans="76:135" x14ac:dyDescent="0.25">
      <c r="BX808" s="78"/>
      <c r="BY808" s="319">
        <v>165</v>
      </c>
      <c r="CA808" s="78"/>
      <c r="EE808" s="76">
        <f>+IF(MID($J$3,1,10)=MID($EE$3,1,10),2,1)</f>
        <v>2</v>
      </c>
    </row>
    <row r="809" spans="76:135" x14ac:dyDescent="0.25">
      <c r="BX809" s="78"/>
      <c r="BY809" s="319">
        <v>1055</v>
      </c>
      <c r="CA809" s="78"/>
      <c r="EE809" s="76">
        <f>+IF(MID($J$2,1,10)=MID($EE$2,1,10),4,1)</f>
        <v>4</v>
      </c>
    </row>
    <row r="810" spans="76:135" x14ac:dyDescent="0.25">
      <c r="BX810" s="78"/>
      <c r="BY810" s="319">
        <v>141</v>
      </c>
      <c r="CA810" s="78"/>
      <c r="EE810" s="76">
        <f>+IF(MID($J$3,1,10)=MID($EE$3,1,10),2,1)</f>
        <v>2</v>
      </c>
    </row>
    <row r="811" spans="76:135" x14ac:dyDescent="0.25">
      <c r="BX811" s="78"/>
      <c r="BY811" s="319">
        <v>862</v>
      </c>
      <c r="CA811" s="78"/>
      <c r="EE811" s="76">
        <f>+IF(MID($J$2,1,10)=MID($EE$2,1,10),4,1)</f>
        <v>4</v>
      </c>
    </row>
    <row r="812" spans="76:135" x14ac:dyDescent="0.25">
      <c r="BX812" s="78"/>
      <c r="BY812" s="319">
        <v>110</v>
      </c>
      <c r="CA812" s="78"/>
      <c r="EE812" s="76">
        <f>+IF(MID($J$2,1,10)=MID($EE$2,1,10),1,2)</f>
        <v>1</v>
      </c>
    </row>
    <row r="813" spans="76:135" x14ac:dyDescent="0.25">
      <c r="BX813" s="78"/>
      <c r="BY813" s="319">
        <v>812</v>
      </c>
      <c r="CA813" s="78"/>
      <c r="EE813" s="76">
        <f>+IF(MID($J$2,1,10)=MID($EE$2,1,10),3,1)</f>
        <v>3</v>
      </c>
    </row>
    <row r="814" spans="76:135" x14ac:dyDescent="0.25">
      <c r="BX814" s="78"/>
      <c r="BY814" s="319">
        <v>207</v>
      </c>
      <c r="CA814" s="78"/>
      <c r="EE814" s="76">
        <f>+IF(MID($J$2,1,10)=MID($EE$2,1,10),1,2)</f>
        <v>1</v>
      </c>
    </row>
    <row r="815" spans="76:135" x14ac:dyDescent="0.25">
      <c r="BX815" s="78"/>
      <c r="BY815" s="319">
        <v>127</v>
      </c>
      <c r="CA815" s="78"/>
      <c r="EE815" s="76">
        <f>+IF(MID($J$3,1,10)=MID($EE$3,1,10),2,1)</f>
        <v>2</v>
      </c>
    </row>
    <row r="816" spans="76:135" x14ac:dyDescent="0.25">
      <c r="BX816" s="78"/>
      <c r="BY816" s="319">
        <v>188</v>
      </c>
      <c r="CA816" s="78"/>
      <c r="EE816" s="76">
        <f>+IF(MID($J$2,1,10)=MID($EE$2,1,10),1,2)</f>
        <v>1</v>
      </c>
    </row>
    <row r="817" spans="76:135" x14ac:dyDescent="0.25">
      <c r="BX817" s="78"/>
      <c r="BY817" s="319">
        <v>171</v>
      </c>
      <c r="CA817" s="78"/>
      <c r="EE817" s="76">
        <f>+IF(MID($J$2,1,10)=MID($EE$2,1,10),0,1)</f>
        <v>0</v>
      </c>
    </row>
    <row r="818" spans="76:135" x14ac:dyDescent="0.25">
      <c r="BX818" s="78"/>
      <c r="BY818" s="319">
        <v>118</v>
      </c>
      <c r="CA818" s="78"/>
      <c r="EE818" s="76">
        <f>+IF(MID($J$2,1,10)=MID($EE$2,1,10),0,1)</f>
        <v>0</v>
      </c>
    </row>
    <row r="819" spans="76:135" x14ac:dyDescent="0.25">
      <c r="BX819" s="78"/>
      <c r="BY819" s="319">
        <v>231</v>
      </c>
      <c r="CA819" s="78"/>
      <c r="EE819" s="76">
        <f>+IF(MID($J$3,1,10)=MID($EE$3,1,10),2,1)</f>
        <v>2</v>
      </c>
    </row>
    <row r="820" spans="76:135" x14ac:dyDescent="0.25">
      <c r="BX820" s="78"/>
      <c r="BY820" s="319">
        <v>182</v>
      </c>
      <c r="CA820" s="78"/>
      <c r="EE820" s="76">
        <f>+IF(MID($J$2,1,10)=MID($EE$2,1,10),4,1)</f>
        <v>4</v>
      </c>
    </row>
    <row r="821" spans="76:135" x14ac:dyDescent="0.25">
      <c r="BX821" s="78"/>
      <c r="BY821" s="319">
        <v>436</v>
      </c>
      <c r="CA821" s="78"/>
      <c r="EE821" s="76">
        <f>+IF(MID($J$2,1,10)=MID($EE$2,1,10),0,1)</f>
        <v>0</v>
      </c>
    </row>
    <row r="822" spans="76:135" x14ac:dyDescent="0.25">
      <c r="BX822" s="78"/>
      <c r="BY822" s="319">
        <v>179</v>
      </c>
      <c r="CA822" s="78"/>
      <c r="EE822" s="76">
        <f>+IF(MID($J$3,1,10)=MID($EE$3,1,10),2,1)</f>
        <v>2</v>
      </c>
    </row>
    <row r="823" spans="76:135" x14ac:dyDescent="0.25">
      <c r="BX823" s="78"/>
      <c r="BY823" s="319">
        <v>182</v>
      </c>
      <c r="CA823" s="78"/>
      <c r="EE823" s="76">
        <f>+IF(MID($J$3,1,10)=MID($EE$3,1,10),2,1)</f>
        <v>2</v>
      </c>
    </row>
    <row r="824" spans="76:135" x14ac:dyDescent="0.25">
      <c r="BX824" s="78"/>
      <c r="BY824" s="319">
        <v>184</v>
      </c>
      <c r="CA824" s="78"/>
      <c r="EE824" s="76">
        <f>+IF(MID($J$2,1,10)=MID($EE$2,1,10),4,1)</f>
        <v>4</v>
      </c>
    </row>
    <row r="825" spans="76:135" x14ac:dyDescent="0.25">
      <c r="BX825" s="78"/>
      <c r="BY825" s="319">
        <v>356</v>
      </c>
      <c r="CA825" s="78"/>
      <c r="EE825" s="76">
        <f>+IF(MID($J$3,1,10)=MID($EE$3,1,10),2,1)</f>
        <v>2</v>
      </c>
    </row>
    <row r="826" spans="76:135" x14ac:dyDescent="0.25">
      <c r="BX826" s="78"/>
      <c r="BY826" s="322">
        <v>18</v>
      </c>
      <c r="CA826" s="78"/>
      <c r="EE826" s="76">
        <f>+IF(MID($J$6,1,5)=MID($EE$11,1,5),0,1)</f>
        <v>0</v>
      </c>
    </row>
    <row r="827" spans="76:135" x14ac:dyDescent="0.25">
      <c r="BX827" s="78"/>
      <c r="BY827" s="319">
        <v>185</v>
      </c>
      <c r="CA827" s="78"/>
      <c r="EE827" s="76">
        <f>+IF(MID($J$2,1,10)=MID($EE$2,1,10),1,2)</f>
        <v>1</v>
      </c>
    </row>
    <row r="828" spans="76:135" x14ac:dyDescent="0.25">
      <c r="BX828" s="78"/>
      <c r="BY828" s="319">
        <v>177</v>
      </c>
      <c r="CA828" s="78"/>
      <c r="EE828" s="76">
        <f>+IF(MID($J$2,1,10)=MID($EE$2,1,10),3,1)</f>
        <v>3</v>
      </c>
    </row>
    <row r="829" spans="76:135" x14ac:dyDescent="0.25">
      <c r="BX829" s="78"/>
      <c r="BY829" s="319">
        <v>157</v>
      </c>
      <c r="CA829" s="78"/>
      <c r="EE829" s="76">
        <f>+IF(MID($J$2,1,10)=MID($EE$2,1,10),1,2)</f>
        <v>1</v>
      </c>
    </row>
    <row r="830" spans="76:135" x14ac:dyDescent="0.25">
      <c r="BX830" s="78"/>
      <c r="BY830" s="319">
        <v>134</v>
      </c>
      <c r="CA830" s="78"/>
      <c r="EE830" s="76">
        <f>+IF(MID($J$3,1,10)=MID($EE$3,1,10),2,1)</f>
        <v>2</v>
      </c>
    </row>
    <row r="831" spans="76:135" x14ac:dyDescent="0.25">
      <c r="BX831" s="78"/>
      <c r="BY831" s="319">
        <v>181</v>
      </c>
      <c r="CA831" s="78"/>
      <c r="EE831" s="76">
        <f>+IF(MID($J$2,1,10)=MID($EE$2,1,10),1,2)</f>
        <v>1</v>
      </c>
    </row>
    <row r="832" spans="76:135" x14ac:dyDescent="0.25">
      <c r="BX832" s="78"/>
      <c r="BY832" s="319">
        <v>133</v>
      </c>
      <c r="CA832" s="78"/>
      <c r="EE832" s="76">
        <f>+IF(MID($J$2,1,10)=MID($EE$2,1,10),0,1)</f>
        <v>0</v>
      </c>
    </row>
    <row r="833" spans="76:135" x14ac:dyDescent="0.25">
      <c r="BX833" s="78"/>
      <c r="BY833" s="319">
        <v>135</v>
      </c>
      <c r="CA833" s="78"/>
      <c r="EE833" s="76">
        <f>+IF(MID($J$2,1,10)=MID($EE$2,1,10),0,1)</f>
        <v>0</v>
      </c>
    </row>
    <row r="834" spans="76:135" x14ac:dyDescent="0.25">
      <c r="BX834" s="78"/>
      <c r="BY834" s="319">
        <v>146</v>
      </c>
      <c r="CA834" s="78"/>
      <c r="EE834" s="76">
        <f>+IF(MID($J$2,1,10)=MID($EE$2,1,10),0,1)</f>
        <v>0</v>
      </c>
    </row>
    <row r="835" spans="76:135" x14ac:dyDescent="0.25">
      <c r="BX835" s="78"/>
      <c r="BY835" s="319">
        <v>176</v>
      </c>
      <c r="CA835" s="78"/>
      <c r="EE835" s="76">
        <f>+IF(MID($J$2,1,10)=MID($EE$2,1,10),1,2)</f>
        <v>1</v>
      </c>
    </row>
    <row r="836" spans="76:135" x14ac:dyDescent="0.25">
      <c r="BX836" s="78"/>
      <c r="BY836" s="319">
        <v>121</v>
      </c>
      <c r="CA836" s="78"/>
      <c r="EE836" s="76">
        <f>+IF(MID($J$2,1,10)=MID($EE$2,1,10),1,2)</f>
        <v>1</v>
      </c>
    </row>
    <row r="837" spans="76:135" x14ac:dyDescent="0.25">
      <c r="BX837" s="78"/>
      <c r="BY837" s="319">
        <v>136</v>
      </c>
      <c r="CA837" s="78"/>
      <c r="EE837" s="76">
        <f>+IF(MID($J$2,1,10)=MID($EE$2,1,10),3,1)</f>
        <v>3</v>
      </c>
    </row>
    <row r="838" spans="76:135" x14ac:dyDescent="0.25">
      <c r="BX838" s="78"/>
      <c r="BY838" s="319">
        <v>488</v>
      </c>
      <c r="CA838" s="78"/>
      <c r="EE838" s="76">
        <f>+IF(MID($J$2,1,10)=MID($EE$2,1,10),3,1)</f>
        <v>3</v>
      </c>
    </row>
    <row r="839" spans="76:135" x14ac:dyDescent="0.25">
      <c r="BX839" s="78"/>
      <c r="BY839" s="319">
        <v>191</v>
      </c>
      <c r="CA839" s="78"/>
      <c r="EE839" s="76">
        <f>+IF(MID($J$2,1,10)=MID($EE$2,1,10),3,1)</f>
        <v>3</v>
      </c>
    </row>
    <row r="840" spans="76:135" x14ac:dyDescent="0.25">
      <c r="BX840" s="78"/>
      <c r="BY840" s="319">
        <v>353</v>
      </c>
      <c r="CA840" s="78"/>
      <c r="EE840" s="76">
        <f>+IF(MID($J$2,1,10)=MID($EE$2,1,10),0,1)</f>
        <v>0</v>
      </c>
    </row>
    <row r="841" spans="76:135" x14ac:dyDescent="0.25">
      <c r="BX841" s="78"/>
      <c r="BY841" s="319">
        <v>114</v>
      </c>
      <c r="CA841" s="78"/>
      <c r="EE841" s="76">
        <f>+IF(MID($J$2,1,10)=MID($EE$2,1,10),1,2)</f>
        <v>1</v>
      </c>
    </row>
    <row r="842" spans="76:135" x14ac:dyDescent="0.25">
      <c r="BX842" s="78"/>
      <c r="BY842" s="319">
        <v>147</v>
      </c>
      <c r="CA842" s="78"/>
      <c r="EE842" s="76">
        <f>+IF(MID($J$2,1,10)=MID($EE$2,1,10),3,1)</f>
        <v>3</v>
      </c>
    </row>
    <row r="843" spans="76:135" x14ac:dyDescent="0.25">
      <c r="BX843" s="78"/>
      <c r="BY843" s="319">
        <v>202</v>
      </c>
      <c r="CA843" s="78"/>
      <c r="EE843" s="76">
        <f>+IF(MID($J$2,1,10)=MID($EE$2,1,10),3,1)</f>
        <v>3</v>
      </c>
    </row>
    <row r="844" spans="76:135" x14ac:dyDescent="0.25">
      <c r="BX844" s="78"/>
      <c r="BY844" s="319">
        <v>320</v>
      </c>
      <c r="CA844" s="78"/>
      <c r="EE844" s="76">
        <f>+IF(MID($J$2,1,10)=MID($EE$2,1,10),0,1)</f>
        <v>0</v>
      </c>
    </row>
    <row r="845" spans="76:135" x14ac:dyDescent="0.25">
      <c r="BX845" s="78"/>
      <c r="BY845" s="319">
        <v>122</v>
      </c>
      <c r="CA845" s="78"/>
      <c r="EE845" s="76">
        <f>+IF(MID($J$2,1,10)=MID($EE$2,1,10),3,1)</f>
        <v>3</v>
      </c>
    </row>
    <row r="846" spans="76:135" x14ac:dyDescent="0.25">
      <c r="BX846" s="78"/>
      <c r="BY846" s="319">
        <v>251</v>
      </c>
      <c r="CA846" s="78"/>
      <c r="EE846" s="76">
        <f>+IF(MID($J$2,1,10)=MID($EE$2,1,10),3,1)</f>
        <v>3</v>
      </c>
    </row>
    <row r="847" spans="76:135" x14ac:dyDescent="0.25">
      <c r="BX847" s="78"/>
      <c r="BY847" s="319">
        <v>182</v>
      </c>
      <c r="CA847" s="78"/>
      <c r="EE847" s="76">
        <f>+IF(MID($J$2,1,10)=MID($EE$2,1,10),3,1)</f>
        <v>3</v>
      </c>
    </row>
    <row r="848" spans="76:135" x14ac:dyDescent="0.25">
      <c r="BX848" s="78"/>
      <c r="BY848" s="319">
        <v>357</v>
      </c>
      <c r="CA848" s="78"/>
      <c r="EE848" s="76">
        <f>+IF(MID($J$2,1,10)=MID($EE$2,1,10),1,2)</f>
        <v>1</v>
      </c>
    </row>
    <row r="849" spans="76:135" x14ac:dyDescent="0.25">
      <c r="BX849" s="78"/>
      <c r="BY849" s="319">
        <v>160</v>
      </c>
      <c r="CA849" s="78"/>
      <c r="EE849" s="76">
        <f>+IF(MID($J$3,1,10)=MID($EE$3,1,10),2,1)</f>
        <v>2</v>
      </c>
    </row>
    <row r="850" spans="76:135" x14ac:dyDescent="0.25">
      <c r="BX850" s="78"/>
      <c r="BY850" s="319">
        <v>174</v>
      </c>
      <c r="CA850" s="78"/>
      <c r="EE850" s="76">
        <f>+IF(MID($J$2,1,10)=MID($EE$2,1,10),4,1)</f>
        <v>4</v>
      </c>
    </row>
    <row r="851" spans="76:135" x14ac:dyDescent="0.25">
      <c r="BX851" s="78"/>
      <c r="BY851" s="319">
        <v>288</v>
      </c>
      <c r="CA851" s="78"/>
      <c r="EE851" s="76">
        <f>+IF(MID($J$2,1,10)=MID($EE$2,1,10),0,1)</f>
        <v>0</v>
      </c>
    </row>
    <row r="852" spans="76:135" x14ac:dyDescent="0.25">
      <c r="BX852" s="78"/>
      <c r="BY852" s="319">
        <v>162</v>
      </c>
      <c r="CA852" s="78"/>
      <c r="EE852" s="76">
        <f>+IF(MID($J$3,1,10)=MID($EE$3,1,10),2,1)</f>
        <v>2</v>
      </c>
    </row>
    <row r="853" spans="76:135" x14ac:dyDescent="0.25">
      <c r="BX853" s="78"/>
      <c r="BY853" s="319">
        <v>13</v>
      </c>
      <c r="CA853" s="78"/>
      <c r="EE853" s="76">
        <f>+IF(MID($J$3,1,10)=MID($EE$3,1,10),2,1)</f>
        <v>2</v>
      </c>
    </row>
    <row r="854" spans="76:135" x14ac:dyDescent="0.25">
      <c r="BX854" s="78"/>
      <c r="BY854" s="319">
        <v>172</v>
      </c>
      <c r="CA854" s="78"/>
      <c r="EE854" s="76">
        <f>+IF(MID($J$2,1,10)=MID($EE$2,1,10),4,1)</f>
        <v>4</v>
      </c>
    </row>
    <row r="855" spans="76:135" x14ac:dyDescent="0.25">
      <c r="BX855" s="78"/>
      <c r="BY855" s="319">
        <v>702</v>
      </c>
      <c r="CA855" s="78"/>
      <c r="EE855" s="76">
        <f>+IF(MID($J$3,1,10)=MID($EE$3,1,10),2,1)</f>
        <v>2</v>
      </c>
    </row>
    <row r="856" spans="76:135" x14ac:dyDescent="0.25">
      <c r="BX856" s="78"/>
      <c r="BY856" s="319">
        <v>117</v>
      </c>
      <c r="CA856" s="78"/>
      <c r="EE856" s="76">
        <f>+IF(MID($J$2,1,10)=MID($EE$2,1,10),4,1)</f>
        <v>4</v>
      </c>
    </row>
    <row r="857" spans="76:135" x14ac:dyDescent="0.25">
      <c r="BX857" s="78"/>
      <c r="BY857" s="319">
        <v>941</v>
      </c>
      <c r="CA857" s="78"/>
      <c r="EE857" s="76">
        <f>+IF(MID($J$2,1,10)=MID($EE$2,1,10),1,2)</f>
        <v>1</v>
      </c>
    </row>
    <row r="858" spans="76:135" x14ac:dyDescent="0.25">
      <c r="BX858" s="78"/>
      <c r="BY858" s="319">
        <v>192</v>
      </c>
      <c r="CA858" s="78"/>
      <c r="EE858" s="76">
        <f>+IF(MID($J$2,1,10)=MID($EE$2,1,10),3,1)</f>
        <v>3</v>
      </c>
    </row>
    <row r="859" spans="76:135" x14ac:dyDescent="0.25">
      <c r="BX859" s="78"/>
      <c r="BY859" s="319">
        <v>8</v>
      </c>
      <c r="CA859" s="78"/>
      <c r="EE859" s="76">
        <f>+IF(MID($J$2,1,10)=MID($EE$2,1,10),1,2)</f>
        <v>1</v>
      </c>
    </row>
    <row r="860" spans="76:135" x14ac:dyDescent="0.25">
      <c r="BX860" s="78"/>
      <c r="BY860" s="319">
        <v>192</v>
      </c>
      <c r="CA860" s="78"/>
      <c r="EE860" s="76">
        <f>+IF(MID($J$3,1,10)=MID($EE$3,1,10),2,1)</f>
        <v>2</v>
      </c>
    </row>
    <row r="861" spans="76:135" x14ac:dyDescent="0.25">
      <c r="BX861" s="78"/>
      <c r="BY861" s="319">
        <v>848</v>
      </c>
      <c r="CA861" s="78"/>
      <c r="EE861" s="76">
        <f>+IF(MID($J$2,1,10)=MID($EE$2,1,10),1,2)</f>
        <v>1</v>
      </c>
    </row>
    <row r="862" spans="76:135" x14ac:dyDescent="0.25">
      <c r="BX862" s="78"/>
      <c r="BY862" s="319">
        <v>108</v>
      </c>
      <c r="CA862" s="78"/>
      <c r="EE862" s="76">
        <f>+IF(MID($J$2,1,10)=MID($EE$2,1,10),0,1)</f>
        <v>0</v>
      </c>
    </row>
    <row r="863" spans="76:135" x14ac:dyDescent="0.25">
      <c r="BX863" s="78"/>
      <c r="BY863" s="319">
        <v>118</v>
      </c>
      <c r="CA863" s="78"/>
      <c r="EE863" s="76">
        <f>+IF(MID($J$2,1,10)=MID($EE$2,1,10),0,1)</f>
        <v>0</v>
      </c>
    </row>
    <row r="864" spans="76:135" x14ac:dyDescent="0.25">
      <c r="BX864" s="78"/>
      <c r="BY864" s="319">
        <v>156</v>
      </c>
      <c r="CA864" s="78"/>
      <c r="EE864" s="76">
        <f>+IF(MID($J$2,1,10)=MID($EE$2,1,10),0,1)</f>
        <v>0</v>
      </c>
    </row>
    <row r="865" spans="76:135" x14ac:dyDescent="0.25">
      <c r="BX865" s="78"/>
      <c r="BY865" s="319">
        <v>580</v>
      </c>
      <c r="CA865" s="78"/>
      <c r="EE865" s="76">
        <f>+IF(MID($J$2,1,10)=MID($EE$2,1,10),1,2)</f>
        <v>1</v>
      </c>
    </row>
    <row r="866" spans="76:135" x14ac:dyDescent="0.25">
      <c r="BX866" s="78"/>
      <c r="BY866" s="319">
        <v>164</v>
      </c>
      <c r="CA866" s="78"/>
      <c r="EE866" s="76">
        <f>+IF(MID($J$2,1,10)=MID($EE$2,1,10),1,2)</f>
        <v>1</v>
      </c>
    </row>
    <row r="867" spans="76:135" x14ac:dyDescent="0.25">
      <c r="BX867" s="78"/>
      <c r="BY867" s="319">
        <v>387</v>
      </c>
      <c r="CA867" s="78"/>
      <c r="EE867" s="76">
        <f>+IF(MID($J$2,1,10)=MID($EE$2,1,10),3,1)</f>
        <v>3</v>
      </c>
    </row>
    <row r="868" spans="76:135" x14ac:dyDescent="0.25">
      <c r="BX868" s="78"/>
      <c r="BY868" s="319">
        <v>141</v>
      </c>
      <c r="CA868" s="78"/>
      <c r="EE868" s="76">
        <f>+IF(MID($J$2,1,10)=MID($EE$2,1,10),3,1)</f>
        <v>3</v>
      </c>
    </row>
    <row r="869" spans="76:135" x14ac:dyDescent="0.25">
      <c r="BX869" s="78"/>
      <c r="BY869" s="319">
        <v>133</v>
      </c>
      <c r="CA869" s="78"/>
      <c r="EE869" s="76">
        <f>+IF(MID($J$2,1,10)=MID($EE$2,1,10),3,1)</f>
        <v>3</v>
      </c>
    </row>
    <row r="870" spans="76:135" x14ac:dyDescent="0.25">
      <c r="BX870" s="78"/>
      <c r="BY870" s="319">
        <v>162</v>
      </c>
      <c r="CA870" s="78"/>
      <c r="EE870" s="76">
        <f>+IF(MID($J$2,1,10)=MID($EE$2,1,10),0,1)</f>
        <v>0</v>
      </c>
    </row>
    <row r="871" spans="76:135" x14ac:dyDescent="0.25">
      <c r="BX871" s="78"/>
      <c r="BY871" s="319">
        <v>957</v>
      </c>
      <c r="CA871" s="78"/>
      <c r="EE871" s="76">
        <f>+IF(MID($J$2,1,10)=MID($EE$2,1,10),1,2)</f>
        <v>1</v>
      </c>
    </row>
    <row r="872" spans="76:135" x14ac:dyDescent="0.25">
      <c r="BX872" s="78"/>
      <c r="BY872" s="319">
        <v>164</v>
      </c>
      <c r="CA872" s="78"/>
      <c r="EE872" s="76">
        <f>+IF(MID($J$2,1,10)=MID($EE$2,1,10),3,1)</f>
        <v>3</v>
      </c>
    </row>
    <row r="873" spans="76:135" x14ac:dyDescent="0.25">
      <c r="BX873" s="78"/>
      <c r="BY873" s="319">
        <v>614</v>
      </c>
      <c r="CA873" s="78"/>
      <c r="EE873" s="76">
        <f>+IF(MID($J$2,1,10)=MID($EE$2,1,10),3,1)</f>
        <v>3</v>
      </c>
    </row>
    <row r="874" spans="76:135" x14ac:dyDescent="0.25">
      <c r="BX874" s="78"/>
      <c r="BY874" s="319">
        <v>139</v>
      </c>
      <c r="CA874" s="78"/>
      <c r="EE874" s="76">
        <f>+IF(MID($J$2,1,10)=MID($EE$2,1,10),0,1)</f>
        <v>0</v>
      </c>
    </row>
    <row r="875" spans="76:135" x14ac:dyDescent="0.25">
      <c r="BX875" s="78"/>
      <c r="BY875" s="319">
        <v>500</v>
      </c>
      <c r="CA875" s="78"/>
      <c r="EE875" s="76">
        <f>+IF(MID($J$2,1,10)=MID($EE$2,1,10),3,1)</f>
        <v>3</v>
      </c>
    </row>
    <row r="876" spans="76:135" x14ac:dyDescent="0.25">
      <c r="BX876" s="78"/>
      <c r="BY876" s="319">
        <v>162</v>
      </c>
      <c r="CA876" s="78"/>
      <c r="EE876" s="76">
        <f>+IF(MID($J$2,1,10)=MID($EE$2,1,10),3,1)</f>
        <v>3</v>
      </c>
    </row>
    <row r="877" spans="76:135" x14ac:dyDescent="0.25">
      <c r="BX877" s="78"/>
      <c r="BY877" s="319">
        <v>110</v>
      </c>
      <c r="CA877" s="78"/>
      <c r="EE877" s="76">
        <f>+IF(MID($J$2,1,10)=MID($EE$2,1,10),3,1)</f>
        <v>3</v>
      </c>
    </row>
    <row r="878" spans="76:135" x14ac:dyDescent="0.25">
      <c r="BX878" s="78"/>
      <c r="BY878" s="319">
        <v>128</v>
      </c>
      <c r="CA878" s="78"/>
      <c r="EE878" s="76">
        <f>+IF(MID($J$2,1,10)=MID($EE$2,1,10),1,2)</f>
        <v>1</v>
      </c>
    </row>
    <row r="879" spans="76:135" x14ac:dyDescent="0.25">
      <c r="BX879" s="78"/>
      <c r="BY879" s="319">
        <v>13</v>
      </c>
      <c r="CA879" s="78"/>
      <c r="EE879" s="76">
        <f>+IF(MID($J$3,1,10)=MID($EE$3,1,10),2,1)</f>
        <v>2</v>
      </c>
    </row>
    <row r="880" spans="76:135" x14ac:dyDescent="0.25">
      <c r="BX880" s="78"/>
      <c r="BY880" s="319">
        <v>253</v>
      </c>
      <c r="CA880" s="78"/>
      <c r="EE880" s="76">
        <f>+IF(MID($J$2,1,10)=MID($EE$2,1,10),4,1)</f>
        <v>4</v>
      </c>
    </row>
    <row r="881" spans="76:135" x14ac:dyDescent="0.25">
      <c r="BX881" s="78"/>
      <c r="BY881" s="319">
        <v>188</v>
      </c>
      <c r="CA881" s="78"/>
      <c r="EE881" s="76">
        <f>+IF(MID($J$2,1,10)=MID($EE$2,1,10),0,1)</f>
        <v>0</v>
      </c>
    </row>
    <row r="882" spans="76:135" x14ac:dyDescent="0.25">
      <c r="BX882" s="78"/>
      <c r="BY882" s="319">
        <v>1126</v>
      </c>
      <c r="CA882" s="78"/>
      <c r="EE882" s="76">
        <f>+IF(MID($J$3,1,10)=MID($EE$3,1,10),2,1)</f>
        <v>2</v>
      </c>
    </row>
    <row r="883" spans="76:135" x14ac:dyDescent="0.25">
      <c r="BX883" s="78"/>
      <c r="BY883" s="319">
        <v>190</v>
      </c>
      <c r="CA883" s="78"/>
      <c r="EE883" s="76">
        <f>+IF(MID($J$3,1,10)=MID($EE$3,1,10),2,1)</f>
        <v>2</v>
      </c>
    </row>
    <row r="884" spans="76:135" x14ac:dyDescent="0.25">
      <c r="BX884" s="78"/>
      <c r="BY884" s="319">
        <v>678</v>
      </c>
      <c r="CA884" s="78"/>
      <c r="EE884" s="76">
        <f>+IF(MID($J$2,1,10)=MID($EE$2,1,10),4,1)</f>
        <v>4</v>
      </c>
    </row>
    <row r="885" spans="76:135" x14ac:dyDescent="0.25">
      <c r="BX885" s="78"/>
      <c r="BY885" s="319">
        <v>116</v>
      </c>
      <c r="CA885" s="78"/>
      <c r="EE885" s="76">
        <f>+IF(MID($J$3,1,10)=MID($EE$3,1,10),2,1)</f>
        <v>2</v>
      </c>
    </row>
    <row r="886" spans="76:135" x14ac:dyDescent="0.25">
      <c r="BX886" s="78"/>
      <c r="BY886" s="319">
        <v>283</v>
      </c>
      <c r="CA886" s="78"/>
      <c r="EE886" s="76">
        <f>+IF(MID($J$2,1,10)=MID($EE$2,1,10),4,1)</f>
        <v>4</v>
      </c>
    </row>
    <row r="887" spans="76:135" x14ac:dyDescent="0.25">
      <c r="BX887" s="78"/>
      <c r="BY887" s="319">
        <v>165</v>
      </c>
      <c r="CA887" s="78"/>
      <c r="EE887" s="76">
        <f>+IF(MID($J$2,1,10)=MID($EE$2,1,10),1,2)</f>
        <v>1</v>
      </c>
    </row>
    <row r="888" spans="76:135" x14ac:dyDescent="0.25">
      <c r="BX888" s="78"/>
      <c r="BY888" s="319">
        <v>360</v>
      </c>
      <c r="CA888" s="78"/>
      <c r="EE888" s="76">
        <f>+IF(MID($J$2,1,10)=MID($EE$2,1,10),3,1)</f>
        <v>3</v>
      </c>
    </row>
    <row r="889" spans="76:135" x14ac:dyDescent="0.25">
      <c r="BX889" s="78"/>
      <c r="BY889" s="319">
        <v>189</v>
      </c>
      <c r="CA889" s="78"/>
      <c r="EE889" s="76">
        <f>+IF(MID($J$2,1,10)=MID($EE$2,1,10),1,2)</f>
        <v>1</v>
      </c>
    </row>
    <row r="890" spans="76:135" x14ac:dyDescent="0.25">
      <c r="BX890" s="78"/>
      <c r="BY890" s="319">
        <v>894</v>
      </c>
      <c r="CA890" s="78"/>
      <c r="EE890" s="76">
        <f>+IF(MID($J$3,1,10)=MID($EE$3,1,10),2,1)</f>
        <v>2</v>
      </c>
    </row>
    <row r="891" spans="76:135" x14ac:dyDescent="0.25">
      <c r="BX891" s="78"/>
      <c r="BY891" s="319">
        <v>600</v>
      </c>
      <c r="CA891" s="78"/>
      <c r="EE891" s="76">
        <f>+IF(MID($J$2,1,10)=MID($EE$2,1,10),1,2)</f>
        <v>1</v>
      </c>
    </row>
    <row r="892" spans="76:135" x14ac:dyDescent="0.25">
      <c r="BX892" s="78"/>
      <c r="BY892" s="319">
        <v>198</v>
      </c>
      <c r="CA892" s="78"/>
      <c r="EE892" s="76">
        <f>+IF(MID($J$2,1,10)=MID($EE$2,1,10),0,1)</f>
        <v>0</v>
      </c>
    </row>
    <row r="893" spans="76:135" x14ac:dyDescent="0.25">
      <c r="BX893" s="78"/>
      <c r="BY893" s="322">
        <v>28</v>
      </c>
      <c r="CA893" s="78"/>
      <c r="EE893" s="76">
        <f>+IF(MID($J$2,1,10)=MID($EE$2,1,10),0,1)</f>
        <v>0</v>
      </c>
    </row>
    <row r="894" spans="76:135" x14ac:dyDescent="0.25">
      <c r="BX894" s="78"/>
      <c r="BY894" s="319">
        <v>128</v>
      </c>
      <c r="CA894" s="78"/>
      <c r="EE894" s="76">
        <f>+IF(MID($J$2,1,10)=MID($EE$2,1,10),0,1)</f>
        <v>0</v>
      </c>
    </row>
    <row r="895" spans="76:135" x14ac:dyDescent="0.25">
      <c r="BX895" s="79"/>
      <c r="BY895" s="322">
        <v>20</v>
      </c>
      <c r="BZ895" s="323"/>
      <c r="CA895" s="79"/>
      <c r="EE895" s="76">
        <f>+IF(MID($J$6,1,5)=MID($EE$11,1,5),0,1)</f>
        <v>0</v>
      </c>
    </row>
    <row r="896" spans="76:135" x14ac:dyDescent="0.25">
      <c r="BX896" s="78"/>
      <c r="BY896" s="324">
        <v>5</v>
      </c>
      <c r="CA896" s="78"/>
      <c r="EE896" s="76">
        <f>+IF(MID($J$6,1,5)=MID($EE$11,1,5),0,1)</f>
        <v>0</v>
      </c>
    </row>
    <row r="897" spans="76:135" x14ac:dyDescent="0.25">
      <c r="BX897" s="78"/>
      <c r="BY897" s="319">
        <v>385</v>
      </c>
      <c r="CA897" s="78"/>
      <c r="EE897" s="76">
        <f>+IF(MID($J$2,1,10)=MID($EE$2,1,10),3,1)</f>
        <v>3</v>
      </c>
    </row>
    <row r="898" spans="76:135" x14ac:dyDescent="0.25">
      <c r="BX898" s="78"/>
      <c r="BY898" s="322">
        <v>10</v>
      </c>
      <c r="CA898" s="78"/>
      <c r="EE898" s="76">
        <f>+IF(MID($J$6,1,5)=MID($EE$11,1,5),0,1)</f>
        <v>0</v>
      </c>
    </row>
    <row r="899" spans="76:135" x14ac:dyDescent="0.25">
      <c r="BX899" s="78"/>
      <c r="BY899" s="319">
        <v>736</v>
      </c>
      <c r="CA899" s="78"/>
      <c r="EE899" s="76">
        <f>+IF(MID($J$2,1,10)=MID($EE$2,1,10),3,1)</f>
        <v>3</v>
      </c>
    </row>
    <row r="900" spans="76:135" x14ac:dyDescent="0.25">
      <c r="BX900" s="79"/>
      <c r="BY900" s="322">
        <v>10</v>
      </c>
      <c r="BZ900" s="323"/>
      <c r="CA900" s="79"/>
      <c r="EE900" s="76">
        <f>+IF(MID($J$2,1,10)=MID($EE$2,1,10),0,1)</f>
        <v>0</v>
      </c>
    </row>
    <row r="901" spans="76:135" x14ac:dyDescent="0.25">
      <c r="BX901" s="78"/>
      <c r="BY901" s="322">
        <v>15</v>
      </c>
      <c r="CA901" s="78"/>
      <c r="EE901" s="76">
        <f>+IF(MID($J$6,1,5)=MID($EE$11,1,5),0,1)</f>
        <v>0</v>
      </c>
    </row>
    <row r="902" spans="76:135" x14ac:dyDescent="0.25">
      <c r="BX902" s="78"/>
      <c r="BY902" s="319">
        <v>114</v>
      </c>
      <c r="CA902" s="78"/>
      <c r="EE902" s="76">
        <f>+IF(MID($J$2,1,10)=MID($EE$2,1,10),3,1)</f>
        <v>3</v>
      </c>
    </row>
    <row r="903" spans="76:135" x14ac:dyDescent="0.25">
      <c r="BX903" s="78"/>
      <c r="BY903" s="319">
        <v>101</v>
      </c>
      <c r="CA903" s="78"/>
      <c r="EE903" s="76">
        <f>+IF(MID($J$2,1,10)=MID($EE$2,1,10),3,1)</f>
        <v>3</v>
      </c>
    </row>
    <row r="904" spans="76:135" x14ac:dyDescent="0.25">
      <c r="BX904" s="78"/>
      <c r="BY904" s="319">
        <v>121</v>
      </c>
      <c r="CA904" s="78"/>
      <c r="EE904" s="76">
        <f>+IF(MID($J$2,1,10)=MID($EE$2,1,10),0,1)</f>
        <v>0</v>
      </c>
    </row>
    <row r="905" spans="76:135" x14ac:dyDescent="0.25">
      <c r="BX905" s="78"/>
      <c r="BY905" s="319">
        <v>1019</v>
      </c>
      <c r="CA905" s="78"/>
      <c r="EE905" s="76">
        <f>+IF(MID($J$2,1,10)=MID($EE$2,1,10),3,1)</f>
        <v>3</v>
      </c>
    </row>
    <row r="906" spans="76:135" x14ac:dyDescent="0.25">
      <c r="BX906" s="78"/>
      <c r="BY906" s="319">
        <v>131</v>
      </c>
      <c r="CA906" s="78"/>
      <c r="EE906" s="76">
        <f>+IF(MID($J$2,1,10)=MID($EE$2,1,10),3,1)</f>
        <v>3</v>
      </c>
    </row>
    <row r="907" spans="76:135" x14ac:dyDescent="0.25">
      <c r="BX907" s="78"/>
      <c r="BY907" s="319">
        <v>930</v>
      </c>
      <c r="CA907" s="78"/>
      <c r="EE907" s="76">
        <f>+IF(MID($J$2,1,10)=MID($EE$2,1,10),3,1)</f>
        <v>3</v>
      </c>
    </row>
    <row r="908" spans="76:135" x14ac:dyDescent="0.25">
      <c r="BX908" s="78"/>
      <c r="BY908" s="319">
        <v>193</v>
      </c>
      <c r="CA908" s="78"/>
      <c r="EE908" s="76">
        <f>+IF(MID($J$2,1,10)=MID($EE$2,1,10),1,2)</f>
        <v>1</v>
      </c>
    </row>
    <row r="909" spans="76:135" x14ac:dyDescent="0.25">
      <c r="BX909" s="78"/>
      <c r="BY909" s="319">
        <v>691</v>
      </c>
      <c r="CA909" s="78"/>
      <c r="EE909" s="76">
        <f>+IF(MID($J$3,1,10)=MID($EE$3,1,10),2,1)</f>
        <v>2</v>
      </c>
    </row>
    <row r="910" spans="76:135" x14ac:dyDescent="0.25">
      <c r="BX910" s="78"/>
      <c r="BY910" s="319">
        <v>190</v>
      </c>
      <c r="CA910" s="78"/>
      <c r="EE910" s="76">
        <f>+IF(MID($J$2,1,10)=MID($EE$2,1,10),4,1)</f>
        <v>4</v>
      </c>
    </row>
    <row r="911" spans="76:135" x14ac:dyDescent="0.25">
      <c r="BX911" s="78"/>
      <c r="BY911" s="319">
        <v>716</v>
      </c>
      <c r="CA911" s="78"/>
      <c r="EE911" s="76">
        <f>+IF(MID($J$2,1,10)=MID($EE$2,1,10),0,1)</f>
        <v>0</v>
      </c>
    </row>
    <row r="912" spans="76:135" x14ac:dyDescent="0.25">
      <c r="BX912" s="78"/>
      <c r="BY912" s="319">
        <v>166</v>
      </c>
      <c r="CA912" s="78"/>
      <c r="EE912" s="76">
        <f>+IF(MID($J$3,1,10)=MID($EE$3,1,10),2,1)</f>
        <v>2</v>
      </c>
    </row>
    <row r="913" spans="76:135" x14ac:dyDescent="0.25">
      <c r="BX913" s="78"/>
      <c r="BY913" s="319">
        <v>131</v>
      </c>
      <c r="CA913" s="78"/>
      <c r="EE913" s="76">
        <f>+IF(MID($J$3,1,10)=MID($EE$3,1,10),2,1)</f>
        <v>2</v>
      </c>
    </row>
    <row r="914" spans="76:135" x14ac:dyDescent="0.25">
      <c r="BX914" s="78"/>
      <c r="BY914" s="319">
        <v>142</v>
      </c>
      <c r="CA914" s="78"/>
      <c r="EE914" s="76">
        <f>+IF(MID($J$2,1,10)=MID($EE$2,1,10),4,1)</f>
        <v>4</v>
      </c>
    </row>
    <row r="915" spans="76:135" x14ac:dyDescent="0.25">
      <c r="BX915" s="78"/>
      <c r="BY915" s="319">
        <v>114</v>
      </c>
      <c r="CA915" s="78"/>
      <c r="EE915" s="76">
        <f>+IF(MID($J$3,1,10)=MID($EE$3,1,10),2,1)</f>
        <v>2</v>
      </c>
    </row>
    <row r="916" spans="76:135" x14ac:dyDescent="0.25">
      <c r="BX916" s="78"/>
      <c r="BY916" s="319">
        <v>186</v>
      </c>
      <c r="CA916" s="78"/>
      <c r="EE916" s="76">
        <f>+IF(MID($J$2,1,10)=MID($EE$2,1,10),4,1)</f>
        <v>4</v>
      </c>
    </row>
    <row r="917" spans="76:135" x14ac:dyDescent="0.25">
      <c r="BX917" s="78"/>
      <c r="BY917" s="319">
        <v>141</v>
      </c>
      <c r="CA917" s="78"/>
      <c r="EE917" s="76">
        <f>+IF(MID($J$2,1,10)=MID($EE$2,1,10),1,2)</f>
        <v>1</v>
      </c>
    </row>
    <row r="918" spans="76:135" x14ac:dyDescent="0.25">
      <c r="BX918" s="78"/>
      <c r="BY918" s="319">
        <v>193</v>
      </c>
      <c r="CA918" s="78"/>
      <c r="EE918" s="76">
        <f>+IF(MID($J$2,1,10)=MID($EE$2,1,10),3,1)</f>
        <v>3</v>
      </c>
    </row>
    <row r="919" spans="76:135" x14ac:dyDescent="0.25">
      <c r="BX919" s="78"/>
      <c r="BY919" s="319">
        <v>138</v>
      </c>
      <c r="CA919" s="78"/>
      <c r="EE919" s="76">
        <f>+IF(MID($J$2,1,10)=MID($EE$2,1,10),1,2)</f>
        <v>1</v>
      </c>
    </row>
    <row r="920" spans="76:135" x14ac:dyDescent="0.25">
      <c r="BX920" s="78"/>
      <c r="BY920" s="319">
        <v>138</v>
      </c>
      <c r="CA920" s="78"/>
      <c r="EE920" s="76">
        <f>+IF(MID($J$3,1,10)=MID($EE$3,1,10),2,1)</f>
        <v>2</v>
      </c>
    </row>
    <row r="921" spans="76:135" x14ac:dyDescent="0.25">
      <c r="BX921" s="78"/>
      <c r="BY921" s="319">
        <v>136</v>
      </c>
      <c r="CA921" s="78"/>
      <c r="EE921" s="76">
        <f>+IF(MID($J$2,1,10)=MID($EE$2,1,10),1,2)</f>
        <v>1</v>
      </c>
    </row>
    <row r="922" spans="76:135" x14ac:dyDescent="0.25">
      <c r="BX922" s="78"/>
      <c r="BY922" s="319">
        <v>145</v>
      </c>
      <c r="CA922" s="78"/>
      <c r="EE922" s="76">
        <f>+IF(MID($J$2,1,10)=MID($EE$2,1,10),0,1)</f>
        <v>0</v>
      </c>
    </row>
    <row r="923" spans="76:135" x14ac:dyDescent="0.25">
      <c r="BX923" s="78"/>
      <c r="BY923" s="319">
        <v>711</v>
      </c>
      <c r="CA923" s="78"/>
      <c r="EE923" s="76">
        <f>+IF(MID($J$2,1,10)=MID($EE$2,1,10),0,1)</f>
        <v>0</v>
      </c>
    </row>
    <row r="924" spans="76:135" x14ac:dyDescent="0.25">
      <c r="BX924" s="78"/>
      <c r="BY924" s="319">
        <v>206</v>
      </c>
      <c r="CA924" s="78"/>
      <c r="EE924" s="76">
        <f>+IF(MID($J$2,1,10)=MID($EE$2,1,10),0,1)</f>
        <v>0</v>
      </c>
    </row>
    <row r="925" spans="76:135" x14ac:dyDescent="0.25">
      <c r="BX925" s="78"/>
      <c r="BY925" s="319">
        <v>252</v>
      </c>
      <c r="BZ925" s="321">
        <v>13</v>
      </c>
      <c r="CA925" s="78"/>
      <c r="EE925" s="76">
        <f>+IF(MID($J$2,1,10)=MID($EE$2,1,10),1,2)</f>
        <v>1</v>
      </c>
    </row>
    <row r="926" spans="76:135" x14ac:dyDescent="0.25">
      <c r="BX926" s="78"/>
      <c r="BY926" s="319">
        <v>181</v>
      </c>
      <c r="BZ926" s="321">
        <v>13</v>
      </c>
      <c r="CA926" s="78"/>
      <c r="EE926" s="76">
        <f>+IF(MID($J$3,1,10)=MID($EE$3,1,10),2,1)</f>
        <v>2</v>
      </c>
    </row>
    <row r="927" spans="76:135" x14ac:dyDescent="0.25">
      <c r="BX927" s="78"/>
      <c r="BY927" s="319">
        <v>739</v>
      </c>
      <c r="BZ927" s="321">
        <v>13</v>
      </c>
      <c r="CA927" s="78"/>
      <c r="EE927" s="76">
        <f>+IF(MID($J$2,1,10)=MID($EE$2,1,10),4,1)</f>
        <v>4</v>
      </c>
    </row>
    <row r="928" spans="76:135" x14ac:dyDescent="0.25">
      <c r="BX928" s="78"/>
      <c r="BY928" s="319">
        <v>114</v>
      </c>
      <c r="BZ928" s="321">
        <v>13</v>
      </c>
      <c r="CA928" s="78"/>
      <c r="EE928" s="76">
        <f>+IF(MID($J$2,1,10)=MID($EE$2,1,10),0,1)</f>
        <v>0</v>
      </c>
    </row>
    <row r="929" spans="76:135" x14ac:dyDescent="0.25">
      <c r="BX929" s="78"/>
      <c r="BY929" s="319">
        <v>846</v>
      </c>
      <c r="BZ929" s="321">
        <v>13</v>
      </c>
      <c r="CA929" s="78"/>
      <c r="EE929" s="76">
        <f>+IF(MID($J$3,1,10)=MID($EE$3,1,10),2,1)</f>
        <v>2</v>
      </c>
    </row>
    <row r="930" spans="76:135" x14ac:dyDescent="0.25">
      <c r="BX930" s="78"/>
      <c r="BY930" s="319">
        <v>176</v>
      </c>
      <c r="BZ930" s="321">
        <v>13</v>
      </c>
      <c r="CA930" s="78"/>
      <c r="EE930" s="76">
        <f>+IF(MID($J$3,1,10)=MID($EE$3,1,10),2,1)</f>
        <v>2</v>
      </c>
    </row>
    <row r="931" spans="76:135" x14ac:dyDescent="0.25">
      <c r="BX931" s="78"/>
      <c r="BY931" s="319">
        <v>194</v>
      </c>
      <c r="BZ931" s="321">
        <v>13</v>
      </c>
      <c r="CA931" s="78"/>
      <c r="EE931" s="76">
        <f>+IF(MID($J$2,1,10)=MID($EE$2,1,10),4,1)</f>
        <v>4</v>
      </c>
    </row>
    <row r="932" spans="76:135" x14ac:dyDescent="0.25">
      <c r="BX932" s="78"/>
      <c r="BY932" s="319">
        <v>131</v>
      </c>
      <c r="BZ932" s="321">
        <v>13</v>
      </c>
      <c r="CA932" s="78"/>
      <c r="EE932" s="76">
        <f>+IF(MID($J$3,1,10)=MID($EE$3,1,10),2,1)</f>
        <v>2</v>
      </c>
    </row>
    <row r="933" spans="76:135" x14ac:dyDescent="0.25">
      <c r="BX933" s="78"/>
      <c r="BY933" s="319">
        <v>4</v>
      </c>
      <c r="BZ933" s="321">
        <v>13</v>
      </c>
      <c r="CA933" s="78"/>
      <c r="EE933" s="76">
        <f>+IF(MID($J$2,1,10)=MID($EE$2,1,10),4,1)</f>
        <v>4</v>
      </c>
    </row>
    <row r="934" spans="76:135" x14ac:dyDescent="0.25">
      <c r="BX934" s="78"/>
      <c r="BY934" s="319">
        <v>144</v>
      </c>
      <c r="BZ934" s="321">
        <v>13</v>
      </c>
      <c r="CA934" s="78"/>
      <c r="EE934" s="76">
        <f>+IF(MID($J$2,1,10)=MID($EE$2,1,10),1,2)</f>
        <v>1</v>
      </c>
    </row>
    <row r="935" spans="76:135" x14ac:dyDescent="0.25">
      <c r="BX935" s="78"/>
      <c r="BY935" s="319">
        <v>120</v>
      </c>
      <c r="BZ935" s="321">
        <v>13</v>
      </c>
      <c r="CA935" s="78"/>
      <c r="EE935" s="76">
        <f>+IF(MID($J$2,1,10)=MID($EE$2,1,10),3,1)</f>
        <v>3</v>
      </c>
    </row>
    <row r="936" spans="76:135" x14ac:dyDescent="0.25">
      <c r="BX936" s="78"/>
      <c r="BY936" s="319">
        <v>529</v>
      </c>
      <c r="BZ936" s="321">
        <v>13</v>
      </c>
      <c r="CA936" s="78"/>
      <c r="EE936" s="76">
        <f>+IF(MID($J$2,1,10)=MID($EE$2,1,10),1,2)</f>
        <v>1</v>
      </c>
    </row>
    <row r="937" spans="76:135" x14ac:dyDescent="0.25">
      <c r="BX937" s="78"/>
      <c r="BY937" s="319">
        <v>176</v>
      </c>
      <c r="BZ937" s="321">
        <v>13</v>
      </c>
      <c r="CA937" s="78"/>
      <c r="EE937" s="76">
        <f>+IF(MID($J$3,1,10)=MID($EE$3,1,10),2,1)</f>
        <v>2</v>
      </c>
    </row>
    <row r="938" spans="76:135" x14ac:dyDescent="0.25">
      <c r="BX938" s="78"/>
      <c r="BY938" s="319">
        <v>365</v>
      </c>
      <c r="BZ938" s="321">
        <v>13</v>
      </c>
      <c r="CA938" s="78"/>
      <c r="EE938" s="76">
        <f>+IF(MID($J$2,1,10)=MID($EE$2,1,10),1,2)</f>
        <v>1</v>
      </c>
    </row>
    <row r="939" spans="76:135" x14ac:dyDescent="0.25">
      <c r="BX939" s="78"/>
      <c r="BY939" s="319">
        <v>1158</v>
      </c>
      <c r="CA939" s="78"/>
    </row>
    <row r="940" spans="76:135" x14ac:dyDescent="0.25">
      <c r="BX940" s="78"/>
      <c r="BY940" s="319">
        <v>121</v>
      </c>
      <c r="BZ940" s="321">
        <v>13</v>
      </c>
      <c r="CA940" s="78"/>
      <c r="EE940" s="76">
        <f>+IF(MID($J$2,1,10)=MID($EE$2,1,10),0,1)</f>
        <v>0</v>
      </c>
    </row>
    <row r="941" spans="76:135" x14ac:dyDescent="0.25">
      <c r="BX941" s="78"/>
      <c r="BY941" s="319">
        <v>108</v>
      </c>
      <c r="BZ941" s="321">
        <v>13</v>
      </c>
      <c r="CA941" s="78"/>
      <c r="EE941" s="76">
        <f>+IF(MID($J$2,1,10)=MID($EE$2,1,10),0,1)</f>
        <v>0</v>
      </c>
    </row>
    <row r="942" spans="76:135" x14ac:dyDescent="0.25">
      <c r="BX942" s="78"/>
      <c r="BY942" s="319">
        <v>130</v>
      </c>
      <c r="BZ942" s="321">
        <v>13</v>
      </c>
      <c r="CA942" s="78"/>
      <c r="EE942" s="76">
        <f>+IF(MID($J$2,1,10)=MID($EE$2,1,10),0,1)</f>
        <v>0</v>
      </c>
    </row>
    <row r="943" spans="76:135" x14ac:dyDescent="0.25">
      <c r="BX943" s="78"/>
      <c r="BY943" s="319">
        <v>984</v>
      </c>
      <c r="BZ943" s="321">
        <v>13</v>
      </c>
      <c r="CA943" s="78"/>
      <c r="EE943" s="76">
        <f>+IF(MID($J$2,1,10)=MID($EE$2,1,10),1,2)</f>
        <v>1</v>
      </c>
    </row>
    <row r="944" spans="76:135" x14ac:dyDescent="0.25">
      <c r="BX944" s="78"/>
      <c r="BY944" s="319">
        <v>167</v>
      </c>
      <c r="BZ944" s="321">
        <v>13</v>
      </c>
      <c r="CA944" s="78"/>
      <c r="EE944" s="76">
        <f>+IF(MID($J$2,1,10)=MID($EE$2,1,10),1,2)</f>
        <v>1</v>
      </c>
    </row>
    <row r="945" spans="76:135" x14ac:dyDescent="0.25">
      <c r="BX945" s="78"/>
      <c r="BY945" s="319">
        <v>450</v>
      </c>
      <c r="CA945" s="78"/>
    </row>
    <row r="946" spans="76:135" x14ac:dyDescent="0.25">
      <c r="BX946" s="78"/>
      <c r="BY946" s="319">
        <v>1189</v>
      </c>
      <c r="BZ946" s="321">
        <v>13</v>
      </c>
      <c r="CA946" s="78"/>
      <c r="EE946" s="76">
        <f>+IF(MID($J$2,1,10)=MID($EE$2,1,10),3,1)</f>
        <v>3</v>
      </c>
    </row>
    <row r="947" spans="76:135" x14ac:dyDescent="0.25">
      <c r="BX947" s="78"/>
      <c r="BY947" s="319">
        <v>130</v>
      </c>
      <c r="BZ947" s="321">
        <v>13</v>
      </c>
      <c r="CA947" s="78"/>
      <c r="EE947" s="76">
        <f>+IF(MID($J$2,1,10)=MID($EE$2,1,10),3,1)</f>
        <v>3</v>
      </c>
    </row>
    <row r="948" spans="76:135" x14ac:dyDescent="0.25">
      <c r="BX948" s="78"/>
      <c r="BY948" s="319">
        <v>587</v>
      </c>
      <c r="BZ948" s="321">
        <v>13</v>
      </c>
      <c r="CA948" s="78"/>
      <c r="EE948" s="76">
        <f>+IF(MID($J$2,1,10)=MID($EE$2,1,10),3,1)</f>
        <v>3</v>
      </c>
    </row>
    <row r="949" spans="76:135" x14ac:dyDescent="0.25">
      <c r="BX949" s="78"/>
      <c r="BY949" s="319">
        <v>168</v>
      </c>
      <c r="BZ949" s="321">
        <v>13</v>
      </c>
      <c r="CA949" s="78"/>
      <c r="EE949" s="76">
        <f>+IF(MID($J$2,1,10)=MID($EE$2,1,10),0,1)</f>
        <v>0</v>
      </c>
    </row>
    <row r="950" spans="76:135" x14ac:dyDescent="0.25">
      <c r="BX950" s="78"/>
      <c r="BY950" s="319">
        <v>177</v>
      </c>
      <c r="BZ950" s="321">
        <v>13</v>
      </c>
      <c r="CA950" s="78"/>
      <c r="EE950" s="76">
        <f>+IF(MID($J$2,1,10)=MID($EE$2,1,10),1,2)</f>
        <v>1</v>
      </c>
    </row>
    <row r="951" spans="76:135" x14ac:dyDescent="0.25">
      <c r="BX951" s="78"/>
      <c r="BY951" s="319">
        <v>130</v>
      </c>
      <c r="BZ951" s="321">
        <v>13</v>
      </c>
      <c r="CA951" s="78"/>
      <c r="EE951" s="76">
        <f>+IF(MID($J$2,1,10)=MID($EE$2,1,10),3,1)</f>
        <v>3</v>
      </c>
    </row>
    <row r="952" spans="76:135" x14ac:dyDescent="0.25">
      <c r="BX952" s="78"/>
      <c r="BY952" s="319">
        <v>449</v>
      </c>
      <c r="BZ952" s="321">
        <v>13</v>
      </c>
      <c r="CA952" s="78"/>
      <c r="EE952" s="76">
        <f>+IF(MID($J$2,1,10)=MID($EE$2,1,10),3,1)</f>
        <v>3</v>
      </c>
    </row>
    <row r="953" spans="76:135" x14ac:dyDescent="0.25">
      <c r="BX953" s="78"/>
      <c r="BY953" s="319">
        <v>199</v>
      </c>
      <c r="BZ953" s="321">
        <v>13</v>
      </c>
      <c r="CA953" s="78"/>
      <c r="EE953" s="76">
        <f>+IF(MID($J$2,1,10)=MID($EE$2,1,10),0,1)</f>
        <v>0</v>
      </c>
    </row>
    <row r="954" spans="76:135" x14ac:dyDescent="0.25">
      <c r="BX954" s="78"/>
      <c r="BY954" s="319">
        <v>632</v>
      </c>
      <c r="BZ954" s="321">
        <v>13</v>
      </c>
      <c r="CA954" s="78"/>
      <c r="EE954" s="76">
        <f>+IF(MID($J$2,1,10)=MID($EE$2,1,10),3,1)</f>
        <v>3</v>
      </c>
    </row>
    <row r="955" spans="76:135" x14ac:dyDescent="0.25">
      <c r="BX955" s="78"/>
      <c r="BY955" s="319">
        <v>191</v>
      </c>
      <c r="BZ955" s="321">
        <v>13</v>
      </c>
      <c r="CA955" s="78"/>
      <c r="EE955" s="76">
        <f>+IF(MID($J$2,1,10)=MID($EE$2,1,10),3,1)</f>
        <v>3</v>
      </c>
    </row>
    <row r="956" spans="76:135" x14ac:dyDescent="0.25">
      <c r="BX956" s="78"/>
      <c r="BY956" s="319">
        <v>262</v>
      </c>
      <c r="BZ956" s="321">
        <v>13</v>
      </c>
      <c r="CA956" s="78"/>
      <c r="EE956" s="76">
        <f>+IF(MID($J$2,1,10)=MID($EE$2,1,10),3,1)</f>
        <v>3</v>
      </c>
    </row>
    <row r="957" spans="76:135" x14ac:dyDescent="0.25">
      <c r="BX957" s="78"/>
      <c r="BY957" s="319">
        <v>185</v>
      </c>
      <c r="BZ957" s="321">
        <v>13</v>
      </c>
      <c r="CA957" s="78"/>
      <c r="EE957" s="76">
        <f>+IF(MID($J$2,1,10)=MID($EE$2,1,10),1,2)</f>
        <v>1</v>
      </c>
    </row>
    <row r="958" spans="76:135" x14ac:dyDescent="0.25">
      <c r="BX958" s="78"/>
      <c r="BY958" s="319">
        <v>892</v>
      </c>
      <c r="BZ958" s="321">
        <v>13</v>
      </c>
      <c r="CA958" s="78"/>
      <c r="EE958" s="76">
        <f>+IF(MID($J$3,1,10)=MID($EE$3,1,10),2,1)</f>
        <v>2</v>
      </c>
    </row>
    <row r="959" spans="76:135" x14ac:dyDescent="0.25">
      <c r="BX959" s="78"/>
      <c r="BY959" s="319">
        <v>203</v>
      </c>
      <c r="BZ959" s="321">
        <v>13</v>
      </c>
      <c r="CA959" s="78"/>
      <c r="EE959" s="76">
        <f>+IF(MID($J$2,1,10)=MID($EE$2,1,10),4,1)</f>
        <v>4</v>
      </c>
    </row>
    <row r="960" spans="76:135" x14ac:dyDescent="0.25">
      <c r="BX960" s="78"/>
      <c r="BY960" s="319">
        <v>977</v>
      </c>
      <c r="BZ960" s="321">
        <v>13</v>
      </c>
      <c r="CA960" s="78"/>
      <c r="EE960" s="76">
        <f>+IF(MID($J$2,1,10)=MID($EE$2,1,10),0,1)</f>
        <v>0</v>
      </c>
    </row>
    <row r="961" spans="76:135" x14ac:dyDescent="0.25">
      <c r="BX961" s="78"/>
      <c r="BY961" s="319">
        <v>142</v>
      </c>
      <c r="BZ961" s="321">
        <v>13</v>
      </c>
      <c r="CA961" s="78"/>
      <c r="EE961" s="76">
        <f>+IF(MID($J$3,1,10)=MID($EE$3,1,10),2,1)</f>
        <v>2</v>
      </c>
    </row>
    <row r="962" spans="76:135" x14ac:dyDescent="0.25">
      <c r="BX962" s="78"/>
      <c r="BY962" s="319">
        <v>335</v>
      </c>
      <c r="BZ962" s="321">
        <v>13</v>
      </c>
      <c r="CA962" s="78"/>
      <c r="EE962" s="76">
        <f>+IF(MID($J$3,1,10)=MID($EE$3,1,10),2,1)</f>
        <v>2</v>
      </c>
    </row>
    <row r="963" spans="76:135" x14ac:dyDescent="0.25">
      <c r="BX963" s="78"/>
      <c r="BY963" s="319">
        <v>117</v>
      </c>
      <c r="BZ963" s="321">
        <v>13</v>
      </c>
      <c r="CA963" s="78"/>
      <c r="EE963" s="76">
        <f>+IF(MID($J$2,1,10)=MID($EE$2,1,10),4,1)</f>
        <v>4</v>
      </c>
    </row>
    <row r="964" spans="76:135" x14ac:dyDescent="0.25">
      <c r="BX964" s="78"/>
      <c r="BY964" s="319">
        <v>157</v>
      </c>
      <c r="BZ964" s="321">
        <v>13</v>
      </c>
      <c r="CA964" s="78"/>
      <c r="EE964" s="76">
        <f>+IF(MID($J$3,1,10)=MID($EE$3,1,10),2,1)</f>
        <v>2</v>
      </c>
    </row>
    <row r="965" spans="76:135" x14ac:dyDescent="0.25">
      <c r="BX965" s="78"/>
      <c r="BY965" s="319">
        <v>734</v>
      </c>
      <c r="CA965" s="78"/>
    </row>
    <row r="966" spans="76:135" x14ac:dyDescent="0.25">
      <c r="BX966" s="78"/>
      <c r="BY966" s="319">
        <v>869</v>
      </c>
      <c r="BZ966" s="321">
        <v>13</v>
      </c>
      <c r="CA966" s="78"/>
      <c r="EE966" s="76">
        <f>+IF(MID($J$2,1,10)=MID($EE$2,1,10),4,1)</f>
        <v>4</v>
      </c>
    </row>
    <row r="967" spans="76:135" x14ac:dyDescent="0.25">
      <c r="BX967" s="78"/>
      <c r="BY967" s="319">
        <v>204</v>
      </c>
      <c r="BZ967" s="321">
        <v>13</v>
      </c>
      <c r="CA967" s="78"/>
      <c r="EE967" s="76">
        <f>+IF(MID($J$2,1,10)=MID($EE$2,1,10),1,2)</f>
        <v>1</v>
      </c>
    </row>
    <row r="968" spans="76:135" x14ac:dyDescent="0.25">
      <c r="BX968" s="78"/>
      <c r="BY968" s="319">
        <v>659</v>
      </c>
      <c r="BZ968" s="321">
        <v>13</v>
      </c>
      <c r="CA968" s="78"/>
      <c r="EE968" s="76">
        <f>+IF(MID($J$2,1,10)=MID($EE$2,1,10),3,1)</f>
        <v>3</v>
      </c>
    </row>
    <row r="969" spans="76:135" x14ac:dyDescent="0.25">
      <c r="BX969" s="78"/>
      <c r="BY969" s="319">
        <v>171</v>
      </c>
      <c r="BZ969" s="321">
        <v>13</v>
      </c>
      <c r="CA969" s="78"/>
      <c r="EE969" s="76">
        <f>+IF(MID($J$2,1,10)=MID($EE$2,1,10),1,2)</f>
        <v>1</v>
      </c>
    </row>
    <row r="970" spans="76:135" x14ac:dyDescent="0.25">
      <c r="BX970" s="78"/>
      <c r="BY970" s="319">
        <v>817</v>
      </c>
      <c r="BZ970" s="321">
        <v>13</v>
      </c>
      <c r="CA970" s="78"/>
      <c r="EE970" s="76">
        <f>+IF(MID($J$3,1,10)=MID($EE$3,1,10),2,1)</f>
        <v>2</v>
      </c>
    </row>
    <row r="971" spans="76:135" x14ac:dyDescent="0.25">
      <c r="BX971" s="78"/>
      <c r="BY971" s="319">
        <v>817</v>
      </c>
      <c r="CA971" s="78"/>
    </row>
    <row r="972" spans="76:135" x14ac:dyDescent="0.25">
      <c r="BX972" s="78"/>
      <c r="BY972" s="319">
        <v>134</v>
      </c>
      <c r="BZ972" s="321">
        <v>13</v>
      </c>
      <c r="CA972" s="78"/>
      <c r="EE972" s="76">
        <f>+IF(MID($J$2,1,10)=MID($EE$2,1,10),1,2)</f>
        <v>1</v>
      </c>
    </row>
    <row r="973" spans="76:135" x14ac:dyDescent="0.25">
      <c r="BX973" s="78"/>
      <c r="BY973" s="319">
        <v>545</v>
      </c>
      <c r="BZ973" s="321">
        <v>13</v>
      </c>
      <c r="CA973" s="78"/>
      <c r="EE973" s="76">
        <f>+IF(MID($J$2,1,10)=MID($EE$2,1,10),0,1)</f>
        <v>0</v>
      </c>
    </row>
    <row r="974" spans="76:135" x14ac:dyDescent="0.25">
      <c r="BX974" s="78"/>
      <c r="BY974" s="319">
        <v>140</v>
      </c>
      <c r="BZ974" s="321">
        <v>13</v>
      </c>
      <c r="CA974" s="78"/>
      <c r="EE974" s="76">
        <f>+IF(MID($J$2,1,10)=MID($EE$2,1,10),0,1)</f>
        <v>0</v>
      </c>
    </row>
    <row r="975" spans="76:135" x14ac:dyDescent="0.25">
      <c r="BX975" s="78"/>
      <c r="BY975" s="319">
        <v>580</v>
      </c>
      <c r="BZ975" s="321">
        <v>13</v>
      </c>
      <c r="CA975" s="78"/>
      <c r="EE975" s="76">
        <f>+IF(MID($J$2,1,10)=MID($EE$2,1,10),0,1)</f>
        <v>0</v>
      </c>
    </row>
    <row r="976" spans="76:135" x14ac:dyDescent="0.25">
      <c r="BX976" s="78"/>
      <c r="BY976" s="319">
        <v>146</v>
      </c>
      <c r="CA976" s="78"/>
      <c r="EE976" s="76">
        <f>+IF(MID($J$2,1,10)=MID($EE$2,1,10),1,2)</f>
        <v>1</v>
      </c>
    </row>
    <row r="977" spans="76:135" x14ac:dyDescent="0.25">
      <c r="BX977" s="78"/>
      <c r="BY977" s="325">
        <v>15</v>
      </c>
      <c r="CA977" s="78"/>
      <c r="EE977" s="76">
        <f>+IF(MID($J$6,1,5)=MID($EE$11,1,5),0,1)</f>
        <v>0</v>
      </c>
    </row>
    <row r="978" spans="76:135" x14ac:dyDescent="0.25">
      <c r="BX978" s="78"/>
      <c r="BY978" s="319">
        <v>163</v>
      </c>
      <c r="CA978" s="78"/>
      <c r="EE978" s="76">
        <f>+IF(MID($J$2,1,10)=MID($EE$2,1,10),3,1)</f>
        <v>3</v>
      </c>
    </row>
    <row r="979" spans="76:135" x14ac:dyDescent="0.25">
      <c r="BX979" s="78"/>
      <c r="BY979" s="319">
        <v>193</v>
      </c>
      <c r="CA979" s="78"/>
      <c r="EE979" s="76">
        <f>+IF(MID($J$2,1,10)=MID($EE$2,1,10),3,1)</f>
        <v>3</v>
      </c>
    </row>
    <row r="980" spans="76:135" x14ac:dyDescent="0.25">
      <c r="BX980" s="78"/>
      <c r="BY980" s="319">
        <v>502</v>
      </c>
      <c r="CA980" s="78"/>
      <c r="EE980" s="76">
        <f>+IF(MID($J$2,1,10)=MID($EE$2,1,10),3,1)</f>
        <v>3</v>
      </c>
    </row>
    <row r="981" spans="76:135" x14ac:dyDescent="0.25">
      <c r="BX981" s="78"/>
      <c r="BY981" s="319">
        <v>177</v>
      </c>
      <c r="CA981" s="78"/>
      <c r="EE981" s="76">
        <f>+IF(MID($J$2,1,10)=MID($EE$2,1,10),0,1)</f>
        <v>0</v>
      </c>
    </row>
    <row r="982" spans="76:135" x14ac:dyDescent="0.25">
      <c r="BX982" s="78"/>
      <c r="BY982" s="319">
        <v>1047</v>
      </c>
      <c r="CA982" s="78"/>
      <c r="EE982" s="76">
        <f>+IF(MID($J$2,1,10)=MID($EE$2,1,10),1,2)</f>
        <v>1</v>
      </c>
    </row>
    <row r="983" spans="76:135" x14ac:dyDescent="0.25">
      <c r="BX983" s="78"/>
      <c r="BY983" s="319">
        <v>166</v>
      </c>
      <c r="CA983" s="78"/>
      <c r="EE983" s="76">
        <f>+IF(MID($J$2,1,10)=MID($EE$2,1,10),3,1)</f>
        <v>3</v>
      </c>
    </row>
    <row r="984" spans="76:135" x14ac:dyDescent="0.25">
      <c r="BX984" s="78"/>
      <c r="BY984" s="319">
        <v>1126</v>
      </c>
      <c r="CA984" s="78"/>
      <c r="EE984" s="76">
        <f>+IF(MID($J$2,1,10)=MID($EE$2,1,10),3,1)</f>
        <v>3</v>
      </c>
    </row>
    <row r="985" spans="76:135" x14ac:dyDescent="0.25">
      <c r="BX985" s="78"/>
      <c r="BY985" s="319">
        <v>169</v>
      </c>
      <c r="CA985" s="78"/>
      <c r="EE985" s="76">
        <f>+IF(MID($J$2,1,10)=MID($EE$2,1,10),0,1)</f>
        <v>0</v>
      </c>
    </row>
    <row r="986" spans="76:135" x14ac:dyDescent="0.25">
      <c r="BX986" s="78"/>
      <c r="BY986" s="319">
        <v>286</v>
      </c>
      <c r="CA986" s="78"/>
      <c r="EE986" s="76">
        <f>+IF(MID($J$2,1,10)=MID($EE$2,1,10),3,1)</f>
        <v>3</v>
      </c>
    </row>
    <row r="987" spans="76:135" x14ac:dyDescent="0.25">
      <c r="BX987" s="78"/>
      <c r="BY987" s="319">
        <v>197</v>
      </c>
      <c r="CA987" s="78"/>
      <c r="EE987" s="76">
        <f>+IF(MID($J$2,1,10)=MID($EE$2,1,10),3,1)</f>
        <v>3</v>
      </c>
    </row>
    <row r="988" spans="76:135" x14ac:dyDescent="0.25">
      <c r="BX988" s="78"/>
      <c r="BY988" s="319">
        <v>958</v>
      </c>
      <c r="CA988" s="78"/>
      <c r="EE988" s="76">
        <f>+IF(MID($J$2,1,10)=MID($EE$2,1,10),3,1)</f>
        <v>3</v>
      </c>
    </row>
    <row r="989" spans="76:135" x14ac:dyDescent="0.25">
      <c r="BX989" s="78"/>
      <c r="BY989" s="319">
        <v>117</v>
      </c>
      <c r="CA989" s="78"/>
      <c r="EE989" s="76">
        <f>+IF(MID($J$3,1,10)=MID($EE$3,1,10),2,1)</f>
        <v>2</v>
      </c>
    </row>
    <row r="990" spans="76:135" x14ac:dyDescent="0.25">
      <c r="BX990" s="78"/>
      <c r="BY990" s="319">
        <v>110</v>
      </c>
      <c r="CA990" s="78"/>
      <c r="EE990" s="76">
        <f>+IF(MID($J$2,1,10)=MID($EE$2,1,10),4,1)</f>
        <v>4</v>
      </c>
    </row>
    <row r="991" spans="76:135" x14ac:dyDescent="0.25">
      <c r="BX991" s="78"/>
      <c r="BY991" s="319">
        <v>142</v>
      </c>
      <c r="CA991" s="78"/>
      <c r="EE991" s="76">
        <f>+IF(MID($J$2,1,10)=MID($EE$2,1,10),0,1)</f>
        <v>0</v>
      </c>
    </row>
    <row r="992" spans="76:135" x14ac:dyDescent="0.25">
      <c r="BX992" s="78"/>
      <c r="BY992" s="319">
        <v>201</v>
      </c>
      <c r="CA992" s="78"/>
      <c r="EE992" s="76">
        <f>+IF(MID($J$3,1,10)=MID($EE$3,1,10),2,1)</f>
        <v>2</v>
      </c>
    </row>
    <row r="993" spans="76:135" x14ac:dyDescent="0.25">
      <c r="BX993" s="78"/>
      <c r="BY993" s="319">
        <v>156</v>
      </c>
      <c r="CA993" s="78"/>
      <c r="EE993" s="76">
        <f>+IF(MID($J$3,1,10)=MID($EE$3,1,10),2,1)</f>
        <v>2</v>
      </c>
    </row>
    <row r="994" spans="76:135" x14ac:dyDescent="0.25">
      <c r="BX994" s="78"/>
      <c r="BY994" s="319">
        <v>531</v>
      </c>
      <c r="CA994" s="78"/>
      <c r="EE994" s="76">
        <f>+IF(MID($J$2,1,10)=MID($EE$2,1,10),4,1)</f>
        <v>4</v>
      </c>
    </row>
    <row r="995" spans="76:135" x14ac:dyDescent="0.25">
      <c r="BX995" s="78"/>
      <c r="BY995" s="319">
        <v>141</v>
      </c>
      <c r="CA995" s="78"/>
      <c r="EE995" s="76">
        <f>+IF(MID($J$3,1,10)=MID($EE$3,1,10),2,1)</f>
        <v>2</v>
      </c>
    </row>
    <row r="996" spans="76:135" x14ac:dyDescent="0.25">
      <c r="BX996" s="78"/>
      <c r="BY996" s="319">
        <v>1033</v>
      </c>
      <c r="CA996" s="78"/>
      <c r="EE996" s="76">
        <f>+IF(MID($J$2,1,10)=MID($EE$2,1,10),4,1)</f>
        <v>4</v>
      </c>
    </row>
    <row r="997" spans="76:135" x14ac:dyDescent="0.25">
      <c r="BX997" s="78"/>
      <c r="BY997" s="319">
        <v>195</v>
      </c>
      <c r="CA997" s="78"/>
      <c r="EE997" s="76">
        <f>+IF(MID($J$2,1,10)=MID($EE$2,1,10),1,2)</f>
        <v>1</v>
      </c>
    </row>
    <row r="998" spans="76:135" x14ac:dyDescent="0.25">
      <c r="BX998" s="78"/>
      <c r="BY998" s="319">
        <v>314</v>
      </c>
      <c r="CA998" s="78"/>
      <c r="EE998" s="76">
        <f>+IF(MID($J$2,1,10)=MID($EE$2,1,10),3,1)</f>
        <v>3</v>
      </c>
    </row>
    <row r="999" spans="76:135" x14ac:dyDescent="0.25">
      <c r="BX999" s="78"/>
      <c r="BY999" s="319">
        <v>125</v>
      </c>
      <c r="CA999" s="78"/>
      <c r="EE999" s="76">
        <f>+IF(MID($J$2,1,10)=MID($EE$2,1,10),1,2)</f>
        <v>1</v>
      </c>
    </row>
    <row r="1000" spans="76:135" x14ac:dyDescent="0.25">
      <c r="BX1000" s="79"/>
      <c r="BY1000" s="322">
        <v>20</v>
      </c>
      <c r="BZ1000" s="323"/>
      <c r="CA1000" s="79"/>
      <c r="EE1000" s="76">
        <f>+IF(MID($J$6,1,5)=MID($EE$11,1,5),0,1)</f>
        <v>0</v>
      </c>
    </row>
    <row r="1001" spans="76:135" x14ac:dyDescent="0.25">
      <c r="BX1001" s="78"/>
      <c r="BY1001" s="324">
        <v>5</v>
      </c>
      <c r="CA1001" s="78"/>
      <c r="EE1001" s="76">
        <f>+IF(MID($J$6,1,5)=MID($EE$11,1,5),0,1)</f>
        <v>0</v>
      </c>
    </row>
    <row r="1002" spans="76:135" x14ac:dyDescent="0.25">
      <c r="BX1002" s="78"/>
      <c r="BY1002" s="319">
        <v>110</v>
      </c>
      <c r="CA1002" s="78"/>
      <c r="EE1002" s="76">
        <f>+IF(MID($J$2,1,10)=MID($EE$2,1,10),0,1)</f>
        <v>0</v>
      </c>
    </row>
    <row r="1003" spans="76:135" x14ac:dyDescent="0.25">
      <c r="BX1003" s="78"/>
      <c r="BY1003" s="319">
        <v>497</v>
      </c>
      <c r="CA1003" s="78"/>
      <c r="EE1003" s="76">
        <f>+IF(MID($J$2,1,10)=MID($EE$2,1,10),0,1)</f>
        <v>0</v>
      </c>
    </row>
    <row r="1004" spans="76:135" x14ac:dyDescent="0.25">
      <c r="BX1004" s="78"/>
      <c r="BY1004" s="319">
        <v>189</v>
      </c>
      <c r="CA1004" s="78"/>
      <c r="EE1004" s="76">
        <f>+IF(MID($J$2,1,10)=MID($EE$2,1,10),0,1)</f>
        <v>0</v>
      </c>
    </row>
    <row r="1005" spans="76:135" x14ac:dyDescent="0.25">
      <c r="BX1005" s="78"/>
      <c r="BY1005" s="319">
        <v>298</v>
      </c>
      <c r="CA1005" s="78"/>
      <c r="EE1005" s="76">
        <f>+IF(MID($J$2,1,10)=MID($EE$2,1,10),1,2)</f>
        <v>1</v>
      </c>
    </row>
    <row r="1006" spans="76:135" x14ac:dyDescent="0.25">
      <c r="BX1006" s="78"/>
      <c r="BY1006" s="319">
        <v>173</v>
      </c>
      <c r="CA1006" s="78"/>
      <c r="EE1006" s="76">
        <f>+IF(MID($J$2,1,10)=MID($EE$2,1,10),1,2)</f>
        <v>1</v>
      </c>
    </row>
    <row r="1007" spans="76:135" x14ac:dyDescent="0.25">
      <c r="BX1007" s="78"/>
      <c r="BY1007" s="322">
        <v>15</v>
      </c>
      <c r="CA1007" s="78"/>
      <c r="EE1007" s="76">
        <f>+IF(MID($J$6,1,5)=MID($EE$11,1,5),0,1)</f>
        <v>0</v>
      </c>
    </row>
    <row r="1008" spans="76:135" x14ac:dyDescent="0.25">
      <c r="BX1008" s="78"/>
      <c r="BY1008" s="319">
        <v>176</v>
      </c>
      <c r="CA1008" s="78"/>
      <c r="EE1008" s="76">
        <f>+IF(MID($J$2,1,10)=MID($EE$2,1,10),3,1)</f>
        <v>3</v>
      </c>
    </row>
    <row r="1009" spans="76:135" x14ac:dyDescent="0.25">
      <c r="BX1009" s="78"/>
      <c r="BY1009" s="319">
        <v>168</v>
      </c>
      <c r="CA1009" s="78"/>
      <c r="EE1009" s="76">
        <f>+IF(MID($J$2,1,10)=MID($EE$2,1,10),3,1)</f>
        <v>3</v>
      </c>
    </row>
    <row r="1010" spans="76:135" x14ac:dyDescent="0.25">
      <c r="BX1010" s="78"/>
      <c r="BY1010" s="319">
        <v>176</v>
      </c>
      <c r="CA1010" s="78"/>
      <c r="EE1010" s="76">
        <f>+IF(MID($J$2,1,10)=MID($EE$2,1,10),0,1)</f>
        <v>0</v>
      </c>
    </row>
    <row r="1011" spans="76:135" x14ac:dyDescent="0.25">
      <c r="BX1011" s="78"/>
      <c r="BY1011" s="319">
        <v>8</v>
      </c>
      <c r="CA1011" s="78"/>
      <c r="EE1011" s="76">
        <f>+IF(MID($J$2,1,10)=MID($EE$2,1,10),1,2)</f>
        <v>1</v>
      </c>
    </row>
    <row r="1012" spans="76:135" x14ac:dyDescent="0.25">
      <c r="BX1012" s="78"/>
      <c r="BY1012" s="319">
        <v>118</v>
      </c>
      <c r="CA1012" s="78"/>
      <c r="EE1012" s="76">
        <f>+IF(MID($J$2,1,10)=MID($EE$2,1,10),3,1)</f>
        <v>3</v>
      </c>
    </row>
    <row r="1013" spans="76:135" x14ac:dyDescent="0.25">
      <c r="BX1013" s="78"/>
      <c r="BY1013" s="319">
        <v>1044</v>
      </c>
      <c r="CA1013" s="78"/>
      <c r="EE1013" s="76">
        <f>+IF(MID($J$2,1,10)=MID($EE$2,1,10),3,1)</f>
        <v>3</v>
      </c>
    </row>
    <row r="1014" spans="76:135" x14ac:dyDescent="0.25">
      <c r="BX1014" s="78"/>
      <c r="BY1014" s="319">
        <v>111</v>
      </c>
      <c r="CA1014" s="78"/>
      <c r="EE1014" s="76">
        <f>+IF(MID($J$2,1,10)=MID($EE$2,1,10),0,1)</f>
        <v>0</v>
      </c>
    </row>
    <row r="1015" spans="76:135" x14ac:dyDescent="0.25">
      <c r="BX1015" s="78"/>
      <c r="BY1015" s="319">
        <v>299</v>
      </c>
      <c r="CA1015" s="78"/>
      <c r="EE1015" s="76">
        <f>+IF(MID($J$2,1,10)=MID($EE$2,1,10),3,1)</f>
        <v>3</v>
      </c>
    </row>
    <row r="1016" spans="76:135" x14ac:dyDescent="0.25">
      <c r="BX1016" s="78"/>
      <c r="BY1016" s="319">
        <v>220</v>
      </c>
      <c r="CA1016" s="78"/>
      <c r="EE1016" s="76">
        <f>+IF(MID($J$2,1,10)=MID($EE$2,1,10),3,1)</f>
        <v>3</v>
      </c>
    </row>
    <row r="1017" spans="76:135" x14ac:dyDescent="0.25">
      <c r="BX1017" s="78"/>
      <c r="BY1017" s="319">
        <v>126</v>
      </c>
      <c r="CA1017" s="78"/>
      <c r="EE1017" s="76">
        <f>+IF(MID($J$2,1,10)=MID($EE$2,1,10),3,1)</f>
        <v>3</v>
      </c>
    </row>
    <row r="1018" spans="76:135" x14ac:dyDescent="0.25">
      <c r="BX1018" s="78"/>
      <c r="BY1018" s="319">
        <v>663</v>
      </c>
      <c r="CA1018" s="78"/>
      <c r="EE1018" s="76">
        <f>+IF(MID($J$2,1,10)=MID($EE$2,1,10),1,2)</f>
        <v>1</v>
      </c>
    </row>
    <row r="1019" spans="76:135" x14ac:dyDescent="0.25">
      <c r="BX1019" s="78"/>
      <c r="BY1019" s="319">
        <v>173</v>
      </c>
      <c r="CA1019" s="78"/>
      <c r="EE1019" s="76">
        <f>+IF(MID($J$3,1,10)=MID($EE$3,1,10),2,1)</f>
        <v>2</v>
      </c>
    </row>
    <row r="1020" spans="76:135" x14ac:dyDescent="0.25">
      <c r="BX1020" s="78"/>
      <c r="BY1020" s="319">
        <v>225</v>
      </c>
      <c r="CA1020" s="78"/>
      <c r="EE1020" s="76">
        <f>+IF(MID($J$2,1,10)=MID($EE$2,1,10),4,1)</f>
        <v>4</v>
      </c>
    </row>
    <row r="1021" spans="76:135" x14ac:dyDescent="0.25">
      <c r="BX1021" s="78"/>
      <c r="BY1021" s="319">
        <v>132</v>
      </c>
      <c r="CA1021" s="78"/>
      <c r="EE1021" s="76">
        <f>+IF(MID($J$2,1,10)=MID($EE$2,1,10),0,1)</f>
        <v>0</v>
      </c>
    </row>
    <row r="1022" spans="76:135" x14ac:dyDescent="0.25">
      <c r="BX1022" s="78"/>
      <c r="BY1022" s="322">
        <v>10</v>
      </c>
      <c r="CA1022" s="78"/>
      <c r="EE1022" s="76">
        <f>+IF(MID($J$6,1,5)=MID($EE$11,1,5),0,1)</f>
        <v>0</v>
      </c>
    </row>
    <row r="1023" spans="76:135" x14ac:dyDescent="0.25">
      <c r="BX1023" s="78"/>
      <c r="BY1023" s="319">
        <v>143</v>
      </c>
      <c r="CA1023" s="78"/>
      <c r="EE1023" s="76">
        <f>+IF(MID($J$3,1,10)=MID($EE$3,1,10),2,1)</f>
        <v>2</v>
      </c>
    </row>
    <row r="1024" spans="76:135" x14ac:dyDescent="0.25">
      <c r="BX1024" s="78"/>
      <c r="BY1024" s="322">
        <v>7</v>
      </c>
      <c r="CA1024" s="78"/>
      <c r="EE1024" s="76">
        <f>+IF(MID($J$6,1,5)=MID($EE$11,1,5),0,1)</f>
        <v>0</v>
      </c>
    </row>
    <row r="1025" spans="76:135" x14ac:dyDescent="0.25">
      <c r="BX1025" s="78"/>
      <c r="BY1025" s="322">
        <v>28</v>
      </c>
      <c r="CA1025" s="78"/>
      <c r="EE1025" s="76">
        <f>+IF(MID($J$6,1,5)=MID($EE$11,1,5),0,1)</f>
        <v>0</v>
      </c>
    </row>
    <row r="1026" spans="76:135" x14ac:dyDescent="0.25">
      <c r="BX1026" s="78"/>
      <c r="BY1026" s="319">
        <v>1071</v>
      </c>
      <c r="CA1026" s="78"/>
      <c r="EE1026" s="76">
        <f>+IF(MID($J$2,1,10)=MID($EE$2,1,10),4,1)</f>
        <v>4</v>
      </c>
    </row>
    <row r="1027" spans="76:135" x14ac:dyDescent="0.25">
      <c r="BX1027" s="78"/>
      <c r="BY1027" s="319">
        <v>125</v>
      </c>
      <c r="CA1027" s="78"/>
      <c r="EE1027" s="76">
        <f>+IF(MID($J$2,1,10)=MID($EE$2,1,10),1,2)</f>
        <v>1</v>
      </c>
    </row>
    <row r="1028" spans="76:135" x14ac:dyDescent="0.25">
      <c r="BX1028" s="78"/>
      <c r="BY1028" s="319">
        <v>109</v>
      </c>
      <c r="CA1028" s="78"/>
      <c r="EE1028" s="76">
        <f>+IF(MID($J$2,1,10)=MID($EE$2,1,10),3,1)</f>
        <v>3</v>
      </c>
    </row>
    <row r="1029" spans="76:135" x14ac:dyDescent="0.25">
      <c r="BX1029" s="78"/>
      <c r="BY1029" s="319">
        <v>183</v>
      </c>
      <c r="CA1029" s="78"/>
      <c r="EE1029" s="76">
        <f>+IF(MID($J$2,1,10)=MID($EE$2,1,10),1,2)</f>
        <v>1</v>
      </c>
    </row>
    <row r="1030" spans="76:135" x14ac:dyDescent="0.25">
      <c r="BX1030" s="78"/>
      <c r="BY1030" s="319">
        <v>112</v>
      </c>
      <c r="CA1030" s="78"/>
      <c r="EE1030" s="76">
        <f>+IF(MID($J$3,1,10)=MID($EE$3,1,10),2,1)</f>
        <v>2</v>
      </c>
    </row>
    <row r="1031" spans="76:135" x14ac:dyDescent="0.25">
      <c r="BX1031" s="78"/>
      <c r="BY1031" s="319">
        <v>132</v>
      </c>
      <c r="CA1031" s="78"/>
      <c r="EE1031" s="76">
        <f>+IF(MID($J$2,1,10)=MID($EE$2,1,10),1,2)</f>
        <v>1</v>
      </c>
    </row>
    <row r="1032" spans="76:135" x14ac:dyDescent="0.25">
      <c r="BX1032" s="78"/>
      <c r="BY1032" s="319">
        <v>478</v>
      </c>
      <c r="CA1032" s="78"/>
      <c r="EE1032" s="76">
        <f>+IF(MID($J$2,1,10)=MID($EE$2,1,10),0,1)</f>
        <v>0</v>
      </c>
    </row>
    <row r="1033" spans="76:135" x14ac:dyDescent="0.25">
      <c r="BX1033" s="78"/>
      <c r="BY1033" s="319">
        <v>150</v>
      </c>
      <c r="CA1033" s="78"/>
      <c r="EE1033" s="76">
        <f>+IF(MID($J$2,1,10)=MID($EE$2,1,10),0,1)</f>
        <v>0</v>
      </c>
    </row>
    <row r="1034" spans="76:135" x14ac:dyDescent="0.25">
      <c r="BX1034" s="78"/>
      <c r="BY1034" s="319">
        <v>473</v>
      </c>
      <c r="CA1034" s="78"/>
      <c r="EE1034" s="76">
        <f>+IF(MID($J$2,1,10)=MID($EE$2,1,10),0,1)</f>
        <v>0</v>
      </c>
    </row>
    <row r="1035" spans="76:135" x14ac:dyDescent="0.25">
      <c r="BX1035" s="78"/>
      <c r="BY1035" s="319">
        <v>160</v>
      </c>
      <c r="CA1035" s="78"/>
      <c r="EE1035" s="76">
        <f>+IF(MID($J$2,1,10)=MID($EE$2,1,10),1,2)</f>
        <v>1</v>
      </c>
    </row>
    <row r="1036" spans="76:135" x14ac:dyDescent="0.25">
      <c r="BX1036" s="78"/>
      <c r="BY1036" s="319">
        <v>426</v>
      </c>
      <c r="CA1036" s="78"/>
      <c r="EE1036" s="76">
        <f>+IF(MID($J$2,1,10)=MID($EE$2,1,10),1,2)</f>
        <v>1</v>
      </c>
    </row>
    <row r="1037" spans="76:135" x14ac:dyDescent="0.25">
      <c r="BX1037" s="78"/>
      <c r="BY1037" s="319">
        <v>128</v>
      </c>
      <c r="CA1037" s="78"/>
      <c r="EE1037" s="76">
        <f>+IF(MID($J$2,1,10)=MID($EE$2,1,10),3,1)</f>
        <v>3</v>
      </c>
    </row>
    <row r="1038" spans="76:135" x14ac:dyDescent="0.25">
      <c r="BX1038" s="78"/>
      <c r="BY1038" s="319">
        <v>847</v>
      </c>
      <c r="CA1038" s="78"/>
      <c r="EE1038" s="76">
        <f>+IF(MID($J$2,1,10)=MID($EE$2,1,10),3,1)</f>
        <v>3</v>
      </c>
    </row>
    <row r="1039" spans="76:135" x14ac:dyDescent="0.25">
      <c r="BX1039" s="78"/>
      <c r="BY1039" s="319">
        <v>124</v>
      </c>
      <c r="CA1039" s="78"/>
      <c r="EE1039" s="76">
        <f>+IF(MID($J$2,1,10)=MID($EE$2,1,10),3,1)</f>
        <v>3</v>
      </c>
    </row>
    <row r="1040" spans="76:135" x14ac:dyDescent="0.25">
      <c r="BX1040" s="78"/>
      <c r="BY1040" s="319">
        <v>293</v>
      </c>
      <c r="CA1040" s="78"/>
      <c r="EE1040" s="76">
        <f>+IF(MID($J$2,1,10)=MID($EE$2,1,10),0,1)</f>
        <v>0</v>
      </c>
    </row>
    <row r="1041" spans="76:135" x14ac:dyDescent="0.25">
      <c r="BX1041" s="78"/>
      <c r="BY1041" s="319">
        <v>137</v>
      </c>
      <c r="CA1041" s="78"/>
      <c r="EE1041" s="76">
        <f>+IF(MID($J$2,1,10)=MID($EE$2,1,10),1,2)</f>
        <v>1</v>
      </c>
    </row>
    <row r="1042" spans="76:135" x14ac:dyDescent="0.25">
      <c r="BX1042" s="78"/>
      <c r="BY1042" s="319">
        <v>122</v>
      </c>
      <c r="CA1042" s="78"/>
      <c r="EE1042" s="76">
        <f>+IF(MID($J$2,1,10)=MID($EE$2,1,10),3,1)</f>
        <v>3</v>
      </c>
    </row>
    <row r="1043" spans="76:135" x14ac:dyDescent="0.25">
      <c r="BX1043" s="78"/>
      <c r="BY1043" s="319">
        <v>189</v>
      </c>
      <c r="CA1043" s="78"/>
      <c r="EE1043" s="76">
        <f>+IF(MID($J$2,1,10)=MID($EE$2,1,10),3,1)</f>
        <v>3</v>
      </c>
    </row>
    <row r="1044" spans="76:135" x14ac:dyDescent="0.25">
      <c r="BX1044" s="78"/>
      <c r="BY1044" s="319">
        <v>159</v>
      </c>
      <c r="CA1044" s="78"/>
      <c r="EE1044" s="76">
        <f>+IF(MID($J$2,1,10)=MID($EE$2,1,10),0,1)</f>
        <v>0</v>
      </c>
    </row>
    <row r="1045" spans="76:135" x14ac:dyDescent="0.25">
      <c r="BX1045" s="78"/>
      <c r="BY1045" s="319">
        <v>930</v>
      </c>
      <c r="CA1045" s="78"/>
      <c r="EE1045" s="76">
        <f>+IF(MID($J$2,1,10)=MID($EE$2,1,10),3,1)</f>
        <v>3</v>
      </c>
    </row>
    <row r="1046" spans="76:135" x14ac:dyDescent="0.25">
      <c r="BX1046" s="78"/>
      <c r="BY1046" s="319">
        <v>156</v>
      </c>
      <c r="CA1046" s="78"/>
      <c r="EE1046" s="76">
        <f>+IF(MID($J$2,1,10)=MID($EE$2,1,10),3,1)</f>
        <v>3</v>
      </c>
    </row>
    <row r="1047" spans="76:135" x14ac:dyDescent="0.25">
      <c r="BX1047" s="78"/>
      <c r="BY1047" s="319">
        <v>962</v>
      </c>
      <c r="CA1047" s="78"/>
      <c r="EE1047" s="76">
        <f>+IF(MID($J$2,1,10)=MID($EE$2,1,10),3,1)</f>
        <v>3</v>
      </c>
    </row>
    <row r="1048" spans="76:135" x14ac:dyDescent="0.25">
      <c r="BX1048" s="78"/>
      <c r="BY1048" s="319">
        <v>6</v>
      </c>
      <c r="CA1048" s="78"/>
      <c r="EE1048" s="76">
        <f>+IF(MID($J$3,1,10)=MID($EE$3,1,10),2,1)</f>
        <v>2</v>
      </c>
    </row>
    <row r="1049" spans="76:135" x14ac:dyDescent="0.25">
      <c r="BX1049" s="78"/>
      <c r="BY1049" s="319">
        <v>1049</v>
      </c>
      <c r="CA1049" s="78"/>
      <c r="EE1049" s="76">
        <f>+IF(MID($J$2,1,10)=MID($EE$2,1,10),4,1)</f>
        <v>4</v>
      </c>
    </row>
    <row r="1050" spans="76:135" x14ac:dyDescent="0.25">
      <c r="BX1050" s="78"/>
      <c r="BY1050" s="319">
        <v>148</v>
      </c>
      <c r="CA1050" s="78"/>
      <c r="EE1050" s="76">
        <f>+IF(MID($J$2,1,10)=MID($EE$2,1,10),0,1)</f>
        <v>0</v>
      </c>
    </row>
    <row r="1051" spans="76:135" x14ac:dyDescent="0.25">
      <c r="BX1051" s="78"/>
      <c r="BY1051" s="319">
        <v>331</v>
      </c>
      <c r="CA1051" s="78"/>
      <c r="EE1051" s="76">
        <f>+IF(MID($J$3,1,10)=MID($EE$3,1,10),2,1)</f>
        <v>2</v>
      </c>
    </row>
    <row r="1052" spans="76:135" x14ac:dyDescent="0.25">
      <c r="BX1052" s="78"/>
      <c r="BY1052" s="319">
        <v>159</v>
      </c>
      <c r="CA1052" s="78"/>
      <c r="EE1052" s="76">
        <f>+IF(MID($J$3,1,10)=MID($EE$3,1,10),2,1)</f>
        <v>2</v>
      </c>
    </row>
    <row r="1053" spans="76:135" x14ac:dyDescent="0.25">
      <c r="BX1053" s="78"/>
      <c r="BY1053" s="319">
        <v>908</v>
      </c>
      <c r="CA1053" s="78"/>
      <c r="EE1053" s="76">
        <f>+IF(MID($J$2,1,10)=MID($EE$2,1,10),4,1)</f>
        <v>4</v>
      </c>
    </row>
    <row r="1054" spans="76:135" x14ac:dyDescent="0.25">
      <c r="BX1054" s="78"/>
      <c r="BY1054" s="319">
        <v>122</v>
      </c>
      <c r="CA1054" s="78"/>
      <c r="EE1054" s="76">
        <f>+IF(MID($J$3,1,10)=MID($EE$3,1,10),2,1)</f>
        <v>2</v>
      </c>
    </row>
    <row r="1055" spans="76:135" x14ac:dyDescent="0.25">
      <c r="BX1055" s="78"/>
      <c r="BY1055" s="319">
        <v>1043</v>
      </c>
      <c r="CA1055" s="78"/>
      <c r="EE1055" s="76">
        <f>+IF(MID($J$2,1,10)=MID($EE$2,1,10),4,1)</f>
        <v>4</v>
      </c>
    </row>
    <row r="1056" spans="76:135" x14ac:dyDescent="0.25">
      <c r="BX1056" s="78"/>
      <c r="BY1056" s="319">
        <v>798</v>
      </c>
      <c r="CA1056" s="78"/>
      <c r="EE1056" s="76">
        <f>+IF(MID($J$2,1,10)=MID($EE$2,1,10),1,2)</f>
        <v>1</v>
      </c>
    </row>
    <row r="1057" spans="76:135" x14ac:dyDescent="0.25">
      <c r="BX1057" s="78"/>
      <c r="BY1057" s="319">
        <v>147</v>
      </c>
      <c r="CA1057" s="78"/>
      <c r="EE1057" s="76">
        <f>+IF(MID($J$2,1,10)=MID($EE$2,1,10),3,1)</f>
        <v>3</v>
      </c>
    </row>
    <row r="1058" spans="76:135" x14ac:dyDescent="0.25">
      <c r="BX1058" s="78"/>
      <c r="BY1058" s="319">
        <v>912</v>
      </c>
      <c r="CA1058" s="78"/>
      <c r="EE1058" s="76">
        <f>+IF(MID($J$2,1,10)=MID($EE$2,1,10),1,2)</f>
        <v>1</v>
      </c>
    </row>
    <row r="1059" spans="76:135" x14ac:dyDescent="0.25">
      <c r="BX1059" s="78"/>
      <c r="BY1059" s="319">
        <v>142</v>
      </c>
      <c r="CA1059" s="78"/>
      <c r="EE1059" s="76">
        <f>+IF(MID($J$3,1,10)=MID($EE$3,1,10),2,1)</f>
        <v>2</v>
      </c>
    </row>
    <row r="1060" spans="76:135" x14ac:dyDescent="0.25">
      <c r="BX1060" s="78"/>
      <c r="BY1060" s="319">
        <v>736</v>
      </c>
      <c r="CA1060" s="78"/>
      <c r="EE1060" s="76">
        <f>+IF(MID($J$2,1,10)=MID($EE$2,1,10),1,2)</f>
        <v>1</v>
      </c>
    </row>
    <row r="1061" spans="76:135" x14ac:dyDescent="0.25">
      <c r="BX1061" s="78"/>
      <c r="BY1061" s="319">
        <v>519</v>
      </c>
      <c r="CA1061" s="78"/>
    </row>
    <row r="1062" spans="76:135" x14ac:dyDescent="0.25">
      <c r="BX1062" s="78"/>
      <c r="BY1062" s="319">
        <v>164</v>
      </c>
      <c r="CA1062" s="78"/>
      <c r="EE1062" s="76">
        <f>+IF(MID($J$2,1,10)=MID($EE$2,1,10),0,1)</f>
        <v>0</v>
      </c>
    </row>
    <row r="1063" spans="76:135" x14ac:dyDescent="0.25">
      <c r="BX1063" s="78"/>
      <c r="BY1063" s="319">
        <v>1045</v>
      </c>
      <c r="CA1063" s="78"/>
      <c r="EE1063" s="76">
        <f>+IF(MID($J$2,1,10)=MID($EE$2,1,10),0,1)</f>
        <v>0</v>
      </c>
    </row>
    <row r="1064" spans="76:135" x14ac:dyDescent="0.25">
      <c r="BX1064" s="78"/>
      <c r="BY1064" s="319">
        <v>107</v>
      </c>
      <c r="CA1064" s="78"/>
      <c r="EE1064" s="76">
        <f>+IF(MID($J$2,1,10)=MID($EE$2,1,10),0,1)</f>
        <v>0</v>
      </c>
    </row>
    <row r="1065" spans="76:135" x14ac:dyDescent="0.25">
      <c r="BX1065" s="78"/>
      <c r="BY1065" s="319">
        <v>405</v>
      </c>
      <c r="CA1065" s="78"/>
      <c r="EE1065" s="76">
        <f>+IF(MID($J$2,1,10)=MID($EE$2,1,10),1,2)</f>
        <v>1</v>
      </c>
    </row>
    <row r="1066" spans="76:135" x14ac:dyDescent="0.25">
      <c r="BX1066" s="78"/>
      <c r="BY1066" s="319">
        <v>95</v>
      </c>
      <c r="CA1066" s="78"/>
      <c r="EE1066" s="76">
        <f>+IF(MID($J$2,1,10)=MID($EE$2,1,10),1,2)</f>
        <v>1</v>
      </c>
    </row>
    <row r="1067" spans="76:135" x14ac:dyDescent="0.25">
      <c r="BX1067" s="78"/>
      <c r="BY1067" s="319">
        <v>978</v>
      </c>
      <c r="CA1067" s="78"/>
    </row>
    <row r="1068" spans="76:135" x14ac:dyDescent="0.25">
      <c r="BX1068" s="78"/>
      <c r="BY1068" s="319">
        <v>104</v>
      </c>
      <c r="CA1068" s="78"/>
      <c r="EE1068" s="76">
        <f>+IF(MID($J$2,1,10)=MID($EE$2,1,10),3,1)</f>
        <v>3</v>
      </c>
    </row>
    <row r="1069" spans="76:135" x14ac:dyDescent="0.25">
      <c r="BX1069" s="78"/>
      <c r="BY1069" s="319">
        <v>179</v>
      </c>
      <c r="CA1069" s="78"/>
      <c r="EE1069" s="76">
        <f>+IF(MID($J$2,1,10)=MID($EE$2,1,10),3,1)</f>
        <v>3</v>
      </c>
    </row>
    <row r="1070" spans="76:135" x14ac:dyDescent="0.25">
      <c r="BX1070" s="78"/>
      <c r="BY1070" s="319">
        <v>142</v>
      </c>
      <c r="CA1070" s="78"/>
      <c r="EE1070" s="76">
        <f>+IF(MID($J$2,1,10)=MID($EE$2,1,10),3,1)</f>
        <v>3</v>
      </c>
    </row>
    <row r="1071" spans="76:135" x14ac:dyDescent="0.25">
      <c r="BX1071" s="78"/>
      <c r="BY1071" s="319">
        <v>158</v>
      </c>
      <c r="CA1071" s="78"/>
      <c r="EE1071" s="76">
        <f>+IF(MID($J$2,1,10)=MID($EE$2,1,10),0,1)</f>
        <v>0</v>
      </c>
    </row>
    <row r="1072" spans="76:135" x14ac:dyDescent="0.25">
      <c r="BX1072" s="78"/>
      <c r="BY1072" s="319">
        <v>246</v>
      </c>
      <c r="CA1072" s="78"/>
      <c r="EE1072" s="76">
        <f>+IF(MID($J$2,1,10)=MID($EE$2,1,10),1,2)</f>
        <v>1</v>
      </c>
    </row>
    <row r="1073" spans="76:135" x14ac:dyDescent="0.25">
      <c r="BX1073" s="78"/>
      <c r="BY1073" s="319">
        <v>127</v>
      </c>
      <c r="CA1073" s="78"/>
      <c r="EE1073" s="76">
        <f>+IF(MID($J$2,1,10)=MID($EE$2,1,10),3,1)</f>
        <v>3</v>
      </c>
    </row>
    <row r="1074" spans="76:135" x14ac:dyDescent="0.25">
      <c r="BX1074" s="78"/>
      <c r="BY1074" s="319">
        <v>343</v>
      </c>
      <c r="CA1074" s="78"/>
      <c r="EE1074" s="76">
        <f>+IF(MID($J$2,1,10)=MID($EE$2,1,10),3,1)</f>
        <v>3</v>
      </c>
    </row>
    <row r="1075" spans="76:135" x14ac:dyDescent="0.25">
      <c r="BX1075" s="78"/>
      <c r="BY1075" s="319">
        <v>175</v>
      </c>
      <c r="CA1075" s="78"/>
      <c r="EE1075" s="76">
        <f>+IF(MID($J$2,1,10)=MID($EE$2,1,10),0,1)</f>
        <v>0</v>
      </c>
    </row>
    <row r="1076" spans="76:135" x14ac:dyDescent="0.25">
      <c r="BX1076" s="78"/>
      <c r="BY1076" s="319">
        <v>236</v>
      </c>
      <c r="CA1076" s="78"/>
      <c r="EE1076" s="76">
        <f>+IF(MID($J$2,1,10)=MID($EE$2,1,10),3,1)</f>
        <v>3</v>
      </c>
    </row>
    <row r="1077" spans="76:135" x14ac:dyDescent="0.25">
      <c r="BX1077" s="78"/>
      <c r="BY1077" s="319">
        <v>149</v>
      </c>
      <c r="CA1077" s="78"/>
      <c r="EE1077" s="76">
        <f>+IF(MID($J$2,1,10)=MID($EE$2,1,10),3,1)</f>
        <v>3</v>
      </c>
    </row>
    <row r="1078" spans="76:135" x14ac:dyDescent="0.25">
      <c r="BX1078" s="78"/>
      <c r="BY1078" s="319">
        <v>936</v>
      </c>
      <c r="CA1078" s="78"/>
      <c r="EE1078" s="76">
        <f>+IF(MID($J$2,1,10)=MID($EE$2,1,10),3,1)</f>
        <v>3</v>
      </c>
    </row>
    <row r="1079" spans="76:135" x14ac:dyDescent="0.25">
      <c r="BX1079" s="78"/>
      <c r="BY1079" s="319">
        <v>105</v>
      </c>
      <c r="CA1079" s="78"/>
      <c r="EE1079" s="76">
        <f>+IF(MID($J$2,1,10)=MID($EE$2,1,10),1,2)</f>
        <v>1</v>
      </c>
    </row>
    <row r="1080" spans="76:135" x14ac:dyDescent="0.25">
      <c r="BX1080" s="78"/>
      <c r="BY1080" s="319">
        <v>196</v>
      </c>
      <c r="CA1080" s="78"/>
      <c r="EE1080" s="76">
        <f>+IF(MID($J$3,1,10)=MID($EE$3,1,10),2,1)</f>
        <v>2</v>
      </c>
    </row>
    <row r="1081" spans="76:135" x14ac:dyDescent="0.25">
      <c r="BX1081" s="78"/>
      <c r="BY1081" s="319">
        <v>176</v>
      </c>
      <c r="CA1081" s="78"/>
      <c r="EE1081" s="76">
        <f>+IF(MID($J$2,1,10)=MID($EE$2,1,10),4,1)</f>
        <v>4</v>
      </c>
    </row>
    <row r="1082" spans="76:135" x14ac:dyDescent="0.25">
      <c r="BX1082" s="78"/>
      <c r="BY1082" s="319">
        <v>150</v>
      </c>
      <c r="CA1082" s="78"/>
      <c r="EE1082" s="76">
        <f>+IF(MID($J$2,1,10)=MID($EE$2,1,10),0,1)</f>
        <v>0</v>
      </c>
    </row>
    <row r="1083" spans="76:135" x14ac:dyDescent="0.25">
      <c r="BX1083" s="78"/>
      <c r="BY1083" s="319">
        <v>129</v>
      </c>
      <c r="CA1083" s="78"/>
      <c r="EE1083" s="76">
        <f>+IF(MID($J$3,1,10)=MID($EE$3,1,10),2,1)</f>
        <v>2</v>
      </c>
    </row>
    <row r="1084" spans="76:135" x14ac:dyDescent="0.25">
      <c r="BX1084" s="78"/>
      <c r="BY1084" s="319">
        <v>866</v>
      </c>
      <c r="CA1084" s="78"/>
      <c r="EE1084" s="76">
        <f>+IF(MID($J$3,1,10)=MID($EE$3,1,10),2,1)</f>
        <v>2</v>
      </c>
    </row>
    <row r="1085" spans="76:135" x14ac:dyDescent="0.25">
      <c r="BX1085" s="78"/>
      <c r="BY1085" s="319">
        <v>105</v>
      </c>
      <c r="CA1085" s="78"/>
      <c r="EE1085" s="76">
        <f>+IF(MID($J$2,1,10)=MID($EE$2,1,10),4,1)</f>
        <v>4</v>
      </c>
    </row>
    <row r="1086" spans="76:135" x14ac:dyDescent="0.25">
      <c r="BX1086" s="78"/>
      <c r="BY1086" s="319">
        <v>637</v>
      </c>
      <c r="CA1086" s="78"/>
      <c r="EE1086" s="76">
        <f>+IF(MID($J$3,1,10)=MID($EE$3,1,10),2,1)</f>
        <v>2</v>
      </c>
    </row>
    <row r="1087" spans="76:135" x14ac:dyDescent="0.25">
      <c r="BX1087" s="78"/>
      <c r="BY1087" s="319">
        <v>499</v>
      </c>
      <c r="CA1087" s="78"/>
    </row>
    <row r="1088" spans="76:135" x14ac:dyDescent="0.25">
      <c r="BX1088" s="78"/>
      <c r="BY1088" s="319">
        <v>108</v>
      </c>
      <c r="CA1088" s="78"/>
      <c r="EE1088" s="76">
        <f>+IF(MID($J$2,1,10)=MID($EE$2,1,10),4,1)</f>
        <v>4</v>
      </c>
    </row>
    <row r="1089" spans="76:135" x14ac:dyDescent="0.25">
      <c r="BX1089" s="78"/>
      <c r="BY1089" s="319">
        <v>993</v>
      </c>
      <c r="CA1089" s="78"/>
      <c r="EE1089" s="76">
        <f>+IF(MID($J$2,1,10)=MID($EE$2,1,10),1,2)</f>
        <v>1</v>
      </c>
    </row>
    <row r="1090" spans="76:135" x14ac:dyDescent="0.25">
      <c r="BX1090" s="78"/>
      <c r="BY1090" s="319">
        <v>154</v>
      </c>
      <c r="CA1090" s="78"/>
      <c r="EE1090" s="76">
        <f>+IF(MID($J$2,1,10)=MID($EE$2,1,10),3,1)</f>
        <v>3</v>
      </c>
    </row>
    <row r="1091" spans="76:135" x14ac:dyDescent="0.25">
      <c r="BX1091" s="78"/>
      <c r="BY1091" s="319">
        <v>232</v>
      </c>
      <c r="CA1091" s="78"/>
      <c r="EE1091" s="76">
        <f>+IF(MID($J$2,1,10)=MID($EE$2,1,10),1,2)</f>
        <v>1</v>
      </c>
    </row>
    <row r="1092" spans="76:135" x14ac:dyDescent="0.25">
      <c r="BX1092" s="78"/>
      <c r="BY1092" s="319">
        <v>124</v>
      </c>
      <c r="CA1092" s="78"/>
      <c r="EE1092" s="76">
        <f>+IF(MID($J$3,1,10)=MID($EE$3,1,10),2,1)</f>
        <v>2</v>
      </c>
    </row>
    <row r="1093" spans="76:135" x14ac:dyDescent="0.25">
      <c r="BX1093" s="78"/>
      <c r="BY1093" s="319">
        <v>746</v>
      </c>
      <c r="CA1093" s="78"/>
    </row>
    <row r="1094" spans="76:135" x14ac:dyDescent="0.25">
      <c r="BX1094" s="78"/>
      <c r="BY1094" s="319">
        <v>192</v>
      </c>
      <c r="CA1094" s="78"/>
      <c r="EE1094" s="76">
        <f>+IF(MID($J$2,1,10)=MID($EE$2,1,10),1,2)</f>
        <v>1</v>
      </c>
    </row>
    <row r="1095" spans="76:135" x14ac:dyDescent="0.25">
      <c r="BX1095" s="78"/>
      <c r="BY1095" s="319">
        <v>193</v>
      </c>
      <c r="CA1095" s="78"/>
      <c r="EE1095" s="76">
        <f>+IF(MID($J$2,1,10)=MID($EE$2,1,10),0,1)</f>
        <v>0</v>
      </c>
    </row>
    <row r="1096" spans="76:135" x14ac:dyDescent="0.25">
      <c r="BX1096" s="78"/>
      <c r="BY1096" s="319">
        <v>451</v>
      </c>
      <c r="CA1096" s="78"/>
      <c r="EE1096" s="76">
        <f>+IF(MID($J$2,1,10)=MID($EE$2,1,10),0,1)</f>
        <v>0</v>
      </c>
    </row>
    <row r="1097" spans="76:135" x14ac:dyDescent="0.25">
      <c r="BX1097" s="78"/>
      <c r="BY1097" s="319">
        <v>108</v>
      </c>
      <c r="CA1097" s="78"/>
      <c r="EE1097" s="76">
        <f>+IF(MID($J$2,1,10)=MID($EE$2,1,10),0,1)</f>
        <v>0</v>
      </c>
    </row>
    <row r="1098" spans="76:135" x14ac:dyDescent="0.25">
      <c r="BX1098" s="78"/>
      <c r="BY1098" s="319">
        <v>673</v>
      </c>
      <c r="CA1098" s="78"/>
      <c r="EE1098" s="76">
        <f>+IF(MID($J$2,1,10)=MID($EE$2,1,10),1,2)</f>
        <v>1</v>
      </c>
    </row>
    <row r="1099" spans="76:135" x14ac:dyDescent="0.25">
      <c r="BX1099" s="78"/>
      <c r="BY1099" s="322">
        <v>10</v>
      </c>
      <c r="CA1099" s="78"/>
      <c r="EE1099" s="76">
        <f>+IF(MID($J$6,1,5)=MID($EE$11,1,5),0,1)</f>
        <v>0</v>
      </c>
    </row>
    <row r="1100" spans="76:135" x14ac:dyDescent="0.25">
      <c r="BX1100" s="78"/>
      <c r="BY1100" s="319">
        <v>191</v>
      </c>
      <c r="CA1100" s="78"/>
      <c r="EE1100" s="76">
        <f>+IF(MID($J$2,1,10)=MID($EE$2,1,10),3,1)</f>
        <v>3</v>
      </c>
    </row>
    <row r="1101" spans="76:135" x14ac:dyDescent="0.25">
      <c r="BX1101" s="78"/>
      <c r="BY1101" s="319">
        <v>1067</v>
      </c>
      <c r="CA1101" s="78"/>
      <c r="EE1101" s="76">
        <f>+IF(MID($J$2,1,10)=MID($EE$2,1,10),3,1)</f>
        <v>3</v>
      </c>
    </row>
    <row r="1102" spans="76:135" x14ac:dyDescent="0.25">
      <c r="BX1102" s="78"/>
      <c r="BY1102" s="319">
        <v>128</v>
      </c>
      <c r="CA1102" s="78"/>
      <c r="EE1102" s="76">
        <f>+IF(MID($J$2,1,10)=MID($EE$2,1,10),3,1)</f>
        <v>3</v>
      </c>
    </row>
    <row r="1103" spans="76:135" x14ac:dyDescent="0.25">
      <c r="BX1103" s="78"/>
      <c r="BY1103" s="319">
        <v>445</v>
      </c>
      <c r="CA1103" s="78"/>
      <c r="EE1103" s="76">
        <f>+IF(MID($J$2,1,10)=MID($EE$2,1,10),0,1)</f>
        <v>0</v>
      </c>
    </row>
    <row r="1104" spans="76:135" x14ac:dyDescent="0.25">
      <c r="BX1104" s="78"/>
      <c r="BY1104" s="319">
        <v>194</v>
      </c>
      <c r="CA1104" s="78"/>
      <c r="EE1104" s="76">
        <f>+IF(MID($J$2,1,10)=MID($EE$2,1,10),1,2)</f>
        <v>1</v>
      </c>
    </row>
    <row r="1105" spans="76:135" x14ac:dyDescent="0.25">
      <c r="BX1105" s="78"/>
      <c r="BY1105" s="319">
        <v>396</v>
      </c>
      <c r="CA1105" s="78"/>
      <c r="EE1105" s="76">
        <f>+IF(MID($J$2,1,10)=MID($EE$2,1,10),3,1)</f>
        <v>3</v>
      </c>
    </row>
    <row r="1106" spans="76:135" x14ac:dyDescent="0.25">
      <c r="BX1106" s="78"/>
      <c r="BY1106" s="319">
        <v>13</v>
      </c>
      <c r="CA1106" s="78"/>
      <c r="EE1106" s="76">
        <f>+IF(MID($J$6,1,5)=MID($EE$11,1,5),0,1)</f>
        <v>0</v>
      </c>
    </row>
    <row r="1107" spans="76:135" x14ac:dyDescent="0.25">
      <c r="BX1107" s="78"/>
      <c r="BY1107" s="319">
        <v>531</v>
      </c>
      <c r="CA1107" s="78"/>
      <c r="EE1107" s="76">
        <f>+IF(MID($J$2,1,10)=MID($EE$2,1,10),0,1)</f>
        <v>0</v>
      </c>
    </row>
    <row r="1108" spans="76:135" x14ac:dyDescent="0.25">
      <c r="BX1108" s="78"/>
      <c r="BY1108" s="319">
        <v>122</v>
      </c>
      <c r="CA1108" s="78"/>
      <c r="EE1108" s="76">
        <f>+IF(MID($J$2,1,10)=MID($EE$2,1,10),3,1)</f>
        <v>3</v>
      </c>
    </row>
    <row r="1109" spans="76:135" x14ac:dyDescent="0.25">
      <c r="BX1109" s="78"/>
      <c r="BY1109" s="319">
        <v>1048</v>
      </c>
      <c r="CA1109" s="78"/>
      <c r="EE1109" s="76">
        <f>+IF(MID($J$2,1,10)=MID($EE$2,1,10),3,1)</f>
        <v>3</v>
      </c>
    </row>
    <row r="1110" spans="76:135" x14ac:dyDescent="0.25">
      <c r="BX1110" s="78"/>
      <c r="BY1110" s="319">
        <v>190</v>
      </c>
      <c r="CA1110" s="78"/>
      <c r="EE1110" s="76">
        <f>+IF(MID($J$2,1,10)=MID($EE$2,1,10),3,1)</f>
        <v>3</v>
      </c>
    </row>
    <row r="1111" spans="76:135" x14ac:dyDescent="0.25">
      <c r="BX1111" s="78"/>
      <c r="BY1111" s="319">
        <v>183</v>
      </c>
      <c r="CA1111" s="78"/>
      <c r="EE1111" s="76">
        <f>+IF(MID($J$2,1,10)=MID($EE$2,1,10),1,2)</f>
        <v>1</v>
      </c>
    </row>
    <row r="1112" spans="76:135" x14ac:dyDescent="0.25">
      <c r="BX1112" s="78"/>
      <c r="BY1112" s="319">
        <v>125</v>
      </c>
      <c r="CA1112" s="78"/>
      <c r="EE1112" s="76">
        <f>+IF(MID($J$3,1,10)=MID($EE$3,1,10),2,1)</f>
        <v>2</v>
      </c>
    </row>
    <row r="1113" spans="76:135" x14ac:dyDescent="0.25">
      <c r="BX1113" s="78"/>
      <c r="BY1113" s="319">
        <v>503</v>
      </c>
      <c r="CA1113" s="78"/>
      <c r="EE1113" s="76">
        <f>+IF(MID($J$2,1,10)=MID($EE$2,1,10),4,1)</f>
        <v>4</v>
      </c>
    </row>
    <row r="1114" spans="76:135" x14ac:dyDescent="0.25">
      <c r="BX1114" s="78"/>
      <c r="BY1114" s="319">
        <v>146</v>
      </c>
      <c r="CA1114" s="78"/>
      <c r="EE1114" s="76">
        <f>+IF(MID($J$2,1,10)=MID($EE$2,1,10),0,1)</f>
        <v>0</v>
      </c>
    </row>
    <row r="1115" spans="76:135" x14ac:dyDescent="0.25">
      <c r="BX1115" s="78"/>
      <c r="BY1115" s="319">
        <v>337</v>
      </c>
      <c r="CA1115" s="78"/>
      <c r="EE1115" s="76">
        <f>+IF(MID($J$3,1,10)=MID($EE$3,1,10),2,1)</f>
        <v>2</v>
      </c>
    </row>
    <row r="1116" spans="76:135" x14ac:dyDescent="0.25">
      <c r="BX1116" s="78"/>
      <c r="BY1116" s="319">
        <v>183</v>
      </c>
      <c r="CA1116" s="78"/>
      <c r="EE1116" s="76">
        <f>+IF(MID($J$3,1,10)=MID($EE$3,1,10),2,1)</f>
        <v>2</v>
      </c>
    </row>
    <row r="1117" spans="76:135" x14ac:dyDescent="0.25">
      <c r="BX1117" s="78"/>
      <c r="BY1117" s="319">
        <v>1041</v>
      </c>
      <c r="CA1117" s="78"/>
      <c r="EE1117" s="76">
        <f>+IF(MID($J$2,1,10)=MID($EE$2,1,10),4,1)</f>
        <v>4</v>
      </c>
    </row>
    <row r="1118" spans="76:135" x14ac:dyDescent="0.25">
      <c r="BX1118" s="78"/>
      <c r="BY1118" s="319">
        <v>144</v>
      </c>
      <c r="CA1118" s="78"/>
      <c r="EE1118" s="76">
        <f>+IF(MID($J$3,1,10)=MID($EE$3,1,10),2,1)</f>
        <v>2</v>
      </c>
    </row>
    <row r="1119" spans="76:135" x14ac:dyDescent="0.25">
      <c r="BX1119" s="78"/>
      <c r="BY1119" s="319">
        <v>586</v>
      </c>
      <c r="CA1119" s="78"/>
      <c r="EE1119" s="76">
        <f>+IF(MID($J$2,1,10)=MID($EE$2,1,10),4,1)</f>
        <v>4</v>
      </c>
    </row>
    <row r="1120" spans="76:135" x14ac:dyDescent="0.25">
      <c r="BX1120" s="78"/>
      <c r="BY1120" s="319">
        <v>131</v>
      </c>
      <c r="CA1120" s="78"/>
      <c r="EE1120" s="76">
        <f>+IF(MID($J$2,1,10)=MID($EE$2,1,10),1,2)</f>
        <v>1</v>
      </c>
    </row>
    <row r="1121" spans="76:135" x14ac:dyDescent="0.25">
      <c r="BX1121" s="78"/>
      <c r="BY1121" s="322">
        <v>15</v>
      </c>
      <c r="CA1121" s="78"/>
      <c r="EE1121" s="76">
        <f>+IF(MID($J$6,1,5)=MID($EE$11,1,5),0,1)</f>
        <v>0</v>
      </c>
    </row>
    <row r="1122" spans="76:135" x14ac:dyDescent="0.25">
      <c r="BX1122" s="78"/>
      <c r="BY1122" s="319">
        <v>154</v>
      </c>
      <c r="CA1122" s="78"/>
      <c r="EE1122" s="76">
        <f>+IF(MID($J$2,1,10)=MID($EE$2,1,10),1,2)</f>
        <v>1</v>
      </c>
    </row>
    <row r="1123" spans="76:135" x14ac:dyDescent="0.25">
      <c r="BX1123" s="78"/>
      <c r="BY1123" s="319">
        <v>194</v>
      </c>
      <c r="CA1123" s="78"/>
      <c r="EE1123" s="76">
        <f>+IF(MID($J$3,1,10)=MID($EE$3,1,10),2,1)</f>
        <v>2</v>
      </c>
    </row>
    <row r="1124" spans="76:135" x14ac:dyDescent="0.25">
      <c r="BX1124" s="78"/>
      <c r="BY1124" s="319">
        <v>110</v>
      </c>
      <c r="CA1124" s="78"/>
      <c r="EE1124" s="76">
        <f>+IF(MID($J$2,1,10)=MID($EE$2,1,10),1,2)</f>
        <v>1</v>
      </c>
    </row>
    <row r="1125" spans="76:135" x14ac:dyDescent="0.25">
      <c r="BX1125" s="78"/>
      <c r="BY1125" s="319">
        <v>133</v>
      </c>
      <c r="CA1125" s="78"/>
      <c r="EE1125" s="76">
        <f>+IF(MID($J$2,1,10)=MID($EE$2,1,10),0,1)</f>
        <v>0</v>
      </c>
    </row>
    <row r="1126" spans="76:135" x14ac:dyDescent="0.25">
      <c r="BX1126" s="78"/>
      <c r="BY1126" s="319">
        <v>6</v>
      </c>
      <c r="CA1126" s="78"/>
      <c r="EE1126" s="76">
        <f>+IF(MID($J$2,1,10)=MID($EE$2,1,10),0,1)</f>
        <v>0</v>
      </c>
    </row>
    <row r="1127" spans="76:135" x14ac:dyDescent="0.25">
      <c r="BX1127" s="78"/>
      <c r="BY1127" s="319">
        <v>132</v>
      </c>
      <c r="CA1127" s="78"/>
      <c r="EE1127" s="76">
        <f>+IF(MID($J$2,1,10)=MID($EE$2,1,10),0,1)</f>
        <v>0</v>
      </c>
    </row>
    <row r="1128" spans="76:135" x14ac:dyDescent="0.25">
      <c r="BX1128" s="78"/>
      <c r="BY1128" s="319">
        <v>118</v>
      </c>
      <c r="CA1128" s="78"/>
      <c r="EE1128" s="76">
        <f>+IF(MID($J$2,1,10)=MID($EE$2,1,10),1,2)</f>
        <v>1</v>
      </c>
    </row>
    <row r="1129" spans="76:135" x14ac:dyDescent="0.25">
      <c r="BX1129" s="78"/>
      <c r="BY1129" s="319">
        <v>139</v>
      </c>
      <c r="CA1129" s="78"/>
      <c r="EE1129" s="76">
        <f>+IF(MID($J$2,1,10)=MID($EE$2,1,10),1,2)</f>
        <v>1</v>
      </c>
    </row>
    <row r="1130" spans="76:135" x14ac:dyDescent="0.25">
      <c r="BX1130" s="78"/>
      <c r="BY1130" s="319">
        <v>119</v>
      </c>
      <c r="CA1130" s="78"/>
      <c r="EE1130" s="76">
        <f>+IF(MID($J$2,1,10)=MID($EE$2,1,10),3,1)</f>
        <v>3</v>
      </c>
    </row>
    <row r="1131" spans="76:135" x14ac:dyDescent="0.25">
      <c r="BX1131" s="78"/>
      <c r="BY1131" s="319">
        <v>167</v>
      </c>
      <c r="CA1131" s="78"/>
      <c r="EE1131" s="76">
        <f>+IF(MID($J$2,1,10)=MID($EE$2,1,10),3,1)</f>
        <v>3</v>
      </c>
    </row>
    <row r="1132" spans="76:135" x14ac:dyDescent="0.25">
      <c r="BX1132" s="78"/>
      <c r="BY1132" s="319">
        <v>1191</v>
      </c>
      <c r="CA1132" s="78"/>
      <c r="EE1132" s="76">
        <f>+IF(MID($J$2,1,10)=MID($EE$2,1,10),3,1)</f>
        <v>3</v>
      </c>
    </row>
    <row r="1133" spans="76:135" x14ac:dyDescent="0.25">
      <c r="BX1133" s="78"/>
      <c r="BY1133" s="319">
        <v>197</v>
      </c>
      <c r="CA1133" s="78"/>
      <c r="EE1133" s="76">
        <f>+IF(MID($J$2,1,10)=MID($EE$2,1,10),0,1)</f>
        <v>0</v>
      </c>
    </row>
    <row r="1134" spans="76:135" x14ac:dyDescent="0.25">
      <c r="BX1134" s="78"/>
      <c r="BY1134" s="319">
        <v>424</v>
      </c>
      <c r="CA1134" s="78"/>
      <c r="EE1134" s="76">
        <f>+IF(MID($J$2,1,10)=MID($EE$2,1,10),1,2)</f>
        <v>1</v>
      </c>
    </row>
    <row r="1135" spans="76:135" x14ac:dyDescent="0.25">
      <c r="BX1135" s="78"/>
      <c r="BY1135" s="319">
        <v>182</v>
      </c>
      <c r="CA1135" s="78"/>
      <c r="EE1135" s="76">
        <f>+IF(MID($J$2,1,10)=MID($EE$2,1,10),3,1)</f>
        <v>3</v>
      </c>
    </row>
    <row r="1136" spans="76:135" x14ac:dyDescent="0.25">
      <c r="BX1136" s="78"/>
      <c r="BY1136" s="324">
        <v>5</v>
      </c>
      <c r="CA1136" s="78"/>
      <c r="EE1136" s="76">
        <f>+IF(MID($J$2,1,10)=MID($EE$2,1,10),0,1)</f>
        <v>0</v>
      </c>
    </row>
    <row r="1137" spans="76:135" x14ac:dyDescent="0.25">
      <c r="BX1137" s="78"/>
      <c r="BY1137" s="319">
        <v>147</v>
      </c>
      <c r="CA1137" s="78"/>
      <c r="EE1137" s="76">
        <f>+IF(MID($J$2,1,10)=MID($EE$2,1,10),0,1)</f>
        <v>0</v>
      </c>
    </row>
    <row r="1138" spans="76:135" x14ac:dyDescent="0.25">
      <c r="BX1138" s="78"/>
      <c r="BY1138" s="319">
        <v>636</v>
      </c>
      <c r="CA1138" s="78"/>
      <c r="EE1138" s="76">
        <f>+IF(MID($J$2,1,10)=MID($EE$2,1,10),3,1)</f>
        <v>3</v>
      </c>
    </row>
    <row r="1139" spans="76:135" x14ac:dyDescent="0.25">
      <c r="BX1139" s="78"/>
      <c r="BY1139" s="319">
        <v>780</v>
      </c>
      <c r="CA1139" s="78"/>
      <c r="EE1139" s="76">
        <f>+IF(MID($J$2,1,10)=MID($EE$2,1,10),3,1)</f>
        <v>3</v>
      </c>
    </row>
    <row r="1140" spans="76:135" x14ac:dyDescent="0.25">
      <c r="BX1140" s="78"/>
      <c r="BY1140" s="319">
        <v>129</v>
      </c>
      <c r="CA1140" s="78"/>
      <c r="EE1140" s="76">
        <f>+IF(MID($J$2,1,10)=MID($EE$2,1,10),3,1)</f>
        <v>3</v>
      </c>
    </row>
    <row r="1141" spans="76:135" x14ac:dyDescent="0.25">
      <c r="BX1141" s="78"/>
      <c r="BY1141" s="319">
        <v>476</v>
      </c>
      <c r="CA1141" s="78"/>
      <c r="EE1141" s="76">
        <f>+IF(MID($J$2,1,10)=MID($EE$2,1,10),1,2)</f>
        <v>1</v>
      </c>
    </row>
    <row r="1142" spans="76:135" x14ac:dyDescent="0.25">
      <c r="BX1142" s="78"/>
      <c r="BY1142" s="319">
        <v>202</v>
      </c>
      <c r="CA1142" s="78"/>
      <c r="EE1142" s="76">
        <f>+IF(MID($J$3,1,10)=MID($EE$3,1,10),2,1)</f>
        <v>2</v>
      </c>
    </row>
    <row r="1143" spans="76:135" x14ac:dyDescent="0.25">
      <c r="BX1143" s="78"/>
      <c r="BY1143" s="319">
        <v>816</v>
      </c>
      <c r="CA1143" s="78"/>
      <c r="EE1143" s="76">
        <f>+IF(MID($J$2,1,10)=MID($EE$2,1,10),4,1)</f>
        <v>4</v>
      </c>
    </row>
    <row r="1144" spans="76:135" x14ac:dyDescent="0.25">
      <c r="BX1144" s="78"/>
      <c r="BY1144" s="319">
        <v>171</v>
      </c>
      <c r="CA1144" s="78"/>
      <c r="EE1144" s="76">
        <f>+IF(MID($J$2,1,10)=MID($EE$2,1,10),0,1)</f>
        <v>0</v>
      </c>
    </row>
    <row r="1145" spans="76:135" x14ac:dyDescent="0.25">
      <c r="BX1145" s="78"/>
      <c r="BY1145" s="319">
        <v>306</v>
      </c>
      <c r="CA1145" s="78"/>
      <c r="EE1145" s="76">
        <f>+IF(MID($J$3,1,10)=MID($EE$3,1,10),2,1)</f>
        <v>2</v>
      </c>
    </row>
    <row r="1146" spans="76:135" x14ac:dyDescent="0.25">
      <c r="BX1146" s="78"/>
      <c r="BY1146" s="319">
        <v>197</v>
      </c>
      <c r="CA1146" s="78"/>
      <c r="EE1146" s="76">
        <f>+IF(MID($J$3,1,10)=MID($EE$3,1,10),2,1)</f>
        <v>2</v>
      </c>
    </row>
    <row r="1147" spans="76:135" x14ac:dyDescent="0.25">
      <c r="BX1147" s="78"/>
      <c r="BY1147" s="319">
        <v>170</v>
      </c>
      <c r="CA1147" s="78"/>
      <c r="EE1147" s="76">
        <f>+IF(MID($J$2,1,10)=MID($EE$2,1,10),4,1)</f>
        <v>4</v>
      </c>
    </row>
    <row r="1148" spans="76:135" x14ac:dyDescent="0.25">
      <c r="BX1148" s="78"/>
      <c r="BY1148" s="319">
        <v>145</v>
      </c>
      <c r="CA1148" s="78"/>
      <c r="EE1148" s="76">
        <f>+IF(MID($J$3,1,10)=MID($EE$3,1,10),2,1)</f>
        <v>2</v>
      </c>
    </row>
    <row r="1149" spans="76:135" x14ac:dyDescent="0.25">
      <c r="BX1149" s="78"/>
      <c r="BY1149" s="319">
        <v>665</v>
      </c>
      <c r="CA1149" s="78"/>
      <c r="EE1149" s="76">
        <f>+IF(MID($J$2,1,10)=MID($EE$2,1,10),4,1)</f>
        <v>4</v>
      </c>
    </row>
    <row r="1150" spans="76:135" x14ac:dyDescent="0.25">
      <c r="BX1150" s="78"/>
      <c r="BY1150" s="319">
        <v>112</v>
      </c>
      <c r="CA1150" s="78"/>
      <c r="EE1150" s="76">
        <f>+IF(MID($J$2,1,10)=MID($EE$2,1,10),1,2)</f>
        <v>1</v>
      </c>
    </row>
    <row r="1151" spans="76:135" x14ac:dyDescent="0.25">
      <c r="BX1151" s="78"/>
      <c r="BY1151" s="319">
        <v>144</v>
      </c>
      <c r="CA1151" s="78"/>
      <c r="EE1151" s="76">
        <f>+IF(MID($J$2,1,10)=MID($EE$2,1,10),3,1)</f>
        <v>3</v>
      </c>
    </row>
    <row r="1152" spans="76:135" x14ac:dyDescent="0.25">
      <c r="BX1152" s="78"/>
      <c r="BY1152" s="322">
        <v>28</v>
      </c>
      <c r="CA1152" s="78"/>
      <c r="EE1152" s="76">
        <f>+IF(MID($J$2,1,10)=MID($EE$2,1,10),0,1)</f>
        <v>0</v>
      </c>
    </row>
    <row r="1153" spans="76:135" x14ac:dyDescent="0.25">
      <c r="BX1153" s="78"/>
      <c r="BY1153" s="325">
        <v>15</v>
      </c>
      <c r="CA1153" s="78"/>
      <c r="EE1153" s="76">
        <f>+IF(MID($J$3,1,10)=MID($EE$3,1,10),0,1)</f>
        <v>0</v>
      </c>
    </row>
    <row r="1154" spans="76:135" x14ac:dyDescent="0.25">
      <c r="BX1154" s="78"/>
      <c r="BY1154" s="319">
        <v>110</v>
      </c>
      <c r="CA1154" s="78"/>
      <c r="EE1154" s="76">
        <f>+IF(MID($J$2,1,10)=MID($EE$2,1,10),1,2)</f>
        <v>1</v>
      </c>
    </row>
    <row r="1155" spans="76:135" x14ac:dyDescent="0.25">
      <c r="BX1155" s="78"/>
      <c r="BY1155" s="319">
        <v>554</v>
      </c>
      <c r="CA1155" s="78"/>
      <c r="EE1155" s="76">
        <f>+IF(MID($J$2,1,10)=MID($EE$2,1,10),0,1)</f>
        <v>0</v>
      </c>
    </row>
    <row r="1156" spans="76:135" x14ac:dyDescent="0.25">
      <c r="BX1156" s="78"/>
      <c r="BY1156" s="319">
        <v>180</v>
      </c>
      <c r="CA1156" s="78"/>
      <c r="EE1156" s="76">
        <f>+IF(MID($J$2,1,10)=MID($EE$2,1,10),0,1)</f>
        <v>0</v>
      </c>
    </row>
    <row r="1157" spans="76:135" x14ac:dyDescent="0.25">
      <c r="BX1157" s="78"/>
      <c r="BY1157" s="319">
        <v>825</v>
      </c>
      <c r="CA1157" s="78"/>
      <c r="EE1157" s="76">
        <f>+IF(MID($J$2,1,10)=MID($EE$2,1,10),0,1)</f>
        <v>0</v>
      </c>
    </row>
    <row r="1158" spans="76:135" x14ac:dyDescent="0.25">
      <c r="BX1158" s="78"/>
      <c r="BY1158" s="319">
        <v>171</v>
      </c>
      <c r="CA1158" s="78"/>
      <c r="EE1158" s="76">
        <f>+IF(MID($J$2,1,10)=MID($EE$2,1,10),1,2)</f>
        <v>1</v>
      </c>
    </row>
    <row r="1159" spans="76:135" x14ac:dyDescent="0.25">
      <c r="BX1159" s="78"/>
      <c r="BY1159" s="319">
        <v>744</v>
      </c>
      <c r="CA1159" s="78"/>
      <c r="EE1159" s="76">
        <f>+IF(MID($J$2,1,10)=MID($EE$2,1,10),1,2)</f>
        <v>1</v>
      </c>
    </row>
    <row r="1160" spans="76:135" x14ac:dyDescent="0.25">
      <c r="BX1160" s="78"/>
      <c r="BY1160" s="319">
        <v>112</v>
      </c>
      <c r="CA1160" s="78"/>
      <c r="EE1160" s="76">
        <f>+IF(MID($J$2,1,10)=MID($EE$2,1,10),3,1)</f>
        <v>3</v>
      </c>
    </row>
    <row r="1161" spans="76:135" x14ac:dyDescent="0.25">
      <c r="BX1161" s="78"/>
      <c r="BY1161" s="319">
        <v>190</v>
      </c>
      <c r="CA1161" s="78"/>
      <c r="EE1161" s="76">
        <f>+IF(MID($J$2,1,10)=MID($EE$2,1,10),3,1)</f>
        <v>3</v>
      </c>
    </row>
    <row r="1162" spans="76:135" x14ac:dyDescent="0.25">
      <c r="BX1162" s="78"/>
      <c r="BY1162" s="319">
        <v>124</v>
      </c>
      <c r="CA1162" s="78"/>
      <c r="EE1162" s="76">
        <f>+IF(MID($J$2,1,10)=MID($EE$2,1,10),3,1)</f>
        <v>3</v>
      </c>
    </row>
    <row r="1163" spans="76:135" x14ac:dyDescent="0.25">
      <c r="BX1163" s="78"/>
      <c r="BY1163" s="319">
        <v>155</v>
      </c>
      <c r="CA1163" s="78"/>
      <c r="EE1163" s="76">
        <f>+IF(MID($J$2,1,10)=MID($EE$2,1,10),0,1)</f>
        <v>0</v>
      </c>
    </row>
    <row r="1164" spans="76:135" x14ac:dyDescent="0.25">
      <c r="BX1164" s="78"/>
      <c r="BY1164" s="319">
        <v>187</v>
      </c>
      <c r="CA1164" s="78"/>
      <c r="EE1164" s="76">
        <f>+IF(MID($J$2,1,10)=MID($EE$2,1,10),1,2)</f>
        <v>1</v>
      </c>
    </row>
    <row r="1165" spans="76:135" x14ac:dyDescent="0.25">
      <c r="BX1165" s="78"/>
      <c r="BY1165" s="319">
        <v>144</v>
      </c>
      <c r="CA1165" s="78"/>
      <c r="EE1165" s="76">
        <f>+IF(MID($J$2,1,10)=MID($EE$2,1,10),3,1)</f>
        <v>3</v>
      </c>
    </row>
    <row r="1166" spans="76:135" x14ac:dyDescent="0.25">
      <c r="BX1166" s="78"/>
      <c r="BY1166" s="319">
        <v>108</v>
      </c>
      <c r="CA1166" s="78"/>
      <c r="EE1166" s="76">
        <f>+IF(MID($J$2,1,10)=MID($EE$2,1,10),3,1)</f>
        <v>3</v>
      </c>
    </row>
    <row r="1167" spans="76:135" x14ac:dyDescent="0.25">
      <c r="BX1167" s="78"/>
      <c r="BY1167" s="319">
        <v>112</v>
      </c>
      <c r="CA1167" s="78"/>
      <c r="EE1167" s="76">
        <f>+IF(MID($J$2,1,10)=MID($EE$2,1,10),0,1)</f>
        <v>0</v>
      </c>
    </row>
    <row r="1168" spans="76:135" x14ac:dyDescent="0.25">
      <c r="BX1168" s="78"/>
      <c r="BY1168" s="319">
        <v>195</v>
      </c>
      <c r="CA1168" s="78"/>
      <c r="EE1168" s="76">
        <f>+IF(MID($J$3,1,10)=MID($EE$3,1,10),2,1)</f>
        <v>2</v>
      </c>
    </row>
    <row r="1169" spans="76:135" x14ac:dyDescent="0.25">
      <c r="BX1169" s="78"/>
      <c r="BY1169" s="319">
        <v>13</v>
      </c>
      <c r="CA1169" s="78"/>
      <c r="EE1169" s="76">
        <f>+IF(MID($J$2,1,10)=MID($EE$2,1,10),1,2)</f>
        <v>1</v>
      </c>
    </row>
    <row r="1170" spans="76:135" x14ac:dyDescent="0.25">
      <c r="BX1170" s="78"/>
      <c r="BY1170" s="319">
        <v>146</v>
      </c>
      <c r="CA1170" s="78"/>
      <c r="EE1170" s="76">
        <f>+IF(MID($J$2,1,10)=MID($EE$2,1,10),0,1)</f>
        <v>0</v>
      </c>
    </row>
    <row r="1171" spans="76:135" x14ac:dyDescent="0.25">
      <c r="BX1171" s="78"/>
      <c r="BY1171" s="319">
        <v>128</v>
      </c>
      <c r="CA1171" s="78"/>
      <c r="EE1171" s="76">
        <f>+IF(MID($J$3,1,10)=MID($EE$3,1,10),2,1)</f>
        <v>2</v>
      </c>
    </row>
    <row r="1172" spans="76:135" x14ac:dyDescent="0.25">
      <c r="BX1172" s="78"/>
      <c r="BY1172" s="319">
        <v>165</v>
      </c>
      <c r="CA1172" s="78"/>
      <c r="EE1172" s="76">
        <f>+IF(MID($J$3,1,10)=MID($EE$3,1,10),2,1)</f>
        <v>2</v>
      </c>
    </row>
    <row r="1173" spans="76:135" x14ac:dyDescent="0.25">
      <c r="BX1173" s="78"/>
      <c r="BY1173" s="319">
        <v>113</v>
      </c>
      <c r="CA1173" s="78"/>
      <c r="EE1173" s="76">
        <f>+IF(MID($J$2,1,10)=MID($EE$2,1,10),4,1)</f>
        <v>4</v>
      </c>
    </row>
    <row r="1174" spans="76:135" x14ac:dyDescent="0.25">
      <c r="BX1174" s="78"/>
      <c r="BY1174" s="319">
        <v>193</v>
      </c>
      <c r="CA1174" s="78"/>
      <c r="EE1174" s="76">
        <f>+IF(MID($J$3,1,10)=MID($EE$3,1,10),2,1)</f>
        <v>2</v>
      </c>
    </row>
    <row r="1175" spans="76:135" x14ac:dyDescent="0.25">
      <c r="BX1175" s="78"/>
      <c r="BY1175" s="319">
        <v>120</v>
      </c>
      <c r="CA1175" s="78"/>
      <c r="EE1175" s="76">
        <f>+IF(MID($J$2,1,10)=MID($EE$2,1,10),4,1)</f>
        <v>4</v>
      </c>
    </row>
    <row r="1176" spans="76:135" x14ac:dyDescent="0.25">
      <c r="BX1176" s="78"/>
      <c r="BY1176" s="319">
        <v>177</v>
      </c>
      <c r="CA1176" s="78"/>
      <c r="EE1176" s="76">
        <f>+IF(MID($J$2,1,10)=MID($EE$2,1,10),1,2)</f>
        <v>1</v>
      </c>
    </row>
    <row r="1177" spans="76:135" x14ac:dyDescent="0.25">
      <c r="BX1177" s="78"/>
      <c r="BY1177" s="319">
        <v>169</v>
      </c>
      <c r="CA1177" s="78"/>
      <c r="EE1177" s="76">
        <f>+IF(MID($J$2,1,10)=MID($EE$2,1,10),3,1)</f>
        <v>3</v>
      </c>
    </row>
    <row r="1178" spans="76:135" x14ac:dyDescent="0.25">
      <c r="BX1178" s="78"/>
      <c r="BY1178" s="319">
        <v>190</v>
      </c>
      <c r="CA1178" s="78"/>
      <c r="EE1178" s="76">
        <f>+IF(MID($J$2,1,10)=MID($EE$2,1,10),1,2)</f>
        <v>1</v>
      </c>
    </row>
    <row r="1179" spans="76:135" x14ac:dyDescent="0.25">
      <c r="BX1179" s="78"/>
      <c r="BY1179" s="319">
        <v>196</v>
      </c>
      <c r="CA1179" s="78"/>
      <c r="EE1179" s="76">
        <f>+IF(MID($J$3,1,10)=MID($EE$3,1,10),2,1)</f>
        <v>2</v>
      </c>
    </row>
    <row r="1180" spans="76:135" x14ac:dyDescent="0.25">
      <c r="BX1180" s="78"/>
      <c r="BY1180" s="319">
        <v>129</v>
      </c>
      <c r="CA1180" s="78"/>
      <c r="EE1180" s="76">
        <f>+IF(MID($J$2,1,10)=MID($EE$2,1,10),1,2)</f>
        <v>1</v>
      </c>
    </row>
    <row r="1181" spans="76:135" x14ac:dyDescent="0.25">
      <c r="BX1181" s="78"/>
      <c r="BY1181" s="319">
        <v>105</v>
      </c>
      <c r="CA1181" s="78"/>
      <c r="EE1181" s="76">
        <f>+IF(MID($J$2,1,10)=MID($EE$2,1,10),0,1)</f>
        <v>0</v>
      </c>
    </row>
    <row r="1182" spans="76:135" x14ac:dyDescent="0.25">
      <c r="BX1182" s="78"/>
      <c r="BY1182" s="319">
        <v>145</v>
      </c>
      <c r="CA1182" s="78"/>
      <c r="EE1182" s="76">
        <f>+IF(MID($J$2,1,10)=MID($EE$2,1,10),0,1)</f>
        <v>0</v>
      </c>
    </row>
    <row r="1183" spans="76:135" x14ac:dyDescent="0.25">
      <c r="BX1183" s="78"/>
      <c r="BY1183" s="319">
        <v>142</v>
      </c>
      <c r="CA1183" s="78"/>
      <c r="EE1183" s="76">
        <f>+IF(MID($J$2,1,10)=MID($EE$2,1,10),0,1)</f>
        <v>0</v>
      </c>
    </row>
    <row r="1184" spans="76:135" x14ac:dyDescent="0.25">
      <c r="BX1184" s="78"/>
      <c r="BY1184" s="319">
        <v>1121</v>
      </c>
      <c r="CA1184" s="78"/>
      <c r="EE1184" s="76">
        <f>+IF(MID($J$2,1,10)=MID($EE$2,1,10),1,2)</f>
        <v>1</v>
      </c>
    </row>
    <row r="1185" spans="76:135" x14ac:dyDescent="0.25">
      <c r="BX1185" s="78"/>
      <c r="BY1185" s="319">
        <v>135</v>
      </c>
      <c r="CA1185" s="78"/>
      <c r="EE1185" s="76">
        <f>+IF(MID($J$2,1,10)=MID($EE$2,1,10),1,2)</f>
        <v>1</v>
      </c>
    </row>
    <row r="1186" spans="76:135" x14ac:dyDescent="0.25">
      <c r="BX1186" s="78"/>
      <c r="BY1186" s="319">
        <v>395</v>
      </c>
      <c r="CA1186" s="78"/>
      <c r="EE1186" s="76">
        <f>+IF(MID($J$2,1,10)=MID($EE$2,1,10),3,1)</f>
        <v>3</v>
      </c>
    </row>
    <row r="1187" spans="76:135" x14ac:dyDescent="0.25">
      <c r="BX1187" s="78"/>
      <c r="BY1187" s="319">
        <v>177</v>
      </c>
      <c r="CA1187" s="78"/>
      <c r="EE1187" s="76">
        <f>+IF(MID($J$2,1,10)=MID($EE$2,1,10),3,1)</f>
        <v>3</v>
      </c>
    </row>
    <row r="1188" spans="76:135" x14ac:dyDescent="0.25">
      <c r="BX1188" s="78"/>
      <c r="BY1188" s="319">
        <v>171</v>
      </c>
      <c r="CA1188" s="78"/>
      <c r="EE1188" s="76">
        <f>+IF(MID($J$2,1,10)=MID($EE$2,1,10),3,1)</f>
        <v>3</v>
      </c>
    </row>
    <row r="1189" spans="76:135" x14ac:dyDescent="0.25">
      <c r="BX1189" s="78"/>
      <c r="BY1189" s="319">
        <v>158</v>
      </c>
      <c r="CA1189" s="78"/>
      <c r="EE1189" s="76">
        <f>+IF(MID($J$2,1,10)=MID($EE$2,1,10),0,1)</f>
        <v>0</v>
      </c>
    </row>
    <row r="1190" spans="76:135" x14ac:dyDescent="0.25">
      <c r="BX1190" s="78"/>
      <c r="BY1190" s="319">
        <v>548</v>
      </c>
      <c r="CA1190" s="78"/>
      <c r="EE1190" s="76">
        <f>+IF(MID($J$2,1,10)=MID($EE$2,1,10),1,2)</f>
        <v>1</v>
      </c>
    </row>
    <row r="1191" spans="76:135" x14ac:dyDescent="0.25">
      <c r="BX1191" s="78"/>
      <c r="BY1191" s="322">
        <v>10</v>
      </c>
      <c r="CA1191" s="78"/>
      <c r="EE1191" s="76">
        <f>+IF(MID($J$5,1,10)=MID($EE$5,1,10),1,2)</f>
        <v>1</v>
      </c>
    </row>
    <row r="1192" spans="76:135" x14ac:dyDescent="0.25">
      <c r="BX1192" s="78"/>
      <c r="BY1192" s="319">
        <v>371</v>
      </c>
      <c r="CA1192" s="78"/>
      <c r="EE1192" s="76">
        <f>+IF(MID($J$2,1,10)=MID($EE$2,1,10),3,1)</f>
        <v>3</v>
      </c>
    </row>
    <row r="1193" spans="76:135" x14ac:dyDescent="0.25">
      <c r="BX1193" s="78"/>
      <c r="BY1193" s="322">
        <v>7</v>
      </c>
      <c r="CA1193" s="78"/>
      <c r="EE1193" s="76">
        <f>+IF(MID($J$5,1,10)=MID($EE$5,1,10),1,2)</f>
        <v>1</v>
      </c>
    </row>
    <row r="1194" spans="76:135" x14ac:dyDescent="0.25">
      <c r="BX1194" s="78"/>
      <c r="BY1194" s="322">
        <v>18</v>
      </c>
      <c r="CA1194" s="78"/>
      <c r="EE1194" s="76">
        <f>+IF(MID($J$5,1,10)=MID($EE$5,1,10),1,2)</f>
        <v>1</v>
      </c>
    </row>
    <row r="1195" spans="76:135" x14ac:dyDescent="0.25">
      <c r="BX1195" s="78"/>
      <c r="BY1195" s="319">
        <v>171</v>
      </c>
      <c r="CA1195" s="78"/>
      <c r="EE1195" s="76">
        <f>+IF(MID($J$2,1,10)=MID($EE$2,1,10),3,1)</f>
        <v>3</v>
      </c>
    </row>
    <row r="1196" spans="76:135" x14ac:dyDescent="0.25">
      <c r="BX1196" s="78"/>
      <c r="BY1196" s="319">
        <v>361</v>
      </c>
      <c r="CA1196" s="78"/>
      <c r="EE1196" s="76">
        <f>+IF(MID($J$2,1,10)=MID($EE$2,1,10),3,1)</f>
        <v>3</v>
      </c>
    </row>
    <row r="1197" spans="76:135" x14ac:dyDescent="0.25">
      <c r="BX1197" s="78"/>
      <c r="BY1197" s="319">
        <v>661</v>
      </c>
      <c r="CA1197" s="78"/>
      <c r="EE1197" s="76">
        <f>+IF(MID($J$2,1,10)=MID($EE$2,1,10),1,2)</f>
        <v>1</v>
      </c>
    </row>
    <row r="1198" spans="76:135" x14ac:dyDescent="0.25">
      <c r="BX1198" s="78"/>
      <c r="BY1198" s="319">
        <v>146</v>
      </c>
      <c r="CA1198" s="78"/>
      <c r="EE1198" s="76">
        <f>+IF(MID($J$3,1,10)=MID($EE$3,1,10),2,1)</f>
        <v>2</v>
      </c>
    </row>
    <row r="1199" spans="76:135" x14ac:dyDescent="0.25">
      <c r="BX1199" s="78"/>
      <c r="BY1199" s="319">
        <v>570</v>
      </c>
      <c r="CA1199" s="78"/>
      <c r="EE1199" s="76">
        <f>+IF(MID($J$2,1,10)=MID($EE$2,1,10),4,1)</f>
        <v>4</v>
      </c>
    </row>
    <row r="1200" spans="76:135" x14ac:dyDescent="0.25">
      <c r="BX1200" s="78"/>
      <c r="BY1200" s="319">
        <v>0</v>
      </c>
      <c r="CA1200" s="78"/>
      <c r="EE1200" s="76">
        <f>+IF(MID($J$2,1,10)=MID($EE$2,1,10),0,1)</f>
        <v>0</v>
      </c>
    </row>
    <row r="1201" spans="76:135" x14ac:dyDescent="0.25">
      <c r="BX1201" s="78"/>
      <c r="BY1201" s="319">
        <v>687</v>
      </c>
      <c r="CA1201" s="78"/>
      <c r="EE1201" s="76">
        <f>+IF(MID($J$3,1,10)=MID($EE$3,1,10),2,1)</f>
        <v>2</v>
      </c>
    </row>
    <row r="1202" spans="76:135" x14ac:dyDescent="0.25">
      <c r="BX1202" s="78"/>
      <c r="BY1202" s="319">
        <v>146</v>
      </c>
      <c r="CA1202" s="78"/>
      <c r="EE1202" s="76">
        <f>+IF(MID($J$3,1,10)=MID($EE$3,1,10),2,1)</f>
        <v>2</v>
      </c>
    </row>
    <row r="1203" spans="76:135" x14ac:dyDescent="0.25">
      <c r="BX1203" s="78"/>
      <c r="BY1203" s="319">
        <v>423</v>
      </c>
      <c r="CA1203" s="78"/>
      <c r="EE1203" s="76">
        <f>+IF(MID($J$2,1,10)=MID($EE$2,1,10),4,1)</f>
        <v>4</v>
      </c>
    </row>
    <row r="1204" spans="76:135" x14ac:dyDescent="0.25">
      <c r="BX1204" s="78"/>
      <c r="BY1204" s="319">
        <v>154</v>
      </c>
      <c r="CA1204" s="78"/>
      <c r="EE1204" s="76">
        <f>+IF(MID($J$3,1,10)=MID($EE$3,1,10),2,1)</f>
        <v>2</v>
      </c>
    </row>
    <row r="1205" spans="76:135" x14ac:dyDescent="0.25">
      <c r="BX1205" s="78"/>
      <c r="BY1205" s="319">
        <v>171</v>
      </c>
      <c r="CA1205" s="78"/>
      <c r="EE1205" s="76">
        <f>+IF(MID($J$2,1,10)=MID($EE$2,1,10),4,1)</f>
        <v>4</v>
      </c>
    </row>
    <row r="1206" spans="76:135" x14ac:dyDescent="0.25">
      <c r="BX1206" s="78"/>
      <c r="BY1206" s="319">
        <v>158</v>
      </c>
      <c r="CA1206" s="78"/>
      <c r="EE1206" s="76">
        <f>+IF(MID($J$2,1,10)=MID($EE$2,1,10),1,2)</f>
        <v>1</v>
      </c>
    </row>
    <row r="1207" spans="76:135" x14ac:dyDescent="0.25">
      <c r="BX1207" s="78"/>
      <c r="BY1207" s="319">
        <v>105</v>
      </c>
      <c r="CA1207" s="78"/>
      <c r="EE1207" s="76">
        <f>+IF(MID($J$2,1,10)=MID($EE$2,1,10),3,1)</f>
        <v>3</v>
      </c>
    </row>
    <row r="1208" spans="76:135" x14ac:dyDescent="0.25">
      <c r="BX1208" s="78"/>
      <c r="BY1208" s="319">
        <v>186</v>
      </c>
      <c r="CA1208" s="78"/>
      <c r="EE1208" s="76">
        <f>+IF(MID($J$2,1,10)=MID($EE$2,1,10),1,2)</f>
        <v>1</v>
      </c>
    </row>
    <row r="1209" spans="76:135" x14ac:dyDescent="0.25">
      <c r="BX1209" s="78"/>
      <c r="BY1209" s="319">
        <v>112</v>
      </c>
      <c r="CA1209" s="78"/>
      <c r="EE1209" s="76">
        <f>+IF(MID($J$3,1,10)=MID($EE$3,1,10),2,1)</f>
        <v>2</v>
      </c>
    </row>
    <row r="1210" spans="76:135" x14ac:dyDescent="0.25">
      <c r="BX1210" s="78"/>
      <c r="BY1210" s="319">
        <v>181</v>
      </c>
      <c r="CA1210" s="78"/>
      <c r="EE1210" s="76">
        <f>+IF(MID($J$2,1,10)=MID($EE$2,1,10),1,2)</f>
        <v>1</v>
      </c>
    </row>
    <row r="1211" spans="76:135" x14ac:dyDescent="0.25">
      <c r="BX1211" s="78"/>
      <c r="BY1211" s="319">
        <v>1115</v>
      </c>
      <c r="CA1211" s="78"/>
      <c r="EE1211" s="76">
        <f>+IF(MID($J$2,1,10)=MID($EE$2,1,10),0,1)</f>
        <v>0</v>
      </c>
    </row>
    <row r="1212" spans="76:135" x14ac:dyDescent="0.25">
      <c r="BX1212" s="78"/>
      <c r="BY1212" s="319">
        <v>182</v>
      </c>
      <c r="CA1212" s="78"/>
      <c r="EE1212" s="76">
        <f>+IF(MID($J$2,1,10)=MID($EE$2,1,10),0,1)</f>
        <v>0</v>
      </c>
    </row>
    <row r="1213" spans="76:135" x14ac:dyDescent="0.25">
      <c r="BX1213" s="78"/>
      <c r="BY1213" s="319">
        <v>795</v>
      </c>
      <c r="CA1213" s="78"/>
      <c r="EE1213" s="76">
        <f>+IF(MID($J$2,1,10)=MID($EE$2,1,10),0,1)</f>
        <v>0</v>
      </c>
    </row>
    <row r="1214" spans="76:135" x14ac:dyDescent="0.25">
      <c r="BX1214" s="78"/>
      <c r="BY1214" s="319">
        <v>193</v>
      </c>
      <c r="CA1214" s="78"/>
      <c r="EE1214" s="76">
        <f>+IF(MID($J$2,1,10)=MID($EE$2,1,10),1,2)</f>
        <v>1</v>
      </c>
    </row>
    <row r="1215" spans="76:135" x14ac:dyDescent="0.25">
      <c r="BX1215" s="78"/>
      <c r="BY1215" s="319">
        <v>462</v>
      </c>
      <c r="CA1215" s="78"/>
      <c r="EE1215" s="76">
        <f>+IF(MID($J$2,1,10)=MID($EE$2,1,10),1,2)</f>
        <v>1</v>
      </c>
    </row>
    <row r="1216" spans="76:135" x14ac:dyDescent="0.25">
      <c r="BX1216" s="78"/>
      <c r="BY1216" s="319">
        <v>191</v>
      </c>
      <c r="CA1216" s="78"/>
      <c r="EE1216" s="76">
        <f>+IF(MID($J$2,1,10)=MID($EE$2,1,10),3,1)</f>
        <v>3</v>
      </c>
    </row>
    <row r="1217" spans="76:135" x14ac:dyDescent="0.25">
      <c r="BX1217" s="78"/>
      <c r="BY1217" s="319">
        <v>484</v>
      </c>
      <c r="CA1217" s="78"/>
      <c r="EE1217" s="76">
        <f>+IF(MID($J$2,1,10)=MID($EE$2,1,10),3,1)</f>
        <v>3</v>
      </c>
    </row>
    <row r="1218" spans="76:135" x14ac:dyDescent="0.25">
      <c r="BX1218" s="78"/>
      <c r="BY1218" s="319">
        <v>106</v>
      </c>
      <c r="CA1218" s="78"/>
      <c r="EE1218" s="76">
        <f>+IF(MID($J$2,1,10)=MID($EE$2,1,10),3,1)</f>
        <v>3</v>
      </c>
    </row>
    <row r="1219" spans="76:135" x14ac:dyDescent="0.25">
      <c r="BX1219" s="78"/>
      <c r="BY1219" s="319">
        <v>167</v>
      </c>
      <c r="CA1219" s="78"/>
      <c r="EE1219" s="76">
        <f>+IF(MID($J$2,1,10)=MID($EE$2,1,10),0,1)</f>
        <v>0</v>
      </c>
    </row>
    <row r="1220" spans="76:135" x14ac:dyDescent="0.25">
      <c r="BX1220" s="78"/>
      <c r="BY1220" s="319">
        <v>188</v>
      </c>
      <c r="CA1220" s="78"/>
      <c r="EE1220" s="76">
        <f>+IF(MID($J$2,1,10)=MID($EE$2,1,10),1,2)</f>
        <v>1</v>
      </c>
    </row>
    <row r="1221" spans="76:135" x14ac:dyDescent="0.25">
      <c r="BX1221" s="78"/>
      <c r="BY1221" s="319">
        <v>182</v>
      </c>
      <c r="CA1221" s="78"/>
      <c r="EE1221" s="76">
        <f>+IF(MID($J$2,1,10)=MID($EE$2,1,10),3,1)</f>
        <v>3</v>
      </c>
    </row>
    <row r="1222" spans="76:135" x14ac:dyDescent="0.25">
      <c r="BX1222" s="78"/>
      <c r="BY1222" s="319">
        <v>126</v>
      </c>
      <c r="CA1222" s="78"/>
      <c r="EE1222" s="76">
        <f>+IF(MID($J$2,1,10)=MID($EE$2,1,10),3,1)</f>
        <v>3</v>
      </c>
    </row>
    <row r="1223" spans="76:135" x14ac:dyDescent="0.25">
      <c r="BX1223" s="78"/>
      <c r="BY1223" s="319">
        <v>112</v>
      </c>
      <c r="CA1223" s="78"/>
      <c r="EE1223" s="76">
        <f>+IF(MID($J$2,1,10)=MID($EE$2,1,10),0,1)</f>
        <v>0</v>
      </c>
    </row>
    <row r="1224" spans="76:135" x14ac:dyDescent="0.25">
      <c r="BX1224" s="78"/>
      <c r="BY1224" s="319">
        <v>362</v>
      </c>
      <c r="CA1224" s="78"/>
      <c r="EE1224" s="76">
        <f>+IF(MID($J$2,1,10)=MID($EE$2,1,10),3,1)</f>
        <v>3</v>
      </c>
    </row>
    <row r="1225" spans="76:135" x14ac:dyDescent="0.25">
      <c r="BX1225" s="78"/>
      <c r="BY1225" s="319">
        <v>111</v>
      </c>
      <c r="CA1225" s="78"/>
      <c r="EE1225" s="76">
        <f>+IF(MID($J$2,1,10)=MID($EE$2,1,10),3,1)</f>
        <v>3</v>
      </c>
    </row>
    <row r="1226" spans="76:135" x14ac:dyDescent="0.25">
      <c r="BX1226" s="78"/>
      <c r="BY1226" s="319">
        <v>340</v>
      </c>
      <c r="CA1226" s="78"/>
      <c r="EE1226" s="76">
        <f>+IF(MID($J$2,1,10)=MID($EE$2,1,10),3,1)</f>
        <v>3</v>
      </c>
    </row>
    <row r="1227" spans="76:135" x14ac:dyDescent="0.25">
      <c r="BX1227" s="78"/>
      <c r="BY1227" s="319">
        <v>192</v>
      </c>
      <c r="CA1227" s="78"/>
      <c r="EE1227" s="76">
        <f>+IF(MID($J$2,1,10)=MID($EE$2,1,10),1,2)</f>
        <v>1</v>
      </c>
    </row>
    <row r="1228" spans="76:135" x14ac:dyDescent="0.25">
      <c r="BX1228" s="78"/>
      <c r="BY1228" s="319">
        <v>357</v>
      </c>
      <c r="CA1228" s="78"/>
      <c r="EE1228" s="76">
        <f>+IF(MID($J$2,1,10)=MID($EE$2,1,10),3,1)</f>
        <v>3</v>
      </c>
    </row>
    <row r="1229" spans="76:135" x14ac:dyDescent="0.25">
      <c r="BX1229" s="78"/>
      <c r="BY1229" s="319">
        <v>567</v>
      </c>
      <c r="CA1229" s="78"/>
    </row>
    <row r="1230" spans="76:135" x14ac:dyDescent="0.25">
      <c r="BX1230" s="78"/>
      <c r="BY1230" s="319">
        <v>133</v>
      </c>
      <c r="CA1230" s="78"/>
      <c r="EE1230" s="76">
        <f>+IF(MID($J$2,1,10)=MID($EE$2,1,10),0,1)</f>
        <v>0</v>
      </c>
    </row>
    <row r="1231" spans="76:135" x14ac:dyDescent="0.25">
      <c r="BX1231" s="78"/>
      <c r="BY1231" s="319">
        <v>412</v>
      </c>
      <c r="CA1231" s="78"/>
      <c r="EE1231" s="76">
        <f>+IF(MID($J$2,1,10)=MID($EE$2,1,10),3,1)</f>
        <v>3</v>
      </c>
    </row>
    <row r="1232" spans="76:135" x14ac:dyDescent="0.25">
      <c r="BX1232" s="78"/>
      <c r="BY1232" s="319">
        <v>100</v>
      </c>
      <c r="CA1232" s="78"/>
      <c r="EE1232" s="76">
        <f>+IF(MID($J$2,1,10)=MID($EE$2,1,10),3,1)</f>
        <v>3</v>
      </c>
    </row>
    <row r="1233" spans="76:135" x14ac:dyDescent="0.25">
      <c r="BX1233" s="78"/>
      <c r="BY1233" s="319">
        <v>900</v>
      </c>
      <c r="CA1233" s="78"/>
      <c r="EE1233" s="76">
        <f>+IF(MID($J$2,1,10)=MID($EE$2,1,10),3,1)</f>
        <v>3</v>
      </c>
    </row>
    <row r="1234" spans="76:135" x14ac:dyDescent="0.25">
      <c r="BX1234" s="78"/>
      <c r="BY1234" s="319">
        <v>171</v>
      </c>
      <c r="CA1234" s="78"/>
      <c r="EE1234" s="76">
        <f>+IF(MID($J$3,1,10)=MID($EE$3,1,10),2,1)</f>
        <v>2</v>
      </c>
    </row>
    <row r="1235" spans="76:135" x14ac:dyDescent="0.25">
      <c r="BX1235" s="78"/>
      <c r="BY1235" s="319">
        <v>261</v>
      </c>
      <c r="CA1235" s="78"/>
      <c r="EE1235" s="76">
        <f>+IF(MID($J$2,1,10)=MID($EE$2,1,10),4,1)</f>
        <v>4</v>
      </c>
    </row>
    <row r="1236" spans="76:135" x14ac:dyDescent="0.25">
      <c r="BX1236" s="78"/>
      <c r="BY1236" s="319">
        <v>142</v>
      </c>
      <c r="CA1236" s="78"/>
      <c r="EE1236" s="76">
        <f>+IF(MID($J$2,1,10)=MID($EE$2,1,10),0,1)</f>
        <v>0</v>
      </c>
    </row>
    <row r="1237" spans="76:135" x14ac:dyDescent="0.25">
      <c r="BX1237" s="78"/>
      <c r="BY1237" s="319">
        <v>1171</v>
      </c>
      <c r="CA1237" s="78"/>
      <c r="EE1237" s="76">
        <f>+IF(MID($J$3,1,10)=MID($EE$3,1,10),2,1)</f>
        <v>2</v>
      </c>
    </row>
    <row r="1238" spans="76:135" x14ac:dyDescent="0.25">
      <c r="BX1238" s="78"/>
      <c r="BY1238" s="319">
        <v>586</v>
      </c>
      <c r="CA1238" s="78"/>
      <c r="EE1238" s="76">
        <f>+IF(MID($J$3,1,10)=MID($EE$3,1,10),2,1)</f>
        <v>2</v>
      </c>
    </row>
    <row r="1239" spans="76:135" x14ac:dyDescent="0.25">
      <c r="BX1239" s="78"/>
      <c r="BY1239" s="319">
        <v>154</v>
      </c>
      <c r="CA1239" s="78"/>
      <c r="EE1239" s="76">
        <f>+IF(MID($J$2,1,10)=MID($EE$2,1,10),4,1)</f>
        <v>4</v>
      </c>
    </row>
    <row r="1240" spans="76:135" x14ac:dyDescent="0.25">
      <c r="BX1240" s="78"/>
      <c r="BY1240" s="319">
        <v>185</v>
      </c>
      <c r="CA1240" s="78"/>
      <c r="EE1240" s="76">
        <f>+IF(MID($J$3,1,10)=MID($EE$3,1,10),2,1)</f>
        <v>2</v>
      </c>
    </row>
    <row r="1241" spans="76:135" x14ac:dyDescent="0.25">
      <c r="BX1241" s="78"/>
      <c r="BY1241" s="319">
        <v>109</v>
      </c>
      <c r="CA1241" s="78"/>
      <c r="EE1241" s="76">
        <f>+IF(MID($J$2,1,10)=MID($EE$2,1,10),4,1)</f>
        <v>4</v>
      </c>
    </row>
    <row r="1242" spans="76:135" x14ac:dyDescent="0.25">
      <c r="BX1242" s="78"/>
      <c r="BY1242" s="319">
        <v>642</v>
      </c>
      <c r="CA1242" s="78"/>
      <c r="EE1242" s="76">
        <f>+IF(MID($J$2,1,10)=MID($EE$2,1,10),1,2)</f>
        <v>1</v>
      </c>
    </row>
    <row r="1243" spans="76:135" x14ac:dyDescent="0.25">
      <c r="BX1243" s="78"/>
      <c r="BY1243" s="319">
        <v>154</v>
      </c>
      <c r="CA1243" s="78"/>
      <c r="EE1243" s="76">
        <f>+IF(MID($J$2,1,10)=MID($EE$2,1,10),3,1)</f>
        <v>3</v>
      </c>
    </row>
    <row r="1244" spans="76:135" x14ac:dyDescent="0.25">
      <c r="BX1244" s="78"/>
      <c r="BY1244" s="319">
        <v>1126</v>
      </c>
      <c r="CA1244" s="78"/>
      <c r="EE1244" s="76">
        <f>+IF(MID($J$2,1,10)=MID($EE$2,1,10),1,2)</f>
        <v>1</v>
      </c>
    </row>
    <row r="1245" spans="76:135" x14ac:dyDescent="0.25">
      <c r="BX1245" s="78"/>
      <c r="BY1245" s="319">
        <v>181</v>
      </c>
      <c r="CA1245" s="78"/>
      <c r="EE1245" s="76">
        <f>+IF(MID($J$3,1,10)=MID($EE$3,1,10),2,1)</f>
        <v>2</v>
      </c>
    </row>
    <row r="1246" spans="76:135" x14ac:dyDescent="0.25">
      <c r="BX1246" s="78"/>
      <c r="BY1246" s="319">
        <v>335</v>
      </c>
      <c r="CA1246" s="78"/>
      <c r="EE1246" s="76">
        <f>+IF(MID($J$2,1,10)=MID($EE$2,1,10),1,2)</f>
        <v>1</v>
      </c>
    </row>
    <row r="1247" spans="76:135" x14ac:dyDescent="0.25">
      <c r="BX1247" s="78"/>
      <c r="BY1247" s="319">
        <v>112</v>
      </c>
      <c r="CA1247" s="78"/>
      <c r="EE1247" s="76">
        <f>+IF(MID($J$2,1,10)=MID($EE$2,1,10),0,1)</f>
        <v>0</v>
      </c>
    </row>
    <row r="1248" spans="76:135" x14ac:dyDescent="0.25">
      <c r="BX1248" s="78"/>
      <c r="BY1248" s="319">
        <v>1019</v>
      </c>
      <c r="CA1248" s="78"/>
      <c r="EE1248" s="76">
        <f>+IF(MID($J$2,1,10)=MID($EE$2,1,10),0,1)</f>
        <v>0</v>
      </c>
    </row>
    <row r="1249" spans="76:135" x14ac:dyDescent="0.25">
      <c r="BX1249" s="78"/>
      <c r="BY1249" s="319">
        <v>179</v>
      </c>
      <c r="CA1249" s="78"/>
      <c r="EE1249" s="76">
        <f>+IF(MID($J$2,1,10)=MID($EE$2,1,10),0,1)</f>
        <v>0</v>
      </c>
    </row>
    <row r="1250" spans="76:135" x14ac:dyDescent="0.25">
      <c r="BX1250" s="78"/>
      <c r="BY1250" s="319">
        <v>744</v>
      </c>
      <c r="CA1250" s="78"/>
    </row>
    <row r="1251" spans="76:135" x14ac:dyDescent="0.25">
      <c r="BX1251" s="78"/>
      <c r="BY1251" s="319">
        <v>164</v>
      </c>
      <c r="CA1251" s="78"/>
      <c r="EE1251" s="76">
        <f>+IF(MID($J$2,1,10)=MID($EE$2,1,10),1,2)</f>
        <v>1</v>
      </c>
    </row>
    <row r="1252" spans="76:135" x14ac:dyDescent="0.25">
      <c r="BX1252" s="78"/>
      <c r="BY1252" s="319">
        <v>138</v>
      </c>
      <c r="CA1252" s="78"/>
      <c r="EE1252" s="76">
        <f>+IF(MID($J$2,1,10)=MID($EE$2,1,10),1,2)</f>
        <v>1</v>
      </c>
    </row>
    <row r="1253" spans="76:135" x14ac:dyDescent="0.25">
      <c r="BX1253" s="78"/>
      <c r="BY1253" s="319">
        <v>172</v>
      </c>
      <c r="CA1253" s="78"/>
      <c r="EE1253" s="76">
        <f>+IF(MID($J$2,1,10)=MID($EE$2,1,10),3,1)</f>
        <v>3</v>
      </c>
    </row>
    <row r="1254" spans="76:135" x14ac:dyDescent="0.25">
      <c r="BX1254" s="78"/>
      <c r="BY1254" s="319">
        <v>109</v>
      </c>
      <c r="CA1254" s="78"/>
      <c r="EE1254" s="76">
        <f>+IF(MID($J$2,1,10)=MID($EE$2,1,10),3,1)</f>
        <v>3</v>
      </c>
    </row>
    <row r="1255" spans="76:135" x14ac:dyDescent="0.25">
      <c r="BX1255" s="78"/>
      <c r="BY1255" s="319">
        <v>1158</v>
      </c>
      <c r="CA1255" s="78"/>
      <c r="EE1255" s="76">
        <f>+IF(MID($J$2,1,10)=MID($EE$2,1,10),3,1)</f>
        <v>3</v>
      </c>
    </row>
    <row r="1256" spans="76:135" x14ac:dyDescent="0.25">
      <c r="BX1256" s="78"/>
      <c r="BY1256" s="319">
        <v>13</v>
      </c>
      <c r="CA1256" s="78"/>
      <c r="EE1256" s="76">
        <f>+IF(MID($J$5,1,10)=MID($EE$5,1,10),1,2)</f>
        <v>1</v>
      </c>
    </row>
    <row r="1257" spans="76:135" x14ac:dyDescent="0.25">
      <c r="BX1257" s="78"/>
      <c r="BY1257" s="319">
        <v>283</v>
      </c>
      <c r="CA1257" s="78"/>
      <c r="EE1257" s="76">
        <f>+IF(MID($J$2,1,10)=MID($EE$2,1,10),1,2)</f>
        <v>1</v>
      </c>
    </row>
    <row r="1258" spans="76:135" x14ac:dyDescent="0.25">
      <c r="BX1258" s="78"/>
      <c r="BY1258" s="319">
        <v>107</v>
      </c>
      <c r="CA1258" s="78"/>
      <c r="EE1258" s="76">
        <f>+IF(MID($J$2,1,10)=MID($EE$2,1,10),3,1)</f>
        <v>3</v>
      </c>
    </row>
    <row r="1259" spans="76:135" x14ac:dyDescent="0.25">
      <c r="BX1259" s="78"/>
      <c r="BY1259" s="319">
        <v>1011</v>
      </c>
      <c r="CA1259" s="78"/>
      <c r="EE1259" s="76">
        <f>+IF(MID($J$2,1,10)=MID($EE$2,1,10),3,1)</f>
        <v>3</v>
      </c>
    </row>
    <row r="1260" spans="76:135" x14ac:dyDescent="0.25">
      <c r="BX1260" s="78"/>
      <c r="BY1260" s="319">
        <v>120</v>
      </c>
      <c r="CA1260" s="78"/>
      <c r="EE1260" s="76">
        <f>+IF(MID($J$2,1,10)=MID($EE$2,1,10),0,1)</f>
        <v>0</v>
      </c>
    </row>
    <row r="1261" spans="76:135" x14ac:dyDescent="0.25">
      <c r="BX1261" s="78"/>
      <c r="BY1261" s="319">
        <v>158</v>
      </c>
      <c r="CA1261" s="78"/>
      <c r="EE1261" s="76">
        <f>+IF(MID($J$2,1,10)=MID($EE$2,1,10),3,1)</f>
        <v>3</v>
      </c>
    </row>
    <row r="1262" spans="76:135" x14ac:dyDescent="0.25">
      <c r="BX1262" s="78"/>
      <c r="BY1262" s="319">
        <v>182</v>
      </c>
      <c r="CA1262" s="78"/>
      <c r="EE1262" s="76">
        <f>+IF(MID($J$2,1,10)=MID($EE$2,1,10),3,1)</f>
        <v>3</v>
      </c>
    </row>
    <row r="1263" spans="76:135" x14ac:dyDescent="0.25">
      <c r="BX1263" s="78"/>
      <c r="BY1263" s="325">
        <v>15</v>
      </c>
      <c r="CA1263" s="78"/>
      <c r="EE1263" s="76">
        <f>+IF(MID($J$5,1,10)=MID($EE$5,1,10),1,2)</f>
        <v>1</v>
      </c>
    </row>
    <row r="1264" spans="76:135" x14ac:dyDescent="0.25">
      <c r="BX1264" s="78"/>
      <c r="BY1264" s="319">
        <v>123</v>
      </c>
      <c r="CA1264" s="78"/>
      <c r="EE1264" s="76">
        <f>+IF(MID($J$2,1,10)=MID($EE$2,1,10),1,2)</f>
        <v>1</v>
      </c>
    </row>
    <row r="1265" spans="76:135" x14ac:dyDescent="0.25">
      <c r="BX1265" s="78"/>
      <c r="BY1265" s="319">
        <v>192</v>
      </c>
      <c r="CA1265" s="78"/>
      <c r="EE1265" s="76">
        <f>+IF(MID($J$3,1,10)=MID($EE$3,1,10),2,1)</f>
        <v>2</v>
      </c>
    </row>
    <row r="1266" spans="76:135" x14ac:dyDescent="0.25">
      <c r="BX1266" s="78"/>
      <c r="BY1266" s="319">
        <v>136</v>
      </c>
      <c r="CA1266" s="78"/>
      <c r="EE1266" s="76">
        <f>+IF(MID($J$2,1,10)=MID($EE$2,1,10),4,1)</f>
        <v>4</v>
      </c>
    </row>
    <row r="1267" spans="76:135" x14ac:dyDescent="0.25">
      <c r="BX1267" s="78"/>
      <c r="BY1267" s="319">
        <v>144</v>
      </c>
      <c r="CA1267" s="78"/>
      <c r="EE1267" s="76">
        <f>+IF(MID($J$2,1,10)=MID($EE$2,1,10),0,1)</f>
        <v>0</v>
      </c>
    </row>
    <row r="1268" spans="76:135" x14ac:dyDescent="0.25">
      <c r="BX1268" s="78"/>
      <c r="BY1268" s="319">
        <v>175</v>
      </c>
      <c r="CA1268" s="78"/>
      <c r="EE1268" s="76">
        <f>+IF(MID($J$3,1,10)=MID($EE$3,1,10),2,1)</f>
        <v>2</v>
      </c>
    </row>
    <row r="1269" spans="76:135" x14ac:dyDescent="0.25">
      <c r="BX1269" s="78"/>
      <c r="BY1269" s="319">
        <v>168</v>
      </c>
      <c r="CA1269" s="78"/>
      <c r="EE1269" s="76">
        <f>+IF(MID($J$3,1,10)=MID($EE$3,1,10),2,1)</f>
        <v>2</v>
      </c>
    </row>
    <row r="1270" spans="76:135" x14ac:dyDescent="0.25">
      <c r="BX1270" s="78"/>
      <c r="BY1270" s="319">
        <v>107</v>
      </c>
      <c r="CA1270" s="78"/>
      <c r="EE1270" s="76">
        <f>+IF(MID($J$2,1,10)=MID($EE$2,1,10),4,1)</f>
        <v>4</v>
      </c>
    </row>
    <row r="1271" spans="76:135" x14ac:dyDescent="0.25">
      <c r="BX1271" s="78"/>
      <c r="BY1271" s="319">
        <v>168</v>
      </c>
      <c r="CA1271" s="78"/>
      <c r="EE1271" s="76">
        <f>+IF(MID($J$3,1,10)=MID($EE$3,1,10),2,1)</f>
        <v>2</v>
      </c>
    </row>
    <row r="1272" spans="76:135" x14ac:dyDescent="0.25">
      <c r="BX1272" s="78"/>
      <c r="BY1272" s="319">
        <v>194</v>
      </c>
      <c r="CA1272" s="78"/>
      <c r="EE1272" s="76">
        <f>+IF(MID($J$2,1,10)=MID($EE$2,1,10),4,1)</f>
        <v>4</v>
      </c>
    </row>
    <row r="1273" spans="76:135" x14ac:dyDescent="0.25">
      <c r="BX1273" s="78"/>
      <c r="BY1273" s="319">
        <v>173</v>
      </c>
      <c r="CA1273" s="78"/>
      <c r="EE1273" s="76">
        <f>+IF(MID($J$2,1,10)=MID($EE$2,1,10),1,2)</f>
        <v>1</v>
      </c>
    </row>
    <row r="1274" spans="76:135" x14ac:dyDescent="0.25">
      <c r="BX1274" s="78"/>
      <c r="BY1274" s="319">
        <v>128</v>
      </c>
      <c r="CA1274" s="78"/>
      <c r="EE1274" s="76">
        <f>+IF(MID($J$2,1,10)=MID($EE$2,1,10),3,1)</f>
        <v>3</v>
      </c>
    </row>
    <row r="1275" spans="76:135" x14ac:dyDescent="0.25">
      <c r="BX1275" s="78"/>
      <c r="BY1275" s="319">
        <v>1137</v>
      </c>
      <c r="CA1275" s="78"/>
      <c r="EE1275" s="76">
        <f>+IF(MID($J$2,1,10)=MID($EE$2,1,10),1,2)</f>
        <v>1</v>
      </c>
    </row>
    <row r="1276" spans="76:135" x14ac:dyDescent="0.25">
      <c r="BX1276" s="78"/>
      <c r="BY1276" s="319">
        <v>1</v>
      </c>
      <c r="CA1276" s="78"/>
      <c r="EE1276" s="76">
        <f>+IF(MID($J$3,1,10)=MID($EE$3,1,10),2,1)</f>
        <v>2</v>
      </c>
    </row>
    <row r="1277" spans="76:135" x14ac:dyDescent="0.25">
      <c r="BX1277" s="78"/>
      <c r="BY1277" s="319">
        <v>860</v>
      </c>
      <c r="CA1277" s="78"/>
      <c r="EE1277" s="76">
        <f>+IF(MID($J$2,1,10)=MID($EE$2,1,10),1,2)</f>
        <v>1</v>
      </c>
    </row>
    <row r="1278" spans="76:135" x14ac:dyDescent="0.25">
      <c r="BX1278" s="78"/>
      <c r="BY1278" s="322">
        <v>10</v>
      </c>
      <c r="CA1278" s="78"/>
      <c r="EE1278" s="76">
        <f>+IF(MID($J$5,1,10)=MID($EE$5,1,10),1,2)</f>
        <v>1</v>
      </c>
    </row>
    <row r="1279" spans="76:135" x14ac:dyDescent="0.25">
      <c r="BX1279" s="78"/>
      <c r="BY1279" s="319">
        <v>1154</v>
      </c>
      <c r="CA1279" s="78"/>
      <c r="EE1279" s="76">
        <f>+IF(MID($J$2,1,10)=MID($EE$2,1,10),0,1)</f>
        <v>0</v>
      </c>
    </row>
    <row r="1280" spans="76:135" x14ac:dyDescent="0.25">
      <c r="BX1280" s="78"/>
      <c r="BY1280" s="319">
        <v>127</v>
      </c>
      <c r="CA1280" s="78"/>
      <c r="EE1280" s="76">
        <f>+IF(MID($J$3,1,10)=MID($EE$3,1,10),2,1)</f>
        <v>2</v>
      </c>
    </row>
    <row r="1281" spans="76:135" x14ac:dyDescent="0.25">
      <c r="BX1281" s="79"/>
      <c r="BY1281" s="322">
        <v>20</v>
      </c>
      <c r="BZ1281" s="323"/>
      <c r="CA1281" s="79"/>
      <c r="EE1281" s="76">
        <f>+IF(MID($J$5,1,10)=MID($EE$5,1,10),1,2)</f>
        <v>1</v>
      </c>
    </row>
    <row r="1282" spans="76:135" x14ac:dyDescent="0.25">
      <c r="BX1282" s="78"/>
      <c r="BY1282" s="319">
        <v>172</v>
      </c>
      <c r="CA1282" s="78"/>
      <c r="EE1282" s="76">
        <f>+IF(MID($J$2,1,10)=MID($EE$2,1,10),0,1)</f>
        <v>0</v>
      </c>
    </row>
    <row r="1283" spans="76:135" x14ac:dyDescent="0.25">
      <c r="BX1283" s="78"/>
      <c r="BY1283" s="319">
        <v>179</v>
      </c>
      <c r="CA1283" s="78"/>
      <c r="EE1283" s="76">
        <f>+IF(MID($J$3,1,10)=MID($EE$3,1,10),2,1)</f>
        <v>2</v>
      </c>
    </row>
    <row r="1284" spans="76:135" x14ac:dyDescent="0.25">
      <c r="BX1284" s="78"/>
      <c r="BY1284" s="319">
        <v>137</v>
      </c>
      <c r="CA1284" s="78"/>
      <c r="EE1284" s="76">
        <f>+IF(MID($J$3,1,10)=MID($EE$3,1,10),2,1)</f>
        <v>2</v>
      </c>
    </row>
    <row r="1285" spans="76:135" x14ac:dyDescent="0.25">
      <c r="BX1285" s="78"/>
      <c r="BY1285" s="319">
        <v>941</v>
      </c>
      <c r="CA1285" s="78"/>
      <c r="EE1285" s="76">
        <f>+IF(MID($J$2,1,10)=MID($EE$2,1,10),4,1)</f>
        <v>4</v>
      </c>
    </row>
    <row r="1286" spans="76:135" x14ac:dyDescent="0.25">
      <c r="BX1286" s="78"/>
      <c r="BY1286" s="319">
        <v>162</v>
      </c>
      <c r="CA1286" s="78"/>
      <c r="EE1286" s="76">
        <f>+IF(MID($J$3,1,10)=MID($EE$3,1,10),2,1)</f>
        <v>2</v>
      </c>
    </row>
    <row r="1287" spans="76:135" x14ac:dyDescent="0.25">
      <c r="BX1287" s="78"/>
      <c r="BY1287" s="319">
        <v>625</v>
      </c>
      <c r="CA1287" s="78"/>
      <c r="EE1287" s="76">
        <f>+IF(MID($J$2,1,10)=MID($EE$2,1,10),4,1)</f>
        <v>4</v>
      </c>
    </row>
    <row r="1288" spans="76:135" x14ac:dyDescent="0.25">
      <c r="BX1288" s="78"/>
      <c r="BY1288" s="319">
        <v>890</v>
      </c>
      <c r="CA1288" s="78"/>
      <c r="EE1288" s="76">
        <f>+IF(MID($J$2,1,10)=MID($EE$2,1,10),1,2)</f>
        <v>1</v>
      </c>
    </row>
    <row r="1289" spans="76:135" x14ac:dyDescent="0.25">
      <c r="BX1289" s="78"/>
      <c r="BY1289" s="319">
        <v>192</v>
      </c>
      <c r="CA1289" s="78"/>
      <c r="EE1289" s="76">
        <f>+IF(MID($J$2,1,10)=MID($EE$2,1,10),3,1)</f>
        <v>3</v>
      </c>
    </row>
    <row r="1290" spans="76:135" x14ac:dyDescent="0.25">
      <c r="BX1290" s="78"/>
      <c r="BY1290" s="319">
        <v>810</v>
      </c>
      <c r="CA1290" s="78"/>
      <c r="EE1290" s="76">
        <f>+IF(MID($J$2,1,10)=MID($EE$2,1,10),1,2)</f>
        <v>1</v>
      </c>
    </row>
    <row r="1291" spans="76:135" x14ac:dyDescent="0.25">
      <c r="BX1291" s="78"/>
      <c r="BY1291" s="319">
        <v>156</v>
      </c>
      <c r="CA1291" s="78"/>
      <c r="EE1291" s="76">
        <f>+IF(MID($J$3,1,10)=MID($EE$3,1,10),2,1)</f>
        <v>2</v>
      </c>
    </row>
    <row r="1292" spans="76:135" x14ac:dyDescent="0.25">
      <c r="BX1292" s="78"/>
      <c r="BY1292" s="319">
        <v>421</v>
      </c>
      <c r="CA1292" s="78"/>
      <c r="EE1292" s="76">
        <f>+IF(MID($J$2,1,10)=MID($EE$2,1,10),1,2)</f>
        <v>1</v>
      </c>
    </row>
    <row r="1293" spans="76:135" x14ac:dyDescent="0.25">
      <c r="BX1293" s="78"/>
      <c r="BY1293" s="319">
        <v>161</v>
      </c>
      <c r="CA1293" s="78"/>
      <c r="EE1293" s="76">
        <f>+IF(MID($J$2,1,10)=MID($EE$2,1,10),0,1)</f>
        <v>0</v>
      </c>
    </row>
    <row r="1294" spans="76:135" x14ac:dyDescent="0.25">
      <c r="BX1294" s="78"/>
      <c r="BY1294" s="319">
        <v>1057</v>
      </c>
      <c r="CA1294" s="78"/>
      <c r="EE1294" s="76">
        <f>+IF(MID($J$2,1,10)=MID($EE$2,1,10),0,1)</f>
        <v>0</v>
      </c>
    </row>
    <row r="1295" spans="76:135" x14ac:dyDescent="0.25">
      <c r="BX1295" s="78"/>
      <c r="BY1295" s="319">
        <v>203</v>
      </c>
      <c r="CA1295" s="78"/>
      <c r="EE1295" s="76">
        <f>+IF(MID($J$2,1,10)=MID($EE$2,1,10),0,1)</f>
        <v>0</v>
      </c>
    </row>
    <row r="1296" spans="76:135" x14ac:dyDescent="0.25">
      <c r="BX1296" s="78"/>
      <c r="BY1296" s="319">
        <v>154</v>
      </c>
      <c r="CA1296" s="78"/>
      <c r="EE1296" s="76">
        <f>+IF(MID($J$2,1,10)=MID($EE$2,1,10),1,2)</f>
        <v>1</v>
      </c>
    </row>
    <row r="1297" spans="76:135" x14ac:dyDescent="0.25">
      <c r="BX1297" s="78"/>
      <c r="BY1297" s="319">
        <v>126</v>
      </c>
      <c r="CA1297" s="78"/>
      <c r="EE1297" s="76">
        <f>+IF(MID($J$2,1,10)=MID($EE$2,1,10),1,2)</f>
        <v>1</v>
      </c>
    </row>
    <row r="1298" spans="76:135" x14ac:dyDescent="0.25">
      <c r="BX1298" s="78"/>
      <c r="BY1298" s="319">
        <v>132</v>
      </c>
      <c r="CA1298" s="78"/>
      <c r="EE1298" s="76">
        <f>+IF(MID($J$2,1,10)=MID($EE$2,1,10),3,1)</f>
        <v>3</v>
      </c>
    </row>
    <row r="1299" spans="76:135" x14ac:dyDescent="0.25">
      <c r="BX1299" s="78"/>
      <c r="BY1299" s="319">
        <v>126</v>
      </c>
      <c r="CA1299" s="78"/>
      <c r="EE1299" s="76">
        <f>+IF(MID($J$2,1,10)=MID($EE$2,1,10),3,1)</f>
        <v>3</v>
      </c>
    </row>
    <row r="1300" spans="76:135" x14ac:dyDescent="0.25">
      <c r="BX1300" s="78"/>
      <c r="BY1300" s="319">
        <v>117</v>
      </c>
      <c r="CA1300" s="78"/>
      <c r="EE1300" s="76">
        <f>+IF(MID($J$2,1,10)=MID($EE$2,1,10),3,1)</f>
        <v>3</v>
      </c>
    </row>
    <row r="1301" spans="76:135" x14ac:dyDescent="0.25">
      <c r="BX1301" s="78"/>
      <c r="BY1301" s="319">
        <v>175</v>
      </c>
      <c r="CA1301" s="78"/>
      <c r="EE1301" s="76">
        <f>+IF(MID($J$2,1,10)=MID($EE$2,1,10),0,1)</f>
        <v>0</v>
      </c>
    </row>
    <row r="1302" spans="76:135" x14ac:dyDescent="0.25">
      <c r="BX1302" s="78"/>
      <c r="BY1302" s="319">
        <v>354</v>
      </c>
      <c r="CA1302" s="78"/>
      <c r="EE1302" s="76">
        <f>+IF(MID($J$2,1,10)=MID($EE$2,1,10),1,2)</f>
        <v>1</v>
      </c>
    </row>
    <row r="1303" spans="76:135" x14ac:dyDescent="0.25">
      <c r="BX1303" s="78"/>
      <c r="BY1303" s="319">
        <v>113</v>
      </c>
      <c r="CA1303" s="78"/>
      <c r="EE1303" s="76">
        <f>+IF(MID($J$2,1,10)=MID($EE$2,1,10),3,1)</f>
        <v>3</v>
      </c>
    </row>
    <row r="1304" spans="76:135" x14ac:dyDescent="0.25">
      <c r="BX1304" s="78"/>
      <c r="BY1304" s="319">
        <v>976</v>
      </c>
      <c r="CA1304" s="78"/>
      <c r="EE1304" s="76">
        <f>+IF(MID($J$2,1,10)=MID($EE$2,1,10),3,1)</f>
        <v>3</v>
      </c>
    </row>
    <row r="1305" spans="76:135" x14ac:dyDescent="0.25">
      <c r="BX1305" s="78"/>
      <c r="BY1305" s="319">
        <v>115</v>
      </c>
      <c r="CA1305" s="78"/>
      <c r="EE1305" s="76">
        <f>+IF(MID($J$2,1,10)=MID($EE$2,1,10),0,1)</f>
        <v>0</v>
      </c>
    </row>
    <row r="1306" spans="76:135" x14ac:dyDescent="0.25">
      <c r="BX1306" s="78"/>
      <c r="BY1306" s="319">
        <v>751</v>
      </c>
      <c r="CA1306" s="78"/>
      <c r="EE1306" s="76">
        <f>+IF(MID($J$2,1,10)=MID($EE$2,1,10),3,1)</f>
        <v>3</v>
      </c>
    </row>
    <row r="1307" spans="76:135" x14ac:dyDescent="0.25">
      <c r="BX1307" s="78"/>
      <c r="BY1307" s="319">
        <v>137</v>
      </c>
      <c r="CA1307" s="78"/>
      <c r="EE1307" s="76">
        <f>+IF(MID($J$2,1,10)=MID($EE$2,1,10),3,1)</f>
        <v>3</v>
      </c>
    </row>
    <row r="1308" spans="76:135" x14ac:dyDescent="0.25">
      <c r="BX1308" s="78"/>
      <c r="BY1308" s="319">
        <v>285</v>
      </c>
      <c r="CA1308" s="78"/>
      <c r="EE1308" s="76">
        <f>+IF(MID($J$2,1,10)=MID($EE$2,1,10),3,1)</f>
        <v>3</v>
      </c>
    </row>
    <row r="1309" spans="76:135" x14ac:dyDescent="0.25">
      <c r="BX1309" s="78"/>
      <c r="BY1309" s="319">
        <v>174</v>
      </c>
      <c r="CA1309" s="78"/>
      <c r="EE1309" s="76">
        <f>+IF(MID($J$2,1,10)=MID($EE$2,1,10),1,2)</f>
        <v>1</v>
      </c>
    </row>
    <row r="1310" spans="76:135" x14ac:dyDescent="0.25">
      <c r="BX1310" s="78"/>
      <c r="BY1310" s="319">
        <v>431</v>
      </c>
      <c r="CA1310" s="78"/>
      <c r="EE1310" s="76">
        <f>+IF(MID($J$3,1,10)=MID($EE$3,1,10),2,1)</f>
        <v>2</v>
      </c>
    </row>
    <row r="1311" spans="76:135" x14ac:dyDescent="0.25">
      <c r="BX1311" s="78"/>
      <c r="BY1311" s="319">
        <v>139</v>
      </c>
      <c r="CA1311" s="78"/>
      <c r="EE1311" s="76">
        <f>+IF(MID($J$2,1,10)=MID($EE$2,1,10),4,1)</f>
        <v>4</v>
      </c>
    </row>
    <row r="1312" spans="76:135" x14ac:dyDescent="0.25">
      <c r="BX1312" s="78"/>
      <c r="BY1312" s="319">
        <v>223</v>
      </c>
      <c r="CA1312" s="78"/>
      <c r="EE1312" s="76">
        <f>+IF(MID($J$2,1,10)=MID($EE$2,1,10),0,1)</f>
        <v>0</v>
      </c>
    </row>
    <row r="1313" spans="76:135" x14ac:dyDescent="0.25">
      <c r="BX1313" s="78"/>
      <c r="BY1313" s="319">
        <v>116</v>
      </c>
      <c r="CA1313" s="78"/>
      <c r="EE1313" s="76">
        <f>+IF(MID($J$3,1,10)=MID($EE$3,1,10),2,1)</f>
        <v>2</v>
      </c>
    </row>
    <row r="1314" spans="76:135" x14ac:dyDescent="0.25">
      <c r="BX1314" s="78"/>
      <c r="BY1314" s="319">
        <v>140</v>
      </c>
      <c r="CA1314" s="78"/>
      <c r="EE1314" s="76">
        <f>+IF(MID($J$3,1,10)=MID($EE$3,1,10),2,1)</f>
        <v>2</v>
      </c>
    </row>
    <row r="1315" spans="76:135" x14ac:dyDescent="0.25">
      <c r="BX1315" s="78"/>
      <c r="BY1315" s="319">
        <v>469</v>
      </c>
      <c r="CA1315" s="78"/>
      <c r="EE1315" s="76">
        <f>+IF(MID($J$2,1,10)=MID($EE$2,1,10),4,1)</f>
        <v>4</v>
      </c>
    </row>
    <row r="1316" spans="76:135" x14ac:dyDescent="0.25">
      <c r="BX1316" s="78"/>
      <c r="BY1316" s="319">
        <v>157</v>
      </c>
      <c r="CA1316" s="78"/>
      <c r="EE1316" s="76">
        <f>+IF(MID($J$3,1,10)=MID($EE$3,1,10),2,1)</f>
        <v>2</v>
      </c>
    </row>
    <row r="1317" spans="76:135" x14ac:dyDescent="0.25">
      <c r="BX1317" s="78"/>
      <c r="BY1317" s="319">
        <v>996</v>
      </c>
      <c r="CA1317" s="78"/>
      <c r="EE1317" s="76">
        <f>+IF(MID($J$2,1,10)=MID($EE$2,1,10),4,1)</f>
        <v>4</v>
      </c>
    </row>
    <row r="1318" spans="76:135" x14ac:dyDescent="0.25">
      <c r="BX1318" s="78"/>
      <c r="BY1318" s="319">
        <v>170</v>
      </c>
      <c r="CA1318" s="78"/>
      <c r="EE1318" s="76">
        <f>+IF(MID($J$2,1,10)=MID($EE$2,1,10),1,2)</f>
        <v>1</v>
      </c>
    </row>
    <row r="1319" spans="76:135" x14ac:dyDescent="0.25">
      <c r="BX1319" s="78"/>
      <c r="BY1319" s="319">
        <v>742</v>
      </c>
      <c r="CA1319" s="78"/>
      <c r="EE1319" s="76">
        <f>+IF(MID($J$2,1,10)=MID($EE$2,1,10),3,1)</f>
        <v>3</v>
      </c>
    </row>
    <row r="1320" spans="76:135" x14ac:dyDescent="0.25">
      <c r="BX1320" s="78"/>
      <c r="BY1320" s="319">
        <v>171</v>
      </c>
      <c r="CA1320" s="78"/>
      <c r="EE1320" s="76">
        <f>+IF(MID($J$2,1,10)=MID($EE$2,1,10),1,2)</f>
        <v>1</v>
      </c>
    </row>
    <row r="1321" spans="76:135" x14ac:dyDescent="0.25">
      <c r="BX1321" s="78"/>
      <c r="BY1321" s="319">
        <v>538</v>
      </c>
      <c r="CA1321" s="78"/>
      <c r="EE1321" s="76">
        <f>+IF(MID($J$3,1,10)=MID($EE$3,1,10),2,1)</f>
        <v>2</v>
      </c>
    </row>
    <row r="1322" spans="76:135" x14ac:dyDescent="0.25">
      <c r="BX1322" s="78"/>
      <c r="BY1322" s="319">
        <v>181</v>
      </c>
      <c r="CA1322" s="78"/>
      <c r="EE1322" s="76">
        <f>+IF(MID($J$2,1,10)=MID($EE$2,1,10),1,2)</f>
        <v>1</v>
      </c>
    </row>
    <row r="1323" spans="76:135" x14ac:dyDescent="0.25">
      <c r="BX1323" s="78"/>
      <c r="BY1323" s="319">
        <v>262</v>
      </c>
      <c r="CA1323" s="78"/>
      <c r="EE1323" s="76">
        <f>+IF(MID($J$2,1,10)=MID($EE$2,1,10),0,1)</f>
        <v>0</v>
      </c>
    </row>
    <row r="1324" spans="76:135" x14ac:dyDescent="0.25">
      <c r="BX1324" s="78"/>
      <c r="BY1324" s="319">
        <v>183</v>
      </c>
      <c r="CA1324" s="78"/>
      <c r="EE1324" s="76">
        <f>+IF(MID($J$2,1,10)=MID($EE$2,1,10),0,1)</f>
        <v>0</v>
      </c>
    </row>
    <row r="1325" spans="76:135" x14ac:dyDescent="0.25">
      <c r="BX1325" s="78"/>
      <c r="BY1325" s="319">
        <v>273</v>
      </c>
      <c r="CA1325" s="78"/>
      <c r="EE1325" s="76">
        <f>+IF(MID($J$2,1,10)=MID($EE$2,1,10),0,1)</f>
        <v>0</v>
      </c>
    </row>
    <row r="1326" spans="76:135" x14ac:dyDescent="0.25">
      <c r="BX1326" s="78"/>
      <c r="BY1326" s="319">
        <v>192</v>
      </c>
      <c r="CA1326" s="78"/>
      <c r="EE1326" s="76">
        <f>+IF(MID($J$2,1,10)=MID($EE$2,1,10),1,2)</f>
        <v>1</v>
      </c>
    </row>
    <row r="1327" spans="76:135" x14ac:dyDescent="0.25">
      <c r="BX1327" s="78"/>
      <c r="BY1327" s="319">
        <v>819</v>
      </c>
      <c r="CA1327" s="78"/>
      <c r="EE1327" s="76">
        <f>+IF(MID($J$2,1,10)=MID($EE$2,1,10),1,2)</f>
        <v>1</v>
      </c>
    </row>
    <row r="1328" spans="76:135" x14ac:dyDescent="0.25">
      <c r="BX1328" s="78"/>
      <c r="BY1328" s="319">
        <v>648</v>
      </c>
      <c r="CA1328" s="78"/>
      <c r="EE1328" s="76">
        <f>+IF(MID($J$2,1,10)=MID($EE$2,1,10),3,1)</f>
        <v>3</v>
      </c>
    </row>
    <row r="1329" spans="76:135" x14ac:dyDescent="0.25">
      <c r="BX1329" s="78"/>
      <c r="BY1329" s="319">
        <v>150</v>
      </c>
      <c r="CA1329" s="78"/>
      <c r="EE1329" s="76">
        <f>+IF(MID($J$2,1,10)=MID($EE$2,1,10),3,1)</f>
        <v>3</v>
      </c>
    </row>
    <row r="1330" spans="76:135" x14ac:dyDescent="0.25">
      <c r="BX1330" s="78"/>
      <c r="BY1330" s="319">
        <v>533</v>
      </c>
      <c r="CA1330" s="78"/>
      <c r="EE1330" s="76">
        <f>+IF(MID($J$2,1,10)=MID($EE$2,1,10),3,1)</f>
        <v>3</v>
      </c>
    </row>
    <row r="1331" spans="76:135" x14ac:dyDescent="0.25">
      <c r="BX1331" s="78"/>
      <c r="BY1331" s="319">
        <v>172</v>
      </c>
      <c r="CA1331" s="78"/>
      <c r="EE1331" s="76">
        <f>+IF(MID($J$2,1,10)=MID($EE$2,1,10),0,1)</f>
        <v>0</v>
      </c>
    </row>
    <row r="1332" spans="76:135" x14ac:dyDescent="0.25">
      <c r="BX1332" s="78"/>
      <c r="BY1332" s="322">
        <v>15</v>
      </c>
      <c r="CA1332" s="78"/>
      <c r="EE1332" s="76">
        <f>+IF(MID($J$5,1,10)=MID($EE$5,1,10),1,2)</f>
        <v>1</v>
      </c>
    </row>
    <row r="1333" spans="76:135" x14ac:dyDescent="0.25">
      <c r="BX1333" s="78"/>
      <c r="BY1333" s="319">
        <v>191</v>
      </c>
      <c r="CA1333" s="78"/>
      <c r="EE1333" s="76">
        <f>+IF(MID($J$2,1,10)=MID($EE$2,1,10),3,1)</f>
        <v>3</v>
      </c>
    </row>
    <row r="1334" spans="76:135" x14ac:dyDescent="0.25">
      <c r="BX1334" s="78"/>
      <c r="BY1334" s="319">
        <v>966</v>
      </c>
      <c r="CA1334" s="78"/>
      <c r="EE1334" s="76">
        <f>+IF(MID($J$2,1,10)=MID($EE$2,1,10),3,1)</f>
        <v>3</v>
      </c>
    </row>
    <row r="1335" spans="76:135" x14ac:dyDescent="0.25">
      <c r="BX1335" s="78"/>
      <c r="BY1335" s="319">
        <v>165</v>
      </c>
      <c r="BZ1335" s="321">
        <v>5</v>
      </c>
      <c r="CA1335" s="78"/>
      <c r="EE1335" s="76">
        <f>+IF(MID($J$2,1,10)=MID($EE$2,1,10),0,1)</f>
        <v>0</v>
      </c>
    </row>
    <row r="1336" spans="76:135" x14ac:dyDescent="0.25">
      <c r="BX1336" s="78"/>
      <c r="BY1336" s="319">
        <v>1100</v>
      </c>
      <c r="BZ1336" s="321">
        <v>5</v>
      </c>
      <c r="CA1336" s="78"/>
      <c r="EE1336" s="76">
        <f>+IF(MID($J$2,1,10)=MID($EE$2,1,10),3,1)</f>
        <v>3</v>
      </c>
    </row>
    <row r="1337" spans="76:135" x14ac:dyDescent="0.25">
      <c r="BX1337" s="78"/>
      <c r="BY1337" s="319">
        <v>154</v>
      </c>
      <c r="BZ1337" s="321">
        <v>5</v>
      </c>
      <c r="CA1337" s="78"/>
      <c r="EE1337" s="76">
        <f>+IF(MID($J$2,1,10)=MID($EE$2,1,10),3,1)</f>
        <v>3</v>
      </c>
    </row>
    <row r="1338" spans="76:135" x14ac:dyDescent="0.25">
      <c r="BX1338" s="78"/>
      <c r="BY1338" s="319">
        <v>628</v>
      </c>
      <c r="BZ1338" s="321">
        <v>5</v>
      </c>
      <c r="CA1338" s="78"/>
      <c r="EE1338" s="76">
        <f>+IF(MID($J$2,1,10)=MID($EE$2,1,10),3,1)</f>
        <v>3</v>
      </c>
    </row>
    <row r="1339" spans="76:135" x14ac:dyDescent="0.25">
      <c r="BX1339" s="78"/>
      <c r="BY1339" s="319">
        <v>140</v>
      </c>
      <c r="BZ1339" s="321">
        <v>5</v>
      </c>
      <c r="CA1339" s="78"/>
      <c r="EE1339" s="76">
        <f>+IF(MID($J$2,1,10)=MID($EE$2,1,10),1,2)</f>
        <v>1</v>
      </c>
    </row>
    <row r="1340" spans="76:135" x14ac:dyDescent="0.25">
      <c r="BX1340" s="78"/>
      <c r="BY1340" s="319">
        <v>198</v>
      </c>
      <c r="BZ1340" s="321">
        <v>5</v>
      </c>
      <c r="CA1340" s="78"/>
      <c r="EE1340" s="76">
        <f>+IF(MID($J$3,1,10)=MID($EE$3,1,10),2,1)</f>
        <v>2</v>
      </c>
    </row>
    <row r="1341" spans="76:135" x14ac:dyDescent="0.25">
      <c r="BX1341" s="78"/>
      <c r="BY1341" s="319">
        <v>136</v>
      </c>
      <c r="BZ1341" s="321">
        <v>5</v>
      </c>
      <c r="CA1341" s="78"/>
      <c r="EE1341" s="76">
        <f>+IF(MID($J$2,1,10)=MID($EE$2,1,10),4,1)</f>
        <v>4</v>
      </c>
    </row>
    <row r="1342" spans="76:135" x14ac:dyDescent="0.25">
      <c r="BX1342" s="78"/>
      <c r="BY1342" s="319">
        <v>166</v>
      </c>
      <c r="BZ1342" s="321">
        <v>5</v>
      </c>
      <c r="CA1342" s="78"/>
      <c r="EE1342" s="76">
        <f>+IF(MID($J$2,1,10)=MID($EE$2,1,10),0,1)</f>
        <v>0</v>
      </c>
    </row>
    <row r="1343" spans="76:135" x14ac:dyDescent="0.25">
      <c r="BX1343" s="78"/>
      <c r="BY1343" s="319">
        <v>105</v>
      </c>
      <c r="BZ1343" s="321">
        <v>5</v>
      </c>
      <c r="CA1343" s="78"/>
      <c r="EE1343" s="76">
        <f>+IF(MID($J$3,1,10)=MID($EE$3,1,10),2,1)</f>
        <v>2</v>
      </c>
    </row>
    <row r="1344" spans="76:135" x14ac:dyDescent="0.25">
      <c r="BX1344" s="78"/>
      <c r="BY1344" s="319">
        <v>138</v>
      </c>
      <c r="BZ1344" s="321">
        <v>5</v>
      </c>
      <c r="CA1344" s="78"/>
      <c r="EE1344" s="76">
        <f>+IF(MID($J$3,1,10)=MID($EE$3,1,10),2,1)</f>
        <v>2</v>
      </c>
    </row>
    <row r="1345" spans="76:135" x14ac:dyDescent="0.25">
      <c r="BX1345" s="78"/>
      <c r="BY1345" s="319">
        <v>113</v>
      </c>
      <c r="CA1345" s="78"/>
      <c r="EE1345" s="76">
        <f>+IF(MID($J$2,1,10)=MID($EE$2,1,10),4,1)</f>
        <v>4</v>
      </c>
    </row>
    <row r="1346" spans="76:135" x14ac:dyDescent="0.25">
      <c r="BX1346" s="78"/>
      <c r="BY1346" s="325">
        <v>15</v>
      </c>
      <c r="CA1346" s="78"/>
      <c r="EE1346" s="76">
        <f>+IF(MID($J$5,1,10)=MID($EE$5,1,10),1,2)</f>
        <v>1</v>
      </c>
    </row>
    <row r="1347" spans="76:135" x14ac:dyDescent="0.25">
      <c r="BX1347" s="78"/>
      <c r="BY1347" s="319">
        <v>189</v>
      </c>
      <c r="CA1347" s="78"/>
      <c r="EE1347" s="76">
        <f>+IF(MID($J$2,1,10)=MID($EE$2,1,10),4,1)</f>
        <v>4</v>
      </c>
    </row>
    <row r="1348" spans="76:135" x14ac:dyDescent="0.25">
      <c r="BX1348" s="78"/>
      <c r="BY1348" s="319">
        <v>906</v>
      </c>
      <c r="CA1348" s="78"/>
      <c r="EE1348" s="76">
        <f>+IF(MID($J$2,1,10)=MID($EE$2,1,10),1,2)</f>
        <v>1</v>
      </c>
    </row>
    <row r="1349" spans="76:135" x14ac:dyDescent="0.25">
      <c r="BX1349" s="78"/>
      <c r="BY1349" s="319">
        <v>194</v>
      </c>
      <c r="CA1349" s="78"/>
      <c r="EE1349" s="76">
        <f>+IF(MID($J$2,1,10)=MID($EE$2,1,10),3,1)</f>
        <v>3</v>
      </c>
    </row>
    <row r="1350" spans="76:135" x14ac:dyDescent="0.25">
      <c r="BX1350" s="78"/>
      <c r="BY1350" s="319">
        <v>5</v>
      </c>
      <c r="BZ1350" s="321">
        <v>5</v>
      </c>
      <c r="CA1350" s="78"/>
      <c r="EE1350" s="76">
        <f>+IF(MID($J$2,1,10)=MID($EE$2,1,10),1,2)</f>
        <v>1</v>
      </c>
    </row>
    <row r="1351" spans="76:135" x14ac:dyDescent="0.25">
      <c r="BX1351" s="78"/>
      <c r="BY1351" s="319">
        <v>158</v>
      </c>
      <c r="BZ1351" s="321">
        <v>5</v>
      </c>
      <c r="CA1351" s="78"/>
      <c r="EE1351" s="76">
        <f>+IF(MID($J$3,1,10)=MID($EE$3,1,10),2,1)</f>
        <v>2</v>
      </c>
    </row>
    <row r="1352" spans="76:135" x14ac:dyDescent="0.25">
      <c r="BX1352" s="78"/>
      <c r="BY1352" s="319">
        <v>163</v>
      </c>
      <c r="BZ1352" s="321">
        <v>5</v>
      </c>
      <c r="CA1352" s="78"/>
      <c r="EE1352" s="76">
        <f>+IF(MID($J$2,1,10)=MID($EE$2,1,10),1,2)</f>
        <v>1</v>
      </c>
    </row>
    <row r="1353" spans="76:135" x14ac:dyDescent="0.25">
      <c r="BX1353" s="78"/>
      <c r="BY1353" s="319">
        <v>749</v>
      </c>
      <c r="BZ1353" s="321">
        <v>5</v>
      </c>
      <c r="CA1353" s="78"/>
      <c r="EE1353" s="76">
        <f>+IF(MID($J$2,1,10)=MID($EE$2,1,10),0,1)</f>
        <v>0</v>
      </c>
    </row>
    <row r="1354" spans="76:135" x14ac:dyDescent="0.25">
      <c r="BX1354" s="78"/>
      <c r="BY1354" s="319">
        <v>123</v>
      </c>
      <c r="BZ1354" s="321">
        <v>5</v>
      </c>
      <c r="CA1354" s="78"/>
      <c r="EE1354" s="76">
        <f>+IF(MID($J$2,1,10)=MID($EE$2,1,10),0,1)</f>
        <v>0</v>
      </c>
    </row>
    <row r="1355" spans="76:135" x14ac:dyDescent="0.25">
      <c r="BX1355" s="78"/>
      <c r="BY1355" s="319">
        <v>637</v>
      </c>
      <c r="BZ1355" s="321">
        <v>5</v>
      </c>
      <c r="CA1355" s="78"/>
      <c r="EE1355" s="76">
        <f>+IF(MID($J$2,1,10)=MID($EE$2,1,10),0,1)</f>
        <v>0</v>
      </c>
    </row>
    <row r="1356" spans="76:135" x14ac:dyDescent="0.25">
      <c r="BX1356" s="78"/>
      <c r="BY1356" s="319">
        <v>185</v>
      </c>
      <c r="BZ1356" s="321">
        <v>5</v>
      </c>
      <c r="CA1356" s="78"/>
      <c r="EE1356" s="76">
        <f>+IF(MID($J$2,1,10)=MID($EE$2,1,10),1,2)</f>
        <v>1</v>
      </c>
    </row>
    <row r="1357" spans="76:135" x14ac:dyDescent="0.25">
      <c r="BX1357" s="78"/>
      <c r="BY1357" s="319">
        <v>698</v>
      </c>
      <c r="BZ1357" s="321">
        <v>5</v>
      </c>
      <c r="CA1357" s="78"/>
      <c r="EE1357" s="76">
        <f>+IF(MID($J$2,1,10)=MID($EE$2,1,10),1,2)</f>
        <v>1</v>
      </c>
    </row>
    <row r="1358" spans="76:135" x14ac:dyDescent="0.25">
      <c r="BX1358" s="78"/>
      <c r="BY1358" s="319">
        <v>187</v>
      </c>
      <c r="BZ1358" s="321">
        <v>5</v>
      </c>
      <c r="CA1358" s="78"/>
      <c r="EE1358" s="76">
        <f>+IF(MID($J$2,1,10)=MID($EE$2,1,10),3,1)</f>
        <v>3</v>
      </c>
    </row>
    <row r="1359" spans="76:135" x14ac:dyDescent="0.25">
      <c r="BX1359" s="78"/>
      <c r="BY1359" s="319">
        <v>161</v>
      </c>
      <c r="CA1359" s="78"/>
      <c r="EE1359" s="76">
        <f>+IF(MID($J$2,1,10)=MID($EE$2,1,10),3,1)</f>
        <v>3</v>
      </c>
    </row>
    <row r="1360" spans="76:135" x14ac:dyDescent="0.25">
      <c r="BX1360" s="78"/>
      <c r="BY1360" s="322">
        <v>18</v>
      </c>
      <c r="CA1360" s="78"/>
      <c r="EE1360" s="76">
        <f>+IF(MID($J$5,1,10)=MID($EE$5,1,10),1,2)</f>
        <v>1</v>
      </c>
    </row>
    <row r="1361" spans="76:135" x14ac:dyDescent="0.25">
      <c r="BX1361" s="78"/>
      <c r="BY1361" s="319">
        <v>489</v>
      </c>
      <c r="CA1361" s="78"/>
      <c r="EE1361" s="76">
        <f>+IF(MID($J$2,1,10)=MID($EE$2,1,10),0,1)</f>
        <v>0</v>
      </c>
    </row>
    <row r="1362" spans="76:135" x14ac:dyDescent="0.25">
      <c r="BX1362" s="78"/>
      <c r="BY1362" s="319">
        <v>107</v>
      </c>
      <c r="CA1362" s="78"/>
      <c r="EE1362" s="76">
        <f>+IF(MID($J$2,1,10)=MID($EE$2,1,10),1,2)</f>
        <v>1</v>
      </c>
    </row>
    <row r="1363" spans="76:135" x14ac:dyDescent="0.25">
      <c r="BX1363" s="78"/>
      <c r="BY1363" s="319">
        <v>1034</v>
      </c>
      <c r="CA1363" s="78"/>
      <c r="EE1363" s="76">
        <f>+IF(MID($J$2,1,10)=MID($EE$2,1,10),3,1)</f>
        <v>3</v>
      </c>
    </row>
    <row r="1364" spans="76:135" x14ac:dyDescent="0.25">
      <c r="BX1364" s="78"/>
      <c r="BY1364" s="319">
        <v>167</v>
      </c>
      <c r="CA1364" s="78"/>
      <c r="EE1364" s="76">
        <f>+IF(MID($J$2,1,10)=MID($EE$2,1,10),3,1)</f>
        <v>3</v>
      </c>
    </row>
    <row r="1365" spans="76:135" x14ac:dyDescent="0.25">
      <c r="BX1365" s="78"/>
      <c r="BY1365" s="319">
        <v>456</v>
      </c>
      <c r="CA1365" s="78"/>
      <c r="EE1365" s="76">
        <f>+IF(MID($J$2,1,10)=MID($EE$2,1,10),0,1)</f>
        <v>0</v>
      </c>
    </row>
    <row r="1366" spans="76:135" x14ac:dyDescent="0.25">
      <c r="BX1366" s="78"/>
      <c r="BY1366" s="319">
        <v>1086</v>
      </c>
      <c r="CA1366" s="78"/>
      <c r="EE1366" s="76">
        <f>+IF(MID($J$2,1,10)=MID($EE$2,1,10),3,1)</f>
        <v>3</v>
      </c>
    </row>
    <row r="1367" spans="76:135" x14ac:dyDescent="0.25">
      <c r="BX1367" s="78"/>
      <c r="BY1367" s="319">
        <v>149</v>
      </c>
      <c r="CA1367" s="78"/>
      <c r="EE1367" s="76">
        <f>+IF(MID($J$2,1,10)=MID($EE$2,1,10),3,1)</f>
        <v>3</v>
      </c>
    </row>
    <row r="1368" spans="76:135" x14ac:dyDescent="0.25">
      <c r="BX1368" s="78"/>
      <c r="BY1368" s="319">
        <v>587</v>
      </c>
      <c r="CA1368" s="78"/>
      <c r="EE1368" s="76">
        <f>+IF(MID($J$2,1,10)=MID($EE$2,1,10),3,1)</f>
        <v>3</v>
      </c>
    </row>
    <row r="1369" spans="76:135" x14ac:dyDescent="0.25">
      <c r="BX1369" s="78"/>
      <c r="BY1369" s="319">
        <v>200</v>
      </c>
      <c r="CA1369" s="78"/>
      <c r="EE1369" s="76">
        <f>+IF(MID($J$2,1,10)=MID($EE$2,1,10),1,2)</f>
        <v>1</v>
      </c>
    </row>
    <row r="1370" spans="76:135" x14ac:dyDescent="0.25">
      <c r="BX1370" s="78"/>
      <c r="BY1370" s="319">
        <v>162</v>
      </c>
      <c r="CA1370" s="78"/>
      <c r="EE1370" s="76">
        <f>+IF(MID($J$3,1,10)=MID($EE$3,1,10),2,1)</f>
        <v>2</v>
      </c>
    </row>
    <row r="1371" spans="76:135" x14ac:dyDescent="0.25">
      <c r="BX1371" s="78"/>
      <c r="BY1371" s="319">
        <v>192</v>
      </c>
      <c r="CA1371" s="78"/>
      <c r="EE1371" s="76">
        <f>+IF(MID($J$2,1,10)=MID($EE$2,1,10),4,1)</f>
        <v>4</v>
      </c>
    </row>
    <row r="1372" spans="76:135" x14ac:dyDescent="0.25">
      <c r="BX1372" s="78"/>
      <c r="BY1372" s="319">
        <v>318</v>
      </c>
      <c r="CA1372" s="78"/>
      <c r="EE1372" s="76">
        <f>+IF(MID($J$2,1,10)=MID($EE$2,1,10),0,1)</f>
        <v>0</v>
      </c>
    </row>
    <row r="1373" spans="76:135" x14ac:dyDescent="0.25">
      <c r="BX1373" s="78"/>
      <c r="BY1373" s="319">
        <v>195</v>
      </c>
      <c r="CA1373" s="78"/>
      <c r="EE1373" s="76">
        <f>+IF(MID($J$3,1,10)=MID($EE$3,1,10),2,1)</f>
        <v>2</v>
      </c>
    </row>
    <row r="1374" spans="76:135" x14ac:dyDescent="0.25">
      <c r="BX1374" s="78"/>
      <c r="BY1374" s="319">
        <v>1029</v>
      </c>
      <c r="CA1374" s="78"/>
      <c r="EE1374" s="76">
        <f>+IF(MID($J$3,1,10)=MID($EE$3,1,10),2,1)</f>
        <v>2</v>
      </c>
    </row>
    <row r="1375" spans="76:135" x14ac:dyDescent="0.25">
      <c r="BX1375" s="78"/>
      <c r="BY1375" s="319">
        <v>158</v>
      </c>
      <c r="CA1375" s="78"/>
      <c r="EE1375" s="76">
        <f>+IF(MID($J$2,1,10)=MID($EE$2,1,10),4,1)</f>
        <v>4</v>
      </c>
    </row>
    <row r="1376" spans="76:135" x14ac:dyDescent="0.25">
      <c r="BX1376" s="78"/>
      <c r="BY1376" s="319">
        <v>966</v>
      </c>
      <c r="CA1376" s="78"/>
      <c r="EE1376" s="76">
        <f>+IF(MID($J$3,1,10)=MID($EE$3,1,10),2,1)</f>
        <v>2</v>
      </c>
    </row>
    <row r="1377" spans="76:135" x14ac:dyDescent="0.25">
      <c r="BX1377" s="78"/>
      <c r="BY1377" s="319">
        <v>106</v>
      </c>
      <c r="CA1377" s="78"/>
      <c r="EE1377" s="76">
        <f>+IF(MID($J$2,1,10)=MID($EE$2,1,10),4,1)</f>
        <v>4</v>
      </c>
    </row>
    <row r="1378" spans="76:135" x14ac:dyDescent="0.25">
      <c r="BX1378" s="78"/>
      <c r="BY1378" s="319">
        <v>119</v>
      </c>
      <c r="CA1378" s="78"/>
      <c r="EE1378" s="76">
        <f>+IF(MID($J$2,1,10)=MID($EE$2,1,10),1,2)</f>
        <v>1</v>
      </c>
    </row>
    <row r="1379" spans="76:135" x14ac:dyDescent="0.25">
      <c r="BX1379" s="78"/>
      <c r="BY1379" s="319">
        <v>153</v>
      </c>
      <c r="CA1379" s="78"/>
      <c r="EE1379" s="76">
        <f>+IF(MID($J$2,1,10)=MID($EE$2,1,10),3,1)</f>
        <v>3</v>
      </c>
    </row>
    <row r="1380" spans="76:135" x14ac:dyDescent="0.25">
      <c r="BX1380" s="78"/>
      <c r="BY1380" s="319">
        <v>435</v>
      </c>
      <c r="CA1380" s="78"/>
      <c r="EE1380" s="76">
        <f>+IF(MID($J$2,1,10)=MID($EE$2,1,10),1,2)</f>
        <v>1</v>
      </c>
    </row>
    <row r="1381" spans="76:135" x14ac:dyDescent="0.25">
      <c r="BX1381" s="78"/>
      <c r="BY1381" s="319">
        <v>169</v>
      </c>
      <c r="CA1381" s="78"/>
      <c r="EE1381" s="76">
        <f>+IF(MID($J$3,1,10)=MID($EE$3,1,10),2,1)</f>
        <v>2</v>
      </c>
    </row>
    <row r="1382" spans="76:135" x14ac:dyDescent="0.25">
      <c r="BX1382" s="78"/>
      <c r="BY1382" s="322">
        <v>28</v>
      </c>
      <c r="CA1382" s="78"/>
      <c r="EE1382" s="76">
        <f>+IF(MID($J$2,1,10)=MID($EE$2,1,10),1,2)</f>
        <v>1</v>
      </c>
    </row>
    <row r="1383" spans="76:135" x14ac:dyDescent="0.25">
      <c r="BX1383" s="78"/>
      <c r="BY1383" s="319">
        <v>146</v>
      </c>
      <c r="CA1383" s="78"/>
      <c r="EE1383" s="76">
        <f>+IF(MID($J$2,1,10)=MID($EE$2,1,10),0,1)</f>
        <v>0</v>
      </c>
    </row>
    <row r="1384" spans="76:135" x14ac:dyDescent="0.25">
      <c r="BX1384" s="79"/>
      <c r="BY1384" s="322">
        <v>20</v>
      </c>
      <c r="BZ1384" s="323"/>
      <c r="CA1384" s="79"/>
      <c r="EE1384" s="76">
        <f>+IF(MID($J$2,1,10)=MID($EE$2,1,10),2,1)</f>
        <v>2</v>
      </c>
    </row>
    <row r="1385" spans="76:135" x14ac:dyDescent="0.25">
      <c r="BX1385" s="78"/>
      <c r="BY1385" s="319">
        <v>114</v>
      </c>
      <c r="CA1385" s="78"/>
      <c r="EE1385" s="76">
        <f>+IF(MID($J$2,1,10)=MID($EE$2,1,10),0,1)</f>
        <v>0</v>
      </c>
    </row>
    <row r="1386" spans="76:135" x14ac:dyDescent="0.25">
      <c r="BX1386" s="78"/>
      <c r="BY1386" s="322">
        <v>10</v>
      </c>
      <c r="CA1386" s="78"/>
      <c r="EE1386" s="76">
        <f>+IF(MID($J$2,1,10)=MID($EE$2,1,10),2,1)</f>
        <v>2</v>
      </c>
    </row>
    <row r="1387" spans="76:135" x14ac:dyDescent="0.25">
      <c r="BX1387" s="78"/>
      <c r="BY1387" s="319">
        <v>116</v>
      </c>
      <c r="CA1387" s="78"/>
      <c r="EE1387" s="76">
        <f>+IF(MID($J$3,1,10)=MID($EE$3,1,10),2,1)</f>
        <v>2</v>
      </c>
    </row>
    <row r="1388" spans="76:135" x14ac:dyDescent="0.25">
      <c r="BX1388" s="78"/>
      <c r="BY1388" s="324">
        <v>5</v>
      </c>
      <c r="CA1388" s="78"/>
      <c r="EE1388" s="76">
        <f>+IF(MID($J$2,1,10)=MID($EE$2,1,10),2,1)</f>
        <v>2</v>
      </c>
    </row>
    <row r="1389" spans="76:135" x14ac:dyDescent="0.25">
      <c r="BX1389" s="78"/>
      <c r="BY1389" s="319">
        <v>129</v>
      </c>
      <c r="CA1389" s="78"/>
      <c r="EE1389" s="76">
        <f>+IF(MID($J$2,1,10)=MID($EE$2,1,10),0,1)</f>
        <v>0</v>
      </c>
    </row>
    <row r="1390" spans="76:135" x14ac:dyDescent="0.25">
      <c r="BX1390" s="78"/>
      <c r="BY1390" s="319">
        <v>772</v>
      </c>
      <c r="CA1390" s="78"/>
      <c r="EE1390" s="76">
        <f>+IF(MID($J$3,1,10)=MID($EE$3,1,10),2,1)</f>
        <v>2</v>
      </c>
    </row>
    <row r="1391" spans="76:135" x14ac:dyDescent="0.25">
      <c r="BX1391" s="78"/>
      <c r="BY1391" s="319">
        <v>173</v>
      </c>
      <c r="CA1391" s="78"/>
      <c r="EE1391" s="76">
        <f>+IF(MID($J$3,1,10)=MID($EE$3,1,10),2,1)</f>
        <v>2</v>
      </c>
    </row>
    <row r="1392" spans="76:135" x14ac:dyDescent="0.25">
      <c r="BX1392" s="78"/>
      <c r="BY1392" s="319">
        <v>197</v>
      </c>
      <c r="CA1392" s="78"/>
      <c r="EE1392" s="76">
        <f>+IF(MID($J$2,1,10)=MID($EE$2,1,10),4,1)</f>
        <v>4</v>
      </c>
    </row>
    <row r="1393" spans="76:135" x14ac:dyDescent="0.25">
      <c r="BX1393" s="78"/>
      <c r="BY1393" s="319">
        <v>330</v>
      </c>
      <c r="CA1393" s="78"/>
      <c r="EE1393" s="76">
        <f>+IF(MID($J$3,1,10)=MID($EE$3,1,10),2,1)</f>
        <v>2</v>
      </c>
    </row>
    <row r="1394" spans="76:135" x14ac:dyDescent="0.25">
      <c r="BX1394" s="78"/>
      <c r="BY1394" s="319">
        <v>125</v>
      </c>
      <c r="CA1394" s="78"/>
      <c r="EE1394" s="76">
        <f>+IF(MID($J$2,1,10)=MID($EE$2,1,10),4,1)</f>
        <v>4</v>
      </c>
    </row>
    <row r="1395" spans="76:135" x14ac:dyDescent="0.25">
      <c r="BX1395" s="78"/>
      <c r="BY1395" s="319">
        <v>915</v>
      </c>
      <c r="CA1395" s="78"/>
      <c r="EE1395" s="76">
        <f>+IF(MID($J$2,1,10)=MID($EE$2,1,10),1,2)</f>
        <v>1</v>
      </c>
    </row>
    <row r="1396" spans="76:135" x14ac:dyDescent="0.25">
      <c r="BX1396" s="78"/>
      <c r="BY1396" s="319">
        <v>130</v>
      </c>
      <c r="CA1396" s="78"/>
      <c r="EE1396" s="76">
        <f>+IF(MID($J$2,1,10)=MID($EE$2,1,10),3,1)</f>
        <v>3</v>
      </c>
    </row>
    <row r="1397" spans="76:135" x14ac:dyDescent="0.25">
      <c r="BX1397" s="78"/>
      <c r="BY1397" s="319">
        <v>633</v>
      </c>
      <c r="CA1397" s="78"/>
      <c r="EE1397" s="76">
        <f>+IF(MID($J$2,1,10)=MID($EE$2,1,10),1,2)</f>
        <v>1</v>
      </c>
    </row>
    <row r="1398" spans="76:135" x14ac:dyDescent="0.25">
      <c r="BX1398" s="78"/>
      <c r="BY1398" s="319">
        <v>184</v>
      </c>
      <c r="CA1398" s="78"/>
      <c r="EE1398" s="76">
        <f>+IF(MID($J$3,1,10)=MID($EE$3,1,10),2,1)</f>
        <v>2</v>
      </c>
    </row>
    <row r="1399" spans="76:135" x14ac:dyDescent="0.25">
      <c r="BX1399" s="78"/>
      <c r="BY1399" s="319">
        <v>208</v>
      </c>
      <c r="CA1399" s="78"/>
      <c r="EE1399" s="76">
        <f>+IF(MID($J$2,1,10)=MID($EE$2,1,10),1,2)</f>
        <v>1</v>
      </c>
    </row>
    <row r="1400" spans="76:135" x14ac:dyDescent="0.25">
      <c r="BX1400" s="78"/>
      <c r="BY1400" s="319">
        <v>135</v>
      </c>
      <c r="CA1400" s="78"/>
      <c r="EE1400" s="76">
        <f>+IF(MID($J$2,1,10)=MID($EE$2,1,10),0,1)</f>
        <v>0</v>
      </c>
    </row>
    <row r="1401" spans="76:135" x14ac:dyDescent="0.25">
      <c r="BX1401" s="78"/>
      <c r="BY1401" s="319">
        <v>179</v>
      </c>
      <c r="CA1401" s="78"/>
      <c r="EE1401" s="76">
        <f>+IF(MID($J$2,1,10)=MID($EE$2,1,10),0,1)</f>
        <v>0</v>
      </c>
    </row>
    <row r="1402" spans="76:135" x14ac:dyDescent="0.25">
      <c r="BX1402" s="78"/>
      <c r="BY1402" s="319">
        <v>143</v>
      </c>
      <c r="CA1402" s="78"/>
      <c r="EE1402" s="76">
        <f>+IF(MID($J$2,1,10)=MID($EE$2,1,10),0,1)</f>
        <v>0</v>
      </c>
    </row>
    <row r="1403" spans="76:135" x14ac:dyDescent="0.25">
      <c r="BX1403" s="78"/>
      <c r="BY1403" s="319">
        <v>144</v>
      </c>
      <c r="CA1403" s="78"/>
      <c r="EE1403" s="76">
        <f>+IF(MID($J$2,1,10)=MID($EE$2,1,10),1,2)</f>
        <v>1</v>
      </c>
    </row>
    <row r="1404" spans="76:135" x14ac:dyDescent="0.25">
      <c r="BX1404" s="78"/>
      <c r="BY1404" s="319">
        <v>180</v>
      </c>
      <c r="CA1404" s="78"/>
      <c r="EE1404" s="76">
        <f>+IF(MID($J$2,1,10)=MID($EE$2,1,10),1,2)</f>
        <v>1</v>
      </c>
    </row>
    <row r="1405" spans="76:135" x14ac:dyDescent="0.25">
      <c r="BX1405" s="78"/>
      <c r="BY1405" s="319">
        <v>712</v>
      </c>
      <c r="CA1405" s="78"/>
      <c r="EE1405" s="76">
        <f>+IF(MID($J$2,1,10)=MID($EE$2,1,10),3,1)</f>
        <v>3</v>
      </c>
    </row>
    <row r="1406" spans="76:135" x14ac:dyDescent="0.25">
      <c r="BX1406" s="78"/>
      <c r="BY1406" s="319">
        <v>1085</v>
      </c>
      <c r="CA1406" s="78"/>
      <c r="EE1406" s="76">
        <f>+IF(MID($J$2,1,10)=MID($EE$2,1,10),3,1)</f>
        <v>3</v>
      </c>
    </row>
    <row r="1407" spans="76:135" x14ac:dyDescent="0.25">
      <c r="BX1407" s="78"/>
      <c r="BY1407" s="319">
        <v>150</v>
      </c>
      <c r="CA1407" s="78"/>
      <c r="EE1407" s="76">
        <f>+IF(MID($J$2,1,10)=MID($EE$2,1,10),3,1)</f>
        <v>3</v>
      </c>
    </row>
    <row r="1408" spans="76:135" x14ac:dyDescent="0.25">
      <c r="BX1408" s="78"/>
      <c r="BY1408" s="319">
        <v>1011</v>
      </c>
      <c r="CA1408" s="78"/>
      <c r="EE1408" s="76">
        <f>+IF(MID($J$2,1,10)=MID($EE$2,1,10),0,1)</f>
        <v>0</v>
      </c>
    </row>
    <row r="1409" spans="76:135" x14ac:dyDescent="0.25">
      <c r="BX1409" s="78"/>
      <c r="BY1409" s="319">
        <v>151</v>
      </c>
      <c r="CA1409" s="78"/>
      <c r="EE1409" s="76">
        <f>+IF(MID($J$2,1,10)=MID($EE$2,1,10),1,2)</f>
        <v>1</v>
      </c>
    </row>
    <row r="1410" spans="76:135" x14ac:dyDescent="0.25">
      <c r="BX1410" s="78"/>
      <c r="BY1410" s="319">
        <v>1028</v>
      </c>
      <c r="CA1410" s="78"/>
      <c r="EE1410" s="76">
        <f>+IF(MID($J$2,1,10)=MID($EE$2,1,10),3,1)</f>
        <v>3</v>
      </c>
    </row>
    <row r="1411" spans="76:135" x14ac:dyDescent="0.25">
      <c r="BX1411" s="78"/>
      <c r="BY1411" s="319">
        <v>139</v>
      </c>
      <c r="CA1411" s="78"/>
      <c r="EE1411" s="76">
        <f>+IF(MID($J$2,1,10)=MID($EE$2,1,10),3,1)</f>
        <v>3</v>
      </c>
    </row>
    <row r="1412" spans="76:135" x14ac:dyDescent="0.25">
      <c r="BX1412" s="78"/>
      <c r="BY1412" s="319">
        <v>782</v>
      </c>
      <c r="CA1412" s="78"/>
      <c r="EE1412" s="76">
        <f>+IF(MID($J$2,1,10)=MID($EE$2,1,10),0,1)</f>
        <v>0</v>
      </c>
    </row>
    <row r="1413" spans="76:135" x14ac:dyDescent="0.25">
      <c r="BX1413" s="78"/>
      <c r="BY1413" s="319">
        <v>150</v>
      </c>
      <c r="CA1413" s="78"/>
      <c r="EE1413" s="76">
        <f>+IF(MID($J$2,1,10)=MID($EE$2,1,10),3,1)</f>
        <v>3</v>
      </c>
    </row>
    <row r="1414" spans="76:135" x14ac:dyDescent="0.25">
      <c r="BX1414" s="78"/>
      <c r="BY1414" s="319">
        <v>977</v>
      </c>
      <c r="CA1414" s="78"/>
      <c r="EE1414" s="76">
        <f>+IF(MID($J$2,1,10)=MID($EE$2,1,10),3,1)</f>
        <v>3</v>
      </c>
    </row>
    <row r="1415" spans="76:135" x14ac:dyDescent="0.25">
      <c r="BX1415" s="78"/>
      <c r="BY1415" s="319">
        <v>108</v>
      </c>
      <c r="CA1415" s="78"/>
      <c r="EE1415" s="76">
        <f>+IF(MID($J$2,1,10)=MID($EE$2,1,10),3,1)</f>
        <v>3</v>
      </c>
    </row>
    <row r="1416" spans="76:135" x14ac:dyDescent="0.25">
      <c r="BX1416" s="78"/>
      <c r="BY1416" s="319">
        <v>767</v>
      </c>
      <c r="CA1416" s="78"/>
      <c r="EE1416" s="76">
        <f>+IF(MID($J$2,1,10)=MID($EE$2,1,10),1,2)</f>
        <v>1</v>
      </c>
    </row>
    <row r="1417" spans="76:135" x14ac:dyDescent="0.25">
      <c r="BX1417" s="78"/>
      <c r="BY1417" s="319">
        <v>178</v>
      </c>
      <c r="CA1417" s="78"/>
      <c r="EE1417" s="76">
        <f>+IF(MID($J$3,1,10)=MID($EE$3,1,10),2,1)</f>
        <v>2</v>
      </c>
    </row>
    <row r="1418" spans="76:135" x14ac:dyDescent="0.25">
      <c r="BX1418" s="78"/>
      <c r="BY1418" s="319">
        <v>104</v>
      </c>
      <c r="CA1418" s="78"/>
      <c r="EE1418" s="76">
        <f>+IF(MID($J$2,1,10)=MID($EE$2,1,10),4,1)</f>
        <v>4</v>
      </c>
    </row>
    <row r="1419" spans="76:135" x14ac:dyDescent="0.25">
      <c r="BX1419" s="78"/>
      <c r="BY1419" s="319">
        <v>164</v>
      </c>
      <c r="CA1419" s="78"/>
      <c r="EE1419" s="76">
        <f>+IF(MID($J$2,1,10)=MID($EE$2,1,10),0,1)</f>
        <v>0</v>
      </c>
    </row>
    <row r="1420" spans="76:135" x14ac:dyDescent="0.25">
      <c r="BX1420" s="78"/>
      <c r="BY1420" s="319">
        <v>574</v>
      </c>
      <c r="CA1420" s="78"/>
      <c r="EE1420" s="76">
        <f>+IF(MID($J$3,1,10)=MID($EE$3,1,10),2,1)</f>
        <v>2</v>
      </c>
    </row>
    <row r="1421" spans="76:135" x14ac:dyDescent="0.25">
      <c r="BX1421" s="78"/>
      <c r="BY1421" s="319">
        <v>163</v>
      </c>
      <c r="CA1421" s="78"/>
      <c r="EE1421" s="76">
        <f>+IF(MID($J$3,1,10)=MID($EE$3,1,10),2,1)</f>
        <v>2</v>
      </c>
    </row>
    <row r="1422" spans="76:135" x14ac:dyDescent="0.25">
      <c r="BX1422" s="78"/>
      <c r="BY1422" s="319">
        <v>1047</v>
      </c>
      <c r="CA1422" s="78"/>
      <c r="EE1422" s="76">
        <f>+IF(MID($J$2,1,10)=MID($EE$2,1,10),4,1)</f>
        <v>4</v>
      </c>
    </row>
    <row r="1423" spans="76:135" x14ac:dyDescent="0.25">
      <c r="BX1423" s="78"/>
      <c r="BY1423" s="319">
        <v>158</v>
      </c>
      <c r="CA1423" s="78"/>
      <c r="EE1423" s="76">
        <f>+IF(MID($J$3,1,10)=MID($EE$3,1,10),2,1)</f>
        <v>2</v>
      </c>
    </row>
    <row r="1424" spans="76:135" x14ac:dyDescent="0.25">
      <c r="BX1424" s="78"/>
      <c r="BY1424" s="319">
        <v>6</v>
      </c>
      <c r="CA1424" s="78"/>
      <c r="EE1424" s="76">
        <f>+IF(MID($J$2,1,10)=MID($EE$2,1,10),4,1)</f>
        <v>4</v>
      </c>
    </row>
    <row r="1425" spans="76:135" x14ac:dyDescent="0.25">
      <c r="BX1425" s="78"/>
      <c r="BY1425" s="319">
        <v>174</v>
      </c>
      <c r="CA1425" s="78"/>
      <c r="EE1425" s="76">
        <f>+IF(MID($J$2,1,10)=MID($EE$2,1,10),1,2)</f>
        <v>1</v>
      </c>
    </row>
    <row r="1426" spans="76:135" x14ac:dyDescent="0.25">
      <c r="BX1426" s="78"/>
      <c r="BY1426" s="319">
        <v>355</v>
      </c>
      <c r="CA1426" s="78"/>
      <c r="EE1426" s="76">
        <f>+IF(MID($J$2,1,10)=MID($EE$2,1,10),3,1)</f>
        <v>3</v>
      </c>
    </row>
    <row r="1427" spans="76:135" x14ac:dyDescent="0.25">
      <c r="BX1427" s="78"/>
      <c r="BY1427" s="319">
        <v>1180</v>
      </c>
      <c r="CA1427" s="78"/>
      <c r="EE1427" s="76">
        <f>+IF(MID($J$2,1,10)=MID($EE$2,1,10),1,2)</f>
        <v>1</v>
      </c>
    </row>
    <row r="1428" spans="76:135" x14ac:dyDescent="0.25">
      <c r="BX1428" s="78"/>
      <c r="BY1428" s="319">
        <v>171</v>
      </c>
      <c r="CA1428" s="78"/>
      <c r="EE1428" s="76">
        <f>+IF(MID($J$3,1,10)=MID($EE$3,1,10),2,1)</f>
        <v>2</v>
      </c>
    </row>
    <row r="1429" spans="76:135" x14ac:dyDescent="0.25">
      <c r="BX1429" s="78"/>
      <c r="BY1429" s="319">
        <v>164</v>
      </c>
      <c r="CA1429" s="78"/>
      <c r="EE1429" s="76">
        <f>+IF(MID($J$2,1,10)=MID($EE$2,1,10),1,2)</f>
        <v>1</v>
      </c>
    </row>
    <row r="1430" spans="76:135" x14ac:dyDescent="0.25">
      <c r="BX1430" s="78"/>
      <c r="BY1430" s="319">
        <v>110</v>
      </c>
      <c r="CA1430" s="78"/>
      <c r="EE1430" s="76">
        <f>+IF(MID($J$2,1,10)=MID($EE$2,1,10),0,1)</f>
        <v>0</v>
      </c>
    </row>
    <row r="1431" spans="76:135" x14ac:dyDescent="0.25">
      <c r="BX1431" s="78"/>
      <c r="BY1431" s="319">
        <v>614</v>
      </c>
      <c r="CA1431" s="78"/>
      <c r="EE1431" s="76">
        <f>+IF(MID($J$2,1,10)=MID($EE$2,1,10),0,1)</f>
        <v>0</v>
      </c>
    </row>
    <row r="1432" spans="76:135" x14ac:dyDescent="0.25">
      <c r="BX1432" s="78"/>
      <c r="BY1432" s="319">
        <v>195</v>
      </c>
      <c r="CA1432" s="78"/>
      <c r="EE1432" s="76">
        <f>+IF(MID($J$2,1,10)=MID($EE$2,1,10),0,1)</f>
        <v>0</v>
      </c>
    </row>
    <row r="1433" spans="76:135" x14ac:dyDescent="0.25">
      <c r="BX1433" s="78"/>
      <c r="BY1433" s="319">
        <v>245</v>
      </c>
      <c r="CA1433" s="78"/>
      <c r="EE1433" s="76">
        <f>+IF(MID($J$2,1,10)=MID($EE$2,1,10),1,2)</f>
        <v>1</v>
      </c>
    </row>
    <row r="1434" spans="76:135" x14ac:dyDescent="0.25">
      <c r="BX1434" s="78"/>
      <c r="BY1434" s="319">
        <v>123</v>
      </c>
      <c r="CA1434" s="78"/>
      <c r="EE1434" s="76">
        <f>+IF(MID($J$2,1,10)=MID($EE$2,1,10),1,2)</f>
        <v>1</v>
      </c>
    </row>
    <row r="1435" spans="76:135" x14ac:dyDescent="0.25">
      <c r="BX1435" s="78"/>
      <c r="BY1435" s="319">
        <v>876</v>
      </c>
      <c r="CA1435" s="78"/>
      <c r="EE1435" s="76">
        <f>+IF(MID($J$2,1,10)=MID($EE$2,1,10),3,1)</f>
        <v>3</v>
      </c>
    </row>
    <row r="1436" spans="76:135" x14ac:dyDescent="0.25">
      <c r="BX1436" s="78"/>
      <c r="BY1436" s="319">
        <v>106</v>
      </c>
      <c r="CA1436" s="78"/>
      <c r="EE1436" s="76">
        <f>+IF(MID($J$2,1,10)=MID($EE$2,1,10),3,1)</f>
        <v>3</v>
      </c>
    </row>
    <row r="1437" spans="76:135" x14ac:dyDescent="0.25">
      <c r="BX1437" s="78"/>
      <c r="BY1437" s="319">
        <v>1045</v>
      </c>
      <c r="CA1437" s="78"/>
      <c r="EE1437" s="76">
        <f>+IF(MID($J$2,1,10)=MID($EE$2,1,10),3,1)</f>
        <v>3</v>
      </c>
    </row>
    <row r="1438" spans="76:135" x14ac:dyDescent="0.25">
      <c r="BX1438" s="78"/>
      <c r="BY1438" s="319">
        <v>159</v>
      </c>
      <c r="CA1438" s="78"/>
      <c r="EE1438" s="76">
        <f>+IF(MID($J$2,1,10)=MID($EE$2,1,10),0,1)</f>
        <v>0</v>
      </c>
    </row>
    <row r="1439" spans="76:135" x14ac:dyDescent="0.25">
      <c r="BX1439" s="78"/>
      <c r="BY1439" s="319">
        <v>941</v>
      </c>
      <c r="CA1439" s="78"/>
      <c r="EE1439" s="76">
        <f>+IF(MID($J$2,1,10)=MID($EE$2,1,10),1,2)</f>
        <v>1</v>
      </c>
    </row>
    <row r="1440" spans="76:135" x14ac:dyDescent="0.25">
      <c r="BX1440" s="78"/>
      <c r="BY1440" s="319">
        <v>510</v>
      </c>
      <c r="CA1440" s="78"/>
      <c r="EE1440" s="76">
        <f>+IF(MID($J$2,1,10)=MID($EE$2,1,10),3,1)</f>
        <v>3</v>
      </c>
    </row>
    <row r="1441" spans="76:135" x14ac:dyDescent="0.25">
      <c r="BX1441" s="78"/>
      <c r="BY1441" s="319">
        <v>118</v>
      </c>
      <c r="CA1441" s="78"/>
      <c r="EE1441" s="76">
        <f>+IF(MID($J$2,1,10)=MID($EE$2,1,10),3,1)</f>
        <v>3</v>
      </c>
    </row>
    <row r="1442" spans="76:135" x14ac:dyDescent="0.25">
      <c r="BX1442" s="78"/>
      <c r="BY1442" s="319">
        <v>1140</v>
      </c>
      <c r="CA1442" s="78"/>
      <c r="EE1442" s="76">
        <f>+IF(MID($J$2,1,10)=MID($EE$2,1,10),0,1)</f>
        <v>0</v>
      </c>
    </row>
    <row r="1443" spans="76:135" x14ac:dyDescent="0.25">
      <c r="BX1443" s="78"/>
      <c r="BY1443" s="319">
        <v>119</v>
      </c>
      <c r="CA1443" s="78"/>
      <c r="EE1443" s="76">
        <f>+IF(MID($J$2,1,10)=MID($EE$2,1,10),3,1)</f>
        <v>3</v>
      </c>
    </row>
    <row r="1444" spans="76:135" x14ac:dyDescent="0.25">
      <c r="BX1444" s="78"/>
      <c r="BY1444" s="319">
        <v>1121</v>
      </c>
      <c r="CA1444" s="78"/>
      <c r="EE1444" s="76">
        <f>+IF(MID($J$2,1,10)=MID($EE$2,1,10),3,1)</f>
        <v>3</v>
      </c>
    </row>
    <row r="1445" spans="76:135" x14ac:dyDescent="0.25">
      <c r="BX1445" s="78"/>
      <c r="BY1445" s="319">
        <v>193</v>
      </c>
      <c r="CA1445" s="78"/>
      <c r="EE1445" s="76">
        <f>+IF(MID($J$2,1,10)=MID($EE$2,1,10),3,1)</f>
        <v>3</v>
      </c>
    </row>
    <row r="1446" spans="76:135" x14ac:dyDescent="0.25">
      <c r="BX1446" s="78"/>
      <c r="BY1446" s="319">
        <v>1147</v>
      </c>
      <c r="CA1446" s="78"/>
      <c r="EE1446" s="76">
        <f>+IF(MID($J$3,1,10)=MID($EE$3,1,10),2,1)</f>
        <v>2</v>
      </c>
    </row>
    <row r="1447" spans="76:135" x14ac:dyDescent="0.25">
      <c r="BX1447" s="78"/>
      <c r="BY1447" s="319">
        <v>143</v>
      </c>
      <c r="CA1447" s="78"/>
      <c r="EE1447" s="76">
        <f>+IF(MID($J$2,1,10)=MID($EE$2,1,10),4,1)</f>
        <v>4</v>
      </c>
    </row>
    <row r="1448" spans="76:135" x14ac:dyDescent="0.25">
      <c r="BX1448" s="78"/>
      <c r="BY1448" s="319">
        <v>697</v>
      </c>
      <c r="CA1448" s="78"/>
      <c r="EE1448" s="76">
        <f>+IF(MID($J$2,1,10)=MID($EE$2,1,10),0,1)</f>
        <v>0</v>
      </c>
    </row>
    <row r="1449" spans="76:135" x14ac:dyDescent="0.25">
      <c r="BX1449" s="78"/>
      <c r="BY1449" s="319">
        <v>189</v>
      </c>
      <c r="CA1449" s="78"/>
      <c r="EE1449" s="76">
        <f>+IF(MID($J$3,1,10)=MID($EE$3,1,10),2,1)</f>
        <v>2</v>
      </c>
    </row>
    <row r="1450" spans="76:135" x14ac:dyDescent="0.25">
      <c r="BX1450" s="78"/>
      <c r="BY1450" s="319">
        <v>834</v>
      </c>
      <c r="CA1450" s="78"/>
      <c r="EE1450" s="76">
        <f>+IF(MID($J$3,1,10)=MID($EE$3,1,10),2,1)</f>
        <v>2</v>
      </c>
    </row>
    <row r="1451" spans="76:135" x14ac:dyDescent="0.25">
      <c r="BX1451" s="78"/>
      <c r="BY1451" s="319">
        <v>148</v>
      </c>
      <c r="CA1451" s="78"/>
      <c r="EE1451" s="76">
        <f>+IF(MID($J$2,1,10)=MID($EE$2,1,10),4,1)</f>
        <v>4</v>
      </c>
    </row>
    <row r="1452" spans="76:135" x14ac:dyDescent="0.25">
      <c r="BX1452" s="78"/>
      <c r="BY1452" s="319">
        <v>185</v>
      </c>
      <c r="CA1452" s="78"/>
      <c r="EE1452" s="76">
        <f>+IF(MID($J$3,1,10)=MID($EE$3,1,10),2,1)</f>
        <v>2</v>
      </c>
    </row>
    <row r="1453" spans="76:135" x14ac:dyDescent="0.25">
      <c r="BX1453" s="78"/>
      <c r="BY1453" s="319">
        <v>181</v>
      </c>
      <c r="CA1453" s="78"/>
      <c r="EE1453" s="76">
        <f>+IF(MID($J$2,1,10)=MID($EE$2,1,10),4,1)</f>
        <v>4</v>
      </c>
    </row>
    <row r="1454" spans="76:135" x14ac:dyDescent="0.25">
      <c r="BX1454" s="78"/>
      <c r="BY1454" s="319">
        <v>635</v>
      </c>
      <c r="CA1454" s="78"/>
      <c r="EE1454" s="76">
        <f>+IF(MID($J$2,1,10)=MID($EE$2,1,10),1,2)</f>
        <v>1</v>
      </c>
    </row>
    <row r="1455" spans="76:135" x14ac:dyDescent="0.25">
      <c r="BX1455" s="78"/>
      <c r="BY1455" s="319">
        <v>118</v>
      </c>
      <c r="CA1455" s="78"/>
      <c r="EE1455" s="76">
        <f>+IF(MID($J$2,1,10)=MID($EE$2,1,10),3,1)</f>
        <v>3</v>
      </c>
    </row>
    <row r="1456" spans="76:135" x14ac:dyDescent="0.25">
      <c r="BX1456" s="78"/>
      <c r="BY1456" s="319">
        <v>144</v>
      </c>
      <c r="CA1456" s="78"/>
      <c r="EE1456" s="76">
        <f>+IF(MID($J$2,1,10)=MID($EE$2,1,10),1,2)</f>
        <v>1</v>
      </c>
    </row>
    <row r="1457" spans="76:135" x14ac:dyDescent="0.25">
      <c r="BX1457" s="78"/>
      <c r="BY1457" s="319">
        <v>143</v>
      </c>
      <c r="CA1457" s="78"/>
      <c r="EE1457" s="76">
        <f>+IF(MID($J$3,1,10)=MID($EE$3,1,10),2,1)</f>
        <v>2</v>
      </c>
    </row>
    <row r="1458" spans="76:135" x14ac:dyDescent="0.25">
      <c r="BX1458" s="78"/>
      <c r="BY1458" s="319">
        <v>1103</v>
      </c>
      <c r="CA1458" s="78"/>
      <c r="EE1458" s="76">
        <f>+IF(MID($J$2,1,10)=MID($EE$2,1,10),1,2)</f>
        <v>1</v>
      </c>
    </row>
    <row r="1459" spans="76:135" x14ac:dyDescent="0.25">
      <c r="BX1459" s="78"/>
      <c r="BY1459" s="319">
        <v>174</v>
      </c>
      <c r="CA1459" s="78"/>
      <c r="EE1459" s="76">
        <f>+IF(MID($J$2,1,10)=MID($EE$2,1,10),0,1)</f>
        <v>0</v>
      </c>
    </row>
    <row r="1460" spans="76:135" x14ac:dyDescent="0.25">
      <c r="BX1460" s="78"/>
      <c r="BY1460" s="319">
        <v>265</v>
      </c>
      <c r="CA1460" s="78"/>
      <c r="EE1460" s="76">
        <f>+IF(MID($J$2,1,10)=MID($EE$2,1,10),0,1)</f>
        <v>0</v>
      </c>
    </row>
    <row r="1461" spans="76:135" x14ac:dyDescent="0.25">
      <c r="BX1461" s="78"/>
      <c r="BY1461" s="319">
        <v>1</v>
      </c>
      <c r="CA1461" s="78"/>
      <c r="EE1461" s="76">
        <f>+IF(MID($J$2,1,10)=MID($EE$2,1,10),0,1)</f>
        <v>0</v>
      </c>
    </row>
    <row r="1462" spans="76:135" x14ac:dyDescent="0.25">
      <c r="BX1462" s="78"/>
      <c r="BY1462" s="319">
        <v>424</v>
      </c>
      <c r="CA1462" s="78"/>
      <c r="EE1462" s="76">
        <f>+IF(MID($J$2,1,10)=MID($EE$2,1,10),1,2)</f>
        <v>1</v>
      </c>
    </row>
    <row r="1463" spans="76:135" x14ac:dyDescent="0.25">
      <c r="BX1463" s="78"/>
      <c r="BY1463" s="319">
        <v>13</v>
      </c>
      <c r="CA1463" s="78"/>
      <c r="EE1463" s="76">
        <f>+IF(MID($J$2,1,10)=MID($EE$2,1,10),1,2)</f>
        <v>1</v>
      </c>
    </row>
    <row r="1464" spans="76:135" x14ac:dyDescent="0.25">
      <c r="BX1464" s="78"/>
      <c r="BY1464" s="319">
        <v>1109</v>
      </c>
      <c r="CA1464" s="78"/>
      <c r="EE1464" s="76">
        <f>+IF(MID($J$2,1,10)=MID($EE$2,1,10),3,1)</f>
        <v>3</v>
      </c>
    </row>
    <row r="1465" spans="76:135" x14ac:dyDescent="0.25">
      <c r="BX1465" s="78"/>
      <c r="BY1465" s="319">
        <v>208</v>
      </c>
      <c r="CA1465" s="78"/>
      <c r="EE1465" s="76">
        <f>+IF(MID($J$2,1,10)=MID($EE$2,1,10),3,1)</f>
        <v>3</v>
      </c>
    </row>
    <row r="1466" spans="76:135" x14ac:dyDescent="0.25">
      <c r="BX1466" s="78"/>
      <c r="BY1466" s="319">
        <v>172</v>
      </c>
      <c r="CA1466" s="78"/>
      <c r="EE1466" s="76">
        <f>+IF(MID($J$2,1,10)=MID($EE$2,1,10),3,1)</f>
        <v>3</v>
      </c>
    </row>
    <row r="1467" spans="76:135" x14ac:dyDescent="0.25">
      <c r="BX1467" s="78"/>
      <c r="BY1467" s="319">
        <v>523</v>
      </c>
      <c r="CA1467" s="78"/>
      <c r="EE1467" s="76">
        <f>+IF(MID($J$2,1,10)=MID($EE$2,1,10),0,1)</f>
        <v>0</v>
      </c>
    </row>
    <row r="1468" spans="76:135" x14ac:dyDescent="0.25">
      <c r="BX1468" s="78"/>
      <c r="BY1468" s="319">
        <v>108</v>
      </c>
      <c r="CA1468" s="78"/>
      <c r="EE1468" s="76">
        <f>+IF(MID($J$2,1,10)=MID($EE$2,1,10),1,2)</f>
        <v>1</v>
      </c>
    </row>
    <row r="1469" spans="76:135" x14ac:dyDescent="0.25">
      <c r="BX1469" s="78"/>
      <c r="BY1469" s="319">
        <v>719</v>
      </c>
      <c r="CA1469" s="78"/>
      <c r="EE1469" s="76">
        <f>+IF(MID($J$2,1,10)=MID($EE$2,1,10),3,1)</f>
        <v>3</v>
      </c>
    </row>
    <row r="1470" spans="76:135" x14ac:dyDescent="0.25">
      <c r="BX1470" s="78"/>
      <c r="BY1470" s="319">
        <v>158</v>
      </c>
      <c r="CA1470" s="78"/>
      <c r="EE1470" s="76">
        <f>+IF(MID($J$2,1,10)=MID($EE$2,1,10),3,1)</f>
        <v>3</v>
      </c>
    </row>
    <row r="1471" spans="76:135" x14ac:dyDescent="0.25">
      <c r="BX1471" s="78"/>
      <c r="BY1471" s="319">
        <v>1132</v>
      </c>
      <c r="CA1471" s="78"/>
      <c r="EE1471" s="76">
        <f>+IF(MID($J$2,1,10)=MID($EE$2,1,10),0,1)</f>
        <v>0</v>
      </c>
    </row>
    <row r="1472" spans="76:135" x14ac:dyDescent="0.25">
      <c r="BX1472" s="78"/>
      <c r="BY1472" s="319">
        <v>135</v>
      </c>
      <c r="CA1472" s="78"/>
      <c r="EE1472" s="76">
        <f>+IF(MID($J$2,1,10)=MID($EE$2,1,10),3,1)</f>
        <v>3</v>
      </c>
    </row>
    <row r="1473" spans="76:135" x14ac:dyDescent="0.25">
      <c r="BX1473" s="78"/>
      <c r="BY1473" s="319">
        <v>472</v>
      </c>
      <c r="CA1473" s="78"/>
      <c r="EE1473" s="76">
        <f>+IF(MID($J$2,1,10)=MID($EE$2,1,10),3,1)</f>
        <v>3</v>
      </c>
    </row>
    <row r="1474" spans="76:135" x14ac:dyDescent="0.25">
      <c r="BX1474" s="78"/>
      <c r="BY1474" s="319">
        <v>200</v>
      </c>
      <c r="CA1474" s="78"/>
      <c r="EE1474" s="76">
        <f>+IF(MID($J$2,1,10)=MID($EE$2,1,10),3,1)</f>
        <v>3</v>
      </c>
    </row>
    <row r="1475" spans="76:135" x14ac:dyDescent="0.25">
      <c r="BX1475" s="78"/>
      <c r="BY1475" s="319">
        <v>1026</v>
      </c>
      <c r="CA1475" s="78"/>
      <c r="EE1475" s="76">
        <f>+IF(MID($J$2,1,10)=MID($EE$2,1,10),1,2)</f>
        <v>1</v>
      </c>
    </row>
    <row r="1476" spans="76:135" x14ac:dyDescent="0.25">
      <c r="BX1476" s="78"/>
      <c r="BY1476" s="319">
        <v>147</v>
      </c>
      <c r="CA1476" s="78"/>
      <c r="EE1476" s="76">
        <f>+IF(MID($J$3,1,10)=MID($EE$3,1,10),2,1)</f>
        <v>2</v>
      </c>
    </row>
    <row r="1477" spans="76:135" x14ac:dyDescent="0.25">
      <c r="BX1477" s="78"/>
      <c r="BY1477" s="319">
        <v>400</v>
      </c>
      <c r="CA1477" s="78"/>
      <c r="EE1477" s="76">
        <f>+IF(MID($J$2,1,10)=MID($EE$2,1,10),4,1)</f>
        <v>4</v>
      </c>
    </row>
    <row r="1478" spans="76:135" x14ac:dyDescent="0.25">
      <c r="BX1478" s="78"/>
      <c r="BY1478" s="319">
        <v>182</v>
      </c>
      <c r="CA1478" s="78"/>
      <c r="EE1478" s="76">
        <f>+IF(MID($J$2,1,10)=MID($EE$2,1,10),0,1)</f>
        <v>0</v>
      </c>
    </row>
    <row r="1479" spans="76:135" x14ac:dyDescent="0.25">
      <c r="BX1479" s="78"/>
      <c r="BY1479" s="322">
        <v>15</v>
      </c>
      <c r="CA1479" s="78"/>
      <c r="EE1479" s="76">
        <f>+IF(MID($J$2,1,10)=MID($EE$2,1,10),2,1)</f>
        <v>2</v>
      </c>
    </row>
    <row r="1480" spans="76:135" x14ac:dyDescent="0.25">
      <c r="BX1480" s="78"/>
      <c r="BY1480" s="322">
        <v>10</v>
      </c>
      <c r="CA1480" s="78"/>
      <c r="EE1480" s="76">
        <f>+IF(MID($J$3,1,10)=MID($EE$3,1,10),2,1)</f>
        <v>2</v>
      </c>
    </row>
    <row r="1481" spans="76:135" x14ac:dyDescent="0.25">
      <c r="BX1481" s="78"/>
      <c r="BY1481" s="319">
        <v>195</v>
      </c>
      <c r="CA1481" s="78"/>
      <c r="EE1481" s="76">
        <f>+IF(MID($J$2,1,10)=MID($EE$2,1,10),4,1)</f>
        <v>4</v>
      </c>
    </row>
    <row r="1482" spans="76:135" x14ac:dyDescent="0.25">
      <c r="BX1482" s="78"/>
      <c r="BY1482" s="319">
        <v>159</v>
      </c>
      <c r="CA1482" s="78"/>
      <c r="EE1482" s="76">
        <f>+IF(MID($J$3,1,10)=MID($EE$3,1,10),2,1)</f>
        <v>2</v>
      </c>
    </row>
    <row r="1483" spans="76:135" x14ac:dyDescent="0.25">
      <c r="BX1483" s="78"/>
      <c r="BY1483" s="319">
        <v>131</v>
      </c>
      <c r="CA1483" s="78"/>
      <c r="EE1483" s="76">
        <f>+IF(MID($J$2,1,10)=MID($EE$2,1,10),4,1)</f>
        <v>4</v>
      </c>
    </row>
    <row r="1484" spans="76:135" x14ac:dyDescent="0.25">
      <c r="BX1484" s="78"/>
      <c r="BY1484" s="319">
        <v>437</v>
      </c>
      <c r="CA1484" s="78"/>
      <c r="EE1484" s="76">
        <f>+IF(MID($J$2,1,10)=MID($EE$2,1,10),1,2)</f>
        <v>1</v>
      </c>
    </row>
    <row r="1485" spans="76:135" x14ac:dyDescent="0.25">
      <c r="BX1485" s="78"/>
      <c r="BY1485" s="319">
        <v>131</v>
      </c>
      <c r="CA1485" s="78"/>
      <c r="EE1485" s="76">
        <f>+IF(MID($J$2,1,10)=MID($EE$2,1,10),3,1)</f>
        <v>3</v>
      </c>
    </row>
    <row r="1486" spans="76:135" x14ac:dyDescent="0.25">
      <c r="BX1486" s="78"/>
      <c r="BY1486" s="319">
        <v>156</v>
      </c>
      <c r="CA1486" s="78"/>
      <c r="EE1486" s="76">
        <f>+IF(MID($J$2,1,10)=MID($EE$2,1,10),1,2)</f>
        <v>1</v>
      </c>
    </row>
    <row r="1487" spans="76:135" x14ac:dyDescent="0.25">
      <c r="BX1487" s="78"/>
      <c r="BY1487" s="319">
        <v>161</v>
      </c>
      <c r="CA1487" s="78"/>
      <c r="EE1487" s="76">
        <f>+IF(MID($J$3,1,10)=MID($EE$3,1,10),2,1)</f>
        <v>2</v>
      </c>
    </row>
    <row r="1488" spans="76:135" x14ac:dyDescent="0.25">
      <c r="BX1488" s="78"/>
      <c r="BY1488" s="319">
        <v>577</v>
      </c>
      <c r="CA1488" s="78"/>
      <c r="EE1488" s="76">
        <f>+IF(MID($J$2,1,10)=MID($EE$2,1,10),1,2)</f>
        <v>1</v>
      </c>
    </row>
    <row r="1489" spans="76:135" x14ac:dyDescent="0.25">
      <c r="BX1489" s="78"/>
      <c r="BY1489" s="319">
        <v>143</v>
      </c>
      <c r="CA1489" s="78"/>
      <c r="EE1489" s="76">
        <f>+IF(MID($J$2,1,10)=MID($EE$2,1,10),0,1)</f>
        <v>0</v>
      </c>
    </row>
    <row r="1490" spans="76:135" x14ac:dyDescent="0.25">
      <c r="BX1490" s="78"/>
      <c r="BY1490" s="319">
        <v>408</v>
      </c>
      <c r="CA1490" s="78"/>
      <c r="EE1490" s="76">
        <f>+IF(MID($J$2,1,10)=MID($EE$2,1,10),0,1)</f>
        <v>0</v>
      </c>
    </row>
    <row r="1491" spans="76:135" x14ac:dyDescent="0.25">
      <c r="BX1491" s="78"/>
      <c r="BY1491" s="319">
        <v>164</v>
      </c>
      <c r="CA1491" s="78"/>
      <c r="EE1491" s="76">
        <f>+IF(MID($J$2,1,10)=MID($EE$2,1,10),0,1)</f>
        <v>0</v>
      </c>
    </row>
    <row r="1492" spans="76:135" x14ac:dyDescent="0.25">
      <c r="BX1492" s="78"/>
      <c r="BY1492" s="319">
        <v>184</v>
      </c>
      <c r="CA1492" s="78"/>
      <c r="EE1492" s="76">
        <f>+IF(MID($J$2,1,10)=MID($EE$2,1,10),1,2)</f>
        <v>1</v>
      </c>
    </row>
    <row r="1493" spans="76:135" x14ac:dyDescent="0.25">
      <c r="BX1493" s="78"/>
      <c r="BY1493" s="319">
        <v>161</v>
      </c>
      <c r="CA1493" s="78"/>
      <c r="EE1493" s="76">
        <f>+IF(MID($J$2,1,10)=MID($EE$2,1,10),1,2)</f>
        <v>1</v>
      </c>
    </row>
    <row r="1494" spans="76:135" x14ac:dyDescent="0.25">
      <c r="BX1494" s="78"/>
      <c r="BY1494" s="319">
        <v>320</v>
      </c>
      <c r="CA1494" s="78"/>
      <c r="EE1494" s="76">
        <f>+IF(MID($J$2,1,10)=MID($EE$2,1,10),3,1)</f>
        <v>3</v>
      </c>
    </row>
    <row r="1495" spans="76:135" x14ac:dyDescent="0.25">
      <c r="BX1495" s="78"/>
      <c r="BY1495" s="319">
        <v>178</v>
      </c>
      <c r="CA1495" s="78"/>
      <c r="EE1495" s="76">
        <f>+IF(MID($J$2,1,10)=MID($EE$2,1,10),3,1)</f>
        <v>3</v>
      </c>
    </row>
    <row r="1496" spans="76:135" x14ac:dyDescent="0.25">
      <c r="BX1496" s="78"/>
      <c r="BY1496" s="319">
        <v>301</v>
      </c>
      <c r="CA1496" s="78"/>
      <c r="EE1496" s="76">
        <f>+IF(MID($J$2,1,10)=MID($EE$2,1,10),3,1)</f>
        <v>3</v>
      </c>
    </row>
    <row r="1497" spans="76:135" x14ac:dyDescent="0.25">
      <c r="BX1497" s="78"/>
      <c r="BY1497" s="319">
        <v>173</v>
      </c>
      <c r="CA1497" s="78"/>
      <c r="EE1497" s="76">
        <f>+IF(MID($J$2,1,10)=MID($EE$2,1,10),0,1)</f>
        <v>0</v>
      </c>
    </row>
    <row r="1498" spans="76:135" x14ac:dyDescent="0.25">
      <c r="BX1498" s="78"/>
      <c r="BY1498" s="319">
        <v>2</v>
      </c>
      <c r="CA1498" s="78"/>
      <c r="EE1498" s="76">
        <f>+IF(MID($J$2,1,10)=MID($EE$2,1,10),1,2)</f>
        <v>1</v>
      </c>
    </row>
    <row r="1499" spans="76:135" x14ac:dyDescent="0.25">
      <c r="BX1499" s="78"/>
      <c r="BY1499" s="319">
        <v>127</v>
      </c>
      <c r="CA1499" s="78"/>
      <c r="EE1499" s="76">
        <f>+IF(MID($J$2,1,10)=MID($EE$2,1,10),3,1)</f>
        <v>3</v>
      </c>
    </row>
    <row r="1500" spans="76:135" x14ac:dyDescent="0.25">
      <c r="BX1500" s="78"/>
      <c r="BY1500" s="319">
        <v>1087</v>
      </c>
      <c r="CA1500" s="78"/>
      <c r="EE1500" s="76">
        <f>+IF(MID($J$2,1,10)=MID($EE$2,1,10),3,1)</f>
        <v>3</v>
      </c>
    </row>
    <row r="1501" spans="76:135" x14ac:dyDescent="0.25">
      <c r="BX1501" s="78"/>
      <c r="BY1501" s="319">
        <v>149</v>
      </c>
      <c r="CA1501" s="78"/>
      <c r="EE1501" s="76">
        <f>+IF(MID($J$2,1,10)=MID($EE$2,1,10),0,1)</f>
        <v>0</v>
      </c>
    </row>
    <row r="1502" spans="76:135" x14ac:dyDescent="0.25">
      <c r="BX1502" s="78"/>
      <c r="BY1502" s="319">
        <v>150</v>
      </c>
      <c r="CA1502" s="78"/>
      <c r="EE1502" s="76">
        <f>+IF(MID($J$2,1,10)=MID($EE$2,1,10),3,1)</f>
        <v>3</v>
      </c>
    </row>
    <row r="1503" spans="76:135" x14ac:dyDescent="0.25">
      <c r="BX1503" s="78"/>
      <c r="BY1503" s="319">
        <v>137</v>
      </c>
      <c r="CA1503" s="78"/>
      <c r="EE1503" s="76">
        <f>+IF(MID($J$2,1,10)=MID($EE$2,1,10),3,1)</f>
        <v>3</v>
      </c>
    </row>
    <row r="1504" spans="76:135" x14ac:dyDescent="0.25">
      <c r="BX1504" s="78"/>
      <c r="BY1504" s="319">
        <v>135</v>
      </c>
      <c r="CA1504" s="78"/>
      <c r="EE1504" s="76">
        <f>+IF(MID($J$2,1,10)=MID($EE$2,1,10),3,1)</f>
        <v>3</v>
      </c>
    </row>
    <row r="1505" spans="76:135" x14ac:dyDescent="0.25">
      <c r="BX1505" s="78"/>
      <c r="BY1505" s="319">
        <v>140</v>
      </c>
      <c r="CA1505" s="78"/>
      <c r="EE1505" s="76">
        <f>+IF(MID($J$3,1,10)=MID($EE$3,1,10),2,1)</f>
        <v>2</v>
      </c>
    </row>
    <row r="1506" spans="76:135" x14ac:dyDescent="0.25">
      <c r="BX1506" s="78"/>
      <c r="BY1506" s="319">
        <v>132</v>
      </c>
      <c r="CA1506" s="78"/>
      <c r="EE1506" s="76">
        <f>+IF(MID($J$2,1,10)=MID($EE$2,1,10),4,1)</f>
        <v>4</v>
      </c>
    </row>
    <row r="1507" spans="76:135" x14ac:dyDescent="0.25">
      <c r="BX1507" s="78"/>
      <c r="BY1507" s="319">
        <v>123</v>
      </c>
      <c r="CA1507" s="78"/>
      <c r="EE1507" s="76">
        <f>+IF(MID($J$2,1,10)=MID($EE$2,1,10),0,1)</f>
        <v>0</v>
      </c>
    </row>
    <row r="1508" spans="76:135" x14ac:dyDescent="0.25">
      <c r="BX1508" s="78"/>
      <c r="BY1508" s="319">
        <v>135</v>
      </c>
      <c r="CA1508" s="78"/>
      <c r="EE1508" s="76">
        <f>+IF(MID($J$3,1,10)=MID($EE$3,1,10),2,1)</f>
        <v>2</v>
      </c>
    </row>
    <row r="1509" spans="76:135" x14ac:dyDescent="0.25">
      <c r="BX1509" s="78"/>
      <c r="BY1509" s="319">
        <v>123</v>
      </c>
      <c r="CA1509" s="78"/>
      <c r="EE1509" s="76">
        <f>+IF(MID($J$3,1,10)=MID($EE$3,1,10),2,1)</f>
        <v>2</v>
      </c>
    </row>
    <row r="1510" spans="76:135" x14ac:dyDescent="0.25">
      <c r="BX1510" s="78"/>
      <c r="BY1510" s="319">
        <v>170</v>
      </c>
      <c r="CA1510" s="78"/>
      <c r="EE1510" s="76">
        <f>+IF(MID($J$2,1,10)=MID($EE$2,1,10),4,1)</f>
        <v>4</v>
      </c>
    </row>
    <row r="1511" spans="76:135" x14ac:dyDescent="0.25">
      <c r="BX1511" s="78"/>
      <c r="BY1511" s="319">
        <v>118</v>
      </c>
      <c r="CA1511" s="78"/>
      <c r="EE1511" s="76">
        <f>+IF(MID($J$3,1,10)=MID($EE$3,1,10),2,1)</f>
        <v>2</v>
      </c>
    </row>
    <row r="1512" spans="76:135" x14ac:dyDescent="0.25">
      <c r="BX1512" s="78"/>
      <c r="BY1512" s="319">
        <v>160</v>
      </c>
      <c r="CA1512" s="78"/>
      <c r="EE1512" s="76">
        <f>+IF(MID($J$2,1,10)=MID($EE$2,1,10),4,1)</f>
        <v>4</v>
      </c>
    </row>
    <row r="1513" spans="76:135" x14ac:dyDescent="0.25">
      <c r="BX1513" s="78"/>
      <c r="BY1513" s="319">
        <v>108</v>
      </c>
      <c r="CA1513" s="78"/>
      <c r="EE1513" s="76">
        <f>+IF(MID($J$2,1,10)=MID($EE$2,1,10),1,2)</f>
        <v>1</v>
      </c>
    </row>
    <row r="1514" spans="76:135" x14ac:dyDescent="0.25">
      <c r="BX1514" s="78"/>
      <c r="BY1514" s="319">
        <v>123</v>
      </c>
      <c r="CA1514" s="78"/>
      <c r="EE1514" s="76">
        <f>+IF(MID($J$2,1,10)=MID($EE$2,1,10),3,1)</f>
        <v>3</v>
      </c>
    </row>
    <row r="1515" spans="76:135" x14ac:dyDescent="0.25">
      <c r="BX1515" s="78"/>
      <c r="BY1515" s="319">
        <v>132</v>
      </c>
      <c r="CA1515" s="78"/>
      <c r="EE1515" s="76">
        <f>+IF(MID($J$2,1,10)=MID($EE$2,1,10),1,2)</f>
        <v>1</v>
      </c>
    </row>
    <row r="1516" spans="76:135" x14ac:dyDescent="0.25">
      <c r="BX1516" s="78"/>
      <c r="BY1516" s="319">
        <v>167</v>
      </c>
      <c r="CA1516" s="78"/>
      <c r="EE1516" s="76">
        <f>+IF(MID($J$3,1,10)=MID($EE$3,1,10),2,1)</f>
        <v>2</v>
      </c>
    </row>
    <row r="1517" spans="76:135" x14ac:dyDescent="0.25">
      <c r="BX1517" s="78"/>
      <c r="BY1517" s="322">
        <v>10</v>
      </c>
      <c r="CA1517" s="78"/>
      <c r="EE1517" s="76">
        <f>+IF(MID($J$5,1,10)=MID($EE$5,1,10),2,1)</f>
        <v>2</v>
      </c>
    </row>
    <row r="1518" spans="76:135" x14ac:dyDescent="0.25">
      <c r="BX1518" s="78"/>
      <c r="BY1518" s="319">
        <v>202</v>
      </c>
      <c r="CA1518" s="78"/>
      <c r="EE1518" s="76">
        <f>+IF(MID($J$6,1,5)=MID($EE$11,1,5),0,1)</f>
        <v>0</v>
      </c>
    </row>
    <row r="1519" spans="76:135" x14ac:dyDescent="0.25">
      <c r="BX1519" s="78"/>
      <c r="BY1519" s="322">
        <v>7</v>
      </c>
      <c r="CA1519" s="78"/>
      <c r="EE1519" s="76">
        <f>+IF(MID($J$2,1,10)=MID($EE$2,1,10),2,1)</f>
        <v>2</v>
      </c>
    </row>
    <row r="1520" spans="76:135" x14ac:dyDescent="0.25">
      <c r="BX1520" s="78"/>
      <c r="BY1520" s="322">
        <v>10</v>
      </c>
      <c r="CA1520" s="78"/>
      <c r="EE1520" s="76">
        <f>+IF(MID($J$3,1,10)=MID($EE$3,1,10),2,1)</f>
        <v>2</v>
      </c>
    </row>
    <row r="1521" spans="76:135" x14ac:dyDescent="0.25">
      <c r="BX1521" s="78"/>
      <c r="BY1521" s="319">
        <v>138</v>
      </c>
      <c r="CA1521" s="78"/>
      <c r="EE1521" s="76">
        <f>+IF(MID($J$2,1,10)=MID($EE$2,1,10),1,2)</f>
        <v>1</v>
      </c>
    </row>
    <row r="1522" spans="76:135" x14ac:dyDescent="0.25">
      <c r="BX1522" s="78"/>
      <c r="BY1522" s="319">
        <v>122</v>
      </c>
      <c r="CA1522" s="78"/>
      <c r="EE1522" s="76">
        <f>+IF(MID($J$2,1,10)=MID($EE$2,1,10),1,2)</f>
        <v>1</v>
      </c>
    </row>
    <row r="1523" spans="76:135" x14ac:dyDescent="0.25">
      <c r="BX1523" s="78"/>
      <c r="BY1523" s="319">
        <v>180</v>
      </c>
      <c r="CA1523" s="78"/>
      <c r="EE1523" s="76">
        <f>+IF(MID($J$2,1,10)=MID($EE$2,1,10),3,1)</f>
        <v>3</v>
      </c>
    </row>
    <row r="1524" spans="76:135" x14ac:dyDescent="0.25">
      <c r="BX1524" s="78"/>
      <c r="BY1524" s="319">
        <v>182</v>
      </c>
      <c r="CA1524" s="78"/>
      <c r="EE1524" s="76">
        <f>+IF(MID($J$2,1,10)=MID($EE$2,1,10),3,1)</f>
        <v>3</v>
      </c>
    </row>
    <row r="1525" spans="76:135" x14ac:dyDescent="0.25">
      <c r="BX1525" s="78"/>
      <c r="BY1525" s="319">
        <v>128</v>
      </c>
      <c r="CA1525" s="78"/>
      <c r="EE1525" s="76">
        <f>+IF(MID($J$2,1,10)=MID($EE$2,1,10),3,1)</f>
        <v>3</v>
      </c>
    </row>
    <row r="1526" spans="76:135" x14ac:dyDescent="0.25">
      <c r="BX1526" s="78"/>
      <c r="BY1526" s="319">
        <v>190</v>
      </c>
      <c r="CA1526" s="78"/>
      <c r="EE1526" s="76">
        <f>+IF(MID($J$2,1,10)=MID($EE$2,1,10),0,1)</f>
        <v>0</v>
      </c>
    </row>
    <row r="1527" spans="76:135" x14ac:dyDescent="0.25">
      <c r="BX1527" s="78"/>
      <c r="BY1527" s="319">
        <v>194</v>
      </c>
      <c r="CA1527" s="78"/>
      <c r="EE1527" s="76">
        <f>+IF(MID($J$2,1,10)=MID($EE$2,1,10),1,2)</f>
        <v>1</v>
      </c>
    </row>
    <row r="1528" spans="76:135" x14ac:dyDescent="0.25">
      <c r="BX1528" s="78"/>
      <c r="BY1528" s="319">
        <v>167</v>
      </c>
      <c r="CA1528" s="78"/>
      <c r="EE1528" s="76">
        <f>+IF(MID($J$2,1,10)=MID($EE$2,1,10),3,1)</f>
        <v>3</v>
      </c>
    </row>
    <row r="1529" spans="76:135" x14ac:dyDescent="0.25">
      <c r="BX1529" s="78"/>
      <c r="BY1529" s="319">
        <v>129</v>
      </c>
      <c r="CA1529" s="78"/>
      <c r="EE1529" s="76">
        <f>+IF(MID($J$2,1,10)=MID($EE$2,1,10),3,1)</f>
        <v>3</v>
      </c>
    </row>
    <row r="1530" spans="76:135" x14ac:dyDescent="0.25">
      <c r="BX1530" s="78"/>
      <c r="BY1530" s="319">
        <v>136</v>
      </c>
      <c r="CA1530" s="78"/>
      <c r="EE1530" s="76">
        <f>+IF(MID($J$2,1,10)=MID($EE$2,1,10),0,1)</f>
        <v>0</v>
      </c>
    </row>
    <row r="1531" spans="76:135" x14ac:dyDescent="0.25">
      <c r="BX1531" s="78"/>
      <c r="BY1531" s="319">
        <v>167</v>
      </c>
      <c r="CA1531" s="78"/>
      <c r="EE1531" s="76">
        <f>+IF(MID($J$2,1,10)=MID($EE$2,1,10),3,1)</f>
        <v>3</v>
      </c>
    </row>
    <row r="1532" spans="76:135" x14ac:dyDescent="0.25">
      <c r="BX1532" s="78"/>
      <c r="BY1532" s="319">
        <v>125</v>
      </c>
      <c r="CA1532" s="78"/>
      <c r="EE1532" s="76">
        <f>+IF(MID($J$2,1,10)=MID($EE$2,1,10),3,1)</f>
        <v>3</v>
      </c>
    </row>
    <row r="1533" spans="76:135" x14ac:dyDescent="0.25">
      <c r="BX1533" s="78"/>
      <c r="BY1533" s="319">
        <v>130</v>
      </c>
      <c r="CA1533" s="78"/>
      <c r="EE1533" s="76">
        <f>+IF(MID($J$2,1,10)=MID($EE$2,1,10),3,1)</f>
        <v>3</v>
      </c>
    </row>
    <row r="1534" spans="76:135" x14ac:dyDescent="0.25">
      <c r="BX1534" s="78"/>
      <c r="BY1534" s="319">
        <v>149</v>
      </c>
      <c r="CA1534" s="78"/>
      <c r="EE1534" s="76">
        <f>+IF(MID($J$2,1,10)=MID($EE$2,1,10),1,2)</f>
        <v>1</v>
      </c>
    </row>
    <row r="1535" spans="76:135" x14ac:dyDescent="0.25">
      <c r="BX1535" s="78"/>
      <c r="BY1535" s="319">
        <v>134</v>
      </c>
      <c r="CA1535" s="78"/>
      <c r="EE1535" s="76">
        <f>+IF(MID($J$3,1,10)=MID($EE$3,1,10),2,1)</f>
        <v>2</v>
      </c>
    </row>
    <row r="1536" spans="76:135" x14ac:dyDescent="0.25">
      <c r="BX1536" s="78"/>
      <c r="BY1536" s="319">
        <v>187</v>
      </c>
      <c r="CA1536" s="78"/>
      <c r="EE1536" s="76">
        <f>+IF(MID($J$2,1,10)=MID($EE$2,1,10),4,1)</f>
        <v>4</v>
      </c>
    </row>
    <row r="1537" spans="76:135" x14ac:dyDescent="0.25">
      <c r="BX1537" s="78"/>
      <c r="BY1537" s="319">
        <v>144</v>
      </c>
      <c r="CA1537" s="78"/>
      <c r="EE1537" s="76">
        <f>+IF(MID($J$2,1,10)=MID($EE$2,1,10),0,1)</f>
        <v>0</v>
      </c>
    </row>
    <row r="1538" spans="76:135" x14ac:dyDescent="0.25">
      <c r="BX1538" s="78"/>
      <c r="BY1538" s="319">
        <v>177</v>
      </c>
      <c r="CA1538" s="78"/>
      <c r="EE1538" s="76">
        <f>+IF(MID($J$3,1,10)=MID($EE$3,1,10),2,1)</f>
        <v>2</v>
      </c>
    </row>
    <row r="1539" spans="76:135" x14ac:dyDescent="0.25">
      <c r="BX1539" s="78"/>
      <c r="BY1539" s="319">
        <v>164</v>
      </c>
      <c r="CA1539" s="78"/>
      <c r="EE1539" s="76">
        <f>+IF(MID($J$3,1,10)=MID($EE$3,1,10),2,1)</f>
        <v>2</v>
      </c>
    </row>
    <row r="1540" spans="76:135" x14ac:dyDescent="0.25">
      <c r="BX1540" s="78"/>
      <c r="BY1540" s="319">
        <v>168</v>
      </c>
      <c r="CA1540" s="78"/>
      <c r="EE1540" s="76">
        <f>+IF(MID($J$2,1,10)=MID($EE$2,1,10),4,1)</f>
        <v>4</v>
      </c>
    </row>
    <row r="1541" spans="76:135" x14ac:dyDescent="0.25">
      <c r="BX1541" s="78"/>
      <c r="BY1541" s="319">
        <v>169</v>
      </c>
      <c r="CA1541" s="78"/>
      <c r="EE1541" s="76">
        <f>+IF(MID($J$3,1,10)=MID($EE$3,1,10),2,1)</f>
        <v>2</v>
      </c>
    </row>
    <row r="1542" spans="76:135" x14ac:dyDescent="0.25">
      <c r="BX1542" s="79"/>
      <c r="BY1542" s="322">
        <v>20</v>
      </c>
      <c r="BZ1542" s="323"/>
      <c r="CA1542" s="79"/>
      <c r="EE1542" s="76">
        <f>+IF(MID($J$5,1,10)=MID($EE$5,1,10),0,1)</f>
        <v>0</v>
      </c>
    </row>
    <row r="1543" spans="76:135" x14ac:dyDescent="0.25">
      <c r="BX1543" s="78"/>
      <c r="BY1543" s="319">
        <v>194</v>
      </c>
      <c r="CA1543" s="78"/>
      <c r="EE1543" s="76">
        <f>+IF(MID($J$2,1,10)=MID($EE$2,1,10),1,2)</f>
        <v>1</v>
      </c>
    </row>
    <row r="1544" spans="76:135" x14ac:dyDescent="0.25">
      <c r="BX1544" s="78"/>
      <c r="BY1544" s="319">
        <v>511</v>
      </c>
      <c r="CA1544" s="78"/>
      <c r="EE1544" s="76">
        <f>+IF(MID($J$2,1,10)=MID($EE$2,1,10),3,1)</f>
        <v>3</v>
      </c>
    </row>
    <row r="1545" spans="76:135" x14ac:dyDescent="0.25">
      <c r="BX1545" s="78"/>
      <c r="BY1545" s="319">
        <v>149</v>
      </c>
      <c r="CA1545" s="78"/>
      <c r="EE1545" s="76">
        <f>+IF(MID($J$2,1,10)=MID($EE$2,1,10),1,2)</f>
        <v>1</v>
      </c>
    </row>
    <row r="1546" spans="76:135" x14ac:dyDescent="0.25">
      <c r="BX1546" s="78"/>
      <c r="BY1546" s="319">
        <v>296</v>
      </c>
      <c r="CA1546" s="78"/>
      <c r="EE1546" s="76">
        <f>+IF(MID($J$3,1,10)=MID($EE$3,1,10),2,1)</f>
        <v>2</v>
      </c>
    </row>
    <row r="1547" spans="76:135" x14ac:dyDescent="0.25">
      <c r="BX1547" s="78"/>
      <c r="BY1547" s="319">
        <v>178</v>
      </c>
      <c r="CA1547" s="78"/>
      <c r="EE1547" s="76">
        <f>+IF(MID($J$2,1,10)=MID($EE$2,1,10),1,2)</f>
        <v>1</v>
      </c>
    </row>
    <row r="1548" spans="76:135" x14ac:dyDescent="0.25">
      <c r="BX1548" s="78"/>
      <c r="BY1548" s="319">
        <v>403</v>
      </c>
      <c r="CA1548" s="78"/>
      <c r="EE1548" s="76">
        <f>+IF(MID($J$2,1,10)=MID($EE$2,1,10),0,1)</f>
        <v>0</v>
      </c>
    </row>
    <row r="1549" spans="76:135" x14ac:dyDescent="0.25">
      <c r="BX1549" s="78"/>
      <c r="BY1549" s="319">
        <v>185</v>
      </c>
      <c r="CA1549" s="78"/>
      <c r="EE1549" s="76">
        <f>+IF(MID($J$2,1,10)=MID($EE$2,1,10),0,1)</f>
        <v>0</v>
      </c>
    </row>
    <row r="1550" spans="76:135" x14ac:dyDescent="0.25">
      <c r="BX1550" s="78"/>
      <c r="BY1550" s="319">
        <v>1164</v>
      </c>
      <c r="CA1550" s="78"/>
      <c r="EE1550" s="76">
        <f>+IF(MID($J$2,1,10)=MID($EE$2,1,10),0,1)</f>
        <v>0</v>
      </c>
    </row>
    <row r="1551" spans="76:135" x14ac:dyDescent="0.25">
      <c r="BX1551" s="78"/>
      <c r="BY1551" s="319">
        <v>860</v>
      </c>
      <c r="CA1551" s="78"/>
      <c r="EE1551" s="76">
        <f>+IF(MID($J$2,1,10)=MID($EE$2,1,10),1,2)</f>
        <v>1</v>
      </c>
    </row>
    <row r="1552" spans="76:135" x14ac:dyDescent="0.25">
      <c r="BX1552" s="78"/>
      <c r="BY1552" s="319">
        <v>127</v>
      </c>
      <c r="CA1552" s="78"/>
      <c r="EE1552" s="76">
        <f>+IF(MID($J$2,1,10)=MID($EE$2,1,10),1,2)</f>
        <v>1</v>
      </c>
    </row>
    <row r="1553" spans="76:135" x14ac:dyDescent="0.25">
      <c r="BX1553" s="78"/>
      <c r="BY1553" s="319">
        <v>567</v>
      </c>
      <c r="CA1553" s="78"/>
      <c r="EE1553" s="76">
        <f>+IF(MID($J$2,1,10)=MID($EE$2,1,10),3,1)</f>
        <v>3</v>
      </c>
    </row>
    <row r="1554" spans="76:135" x14ac:dyDescent="0.25">
      <c r="BX1554" s="78"/>
      <c r="BY1554" s="319">
        <v>151</v>
      </c>
      <c r="CA1554" s="78"/>
      <c r="EE1554" s="76">
        <f>+IF(MID($J$2,1,10)=MID($EE$2,1,10),3,1)</f>
        <v>3</v>
      </c>
    </row>
    <row r="1555" spans="76:135" x14ac:dyDescent="0.25">
      <c r="BX1555" s="78"/>
      <c r="BY1555" s="319">
        <v>198</v>
      </c>
      <c r="CA1555" s="78"/>
      <c r="EE1555" s="76">
        <f>+IF(MID($J$2,1,10)=MID($EE$2,1,10),3,1)</f>
        <v>3</v>
      </c>
    </row>
    <row r="1556" spans="76:135" x14ac:dyDescent="0.25">
      <c r="BX1556" s="78"/>
      <c r="BY1556" s="319">
        <v>116</v>
      </c>
      <c r="CA1556" s="78"/>
      <c r="EE1556" s="76">
        <f>+IF(MID($J$2,1,10)=MID($EE$2,1,10),0,1)</f>
        <v>0</v>
      </c>
    </row>
    <row r="1557" spans="76:135" x14ac:dyDescent="0.25">
      <c r="BX1557" s="78"/>
      <c r="BY1557" s="319">
        <v>702</v>
      </c>
      <c r="CA1557" s="78"/>
      <c r="EE1557" s="76">
        <f>+IF(MID($J$2,1,10)=MID($EE$2,1,10),1,2)</f>
        <v>1</v>
      </c>
    </row>
    <row r="1558" spans="76:135" x14ac:dyDescent="0.25">
      <c r="BX1558" s="78"/>
      <c r="BY1558" s="319">
        <v>123</v>
      </c>
      <c r="CA1558" s="78"/>
      <c r="EE1558" s="76">
        <f>+IF(MID($J$2,1,10)=MID($EE$2,1,10),3,1)</f>
        <v>3</v>
      </c>
    </row>
    <row r="1559" spans="76:135" x14ac:dyDescent="0.25">
      <c r="BX1559" s="78"/>
      <c r="BY1559" s="319">
        <v>932</v>
      </c>
      <c r="CA1559" s="78"/>
      <c r="EE1559" s="76">
        <f>+IF(MID($J$2,1,10)=MID($EE$2,1,10),3,1)</f>
        <v>3</v>
      </c>
    </row>
    <row r="1560" spans="76:135" x14ac:dyDescent="0.25">
      <c r="BX1560" s="78"/>
      <c r="BY1560" s="319">
        <v>155</v>
      </c>
      <c r="CA1560" s="78"/>
      <c r="EE1560" s="76">
        <f>+IF(MID($J$2,1,10)=MID($EE$2,1,10),0,1)</f>
        <v>0</v>
      </c>
    </row>
    <row r="1561" spans="76:135" x14ac:dyDescent="0.25">
      <c r="BX1561" s="78"/>
      <c r="BY1561" s="319">
        <v>1014</v>
      </c>
      <c r="CA1561" s="78"/>
      <c r="EE1561" s="76">
        <f>+IF(MID($J$2,1,10)=MID($EE$2,1,10),3,1)</f>
        <v>3</v>
      </c>
    </row>
    <row r="1562" spans="76:135" x14ac:dyDescent="0.25">
      <c r="BX1562" s="78"/>
      <c r="BY1562" s="319">
        <v>148</v>
      </c>
      <c r="CA1562" s="78"/>
      <c r="EE1562" s="76">
        <f>+IF(MID($J$2,1,10)=MID($EE$2,1,10),3,1)</f>
        <v>3</v>
      </c>
    </row>
    <row r="1563" spans="76:135" x14ac:dyDescent="0.25">
      <c r="BX1563" s="78"/>
      <c r="BY1563" s="319">
        <v>150</v>
      </c>
      <c r="CA1563" s="78"/>
      <c r="EE1563" s="76">
        <f>+IF(MID($J$2,1,10)=MID($EE$2,1,10),3,1)</f>
        <v>3</v>
      </c>
    </row>
    <row r="1564" spans="76:135" x14ac:dyDescent="0.25">
      <c r="BX1564" s="78"/>
      <c r="BY1564" s="319">
        <v>152</v>
      </c>
      <c r="CA1564" s="78"/>
      <c r="EE1564" s="76">
        <f>+IF(MID($J$2,1,10)=MID($EE$2,1,10),1,2)</f>
        <v>1</v>
      </c>
    </row>
    <row r="1565" spans="76:135" x14ac:dyDescent="0.25">
      <c r="BX1565" s="78"/>
      <c r="BY1565" s="319">
        <v>270</v>
      </c>
      <c r="CA1565" s="78"/>
      <c r="EE1565" s="76">
        <f>+IF(MID($J$3,1,10)=MID($EE$3,1,10),2,1)</f>
        <v>2</v>
      </c>
    </row>
    <row r="1566" spans="76:135" x14ac:dyDescent="0.25">
      <c r="BX1566" s="78"/>
      <c r="BY1566" s="319">
        <v>112</v>
      </c>
      <c r="CA1566" s="78"/>
      <c r="EE1566" s="76">
        <f>+IF(MID($J$2,1,10)=MID($EE$2,1,10),4,1)</f>
        <v>4</v>
      </c>
    </row>
    <row r="1567" spans="76:135" x14ac:dyDescent="0.25">
      <c r="BX1567" s="78"/>
      <c r="BY1567" s="322">
        <v>7</v>
      </c>
      <c r="CA1567" s="78"/>
      <c r="EE1567" s="76">
        <f>+IF(MID($J$5,1,10)=MID($EE$5,1,10),1,2)</f>
        <v>1</v>
      </c>
    </row>
    <row r="1568" spans="76:135" x14ac:dyDescent="0.25">
      <c r="BX1568" s="78"/>
      <c r="BY1568" s="319">
        <v>171</v>
      </c>
      <c r="CA1568" s="78"/>
      <c r="EE1568" s="76">
        <f>+IF(MID($J$3,1,10)=MID($EE$3,1,10),2,1)</f>
        <v>2</v>
      </c>
    </row>
    <row r="1569" spans="76:135" x14ac:dyDescent="0.25">
      <c r="BX1569" s="78"/>
      <c r="BY1569" s="319">
        <v>304</v>
      </c>
      <c r="CA1569" s="78"/>
      <c r="EE1569" s="76">
        <f>+IF(MID($J$3,1,10)=MID($EE$3,1,10),2,1)</f>
        <v>2</v>
      </c>
    </row>
    <row r="1570" spans="76:135" x14ac:dyDescent="0.25">
      <c r="BX1570" s="78"/>
      <c r="BY1570" s="319">
        <v>193</v>
      </c>
      <c r="CA1570" s="78"/>
      <c r="EE1570" s="76">
        <f>+IF(MID($J$2,1,10)=MID($EE$2,1,10),4,1)</f>
        <v>4</v>
      </c>
    </row>
    <row r="1571" spans="76:135" x14ac:dyDescent="0.25">
      <c r="BX1571" s="78"/>
      <c r="BY1571" s="319">
        <v>625</v>
      </c>
      <c r="CA1571" s="78"/>
      <c r="EE1571" s="76">
        <f>+IF(MID($J$3,1,10)=MID($EE$3,1,10),2,1)</f>
        <v>2</v>
      </c>
    </row>
    <row r="1572" spans="76:135" x14ac:dyDescent="0.25">
      <c r="BX1572" s="78"/>
      <c r="BY1572" s="319">
        <v>6</v>
      </c>
      <c r="CA1572" s="78"/>
      <c r="EE1572" s="76">
        <f>+IF(MID($J$2,1,10)=MID($EE$2,1,10),4,1)</f>
        <v>4</v>
      </c>
    </row>
    <row r="1573" spans="76:135" x14ac:dyDescent="0.25">
      <c r="BX1573" s="78"/>
      <c r="BY1573" s="319">
        <v>166</v>
      </c>
      <c r="CA1573" s="78"/>
      <c r="EE1573" s="76">
        <f>+IF(MID($J$2,1,10)=MID($EE$2,1,10),1,2)</f>
        <v>1</v>
      </c>
    </row>
    <row r="1574" spans="76:135" x14ac:dyDescent="0.25">
      <c r="BX1574" s="78"/>
      <c r="BY1574" s="319">
        <v>142</v>
      </c>
      <c r="CA1574" s="78"/>
      <c r="EE1574" s="76">
        <f>+IF(MID($J$2,1,10)=MID($EE$2,1,10),3,1)</f>
        <v>3</v>
      </c>
    </row>
    <row r="1575" spans="76:135" x14ac:dyDescent="0.25">
      <c r="BX1575" s="78"/>
      <c r="BY1575" s="319">
        <v>115</v>
      </c>
      <c r="CA1575" s="78"/>
      <c r="EE1575" s="76">
        <f>+IF(MID($J$2,1,10)=MID($EE$2,1,10),1,2)</f>
        <v>1</v>
      </c>
    </row>
    <row r="1576" spans="76:135" x14ac:dyDescent="0.25">
      <c r="BX1576" s="78"/>
      <c r="BY1576" s="319">
        <v>178</v>
      </c>
      <c r="CA1576" s="78"/>
      <c r="EE1576" s="76">
        <f>+IF(MID($J$3,1,10)=MID($EE$3,1,10),2,1)</f>
        <v>2</v>
      </c>
    </row>
    <row r="1577" spans="76:135" x14ac:dyDescent="0.25">
      <c r="BX1577" s="78"/>
      <c r="BY1577" s="319">
        <v>136</v>
      </c>
      <c r="CA1577" s="78"/>
      <c r="EE1577" s="76">
        <f>+IF(MID($J$2,1,10)=MID($EE$2,1,10),1,2)</f>
        <v>1</v>
      </c>
    </row>
    <row r="1578" spans="76:135" x14ac:dyDescent="0.25">
      <c r="BX1578" s="78"/>
      <c r="BY1578" s="319">
        <v>446</v>
      </c>
      <c r="CA1578" s="78"/>
      <c r="EE1578" s="76">
        <f>+IF(MID($J$2,1,10)=MID($EE$2,1,10),0,1)</f>
        <v>0</v>
      </c>
    </row>
    <row r="1579" spans="76:135" x14ac:dyDescent="0.25">
      <c r="BX1579" s="78"/>
      <c r="BY1579" s="319">
        <v>189</v>
      </c>
      <c r="CA1579" s="78"/>
      <c r="EE1579" s="76">
        <f>+IF(MID($J$2,1,10)=MID($EE$2,1,10),0,1)</f>
        <v>0</v>
      </c>
    </row>
    <row r="1580" spans="76:135" x14ac:dyDescent="0.25">
      <c r="BX1580" s="78"/>
      <c r="BY1580" s="319">
        <v>674</v>
      </c>
      <c r="CA1580" s="78"/>
      <c r="EE1580" s="76">
        <f>+IF(MID($J$2,1,10)=MID($EE$2,1,10),0,1)</f>
        <v>0</v>
      </c>
    </row>
    <row r="1581" spans="76:135" x14ac:dyDescent="0.25">
      <c r="BX1581" s="78"/>
      <c r="BY1581" s="319">
        <v>206</v>
      </c>
      <c r="CA1581" s="78"/>
      <c r="EE1581" s="76">
        <f>+IF(MID($J$2,1,10)=MID($EE$2,1,10),1,2)</f>
        <v>1</v>
      </c>
    </row>
    <row r="1582" spans="76:135" x14ac:dyDescent="0.25">
      <c r="BX1582" s="78"/>
      <c r="BY1582" s="319">
        <v>557</v>
      </c>
      <c r="CA1582" s="78"/>
      <c r="EE1582" s="76">
        <f>+IF(MID($J$2,1,10)=MID($EE$2,1,10),1,2)</f>
        <v>1</v>
      </c>
    </row>
    <row r="1583" spans="76:135" x14ac:dyDescent="0.25">
      <c r="BX1583" s="78"/>
      <c r="BY1583" s="319">
        <v>183</v>
      </c>
      <c r="CA1583" s="78"/>
      <c r="EE1583" s="76">
        <f>+IF(MID($J$2,1,10)=MID($EE$2,1,10),3,1)</f>
        <v>3</v>
      </c>
    </row>
    <row r="1584" spans="76:135" x14ac:dyDescent="0.25">
      <c r="BX1584" s="78"/>
      <c r="BY1584" s="319">
        <v>233</v>
      </c>
      <c r="CA1584" s="78"/>
      <c r="EE1584" s="76">
        <f>+IF(MID($J$2,1,10)=MID($EE$2,1,10),3,1)</f>
        <v>3</v>
      </c>
    </row>
    <row r="1585" spans="76:135" x14ac:dyDescent="0.25">
      <c r="BX1585" s="78"/>
      <c r="BY1585" s="319">
        <v>192</v>
      </c>
      <c r="CA1585" s="78"/>
      <c r="EE1585" s="76">
        <f>+IF(MID($J$2,1,10)=MID($EE$2,1,10),3,1)</f>
        <v>3</v>
      </c>
    </row>
    <row r="1586" spans="76:135" x14ac:dyDescent="0.25">
      <c r="BX1586" s="78"/>
      <c r="BY1586" s="319">
        <v>959</v>
      </c>
      <c r="CA1586" s="78"/>
      <c r="EE1586" s="76">
        <f>+IF(MID($J$2,1,10)=MID($EE$2,1,10),0,1)</f>
        <v>0</v>
      </c>
    </row>
    <row r="1587" spans="76:135" x14ac:dyDescent="0.25">
      <c r="BX1587" s="78"/>
      <c r="BY1587" s="319">
        <v>155</v>
      </c>
      <c r="CA1587" s="78"/>
      <c r="EE1587" s="76">
        <f>+IF(MID($J$2,1,10)=MID($EE$2,1,10),1,2)</f>
        <v>1</v>
      </c>
    </row>
    <row r="1588" spans="76:135" x14ac:dyDescent="0.25">
      <c r="BX1588" s="78"/>
      <c r="BY1588" s="319">
        <v>798</v>
      </c>
      <c r="CA1588" s="78"/>
      <c r="EE1588" s="76">
        <f>+IF(MID($J$2,1,10)=MID($EE$2,1,10),3,1)</f>
        <v>3</v>
      </c>
    </row>
    <row r="1589" spans="76:135" x14ac:dyDescent="0.25">
      <c r="BX1589" s="78"/>
      <c r="BY1589" s="324">
        <v>5</v>
      </c>
      <c r="CA1589" s="78"/>
      <c r="EE1589" s="76">
        <f>+IF(MID($J$2,1,10)=MID($EE$2,1,10),3,1)</f>
        <v>3</v>
      </c>
    </row>
    <row r="1590" spans="76:135" x14ac:dyDescent="0.25">
      <c r="BX1590" s="78"/>
      <c r="BY1590" s="319">
        <v>718</v>
      </c>
      <c r="CA1590" s="78"/>
      <c r="EE1590" s="76">
        <f>+IF(MID($J$2,1,10)=MID($EE$2,1,10),0,1)</f>
        <v>0</v>
      </c>
    </row>
    <row r="1591" spans="76:135" x14ac:dyDescent="0.25">
      <c r="BX1591" s="78"/>
      <c r="BY1591" s="319">
        <v>306</v>
      </c>
      <c r="CA1591" s="78"/>
      <c r="EE1591" s="76">
        <f>+IF(MID($J$2,1,10)=MID($EE$2,1,10),3,1)</f>
        <v>3</v>
      </c>
    </row>
    <row r="1592" spans="76:135" x14ac:dyDescent="0.25">
      <c r="BX1592" s="78"/>
      <c r="BY1592" s="319">
        <v>166</v>
      </c>
      <c r="CA1592" s="78"/>
      <c r="EE1592" s="76">
        <f>+IF(MID($J$2,1,10)=MID($EE$2,1,10),3,1)</f>
        <v>3</v>
      </c>
    </row>
    <row r="1593" spans="76:135" x14ac:dyDescent="0.25">
      <c r="BX1593" s="78"/>
      <c r="BY1593" s="319">
        <v>762</v>
      </c>
      <c r="CA1593" s="78"/>
      <c r="EE1593" s="76">
        <f>+IF(MID($J$2,1,10)=MID($EE$2,1,10),3,1)</f>
        <v>3</v>
      </c>
    </row>
    <row r="1594" spans="76:135" x14ac:dyDescent="0.25">
      <c r="BX1594" s="78"/>
      <c r="BY1594" s="319">
        <v>184</v>
      </c>
      <c r="CA1594" s="78"/>
      <c r="EE1594" s="76">
        <f>+IF(MID($J$2,1,10)=MID($EE$2,1,10),1,2)</f>
        <v>1</v>
      </c>
    </row>
    <row r="1595" spans="76:135" x14ac:dyDescent="0.25">
      <c r="BX1595" s="78"/>
      <c r="BY1595" s="319">
        <v>628</v>
      </c>
      <c r="CA1595" s="78"/>
      <c r="EE1595" s="76">
        <f>+IF(MID($J$3,1,10)=MID($EE$3,1,10),2,1)</f>
        <v>2</v>
      </c>
    </row>
    <row r="1596" spans="76:135" x14ac:dyDescent="0.25">
      <c r="BX1596" s="78"/>
      <c r="BY1596" s="319">
        <v>180</v>
      </c>
      <c r="CA1596" s="78"/>
      <c r="EE1596" s="76">
        <f>+IF(MID($J$2,1,10)=MID($EE$2,1,10),4,1)</f>
        <v>4</v>
      </c>
    </row>
    <row r="1597" spans="76:135" x14ac:dyDescent="0.25">
      <c r="BX1597" s="78"/>
      <c r="BY1597" s="319">
        <v>151</v>
      </c>
      <c r="CA1597" s="78"/>
      <c r="EE1597" s="76">
        <f>+IF(MID($J$2,1,10)=MID($EE$2,1,10),0,1)</f>
        <v>0</v>
      </c>
    </row>
    <row r="1598" spans="76:135" x14ac:dyDescent="0.25">
      <c r="BX1598" s="78"/>
      <c r="BY1598" s="319">
        <v>103</v>
      </c>
      <c r="CA1598" s="78"/>
      <c r="EE1598" s="76">
        <f>+IF(MID($J$3,1,10)=MID($EE$3,1,10),2,1)</f>
        <v>2</v>
      </c>
    </row>
    <row r="1599" spans="76:135" x14ac:dyDescent="0.25">
      <c r="BX1599" s="78"/>
      <c r="BY1599" s="319">
        <v>157</v>
      </c>
      <c r="CA1599" s="78"/>
      <c r="EE1599" s="76">
        <f>+IF(MID($J$3,1,10)=MID($EE$3,1,10),2,1)</f>
        <v>2</v>
      </c>
    </row>
    <row r="1600" spans="76:135" x14ac:dyDescent="0.25">
      <c r="BX1600" s="78"/>
      <c r="BY1600" s="319">
        <v>206</v>
      </c>
      <c r="CA1600" s="78"/>
      <c r="EE1600" s="76">
        <f>+IF(MID($J$2,1,10)=MID($EE$2,1,10),4,1)</f>
        <v>4</v>
      </c>
    </row>
    <row r="1601" spans="76:135" x14ac:dyDescent="0.25">
      <c r="BX1601" s="78"/>
      <c r="BY1601" s="319">
        <v>515</v>
      </c>
      <c r="CA1601" s="78"/>
      <c r="EE1601" s="76">
        <f>+IF(MID($J$3,1,10)=MID($EE$3,1,10),2,1)</f>
        <v>2</v>
      </c>
    </row>
    <row r="1602" spans="76:135" x14ac:dyDescent="0.25">
      <c r="BX1602" s="78"/>
      <c r="BY1602" s="319">
        <v>178</v>
      </c>
      <c r="CA1602" s="78"/>
      <c r="EE1602" s="76">
        <f>+IF(MID($J$2,1,10)=MID($EE$2,1,10),4,1)</f>
        <v>4</v>
      </c>
    </row>
    <row r="1603" spans="76:135" x14ac:dyDescent="0.25">
      <c r="BX1603" s="78"/>
      <c r="BY1603" s="319">
        <v>124</v>
      </c>
      <c r="CA1603" s="78"/>
      <c r="EE1603" s="76">
        <f>+IF(MID($J$2,1,10)=MID($EE$2,1,10),1,2)</f>
        <v>1</v>
      </c>
    </row>
    <row r="1604" spans="76:135" x14ac:dyDescent="0.25">
      <c r="BX1604" s="78"/>
      <c r="BY1604" s="319">
        <v>203</v>
      </c>
      <c r="CA1604" s="78"/>
      <c r="EE1604" s="76">
        <f>+IF(MID($J$2,1,10)=MID($EE$2,1,10),3,1)</f>
        <v>3</v>
      </c>
    </row>
    <row r="1605" spans="76:135" x14ac:dyDescent="0.25">
      <c r="BX1605" s="78"/>
      <c r="BY1605" s="319">
        <v>621</v>
      </c>
      <c r="CA1605" s="78"/>
      <c r="EE1605" s="76">
        <f>+IF(MID($J$2,1,10)=MID($EE$2,1,10),1,2)</f>
        <v>1</v>
      </c>
    </row>
    <row r="1606" spans="76:135" x14ac:dyDescent="0.25">
      <c r="BX1606" s="78"/>
      <c r="BY1606" s="319">
        <v>162</v>
      </c>
      <c r="CA1606" s="78"/>
      <c r="EE1606" s="76">
        <f>+IF(MID($J$3,1,10)=MID($EE$3,1,10),2,1)</f>
        <v>2</v>
      </c>
    </row>
    <row r="1607" spans="76:135" x14ac:dyDescent="0.25">
      <c r="BX1607" s="78"/>
      <c r="BY1607" s="319">
        <v>685</v>
      </c>
      <c r="CA1607" s="78"/>
      <c r="EE1607" s="76">
        <f>+IF(MID($J$2,1,10)=MID($EE$2,1,10),1,2)</f>
        <v>1</v>
      </c>
    </row>
    <row r="1608" spans="76:135" x14ac:dyDescent="0.25">
      <c r="BX1608" s="78"/>
      <c r="BY1608" s="319">
        <v>142</v>
      </c>
      <c r="CA1608" s="78"/>
      <c r="EE1608" s="76">
        <f>+IF(MID($J$2,1,10)=MID($EE$2,1,10),0,1)</f>
        <v>0</v>
      </c>
    </row>
    <row r="1609" spans="76:135" x14ac:dyDescent="0.25">
      <c r="BX1609" s="78"/>
      <c r="BY1609" s="319">
        <v>440</v>
      </c>
      <c r="CA1609" s="78"/>
      <c r="EE1609" s="76">
        <f>+IF(MID($J$2,1,10)=MID($EE$2,1,10),0,1)</f>
        <v>0</v>
      </c>
    </row>
    <row r="1610" spans="76:135" x14ac:dyDescent="0.25">
      <c r="BX1610" s="78"/>
      <c r="BY1610" s="319">
        <v>204</v>
      </c>
      <c r="CA1610" s="78"/>
      <c r="EE1610" s="76">
        <f>+IF(MID($J$2,1,10)=MID($EE$2,1,10),0,1)</f>
        <v>0</v>
      </c>
    </row>
    <row r="1611" spans="76:135" x14ac:dyDescent="0.25">
      <c r="BX1611" s="78"/>
      <c r="BY1611" s="322">
        <v>10</v>
      </c>
      <c r="CA1611" s="78"/>
      <c r="EE1611" s="76">
        <f>+IF(MID($J$4,1,8)=MID($EE$4,1,8),1,2)</f>
        <v>1</v>
      </c>
    </row>
    <row r="1612" spans="76:135" x14ac:dyDescent="0.25">
      <c r="BX1612" s="78"/>
      <c r="BY1612" s="319">
        <v>325</v>
      </c>
      <c r="CA1612" s="78"/>
      <c r="EE1612" s="76">
        <f>+IF(MID($J$2,1,10)=MID($EE$2,1,10),1,2)</f>
        <v>1</v>
      </c>
    </row>
    <row r="1613" spans="76:135" x14ac:dyDescent="0.25">
      <c r="BX1613" s="78"/>
      <c r="BY1613" s="319">
        <v>153</v>
      </c>
      <c r="CA1613" s="78"/>
      <c r="EE1613" s="76">
        <f>+IF(MID($J$2,1,10)=MID($EE$2,1,10),3,1)</f>
        <v>3</v>
      </c>
    </row>
    <row r="1614" spans="76:135" x14ac:dyDescent="0.25">
      <c r="BX1614" s="78"/>
      <c r="BY1614" s="319">
        <v>1082</v>
      </c>
      <c r="CA1614" s="78"/>
      <c r="EE1614" s="76">
        <f>+IF(MID($J$2,1,10)=MID($EE$2,1,10),3,1)</f>
        <v>3</v>
      </c>
    </row>
    <row r="1615" spans="76:135" x14ac:dyDescent="0.25">
      <c r="BX1615" s="78"/>
      <c r="BY1615" s="319">
        <v>177</v>
      </c>
      <c r="CA1615" s="78"/>
      <c r="EE1615" s="76">
        <f>+IF(MID($J$2,1,10)=MID($EE$2,1,10),3,1)</f>
        <v>3</v>
      </c>
    </row>
    <row r="1616" spans="76:135" x14ac:dyDescent="0.25">
      <c r="BX1616" s="78"/>
      <c r="BY1616" s="319">
        <v>253</v>
      </c>
      <c r="CA1616" s="78"/>
      <c r="EE1616" s="76">
        <f>+IF(MID($J$2,1,10)=MID($EE$2,1,10),0,1)</f>
        <v>0</v>
      </c>
    </row>
    <row r="1617" spans="76:135" x14ac:dyDescent="0.25">
      <c r="BX1617" s="78"/>
      <c r="BY1617" s="319">
        <v>192</v>
      </c>
      <c r="CA1617" s="78"/>
      <c r="EE1617" s="76">
        <f>+IF(MID($J$2,1,10)=MID($EE$2,1,10),1,2)</f>
        <v>1</v>
      </c>
    </row>
    <row r="1618" spans="76:135" x14ac:dyDescent="0.25">
      <c r="BX1618" s="78"/>
      <c r="BY1618" s="319">
        <v>1116</v>
      </c>
      <c r="CA1618" s="78"/>
      <c r="EE1618" s="76">
        <f>+IF(MID($J$2,1,10)=MID($EE$2,1,10),3,1)</f>
        <v>3</v>
      </c>
    </row>
    <row r="1619" spans="76:135" x14ac:dyDescent="0.25">
      <c r="BX1619" s="78"/>
      <c r="BY1619" s="319">
        <v>187</v>
      </c>
      <c r="CA1619" s="78"/>
      <c r="EE1619" s="76">
        <f>+IF(MID($J$2,1,10)=MID($EE$2,1,10),3,1)</f>
        <v>3</v>
      </c>
    </row>
    <row r="1620" spans="76:135" x14ac:dyDescent="0.25">
      <c r="BX1620" s="78"/>
      <c r="BY1620" s="319">
        <v>186</v>
      </c>
      <c r="CA1620" s="78"/>
      <c r="EE1620" s="76">
        <f>+IF(MID($J$2,1,10)=MID($EE$2,1,10),0,1)</f>
        <v>0</v>
      </c>
    </row>
    <row r="1621" spans="76:135" x14ac:dyDescent="0.25">
      <c r="BX1621" s="78"/>
      <c r="BY1621" s="319">
        <v>169</v>
      </c>
      <c r="CA1621" s="78"/>
      <c r="EE1621" s="76">
        <f>+IF(MID($J$3,1,10)=MID($EE$3,1,10),2,1)</f>
        <v>2</v>
      </c>
    </row>
    <row r="1622" spans="76:135" x14ac:dyDescent="0.25">
      <c r="BX1622" s="78"/>
      <c r="BY1622" s="319">
        <v>1044</v>
      </c>
      <c r="CA1622" s="78"/>
      <c r="EE1622" s="76">
        <f>+IF(MID($J$2,1,10)=MID($EE$2,1,10),4,1)</f>
        <v>4</v>
      </c>
    </row>
    <row r="1623" spans="76:135" x14ac:dyDescent="0.25">
      <c r="BX1623" s="78"/>
      <c r="BY1623" s="322">
        <v>18</v>
      </c>
      <c r="CA1623" s="78"/>
      <c r="EE1623" s="76">
        <f>+IF(MID($J$6,1,5)=MID($EE$11,1,5),2,1)</f>
        <v>2</v>
      </c>
    </row>
    <row r="1624" spans="76:135" x14ac:dyDescent="0.25">
      <c r="BX1624" s="78"/>
      <c r="BY1624" s="319">
        <v>1059</v>
      </c>
      <c r="CA1624" s="78"/>
      <c r="EE1624" s="76">
        <f>+IF(MID($J$3,1,10)=MID($EE$3,1,10),2,1)</f>
        <v>2</v>
      </c>
    </row>
    <row r="1625" spans="76:135" x14ac:dyDescent="0.25">
      <c r="BX1625" s="78"/>
      <c r="BY1625" s="319">
        <v>516</v>
      </c>
      <c r="CA1625" s="78"/>
      <c r="EE1625" s="76">
        <f>+IF(MID($J$3,1,10)=MID($EE$3,1,10),2,1)</f>
        <v>2</v>
      </c>
    </row>
    <row r="1626" spans="76:135" x14ac:dyDescent="0.25">
      <c r="BX1626" s="78"/>
      <c r="BY1626" s="319">
        <v>108</v>
      </c>
      <c r="CA1626" s="78"/>
      <c r="EE1626" s="76">
        <f>+IF(MID($J$2,1,10)=MID($EE$2,1,10),4,1)</f>
        <v>4</v>
      </c>
    </row>
    <row r="1627" spans="76:135" x14ac:dyDescent="0.25">
      <c r="BX1627" s="78"/>
      <c r="BY1627" s="319">
        <v>857</v>
      </c>
      <c r="CA1627" s="78"/>
      <c r="EE1627" s="76">
        <f>+IF(MID($J$3,1,10)=MID($EE$3,1,10),2,1)</f>
        <v>2</v>
      </c>
    </row>
    <row r="1628" spans="76:135" x14ac:dyDescent="0.25">
      <c r="BX1628" s="78"/>
      <c r="BY1628" s="319">
        <v>116</v>
      </c>
      <c r="CA1628" s="78"/>
      <c r="EE1628" s="76">
        <f>+IF(MID($J$2,1,10)=MID($EE$2,1,10),4,1)</f>
        <v>4</v>
      </c>
    </row>
    <row r="1629" spans="76:135" x14ac:dyDescent="0.25">
      <c r="BX1629" s="78"/>
      <c r="BY1629" s="319">
        <v>940</v>
      </c>
      <c r="CA1629" s="78"/>
      <c r="EE1629" s="76">
        <f>+IF(MID($J$2,1,10)=MID($EE$2,1,10),1,2)</f>
        <v>1</v>
      </c>
    </row>
    <row r="1630" spans="76:135" x14ac:dyDescent="0.25">
      <c r="BX1630" s="78"/>
      <c r="BY1630" s="319">
        <v>118</v>
      </c>
      <c r="CA1630" s="78"/>
      <c r="EE1630" s="76">
        <f>+IF(MID($J$2,1,10)=MID($EE$2,1,10),3,1)</f>
        <v>3</v>
      </c>
    </row>
    <row r="1631" spans="76:135" x14ac:dyDescent="0.25">
      <c r="BX1631" s="78"/>
      <c r="BY1631" s="319">
        <v>312</v>
      </c>
      <c r="CA1631" s="78"/>
      <c r="EE1631" s="76">
        <f>+IF(MID($J$2,1,10)=MID($EE$2,1,10),1,2)</f>
        <v>1</v>
      </c>
    </row>
    <row r="1632" spans="76:135" x14ac:dyDescent="0.25">
      <c r="BX1632" s="78"/>
      <c r="BY1632" s="319">
        <v>171</v>
      </c>
      <c r="CA1632" s="78"/>
      <c r="EE1632" s="76">
        <f>+IF(MID($J$3,1,10)=MID($EE$3,1,10),2,1)</f>
        <v>2</v>
      </c>
    </row>
    <row r="1633" spans="76:135" x14ac:dyDescent="0.25">
      <c r="BX1633" s="78"/>
      <c r="BY1633" s="322">
        <v>28</v>
      </c>
      <c r="CA1633" s="78"/>
      <c r="EE1633" s="76">
        <f>+IF(MID($J$6,1,5)=MID($EE$11,1,5),3,1)</f>
        <v>3</v>
      </c>
    </row>
    <row r="1634" spans="76:135" x14ac:dyDescent="0.25">
      <c r="BX1634" s="78"/>
      <c r="BY1634" s="319">
        <v>166</v>
      </c>
      <c r="CA1634" s="78"/>
      <c r="EE1634" s="76">
        <f>+IF(MID($J$2,1,10)=MID($EE$2,1,10),0,1)</f>
        <v>0</v>
      </c>
    </row>
    <row r="1635" spans="76:135" x14ac:dyDescent="0.25">
      <c r="BX1635" s="78"/>
      <c r="BY1635" s="319">
        <v>1084</v>
      </c>
      <c r="CA1635" s="78"/>
      <c r="EE1635" s="76">
        <f>+IF(MID($J$2,1,10)=MID($EE$2,1,10),0,1)</f>
        <v>0</v>
      </c>
    </row>
    <row r="1636" spans="76:135" x14ac:dyDescent="0.25">
      <c r="BX1636" s="78"/>
      <c r="BY1636" s="319">
        <v>118</v>
      </c>
      <c r="CA1636" s="78"/>
      <c r="EE1636" s="76">
        <f>+IF(MID($J$2,1,10)=MID($EE$2,1,10),0,1)</f>
        <v>0</v>
      </c>
    </row>
    <row r="1637" spans="76:135" x14ac:dyDescent="0.25">
      <c r="BX1637" s="78"/>
      <c r="BY1637" s="319">
        <v>149</v>
      </c>
      <c r="CA1637" s="78"/>
      <c r="EE1637" s="76">
        <f>+IF(MID($J$2,1,10)=MID($EE$2,1,10),1,2)</f>
        <v>1</v>
      </c>
    </row>
    <row r="1638" spans="76:135" x14ac:dyDescent="0.25">
      <c r="BX1638" s="78"/>
      <c r="BY1638" s="319">
        <v>203</v>
      </c>
      <c r="CA1638" s="78"/>
      <c r="EE1638" s="76">
        <f>+IF(MID($J$2,1,10)=MID($EE$2,1,10),1,2)</f>
        <v>1</v>
      </c>
    </row>
    <row r="1639" spans="76:135" x14ac:dyDescent="0.25">
      <c r="BX1639" s="78"/>
      <c r="BY1639" s="319">
        <v>497</v>
      </c>
      <c r="CA1639" s="78"/>
      <c r="EE1639" s="76">
        <f>+IF(MID($J$2,1,10)=MID($EE$2,1,10),3,1)</f>
        <v>3</v>
      </c>
    </row>
    <row r="1640" spans="76:135" x14ac:dyDescent="0.25">
      <c r="BX1640" s="78"/>
      <c r="BY1640" s="319">
        <v>126</v>
      </c>
      <c r="CA1640" s="78"/>
      <c r="EE1640" s="76">
        <f>+IF(MID($J$2,1,10)=MID($EE$2,1,10),3,1)</f>
        <v>3</v>
      </c>
    </row>
    <row r="1641" spans="76:135" x14ac:dyDescent="0.25">
      <c r="BX1641" s="78"/>
      <c r="BY1641" s="319">
        <v>271</v>
      </c>
      <c r="CA1641" s="78"/>
      <c r="EE1641" s="76">
        <f>+IF(MID($J$2,1,10)=MID($EE$2,1,10),3,1)</f>
        <v>3</v>
      </c>
    </row>
    <row r="1642" spans="76:135" x14ac:dyDescent="0.25">
      <c r="BX1642" s="78"/>
      <c r="BY1642" s="319">
        <v>153</v>
      </c>
      <c r="CA1642" s="78"/>
      <c r="EE1642" s="76">
        <f>+IF(MID($J$2,1,10)=MID($EE$2,1,10),0,1)</f>
        <v>0</v>
      </c>
    </row>
    <row r="1643" spans="76:135" x14ac:dyDescent="0.25">
      <c r="BX1643" s="78"/>
      <c r="BY1643" s="319">
        <v>807</v>
      </c>
      <c r="CA1643" s="78"/>
      <c r="EE1643" s="76">
        <f>+IF(MID($J$2,1,10)=MID($EE$2,1,10),1,2)</f>
        <v>1</v>
      </c>
    </row>
    <row r="1644" spans="76:135" x14ac:dyDescent="0.25">
      <c r="BX1644" s="78"/>
      <c r="BY1644" s="319">
        <v>113</v>
      </c>
      <c r="CA1644" s="78"/>
      <c r="EE1644" s="76">
        <f>+IF(MID($J$2,1,10)=MID($EE$2,1,10),3,1)</f>
        <v>3</v>
      </c>
    </row>
    <row r="1645" spans="76:135" x14ac:dyDescent="0.25">
      <c r="BX1645" s="78"/>
      <c r="BY1645" s="319">
        <v>816</v>
      </c>
      <c r="CA1645" s="78"/>
      <c r="EE1645" s="76">
        <f>+IF(MID($J$2,1,10)=MID($EE$2,1,10),3,1)</f>
        <v>3</v>
      </c>
    </row>
    <row r="1646" spans="76:135" x14ac:dyDescent="0.25">
      <c r="BX1646" s="78"/>
      <c r="BY1646" s="322">
        <v>7</v>
      </c>
      <c r="CA1646" s="78"/>
      <c r="EE1646" s="76">
        <f>+IF(MID($J$4,1,8)=MID($EE$4,1,8),1,2)</f>
        <v>1</v>
      </c>
    </row>
    <row r="1647" spans="76:135" x14ac:dyDescent="0.25">
      <c r="BX1647" s="78"/>
      <c r="BY1647" s="319">
        <v>789</v>
      </c>
      <c r="CA1647" s="78"/>
      <c r="EE1647" s="76">
        <f>+IF(MID($J$2,1,10)=MID($EE$2,1,10),3,1)</f>
        <v>3</v>
      </c>
    </row>
    <row r="1648" spans="76:135" x14ac:dyDescent="0.25">
      <c r="BX1648" s="78"/>
      <c r="BY1648" s="319">
        <v>151</v>
      </c>
      <c r="CA1648" s="78"/>
      <c r="EE1648" s="76">
        <f>+IF(MID($J$2,1,10)=MID($EE$2,1,10),3,1)</f>
        <v>3</v>
      </c>
    </row>
    <row r="1649" spans="76:135" x14ac:dyDescent="0.25">
      <c r="BX1649" s="78"/>
      <c r="BY1649" s="319">
        <v>520</v>
      </c>
      <c r="CA1649" s="78"/>
      <c r="EE1649" s="76">
        <f>+IF(MID($J$2,1,10)=MID($EE$2,1,10),3,1)</f>
        <v>3</v>
      </c>
    </row>
    <row r="1650" spans="76:135" x14ac:dyDescent="0.25">
      <c r="BX1650" s="78"/>
      <c r="BY1650" s="319">
        <v>117</v>
      </c>
      <c r="CA1650" s="78"/>
      <c r="EE1650" s="76">
        <f>+IF(MID($J$2,1,10)=MID($EE$2,1,10),1,2)</f>
        <v>1</v>
      </c>
    </row>
    <row r="1651" spans="76:135" x14ac:dyDescent="0.25">
      <c r="BX1651" s="78"/>
      <c r="BY1651" s="319">
        <v>146</v>
      </c>
      <c r="CA1651" s="78"/>
      <c r="EE1651" s="76">
        <f>+IF(MID($J$3,1,10)=MID($EE$3,1,10),2,1)</f>
        <v>2</v>
      </c>
    </row>
    <row r="1652" spans="76:135" x14ac:dyDescent="0.25">
      <c r="BX1652" s="78"/>
      <c r="BY1652" s="319">
        <v>93</v>
      </c>
      <c r="CA1652" s="78"/>
      <c r="EE1652" s="76">
        <f>+IF(MID($J$2,1,10)=MID($EE$2,1,10),4,1)</f>
        <v>4</v>
      </c>
    </row>
    <row r="1653" spans="76:135" x14ac:dyDescent="0.25">
      <c r="BX1653" s="78"/>
      <c r="BY1653" s="319">
        <v>184</v>
      </c>
      <c r="CA1653" s="78"/>
      <c r="EE1653" s="76">
        <f>+IF(MID($J$2,1,10)=MID($EE$2,1,10),0,1)</f>
        <v>0</v>
      </c>
    </row>
    <row r="1654" spans="76:135" x14ac:dyDescent="0.25">
      <c r="BX1654" s="78"/>
      <c r="BY1654" s="319">
        <v>172</v>
      </c>
      <c r="CA1654" s="78"/>
      <c r="EE1654" s="76">
        <f>+IF(MID($J$3,1,10)=MID($EE$3,1,10),2,1)</f>
        <v>2</v>
      </c>
    </row>
    <row r="1655" spans="76:135" x14ac:dyDescent="0.25">
      <c r="BX1655" s="78"/>
      <c r="BY1655" s="319">
        <v>182</v>
      </c>
      <c r="CA1655" s="78"/>
      <c r="EE1655" s="76">
        <f>+IF(MID($J$3,1,10)=MID($EE$3,1,10),2,1)</f>
        <v>2</v>
      </c>
    </row>
    <row r="1656" spans="76:135" x14ac:dyDescent="0.25">
      <c r="BX1656" s="78"/>
      <c r="BY1656" s="319">
        <v>960</v>
      </c>
      <c r="CA1656" s="78"/>
      <c r="EE1656" s="76">
        <f>+IF(MID($J$2,1,10)=MID($EE$2,1,10),4,1)</f>
        <v>4</v>
      </c>
    </row>
    <row r="1657" spans="76:135" x14ac:dyDescent="0.25">
      <c r="BX1657" s="78"/>
      <c r="BY1657" s="319">
        <v>163</v>
      </c>
      <c r="CA1657" s="78"/>
      <c r="EE1657" s="76">
        <f>+IF(MID($J$3,1,10)=MID($EE$3,1,10),2,1)</f>
        <v>2</v>
      </c>
    </row>
    <row r="1658" spans="76:135" x14ac:dyDescent="0.25">
      <c r="BX1658" s="78"/>
      <c r="BY1658" s="319">
        <v>785</v>
      </c>
      <c r="CA1658" s="78"/>
      <c r="EE1658" s="76">
        <f>+IF(MID($J$2,1,10)=MID($EE$2,1,10),4,1)</f>
        <v>4</v>
      </c>
    </row>
    <row r="1659" spans="76:135" x14ac:dyDescent="0.25">
      <c r="BX1659" s="78"/>
      <c r="BY1659" s="319">
        <v>175</v>
      </c>
      <c r="CA1659" s="78"/>
      <c r="EE1659" s="76">
        <f>+IF(MID($J$2,1,10)=MID($EE$2,1,10),1,2)</f>
        <v>1</v>
      </c>
    </row>
    <row r="1660" spans="76:135" x14ac:dyDescent="0.25">
      <c r="BX1660" s="78"/>
      <c r="BY1660" s="319">
        <v>540</v>
      </c>
      <c r="CA1660" s="78"/>
      <c r="EE1660" s="76">
        <f>+IF(MID($J$2,1,10)=MID($EE$2,1,10),3,1)</f>
        <v>3</v>
      </c>
    </row>
    <row r="1661" spans="76:135" x14ac:dyDescent="0.25">
      <c r="BX1661" s="78"/>
      <c r="BY1661" s="319">
        <v>126</v>
      </c>
      <c r="CA1661" s="78"/>
      <c r="EE1661" s="76">
        <f>+IF(MID($J$2,1,10)=MID($EE$2,1,10),1,2)</f>
        <v>1</v>
      </c>
    </row>
    <row r="1662" spans="76:135" x14ac:dyDescent="0.25">
      <c r="BX1662" s="78"/>
      <c r="BY1662" s="319">
        <v>438</v>
      </c>
      <c r="CA1662" s="78"/>
      <c r="EE1662" s="76">
        <f>+IF(MID($J$3,1,10)=MID($EE$3,1,10),2,1)</f>
        <v>2</v>
      </c>
    </row>
    <row r="1663" spans="76:135" x14ac:dyDescent="0.25">
      <c r="BX1663" s="78"/>
      <c r="BY1663" s="319">
        <v>169</v>
      </c>
      <c r="CA1663" s="78"/>
      <c r="EE1663" s="76">
        <f>+IF(MID($J$2,1,10)=MID($EE$2,1,10),1,2)</f>
        <v>1</v>
      </c>
    </row>
    <row r="1664" spans="76:135" x14ac:dyDescent="0.25">
      <c r="BX1664" s="78"/>
      <c r="BY1664" s="319">
        <v>393</v>
      </c>
      <c r="CA1664" s="78"/>
      <c r="EE1664" s="76">
        <f>+IF(MID($J$2,1,10)=MID($EE$2,1,10),0,1)</f>
        <v>0</v>
      </c>
    </row>
    <row r="1665" spans="76:135" x14ac:dyDescent="0.25">
      <c r="BX1665" s="78"/>
      <c r="BY1665" s="319">
        <v>979</v>
      </c>
      <c r="CA1665" s="78"/>
      <c r="EE1665" s="76">
        <f>+IF(MID($J$2,1,10)=MID($EE$2,1,10),0,1)</f>
        <v>0</v>
      </c>
    </row>
    <row r="1666" spans="76:135" x14ac:dyDescent="0.25">
      <c r="BX1666" s="78"/>
      <c r="BY1666" s="319">
        <v>117</v>
      </c>
      <c r="CA1666" s="78"/>
      <c r="EE1666" s="76">
        <f>+IF(MID($J$2,1,10)=MID($EE$2,1,10),0,1)</f>
        <v>0</v>
      </c>
    </row>
    <row r="1667" spans="76:135" x14ac:dyDescent="0.25">
      <c r="BX1667" s="78"/>
      <c r="BY1667" s="319">
        <v>330</v>
      </c>
      <c r="CA1667" s="78"/>
      <c r="EE1667" s="76">
        <f>+IF(MID($J$2,1,10)=MID($EE$2,1,10),1,2)</f>
        <v>1</v>
      </c>
    </row>
    <row r="1668" spans="76:135" x14ac:dyDescent="0.25">
      <c r="BX1668" s="78"/>
      <c r="BY1668" s="322">
        <v>10</v>
      </c>
      <c r="CA1668" s="78"/>
      <c r="EE1668" s="76">
        <f>+IF(MID($J$6,1,5)=MID($EE$11,1,5),0,1)</f>
        <v>0</v>
      </c>
    </row>
    <row r="1669" spans="76:135" x14ac:dyDescent="0.25">
      <c r="BX1669" s="78"/>
      <c r="BY1669" s="319">
        <v>916</v>
      </c>
      <c r="CA1669" s="78"/>
      <c r="EE1669" s="76">
        <f>+IF(MID($J$2,1,10)=MID($EE$2,1,10),0,1)</f>
        <v>0</v>
      </c>
    </row>
    <row r="1670" spans="76:135" x14ac:dyDescent="0.25">
      <c r="BX1670" s="79"/>
      <c r="BY1670" s="322">
        <v>10</v>
      </c>
      <c r="BZ1670" s="323"/>
      <c r="CA1670" s="79"/>
      <c r="EE1670" s="76">
        <f>+IF(MID($J$3,1,10)=MID($EE$3,1,10),0,1)</f>
        <v>0</v>
      </c>
    </row>
    <row r="1671" spans="76:135" x14ac:dyDescent="0.25">
      <c r="BX1671" s="79"/>
      <c r="BY1671" s="322">
        <v>20</v>
      </c>
      <c r="BZ1671" s="323"/>
      <c r="CA1671" s="79"/>
      <c r="EE1671" s="76">
        <f>+IF(MID($J$4,1,8)=MID($EE$4,1,8),0,1)</f>
        <v>0</v>
      </c>
    </row>
    <row r="1672" spans="76:135" x14ac:dyDescent="0.25">
      <c r="BX1672" s="78"/>
      <c r="BY1672" s="319">
        <v>120</v>
      </c>
      <c r="CA1672" s="78"/>
      <c r="EE1672" s="76">
        <f>+IF(MID($J$5,1,10)=MID($EE$5,1,10),0,1)</f>
        <v>0</v>
      </c>
    </row>
    <row r="1673" spans="76:135" x14ac:dyDescent="0.25">
      <c r="BX1673" s="78"/>
      <c r="BY1673" s="319">
        <v>105</v>
      </c>
      <c r="CA1673" s="78"/>
      <c r="EE1673" s="76">
        <f>+IF(MID($J$2,1,10)=MID($EE$2,1,10),1,2)</f>
        <v>1</v>
      </c>
    </row>
    <row r="1674" spans="76:135" x14ac:dyDescent="0.25">
      <c r="BX1674" s="78"/>
      <c r="BY1674" s="319">
        <v>131</v>
      </c>
      <c r="CA1674" s="78"/>
      <c r="EE1674" s="76">
        <f>+IF(MID($J$2,1,10)=MID($EE$2,1,10),3,1)</f>
        <v>3</v>
      </c>
    </row>
    <row r="1675" spans="76:135" x14ac:dyDescent="0.25">
      <c r="BX1675" s="78"/>
      <c r="BY1675" s="319">
        <v>262</v>
      </c>
      <c r="CA1675" s="78"/>
      <c r="EE1675" s="76">
        <f>+IF(MID($J$2,1,10)=MID($EE$2,1,10),3,1)</f>
        <v>3</v>
      </c>
    </row>
    <row r="1676" spans="76:135" x14ac:dyDescent="0.25">
      <c r="BX1676" s="78"/>
      <c r="BY1676" s="319">
        <v>186</v>
      </c>
      <c r="CA1676" s="78"/>
      <c r="EE1676" s="76">
        <f>+IF(MID($J$2,1,10)=MID($EE$2,1,10),0,1)</f>
        <v>0</v>
      </c>
    </row>
    <row r="1677" spans="76:135" x14ac:dyDescent="0.25">
      <c r="BX1677" s="78"/>
      <c r="BY1677" s="319">
        <v>191</v>
      </c>
      <c r="CA1677" s="78"/>
      <c r="EE1677" s="76">
        <f>+IF(MID($J$2,1,10)=MID($EE$2,1,10),3,1)</f>
        <v>3</v>
      </c>
    </row>
    <row r="1678" spans="76:135" x14ac:dyDescent="0.25">
      <c r="BX1678" s="78"/>
      <c r="BY1678" s="319">
        <v>132</v>
      </c>
      <c r="CA1678" s="78"/>
      <c r="EE1678" s="76">
        <f>+IF(MID($J$2,1,10)=MID($EE$2,1,10),3,1)</f>
        <v>3</v>
      </c>
    </row>
    <row r="1679" spans="76:135" x14ac:dyDescent="0.25">
      <c r="BX1679" s="78"/>
      <c r="BY1679" s="319">
        <v>290</v>
      </c>
      <c r="CA1679" s="78"/>
      <c r="EE1679" s="76">
        <f>+IF(MID($J$2,1,10)=MID($EE$2,1,10),3,1)</f>
        <v>3</v>
      </c>
    </row>
    <row r="1680" spans="76:135" x14ac:dyDescent="0.25">
      <c r="BX1680" s="78"/>
      <c r="BY1680" s="319">
        <v>187</v>
      </c>
      <c r="CA1680" s="78"/>
      <c r="EE1680" s="76">
        <f>+IF(MID($J$2,1,10)=MID($EE$2,1,10),1,2)</f>
        <v>1</v>
      </c>
    </row>
    <row r="1681" spans="76:135" x14ac:dyDescent="0.25">
      <c r="BX1681" s="78"/>
      <c r="BY1681" s="319">
        <v>953</v>
      </c>
      <c r="CA1681" s="78"/>
      <c r="EE1681" s="76">
        <f>+IF(MID($J$2,1,10)=MID($EE$2,1,10),3,1)</f>
        <v>3</v>
      </c>
    </row>
    <row r="1682" spans="76:135" x14ac:dyDescent="0.25">
      <c r="BX1682" s="78"/>
      <c r="BY1682" s="319">
        <v>140</v>
      </c>
      <c r="CA1682" s="78"/>
      <c r="EE1682" s="76">
        <f>+IF(MID($J$2,1,10)=MID($EE$2,1,10),0,1)</f>
        <v>0</v>
      </c>
    </row>
    <row r="1683" spans="76:135" x14ac:dyDescent="0.25">
      <c r="BX1683" s="78"/>
      <c r="BY1683" s="319">
        <v>347</v>
      </c>
      <c r="CA1683" s="78"/>
      <c r="EE1683" s="76">
        <f>+IF(MID($J$2,1,10)=MID($EE$2,1,10),3,1)</f>
        <v>3</v>
      </c>
    </row>
    <row r="1684" spans="76:135" x14ac:dyDescent="0.25">
      <c r="BX1684" s="78"/>
      <c r="BY1684" s="319">
        <v>156</v>
      </c>
      <c r="CA1684" s="78"/>
      <c r="EE1684" s="76">
        <f>+IF(MID($J$2,1,10)=MID($EE$2,1,10),3,1)</f>
        <v>3</v>
      </c>
    </row>
    <row r="1685" spans="76:135" x14ac:dyDescent="0.25">
      <c r="BX1685" s="78"/>
      <c r="BY1685" s="319">
        <v>1048</v>
      </c>
      <c r="CA1685" s="78"/>
      <c r="EE1685" s="76">
        <f>+IF(MID($J$2,1,10)=MID($EE$2,1,10),3,1)</f>
        <v>3</v>
      </c>
    </row>
    <row r="1686" spans="76:135" x14ac:dyDescent="0.25">
      <c r="BX1686" s="78"/>
      <c r="BY1686" s="319">
        <v>175</v>
      </c>
      <c r="CA1686" s="78"/>
      <c r="EE1686" s="76">
        <f>+IF(MID($J$3,1,10)=MID($EE$3,1,10),2,1)</f>
        <v>2</v>
      </c>
    </row>
    <row r="1687" spans="76:135" x14ac:dyDescent="0.25">
      <c r="BX1687" s="78"/>
      <c r="BY1687" s="319">
        <v>132</v>
      </c>
      <c r="CA1687" s="78"/>
      <c r="EE1687" s="76">
        <f>+IF(MID($J$2,1,10)=MID($EE$2,1,10),4,1)</f>
        <v>4</v>
      </c>
    </row>
    <row r="1688" spans="76:135" x14ac:dyDescent="0.25">
      <c r="BX1688" s="78"/>
      <c r="BY1688" s="319">
        <v>123</v>
      </c>
      <c r="CA1688" s="78"/>
      <c r="EE1688" s="76">
        <f>+IF(MID($J$2,1,10)=MID($EE$2,1,10),0,1)</f>
        <v>0</v>
      </c>
    </row>
    <row r="1689" spans="76:135" x14ac:dyDescent="0.25">
      <c r="BX1689" s="78"/>
      <c r="BY1689" s="319">
        <v>151</v>
      </c>
      <c r="CA1689" s="78"/>
      <c r="EE1689" s="76">
        <f>+IF(MID($J$3,1,10)=MID($EE$3,1,10),2,1)</f>
        <v>2</v>
      </c>
    </row>
    <row r="1690" spans="76:135" x14ac:dyDescent="0.25">
      <c r="BX1690" s="78"/>
      <c r="BY1690" s="319">
        <v>135</v>
      </c>
      <c r="CA1690" s="78"/>
      <c r="EE1690" s="76">
        <f>+IF(MID($J$3,1,10)=MID($EE$3,1,10),2,1)</f>
        <v>2</v>
      </c>
    </row>
    <row r="1691" spans="76:135" x14ac:dyDescent="0.25">
      <c r="BX1691" s="78"/>
      <c r="BY1691" s="319">
        <v>189</v>
      </c>
      <c r="CA1691" s="78"/>
      <c r="EE1691" s="76">
        <f>+IF(MID($J$2,1,10)=MID($EE$2,1,10),4,1)</f>
        <v>4</v>
      </c>
    </row>
    <row r="1692" spans="76:135" x14ac:dyDescent="0.25">
      <c r="BX1692" s="78"/>
      <c r="BY1692" s="319">
        <v>197</v>
      </c>
      <c r="CA1692" s="78"/>
      <c r="EE1692" s="76">
        <f>+IF(MID($J$3,1,10)=MID($EE$3,1,10),2,1)</f>
        <v>2</v>
      </c>
    </row>
    <row r="1693" spans="76:135" x14ac:dyDescent="0.25">
      <c r="BX1693" s="78"/>
      <c r="BY1693" s="322">
        <v>10</v>
      </c>
      <c r="CA1693" s="78"/>
      <c r="EE1693" s="76">
        <f>+IF(MID($J$2,1,10)=MID($EE$2,1,10),4,1)</f>
        <v>4</v>
      </c>
    </row>
    <row r="1694" spans="76:135" x14ac:dyDescent="0.25">
      <c r="BX1694" s="78"/>
      <c r="BY1694" s="319">
        <v>180</v>
      </c>
      <c r="CA1694" s="78"/>
      <c r="EE1694" s="76">
        <f>+IF(MID($J$2,1,10)=MID($EE$2,1,10),1,2)</f>
        <v>1</v>
      </c>
    </row>
    <row r="1695" spans="76:135" x14ac:dyDescent="0.25">
      <c r="BX1695" s="78"/>
      <c r="BY1695" s="319">
        <v>160</v>
      </c>
      <c r="CA1695" s="78"/>
      <c r="EE1695" s="76">
        <f>+IF(MID($J$2,1,10)=MID($EE$2,1,10),3,1)</f>
        <v>3</v>
      </c>
    </row>
    <row r="1696" spans="76:135" x14ac:dyDescent="0.25">
      <c r="BX1696" s="78"/>
      <c r="BY1696" s="319">
        <v>163</v>
      </c>
      <c r="CA1696" s="78"/>
      <c r="EE1696" s="76">
        <f>+IF(MID($J$2,1,10)=MID($EE$2,1,10),1,2)</f>
        <v>1</v>
      </c>
    </row>
    <row r="1697" spans="76:135" x14ac:dyDescent="0.25">
      <c r="BX1697" s="78"/>
      <c r="BY1697" s="319">
        <v>171</v>
      </c>
      <c r="CA1697" s="78"/>
      <c r="EE1697" s="76">
        <f>+IF(MID($J$3,1,10)=MID($EE$3,1,10),2,1)</f>
        <v>2</v>
      </c>
    </row>
    <row r="1698" spans="76:135" x14ac:dyDescent="0.25">
      <c r="BX1698" s="78"/>
      <c r="BY1698" s="319">
        <v>139</v>
      </c>
      <c r="CA1698" s="78"/>
      <c r="EE1698" s="76">
        <f>+IF(MID($J$2,1,10)=MID($EE$2,1,10),1,2)</f>
        <v>1</v>
      </c>
    </row>
    <row r="1699" spans="76:135" x14ac:dyDescent="0.25">
      <c r="BX1699" s="78"/>
      <c r="BY1699" s="319">
        <v>151</v>
      </c>
      <c r="CA1699" s="78"/>
      <c r="EE1699" s="76">
        <f>+IF(MID($J$2,1,10)=MID($EE$2,1,10),0,1)</f>
        <v>0</v>
      </c>
    </row>
    <row r="1700" spans="76:135" x14ac:dyDescent="0.25">
      <c r="BX1700" s="78"/>
      <c r="BY1700" s="319">
        <v>204</v>
      </c>
      <c r="CA1700" s="78"/>
      <c r="EE1700" s="76">
        <f>+IF(MID($J$2,1,10)=MID($EE$2,1,10),0,1)</f>
        <v>0</v>
      </c>
    </row>
    <row r="1701" spans="76:135" x14ac:dyDescent="0.25">
      <c r="BX1701" s="78"/>
      <c r="BY1701" s="319">
        <v>166</v>
      </c>
      <c r="CA1701" s="78"/>
      <c r="EE1701" s="76">
        <f>+IF(MID($J$2,1,10)=MID($EE$2,1,10),0,1)</f>
        <v>0</v>
      </c>
    </row>
    <row r="1702" spans="76:135" x14ac:dyDescent="0.25">
      <c r="BX1702" s="78"/>
      <c r="BY1702" s="319">
        <v>113</v>
      </c>
      <c r="CA1702" s="78"/>
      <c r="EE1702" s="76">
        <f>+IF(MID($J$2,1,10)=MID($EE$2,1,10),1,2)</f>
        <v>1</v>
      </c>
    </row>
    <row r="1703" spans="76:135" x14ac:dyDescent="0.25">
      <c r="BX1703" s="78"/>
      <c r="BY1703" s="319">
        <v>123</v>
      </c>
      <c r="CA1703" s="78"/>
      <c r="EE1703" s="76">
        <f>+IF(MID($J$2,1,10)=MID($EE$2,1,10),1,2)</f>
        <v>1</v>
      </c>
    </row>
    <row r="1704" spans="76:135" x14ac:dyDescent="0.25">
      <c r="BX1704" s="78"/>
      <c r="BY1704" s="319">
        <v>122</v>
      </c>
      <c r="CA1704" s="78"/>
      <c r="EE1704" s="76">
        <f>+IF(MID($J$2,1,10)=MID($EE$2,1,10),3,1)</f>
        <v>3</v>
      </c>
    </row>
    <row r="1705" spans="76:135" x14ac:dyDescent="0.25">
      <c r="BX1705" s="78"/>
      <c r="BY1705" s="319">
        <v>138</v>
      </c>
      <c r="CA1705" s="78"/>
      <c r="EE1705" s="76">
        <f>+IF(MID($J$2,1,10)=MID($EE$2,1,10),3,1)</f>
        <v>3</v>
      </c>
    </row>
    <row r="1706" spans="76:135" x14ac:dyDescent="0.25">
      <c r="BX1706" s="79"/>
      <c r="BY1706" s="322">
        <v>20</v>
      </c>
      <c r="BZ1706" s="323"/>
      <c r="CA1706" s="79"/>
      <c r="EE1706" s="76">
        <f>+IF(MID($J$4,1,8)=MID($EE$4,1,8),0,1)</f>
        <v>0</v>
      </c>
    </row>
    <row r="1707" spans="76:135" x14ac:dyDescent="0.25">
      <c r="BX1707" s="78"/>
      <c r="BY1707" s="322">
        <v>18</v>
      </c>
      <c r="CA1707" s="78"/>
      <c r="EE1707" s="76">
        <f>+IF(MID($J$5,1,10)=MID($EE$5,1,10),1,2)</f>
        <v>1</v>
      </c>
    </row>
    <row r="1708" spans="76:135" x14ac:dyDescent="0.25">
      <c r="BX1708" s="78"/>
      <c r="BY1708" s="319">
        <v>142</v>
      </c>
      <c r="CA1708" s="78"/>
      <c r="EE1708" s="76">
        <f>+IF(MID($J$2,1,10)=MID($EE$2,1,10),1,2)</f>
        <v>1</v>
      </c>
    </row>
    <row r="1709" spans="76:135" x14ac:dyDescent="0.25">
      <c r="BX1709" s="78"/>
      <c r="BY1709" s="319">
        <v>195</v>
      </c>
      <c r="CA1709" s="78"/>
      <c r="EE1709" s="76">
        <f>+IF(MID($J$2,1,10)=MID($EE$2,1,10),3,1)</f>
        <v>3</v>
      </c>
    </row>
    <row r="1710" spans="76:135" x14ac:dyDescent="0.25">
      <c r="BX1710" s="78"/>
      <c r="BY1710" s="319">
        <v>148</v>
      </c>
      <c r="CA1710" s="78"/>
      <c r="EE1710" s="76">
        <f>+IF(MID($J$2,1,10)=MID($EE$2,1,10),3,1)</f>
        <v>3</v>
      </c>
    </row>
    <row r="1711" spans="76:135" x14ac:dyDescent="0.25">
      <c r="BX1711" s="78"/>
      <c r="BY1711" s="319">
        <v>194</v>
      </c>
      <c r="CA1711" s="78"/>
      <c r="EE1711" s="76">
        <f>+IF(MID($J$2,1,10)=MID($EE$2,1,10),0,1)</f>
        <v>0</v>
      </c>
    </row>
    <row r="1712" spans="76:135" x14ac:dyDescent="0.25">
      <c r="BX1712" s="78"/>
      <c r="BY1712" s="319">
        <v>149</v>
      </c>
      <c r="CA1712" s="78"/>
      <c r="EE1712" s="76">
        <f>+IF(MID($J$2,1,10)=MID($EE$2,1,10),3,1)</f>
        <v>3</v>
      </c>
    </row>
    <row r="1713" spans="76:135" x14ac:dyDescent="0.25">
      <c r="BX1713" s="78"/>
      <c r="BY1713" s="319">
        <v>163</v>
      </c>
      <c r="CA1713" s="78"/>
      <c r="EE1713" s="76">
        <f>+IF(MID($J$2,1,10)=MID($EE$2,1,10),3,1)</f>
        <v>3</v>
      </c>
    </row>
    <row r="1714" spans="76:135" x14ac:dyDescent="0.25">
      <c r="BX1714" s="78"/>
      <c r="BY1714" s="319">
        <v>132</v>
      </c>
      <c r="CA1714" s="78"/>
      <c r="EE1714" s="76">
        <f>+IF(MID($J$2,1,10)=MID($EE$2,1,10),3,1)</f>
        <v>3</v>
      </c>
    </row>
    <row r="1715" spans="76:135" x14ac:dyDescent="0.25">
      <c r="BX1715" s="78"/>
      <c r="BY1715" s="319">
        <v>174</v>
      </c>
      <c r="CA1715" s="78"/>
      <c r="EE1715" s="76">
        <f>+IF(MID($J$2,1,10)=MID($EE$2,1,10),1,2)</f>
        <v>1</v>
      </c>
    </row>
    <row r="1716" spans="76:135" x14ac:dyDescent="0.25">
      <c r="BX1716" s="78"/>
      <c r="BY1716" s="319">
        <v>196</v>
      </c>
      <c r="CA1716" s="78"/>
      <c r="EE1716" s="76">
        <f>+IF(MID($J$3,1,10)=MID($EE$3,1,10),2,1)</f>
        <v>2</v>
      </c>
    </row>
    <row r="1717" spans="76:135" x14ac:dyDescent="0.25">
      <c r="BX1717" s="78"/>
      <c r="BY1717" s="319">
        <v>170</v>
      </c>
      <c r="CA1717" s="78"/>
      <c r="EE1717" s="76">
        <f>+IF(MID($J$2,1,10)=MID($EE$2,1,10),4,1)</f>
        <v>4</v>
      </c>
    </row>
    <row r="1718" spans="76:135" x14ac:dyDescent="0.25">
      <c r="BX1718" s="78"/>
      <c r="BY1718" s="319">
        <v>176</v>
      </c>
      <c r="CA1718" s="78"/>
      <c r="EE1718" s="76">
        <f>+IF(MID($J$2,1,10)=MID($EE$2,1,10),0,1)</f>
        <v>0</v>
      </c>
    </row>
    <row r="1719" spans="76:135" x14ac:dyDescent="0.25">
      <c r="BX1719" s="78"/>
      <c r="BY1719" s="319">
        <v>186</v>
      </c>
      <c r="CA1719" s="78"/>
      <c r="EE1719" s="76">
        <f>+IF(MID($J$3,1,10)=MID($EE$3,1,10),2,1)</f>
        <v>2</v>
      </c>
    </row>
    <row r="1720" spans="76:135" x14ac:dyDescent="0.25">
      <c r="BX1720" s="78"/>
      <c r="BY1720" s="319">
        <v>2</v>
      </c>
      <c r="CA1720" s="78"/>
      <c r="EE1720" s="76">
        <f>+IF(MID($J$3,1,10)=MID($EE$3,1,10),2,1)</f>
        <v>2</v>
      </c>
    </row>
    <row r="1721" spans="76:135" x14ac:dyDescent="0.25">
      <c r="BX1721" s="78"/>
      <c r="BY1721" s="319">
        <v>170</v>
      </c>
      <c r="CA1721" s="78"/>
      <c r="EE1721" s="76">
        <f>+IF(MID($J$2,1,10)=MID($EE$2,1,10),4,1)</f>
        <v>4</v>
      </c>
    </row>
    <row r="1722" spans="76:135" x14ac:dyDescent="0.25">
      <c r="BX1722" s="78"/>
      <c r="BY1722" s="319">
        <v>187</v>
      </c>
      <c r="CA1722" s="78"/>
      <c r="EE1722" s="76">
        <f>+IF(MID($J$3,1,10)=MID($EE$3,1,10),2,1)</f>
        <v>2</v>
      </c>
    </row>
    <row r="1723" spans="76:135" x14ac:dyDescent="0.25">
      <c r="BX1723" s="78"/>
      <c r="BY1723" s="319">
        <v>530</v>
      </c>
      <c r="CA1723" s="78"/>
      <c r="EE1723" s="76">
        <f>+IF(MID($J$2,1,10)=MID($EE$2,1,10),4,1)</f>
        <v>4</v>
      </c>
    </row>
    <row r="1724" spans="76:135" x14ac:dyDescent="0.25">
      <c r="BX1724" s="78"/>
      <c r="BY1724" s="319">
        <v>194</v>
      </c>
      <c r="CA1724" s="78"/>
      <c r="EE1724" s="76">
        <f>+IF(MID($J$2,1,10)=MID($EE$2,1,10),1,2)</f>
        <v>1</v>
      </c>
    </row>
    <row r="1725" spans="76:135" x14ac:dyDescent="0.25">
      <c r="BX1725" s="78"/>
      <c r="BY1725" s="319">
        <v>1057</v>
      </c>
      <c r="CA1725" s="78"/>
      <c r="EE1725" s="76">
        <f>+IF(MID($J$2,1,10)=MID($EE$2,1,10),3,1)</f>
        <v>3</v>
      </c>
    </row>
    <row r="1726" spans="76:135" x14ac:dyDescent="0.25">
      <c r="BX1726" s="78"/>
      <c r="BY1726" s="319">
        <v>181</v>
      </c>
      <c r="CA1726" s="78"/>
      <c r="EE1726" s="76">
        <f>+IF(MID($J$2,1,10)=MID($EE$2,1,10),1,2)</f>
        <v>1</v>
      </c>
    </row>
    <row r="1727" spans="76:135" x14ac:dyDescent="0.25">
      <c r="BX1727" s="78"/>
      <c r="BY1727" s="319">
        <v>664</v>
      </c>
      <c r="CA1727" s="78"/>
      <c r="EE1727" s="76">
        <f>+IF(MID($J$3,1,10)=MID($EE$3,1,10),2,1)</f>
        <v>2</v>
      </c>
    </row>
    <row r="1728" spans="76:135" x14ac:dyDescent="0.25">
      <c r="BX1728" s="78"/>
      <c r="BY1728" s="319">
        <v>134</v>
      </c>
      <c r="CA1728" s="78"/>
      <c r="EE1728" s="76">
        <f>+IF(MID($J$2,1,10)=MID($EE$2,1,10),1,2)</f>
        <v>1</v>
      </c>
    </row>
    <row r="1729" spans="76:135" x14ac:dyDescent="0.25">
      <c r="BX1729" s="78"/>
      <c r="BY1729" s="319">
        <v>193</v>
      </c>
      <c r="BZ1729" s="321">
        <v>2</v>
      </c>
      <c r="CA1729" s="78"/>
      <c r="EE1729" s="76">
        <f>+IF(MID($J$2,1,10)=MID($EE$2,1,10),0,1)</f>
        <v>0</v>
      </c>
    </row>
    <row r="1730" spans="76:135" x14ac:dyDescent="0.25">
      <c r="BX1730" s="78"/>
      <c r="BY1730" s="319">
        <v>187</v>
      </c>
      <c r="BZ1730" s="321">
        <v>2</v>
      </c>
      <c r="CA1730" s="78"/>
      <c r="EE1730" s="76">
        <f>+IF(MID($J$2,1,10)=MID($EE$2,1,10),0,1)</f>
        <v>0</v>
      </c>
    </row>
    <row r="1731" spans="76:135" x14ac:dyDescent="0.25">
      <c r="BX1731" s="78"/>
      <c r="BY1731" s="319">
        <v>264</v>
      </c>
      <c r="BZ1731" s="321">
        <v>2</v>
      </c>
      <c r="CA1731" s="78"/>
      <c r="EE1731" s="76">
        <f>+IF(MID($J$3,1,10)=MID($EE$3,1,10),2,1)</f>
        <v>2</v>
      </c>
    </row>
    <row r="1732" spans="76:135" x14ac:dyDescent="0.25">
      <c r="BX1732" s="78"/>
      <c r="BY1732" s="319">
        <v>114</v>
      </c>
      <c r="BZ1732" s="321">
        <v>2</v>
      </c>
      <c r="CA1732" s="78"/>
      <c r="EE1732" s="76">
        <f>+IF(MID($J$2,1,10)=MID($EE$2,1,10),4,1)</f>
        <v>4</v>
      </c>
    </row>
    <row r="1733" spans="76:135" x14ac:dyDescent="0.25">
      <c r="BX1733" s="78"/>
      <c r="BY1733" s="319">
        <v>481</v>
      </c>
      <c r="BZ1733" s="321">
        <v>2</v>
      </c>
      <c r="CA1733" s="78"/>
      <c r="EE1733" s="76">
        <f>+IF(MID($J$2,1,10)=MID($EE$2,1,10),0,1)</f>
        <v>0</v>
      </c>
    </row>
    <row r="1734" spans="76:135" x14ac:dyDescent="0.25">
      <c r="BX1734" s="78"/>
      <c r="BY1734" s="319">
        <v>162</v>
      </c>
      <c r="BZ1734" s="321">
        <v>2</v>
      </c>
      <c r="CA1734" s="78"/>
      <c r="EE1734" s="76">
        <f>+IF(MID($J$3,1,10)=MID($EE$3,1,10),2,1)</f>
        <v>2</v>
      </c>
    </row>
    <row r="1735" spans="76:135" x14ac:dyDescent="0.25">
      <c r="BX1735" s="78"/>
      <c r="BY1735" s="319">
        <v>258</v>
      </c>
      <c r="BZ1735" s="321">
        <v>2</v>
      </c>
      <c r="CA1735" s="78"/>
      <c r="EE1735" s="76">
        <f>+IF(MID($J$3,1,10)=MID($EE$3,1,10),2,1)</f>
        <v>2</v>
      </c>
    </row>
    <row r="1736" spans="76:135" x14ac:dyDescent="0.25">
      <c r="BX1736" s="78"/>
      <c r="BY1736" s="319">
        <v>796</v>
      </c>
      <c r="BZ1736" s="321">
        <v>2</v>
      </c>
      <c r="CA1736" s="78"/>
      <c r="EE1736" s="76">
        <f>+IF(MID($J$2,1,10)=MID($EE$2,1,10),4,1)</f>
        <v>4</v>
      </c>
    </row>
    <row r="1737" spans="76:135" x14ac:dyDescent="0.25">
      <c r="BX1737" s="78"/>
      <c r="BY1737" s="319">
        <v>146</v>
      </c>
      <c r="BZ1737" s="321">
        <v>2</v>
      </c>
      <c r="CA1737" s="78"/>
      <c r="EE1737" s="76">
        <f>+IF(MID($J$3,1,10)=MID($EE$3,1,10),2,1)</f>
        <v>2</v>
      </c>
    </row>
    <row r="1738" spans="76:135" x14ac:dyDescent="0.25">
      <c r="BX1738" s="78"/>
      <c r="BY1738" s="319">
        <v>589</v>
      </c>
      <c r="BZ1738" s="321">
        <v>2</v>
      </c>
      <c r="CA1738" s="78"/>
      <c r="EE1738" s="76">
        <f>+IF(MID($J$2,1,10)=MID($EE$2,1,10),4,1)</f>
        <v>4</v>
      </c>
    </row>
    <row r="1739" spans="76:135" x14ac:dyDescent="0.25">
      <c r="BX1739" s="78"/>
      <c r="BY1739" s="319">
        <v>118</v>
      </c>
      <c r="BZ1739" s="321">
        <v>2</v>
      </c>
      <c r="CA1739" s="78"/>
      <c r="EE1739" s="76">
        <f>+IF(MID($J$2,1,10)=MID($EE$2,1,10),1,2)</f>
        <v>1</v>
      </c>
    </row>
    <row r="1740" spans="76:135" x14ac:dyDescent="0.25">
      <c r="BX1740" s="78"/>
      <c r="BY1740" s="319">
        <v>691</v>
      </c>
      <c r="BZ1740" s="321">
        <v>2</v>
      </c>
      <c r="CA1740" s="78"/>
      <c r="EE1740" s="76">
        <f>+IF(MID($J$2,1,10)=MID($EE$2,1,10),3,1)</f>
        <v>3</v>
      </c>
    </row>
    <row r="1741" spans="76:135" x14ac:dyDescent="0.25">
      <c r="BX1741" s="78"/>
      <c r="BY1741" s="319">
        <v>173</v>
      </c>
      <c r="BZ1741" s="321">
        <v>2</v>
      </c>
      <c r="CA1741" s="78"/>
      <c r="EE1741" s="76">
        <f>+IF(MID($J$2,1,10)=MID($EE$2,1,10),1,2)</f>
        <v>1</v>
      </c>
    </row>
    <row r="1742" spans="76:135" x14ac:dyDescent="0.25">
      <c r="BX1742" s="78"/>
      <c r="BY1742" s="319">
        <v>714</v>
      </c>
      <c r="BZ1742" s="321">
        <v>2</v>
      </c>
      <c r="CA1742" s="78"/>
      <c r="EE1742" s="76">
        <f>+IF(MID($J$3,1,10)=MID($EE$3,1,10),2,1)</f>
        <v>2</v>
      </c>
    </row>
    <row r="1743" spans="76:135" x14ac:dyDescent="0.25">
      <c r="BX1743" s="78"/>
      <c r="BY1743" s="319">
        <v>157</v>
      </c>
      <c r="BZ1743" s="321">
        <v>2</v>
      </c>
      <c r="CA1743" s="78"/>
      <c r="EE1743" s="76">
        <f>+IF(MID($J$2,1,10)=MID($EE$2,1,10),1,2)</f>
        <v>1</v>
      </c>
    </row>
    <row r="1744" spans="76:135" x14ac:dyDescent="0.25">
      <c r="BX1744" s="78"/>
      <c r="BY1744" s="319">
        <v>938</v>
      </c>
      <c r="BZ1744" s="321">
        <v>2</v>
      </c>
      <c r="CA1744" s="78"/>
      <c r="EE1744" s="76">
        <f>+IF(MID($J$2,1,10)=MID($EE$2,1,10),0,1)</f>
        <v>0</v>
      </c>
    </row>
    <row r="1745" spans="76:135" x14ac:dyDescent="0.25">
      <c r="BX1745" s="78"/>
      <c r="BY1745" s="319">
        <v>176</v>
      </c>
      <c r="BZ1745" s="321">
        <v>2</v>
      </c>
      <c r="CA1745" s="78"/>
      <c r="EE1745" s="76">
        <f>+IF(MID($J$2,1,10)=MID($EE$2,1,10),0,1)</f>
        <v>0</v>
      </c>
    </row>
    <row r="1746" spans="76:135" x14ac:dyDescent="0.25">
      <c r="BX1746" s="78"/>
      <c r="BY1746" s="319">
        <v>871</v>
      </c>
      <c r="BZ1746" s="321">
        <v>2</v>
      </c>
      <c r="CA1746" s="78"/>
      <c r="EE1746" s="76">
        <f>+IF(MID($J$2,1,10)=MID($EE$2,1,10),0,1)</f>
        <v>0</v>
      </c>
    </row>
    <row r="1747" spans="76:135" x14ac:dyDescent="0.25">
      <c r="BX1747" s="78"/>
      <c r="BY1747" s="319">
        <v>108</v>
      </c>
      <c r="BZ1747" s="321">
        <v>2</v>
      </c>
      <c r="CA1747" s="78"/>
      <c r="EE1747" s="76">
        <f>+IF(MID($J$2,1,10)=MID($EE$2,1,10),1,2)</f>
        <v>1</v>
      </c>
    </row>
    <row r="1748" spans="76:135" x14ac:dyDescent="0.25">
      <c r="BX1748" s="78"/>
      <c r="BY1748" s="319">
        <v>133</v>
      </c>
      <c r="BZ1748" s="321">
        <v>2</v>
      </c>
      <c r="CA1748" s="78"/>
      <c r="EE1748" s="76">
        <f>+IF(MID($J$2,1,10)=MID($EE$2,1,10),1,2)</f>
        <v>1</v>
      </c>
    </row>
    <row r="1749" spans="76:135" x14ac:dyDescent="0.25">
      <c r="BX1749" s="78"/>
      <c r="BY1749" s="319">
        <v>123</v>
      </c>
      <c r="BZ1749" s="321">
        <v>2</v>
      </c>
      <c r="CA1749" s="78"/>
      <c r="EE1749" s="76">
        <f>+IF(MID($J$2,1,10)=MID($EE$2,1,10),3,1)</f>
        <v>3</v>
      </c>
    </row>
    <row r="1750" spans="76:135" x14ac:dyDescent="0.25">
      <c r="BX1750" s="78"/>
      <c r="BY1750" s="319">
        <v>657</v>
      </c>
      <c r="BZ1750" s="321">
        <v>2</v>
      </c>
      <c r="CA1750" s="78"/>
      <c r="EE1750" s="76">
        <f>+IF(MID($J$2,1,10)=MID($EE$2,1,10),3,1)</f>
        <v>3</v>
      </c>
    </row>
    <row r="1751" spans="76:135" x14ac:dyDescent="0.25">
      <c r="BX1751" s="78"/>
      <c r="BY1751" s="319">
        <v>195</v>
      </c>
      <c r="BZ1751" s="321">
        <v>2</v>
      </c>
      <c r="CA1751" s="78"/>
      <c r="EE1751" s="76">
        <f>+IF(MID($J$2,1,10)=MID($EE$2,1,10),3,1)</f>
        <v>3</v>
      </c>
    </row>
    <row r="1752" spans="76:135" x14ac:dyDescent="0.25">
      <c r="BX1752" s="78"/>
      <c r="BY1752" s="319">
        <v>244</v>
      </c>
      <c r="CA1752" s="78"/>
      <c r="EE1752" s="76">
        <f>+IF(MID($J$2,1,10)=MID($EE$2,1,10),0,1)</f>
        <v>0</v>
      </c>
    </row>
    <row r="1753" spans="76:135" x14ac:dyDescent="0.25">
      <c r="BX1753" s="78"/>
      <c r="BY1753" s="319">
        <v>13</v>
      </c>
      <c r="CA1753" s="78"/>
      <c r="EE1753" s="76">
        <f>+IF(MID($J$6,1,5)=MID($EE$11,1,5),3,1)</f>
        <v>3</v>
      </c>
    </row>
    <row r="1754" spans="76:135" x14ac:dyDescent="0.25">
      <c r="BX1754" s="78"/>
      <c r="BY1754" s="319">
        <v>1011</v>
      </c>
      <c r="CA1754" s="78"/>
      <c r="EE1754" s="76">
        <f>+IF(MID($J$2,1,10)=MID($EE$2,1,10),3,1)</f>
        <v>3</v>
      </c>
    </row>
    <row r="1755" spans="76:135" x14ac:dyDescent="0.25">
      <c r="BX1755" s="78"/>
      <c r="BY1755" s="319">
        <v>202</v>
      </c>
      <c r="CA1755" s="78"/>
      <c r="EE1755" s="76">
        <f>+IF(MID($J$2,1,10)=MID($EE$2,1,10),3,1)</f>
        <v>3</v>
      </c>
    </row>
    <row r="1756" spans="76:135" x14ac:dyDescent="0.25">
      <c r="BX1756" s="78"/>
      <c r="BY1756" s="319">
        <v>402</v>
      </c>
      <c r="CA1756" s="78"/>
      <c r="EE1756" s="76">
        <f>+IF(MID($J$2,1,10)=MID($EE$2,1,10),0,1)</f>
        <v>0</v>
      </c>
    </row>
    <row r="1757" spans="76:135" x14ac:dyDescent="0.25">
      <c r="BX1757" s="78"/>
      <c r="BY1757" s="319">
        <v>114</v>
      </c>
      <c r="CA1757" s="78"/>
      <c r="EE1757" s="76">
        <f>+IF(MID($J$2,1,10)=MID($EE$2,1,10),3,1)</f>
        <v>3</v>
      </c>
    </row>
    <row r="1758" spans="76:135" x14ac:dyDescent="0.25">
      <c r="BX1758" s="78"/>
      <c r="BY1758" s="319">
        <v>414</v>
      </c>
      <c r="CA1758" s="78"/>
      <c r="EE1758" s="76">
        <f>+IF(MID($J$2,1,10)=MID($EE$2,1,10),3,1)</f>
        <v>3</v>
      </c>
    </row>
    <row r="1759" spans="76:135" x14ac:dyDescent="0.25">
      <c r="BX1759" s="78"/>
      <c r="BY1759" s="319">
        <v>145</v>
      </c>
      <c r="CA1759" s="78"/>
      <c r="EE1759" s="76">
        <f>+IF(MID($J$2,1,10)=MID($EE$2,1,10),3,1)</f>
        <v>3</v>
      </c>
    </row>
    <row r="1760" spans="76:135" x14ac:dyDescent="0.25">
      <c r="BX1760" s="78"/>
      <c r="BY1760" s="319">
        <v>338</v>
      </c>
      <c r="CA1760" s="78"/>
      <c r="EE1760" s="76">
        <f>+IF(MID($J$2,1,10)=MID($EE$2,1,10),1,2)</f>
        <v>1</v>
      </c>
    </row>
    <row r="1761" spans="76:135" x14ac:dyDescent="0.25">
      <c r="BX1761" s="78"/>
      <c r="BY1761" s="319">
        <v>119</v>
      </c>
      <c r="CA1761" s="78"/>
      <c r="EE1761" s="76">
        <f>+IF(MID($J$3,1,10)=MID($EE$3,1,10),2,1)</f>
        <v>2</v>
      </c>
    </row>
    <row r="1762" spans="76:135" x14ac:dyDescent="0.25">
      <c r="BX1762" s="78"/>
      <c r="BY1762" s="319">
        <v>196</v>
      </c>
      <c r="CA1762" s="78"/>
      <c r="EE1762" s="76">
        <f>+IF(MID($J$2,1,10)=MID($EE$2,1,10),4,1)</f>
        <v>4</v>
      </c>
    </row>
    <row r="1763" spans="76:135" x14ac:dyDescent="0.25">
      <c r="BX1763" s="78"/>
      <c r="BY1763" s="325">
        <v>15</v>
      </c>
      <c r="CA1763" s="78"/>
      <c r="EE1763" s="76">
        <f>+IF(MID($J$6,1,5)=MID($EE$11,1,5),2,1)</f>
        <v>2</v>
      </c>
    </row>
    <row r="1764" spans="76:135" x14ac:dyDescent="0.25">
      <c r="BX1764" s="78"/>
      <c r="BY1764" s="324">
        <v>5</v>
      </c>
      <c r="CA1764" s="78"/>
      <c r="EE1764" s="76">
        <f>+IF(MID($J$2,1,10)=MID($EE$2,1,10),3,1)</f>
        <v>3</v>
      </c>
    </row>
    <row r="1765" spans="76:135" x14ac:dyDescent="0.25">
      <c r="BX1765" s="78"/>
      <c r="BY1765" s="319">
        <v>169</v>
      </c>
      <c r="CA1765" s="78"/>
      <c r="EE1765" s="76">
        <f>+IF(MID($J$3,1,10)=MID($EE$3,1,10),0,1)</f>
        <v>0</v>
      </c>
    </row>
    <row r="1766" spans="76:135" x14ac:dyDescent="0.25">
      <c r="BX1766" s="78"/>
      <c r="BY1766" s="322">
        <v>18</v>
      </c>
      <c r="CA1766" s="78"/>
      <c r="EE1766" s="76">
        <f>+IF(MID($J$4,1,8)=MID($EE$4,1,8),2,1)</f>
        <v>2</v>
      </c>
    </row>
    <row r="1767" spans="76:135" x14ac:dyDescent="0.25">
      <c r="BX1767" s="78"/>
      <c r="BY1767" s="319">
        <v>163</v>
      </c>
      <c r="CA1767" s="78"/>
      <c r="EE1767" s="76">
        <f>+IF(MID($J$5,1,10)=MID($EE$5,1,10),0,1)</f>
        <v>0</v>
      </c>
    </row>
    <row r="1768" spans="76:135" x14ac:dyDescent="0.25">
      <c r="BX1768" s="78"/>
      <c r="BY1768" s="319">
        <v>165</v>
      </c>
      <c r="CA1768" s="78"/>
      <c r="EE1768" s="76">
        <f>+IF(MID($J$2,1,10)=MID($EE$2,1,10),4,1)</f>
        <v>4</v>
      </c>
    </row>
    <row r="1769" spans="76:135" x14ac:dyDescent="0.25">
      <c r="BX1769" s="78"/>
      <c r="BY1769" s="319">
        <v>1123</v>
      </c>
      <c r="CA1769" s="78"/>
      <c r="EE1769" s="76">
        <f>+IF(MID($J$2,1,10)=MID($EE$2,1,10),1,2)</f>
        <v>1</v>
      </c>
    </row>
    <row r="1770" spans="76:135" x14ac:dyDescent="0.25">
      <c r="BX1770" s="78"/>
      <c r="BY1770" s="319">
        <v>201</v>
      </c>
      <c r="CA1770" s="78"/>
      <c r="EE1770" s="76">
        <f>+IF(MID($J$2,1,10)=MID($EE$2,1,10),3,1)</f>
        <v>3</v>
      </c>
    </row>
    <row r="1771" spans="76:135" x14ac:dyDescent="0.25">
      <c r="BX1771" s="78"/>
      <c r="BY1771" s="319">
        <v>611</v>
      </c>
      <c r="CA1771" s="78"/>
      <c r="EE1771" s="76">
        <f>+IF(MID($J$2,1,10)=MID($EE$2,1,10),1,2)</f>
        <v>1</v>
      </c>
    </row>
    <row r="1772" spans="76:135" x14ac:dyDescent="0.25">
      <c r="BX1772" s="78"/>
      <c r="BY1772" s="319">
        <v>13</v>
      </c>
      <c r="CA1772" s="78"/>
      <c r="EE1772" s="76">
        <f>+IF(MID($J$5,1,10)=MID($EE$5,1,10),1,2)</f>
        <v>1</v>
      </c>
    </row>
    <row r="1773" spans="76:135" x14ac:dyDescent="0.25">
      <c r="BX1773" s="79"/>
      <c r="BY1773" s="322">
        <v>10</v>
      </c>
      <c r="BZ1773" s="323"/>
      <c r="CA1773" s="79"/>
      <c r="EE1773" s="76">
        <f>+IF(MID($J$6,1,5)=MID($EE$11,1,5),0,1)</f>
        <v>0</v>
      </c>
    </row>
    <row r="1774" spans="76:135" x14ac:dyDescent="0.25">
      <c r="BX1774" s="78"/>
      <c r="BY1774" s="319">
        <v>122</v>
      </c>
      <c r="CA1774" s="78"/>
      <c r="EE1774" s="76">
        <f>+IF(MID($J$2,1,10)=MID($EE$2,1,10),0,1)</f>
        <v>0</v>
      </c>
    </row>
    <row r="1775" spans="76:135" x14ac:dyDescent="0.25">
      <c r="BX1775" s="78"/>
      <c r="BY1775" s="319">
        <v>466</v>
      </c>
      <c r="CA1775" s="78"/>
      <c r="EE1775" s="76">
        <f>+IF(MID($J$2,1,10)=MID($EE$2,1,10),0,1)</f>
        <v>0</v>
      </c>
    </row>
    <row r="1776" spans="76:135" x14ac:dyDescent="0.25">
      <c r="BX1776" s="78"/>
      <c r="BY1776" s="319">
        <v>730</v>
      </c>
      <c r="CA1776" s="78"/>
      <c r="EE1776" s="76">
        <f>+IF(MID($J$2,1,10)=MID($EE$2,1,10),0,1)</f>
        <v>0</v>
      </c>
    </row>
    <row r="1777" spans="76:135" x14ac:dyDescent="0.25">
      <c r="BX1777" s="78"/>
      <c r="BY1777" s="319">
        <v>120</v>
      </c>
      <c r="CA1777" s="78"/>
      <c r="EE1777" s="76">
        <f>+IF(MID($J$2,1,10)=MID($EE$2,1,10),1,2)</f>
        <v>1</v>
      </c>
    </row>
    <row r="1778" spans="76:135" x14ac:dyDescent="0.25">
      <c r="BX1778" s="78"/>
      <c r="BY1778" s="319">
        <v>187</v>
      </c>
      <c r="CA1778" s="78"/>
      <c r="EE1778" s="76">
        <f>+IF(MID($J$2,1,10)=MID($EE$2,1,10),1,2)</f>
        <v>1</v>
      </c>
    </row>
    <row r="1779" spans="76:135" x14ac:dyDescent="0.25">
      <c r="BX1779" s="78"/>
      <c r="BY1779" s="319">
        <v>114</v>
      </c>
      <c r="CA1779" s="78"/>
      <c r="EE1779" s="76">
        <f>+IF(MID($J$2,1,10)=MID($EE$2,1,10),3,1)</f>
        <v>3</v>
      </c>
    </row>
    <row r="1780" spans="76:135" x14ac:dyDescent="0.25">
      <c r="BX1780" s="78"/>
      <c r="BY1780" s="319">
        <v>1083</v>
      </c>
      <c r="CA1780" s="78"/>
      <c r="EE1780" s="76">
        <f>+IF(MID($J$2,1,10)=MID($EE$2,1,10),3,1)</f>
        <v>3</v>
      </c>
    </row>
    <row r="1781" spans="76:135" x14ac:dyDescent="0.25">
      <c r="BX1781" s="78"/>
      <c r="BY1781" s="319">
        <v>155</v>
      </c>
      <c r="CA1781" s="78"/>
      <c r="EE1781" s="76">
        <f>+IF(MID($J$2,1,10)=MID($EE$2,1,10),3,1)</f>
        <v>3</v>
      </c>
    </row>
    <row r="1782" spans="76:135" x14ac:dyDescent="0.25">
      <c r="BX1782" s="78"/>
      <c r="BY1782" s="319">
        <v>424</v>
      </c>
      <c r="CA1782" s="78"/>
      <c r="EE1782" s="76">
        <f>+IF(MID($J$2,1,10)=MID($EE$2,1,10),0,1)</f>
        <v>0</v>
      </c>
    </row>
    <row r="1783" spans="76:135" x14ac:dyDescent="0.25">
      <c r="BX1783" s="78"/>
      <c r="BY1783" s="319">
        <v>116</v>
      </c>
      <c r="CA1783" s="78"/>
      <c r="EE1783" s="76">
        <f>+IF(MID($J$2,1,10)=MID($EE$2,1,10),1,2)</f>
        <v>1</v>
      </c>
    </row>
    <row r="1784" spans="76:135" x14ac:dyDescent="0.25">
      <c r="BX1784" s="78"/>
      <c r="BY1784" s="319">
        <v>145</v>
      </c>
      <c r="CA1784" s="78"/>
      <c r="EE1784" s="76">
        <f>+IF(MID($J$2,1,10)=MID($EE$2,1,10),3,1)</f>
        <v>3</v>
      </c>
    </row>
    <row r="1785" spans="76:135" x14ac:dyDescent="0.25">
      <c r="BX1785" s="78"/>
      <c r="BY1785" s="322">
        <v>10</v>
      </c>
      <c r="CA1785" s="78"/>
      <c r="EE1785" s="76">
        <f>+IF(MID($J$3,1,10)=MID($EE$3,1,10),0,1)</f>
        <v>0</v>
      </c>
    </row>
    <row r="1786" spans="76:135" x14ac:dyDescent="0.25">
      <c r="BX1786" s="78"/>
      <c r="BY1786" s="319">
        <v>904</v>
      </c>
      <c r="CA1786" s="78"/>
      <c r="EE1786" s="76">
        <f>+IF(MID($J$2,1,10)=MID($EE$2,1,10),0,1)</f>
        <v>0</v>
      </c>
    </row>
    <row r="1787" spans="76:135" x14ac:dyDescent="0.25">
      <c r="BX1787" s="78"/>
      <c r="BY1787" s="319">
        <v>127</v>
      </c>
      <c r="CA1787" s="78"/>
      <c r="EE1787" s="76">
        <f>+IF(MID($J$2,1,10)=MID($EE$2,1,10),3,1)</f>
        <v>3</v>
      </c>
    </row>
    <row r="1788" spans="76:135" x14ac:dyDescent="0.25">
      <c r="BX1788" s="78"/>
      <c r="BY1788" s="319">
        <v>168</v>
      </c>
      <c r="CA1788" s="78"/>
      <c r="EE1788" s="76">
        <f>+IF(MID($J$2,1,10)=MID($EE$2,1,10),3,1)</f>
        <v>3</v>
      </c>
    </row>
    <row r="1789" spans="76:135" x14ac:dyDescent="0.25">
      <c r="BX1789" s="78"/>
      <c r="BY1789" s="319">
        <v>116</v>
      </c>
      <c r="CA1789" s="78"/>
      <c r="EE1789" s="76">
        <f>+IF(MID($J$2,1,10)=MID($EE$2,1,10),3,1)</f>
        <v>3</v>
      </c>
    </row>
    <row r="1790" spans="76:135" x14ac:dyDescent="0.25">
      <c r="BX1790" s="78"/>
      <c r="BY1790" s="319">
        <v>1015</v>
      </c>
      <c r="CA1790" s="78"/>
      <c r="EE1790" s="76">
        <f>+IF(MID($J$2,1,10)=MID($EE$2,1,10),1,2)</f>
        <v>1</v>
      </c>
    </row>
    <row r="1791" spans="76:135" x14ac:dyDescent="0.25">
      <c r="BX1791" s="78"/>
      <c r="BY1791" s="319">
        <v>165</v>
      </c>
      <c r="CA1791" s="78"/>
      <c r="EE1791" s="76">
        <f>+IF(MID($J$3,1,10)=MID($EE$3,1,10),2,1)</f>
        <v>2</v>
      </c>
    </row>
    <row r="1792" spans="76:135" x14ac:dyDescent="0.25">
      <c r="BX1792" s="78"/>
      <c r="BY1792" s="319">
        <v>581</v>
      </c>
      <c r="CA1792" s="78"/>
      <c r="EE1792" s="76">
        <f>+IF(MID($J$2,1,10)=MID($EE$2,1,10),4,1)</f>
        <v>4</v>
      </c>
    </row>
    <row r="1793" spans="76:135" x14ac:dyDescent="0.25">
      <c r="BX1793" s="78"/>
      <c r="BY1793" s="319">
        <v>152</v>
      </c>
      <c r="CA1793" s="78"/>
      <c r="EE1793" s="76">
        <f>+IF(MID($J$2,1,10)=MID($EE$2,1,10),0,1)</f>
        <v>0</v>
      </c>
    </row>
    <row r="1794" spans="76:135" x14ac:dyDescent="0.25">
      <c r="BX1794" s="78"/>
      <c r="BY1794" s="319">
        <v>7</v>
      </c>
      <c r="CA1794" s="78"/>
      <c r="EE1794" s="76">
        <f>+IF(MID($J$3,1,10)=MID($EE$3,1,10),2,1)</f>
        <v>2</v>
      </c>
    </row>
    <row r="1795" spans="76:135" x14ac:dyDescent="0.25">
      <c r="BX1795" s="78"/>
      <c r="BY1795" s="319">
        <v>176</v>
      </c>
      <c r="CA1795" s="78"/>
      <c r="EE1795" s="76">
        <f>+IF(MID($J$3,1,10)=MID($EE$3,1,10),2,1)</f>
        <v>2</v>
      </c>
    </row>
    <row r="1796" spans="76:135" x14ac:dyDescent="0.25">
      <c r="BX1796" s="78"/>
      <c r="BY1796" s="319">
        <v>1000</v>
      </c>
      <c r="CA1796" s="78"/>
      <c r="EE1796" s="76">
        <f>+IF(MID($J$2,1,10)=MID($EE$2,1,10),4,1)</f>
        <v>4</v>
      </c>
    </row>
    <row r="1797" spans="76:135" x14ac:dyDescent="0.25">
      <c r="BX1797" s="78"/>
      <c r="BY1797" s="319">
        <v>137</v>
      </c>
      <c r="CA1797" s="78"/>
      <c r="EE1797" s="76">
        <f>+IF(MID($J$3,1,10)=MID($EE$3,1,10),2,1)</f>
        <v>2</v>
      </c>
    </row>
    <row r="1798" spans="76:135" x14ac:dyDescent="0.25">
      <c r="BX1798" s="78"/>
      <c r="BY1798" s="319">
        <v>116</v>
      </c>
      <c r="CA1798" s="78"/>
      <c r="EE1798" s="76">
        <f>+IF(MID($J$2,1,10)=MID($EE$2,1,10),4,1)</f>
        <v>4</v>
      </c>
    </row>
    <row r="1799" spans="76:135" x14ac:dyDescent="0.25">
      <c r="BX1799" s="78"/>
      <c r="BY1799" s="319">
        <v>132</v>
      </c>
      <c r="CA1799" s="78"/>
      <c r="EE1799" s="76">
        <f>+IF(MID($J$2,1,10)=MID($EE$2,1,10),1,2)</f>
        <v>1</v>
      </c>
    </row>
    <row r="1800" spans="76:135" x14ac:dyDescent="0.25">
      <c r="BX1800" s="78"/>
      <c r="BY1800" s="319">
        <v>160</v>
      </c>
      <c r="CA1800" s="78"/>
      <c r="EE1800" s="76">
        <f>+IF(MID($J$2,1,10)=MID($EE$2,1,10),3,1)</f>
        <v>3</v>
      </c>
    </row>
    <row r="1801" spans="76:135" x14ac:dyDescent="0.25">
      <c r="BX1801" s="78"/>
      <c r="BY1801" s="319">
        <v>141</v>
      </c>
      <c r="CA1801" s="78"/>
      <c r="EE1801" s="76">
        <f>+IF(MID($J$2,1,10)=MID($EE$2,1,10),1,2)</f>
        <v>1</v>
      </c>
    </row>
    <row r="1802" spans="76:135" x14ac:dyDescent="0.25">
      <c r="BX1802" s="78"/>
      <c r="BY1802" s="319">
        <v>135</v>
      </c>
      <c r="CA1802" s="78"/>
      <c r="EE1802" s="76">
        <f>+IF(MID($J$3,1,10)=MID($EE$3,1,10),2,1)</f>
        <v>2</v>
      </c>
    </row>
    <row r="1803" spans="76:135" x14ac:dyDescent="0.25">
      <c r="BX1803" s="78"/>
      <c r="BY1803" s="319">
        <v>125</v>
      </c>
      <c r="CA1803" s="78"/>
      <c r="EE1803" s="76">
        <f>+IF(MID($J$2,1,10)=MID($EE$2,1,10),1,2)</f>
        <v>1</v>
      </c>
    </row>
    <row r="1804" spans="76:135" x14ac:dyDescent="0.25">
      <c r="BX1804" s="78"/>
      <c r="BY1804" s="319">
        <v>189</v>
      </c>
      <c r="CA1804" s="78"/>
      <c r="EE1804" s="76">
        <f>+IF(MID($J$2,1,10)=MID($EE$2,1,10),0,1)</f>
        <v>0</v>
      </c>
    </row>
    <row r="1805" spans="76:135" x14ac:dyDescent="0.25">
      <c r="BX1805" s="78"/>
      <c r="BY1805" s="319">
        <v>172</v>
      </c>
      <c r="CA1805" s="78"/>
      <c r="EE1805" s="76">
        <f>+IF(MID($J$2,1,10)=MID($EE$2,1,10),0,1)</f>
        <v>0</v>
      </c>
    </row>
    <row r="1806" spans="76:135" x14ac:dyDescent="0.25">
      <c r="BX1806" s="78"/>
      <c r="BY1806" s="319">
        <v>120</v>
      </c>
      <c r="CA1806" s="78"/>
      <c r="EE1806" s="76">
        <f>+IF(MID($J$2,1,10)=MID($EE$2,1,10),0,1)</f>
        <v>0</v>
      </c>
    </row>
    <row r="1807" spans="76:135" x14ac:dyDescent="0.25">
      <c r="BX1807" s="78"/>
      <c r="CA1807" s="78"/>
    </row>
    <row r="1808" spans="76:135" x14ac:dyDescent="0.25">
      <c r="BX1808" s="78"/>
      <c r="CA1808" s="78"/>
    </row>
    <row r="1809" spans="76:79" x14ac:dyDescent="0.25">
      <c r="BX1809" s="78"/>
      <c r="CA1809" s="78"/>
    </row>
    <row r="1810" spans="76:79" x14ac:dyDescent="0.25">
      <c r="BX1810" s="78"/>
      <c r="CA1810" s="78"/>
    </row>
    <row r="1811" spans="76:79" x14ac:dyDescent="0.25">
      <c r="BX1811" s="78"/>
      <c r="CA1811" s="78"/>
    </row>
    <row r="1812" spans="76:79" x14ac:dyDescent="0.25">
      <c r="BX1812" s="78"/>
      <c r="CA1812" s="78"/>
    </row>
    <row r="1813" spans="76:79" x14ac:dyDescent="0.25">
      <c r="BX1813" s="78"/>
      <c r="CA1813" s="78"/>
    </row>
    <row r="1814" spans="76:79" x14ac:dyDescent="0.25">
      <c r="BX1814" s="78"/>
      <c r="CA1814" s="78"/>
    </row>
    <row r="1815" spans="76:79" x14ac:dyDescent="0.25">
      <c r="BX1815" s="78"/>
      <c r="CA1815" s="78"/>
    </row>
    <row r="1816" spans="76:79" x14ac:dyDescent="0.25">
      <c r="BX1816" s="78"/>
      <c r="CA1816" s="78"/>
    </row>
    <row r="1817" spans="76:79" x14ac:dyDescent="0.25">
      <c r="BX1817" s="78"/>
      <c r="CA1817" s="78"/>
    </row>
    <row r="1818" spans="76:79" x14ac:dyDescent="0.25">
      <c r="BX1818" s="78"/>
      <c r="CA1818" s="78"/>
    </row>
    <row r="1819" spans="76:79" x14ac:dyDescent="0.25">
      <c r="BX1819" s="78"/>
      <c r="CA1819" s="78"/>
    </row>
    <row r="1820" spans="76:79" x14ac:dyDescent="0.25">
      <c r="BX1820" s="78"/>
      <c r="CA1820" s="78"/>
    </row>
    <row r="1821" spans="76:79" x14ac:dyDescent="0.25">
      <c r="BX1821" s="78"/>
      <c r="CA1821" s="78"/>
    </row>
    <row r="1822" spans="76:79" x14ac:dyDescent="0.25">
      <c r="BX1822" s="78"/>
      <c r="CA1822" s="78"/>
    </row>
    <row r="1823" spans="76:79" x14ac:dyDescent="0.25">
      <c r="BX1823" s="78"/>
      <c r="CA1823" s="78"/>
    </row>
    <row r="1824" spans="76:79" x14ac:dyDescent="0.25">
      <c r="BX1824" s="78"/>
      <c r="CA1824" s="78"/>
    </row>
    <row r="1825" spans="76:79" x14ac:dyDescent="0.25">
      <c r="BX1825" s="78"/>
      <c r="CA1825" s="78"/>
    </row>
    <row r="1826" spans="76:79" x14ac:dyDescent="0.25">
      <c r="BX1826" s="78"/>
      <c r="CA1826" s="78"/>
    </row>
    <row r="1827" spans="76:79" x14ac:dyDescent="0.25">
      <c r="BX1827" s="78"/>
      <c r="CA1827" s="78"/>
    </row>
    <row r="1828" spans="76:79" x14ac:dyDescent="0.25">
      <c r="BX1828" s="78"/>
      <c r="CA1828" s="78"/>
    </row>
    <row r="1829" spans="76:79" x14ac:dyDescent="0.25">
      <c r="BX1829" s="78"/>
      <c r="CA1829" s="78"/>
    </row>
    <row r="1830" spans="76:79" x14ac:dyDescent="0.25">
      <c r="BX1830" s="78"/>
      <c r="CA1830" s="78"/>
    </row>
    <row r="1831" spans="76:79" x14ac:dyDescent="0.25">
      <c r="BX1831" s="78"/>
      <c r="CA1831" s="78"/>
    </row>
    <row r="1832" spans="76:79" x14ac:dyDescent="0.25">
      <c r="BX1832" s="78"/>
      <c r="CA1832" s="78"/>
    </row>
    <row r="1833" spans="76:79" x14ac:dyDescent="0.25">
      <c r="BX1833" s="78"/>
      <c r="CA1833" s="78"/>
    </row>
    <row r="1834" spans="76:79" x14ac:dyDescent="0.25">
      <c r="BX1834" s="78"/>
      <c r="CA1834" s="78"/>
    </row>
    <row r="1835" spans="76:79" x14ac:dyDescent="0.25">
      <c r="BX1835" s="78"/>
      <c r="CA1835" s="78"/>
    </row>
    <row r="1836" spans="76:79" x14ac:dyDescent="0.25">
      <c r="BX1836" s="78"/>
      <c r="CA1836" s="78"/>
    </row>
    <row r="1837" spans="76:79" x14ac:dyDescent="0.25">
      <c r="BX1837" s="78"/>
      <c r="CA1837" s="78"/>
    </row>
    <row r="1838" spans="76:79" x14ac:dyDescent="0.25">
      <c r="BX1838" s="78"/>
      <c r="CA1838" s="78"/>
    </row>
    <row r="1839" spans="76:79" x14ac:dyDescent="0.25">
      <c r="BX1839" s="78"/>
      <c r="CA1839" s="78"/>
    </row>
    <row r="1840" spans="76:79" x14ac:dyDescent="0.25">
      <c r="BX1840" s="78"/>
      <c r="CA1840" s="78"/>
    </row>
    <row r="1841" spans="76:79" x14ac:dyDescent="0.25">
      <c r="BX1841" s="78"/>
      <c r="CA1841" s="78"/>
    </row>
    <row r="1842" spans="76:79" x14ac:dyDescent="0.25">
      <c r="BX1842" s="78"/>
      <c r="CA1842" s="78"/>
    </row>
    <row r="1843" spans="76:79" x14ac:dyDescent="0.25">
      <c r="BX1843" s="78"/>
      <c r="CA1843" s="78"/>
    </row>
    <row r="1844" spans="76:79" x14ac:dyDescent="0.25">
      <c r="BX1844" s="78"/>
      <c r="CA1844" s="78"/>
    </row>
    <row r="1845" spans="76:79" x14ac:dyDescent="0.25">
      <c r="BX1845" s="78"/>
      <c r="CA1845" s="78"/>
    </row>
    <row r="1846" spans="76:79" x14ac:dyDescent="0.25">
      <c r="BX1846" s="78"/>
      <c r="CA1846" s="78"/>
    </row>
    <row r="1847" spans="76:79" x14ac:dyDescent="0.25">
      <c r="BX1847" s="78"/>
      <c r="CA1847" s="78"/>
    </row>
    <row r="1848" spans="76:79" x14ac:dyDescent="0.25">
      <c r="BX1848" s="78"/>
      <c r="CA1848" s="78"/>
    </row>
    <row r="1849" spans="76:79" x14ac:dyDescent="0.25">
      <c r="BX1849" s="78"/>
      <c r="CA1849" s="78"/>
    </row>
    <row r="1850" spans="76:79" x14ac:dyDescent="0.25">
      <c r="BX1850" s="78"/>
      <c r="CA1850" s="78"/>
    </row>
    <row r="1851" spans="76:79" x14ac:dyDescent="0.25">
      <c r="BX1851" s="78"/>
      <c r="CA1851" s="78"/>
    </row>
    <row r="1852" spans="76:79" x14ac:dyDescent="0.25">
      <c r="BX1852" s="78"/>
      <c r="CA1852" s="78"/>
    </row>
    <row r="1853" spans="76:79" x14ac:dyDescent="0.25">
      <c r="BX1853" s="78"/>
      <c r="CA1853" s="78"/>
    </row>
    <row r="1854" spans="76:79" x14ac:dyDescent="0.25">
      <c r="BX1854" s="78"/>
      <c r="CA1854" s="78"/>
    </row>
    <row r="1855" spans="76:79" x14ac:dyDescent="0.25">
      <c r="BX1855" s="78"/>
      <c r="CA1855" s="78"/>
    </row>
    <row r="1856" spans="76:79" x14ac:dyDescent="0.25">
      <c r="BX1856" s="78"/>
      <c r="CA1856" s="78"/>
    </row>
    <row r="1857" spans="76:79" x14ac:dyDescent="0.25">
      <c r="BX1857" s="78"/>
      <c r="CA1857" s="78"/>
    </row>
    <row r="1858" spans="76:79" x14ac:dyDescent="0.25">
      <c r="BX1858" s="78"/>
      <c r="CA1858" s="78"/>
    </row>
    <row r="1859" spans="76:79" x14ac:dyDescent="0.25">
      <c r="BX1859" s="78"/>
      <c r="CA1859" s="78"/>
    </row>
    <row r="1860" spans="76:79" x14ac:dyDescent="0.25">
      <c r="BX1860" s="78"/>
      <c r="CA1860" s="78"/>
    </row>
    <row r="1861" spans="76:79" x14ac:dyDescent="0.25">
      <c r="BX1861" s="78"/>
      <c r="CA1861" s="78"/>
    </row>
    <row r="1862" spans="76:79" x14ac:dyDescent="0.25">
      <c r="BX1862" s="78"/>
      <c r="CA1862" s="78"/>
    </row>
    <row r="1863" spans="76:79" x14ac:dyDescent="0.25">
      <c r="BX1863" s="78"/>
      <c r="CA1863" s="78"/>
    </row>
    <row r="1864" spans="76:79" x14ac:dyDescent="0.25">
      <c r="BX1864" s="78"/>
      <c r="CA1864" s="78"/>
    </row>
    <row r="1865" spans="76:79" x14ac:dyDescent="0.25">
      <c r="BX1865" s="78"/>
      <c r="CA1865" s="78"/>
    </row>
    <row r="1866" spans="76:79" x14ac:dyDescent="0.25">
      <c r="BX1866" s="78"/>
      <c r="CA1866" s="78"/>
    </row>
    <row r="1867" spans="76:79" x14ac:dyDescent="0.25">
      <c r="BX1867" s="78"/>
      <c r="CA1867" s="78"/>
    </row>
    <row r="1868" spans="76:79" x14ac:dyDescent="0.25">
      <c r="BX1868" s="78"/>
      <c r="CA1868" s="78"/>
    </row>
    <row r="1869" spans="76:79" x14ac:dyDescent="0.25">
      <c r="BX1869" s="78"/>
      <c r="CA1869" s="78"/>
    </row>
    <row r="1870" spans="76:79" x14ac:dyDescent="0.25">
      <c r="BX1870" s="78"/>
      <c r="CA1870" s="78"/>
    </row>
    <row r="1871" spans="76:79" x14ac:dyDescent="0.25">
      <c r="BX1871" s="78"/>
      <c r="CA1871" s="78"/>
    </row>
    <row r="1872" spans="76:79" x14ac:dyDescent="0.25">
      <c r="BX1872" s="78"/>
      <c r="CA1872" s="78"/>
    </row>
    <row r="1873" spans="76:135" x14ac:dyDescent="0.25">
      <c r="BX1873" s="78"/>
      <c r="CA1873" s="78"/>
    </row>
    <row r="1874" spans="76:135" x14ac:dyDescent="0.25">
      <c r="BX1874" s="78"/>
      <c r="CA1874" s="78"/>
    </row>
    <row r="1875" spans="76:135" x14ac:dyDescent="0.25">
      <c r="BX1875" s="78"/>
      <c r="CA1875" s="78"/>
    </row>
    <row r="1876" spans="76:135" x14ac:dyDescent="0.25">
      <c r="BX1876" s="78"/>
      <c r="CA1876" s="78"/>
    </row>
    <row r="1877" spans="76:135" x14ac:dyDescent="0.25">
      <c r="BX1877" s="78"/>
      <c r="CA1877" s="78"/>
    </row>
    <row r="1878" spans="76:135" x14ac:dyDescent="0.25">
      <c r="BX1878" s="78"/>
      <c r="CA1878" s="78"/>
    </row>
    <row r="1879" spans="76:135" x14ac:dyDescent="0.25">
      <c r="BX1879" s="78"/>
      <c r="CA1879" s="78"/>
    </row>
    <row r="1880" spans="76:135" x14ac:dyDescent="0.25">
      <c r="BX1880" s="78"/>
      <c r="CA1880" s="78"/>
    </row>
    <row r="1881" spans="76:135" x14ac:dyDescent="0.25">
      <c r="BX1881" s="78"/>
      <c r="CA1881" s="78"/>
    </row>
    <row r="1882" spans="76:135" x14ac:dyDescent="0.25">
      <c r="BX1882" s="78"/>
      <c r="CA1882" s="78"/>
    </row>
    <row r="1883" spans="76:135" x14ac:dyDescent="0.25">
      <c r="BX1883" s="78"/>
      <c r="CA1883" s="78"/>
    </row>
    <row r="1884" spans="76:135" x14ac:dyDescent="0.25">
      <c r="BX1884" s="78"/>
      <c r="BY1884" s="322">
        <v>10</v>
      </c>
      <c r="CA1884" s="78"/>
      <c r="EE1884" s="76">
        <f>+IF(MID($J$5,1,10)=MID($EE$5,1,10),0,1)</f>
        <v>0</v>
      </c>
    </row>
    <row r="1885" spans="76:135" x14ac:dyDescent="0.25">
      <c r="BX1885" s="78"/>
      <c r="BY1885" s="319">
        <v>156</v>
      </c>
      <c r="CA1885" s="78"/>
      <c r="EE1885" s="76">
        <f>+IF(MID($J$6,1,5)=MID($EE$11,1,5),0,1)</f>
        <v>0</v>
      </c>
    </row>
    <row r="1886" spans="76:135" x14ac:dyDescent="0.25">
      <c r="BX1886" s="78"/>
      <c r="BY1886" s="319">
        <v>13</v>
      </c>
      <c r="CA1886" s="78"/>
      <c r="EE1886" s="76">
        <f>+IF(MID($J$2,1,10)=MID($EE$2,1,10),0,1)</f>
        <v>0</v>
      </c>
    </row>
    <row r="1887" spans="76:135" x14ac:dyDescent="0.25">
      <c r="BX1887" s="78"/>
      <c r="BY1887" s="322">
        <v>28</v>
      </c>
      <c r="CA1887" s="78"/>
      <c r="EE1887" s="76">
        <f>+IF(MID($J$3,1,10)=MID($EE$3,1,10),1,2)</f>
        <v>1</v>
      </c>
    </row>
    <row r="1888" spans="76:135" x14ac:dyDescent="0.25">
      <c r="BX1888" s="78"/>
      <c r="BY1888" s="319">
        <v>199</v>
      </c>
      <c r="CA1888" s="78"/>
      <c r="EE1888" s="76">
        <f>+IF(MID($J$2,1,10)=MID($EE$2,1,10),3,1)</f>
        <v>3</v>
      </c>
    </row>
    <row r="1889" spans="76:135" x14ac:dyDescent="0.25">
      <c r="BX1889" s="78"/>
      <c r="BY1889" s="319">
        <v>161</v>
      </c>
      <c r="CA1889" s="78"/>
      <c r="EE1889" s="76">
        <f>+IF(MID($J$2,1,10)=MID($EE$2,1,10),0,1)</f>
        <v>0</v>
      </c>
    </row>
    <row r="1890" spans="76:135" x14ac:dyDescent="0.25">
      <c r="BX1890" s="78"/>
      <c r="BY1890" s="319">
        <v>120</v>
      </c>
      <c r="CA1890" s="78"/>
      <c r="EE1890" s="76">
        <f>+IF(MID($J$2,1,10)=MID($EE$2,1,10),1,2)</f>
        <v>1</v>
      </c>
    </row>
    <row r="1891" spans="76:135" x14ac:dyDescent="0.25">
      <c r="BX1891" s="78"/>
      <c r="BY1891" s="319">
        <v>177</v>
      </c>
      <c r="CA1891" s="78"/>
      <c r="EE1891" s="76">
        <f>+IF(MID($J$2,1,10)=MID($EE$2,1,10),3,1)</f>
        <v>3</v>
      </c>
    </row>
    <row r="1892" spans="76:135" x14ac:dyDescent="0.25">
      <c r="BX1892" s="78"/>
      <c r="BY1892" s="319">
        <v>178</v>
      </c>
      <c r="CA1892" s="78"/>
      <c r="EE1892" s="76">
        <f>+IF(MID($J$2,1,10)=MID($EE$2,1,10),3,1)</f>
        <v>3</v>
      </c>
    </row>
    <row r="1893" spans="76:135" x14ac:dyDescent="0.25">
      <c r="BX1893" s="78"/>
      <c r="BY1893" s="319">
        <v>106</v>
      </c>
      <c r="CA1893" s="78"/>
      <c r="EE1893" s="76">
        <f>+IF(MID($J$2,1,10)=MID($EE$2,1,10),0,1)</f>
        <v>0</v>
      </c>
    </row>
    <row r="1894" spans="76:135" x14ac:dyDescent="0.25">
      <c r="BX1894" s="78"/>
      <c r="BY1894" s="319">
        <v>112</v>
      </c>
      <c r="CA1894" s="78"/>
      <c r="EE1894" s="76">
        <f>+IF(MID($J$2,1,10)=MID($EE$2,1,10),3,1)</f>
        <v>3</v>
      </c>
    </row>
    <row r="1895" spans="76:135" x14ac:dyDescent="0.25">
      <c r="BX1895" s="78"/>
      <c r="BY1895" s="319">
        <v>179</v>
      </c>
      <c r="CA1895" s="78"/>
      <c r="EE1895" s="76">
        <f>+IF(MID($J$2,1,10)=MID($EE$2,1,10),3,1)</f>
        <v>3</v>
      </c>
    </row>
    <row r="1896" spans="76:135" x14ac:dyDescent="0.25">
      <c r="BX1896" s="78"/>
      <c r="BY1896" s="319">
        <v>169</v>
      </c>
      <c r="CA1896" s="78"/>
      <c r="EE1896" s="76">
        <f>+IF(MID($J$2,1,10)=MID($EE$2,1,10),3,1)</f>
        <v>3</v>
      </c>
    </row>
    <row r="1897" spans="76:135" x14ac:dyDescent="0.25">
      <c r="BX1897" s="78"/>
      <c r="BY1897" s="319">
        <v>150</v>
      </c>
      <c r="CA1897" s="78"/>
      <c r="EE1897" s="76">
        <f>+IF(MID($J$2,1,10)=MID($EE$2,1,10),1,2)</f>
        <v>1</v>
      </c>
    </row>
    <row r="1898" spans="76:135" x14ac:dyDescent="0.25">
      <c r="BX1898" s="78"/>
      <c r="BY1898" s="319">
        <v>140</v>
      </c>
      <c r="CA1898" s="78"/>
      <c r="EE1898" s="76">
        <f>+IF(MID($J$3,1,10)=MID($EE$3,1,10),2,1)</f>
        <v>2</v>
      </c>
    </row>
    <row r="1899" spans="76:135" x14ac:dyDescent="0.25">
      <c r="BX1899" s="78"/>
      <c r="BY1899" s="319">
        <v>129</v>
      </c>
      <c r="CA1899" s="78"/>
      <c r="EE1899" s="76">
        <f>+IF(MID($J$2,1,10)=MID($EE$2,1,10),4,1)</f>
        <v>4</v>
      </c>
    </row>
    <row r="1900" spans="76:135" x14ac:dyDescent="0.25">
      <c r="BX1900" s="78"/>
      <c r="BY1900" s="319">
        <v>159</v>
      </c>
      <c r="CA1900" s="78"/>
      <c r="EE1900" s="76">
        <f>+IF(MID($J$2,1,10)=MID($EE$2,1,10),0,1)</f>
        <v>0</v>
      </c>
    </row>
    <row r="1901" spans="76:135" x14ac:dyDescent="0.25">
      <c r="BX1901" s="78"/>
      <c r="BY1901" s="319">
        <v>195</v>
      </c>
      <c r="CA1901" s="78"/>
      <c r="EE1901" s="76">
        <f>+IF(MID($J$3,1,10)=MID($EE$3,1,10),2,1)</f>
        <v>2</v>
      </c>
    </row>
    <row r="1902" spans="76:135" x14ac:dyDescent="0.25">
      <c r="BX1902" s="78"/>
      <c r="BY1902" s="319">
        <v>130</v>
      </c>
      <c r="CA1902" s="78"/>
      <c r="EE1902" s="76">
        <f>+IF(MID($J$3,1,10)=MID($EE$3,1,10),2,1)</f>
        <v>2</v>
      </c>
    </row>
    <row r="1903" spans="76:135" x14ac:dyDescent="0.25">
      <c r="BX1903" s="78"/>
      <c r="BY1903" s="319">
        <v>207</v>
      </c>
      <c r="CA1903" s="78"/>
      <c r="EE1903" s="76">
        <f>+IF(MID($J$2,1,10)=MID($EE$2,1,10),4,1)</f>
        <v>4</v>
      </c>
    </row>
    <row r="1904" spans="76:135" x14ac:dyDescent="0.25">
      <c r="BX1904" s="78"/>
      <c r="BY1904" s="319">
        <v>116</v>
      </c>
      <c r="CA1904" s="78"/>
      <c r="EE1904" s="76">
        <f>+IF(MID($J$3,1,10)=MID($EE$3,1,10),2,1)</f>
        <v>2</v>
      </c>
    </row>
    <row r="1905" spans="76:135" x14ac:dyDescent="0.25">
      <c r="BX1905" s="78"/>
      <c r="BY1905" s="319">
        <v>116</v>
      </c>
      <c r="CA1905" s="78"/>
      <c r="EE1905" s="76">
        <f>+IF(MID($J$2,1,10)=MID($EE$2,1,10),4,1)</f>
        <v>4</v>
      </c>
    </row>
    <row r="1906" spans="76:135" x14ac:dyDescent="0.25">
      <c r="BX1906" s="78"/>
      <c r="BY1906" s="319">
        <v>113</v>
      </c>
      <c r="CA1906" s="78"/>
      <c r="EE1906" s="76">
        <f>+IF(MID($J$2,1,10)=MID($EE$2,1,10),1,2)</f>
        <v>1</v>
      </c>
    </row>
    <row r="1907" spans="76:135" x14ac:dyDescent="0.25">
      <c r="BX1907" s="78"/>
      <c r="BY1907" s="319">
        <v>139</v>
      </c>
      <c r="CA1907" s="78"/>
      <c r="EE1907" s="76">
        <f>+IF(MID($J$2,1,10)=MID($EE$2,1,10),3,1)</f>
        <v>3</v>
      </c>
    </row>
    <row r="1908" spans="76:135" x14ac:dyDescent="0.25">
      <c r="BX1908" s="78"/>
      <c r="BY1908" s="319">
        <v>200</v>
      </c>
      <c r="CA1908" s="78"/>
      <c r="EE1908" s="76">
        <f>+IF(MID($J$2,1,10)=MID($EE$2,1,10),1,2)</f>
        <v>1</v>
      </c>
    </row>
    <row r="1909" spans="76:135" x14ac:dyDescent="0.25">
      <c r="BX1909" s="78"/>
      <c r="BY1909" s="319">
        <v>141</v>
      </c>
      <c r="CA1909" s="78"/>
      <c r="EE1909" s="76">
        <f>+IF(MID($J$3,1,10)=MID($EE$3,1,10),2,1)</f>
        <v>2</v>
      </c>
    </row>
    <row r="1910" spans="76:135" x14ac:dyDescent="0.25">
      <c r="BX1910" s="78"/>
      <c r="BY1910" s="319">
        <v>176</v>
      </c>
      <c r="CA1910" s="78"/>
      <c r="EE1910" s="76">
        <f>+IF(MID($J$2,1,10)=MID($EE$2,1,10),1,2)</f>
        <v>1</v>
      </c>
    </row>
    <row r="1911" spans="76:135" x14ac:dyDescent="0.25">
      <c r="BX1911" s="78"/>
      <c r="BY1911" s="319">
        <v>177</v>
      </c>
      <c r="CA1911" s="78"/>
      <c r="EE1911" s="76">
        <f>+IF(MID($J$2,1,10)=MID($EE$2,1,10),0,1)</f>
        <v>0</v>
      </c>
    </row>
    <row r="1912" spans="76:135" x14ac:dyDescent="0.25">
      <c r="BX1912" s="78"/>
      <c r="BY1912" s="319">
        <v>167</v>
      </c>
      <c r="CA1912" s="78"/>
      <c r="EE1912" s="76">
        <f>+IF(MID($J$2,1,10)=MID($EE$2,1,10),0,1)</f>
        <v>0</v>
      </c>
    </row>
    <row r="1913" spans="76:135" x14ac:dyDescent="0.25">
      <c r="BX1913" s="78"/>
      <c r="BY1913" s="319">
        <v>97</v>
      </c>
      <c r="CA1913" s="78"/>
      <c r="EE1913" s="76">
        <f>+IF(MID($J$2,1,10)=MID($EE$2,1,10),0,1)</f>
        <v>0</v>
      </c>
    </row>
    <row r="1914" spans="76:135" x14ac:dyDescent="0.25">
      <c r="BX1914" s="78"/>
      <c r="BY1914" s="319">
        <v>178</v>
      </c>
      <c r="CA1914" s="78"/>
      <c r="EE1914" s="76">
        <f>+IF(MID($J$2,1,10)=MID($EE$2,1,10),1,2)</f>
        <v>1</v>
      </c>
    </row>
    <row r="1915" spans="76:135" x14ac:dyDescent="0.25">
      <c r="BX1915" s="78"/>
      <c r="BY1915" s="319">
        <v>651</v>
      </c>
      <c r="CA1915" s="78"/>
      <c r="EE1915" s="76">
        <f>+IF(MID($J$3,1,10)=MID($EE$3,1,10),2,1)</f>
        <v>2</v>
      </c>
    </row>
    <row r="1916" spans="76:135" x14ac:dyDescent="0.25">
      <c r="BX1916" s="78"/>
      <c r="BY1916" s="319">
        <v>133</v>
      </c>
      <c r="CA1916" s="78"/>
      <c r="EE1916" s="76">
        <f>+IF(MID($J$2,1,10)=MID($EE$2,1,10),4,1)</f>
        <v>4</v>
      </c>
    </row>
    <row r="1917" spans="76:135" x14ac:dyDescent="0.25">
      <c r="BX1917" s="78"/>
      <c r="BY1917" s="319">
        <v>1047</v>
      </c>
      <c r="CA1917" s="78"/>
      <c r="EE1917" s="76">
        <f>+IF(MID($J$2,1,10)=MID($EE$2,1,10),0,1)</f>
        <v>0</v>
      </c>
    </row>
    <row r="1918" spans="76:135" x14ac:dyDescent="0.25">
      <c r="BX1918" s="78"/>
      <c r="BY1918" s="319">
        <v>165</v>
      </c>
      <c r="CA1918" s="78"/>
      <c r="EE1918" s="76">
        <f>+IF(MID($J$3,1,10)=MID($EE$3,1,10),2,1)</f>
        <v>2</v>
      </c>
    </row>
    <row r="1919" spans="76:135" x14ac:dyDescent="0.25">
      <c r="BX1919" s="78"/>
      <c r="BY1919" s="319">
        <v>1030</v>
      </c>
      <c r="CA1919" s="78"/>
      <c r="EE1919" s="76">
        <f>+IF(MID($J$3,1,10)=MID($EE$3,1,10),2,1)</f>
        <v>2</v>
      </c>
    </row>
    <row r="1920" spans="76:135" x14ac:dyDescent="0.25">
      <c r="BX1920" s="78"/>
      <c r="BY1920" s="319">
        <v>153</v>
      </c>
      <c r="CA1920" s="78"/>
      <c r="EE1920" s="76">
        <f>+IF(MID($J$2,1,10)=MID($EE$2,1,10),4,1)</f>
        <v>4</v>
      </c>
    </row>
    <row r="1921" spans="76:135" x14ac:dyDescent="0.25">
      <c r="BX1921" s="78"/>
      <c r="BY1921" s="319">
        <v>153</v>
      </c>
      <c r="CA1921" s="78"/>
      <c r="EE1921" s="76">
        <f>+IF(MID($J$3,1,10)=MID($EE$3,1,10),2,1)</f>
        <v>2</v>
      </c>
    </row>
    <row r="1922" spans="76:135" x14ac:dyDescent="0.25">
      <c r="BX1922" s="78"/>
      <c r="BY1922" s="319">
        <v>175</v>
      </c>
      <c r="CA1922" s="78"/>
      <c r="EE1922" s="76">
        <f>+IF(MID($J$2,1,10)=MID($EE$2,1,10),4,1)</f>
        <v>4</v>
      </c>
    </row>
    <row r="1923" spans="76:135" x14ac:dyDescent="0.25">
      <c r="BX1923" s="78"/>
      <c r="BY1923" s="319">
        <v>794</v>
      </c>
      <c r="CA1923" s="78"/>
      <c r="EE1923" s="76">
        <f>+IF(MID($J$2,1,10)=MID($EE$2,1,10),1,2)</f>
        <v>1</v>
      </c>
    </row>
    <row r="1924" spans="76:135" x14ac:dyDescent="0.25">
      <c r="BX1924" s="78"/>
      <c r="BY1924" s="319">
        <v>633</v>
      </c>
      <c r="CA1924" s="78"/>
      <c r="EE1924" s="76">
        <f>+IF(MID($J$2,1,10)=MID($EE$2,1,10),3,1)</f>
        <v>3</v>
      </c>
    </row>
    <row r="1925" spans="76:135" x14ac:dyDescent="0.25">
      <c r="BX1925" s="78"/>
      <c r="BY1925" s="319">
        <v>174</v>
      </c>
      <c r="CA1925" s="78"/>
      <c r="EE1925" s="76">
        <f>+IF(MID($J$2,1,10)=MID($EE$2,1,10),1,2)</f>
        <v>1</v>
      </c>
    </row>
    <row r="1926" spans="76:135" x14ac:dyDescent="0.25">
      <c r="BX1926" s="78"/>
      <c r="BY1926" s="319">
        <v>564</v>
      </c>
      <c r="CA1926" s="78"/>
      <c r="EE1926" s="76">
        <f>+IF(MID($J$3,1,10)=MID($EE$3,1,10),2,1)</f>
        <v>2</v>
      </c>
    </row>
    <row r="1927" spans="76:135" x14ac:dyDescent="0.25">
      <c r="BX1927" s="78"/>
      <c r="BY1927" s="319">
        <v>148</v>
      </c>
      <c r="CA1927" s="78"/>
      <c r="EE1927" s="76">
        <f>+IF(MID($J$2,1,10)=MID($EE$2,1,10),1,2)</f>
        <v>1</v>
      </c>
    </row>
    <row r="1928" spans="76:135" x14ac:dyDescent="0.25">
      <c r="BX1928" s="78"/>
      <c r="BY1928" s="319">
        <v>193</v>
      </c>
      <c r="CA1928" s="78"/>
      <c r="EE1928" s="76">
        <f>+IF(MID($J$2,1,10)=MID($EE$2,1,10),0,1)</f>
        <v>0</v>
      </c>
    </row>
    <row r="1929" spans="76:135" x14ac:dyDescent="0.25">
      <c r="BX1929" s="78"/>
      <c r="BY1929" s="319">
        <v>133</v>
      </c>
      <c r="CA1929" s="78"/>
      <c r="EE1929" s="76">
        <f>+IF(MID($J$2,1,10)=MID($EE$2,1,10),0,1)</f>
        <v>0</v>
      </c>
    </row>
    <row r="1930" spans="76:135" x14ac:dyDescent="0.25">
      <c r="BX1930" s="78"/>
      <c r="BY1930" s="319">
        <v>859</v>
      </c>
      <c r="CA1930" s="78"/>
      <c r="EE1930" s="76">
        <f>+IF(MID($J$2,1,10)=MID($EE$2,1,10),0,1)</f>
        <v>0</v>
      </c>
    </row>
    <row r="1931" spans="76:135" x14ac:dyDescent="0.25">
      <c r="BX1931" s="78"/>
      <c r="BY1931" s="319">
        <v>102</v>
      </c>
      <c r="CA1931" s="78"/>
      <c r="EE1931" s="76">
        <f>+IF(MID($J$2,1,10)=MID($EE$2,1,10),1,2)</f>
        <v>1</v>
      </c>
    </row>
    <row r="1932" spans="76:135" x14ac:dyDescent="0.25">
      <c r="BX1932" s="78"/>
      <c r="BY1932" s="319">
        <v>546</v>
      </c>
      <c r="CA1932" s="78"/>
      <c r="EE1932" s="76">
        <f>+IF(MID($J$2,1,10)=MID($EE$2,1,10),1,2)</f>
        <v>1</v>
      </c>
    </row>
    <row r="1933" spans="76:135" x14ac:dyDescent="0.25">
      <c r="BX1933" s="78"/>
      <c r="BY1933" s="319">
        <v>188</v>
      </c>
      <c r="CA1933" s="78"/>
      <c r="EE1933" s="76">
        <f>+IF(MID($J$2,1,10)=MID($EE$2,1,10),3,1)</f>
        <v>3</v>
      </c>
    </row>
    <row r="1934" spans="76:135" x14ac:dyDescent="0.25">
      <c r="BX1934" s="78"/>
      <c r="BY1934" s="319">
        <v>882</v>
      </c>
      <c r="CA1934" s="78"/>
      <c r="EE1934" s="76">
        <f>+IF(MID($J$2,1,10)=MID($EE$2,1,10),3,1)</f>
        <v>3</v>
      </c>
    </row>
    <row r="1935" spans="76:135" x14ac:dyDescent="0.25">
      <c r="BX1935" s="78"/>
      <c r="BY1935" s="319">
        <v>5</v>
      </c>
      <c r="CA1935" s="78"/>
      <c r="EE1935" s="76">
        <f>+IF(MID($J$2,1,10)=MID($EE$2,1,10),3,1)</f>
        <v>3</v>
      </c>
    </row>
    <row r="1936" spans="76:135" x14ac:dyDescent="0.25">
      <c r="BX1936" s="78"/>
      <c r="BY1936" s="319">
        <v>178</v>
      </c>
      <c r="CA1936" s="78"/>
      <c r="EE1936" s="76">
        <f>+IF(MID($J$2,1,10)=MID($EE$2,1,10),0,1)</f>
        <v>0</v>
      </c>
    </row>
    <row r="1937" spans="76:135" x14ac:dyDescent="0.25">
      <c r="BX1937" s="78"/>
      <c r="BY1937" s="322">
        <v>7</v>
      </c>
      <c r="CA1937" s="78"/>
      <c r="EE1937" s="76">
        <f>+IF(MID($J$3,1,10)=MID($EE$3,1,10),0,1)</f>
        <v>0</v>
      </c>
    </row>
    <row r="1938" spans="76:135" x14ac:dyDescent="0.25">
      <c r="BX1938" s="78"/>
      <c r="BY1938" s="319">
        <v>763</v>
      </c>
      <c r="CA1938" s="78"/>
      <c r="EE1938" s="76">
        <f>+IF(MID($J$2,1,10)=MID($EE$2,1,10),3,1)</f>
        <v>3</v>
      </c>
    </row>
    <row r="1939" spans="76:135" x14ac:dyDescent="0.25">
      <c r="BX1939" s="78"/>
      <c r="BY1939" s="319">
        <v>127</v>
      </c>
      <c r="CA1939" s="78"/>
      <c r="EE1939" s="76">
        <f>+IF(MID($J$2,1,10)=MID($EE$2,1,10),3,1)</f>
        <v>3</v>
      </c>
    </row>
    <row r="1940" spans="76:135" x14ac:dyDescent="0.25">
      <c r="BX1940" s="78"/>
      <c r="BY1940" s="319">
        <v>401</v>
      </c>
      <c r="CA1940" s="78"/>
      <c r="EE1940" s="76">
        <f>+IF(MID($J$2,1,10)=MID($EE$2,1,10),0,1)</f>
        <v>0</v>
      </c>
    </row>
    <row r="1941" spans="76:135" x14ac:dyDescent="0.25">
      <c r="BX1941" s="78"/>
      <c r="BY1941" s="319">
        <v>167</v>
      </c>
      <c r="CA1941" s="78"/>
      <c r="EE1941" s="76">
        <f>+IF(MID($J$2,1,10)=MID($EE$2,1,10),3,1)</f>
        <v>3</v>
      </c>
    </row>
    <row r="1942" spans="76:135" x14ac:dyDescent="0.25">
      <c r="BX1942" s="78"/>
      <c r="BY1942" s="319">
        <v>189</v>
      </c>
      <c r="CA1942" s="78"/>
      <c r="EE1942" s="76">
        <f>+IF(MID($J$2,1,10)=MID($EE$2,1,10),3,1)</f>
        <v>3</v>
      </c>
    </row>
    <row r="1943" spans="76:135" x14ac:dyDescent="0.25">
      <c r="BX1943" s="78"/>
      <c r="BY1943" s="319">
        <v>105</v>
      </c>
      <c r="CA1943" s="78"/>
      <c r="EE1943" s="76">
        <f>+IF(MID($J$2,1,10)=MID($EE$2,1,10),3,1)</f>
        <v>3</v>
      </c>
    </row>
    <row r="1944" spans="76:135" x14ac:dyDescent="0.25">
      <c r="BX1944" s="78"/>
      <c r="BY1944" s="319">
        <v>1014</v>
      </c>
      <c r="CA1944" s="78"/>
      <c r="EE1944" s="76">
        <f>+IF(MID($J$2,1,10)=MID($EE$2,1,10),1,2)</f>
        <v>1</v>
      </c>
    </row>
    <row r="1945" spans="76:135" x14ac:dyDescent="0.25">
      <c r="BX1945" s="78"/>
      <c r="BY1945" s="319">
        <v>4</v>
      </c>
      <c r="CA1945" s="78"/>
      <c r="EE1945" s="76">
        <f>+IF(MID($J$3,1,10)=MID($EE$3,1,10),2,1)</f>
        <v>2</v>
      </c>
    </row>
    <row r="1946" spans="76:135" x14ac:dyDescent="0.25">
      <c r="BX1946" s="78"/>
      <c r="BY1946" s="319">
        <v>163</v>
      </c>
      <c r="CA1946" s="78"/>
      <c r="EE1946" s="76">
        <f>+IF(MID($J$2,1,10)=MID($EE$2,1,10),4,1)</f>
        <v>4</v>
      </c>
    </row>
    <row r="1947" spans="76:135" x14ac:dyDescent="0.25">
      <c r="BX1947" s="78"/>
      <c r="BY1947" s="319">
        <v>133</v>
      </c>
      <c r="CA1947" s="78"/>
      <c r="EE1947" s="76">
        <f>+IF(MID($J$2,1,10)=MID($EE$2,1,10),0,1)</f>
        <v>0</v>
      </c>
    </row>
    <row r="1948" spans="76:135" x14ac:dyDescent="0.25">
      <c r="BX1948" s="78"/>
      <c r="BY1948" s="319">
        <v>314</v>
      </c>
      <c r="CA1948" s="78"/>
      <c r="EE1948" s="76">
        <f>+IF(MID($J$3,1,10)=MID($EE$3,1,10),2,1)</f>
        <v>2</v>
      </c>
    </row>
    <row r="1949" spans="76:135" x14ac:dyDescent="0.25">
      <c r="BX1949" s="78"/>
      <c r="BY1949" s="319">
        <v>151</v>
      </c>
      <c r="CA1949" s="78"/>
      <c r="EE1949" s="76">
        <f>+IF(MID($J$3,1,10)=MID($EE$3,1,10),2,1)</f>
        <v>2</v>
      </c>
    </row>
    <row r="1950" spans="76:135" x14ac:dyDescent="0.25">
      <c r="BX1950" s="78"/>
      <c r="BY1950" s="319">
        <v>132</v>
      </c>
      <c r="CA1950" s="78"/>
      <c r="EE1950" s="76">
        <f>+IF(MID($J$2,1,10)=MID($EE$2,1,10),4,1)</f>
        <v>4</v>
      </c>
    </row>
    <row r="1951" spans="76:135" x14ac:dyDescent="0.25">
      <c r="BX1951" s="78"/>
      <c r="BY1951" s="319">
        <v>781</v>
      </c>
      <c r="CA1951" s="78"/>
      <c r="EE1951" s="76">
        <f>+IF(MID($J$3,1,10)=MID($EE$3,1,10),2,1)</f>
        <v>2</v>
      </c>
    </row>
    <row r="1952" spans="76:135" x14ac:dyDescent="0.25">
      <c r="BX1952" s="78"/>
      <c r="BY1952" s="319">
        <v>183</v>
      </c>
      <c r="CA1952" s="78"/>
      <c r="EE1952" s="76">
        <f>+IF(MID($J$2,1,10)=MID($EE$2,1,10),4,1)</f>
        <v>4</v>
      </c>
    </row>
    <row r="1953" spans="76:135" x14ac:dyDescent="0.25">
      <c r="BX1953" s="78"/>
      <c r="BY1953" s="319">
        <v>506</v>
      </c>
      <c r="CA1953" s="78"/>
      <c r="EE1953" s="76">
        <f>+IF(MID($J$2,1,10)=MID($EE$2,1,10),1,2)</f>
        <v>1</v>
      </c>
    </row>
    <row r="1954" spans="76:135" x14ac:dyDescent="0.25">
      <c r="BX1954" s="78"/>
      <c r="BY1954" s="319">
        <v>200</v>
      </c>
      <c r="CA1954" s="78"/>
      <c r="EE1954" s="76">
        <f>+IF(MID($J$2,1,10)=MID($EE$2,1,10),3,1)</f>
        <v>3</v>
      </c>
    </row>
    <row r="1955" spans="76:135" x14ac:dyDescent="0.25">
      <c r="BX1955" s="78"/>
      <c r="BY1955" s="319">
        <v>449</v>
      </c>
      <c r="CA1955" s="78"/>
      <c r="EE1955" s="76">
        <f>+IF(MID($J$2,1,10)=MID($EE$2,1,10),1,2)</f>
        <v>1</v>
      </c>
    </row>
    <row r="1956" spans="76:135" x14ac:dyDescent="0.25">
      <c r="BX1956" s="78"/>
      <c r="BY1956" s="319">
        <v>159</v>
      </c>
      <c r="CA1956" s="78"/>
      <c r="EE1956" s="76">
        <f>+IF(MID($J$3,1,10)=MID($EE$3,1,10),2,1)</f>
        <v>2</v>
      </c>
    </row>
    <row r="1957" spans="76:135" x14ac:dyDescent="0.25">
      <c r="BX1957" s="78"/>
      <c r="BY1957" s="319">
        <v>569</v>
      </c>
      <c r="CA1957" s="78"/>
      <c r="EE1957" s="76">
        <f>+IF(MID($J$2,1,10)=MID($EE$2,1,10),1,2)</f>
        <v>1</v>
      </c>
    </row>
    <row r="1958" spans="76:135" x14ac:dyDescent="0.25">
      <c r="BX1958" s="78"/>
      <c r="BY1958" s="319">
        <v>123</v>
      </c>
      <c r="CA1958" s="78"/>
      <c r="EE1958" s="76">
        <f>+IF(MID($J$2,1,10)=MID($EE$2,1,10),0,1)</f>
        <v>0</v>
      </c>
    </row>
    <row r="1959" spans="76:135" x14ac:dyDescent="0.25">
      <c r="BX1959" s="78"/>
      <c r="BY1959" s="319">
        <v>703</v>
      </c>
      <c r="CA1959" s="78"/>
      <c r="EE1959" s="76">
        <f>+IF(MID($J$2,1,10)=MID($EE$2,1,10),0,1)</f>
        <v>0</v>
      </c>
    </row>
    <row r="1960" spans="76:135" x14ac:dyDescent="0.25">
      <c r="BX1960" s="78"/>
      <c r="BY1960" s="319">
        <v>165</v>
      </c>
      <c r="CA1960" s="78"/>
      <c r="EE1960" s="76">
        <f>+IF(MID($J$2,1,10)=MID($EE$2,1,10),0,1)</f>
        <v>0</v>
      </c>
    </row>
    <row r="1961" spans="76:135" x14ac:dyDescent="0.25">
      <c r="BX1961" s="78"/>
      <c r="BY1961" s="319">
        <v>1125</v>
      </c>
      <c r="CA1961" s="78"/>
      <c r="EE1961" s="76">
        <f>+IF(MID($J$2,1,10)=MID($EE$2,1,10),1,2)</f>
        <v>1</v>
      </c>
    </row>
    <row r="1962" spans="76:135" x14ac:dyDescent="0.25">
      <c r="BX1962" s="78"/>
      <c r="BY1962" s="319">
        <v>186</v>
      </c>
      <c r="CA1962" s="78"/>
      <c r="EE1962" s="76">
        <f>+IF(MID($J$2,1,10)=MID($EE$2,1,10),1,2)</f>
        <v>1</v>
      </c>
    </row>
    <row r="1963" spans="76:135" x14ac:dyDescent="0.25">
      <c r="BX1963" s="78"/>
      <c r="BY1963" s="322">
        <v>15</v>
      </c>
      <c r="CA1963" s="78"/>
      <c r="EE1963" s="76">
        <f>+IF(MID($J$4,1,8)=MID($EE$4,1,8),2,1)</f>
        <v>2</v>
      </c>
    </row>
    <row r="1964" spans="76:135" x14ac:dyDescent="0.25">
      <c r="BX1964" s="79"/>
      <c r="BY1964" s="322">
        <v>20</v>
      </c>
      <c r="BZ1964" s="323"/>
      <c r="CA1964" s="79"/>
      <c r="EE1964" s="76">
        <f>+IF(MID($J$5,1,10)=MID($EE$5,1,10),0,1)</f>
        <v>0</v>
      </c>
    </row>
    <row r="1965" spans="76:135" x14ac:dyDescent="0.25">
      <c r="BX1965" s="78"/>
      <c r="BY1965" s="319">
        <v>184</v>
      </c>
      <c r="CA1965" s="78"/>
      <c r="EE1965" s="76">
        <f>+IF(MID($J$2,1,10)=MID($EE$2,1,10),3,1)</f>
        <v>3</v>
      </c>
    </row>
    <row r="1966" spans="76:135" x14ac:dyDescent="0.25">
      <c r="BX1966" s="78"/>
      <c r="BY1966" s="322">
        <v>18</v>
      </c>
      <c r="CA1966" s="78"/>
      <c r="EE1966" s="76">
        <f>+IF(MID($J$2,1,10)=MID($EE$2,1,10),0,1)</f>
        <v>0</v>
      </c>
    </row>
    <row r="1967" spans="76:135" x14ac:dyDescent="0.25">
      <c r="BX1967" s="78"/>
      <c r="BY1967" s="319">
        <v>187</v>
      </c>
      <c r="CA1967" s="78"/>
      <c r="EE1967" s="76">
        <f>+IF(MID($J$2,1,10)=MID($EE$2,1,10),1,2)</f>
        <v>1</v>
      </c>
    </row>
    <row r="1968" spans="76:135" x14ac:dyDescent="0.25">
      <c r="BX1968" s="78"/>
      <c r="BY1968" s="319">
        <v>487</v>
      </c>
      <c r="CA1968" s="78"/>
      <c r="EE1968" s="76">
        <f>+IF(MID($J$2,1,10)=MID($EE$2,1,10),3,1)</f>
        <v>3</v>
      </c>
    </row>
    <row r="1969" spans="76:135" x14ac:dyDescent="0.25">
      <c r="BX1969" s="78"/>
      <c r="BY1969" s="319">
        <v>160</v>
      </c>
      <c r="CA1969" s="78"/>
      <c r="EE1969" s="76">
        <f>+IF(MID($J$2,1,10)=MID($EE$2,1,10),3,1)</f>
        <v>3</v>
      </c>
    </row>
    <row r="1970" spans="76:135" x14ac:dyDescent="0.25">
      <c r="BX1970" s="78"/>
      <c r="BY1970" s="319">
        <v>806</v>
      </c>
      <c r="BZ1970" s="321">
        <v>2</v>
      </c>
      <c r="CA1970" s="78"/>
      <c r="EE1970" s="76">
        <f>+IF(MID($J$2,1,10)=MID($EE$2,1,10),0,1)</f>
        <v>0</v>
      </c>
    </row>
    <row r="1971" spans="76:135" x14ac:dyDescent="0.25">
      <c r="BX1971" s="78"/>
      <c r="BY1971" s="319">
        <v>199</v>
      </c>
      <c r="BZ1971" s="321">
        <v>2</v>
      </c>
      <c r="CA1971" s="78"/>
      <c r="EE1971" s="76">
        <f>+IF(MID($J$2,1,10)=MID($EE$2,1,10),3,1)</f>
        <v>3</v>
      </c>
    </row>
    <row r="1972" spans="76:135" x14ac:dyDescent="0.25">
      <c r="BX1972" s="78"/>
      <c r="BY1972" s="319">
        <v>827</v>
      </c>
      <c r="BZ1972" s="321">
        <v>2</v>
      </c>
      <c r="CA1972" s="78"/>
      <c r="EE1972" s="76">
        <f>+IF(MID($J$2,1,10)=MID($EE$2,1,10),3,1)</f>
        <v>3</v>
      </c>
    </row>
    <row r="1973" spans="76:135" x14ac:dyDescent="0.25">
      <c r="BX1973" s="78"/>
      <c r="BY1973" s="319">
        <v>156</v>
      </c>
      <c r="BZ1973" s="321">
        <v>2</v>
      </c>
      <c r="CA1973" s="78"/>
      <c r="EE1973" s="76">
        <f>+IF(MID($J$2,1,10)=MID($EE$2,1,10),3,1)</f>
        <v>3</v>
      </c>
    </row>
    <row r="1974" spans="76:135" x14ac:dyDescent="0.25">
      <c r="BX1974" s="78"/>
      <c r="BY1974" s="319">
        <v>1134</v>
      </c>
      <c r="BZ1974" s="321">
        <v>2</v>
      </c>
      <c r="CA1974" s="78"/>
      <c r="EE1974" s="76">
        <f>+IF(MID($J$3,1,10)=MID($EE$3,1,10),2,1)</f>
        <v>2</v>
      </c>
    </row>
    <row r="1975" spans="76:135" x14ac:dyDescent="0.25">
      <c r="BX1975" s="78"/>
      <c r="BY1975" s="319">
        <v>143</v>
      </c>
      <c r="BZ1975" s="321">
        <v>2</v>
      </c>
      <c r="CA1975" s="78"/>
      <c r="EE1975" s="76">
        <f>+IF(MID($J$2,1,10)=MID($EE$2,1,10),4,1)</f>
        <v>4</v>
      </c>
    </row>
    <row r="1976" spans="76:135" x14ac:dyDescent="0.25">
      <c r="BX1976" s="78"/>
      <c r="BY1976" s="319">
        <v>162</v>
      </c>
      <c r="BZ1976" s="321">
        <v>2</v>
      </c>
      <c r="CA1976" s="78"/>
      <c r="EE1976" s="76">
        <f>+IF(MID($J$2,1,10)=MID($EE$2,1,10),0,1)</f>
        <v>0</v>
      </c>
    </row>
    <row r="1977" spans="76:135" x14ac:dyDescent="0.25">
      <c r="BX1977" s="78"/>
      <c r="BY1977" s="319">
        <v>190</v>
      </c>
      <c r="BZ1977" s="321">
        <v>2</v>
      </c>
      <c r="CA1977" s="78"/>
      <c r="EE1977" s="76">
        <f>+IF(MID($J$3,1,10)=MID($EE$3,1,10),2,1)</f>
        <v>2</v>
      </c>
    </row>
    <row r="1978" spans="76:135" x14ac:dyDescent="0.25">
      <c r="BX1978" s="78"/>
      <c r="BY1978" s="319">
        <v>1008</v>
      </c>
      <c r="BZ1978" s="321">
        <v>2</v>
      </c>
      <c r="CA1978" s="78"/>
      <c r="EE1978" s="76">
        <f>+IF(MID($J$3,1,10)=MID($EE$3,1,10),2,1)</f>
        <v>2</v>
      </c>
    </row>
    <row r="1979" spans="76:135" x14ac:dyDescent="0.25">
      <c r="BX1979" s="78"/>
      <c r="BY1979" s="319">
        <v>153</v>
      </c>
      <c r="CA1979" s="78"/>
      <c r="EE1979" s="76">
        <f>+IF(MID($J$2,1,10)=MID($EE$2,1,10),4,1)</f>
        <v>4</v>
      </c>
    </row>
    <row r="1980" spans="76:135" x14ac:dyDescent="0.25">
      <c r="BX1980" s="78"/>
      <c r="BY1980" s="322">
        <v>10</v>
      </c>
      <c r="CA1980" s="78"/>
      <c r="EE1980" s="76">
        <f>+IF(MID($J$6,1,5)=MID($EE$11,1,5),0,1)</f>
        <v>0</v>
      </c>
    </row>
    <row r="1981" spans="76:135" x14ac:dyDescent="0.25">
      <c r="BX1981" s="78"/>
      <c r="BY1981" s="319">
        <v>194</v>
      </c>
      <c r="CA1981" s="78"/>
      <c r="EE1981" s="76">
        <f>+IF(MID($J$2,1,10)=MID($EE$2,1,10),4,1)</f>
        <v>4</v>
      </c>
    </row>
    <row r="1982" spans="76:135" x14ac:dyDescent="0.25">
      <c r="BX1982" s="78"/>
      <c r="BY1982" s="319">
        <v>152</v>
      </c>
      <c r="CA1982" s="78"/>
      <c r="EE1982" s="76">
        <f>+IF(MID($J$2,1,10)=MID($EE$2,1,10),1,2)</f>
        <v>1</v>
      </c>
    </row>
    <row r="1983" spans="76:135" x14ac:dyDescent="0.25">
      <c r="BX1983" s="78"/>
      <c r="BY1983" s="319">
        <v>172</v>
      </c>
      <c r="CA1983" s="78"/>
      <c r="EE1983" s="76">
        <f>+IF(MID($J$2,1,10)=MID($EE$2,1,10),3,1)</f>
        <v>3</v>
      </c>
    </row>
    <row r="1984" spans="76:135" x14ac:dyDescent="0.25">
      <c r="BX1984" s="78"/>
      <c r="BY1984" s="319">
        <v>652</v>
      </c>
      <c r="CA1984" s="78"/>
      <c r="EE1984" s="76">
        <f>+IF(MID($J$2,1,10)=MID($EE$2,1,10),1,2)</f>
        <v>1</v>
      </c>
    </row>
    <row r="1985" spans="76:135" x14ac:dyDescent="0.25">
      <c r="BX1985" s="78"/>
      <c r="BY1985" s="319">
        <v>965</v>
      </c>
      <c r="CA1985" s="78"/>
      <c r="EE1985" s="76">
        <f>+IF(MID($J$3,1,10)=MID($EE$3,1,10),2,1)</f>
        <v>2</v>
      </c>
    </row>
    <row r="1986" spans="76:135" x14ac:dyDescent="0.25">
      <c r="BX1986" s="78"/>
      <c r="BY1986" s="319">
        <v>205</v>
      </c>
      <c r="CA1986" s="78"/>
      <c r="EE1986" s="76">
        <f>+IF(MID($J$2,1,10)=MID($EE$2,1,10),1,2)</f>
        <v>1</v>
      </c>
    </row>
    <row r="1987" spans="76:135" x14ac:dyDescent="0.25">
      <c r="BX1987" s="78"/>
      <c r="BY1987" s="319">
        <v>446</v>
      </c>
      <c r="CA1987" s="78"/>
      <c r="EE1987" s="76">
        <f>+IF(MID($J$2,1,10)=MID($EE$2,1,10),0,1)</f>
        <v>0</v>
      </c>
    </row>
    <row r="1988" spans="76:135" x14ac:dyDescent="0.25">
      <c r="BX1988" s="78"/>
      <c r="BY1988" s="319">
        <v>129</v>
      </c>
      <c r="CA1988" s="78"/>
      <c r="EE1988" s="76">
        <f>+IF(MID($J$2,1,10)=MID($EE$2,1,10),0,1)</f>
        <v>0</v>
      </c>
    </row>
    <row r="1989" spans="76:135" x14ac:dyDescent="0.25">
      <c r="BX1989" s="78"/>
      <c r="BY1989" s="319">
        <v>547</v>
      </c>
      <c r="CA1989" s="78"/>
      <c r="EE1989" s="76">
        <f>+IF(MID($J$2,1,10)=MID($EE$2,1,10),0,1)</f>
        <v>0</v>
      </c>
    </row>
    <row r="1990" spans="76:135" x14ac:dyDescent="0.25">
      <c r="BX1990" s="78"/>
      <c r="BY1990" s="319">
        <v>124</v>
      </c>
      <c r="CA1990" s="78"/>
      <c r="EE1990" s="76">
        <f>+IF(MID($J$2,1,10)=MID($EE$2,1,10),1,2)</f>
        <v>1</v>
      </c>
    </row>
    <row r="1991" spans="76:135" x14ac:dyDescent="0.25">
      <c r="BX1991" s="78"/>
      <c r="BY1991" s="319">
        <v>619</v>
      </c>
      <c r="CA1991" s="78"/>
      <c r="EE1991" s="76">
        <f>+IF(MID($J$2,1,10)=MID($EE$2,1,10),1,2)</f>
        <v>1</v>
      </c>
    </row>
    <row r="1992" spans="76:135" x14ac:dyDescent="0.25">
      <c r="BX1992" s="78"/>
      <c r="BY1992" s="319">
        <v>198</v>
      </c>
      <c r="CA1992" s="78"/>
      <c r="EE1992" s="76">
        <f>+IF(MID($J$2,1,10)=MID($EE$2,1,10),3,1)</f>
        <v>3</v>
      </c>
    </row>
    <row r="1993" spans="76:135" x14ac:dyDescent="0.25">
      <c r="BX1993" s="78"/>
      <c r="BY1993" s="319">
        <v>944</v>
      </c>
      <c r="CA1993" s="78"/>
      <c r="EE1993" s="76">
        <f>+IF(MID($J$2,1,10)=MID($EE$2,1,10),3,1)</f>
        <v>3</v>
      </c>
    </row>
    <row r="1994" spans="76:135" x14ac:dyDescent="0.25">
      <c r="BX1994" s="78"/>
      <c r="BY1994" s="319">
        <v>143</v>
      </c>
      <c r="CA1994" s="78"/>
      <c r="EE1994" s="76">
        <f>+IF(MID($J$2,1,10)=MID($EE$2,1,10),3,1)</f>
        <v>3</v>
      </c>
    </row>
    <row r="1995" spans="76:135" x14ac:dyDescent="0.25">
      <c r="BX1995" s="78"/>
      <c r="BY1995" s="319">
        <v>281</v>
      </c>
      <c r="CA1995" s="78"/>
      <c r="EE1995" s="76">
        <f>+IF(MID($J$2,1,10)=MID($EE$2,1,10),0,1)</f>
        <v>0</v>
      </c>
    </row>
    <row r="1996" spans="76:135" x14ac:dyDescent="0.25">
      <c r="BX1996" s="78"/>
      <c r="BY1996" s="319">
        <v>146</v>
      </c>
      <c r="CA1996" s="78"/>
      <c r="EE1996" s="76">
        <f>+IF(MID($J$2,1,10)=MID($EE$2,1,10),1,2)</f>
        <v>1</v>
      </c>
    </row>
    <row r="1997" spans="76:135" x14ac:dyDescent="0.25">
      <c r="BX1997" s="78"/>
      <c r="BY1997" s="319">
        <v>931</v>
      </c>
      <c r="CA1997" s="78"/>
      <c r="EE1997" s="76">
        <f>+IF(MID($J$2,1,10)=MID($EE$2,1,10),3,1)</f>
        <v>3</v>
      </c>
    </row>
    <row r="1998" spans="76:135" x14ac:dyDescent="0.25">
      <c r="BX1998" s="78"/>
      <c r="BY1998" s="319">
        <v>392</v>
      </c>
      <c r="CA1998" s="78"/>
      <c r="EE1998" s="76">
        <f>+IF(MID($J$2,1,10)=MID($EE$2,1,10),3,1)</f>
        <v>3</v>
      </c>
    </row>
    <row r="1999" spans="76:135" x14ac:dyDescent="0.25">
      <c r="BX1999" s="78"/>
      <c r="BY1999" s="319">
        <v>120</v>
      </c>
      <c r="CA1999" s="78"/>
      <c r="EE1999" s="76">
        <f>+IF(MID($J$2,1,10)=MID($EE$2,1,10),0,1)</f>
        <v>0</v>
      </c>
    </row>
    <row r="2000" spans="76:135" x14ac:dyDescent="0.25">
      <c r="BX2000" s="78"/>
      <c r="BY2000" s="319">
        <v>329</v>
      </c>
      <c r="CA2000" s="78"/>
      <c r="EE2000" s="76">
        <f>+IF(MID($J$2,1,10)=MID($EE$2,1,10),3,1)</f>
        <v>3</v>
      </c>
    </row>
    <row r="2001" spans="76:135" x14ac:dyDescent="0.25">
      <c r="BX2001" s="78"/>
      <c r="BY2001" s="319">
        <v>200</v>
      </c>
      <c r="CA2001" s="78"/>
      <c r="EE2001" s="76">
        <f>+IF(MID($J$2,1,10)=MID($EE$2,1,10),3,1)</f>
        <v>3</v>
      </c>
    </row>
    <row r="2002" spans="76:135" x14ac:dyDescent="0.25">
      <c r="BX2002" s="78"/>
      <c r="BY2002" s="322">
        <v>7</v>
      </c>
      <c r="CA2002" s="78"/>
      <c r="EE2002" s="76">
        <f>+IF(MID($J$3,1,10)=MID($EE$3,1,10),1,2)</f>
        <v>1</v>
      </c>
    </row>
    <row r="2003" spans="76:135" x14ac:dyDescent="0.25">
      <c r="BX2003" s="78"/>
      <c r="BY2003" s="319">
        <v>202</v>
      </c>
      <c r="CA2003" s="78"/>
      <c r="EE2003" s="76">
        <f>+IF(MID($J$2,1,10)=MID($EE$2,1,10),1,2)</f>
        <v>1</v>
      </c>
    </row>
    <row r="2004" spans="76:135" x14ac:dyDescent="0.25">
      <c r="BX2004" s="78"/>
      <c r="BY2004" s="319">
        <v>797</v>
      </c>
      <c r="CA2004" s="78"/>
      <c r="EE2004" s="76">
        <f>+IF(MID($J$3,1,10)=MID($EE$3,1,10),2,1)</f>
        <v>2</v>
      </c>
    </row>
    <row r="2005" spans="76:135" x14ac:dyDescent="0.25">
      <c r="BX2005" s="79"/>
      <c r="BY2005" s="322">
        <v>20</v>
      </c>
      <c r="BZ2005" s="323"/>
      <c r="CA2005" s="79"/>
      <c r="EE2005" s="76">
        <f>+IF(MID($J$6,1,5)=MID($EE$11,1,5),3,1)</f>
        <v>3</v>
      </c>
    </row>
    <row r="2006" spans="76:135" x14ac:dyDescent="0.25">
      <c r="BX2006" s="78"/>
      <c r="BY2006" s="319">
        <v>1078</v>
      </c>
      <c r="CA2006" s="78"/>
      <c r="EE2006" s="76">
        <f>+IF(MID($J$2,1,10)=MID($EE$2,1,10),0,1)</f>
        <v>0</v>
      </c>
    </row>
    <row r="2007" spans="76:135" x14ac:dyDescent="0.25">
      <c r="BX2007" s="78"/>
      <c r="BY2007" s="319">
        <v>183</v>
      </c>
      <c r="CA2007" s="78"/>
      <c r="EE2007" s="76">
        <f>+IF(MID($J$3,1,10)=MID($EE$3,1,10),2,1)</f>
        <v>2</v>
      </c>
    </row>
    <row r="2008" spans="76:135" x14ac:dyDescent="0.25">
      <c r="BX2008" s="78"/>
      <c r="BY2008" s="319">
        <v>461</v>
      </c>
      <c r="CA2008" s="78"/>
      <c r="EE2008" s="76">
        <f>+IF(MID($J$3,1,10)=MID($EE$3,1,10),2,1)</f>
        <v>2</v>
      </c>
    </row>
    <row r="2009" spans="76:135" x14ac:dyDescent="0.25">
      <c r="BX2009" s="78"/>
      <c r="BY2009" s="319">
        <v>168</v>
      </c>
      <c r="CA2009" s="78"/>
      <c r="EE2009" s="76">
        <f>+IF(MID($J$2,1,10)=MID($EE$2,1,10),4,1)</f>
        <v>4</v>
      </c>
    </row>
    <row r="2010" spans="76:135" x14ac:dyDescent="0.25">
      <c r="BX2010" s="78"/>
      <c r="BY2010" s="319">
        <v>136</v>
      </c>
      <c r="CA2010" s="78"/>
      <c r="EE2010" s="76">
        <f>+IF(MID($J$3,1,10)=MID($EE$3,1,10),2,1)</f>
        <v>2</v>
      </c>
    </row>
    <row r="2011" spans="76:135" x14ac:dyDescent="0.25">
      <c r="BX2011" s="78"/>
      <c r="BY2011" s="319">
        <v>160</v>
      </c>
      <c r="CA2011" s="78"/>
      <c r="EE2011" s="76">
        <f>+IF(MID($J$2,1,10)=MID($EE$2,1,10),4,1)</f>
        <v>4</v>
      </c>
    </row>
    <row r="2012" spans="76:135" x14ac:dyDescent="0.25">
      <c r="BX2012" s="78"/>
      <c r="BY2012" s="319">
        <v>828</v>
      </c>
      <c r="CA2012" s="78"/>
      <c r="EE2012" s="76">
        <f>+IF(MID($J$2,1,10)=MID($EE$2,1,10),1,2)</f>
        <v>1</v>
      </c>
    </row>
    <row r="2013" spans="76:135" x14ac:dyDescent="0.25">
      <c r="BX2013" s="78"/>
      <c r="BY2013" s="319">
        <v>156</v>
      </c>
      <c r="CA2013" s="78"/>
      <c r="EE2013" s="76">
        <f>+IF(MID($J$2,1,10)=MID($EE$2,1,10),3,1)</f>
        <v>3</v>
      </c>
    </row>
    <row r="2014" spans="76:135" x14ac:dyDescent="0.25">
      <c r="BX2014" s="78"/>
      <c r="BY2014" s="319">
        <v>775</v>
      </c>
      <c r="CA2014" s="78"/>
      <c r="EE2014" s="76">
        <f>+IF(MID($J$2,1,10)=MID($EE$2,1,10),1,2)</f>
        <v>1</v>
      </c>
    </row>
    <row r="2015" spans="76:135" x14ac:dyDescent="0.25">
      <c r="BX2015" s="78"/>
      <c r="BY2015" s="319">
        <v>103</v>
      </c>
      <c r="CA2015" s="78"/>
      <c r="EE2015" s="76">
        <f>+IF(MID($J$3,1,10)=MID($EE$3,1,10),2,1)</f>
        <v>2</v>
      </c>
    </row>
    <row r="2016" spans="76:135" x14ac:dyDescent="0.25">
      <c r="BX2016" s="78"/>
      <c r="BY2016" s="319">
        <v>405</v>
      </c>
      <c r="CA2016" s="78"/>
      <c r="EE2016" s="76">
        <f>+IF(MID($J$2,1,10)=MID($EE$2,1,10),1,2)</f>
        <v>1</v>
      </c>
    </row>
    <row r="2017" spans="76:135" x14ac:dyDescent="0.25">
      <c r="BX2017" s="78"/>
      <c r="BY2017" s="319">
        <v>95</v>
      </c>
      <c r="CA2017" s="78"/>
      <c r="EE2017" s="76">
        <f>+IF(MID($J$2,1,10)=MID($EE$2,1,10),0,1)</f>
        <v>0</v>
      </c>
    </row>
    <row r="2018" spans="76:135" x14ac:dyDescent="0.25">
      <c r="BX2018" s="78"/>
      <c r="BY2018" s="319">
        <v>98</v>
      </c>
      <c r="CA2018" s="78"/>
      <c r="EE2018" s="76">
        <f>+IF(MID($J$2,1,10)=MID($EE$2,1,10),0,1)</f>
        <v>0</v>
      </c>
    </row>
    <row r="2019" spans="76:135" x14ac:dyDescent="0.25">
      <c r="BX2019" s="78"/>
      <c r="BY2019" s="319">
        <v>3</v>
      </c>
      <c r="CA2019" s="78"/>
      <c r="EE2019" s="76">
        <f>+IF(MID($J$2,1,10)=MID($EE$2,1,10),0,1)</f>
        <v>0</v>
      </c>
    </row>
    <row r="2020" spans="76:135" x14ac:dyDescent="0.25">
      <c r="BX2020" s="78"/>
      <c r="BY2020" s="319">
        <v>526</v>
      </c>
      <c r="CA2020" s="78"/>
      <c r="EE2020" s="76">
        <f>+IF(MID($J$2,1,10)=MID($EE$2,1,10),1,2)</f>
        <v>1</v>
      </c>
    </row>
    <row r="2021" spans="76:135" x14ac:dyDescent="0.25">
      <c r="BX2021" s="78"/>
      <c r="BY2021" s="319">
        <v>199</v>
      </c>
      <c r="CA2021" s="78"/>
      <c r="EE2021" s="76">
        <f>+IF(MID($J$2,1,10)=MID($EE$2,1,10),1,2)</f>
        <v>1</v>
      </c>
    </row>
    <row r="2022" spans="76:135" x14ac:dyDescent="0.25">
      <c r="BX2022" s="78"/>
      <c r="BY2022" s="322">
        <v>28</v>
      </c>
      <c r="CA2022" s="78"/>
      <c r="EE2022" s="76">
        <f>+IF(MID($J$3,1,10)=MID($EE$3,1,10),0,1)</f>
        <v>0</v>
      </c>
    </row>
    <row r="2023" spans="76:135" x14ac:dyDescent="0.25">
      <c r="BX2023" s="78"/>
      <c r="BY2023" s="319">
        <v>182</v>
      </c>
      <c r="CA2023" s="78"/>
      <c r="EE2023" s="76">
        <f>+IF(MID($J$2,1,10)=MID($EE$2,1,10),3,1)</f>
        <v>3</v>
      </c>
    </row>
    <row r="2024" spans="76:135" x14ac:dyDescent="0.25">
      <c r="BX2024" s="78"/>
      <c r="BY2024" s="319">
        <v>167</v>
      </c>
      <c r="CA2024" s="78"/>
      <c r="EE2024" s="76">
        <f>+IF(MID($J$2,1,10)=MID($EE$2,1,10),3,1)</f>
        <v>3</v>
      </c>
    </row>
    <row r="2025" spans="76:135" x14ac:dyDescent="0.25">
      <c r="BX2025" s="78"/>
      <c r="BY2025" s="319">
        <v>160</v>
      </c>
      <c r="CA2025" s="78"/>
      <c r="EE2025" s="76">
        <f>+IF(MID($J$2,1,10)=MID($EE$2,1,10),0,1)</f>
        <v>0</v>
      </c>
    </row>
    <row r="2026" spans="76:135" x14ac:dyDescent="0.25">
      <c r="BX2026" s="78"/>
      <c r="BY2026" s="319">
        <v>116</v>
      </c>
      <c r="CA2026" s="78"/>
      <c r="EE2026" s="76">
        <f>+IF(MID($J$2,1,10)=MID($EE$2,1,10),1,2)</f>
        <v>1</v>
      </c>
    </row>
    <row r="2027" spans="76:135" x14ac:dyDescent="0.25">
      <c r="BX2027" s="78"/>
      <c r="BY2027" s="319">
        <v>1167</v>
      </c>
      <c r="CA2027" s="78"/>
      <c r="EE2027" s="76">
        <f>+IF(MID($J$2,1,10)=MID($EE$2,1,10),3,1)</f>
        <v>3</v>
      </c>
    </row>
    <row r="2028" spans="76:135" x14ac:dyDescent="0.25">
      <c r="BX2028" s="78"/>
      <c r="BY2028" s="319">
        <v>165</v>
      </c>
      <c r="CA2028" s="78"/>
      <c r="EE2028" s="76">
        <f>+IF(MID($J$2,1,10)=MID($EE$2,1,10),3,1)</f>
        <v>3</v>
      </c>
    </row>
    <row r="2029" spans="76:135" x14ac:dyDescent="0.25">
      <c r="BX2029" s="78"/>
      <c r="BY2029" s="319">
        <v>959</v>
      </c>
      <c r="CA2029" s="78"/>
      <c r="EE2029" s="76">
        <f>+IF(MID($J$2,1,10)=MID($EE$2,1,10),0,1)</f>
        <v>0</v>
      </c>
    </row>
    <row r="2030" spans="76:135" x14ac:dyDescent="0.25">
      <c r="BX2030" s="78"/>
      <c r="BY2030" s="319">
        <v>190</v>
      </c>
      <c r="CA2030" s="78"/>
      <c r="EE2030" s="76">
        <f>+IF(MID($J$2,1,10)=MID($EE$2,1,10),3,1)</f>
        <v>3</v>
      </c>
    </row>
    <row r="2031" spans="76:135" x14ac:dyDescent="0.25">
      <c r="BX2031" s="78"/>
      <c r="BY2031" s="319">
        <v>519</v>
      </c>
      <c r="CA2031" s="78"/>
      <c r="EE2031" s="76">
        <f>+IF(MID($J$2,1,10)=MID($EE$2,1,10),3,1)</f>
        <v>3</v>
      </c>
    </row>
    <row r="2032" spans="76:135" x14ac:dyDescent="0.25">
      <c r="BX2032" s="78"/>
      <c r="BY2032" s="319">
        <v>197</v>
      </c>
      <c r="CA2032" s="78"/>
      <c r="EE2032" s="76">
        <f>+IF(MID($J$2,1,10)=MID($EE$2,1,10),3,1)</f>
        <v>3</v>
      </c>
    </row>
    <row r="2033" spans="76:135" x14ac:dyDescent="0.25">
      <c r="BX2033" s="78"/>
      <c r="BY2033" s="319">
        <v>941</v>
      </c>
      <c r="CA2033" s="78"/>
      <c r="EE2033" s="76">
        <f>+IF(MID($J$2,1,10)=MID($EE$2,1,10),1,2)</f>
        <v>1</v>
      </c>
    </row>
    <row r="2034" spans="76:135" x14ac:dyDescent="0.25">
      <c r="BX2034" s="78"/>
      <c r="BY2034" s="319">
        <v>161</v>
      </c>
      <c r="CA2034" s="78"/>
      <c r="EE2034" s="76">
        <f>+IF(MID($J$3,1,10)=MID($EE$3,1,10),2,1)</f>
        <v>2</v>
      </c>
    </row>
    <row r="2035" spans="76:135" x14ac:dyDescent="0.25">
      <c r="BX2035" s="78"/>
      <c r="BY2035" s="319">
        <v>186</v>
      </c>
      <c r="CA2035" s="78"/>
      <c r="EE2035" s="76">
        <f>+IF(MID($J$2,1,10)=MID($EE$2,1,10),4,1)</f>
        <v>4</v>
      </c>
    </row>
    <row r="2036" spans="76:135" x14ac:dyDescent="0.25">
      <c r="BX2036" s="78"/>
      <c r="BY2036" s="322">
        <v>7</v>
      </c>
      <c r="CA2036" s="78"/>
      <c r="EE2036" s="76">
        <f>+IF(MID($J$2,1,10)=MID($EE$2,1,10),1,2)</f>
        <v>1</v>
      </c>
    </row>
    <row r="2037" spans="76:135" x14ac:dyDescent="0.25">
      <c r="BX2037" s="78"/>
      <c r="BY2037" s="319">
        <v>790</v>
      </c>
      <c r="CA2037" s="78"/>
      <c r="EE2037" s="76">
        <f>+IF(MID($J$3,1,10)=MID($EE$3,1,10),2,1)</f>
        <v>2</v>
      </c>
    </row>
    <row r="2038" spans="76:135" x14ac:dyDescent="0.25">
      <c r="BX2038" s="78"/>
      <c r="BY2038" s="319">
        <v>277</v>
      </c>
      <c r="CA2038" s="78"/>
      <c r="EE2038" s="76">
        <f>+IF(MID($J$3,1,10)=MID($EE$3,1,10),2,1)</f>
        <v>2</v>
      </c>
    </row>
    <row r="2039" spans="76:135" x14ac:dyDescent="0.25">
      <c r="BX2039" s="78"/>
      <c r="BY2039" s="319">
        <v>136</v>
      </c>
      <c r="CA2039" s="78"/>
      <c r="EE2039" s="76">
        <f>+IF(MID($J$2,1,10)=MID($EE$2,1,10),4,1)</f>
        <v>4</v>
      </c>
    </row>
    <row r="2040" spans="76:135" x14ac:dyDescent="0.25">
      <c r="BX2040" s="78"/>
      <c r="BY2040" s="319">
        <v>15</v>
      </c>
      <c r="CA2040" s="78"/>
      <c r="EE2040" s="76">
        <f>+IF(MID($J$3,1,10)=MID($EE$3,1,10),2,1)</f>
        <v>2</v>
      </c>
    </row>
    <row r="2041" spans="76:135" x14ac:dyDescent="0.25">
      <c r="BX2041" s="78"/>
      <c r="BY2041" s="319">
        <v>110</v>
      </c>
      <c r="CA2041" s="78"/>
      <c r="EE2041" s="76">
        <f>+IF(MID($J$2,1,10)=MID($EE$2,1,10),4,1)</f>
        <v>4</v>
      </c>
    </row>
    <row r="2042" spans="76:135" x14ac:dyDescent="0.25">
      <c r="BX2042" s="78"/>
      <c r="BY2042" s="319">
        <v>458</v>
      </c>
      <c r="CA2042" s="78"/>
      <c r="EE2042" s="76">
        <f>+IF(MID($J$2,1,10)=MID($EE$2,1,10),1,2)</f>
        <v>1</v>
      </c>
    </row>
    <row r="2043" spans="76:135" x14ac:dyDescent="0.25">
      <c r="BX2043" s="78"/>
      <c r="BY2043" s="319">
        <v>194</v>
      </c>
      <c r="CA2043" s="78"/>
      <c r="EE2043" s="76">
        <f>+IF(MID($J$2,1,10)=MID($EE$2,1,10),3,1)</f>
        <v>3</v>
      </c>
    </row>
    <row r="2044" spans="76:135" x14ac:dyDescent="0.25">
      <c r="BX2044" s="78"/>
      <c r="BY2044" s="322">
        <v>18</v>
      </c>
      <c r="CA2044" s="78"/>
      <c r="EE2044" s="76">
        <f>+IF(MID($J$5,1,10)=MID($EE$5,1,10),2,1)</f>
        <v>2</v>
      </c>
    </row>
    <row r="2045" spans="76:135" x14ac:dyDescent="0.25">
      <c r="BX2045" s="78"/>
      <c r="BY2045" s="319">
        <v>159</v>
      </c>
      <c r="CA2045" s="78"/>
      <c r="EE2045" s="76">
        <f>+IF(MID($J$3,1,10)=MID($EE$3,1,10),2,1)</f>
        <v>2</v>
      </c>
    </row>
    <row r="2046" spans="76:135" x14ac:dyDescent="0.25">
      <c r="BX2046" s="78"/>
      <c r="BY2046" s="319">
        <v>192</v>
      </c>
      <c r="CA2046" s="78"/>
      <c r="EE2046" s="76">
        <f>+IF(MID($J$2,1,10)=MID($EE$2,1,10),1,2)</f>
        <v>1</v>
      </c>
    </row>
    <row r="2047" spans="76:135" x14ac:dyDescent="0.25">
      <c r="BX2047" s="78"/>
      <c r="BY2047" s="319">
        <v>119</v>
      </c>
      <c r="CA2047" s="78"/>
      <c r="EE2047" s="76">
        <f>+IF(MID($J$2,1,10)=MID($EE$2,1,10),0,1)</f>
        <v>0</v>
      </c>
    </row>
    <row r="2048" spans="76:135" x14ac:dyDescent="0.25">
      <c r="BX2048" s="78"/>
      <c r="BY2048" s="319">
        <v>1133</v>
      </c>
      <c r="CA2048" s="78"/>
      <c r="EE2048" s="76">
        <f>+IF(MID($J$2,1,10)=MID($EE$2,1,10),0,1)</f>
        <v>0</v>
      </c>
    </row>
    <row r="2049" spans="76:135" x14ac:dyDescent="0.25">
      <c r="BX2049" s="78"/>
      <c r="BY2049" s="319">
        <v>7</v>
      </c>
      <c r="CA2049" s="78"/>
      <c r="EE2049" s="76">
        <f>+IF(MID($J$2,1,10)=MID($EE$2,1,10),0,1)</f>
        <v>0</v>
      </c>
    </row>
    <row r="2050" spans="76:135" x14ac:dyDescent="0.25">
      <c r="BX2050" s="78"/>
      <c r="BY2050" s="319">
        <v>181</v>
      </c>
      <c r="CA2050" s="78"/>
      <c r="EE2050" s="76">
        <f>+IF(MID($J$2,1,10)=MID($EE$2,1,10),1,2)</f>
        <v>1</v>
      </c>
    </row>
    <row r="2051" spans="76:135" x14ac:dyDescent="0.25">
      <c r="BX2051" s="78"/>
      <c r="BY2051" s="319">
        <v>124</v>
      </c>
      <c r="CA2051" s="78"/>
      <c r="EE2051" s="76">
        <f>+IF(MID($J$2,1,10)=MID($EE$2,1,10),1,2)</f>
        <v>1</v>
      </c>
    </row>
    <row r="2052" spans="76:135" x14ac:dyDescent="0.25">
      <c r="BX2052" s="78"/>
      <c r="BY2052" s="319">
        <v>750</v>
      </c>
      <c r="CA2052" s="78"/>
      <c r="EE2052" s="76">
        <f>+IF(MID($J$2,1,10)=MID($EE$2,1,10),3,1)</f>
        <v>3</v>
      </c>
    </row>
    <row r="2053" spans="76:135" x14ac:dyDescent="0.25">
      <c r="BX2053" s="78"/>
      <c r="BY2053" s="319">
        <v>130</v>
      </c>
      <c r="CA2053" s="78"/>
      <c r="EE2053" s="76">
        <f>+IF(MID($J$2,1,10)=MID($EE$2,1,10),3,1)</f>
        <v>3</v>
      </c>
    </row>
    <row r="2054" spans="76:135" x14ac:dyDescent="0.25">
      <c r="BX2054" s="78"/>
      <c r="BY2054" s="319">
        <v>795</v>
      </c>
      <c r="CA2054" s="78"/>
      <c r="EE2054" s="76">
        <f>+IF(MID($J$2,1,10)=MID($EE$2,1,10),3,1)</f>
        <v>3</v>
      </c>
    </row>
    <row r="2055" spans="76:135" x14ac:dyDescent="0.25">
      <c r="BX2055" s="78"/>
      <c r="BY2055" s="319">
        <v>139</v>
      </c>
      <c r="CA2055" s="78"/>
      <c r="EE2055" s="76">
        <f>+IF(MID($J$2,1,10)=MID($EE$2,1,10),0,1)</f>
        <v>0</v>
      </c>
    </row>
    <row r="2056" spans="76:135" x14ac:dyDescent="0.25">
      <c r="BX2056" s="78"/>
      <c r="BY2056" s="319">
        <v>4</v>
      </c>
      <c r="CA2056" s="78"/>
      <c r="EE2056" s="76">
        <f>+IF(MID($J$2,1,10)=MID($EE$2,1,10),1,2)</f>
        <v>1</v>
      </c>
    </row>
    <row r="2057" spans="76:135" x14ac:dyDescent="0.25">
      <c r="BX2057" s="78"/>
      <c r="BY2057" s="319">
        <v>155</v>
      </c>
      <c r="CA2057" s="78"/>
      <c r="EE2057" s="76">
        <f>+IF(MID($J$2,1,10)=MID($EE$2,1,10),3,1)</f>
        <v>3</v>
      </c>
    </row>
    <row r="2058" spans="76:135" x14ac:dyDescent="0.25">
      <c r="BX2058" s="78"/>
      <c r="BY2058" s="319">
        <v>895</v>
      </c>
      <c r="CA2058" s="78"/>
      <c r="EE2058" s="76">
        <f>+IF(MID($J$2,1,10)=MID($EE$2,1,10),3,1)</f>
        <v>3</v>
      </c>
    </row>
    <row r="2059" spans="76:135" x14ac:dyDescent="0.25">
      <c r="BX2059" s="78"/>
      <c r="BY2059" s="319">
        <v>145</v>
      </c>
      <c r="CA2059" s="78"/>
      <c r="EE2059" s="76">
        <f>+IF(MID($J$2,1,10)=MID($EE$2,1,10),0,1)</f>
        <v>0</v>
      </c>
    </row>
    <row r="2060" spans="76:135" x14ac:dyDescent="0.25">
      <c r="BX2060" s="78"/>
      <c r="BY2060" s="319">
        <v>155</v>
      </c>
      <c r="CA2060" s="78"/>
      <c r="EE2060" s="76">
        <f>+IF(MID($J$2,1,10)=MID($EE$2,1,10),3,1)</f>
        <v>3</v>
      </c>
    </row>
    <row r="2061" spans="76:135" x14ac:dyDescent="0.25">
      <c r="BX2061" s="78"/>
      <c r="BY2061" s="319">
        <v>184</v>
      </c>
      <c r="CA2061" s="78"/>
      <c r="EE2061" s="76">
        <f>+IF(MID($J$2,1,10)=MID($EE$2,1,10),3,1)</f>
        <v>3</v>
      </c>
    </row>
    <row r="2062" spans="76:135" x14ac:dyDescent="0.25">
      <c r="BX2062" s="78"/>
      <c r="BY2062" s="319">
        <v>174</v>
      </c>
      <c r="CA2062" s="78"/>
      <c r="EE2062" s="76">
        <f>+IF(MID($J$2,1,10)=MID($EE$2,1,10),3,1)</f>
        <v>3</v>
      </c>
    </row>
    <row r="2063" spans="76:135" x14ac:dyDescent="0.25">
      <c r="BX2063" s="78"/>
      <c r="BY2063" s="319">
        <v>146</v>
      </c>
      <c r="CA2063" s="78"/>
      <c r="EE2063" s="76">
        <f>+IF(MID($J$2,1,10)=MID($EE$2,1,10),1,2)</f>
        <v>1</v>
      </c>
    </row>
    <row r="2064" spans="76:135" x14ac:dyDescent="0.25">
      <c r="BX2064" s="78"/>
      <c r="BY2064" s="319">
        <v>110</v>
      </c>
      <c r="CA2064" s="78"/>
      <c r="EE2064" s="76">
        <f>+IF(MID($J$3,1,10)=MID($EE$3,1,10),2,1)</f>
        <v>2</v>
      </c>
    </row>
    <row r="2065" spans="76:135" x14ac:dyDescent="0.25">
      <c r="BX2065" s="78"/>
      <c r="BY2065" s="319">
        <v>136</v>
      </c>
      <c r="CA2065" s="78"/>
      <c r="EE2065" s="76">
        <f>+IF(MID($J$2,1,10)=MID($EE$2,1,10),4,1)</f>
        <v>4</v>
      </c>
    </row>
    <row r="2066" spans="76:135" x14ac:dyDescent="0.25">
      <c r="BX2066" s="78"/>
      <c r="BY2066" s="322">
        <v>10</v>
      </c>
      <c r="CA2066" s="78"/>
      <c r="EE2066" s="76">
        <f>+IF(MID($J$2,1,10)=MID($EE$2,1,10),0,1)</f>
        <v>0</v>
      </c>
    </row>
    <row r="2067" spans="76:135" x14ac:dyDescent="0.25">
      <c r="BX2067" s="78"/>
      <c r="BY2067" s="319">
        <v>109</v>
      </c>
      <c r="CA2067" s="78"/>
      <c r="EE2067" s="76">
        <f>+IF(MID($J$3,1,10)=MID($EE$3,1,10),0,1)</f>
        <v>0</v>
      </c>
    </row>
    <row r="2068" spans="76:135" x14ac:dyDescent="0.25">
      <c r="BX2068" s="79"/>
      <c r="BY2068" s="322">
        <v>10</v>
      </c>
      <c r="BZ2068" s="323"/>
      <c r="CA2068" s="79"/>
      <c r="EE2068" s="76">
        <f>+IF(MID($J$4,1,8)=MID($EE$4,1,8),0,1)</f>
        <v>0</v>
      </c>
    </row>
    <row r="2069" spans="76:135" x14ac:dyDescent="0.25">
      <c r="BX2069" s="78"/>
      <c r="BY2069" s="322">
        <v>10</v>
      </c>
      <c r="CA2069" s="78"/>
      <c r="EE2069" s="76">
        <f>+IF(MID($J$5,1,10)=MID($EE$5,1,10),0,1)</f>
        <v>0</v>
      </c>
    </row>
    <row r="2070" spans="76:135" x14ac:dyDescent="0.25">
      <c r="BX2070" s="78"/>
      <c r="BY2070" s="319">
        <v>202</v>
      </c>
      <c r="CA2070" s="78"/>
      <c r="EE2070" s="76">
        <f>+IF(MID($J$3,1,10)=MID($EE$3,1,10),2,1)</f>
        <v>2</v>
      </c>
    </row>
    <row r="2071" spans="76:135" x14ac:dyDescent="0.25">
      <c r="BX2071" s="78"/>
      <c r="BY2071" s="319">
        <v>114</v>
      </c>
      <c r="CA2071" s="78"/>
      <c r="EE2071" s="76">
        <f>+IF(MID($J$2,1,10)=MID($EE$2,1,10),4,1)</f>
        <v>4</v>
      </c>
    </row>
    <row r="2072" spans="76:135" x14ac:dyDescent="0.25">
      <c r="BX2072" s="78"/>
      <c r="BY2072" s="319">
        <v>175</v>
      </c>
      <c r="CA2072" s="78"/>
      <c r="EE2072" s="76">
        <f>+IF(MID($J$2,1,10)=MID($EE$2,1,10),1,2)</f>
        <v>1</v>
      </c>
    </row>
    <row r="2073" spans="76:135" x14ac:dyDescent="0.25">
      <c r="BX2073" s="78"/>
      <c r="BY2073" s="319">
        <v>113</v>
      </c>
      <c r="CA2073" s="78"/>
      <c r="EE2073" s="76">
        <f>+IF(MID($J$2,1,10)=MID($EE$2,1,10),3,1)</f>
        <v>3</v>
      </c>
    </row>
    <row r="2074" spans="76:135" x14ac:dyDescent="0.25">
      <c r="BX2074" s="78"/>
      <c r="BY2074" s="319">
        <v>149</v>
      </c>
      <c r="CA2074" s="78"/>
      <c r="EE2074" s="76">
        <f>+IF(MID($J$2,1,10)=MID($EE$2,1,10),1,2)</f>
        <v>1</v>
      </c>
    </row>
    <row r="2075" spans="76:135" x14ac:dyDescent="0.25">
      <c r="BX2075" s="78"/>
      <c r="BY2075" s="319">
        <v>125</v>
      </c>
      <c r="CA2075" s="78"/>
      <c r="EE2075" s="76">
        <f>+IF(MID($J$3,1,10)=MID($EE$3,1,10),2,1)</f>
        <v>2</v>
      </c>
    </row>
    <row r="2076" spans="76:135" x14ac:dyDescent="0.25">
      <c r="BX2076" s="78"/>
      <c r="BY2076" s="319">
        <v>150</v>
      </c>
      <c r="CA2076" s="78"/>
      <c r="EE2076" s="76">
        <f>+IF(MID($J$2,1,10)=MID($EE$2,1,10),1,2)</f>
        <v>1</v>
      </c>
    </row>
    <row r="2077" spans="76:135" x14ac:dyDescent="0.25">
      <c r="BX2077" s="78"/>
      <c r="BY2077" s="319">
        <v>136</v>
      </c>
      <c r="CA2077" s="78"/>
      <c r="EE2077" s="76">
        <f>+IF(MID($J$2,1,10)=MID($EE$2,1,10),0,1)</f>
        <v>0</v>
      </c>
    </row>
    <row r="2078" spans="76:135" x14ac:dyDescent="0.25">
      <c r="BX2078" s="78"/>
      <c r="BY2078" s="319">
        <v>140</v>
      </c>
      <c r="CA2078" s="78"/>
      <c r="EE2078" s="76">
        <f>+IF(MID($J$2,1,10)=MID($EE$2,1,10),0,1)</f>
        <v>0</v>
      </c>
    </row>
    <row r="2079" spans="76:135" x14ac:dyDescent="0.25">
      <c r="BX2079" s="78"/>
      <c r="BY2079" s="319">
        <v>146</v>
      </c>
      <c r="CA2079" s="78"/>
      <c r="EE2079" s="76">
        <f>+IF(MID($J$2,1,10)=MID($EE$2,1,10),0,1)</f>
        <v>0</v>
      </c>
    </row>
    <row r="2080" spans="76:135" x14ac:dyDescent="0.25">
      <c r="BX2080" s="78"/>
      <c r="BY2080" s="319">
        <v>187</v>
      </c>
      <c r="CA2080" s="78"/>
      <c r="EE2080" s="76">
        <f>+IF(MID($J$2,1,10)=MID($EE$2,1,10),1,2)</f>
        <v>1</v>
      </c>
    </row>
    <row r="2081" spans="76:135" x14ac:dyDescent="0.25">
      <c r="BX2081" s="78"/>
      <c r="BY2081" s="319">
        <v>149</v>
      </c>
      <c r="CA2081" s="78"/>
      <c r="EE2081" s="76">
        <f>+IF(MID($J$2,1,10)=MID($EE$2,1,10),1,2)</f>
        <v>1</v>
      </c>
    </row>
    <row r="2082" spans="76:135" x14ac:dyDescent="0.25">
      <c r="BX2082" s="78"/>
      <c r="BY2082" s="319">
        <v>162</v>
      </c>
      <c r="CA2082" s="78"/>
      <c r="EE2082" s="76">
        <f>+IF(MID($J$2,1,10)=MID($EE$2,1,10),3,1)</f>
        <v>3</v>
      </c>
    </row>
    <row r="2083" spans="76:135" x14ac:dyDescent="0.25">
      <c r="BX2083" s="78"/>
      <c r="BY2083" s="319">
        <v>109</v>
      </c>
      <c r="CA2083" s="78"/>
      <c r="EE2083" s="76">
        <f>+IF(MID($J$2,1,10)=MID($EE$2,1,10),3,1)</f>
        <v>3</v>
      </c>
    </row>
    <row r="2084" spans="76:135" x14ac:dyDescent="0.25">
      <c r="BX2084" s="78"/>
      <c r="BY2084" s="319">
        <v>155</v>
      </c>
      <c r="CA2084" s="78"/>
      <c r="EE2084" s="76">
        <f>+IF(MID($J$2,1,10)=MID($EE$2,1,10),3,1)</f>
        <v>3</v>
      </c>
    </row>
    <row r="2085" spans="76:135" x14ac:dyDescent="0.25">
      <c r="BX2085" s="78"/>
      <c r="BY2085" s="319">
        <v>128</v>
      </c>
      <c r="CA2085" s="78"/>
      <c r="EE2085" s="76">
        <f>+IF(MID($J$2,1,10)=MID($EE$2,1,10),0,1)</f>
        <v>0</v>
      </c>
    </row>
    <row r="2086" spans="76:135" x14ac:dyDescent="0.25">
      <c r="BX2086" s="78"/>
      <c r="BY2086" s="319">
        <v>198</v>
      </c>
      <c r="CA2086" s="78"/>
      <c r="EE2086" s="76">
        <f>+IF(MID($J$2,1,10)=MID($EE$2,1,10),1,2)</f>
        <v>1</v>
      </c>
    </row>
    <row r="2087" spans="76:135" x14ac:dyDescent="0.25">
      <c r="BX2087" s="78"/>
      <c r="BY2087" s="319">
        <v>123</v>
      </c>
      <c r="CA2087" s="78"/>
      <c r="EE2087" s="76">
        <f>+IF(MID($J$2,1,10)=MID($EE$2,1,10),3,1)</f>
        <v>3</v>
      </c>
    </row>
    <row r="2088" spans="76:135" x14ac:dyDescent="0.25">
      <c r="BX2088" s="78"/>
      <c r="BY2088" s="319">
        <v>114</v>
      </c>
      <c r="CA2088" s="78"/>
      <c r="EE2088" s="76">
        <f>+IF(MID($J$2,1,10)=MID($EE$2,1,10),3,1)</f>
        <v>3</v>
      </c>
    </row>
    <row r="2089" spans="76:135" x14ac:dyDescent="0.25">
      <c r="BX2089" s="78"/>
      <c r="BY2089" s="319">
        <v>139</v>
      </c>
      <c r="CA2089" s="78"/>
      <c r="EE2089" s="76">
        <f>+IF(MID($J$2,1,10)=MID($EE$2,1,10),0,1)</f>
        <v>0</v>
      </c>
    </row>
    <row r="2090" spans="76:135" x14ac:dyDescent="0.25">
      <c r="BX2090" s="78"/>
      <c r="BY2090" s="319">
        <v>150</v>
      </c>
      <c r="CA2090" s="78"/>
      <c r="EE2090" s="76">
        <f>+IF(MID($J$2,1,10)=MID($EE$2,1,10),3,1)</f>
        <v>3</v>
      </c>
    </row>
    <row r="2091" spans="76:135" x14ac:dyDescent="0.25">
      <c r="BX2091" s="78"/>
      <c r="BY2091" s="322">
        <v>7</v>
      </c>
      <c r="CA2091" s="78"/>
      <c r="EE2091" s="76">
        <f>+IF(MID($J$2,1,10)=MID($EE$2,1,10),2,1)</f>
        <v>2</v>
      </c>
    </row>
    <row r="2092" spans="76:135" x14ac:dyDescent="0.25">
      <c r="BX2092" s="78"/>
      <c r="BY2092" s="319">
        <v>119</v>
      </c>
      <c r="CA2092" s="78"/>
      <c r="EE2092" s="76">
        <f>+IF(MID($J$2,1,10)=MID($EE$2,1,10),3,1)</f>
        <v>3</v>
      </c>
    </row>
    <row r="2093" spans="76:135" x14ac:dyDescent="0.25">
      <c r="BX2093" s="78"/>
      <c r="BY2093" s="319">
        <v>0</v>
      </c>
      <c r="CA2093" s="78"/>
      <c r="EE2093" s="76">
        <f>+IF(MID($J$2,1,10)=MID($EE$2,1,10),1,2)</f>
        <v>1</v>
      </c>
    </row>
    <row r="2094" spans="76:135" x14ac:dyDescent="0.25">
      <c r="BX2094" s="78"/>
      <c r="BY2094" s="319">
        <v>125</v>
      </c>
      <c r="CA2094" s="78"/>
      <c r="EE2094" s="76">
        <f>+IF(MID($J$3,1,10)=MID($EE$3,1,10),2,1)</f>
        <v>2</v>
      </c>
    </row>
    <row r="2095" spans="76:135" x14ac:dyDescent="0.25">
      <c r="BX2095" s="78"/>
      <c r="BY2095" s="319">
        <v>13</v>
      </c>
      <c r="CA2095" s="78"/>
      <c r="EE2095" s="76">
        <f>+IF(MID($J$2,1,10)=MID($EE$2,1,10),4,1)</f>
        <v>4</v>
      </c>
    </row>
    <row r="2096" spans="76:135" x14ac:dyDescent="0.25">
      <c r="BX2096" s="78"/>
      <c r="BY2096" s="319">
        <v>558</v>
      </c>
      <c r="CA2096" s="78"/>
      <c r="EE2096" s="76">
        <f>+IF(MID($J$2,1,10)=MID($EE$2,1,10),0,1)</f>
        <v>0</v>
      </c>
    </row>
    <row r="2097" spans="76:135" x14ac:dyDescent="0.25">
      <c r="BX2097" s="78"/>
      <c r="BY2097" s="319">
        <v>165</v>
      </c>
      <c r="CA2097" s="78"/>
      <c r="EE2097" s="76">
        <f>+IF(MID($J$3,1,10)=MID($EE$3,1,10),2,1)</f>
        <v>2</v>
      </c>
    </row>
    <row r="2098" spans="76:135" x14ac:dyDescent="0.25">
      <c r="BX2098" s="78"/>
      <c r="BY2098" s="319">
        <v>1019</v>
      </c>
      <c r="CA2098" s="78"/>
      <c r="EE2098" s="76">
        <f>+IF(MID($J$3,1,10)=MID($EE$3,1,10),2,1)</f>
        <v>2</v>
      </c>
    </row>
    <row r="2099" spans="76:135" x14ac:dyDescent="0.25">
      <c r="BX2099" s="78"/>
      <c r="BY2099" s="319">
        <v>134</v>
      </c>
      <c r="CA2099" s="78"/>
      <c r="EE2099" s="76">
        <f>+IF(MID($J$2,1,10)=MID($EE$2,1,10),4,1)</f>
        <v>4</v>
      </c>
    </row>
    <row r="2100" spans="76:135" x14ac:dyDescent="0.25">
      <c r="BX2100" s="78"/>
      <c r="BY2100" s="319">
        <v>102</v>
      </c>
      <c r="CA2100" s="78"/>
      <c r="EE2100" s="76">
        <f>+IF(MID($J$3,1,10)=MID($EE$3,1,10),2,1)</f>
        <v>2</v>
      </c>
    </row>
    <row r="2101" spans="76:135" x14ac:dyDescent="0.25">
      <c r="BX2101" s="78"/>
      <c r="BY2101" s="319">
        <v>133</v>
      </c>
      <c r="CA2101" s="78"/>
      <c r="EE2101" s="76">
        <f>+IF(MID($J$2,1,10)=MID($EE$2,1,10),4,1)</f>
        <v>4</v>
      </c>
    </row>
    <row r="2102" spans="76:135" x14ac:dyDescent="0.25">
      <c r="BX2102" s="78"/>
      <c r="BY2102" s="319">
        <v>545</v>
      </c>
      <c r="CA2102" s="78"/>
      <c r="EE2102" s="76">
        <f>+IF(MID($J$2,1,10)=MID($EE$2,1,10),1,2)</f>
        <v>1</v>
      </c>
    </row>
    <row r="2103" spans="76:135" x14ac:dyDescent="0.25">
      <c r="BX2103" s="78"/>
      <c r="BY2103" s="319">
        <v>108</v>
      </c>
      <c r="CA2103" s="78"/>
      <c r="EE2103" s="76">
        <f>+IF(MID($J$2,1,10)=MID($EE$2,1,10),3,1)</f>
        <v>3</v>
      </c>
    </row>
    <row r="2104" spans="76:135" x14ac:dyDescent="0.25">
      <c r="BX2104" s="78"/>
      <c r="BY2104" s="319">
        <v>685</v>
      </c>
      <c r="CA2104" s="78"/>
      <c r="EE2104" s="76">
        <f>+IF(MID($J$2,1,10)=MID($EE$2,1,10),1,2)</f>
        <v>1</v>
      </c>
    </row>
    <row r="2105" spans="76:135" x14ac:dyDescent="0.25">
      <c r="BX2105" s="78"/>
      <c r="BY2105" s="319">
        <v>113</v>
      </c>
      <c r="CA2105" s="78"/>
      <c r="EE2105" s="76">
        <f>+IF(MID($J$3,1,10)=MID($EE$3,1,10),2,1)</f>
        <v>2</v>
      </c>
    </row>
    <row r="2106" spans="76:135" x14ac:dyDescent="0.25">
      <c r="BX2106" s="78"/>
      <c r="BY2106" s="319">
        <v>28</v>
      </c>
      <c r="CA2106" s="78"/>
      <c r="EE2106" s="76">
        <f>+IF(MID($J$2,1,10)=MID($EE$2,1,10),1,2)</f>
        <v>1</v>
      </c>
    </row>
    <row r="2107" spans="76:135" x14ac:dyDescent="0.25">
      <c r="BX2107" s="78"/>
      <c r="BY2107" s="319">
        <v>18</v>
      </c>
      <c r="CA2107" s="78"/>
      <c r="EE2107" s="76">
        <f>+IF(MID($J$2,1,10)=MID($EE$2,1,10),0,1)</f>
        <v>0</v>
      </c>
    </row>
    <row r="2108" spans="76:135" x14ac:dyDescent="0.25">
      <c r="BX2108" s="78"/>
      <c r="BY2108" s="319">
        <v>185</v>
      </c>
      <c r="CA2108" s="78"/>
      <c r="EE2108" s="76">
        <f>+IF(MID($J$2,1,10)=MID($EE$2,1,10),0,1)</f>
        <v>0</v>
      </c>
    </row>
    <row r="2109" spans="76:135" x14ac:dyDescent="0.25">
      <c r="BX2109" s="78"/>
      <c r="BY2109" s="319">
        <v>1032</v>
      </c>
      <c r="CA2109" s="78"/>
      <c r="EE2109" s="76">
        <f>+IF(MID($J$2,1,10)=MID($EE$2,1,10),0,1)</f>
        <v>0</v>
      </c>
    </row>
    <row r="2110" spans="76:135" x14ac:dyDescent="0.25">
      <c r="BX2110" s="78"/>
      <c r="BY2110" s="319">
        <v>193</v>
      </c>
      <c r="CA2110" s="78"/>
      <c r="EE2110" s="76">
        <f>+IF(MID($J$2,1,10)=MID($EE$2,1,10),1,2)</f>
        <v>1</v>
      </c>
    </row>
    <row r="2111" spans="76:135" x14ac:dyDescent="0.25">
      <c r="BX2111" s="78"/>
      <c r="BY2111" s="319">
        <v>943</v>
      </c>
      <c r="CA2111" s="78"/>
      <c r="EE2111" s="76">
        <f>+IF(MID($J$2,1,10)=MID($EE$2,1,10),1,2)</f>
        <v>1</v>
      </c>
    </row>
    <row r="2112" spans="76:135" x14ac:dyDescent="0.25">
      <c r="BX2112" s="78"/>
      <c r="BY2112" s="319">
        <v>147</v>
      </c>
      <c r="CA2112" s="78"/>
      <c r="EE2112" s="76">
        <f>+IF(MID($J$2,1,10)=MID($EE$2,1,10),3,1)</f>
        <v>3</v>
      </c>
    </row>
    <row r="2113" spans="76:135" x14ac:dyDescent="0.25">
      <c r="BX2113" s="78"/>
      <c r="BY2113" s="319">
        <v>1007</v>
      </c>
      <c r="CA2113" s="78"/>
      <c r="EE2113" s="76">
        <f>+IF(MID($J$2,1,10)=MID($EE$2,1,10),3,1)</f>
        <v>3</v>
      </c>
    </row>
    <row r="2114" spans="76:135" x14ac:dyDescent="0.25">
      <c r="BX2114" s="78"/>
      <c r="BY2114" s="319">
        <v>110</v>
      </c>
      <c r="CA2114" s="78"/>
      <c r="EE2114" s="76">
        <f>+IF(MID($J$2,1,10)=MID($EE$2,1,10),3,1)</f>
        <v>3</v>
      </c>
    </row>
    <row r="2115" spans="76:135" x14ac:dyDescent="0.25">
      <c r="BX2115" s="78"/>
      <c r="BY2115" s="319">
        <v>742</v>
      </c>
      <c r="CA2115" s="78"/>
      <c r="EE2115" s="76">
        <f>+IF(MID($J$2,1,10)=MID($EE$2,1,10),0,1)</f>
        <v>0</v>
      </c>
    </row>
    <row r="2116" spans="76:135" x14ac:dyDescent="0.25">
      <c r="BX2116" s="78"/>
      <c r="BY2116" s="319">
        <v>114</v>
      </c>
      <c r="CA2116" s="78"/>
      <c r="EE2116" s="76">
        <f>+IF(MID($J$2,1,10)=MID($EE$2,1,10),1,2)</f>
        <v>1</v>
      </c>
    </row>
    <row r="2117" spans="76:135" x14ac:dyDescent="0.25">
      <c r="BX2117" s="78"/>
      <c r="BY2117" s="319">
        <v>769</v>
      </c>
      <c r="CA2117" s="78"/>
      <c r="EE2117" s="76">
        <f>+IF(MID($J$2,1,10)=MID($EE$2,1,10),3,1)</f>
        <v>3</v>
      </c>
    </row>
    <row r="2118" spans="76:135" x14ac:dyDescent="0.25">
      <c r="BX2118" s="78"/>
      <c r="BY2118" s="319">
        <v>196</v>
      </c>
      <c r="CA2118" s="78"/>
      <c r="EE2118" s="76">
        <f>+IF(MID($J$2,1,10)=MID($EE$2,1,10),3,1)</f>
        <v>3</v>
      </c>
    </row>
    <row r="2119" spans="76:135" x14ac:dyDescent="0.25">
      <c r="BX2119" s="78"/>
      <c r="BY2119" s="319">
        <v>938</v>
      </c>
      <c r="CA2119" s="78"/>
      <c r="EE2119" s="76">
        <f>+IF(MID($J$2,1,10)=MID($EE$2,1,10),0,1)</f>
        <v>0</v>
      </c>
    </row>
    <row r="2120" spans="76:135" x14ac:dyDescent="0.25">
      <c r="BX2120" s="78"/>
      <c r="BY2120" s="324">
        <v>5</v>
      </c>
      <c r="CA2120" s="78"/>
      <c r="EE2120" s="76">
        <f>+IF(MID($J$2,1,10)=MID($EE$2,1,10),3,1)</f>
        <v>3</v>
      </c>
    </row>
    <row r="2121" spans="76:135" x14ac:dyDescent="0.25">
      <c r="BX2121" s="78"/>
      <c r="BY2121" s="319">
        <v>151</v>
      </c>
      <c r="CA2121" s="78"/>
      <c r="EE2121" s="76">
        <f>+IF(MID($J$2,1,10)=MID($EE$2,1,10),3,1)</f>
        <v>3</v>
      </c>
    </row>
    <row r="2122" spans="76:135" x14ac:dyDescent="0.25">
      <c r="BX2122" s="78"/>
      <c r="BY2122" s="319">
        <v>128</v>
      </c>
      <c r="CA2122" s="78"/>
      <c r="EE2122" s="76">
        <f>+IF(MID($J$2,1,10)=MID($EE$2,1,10),3,1)</f>
        <v>3</v>
      </c>
    </row>
    <row r="2123" spans="76:135" x14ac:dyDescent="0.25">
      <c r="BX2123" s="78"/>
      <c r="BY2123" s="319">
        <v>749</v>
      </c>
      <c r="CA2123" s="78"/>
      <c r="EE2123" s="76">
        <f>+IF(MID($J$2,1,10)=MID($EE$2,1,10),1,2)</f>
        <v>1</v>
      </c>
    </row>
    <row r="2124" spans="76:135" x14ac:dyDescent="0.25">
      <c r="BX2124" s="78"/>
      <c r="BY2124" s="319">
        <v>127</v>
      </c>
      <c r="CA2124" s="78"/>
      <c r="EE2124" s="76">
        <f>+IF(MID($J$3,1,10)=MID($EE$3,1,10),2,1)</f>
        <v>2</v>
      </c>
    </row>
    <row r="2125" spans="76:135" x14ac:dyDescent="0.25">
      <c r="BX2125" s="78"/>
      <c r="BY2125" s="319">
        <v>548</v>
      </c>
      <c r="CA2125" s="78"/>
      <c r="EE2125" s="76">
        <f>+IF(MID($J$2,1,10)=MID($EE$2,1,10),4,1)</f>
        <v>4</v>
      </c>
    </row>
    <row r="2126" spans="76:135" x14ac:dyDescent="0.25">
      <c r="BX2126" s="78"/>
      <c r="BY2126" s="319">
        <v>144</v>
      </c>
      <c r="CA2126" s="78"/>
      <c r="EE2126" s="76">
        <f>+IF(MID($J$2,1,10)=MID($EE$2,1,10),0,1)</f>
        <v>0</v>
      </c>
    </row>
    <row r="2127" spans="76:135" x14ac:dyDescent="0.25">
      <c r="BX2127" s="78"/>
      <c r="BY2127" s="319">
        <v>198</v>
      </c>
      <c r="CA2127" s="78"/>
      <c r="EE2127" s="76">
        <f>+IF(MID($J$3,1,10)=MID($EE$3,1,10),2,1)</f>
        <v>2</v>
      </c>
    </row>
    <row r="2128" spans="76:135" x14ac:dyDescent="0.25">
      <c r="BX2128" s="78"/>
      <c r="BY2128" s="319">
        <v>160</v>
      </c>
      <c r="CA2128" s="78"/>
      <c r="EE2128" s="76">
        <f>+IF(MID($J$3,1,10)=MID($EE$3,1,10),2,1)</f>
        <v>2</v>
      </c>
    </row>
    <row r="2129" spans="76:135" x14ac:dyDescent="0.25">
      <c r="BX2129" s="78"/>
      <c r="BY2129" s="319">
        <v>963</v>
      </c>
      <c r="CA2129" s="78"/>
      <c r="EE2129" s="76">
        <f>+IF(MID($J$2,1,10)=MID($EE$2,1,10),4,1)</f>
        <v>4</v>
      </c>
    </row>
    <row r="2130" spans="76:135" x14ac:dyDescent="0.25">
      <c r="BX2130" s="78"/>
      <c r="BY2130" s="319">
        <v>124</v>
      </c>
      <c r="CA2130" s="78"/>
      <c r="EE2130" s="76">
        <f>+IF(MID($J$3,1,10)=MID($EE$3,1,10),2,1)</f>
        <v>2</v>
      </c>
    </row>
    <row r="2131" spans="76:135" x14ac:dyDescent="0.25">
      <c r="BX2131" s="78"/>
      <c r="BY2131" s="319">
        <v>891</v>
      </c>
      <c r="CA2131" s="78"/>
      <c r="EE2131" s="76">
        <f>+IF(MID($J$2,1,10)=MID($EE$2,1,10),4,1)</f>
        <v>4</v>
      </c>
    </row>
    <row r="2132" spans="76:135" x14ac:dyDescent="0.25">
      <c r="BX2132" s="78"/>
      <c r="BY2132" s="319">
        <v>167</v>
      </c>
      <c r="CA2132" s="78"/>
      <c r="EE2132" s="76">
        <f>+IF(MID($J$2,1,10)=MID($EE$2,1,10),1,2)</f>
        <v>1</v>
      </c>
    </row>
    <row r="2133" spans="76:135" x14ac:dyDescent="0.25">
      <c r="BX2133" s="78"/>
      <c r="BY2133" s="319">
        <v>152</v>
      </c>
      <c r="CA2133" s="78"/>
      <c r="EE2133" s="76">
        <f>+IF(MID($J$2,1,10)=MID($EE$2,1,10),3,1)</f>
        <v>3</v>
      </c>
    </row>
    <row r="2134" spans="76:135" x14ac:dyDescent="0.25">
      <c r="BX2134" s="78"/>
      <c r="BY2134" s="319">
        <v>105</v>
      </c>
      <c r="CA2134" s="78"/>
      <c r="EE2134" s="76">
        <f>+IF(MID($J$2,1,10)=MID($EE$2,1,10),1,2)</f>
        <v>1</v>
      </c>
    </row>
    <row r="2135" spans="76:135" x14ac:dyDescent="0.25">
      <c r="BX2135" s="78"/>
      <c r="BY2135" s="319">
        <v>168</v>
      </c>
      <c r="CA2135" s="78"/>
      <c r="EE2135" s="76">
        <f>+IF(MID($J$3,1,10)=MID($EE$3,1,10),2,1)</f>
        <v>2</v>
      </c>
    </row>
    <row r="2136" spans="76:135" x14ac:dyDescent="0.25">
      <c r="BX2136" s="78"/>
      <c r="BY2136" s="319">
        <v>516</v>
      </c>
      <c r="CA2136" s="78"/>
      <c r="EE2136" s="76">
        <f>+IF(MID($J$2,1,10)=MID($EE$2,1,10),1,2)</f>
        <v>1</v>
      </c>
    </row>
    <row r="2137" spans="76:135" x14ac:dyDescent="0.25">
      <c r="BX2137" s="78"/>
      <c r="BY2137" s="319">
        <v>189</v>
      </c>
      <c r="CA2137" s="78"/>
      <c r="EE2137" s="76">
        <f>+IF(MID($J$2,1,10)=MID($EE$2,1,10),0,1)</f>
        <v>0</v>
      </c>
    </row>
    <row r="2138" spans="76:135" x14ac:dyDescent="0.25">
      <c r="BX2138" s="78"/>
      <c r="BY2138" s="319">
        <v>492</v>
      </c>
      <c r="CA2138" s="78"/>
      <c r="EE2138" s="76">
        <f>+IF(MID($J$2,1,10)=MID($EE$2,1,10),0,1)</f>
        <v>0</v>
      </c>
    </row>
    <row r="2139" spans="76:135" x14ac:dyDescent="0.25">
      <c r="BX2139" s="78"/>
      <c r="BY2139" s="319">
        <v>156</v>
      </c>
      <c r="CA2139" s="78"/>
      <c r="EE2139" s="76">
        <f>+IF(MID($J$2,1,10)=MID($EE$2,1,10),0,1)</f>
        <v>0</v>
      </c>
    </row>
    <row r="2140" spans="76:135" x14ac:dyDescent="0.25">
      <c r="BX2140" s="78"/>
      <c r="BY2140" s="319">
        <v>382</v>
      </c>
      <c r="CA2140" s="78"/>
      <c r="EE2140" s="76">
        <f>+IF(MID($J$2,1,10)=MID($EE$2,1,10),1,2)</f>
        <v>1</v>
      </c>
    </row>
    <row r="2141" spans="76:135" x14ac:dyDescent="0.25">
      <c r="BX2141" s="78"/>
      <c r="BY2141" s="319">
        <v>119</v>
      </c>
      <c r="CA2141" s="78"/>
      <c r="EE2141" s="76">
        <f>+IF(MID($J$2,1,10)=MID($EE$2,1,10),1,2)</f>
        <v>1</v>
      </c>
    </row>
    <row r="2142" spans="76:135" x14ac:dyDescent="0.25">
      <c r="BX2142" s="78"/>
      <c r="BY2142" s="319">
        <v>863</v>
      </c>
      <c r="CA2142" s="78"/>
      <c r="EE2142" s="76">
        <f>+IF(MID($J$2,1,10)=MID($EE$2,1,10),3,1)</f>
        <v>3</v>
      </c>
    </row>
    <row r="2143" spans="76:135" x14ac:dyDescent="0.25">
      <c r="BX2143" s="78"/>
      <c r="BY2143" s="319">
        <v>125</v>
      </c>
      <c r="CA2143" s="78"/>
      <c r="EE2143" s="76">
        <f>+IF(MID($J$2,1,10)=MID($EE$2,1,10),3,1)</f>
        <v>3</v>
      </c>
    </row>
    <row r="2144" spans="76:135" x14ac:dyDescent="0.25">
      <c r="BX2144" s="78"/>
      <c r="BY2144" s="319">
        <v>950</v>
      </c>
      <c r="CA2144" s="78"/>
      <c r="EE2144" s="76">
        <f>+IF(MID($J$2,1,10)=MID($EE$2,1,10),3,1)</f>
        <v>3</v>
      </c>
    </row>
    <row r="2145" spans="76:135" x14ac:dyDescent="0.25">
      <c r="BX2145" s="78"/>
      <c r="BY2145" s="319">
        <v>109</v>
      </c>
      <c r="CA2145" s="78"/>
      <c r="EE2145" s="76">
        <f>+IF(MID($J$2,1,10)=MID($EE$2,1,10),0,1)</f>
        <v>0</v>
      </c>
    </row>
    <row r="2146" spans="76:135" x14ac:dyDescent="0.25">
      <c r="BX2146" s="78"/>
      <c r="BY2146" s="319">
        <v>814</v>
      </c>
      <c r="CA2146" s="78"/>
      <c r="EE2146" s="76">
        <f>+IF(MID($J$2,1,10)=MID($EE$2,1,10),1,2)</f>
        <v>1</v>
      </c>
    </row>
    <row r="2147" spans="76:135" x14ac:dyDescent="0.25">
      <c r="BX2147" s="78"/>
      <c r="BY2147" s="319">
        <v>123</v>
      </c>
      <c r="CA2147" s="78"/>
      <c r="EE2147" s="76">
        <f>+IF(MID($J$2,1,10)=MID($EE$2,1,10),3,1)</f>
        <v>3</v>
      </c>
    </row>
    <row r="2148" spans="76:135" x14ac:dyDescent="0.25">
      <c r="BX2148" s="78"/>
      <c r="BY2148" s="319">
        <v>982</v>
      </c>
      <c r="CA2148" s="78"/>
      <c r="EE2148" s="76">
        <f>+IF(MID($J$2,1,10)=MID($EE$2,1,10),3,1)</f>
        <v>3</v>
      </c>
    </row>
    <row r="2149" spans="76:135" x14ac:dyDescent="0.25">
      <c r="BX2149" s="78"/>
      <c r="BY2149" s="322">
        <v>7</v>
      </c>
      <c r="CA2149" s="78"/>
      <c r="EE2149" s="76">
        <f>+IF(MID($J$5,1,10)=MID($EE$5,1,10),0,1)</f>
        <v>0</v>
      </c>
    </row>
    <row r="2150" spans="76:135" x14ac:dyDescent="0.25">
      <c r="BX2150" s="78"/>
      <c r="BY2150" s="319">
        <v>148</v>
      </c>
      <c r="CA2150" s="78"/>
      <c r="EE2150" s="76">
        <f>+IF(MID($J$3,1,10)=MID($EE$3,1,10),2,1)</f>
        <v>2</v>
      </c>
    </row>
    <row r="2151" spans="76:135" x14ac:dyDescent="0.25">
      <c r="BX2151" s="78"/>
      <c r="BY2151" s="319">
        <v>475</v>
      </c>
      <c r="CA2151" s="78"/>
      <c r="EE2151" s="76">
        <f>+IF(MID($J$2,1,10)=MID($EE$2,1,10),4,1)</f>
        <v>4</v>
      </c>
    </row>
    <row r="2152" spans="76:135" x14ac:dyDescent="0.25">
      <c r="BX2152" s="78"/>
      <c r="BY2152" s="319">
        <v>114</v>
      </c>
      <c r="CA2152" s="78"/>
      <c r="EE2152" s="76">
        <f>+IF(MID($J$2,1,10)=MID($EE$2,1,10),0,1)</f>
        <v>0</v>
      </c>
    </row>
    <row r="2153" spans="76:135" x14ac:dyDescent="0.25">
      <c r="BX2153" s="78"/>
      <c r="BY2153" s="319">
        <v>771</v>
      </c>
      <c r="CA2153" s="78"/>
      <c r="EE2153" s="76">
        <f>+IF(MID($J$3,1,10)=MID($EE$3,1,10),2,1)</f>
        <v>2</v>
      </c>
    </row>
    <row r="2154" spans="76:135" x14ac:dyDescent="0.25">
      <c r="BX2154" s="78"/>
      <c r="BY2154" s="319">
        <v>155</v>
      </c>
      <c r="CA2154" s="78"/>
      <c r="EE2154" s="76">
        <f>+IF(MID($J$3,1,10)=MID($EE$3,1,10),2,1)</f>
        <v>2</v>
      </c>
    </row>
    <row r="2155" spans="76:135" x14ac:dyDescent="0.25">
      <c r="BX2155" s="78"/>
      <c r="BY2155" s="319">
        <v>405</v>
      </c>
      <c r="CA2155" s="78"/>
      <c r="EE2155" s="76">
        <f>+IF(MID($J$2,1,10)=MID($EE$2,1,10),4,1)</f>
        <v>4</v>
      </c>
    </row>
    <row r="2156" spans="76:135" x14ac:dyDescent="0.25">
      <c r="BX2156" s="78"/>
      <c r="BY2156" s="319">
        <v>135</v>
      </c>
      <c r="CA2156" s="78"/>
      <c r="EE2156" s="76">
        <f>+IF(MID($J$3,1,10)=MID($EE$3,1,10),2,1)</f>
        <v>2</v>
      </c>
    </row>
    <row r="2157" spans="76:135" x14ac:dyDescent="0.25">
      <c r="BX2157" s="78"/>
      <c r="BY2157" s="319">
        <v>1163</v>
      </c>
      <c r="CA2157" s="78"/>
      <c r="EE2157" s="76">
        <f>+IF(MID($J$2,1,10)=MID($EE$2,1,10),4,1)</f>
        <v>4</v>
      </c>
    </row>
    <row r="2158" spans="76:135" x14ac:dyDescent="0.25">
      <c r="BX2158" s="78"/>
      <c r="BY2158" s="319">
        <v>182</v>
      </c>
      <c r="CA2158" s="78"/>
      <c r="EE2158" s="76">
        <f>+IF(MID($J$2,1,10)=MID($EE$2,1,10),1,2)</f>
        <v>1</v>
      </c>
    </row>
    <row r="2159" spans="76:135" x14ac:dyDescent="0.25">
      <c r="BX2159" s="78"/>
      <c r="BY2159" s="319">
        <v>171</v>
      </c>
      <c r="CA2159" s="78"/>
      <c r="EE2159" s="76">
        <f>+IF(MID($J$2,1,10)=MID($EE$2,1,10),3,1)</f>
        <v>3</v>
      </c>
    </row>
    <row r="2160" spans="76:135" x14ac:dyDescent="0.25">
      <c r="BX2160" s="78"/>
      <c r="BY2160" s="319">
        <v>183</v>
      </c>
      <c r="CA2160" s="78"/>
      <c r="EE2160" s="76">
        <f>+IF(MID($J$2,1,10)=MID($EE$2,1,10),1,2)</f>
        <v>1</v>
      </c>
    </row>
    <row r="2161" spans="76:135" x14ac:dyDescent="0.25">
      <c r="BX2161" s="78"/>
      <c r="BY2161" s="319">
        <v>105</v>
      </c>
      <c r="CA2161" s="78"/>
      <c r="EE2161" s="76">
        <f>+IF(MID($J$3,1,10)=MID($EE$3,1,10),2,1)</f>
        <v>2</v>
      </c>
    </row>
    <row r="2162" spans="76:135" x14ac:dyDescent="0.25">
      <c r="BX2162" s="78"/>
      <c r="BY2162" s="319">
        <v>108</v>
      </c>
      <c r="CA2162" s="78"/>
      <c r="EE2162" s="76">
        <f>+IF(MID($J$2,1,10)=MID($EE$2,1,10),1,2)</f>
        <v>1</v>
      </c>
    </row>
    <row r="2163" spans="76:135" x14ac:dyDescent="0.25">
      <c r="BX2163" s="78"/>
      <c r="BY2163" s="319">
        <v>286</v>
      </c>
      <c r="CA2163" s="78"/>
      <c r="EE2163" s="76">
        <f>+IF(MID($J$2,1,10)=MID($EE$2,1,10),0,1)</f>
        <v>0</v>
      </c>
    </row>
    <row r="2164" spans="76:135" x14ac:dyDescent="0.25">
      <c r="BX2164" s="78"/>
      <c r="BY2164" s="319">
        <v>154</v>
      </c>
      <c r="CA2164" s="78"/>
      <c r="EE2164" s="76">
        <f>+IF(MID($J$2,1,10)=MID($EE$2,1,10),0,1)</f>
        <v>0</v>
      </c>
    </row>
    <row r="2165" spans="76:135" x14ac:dyDescent="0.25">
      <c r="BX2165" s="78"/>
      <c r="BY2165" s="319">
        <v>819</v>
      </c>
      <c r="CA2165" s="78"/>
      <c r="EE2165" s="76">
        <f>+IF(MID($J$2,1,10)=MID($EE$2,1,10),0,1)</f>
        <v>0</v>
      </c>
    </row>
    <row r="2166" spans="76:135" x14ac:dyDescent="0.25">
      <c r="BX2166" s="78"/>
      <c r="BY2166" s="319">
        <v>171</v>
      </c>
      <c r="CA2166" s="78"/>
      <c r="EE2166" s="76">
        <f>+IF(MID($J$2,1,10)=MID($EE$2,1,10),1,2)</f>
        <v>1</v>
      </c>
    </row>
    <row r="2167" spans="76:135" x14ac:dyDescent="0.25">
      <c r="BX2167" s="78"/>
      <c r="BY2167" s="319">
        <v>4</v>
      </c>
      <c r="CA2167" s="78"/>
      <c r="EE2167" s="76">
        <f>+IF(MID($J$2,1,10)=MID($EE$2,1,10),1,2)</f>
        <v>1</v>
      </c>
    </row>
    <row r="2168" spans="76:135" x14ac:dyDescent="0.25">
      <c r="BX2168" s="78"/>
      <c r="BY2168" s="319">
        <v>145</v>
      </c>
      <c r="CA2168" s="78"/>
      <c r="EE2168" s="76">
        <f>+IF(MID($J$2,1,10)=MID($EE$2,1,10),3,1)</f>
        <v>3</v>
      </c>
    </row>
    <row r="2169" spans="76:135" x14ac:dyDescent="0.25">
      <c r="BX2169" s="78"/>
      <c r="BY2169" s="319">
        <v>548</v>
      </c>
      <c r="CA2169" s="78"/>
      <c r="EE2169" s="76">
        <f>+IF(MID($J$2,1,10)=MID($EE$2,1,10),3,1)</f>
        <v>3</v>
      </c>
    </row>
    <row r="2170" spans="76:135" x14ac:dyDescent="0.25">
      <c r="BX2170" s="78"/>
      <c r="BY2170" s="319">
        <v>126</v>
      </c>
      <c r="CA2170" s="78"/>
      <c r="EE2170" s="76">
        <f>+IF(MID($J$2,1,10)=MID($EE$2,1,10),3,1)</f>
        <v>3</v>
      </c>
    </row>
    <row r="2171" spans="76:135" x14ac:dyDescent="0.25">
      <c r="BX2171" s="78"/>
      <c r="BY2171" s="319">
        <v>160</v>
      </c>
      <c r="CA2171" s="78"/>
      <c r="EE2171" s="76">
        <f>+IF(MID($J$2,1,10)=MID($EE$2,1,10),0,1)</f>
        <v>0</v>
      </c>
    </row>
    <row r="2172" spans="76:135" x14ac:dyDescent="0.25">
      <c r="BX2172" s="78"/>
      <c r="BY2172" s="319">
        <v>128</v>
      </c>
      <c r="CA2172" s="78"/>
      <c r="EE2172" s="76">
        <f>+IF(MID($J$2,1,10)=MID($EE$2,1,10),1,2)</f>
        <v>1</v>
      </c>
    </row>
    <row r="2173" spans="76:135" x14ac:dyDescent="0.25">
      <c r="BX2173" s="78"/>
      <c r="BY2173" s="319">
        <v>13</v>
      </c>
      <c r="CA2173" s="78"/>
      <c r="EE2173" s="76">
        <f>+IF(MID($J$4,1,8)=MID($EE$4,1,8),1,1)</f>
        <v>1</v>
      </c>
    </row>
    <row r="2174" spans="76:135" x14ac:dyDescent="0.25">
      <c r="BX2174" s="78"/>
      <c r="BY2174" s="325">
        <v>15</v>
      </c>
      <c r="CA2174" s="78"/>
      <c r="EE2174" s="76">
        <f>+IF(MID($J$5,1,10)=MID($EE$5,1,10),4,1)</f>
        <v>4</v>
      </c>
    </row>
    <row r="2175" spans="76:135" x14ac:dyDescent="0.25">
      <c r="BX2175" s="78"/>
      <c r="BY2175" s="319">
        <v>147</v>
      </c>
      <c r="CA2175" s="78"/>
      <c r="EE2175" s="76">
        <f>+IF(MID($J$2,1,10)=MID($EE$2,1,10),0,1)</f>
        <v>0</v>
      </c>
    </row>
    <row r="2176" spans="76:135" x14ac:dyDescent="0.25">
      <c r="BX2176" s="78"/>
      <c r="BY2176" s="319">
        <v>174</v>
      </c>
      <c r="CA2176" s="78"/>
      <c r="EE2176" s="76">
        <f>+IF(MID($J$2,1,10)=MID($EE$2,1,10),3,1)</f>
        <v>3</v>
      </c>
    </row>
    <row r="2177" spans="76:135" x14ac:dyDescent="0.25">
      <c r="BX2177" s="78"/>
      <c r="BY2177" s="319">
        <v>188</v>
      </c>
      <c r="CA2177" s="78"/>
      <c r="EE2177" s="76">
        <f>+IF(MID($J$2,1,10)=MID($EE$2,1,10),3,1)</f>
        <v>3</v>
      </c>
    </row>
    <row r="2178" spans="76:135" x14ac:dyDescent="0.25">
      <c r="BX2178" s="78"/>
      <c r="BY2178" s="319">
        <v>159</v>
      </c>
      <c r="CA2178" s="78"/>
      <c r="EE2178" s="76">
        <f>+IF(MID($J$2,1,10)=MID($EE$2,1,10),3,1)</f>
        <v>3</v>
      </c>
    </row>
    <row r="2179" spans="76:135" x14ac:dyDescent="0.25">
      <c r="BX2179" s="78"/>
      <c r="BY2179" s="319">
        <v>147</v>
      </c>
      <c r="CA2179" s="78"/>
      <c r="EE2179" s="76">
        <f>+IF(MID($J$2,1,10)=MID($EE$2,1,10),1,2)</f>
        <v>1</v>
      </c>
    </row>
    <row r="2180" spans="76:135" x14ac:dyDescent="0.25">
      <c r="BX2180" s="78"/>
      <c r="BY2180" s="319">
        <v>129</v>
      </c>
      <c r="CA2180" s="78"/>
      <c r="EE2180" s="76">
        <f>+IF(MID($J$3,1,10)=MID($EE$3,1,10),2,1)</f>
        <v>2</v>
      </c>
    </row>
    <row r="2181" spans="76:135" x14ac:dyDescent="0.25">
      <c r="BX2181" s="78"/>
      <c r="BY2181" s="319">
        <v>141</v>
      </c>
      <c r="CA2181" s="78"/>
      <c r="EE2181" s="76">
        <f>+IF(MID($J$2,1,10)=MID($EE$2,1,10),4,1)</f>
        <v>4</v>
      </c>
    </row>
    <row r="2182" spans="76:135" x14ac:dyDescent="0.25">
      <c r="BX2182" s="78"/>
      <c r="BY2182" s="319">
        <v>176</v>
      </c>
      <c r="CA2182" s="78"/>
      <c r="EE2182" s="76">
        <f>+IF(MID($J$2,1,10)=MID($EE$2,1,10),0,1)</f>
        <v>0</v>
      </c>
    </row>
    <row r="2183" spans="76:135" x14ac:dyDescent="0.25">
      <c r="BX2183" s="78"/>
      <c r="BY2183" s="319">
        <v>113</v>
      </c>
      <c r="CA2183" s="78"/>
      <c r="EE2183" s="76">
        <f>+IF(MID($J$3,1,10)=MID($EE$3,1,10),2,1)</f>
        <v>2</v>
      </c>
    </row>
    <row r="2184" spans="76:135" x14ac:dyDescent="0.25">
      <c r="BX2184" s="78"/>
      <c r="BY2184" s="319">
        <v>122</v>
      </c>
      <c r="CA2184" s="78"/>
      <c r="EE2184" s="76">
        <f>+IF(MID($J$3,1,10)=MID($EE$3,1,10),2,1)</f>
        <v>2</v>
      </c>
    </row>
    <row r="2185" spans="76:135" x14ac:dyDescent="0.25">
      <c r="BX2185" s="78"/>
      <c r="BY2185" s="319">
        <v>114</v>
      </c>
      <c r="CA2185" s="78"/>
      <c r="EE2185" s="76">
        <f>+IF(MID($J$2,1,10)=MID($EE$2,1,10),4,1)</f>
        <v>4</v>
      </c>
    </row>
    <row r="2186" spans="76:135" x14ac:dyDescent="0.25">
      <c r="BX2186" s="78"/>
      <c r="BY2186" s="319">
        <v>135</v>
      </c>
      <c r="CA2186" s="78"/>
      <c r="EE2186" s="76">
        <f>+IF(MID($J$3,1,10)=MID($EE$3,1,10),2,1)</f>
        <v>2</v>
      </c>
    </row>
    <row r="2187" spans="76:135" x14ac:dyDescent="0.25">
      <c r="BX2187" s="78"/>
      <c r="BY2187" s="319">
        <v>174</v>
      </c>
      <c r="CA2187" s="78"/>
      <c r="EE2187" s="76">
        <f>+IF(MID($J$2,1,10)=MID($EE$2,1,10),4,1)</f>
        <v>4</v>
      </c>
    </row>
    <row r="2188" spans="76:135" x14ac:dyDescent="0.25">
      <c r="BX2188" s="78"/>
      <c r="BY2188" s="319">
        <v>203</v>
      </c>
      <c r="CA2188" s="78"/>
      <c r="EE2188" s="76">
        <f>+IF(MID($J$2,1,10)=MID($EE$2,1,10),1,2)</f>
        <v>1</v>
      </c>
    </row>
    <row r="2189" spans="76:135" x14ac:dyDescent="0.25">
      <c r="BX2189" s="78"/>
      <c r="BY2189" s="319">
        <v>171</v>
      </c>
      <c r="CA2189" s="78"/>
      <c r="EE2189" s="76">
        <f>+IF(MID($J$2,1,10)=MID($EE$2,1,10),3,1)</f>
        <v>3</v>
      </c>
    </row>
    <row r="2190" spans="76:135" x14ac:dyDescent="0.25">
      <c r="BX2190" s="78"/>
      <c r="BY2190" s="319">
        <v>201</v>
      </c>
      <c r="CA2190" s="78"/>
      <c r="EE2190" s="76">
        <f>+IF(MID($J$2,1,10)=MID($EE$2,1,10),1,2)</f>
        <v>1</v>
      </c>
    </row>
    <row r="2191" spans="76:135" x14ac:dyDescent="0.25">
      <c r="BX2191" s="78"/>
      <c r="BY2191" s="319">
        <v>106</v>
      </c>
      <c r="CA2191" s="78"/>
      <c r="EE2191" s="76">
        <f>+IF(MID($J$3,1,10)=MID($EE$3,1,10),2,1)</f>
        <v>2</v>
      </c>
    </row>
    <row r="2192" spans="76:135" x14ac:dyDescent="0.25">
      <c r="BX2192" s="78"/>
      <c r="BY2192" s="319">
        <v>176</v>
      </c>
      <c r="CA2192" s="78"/>
      <c r="EE2192" s="76">
        <f>+IF(MID($J$2,1,10)=MID($EE$2,1,10),1,2)</f>
        <v>1</v>
      </c>
    </row>
    <row r="2193" spans="76:135" x14ac:dyDescent="0.25">
      <c r="BX2193" s="78"/>
      <c r="BY2193" s="319">
        <v>207</v>
      </c>
      <c r="CA2193" s="78"/>
      <c r="EE2193" s="76">
        <f>+IF(MID($J$2,1,10)=MID($EE$2,1,10),0,1)</f>
        <v>0</v>
      </c>
    </row>
    <row r="2194" spans="76:135" x14ac:dyDescent="0.25">
      <c r="BX2194" s="78"/>
      <c r="BY2194" s="319">
        <v>185</v>
      </c>
      <c r="CA2194" s="78"/>
      <c r="EE2194" s="76">
        <f>+IF(MID($J$2,1,10)=MID($EE$2,1,10),0,1)</f>
        <v>0</v>
      </c>
    </row>
    <row r="2195" spans="76:135" x14ac:dyDescent="0.25">
      <c r="BX2195" s="78"/>
      <c r="BY2195" s="319">
        <v>140</v>
      </c>
      <c r="CA2195" s="78"/>
      <c r="EE2195" s="76">
        <f>+IF(MID($J$2,1,10)=MID($EE$2,1,10),0,1)</f>
        <v>0</v>
      </c>
    </row>
    <row r="2196" spans="76:135" x14ac:dyDescent="0.25">
      <c r="BX2196" s="78"/>
      <c r="BY2196" s="322">
        <v>7</v>
      </c>
      <c r="CA2196" s="78"/>
      <c r="EE2196" s="76">
        <f>+IF(MID($J$2,1,10)=MID($EE$2,1,10),3,1)</f>
        <v>3</v>
      </c>
    </row>
    <row r="2197" spans="76:135" x14ac:dyDescent="0.25">
      <c r="BX2197" s="78"/>
      <c r="BY2197" s="319">
        <v>125</v>
      </c>
      <c r="CA2197" s="78"/>
      <c r="EE2197" s="76">
        <f>+IF(MID($J$2,1,10)=MID($EE$2,1,10),1,2)</f>
        <v>1</v>
      </c>
    </row>
    <row r="2198" spans="76:135" x14ac:dyDescent="0.25">
      <c r="BX2198" s="78"/>
      <c r="BY2198" s="319">
        <v>119</v>
      </c>
      <c r="CA2198" s="78"/>
      <c r="EE2198" s="76">
        <f>+IF(MID($J$2,1,10)=MID($EE$2,1,10),3,1)</f>
        <v>3</v>
      </c>
    </row>
    <row r="2199" spans="76:135" x14ac:dyDescent="0.25">
      <c r="BX2199" s="78"/>
      <c r="BY2199" s="319">
        <v>122</v>
      </c>
      <c r="CA2199" s="78"/>
      <c r="EE2199" s="76">
        <f>+IF(MID($J$2,1,10)=MID($EE$2,1,10),3,1)</f>
        <v>3</v>
      </c>
    </row>
    <row r="2200" spans="76:135" x14ac:dyDescent="0.25">
      <c r="BX2200" s="78"/>
      <c r="BY2200" s="319">
        <v>154</v>
      </c>
      <c r="CA2200" s="78"/>
      <c r="EE2200" s="76">
        <f>+IF(MID($J$2,1,10)=MID($EE$2,1,10),3,1)</f>
        <v>3</v>
      </c>
    </row>
    <row r="2201" spans="76:135" x14ac:dyDescent="0.25">
      <c r="BX2201" s="78"/>
      <c r="BY2201" s="319">
        <v>130</v>
      </c>
      <c r="CA2201" s="78"/>
      <c r="EE2201" s="76">
        <f>+IF(MID($J$2,1,10)=MID($EE$2,1,10),0,1)</f>
        <v>0</v>
      </c>
    </row>
    <row r="2202" spans="76:135" x14ac:dyDescent="0.25">
      <c r="BX2202" s="78"/>
      <c r="BY2202" s="319">
        <v>101</v>
      </c>
      <c r="CA2202" s="78"/>
      <c r="EE2202" s="76">
        <f>+IF(MID($J$2,1,10)=MID($EE$2,1,10),1,2)</f>
        <v>1</v>
      </c>
    </row>
    <row r="2203" spans="76:135" x14ac:dyDescent="0.25">
      <c r="BX2203" s="78"/>
      <c r="BY2203" s="319">
        <v>180</v>
      </c>
      <c r="CA2203" s="78"/>
      <c r="EE2203" s="76">
        <f>+IF(MID($J$2,1,10)=MID($EE$2,1,10),3,1)</f>
        <v>3</v>
      </c>
    </row>
    <row r="2204" spans="76:135" x14ac:dyDescent="0.25">
      <c r="BX2204" s="78"/>
      <c r="BY2204" s="319">
        <v>109</v>
      </c>
      <c r="CA2204" s="78"/>
      <c r="EE2204" s="76">
        <f>+IF(MID($J$2,1,10)=MID($EE$2,1,10),3,1)</f>
        <v>3</v>
      </c>
    </row>
    <row r="2205" spans="76:135" x14ac:dyDescent="0.25">
      <c r="BX2205" s="78"/>
      <c r="BY2205" s="319">
        <v>125</v>
      </c>
      <c r="CA2205" s="78"/>
      <c r="EE2205" s="76">
        <f>+IF(MID($J$2,1,10)=MID($EE$2,1,10),0,1)</f>
        <v>0</v>
      </c>
    </row>
    <row r="2206" spans="76:135" x14ac:dyDescent="0.25">
      <c r="BX2206" s="78"/>
      <c r="BY2206" s="319">
        <v>154</v>
      </c>
      <c r="CA2206" s="78"/>
      <c r="EE2206" s="76">
        <f>+IF(MID($J$2,1,10)=MID($EE$2,1,10),3,1)</f>
        <v>3</v>
      </c>
    </row>
    <row r="2207" spans="76:135" x14ac:dyDescent="0.25">
      <c r="BX2207" s="78"/>
      <c r="BY2207" s="319">
        <v>970</v>
      </c>
      <c r="CA2207" s="78"/>
    </row>
    <row r="2208" spans="76:135" x14ac:dyDescent="0.25">
      <c r="BX2208" s="78"/>
      <c r="BY2208" s="319">
        <v>434</v>
      </c>
      <c r="CA2208" s="78"/>
    </row>
    <row r="2209" spans="76:135" x14ac:dyDescent="0.25">
      <c r="BX2209" s="78"/>
      <c r="BY2209" s="319">
        <v>744</v>
      </c>
      <c r="CA2209" s="78"/>
    </row>
    <row r="2210" spans="76:135" x14ac:dyDescent="0.25">
      <c r="BX2210" s="78"/>
      <c r="BY2210" s="319">
        <v>1104</v>
      </c>
      <c r="CA2210" s="78"/>
    </row>
    <row r="2211" spans="76:135" x14ac:dyDescent="0.25">
      <c r="BX2211" s="78"/>
      <c r="BY2211" s="319">
        <v>1135</v>
      </c>
      <c r="CA2211" s="78"/>
    </row>
    <row r="2212" spans="76:135" x14ac:dyDescent="0.25">
      <c r="BX2212" s="78"/>
      <c r="BY2212" s="319">
        <v>461</v>
      </c>
      <c r="CA2212" s="78"/>
    </row>
    <row r="2213" spans="76:135" x14ac:dyDescent="0.25">
      <c r="BX2213" s="78"/>
      <c r="BY2213" s="319">
        <v>434</v>
      </c>
      <c r="CA2213" s="78"/>
    </row>
    <row r="2214" spans="76:135" x14ac:dyDescent="0.25">
      <c r="BX2214" s="78"/>
      <c r="BY2214" s="319">
        <v>944</v>
      </c>
      <c r="CA2214" s="78"/>
    </row>
    <row r="2215" spans="76:135" x14ac:dyDescent="0.25">
      <c r="BX2215" s="78"/>
      <c r="BY2215" s="322">
        <v>28</v>
      </c>
      <c r="CA2215" s="78"/>
      <c r="EE2215" s="76">
        <f>+IF(MID($J$3,1,10)=MID($EE$3,1,10),4,1)</f>
        <v>4</v>
      </c>
    </row>
    <row r="2216" spans="76:135" x14ac:dyDescent="0.25">
      <c r="BX2216" s="78"/>
      <c r="BY2216" s="322">
        <v>15</v>
      </c>
      <c r="CA2216" s="78"/>
      <c r="EE2216" s="76">
        <f>+IF(MID($J$2,1,10)=MID($EE$2,1,10),3,1)</f>
        <v>3</v>
      </c>
    </row>
    <row r="2217" spans="76:135" x14ac:dyDescent="0.25">
      <c r="BX2217" s="78"/>
      <c r="BY2217" s="319">
        <v>945</v>
      </c>
      <c r="CA2217" s="78"/>
      <c r="EE2217" s="76">
        <f>+IF(MID($J$2,1,10)=MID($EE$2,1,10),1,2)</f>
        <v>1</v>
      </c>
    </row>
    <row r="2218" spans="76:135" x14ac:dyDescent="0.25">
      <c r="BX2218" s="78"/>
      <c r="BY2218" s="319">
        <v>170</v>
      </c>
      <c r="CA2218" s="78"/>
      <c r="EE2218" s="76">
        <f>+IF(MID($J$2,1,10)=MID($EE$2,1,10),3,1)</f>
        <v>3</v>
      </c>
    </row>
    <row r="2219" spans="76:135" x14ac:dyDescent="0.25">
      <c r="BX2219" s="78"/>
      <c r="BY2219" s="319">
        <v>318</v>
      </c>
      <c r="CA2219" s="78"/>
      <c r="EE2219" s="76">
        <f>+IF(MID($J$2,1,10)=MID($EE$2,1,10),0,1)</f>
        <v>0</v>
      </c>
    </row>
    <row r="2220" spans="76:135" x14ac:dyDescent="0.25">
      <c r="BX2220" s="78"/>
      <c r="BY2220" s="319">
        <v>158</v>
      </c>
      <c r="CA2220" s="78"/>
      <c r="EE2220" s="76">
        <f>+IF(MID($J$2,1,10)=MID($EE$2,1,10),3,1)</f>
        <v>3</v>
      </c>
    </row>
    <row r="2221" spans="76:135" x14ac:dyDescent="0.25">
      <c r="BX2221" s="78"/>
      <c r="BY2221" s="319">
        <v>483</v>
      </c>
      <c r="CA2221" s="78"/>
      <c r="EE2221" s="76">
        <f>+IF(MID($J$2,1,10)=MID($EE$2,1,10),3,1)</f>
        <v>3</v>
      </c>
    </row>
    <row r="2222" spans="76:135" x14ac:dyDescent="0.25">
      <c r="BX2222" s="78"/>
      <c r="BY2222" s="319">
        <v>176</v>
      </c>
      <c r="CA2222" s="78"/>
      <c r="EE2222" s="76">
        <f>+IF(MID($J$2,1,10)=MID($EE$2,1,10),3,1)</f>
        <v>3</v>
      </c>
    </row>
    <row r="2223" spans="76:135" x14ac:dyDescent="0.25">
      <c r="BX2223" s="78"/>
      <c r="BY2223" s="319">
        <v>805</v>
      </c>
      <c r="CA2223" s="78"/>
      <c r="EE2223" s="76">
        <f>+IF(MID($J$3,1,10)=MID($EE$3,1,10),2,1)</f>
        <v>2</v>
      </c>
    </row>
    <row r="2224" spans="76:135" x14ac:dyDescent="0.25">
      <c r="BX2224" s="78"/>
      <c r="BY2224" s="319">
        <v>138</v>
      </c>
      <c r="CA2224" s="78"/>
      <c r="EE2224" s="76">
        <f>+IF(MID($J$2,1,10)=MID($EE$2,1,10),4,1)</f>
        <v>4</v>
      </c>
    </row>
    <row r="2225" spans="76:135" x14ac:dyDescent="0.25">
      <c r="BX2225" s="78"/>
      <c r="BY2225" s="319">
        <v>897</v>
      </c>
      <c r="CA2225" s="78"/>
      <c r="EE2225" s="76">
        <f>+IF(MID($J$2,1,10)=MID($EE$2,1,10),0,1)</f>
        <v>0</v>
      </c>
    </row>
    <row r="2226" spans="76:135" x14ac:dyDescent="0.25">
      <c r="BX2226" s="78"/>
      <c r="BY2226" s="319">
        <v>101</v>
      </c>
      <c r="CA2226" s="78"/>
      <c r="EE2226" s="76">
        <f>+IF(MID($J$3,1,10)=MID($EE$3,1,10),2,1)</f>
        <v>2</v>
      </c>
    </row>
    <row r="2227" spans="76:135" x14ac:dyDescent="0.25">
      <c r="BX2227" s="78"/>
      <c r="BY2227" s="319">
        <v>504</v>
      </c>
      <c r="CA2227" s="78"/>
      <c r="EE2227" s="76">
        <f>+IF(MID($J$3,1,10)=MID($EE$3,1,10),2,1)</f>
        <v>2</v>
      </c>
    </row>
    <row r="2228" spans="76:135" x14ac:dyDescent="0.25">
      <c r="BX2228" s="78"/>
      <c r="BY2228" s="319">
        <v>188</v>
      </c>
      <c r="CA2228" s="78"/>
      <c r="EE2228" s="76">
        <f>+IF(MID($J$2,1,10)=MID($EE$2,1,10),4,1)</f>
        <v>4</v>
      </c>
    </row>
    <row r="2229" spans="76:135" x14ac:dyDescent="0.25">
      <c r="BX2229" s="78"/>
      <c r="BY2229" s="319">
        <v>165</v>
      </c>
      <c r="CA2229" s="78"/>
      <c r="EE2229" s="76">
        <f>+IF(MID($J$3,1,10)=MID($EE$3,1,10),2,1)</f>
        <v>2</v>
      </c>
    </row>
    <row r="2230" spans="76:135" x14ac:dyDescent="0.25">
      <c r="BX2230" s="78"/>
      <c r="BY2230" s="319">
        <v>13</v>
      </c>
      <c r="CA2230" s="78"/>
      <c r="EE2230" s="76">
        <f>+IF(MID($J$2,1,10)=MID($EE$2,1,10),4,1)</f>
        <v>4</v>
      </c>
    </row>
    <row r="2231" spans="76:135" x14ac:dyDescent="0.25">
      <c r="BX2231" s="78"/>
      <c r="BY2231" s="319">
        <v>171</v>
      </c>
      <c r="CA2231" s="78"/>
      <c r="EE2231" s="76">
        <f>+IF(MID($J$2,1,10)=MID($EE$2,1,10),1,2)</f>
        <v>1</v>
      </c>
    </row>
    <row r="2232" spans="76:135" x14ac:dyDescent="0.25">
      <c r="BX2232" s="78"/>
      <c r="BY2232" s="319">
        <v>384</v>
      </c>
      <c r="CA2232" s="78"/>
      <c r="EE2232" s="76">
        <f>+IF(MID($J$2,1,10)=MID($EE$2,1,10),3,1)</f>
        <v>3</v>
      </c>
    </row>
    <row r="2233" spans="76:135" x14ac:dyDescent="0.25">
      <c r="BX2233" s="78"/>
      <c r="BY2233" s="319">
        <v>165</v>
      </c>
      <c r="CA2233" s="78"/>
      <c r="EE2233" s="76">
        <f>+IF(MID($J$2,1,10)=MID($EE$2,1,10),1,2)</f>
        <v>1</v>
      </c>
    </row>
    <row r="2234" spans="76:135" x14ac:dyDescent="0.25">
      <c r="BX2234" s="78"/>
      <c r="BY2234" s="319">
        <v>1013</v>
      </c>
      <c r="CA2234" s="78"/>
      <c r="EE2234" s="76">
        <f>+IF(MID($J$3,1,10)=MID($EE$3,1,10),2,1)</f>
        <v>2</v>
      </c>
    </row>
    <row r="2235" spans="76:135" x14ac:dyDescent="0.25">
      <c r="BX2235" s="78"/>
      <c r="BY2235" s="319">
        <v>117</v>
      </c>
      <c r="CA2235" s="78"/>
      <c r="EE2235" s="76">
        <f>+IF(MID($J$2,1,10)=MID($EE$2,1,10),1,2)</f>
        <v>1</v>
      </c>
    </row>
    <row r="2236" spans="76:135" x14ac:dyDescent="0.25">
      <c r="BX2236" s="78"/>
      <c r="BY2236" s="319">
        <v>579</v>
      </c>
      <c r="CA2236" s="78"/>
      <c r="EE2236" s="76">
        <f>+IF(MID($J$2,1,10)=MID($EE$2,1,10),0,1)</f>
        <v>0</v>
      </c>
    </row>
    <row r="2237" spans="76:135" x14ac:dyDescent="0.25">
      <c r="BX2237" s="78"/>
      <c r="BY2237" s="319">
        <v>123</v>
      </c>
      <c r="CA2237" s="78"/>
      <c r="EE2237" s="76">
        <f>+IF(MID($J$2,1,10)=MID($EE$2,1,10),0,1)</f>
        <v>0</v>
      </c>
    </row>
    <row r="2238" spans="76:135" x14ac:dyDescent="0.25">
      <c r="BX2238" s="78"/>
      <c r="BY2238" s="319">
        <v>786</v>
      </c>
      <c r="CA2238" s="78"/>
      <c r="EE2238" s="76">
        <f>+IF(MID($J$2,1,10)=MID($EE$2,1,10),0,1)</f>
        <v>0</v>
      </c>
    </row>
    <row r="2239" spans="76:135" x14ac:dyDescent="0.25">
      <c r="BX2239" s="78"/>
      <c r="BY2239" s="319">
        <v>121</v>
      </c>
      <c r="CA2239" s="78"/>
      <c r="EE2239" s="76">
        <f>+IF(MID($J$2,1,10)=MID($EE$2,1,10),1,2)</f>
        <v>1</v>
      </c>
    </row>
    <row r="2240" spans="76:135" x14ac:dyDescent="0.25">
      <c r="BX2240" s="78"/>
      <c r="BY2240" s="319">
        <v>131</v>
      </c>
      <c r="CA2240" s="78"/>
      <c r="EE2240" s="76">
        <f>+IF(MID($J$2,1,10)=MID($EE$2,1,10),1,2)</f>
        <v>1</v>
      </c>
    </row>
    <row r="2241" spans="76:135" x14ac:dyDescent="0.25">
      <c r="BX2241" s="78"/>
      <c r="BY2241" s="319">
        <v>123</v>
      </c>
      <c r="CA2241" s="78"/>
      <c r="EE2241" s="76">
        <f>+IF(MID($J$2,1,10)=MID($EE$2,1,10),3,1)</f>
        <v>3</v>
      </c>
    </row>
    <row r="2242" spans="76:135" x14ac:dyDescent="0.25">
      <c r="BX2242" s="78"/>
      <c r="BY2242" s="319">
        <v>189</v>
      </c>
      <c r="CA2242" s="78"/>
      <c r="EE2242" s="76">
        <f>+IF(MID($J$2,1,10)=MID($EE$2,1,10),3,1)</f>
        <v>3</v>
      </c>
    </row>
    <row r="2243" spans="76:135" x14ac:dyDescent="0.25">
      <c r="BX2243" s="78"/>
      <c r="BY2243" s="322">
        <v>10</v>
      </c>
      <c r="CA2243" s="78"/>
      <c r="EE2243" s="76">
        <f>+IF(MID($J$6,1,5)=MID($EE$11,1,5),3,1)</f>
        <v>3</v>
      </c>
    </row>
    <row r="2244" spans="76:135" x14ac:dyDescent="0.25">
      <c r="BX2244" s="78"/>
      <c r="BY2244" s="319">
        <v>596</v>
      </c>
      <c r="CA2244" s="78"/>
      <c r="EE2244" s="76">
        <f>+IF(MID($J$2,1,10)=MID($EE$2,1,10),0,1)</f>
        <v>0</v>
      </c>
    </row>
    <row r="2245" spans="76:135" x14ac:dyDescent="0.25">
      <c r="BX2245" s="78"/>
      <c r="BY2245" s="319">
        <v>193</v>
      </c>
      <c r="CA2245" s="78"/>
      <c r="EE2245" s="76">
        <f>+IF(MID($J$2,1,10)=MID($EE$2,1,10),1,2)</f>
        <v>1</v>
      </c>
    </row>
    <row r="2246" spans="76:135" x14ac:dyDescent="0.25">
      <c r="BX2246" s="78"/>
      <c r="BY2246" s="319">
        <v>300</v>
      </c>
      <c r="CA2246" s="78"/>
      <c r="EE2246" s="76">
        <f>+IF(MID($J$2,1,10)=MID($EE$2,1,10),3,1)</f>
        <v>3</v>
      </c>
    </row>
    <row r="2247" spans="76:135" x14ac:dyDescent="0.25">
      <c r="BX2247" s="78"/>
      <c r="BY2247" s="319">
        <v>124</v>
      </c>
      <c r="CA2247" s="78"/>
      <c r="EE2247" s="76">
        <f>+IF(MID($J$2,1,10)=MID($EE$2,1,10),3,1)</f>
        <v>3</v>
      </c>
    </row>
    <row r="2248" spans="76:135" x14ac:dyDescent="0.25">
      <c r="BX2248" s="78"/>
      <c r="BY2248" s="319">
        <v>278</v>
      </c>
      <c r="CA2248" s="78"/>
      <c r="EE2248" s="76">
        <f>+IF(MID($J$2,1,10)=MID($EE$2,1,10),0,1)</f>
        <v>0</v>
      </c>
    </row>
    <row r="2249" spans="76:135" x14ac:dyDescent="0.25">
      <c r="BX2249" s="78"/>
      <c r="BY2249" s="319">
        <v>7</v>
      </c>
      <c r="CA2249" s="78"/>
      <c r="EE2249" s="76">
        <f>+IF(MID($J$2,1,10)=MID($EE$2,1,10),3,1)</f>
        <v>3</v>
      </c>
    </row>
    <row r="2250" spans="76:135" x14ac:dyDescent="0.25">
      <c r="BX2250" s="78"/>
      <c r="BY2250" s="319">
        <v>773</v>
      </c>
      <c r="CA2250" s="78"/>
      <c r="EE2250" s="76">
        <f>+IF(MID($J$2,1,10)=MID($EE$2,1,10),3,1)</f>
        <v>3</v>
      </c>
    </row>
    <row r="2251" spans="76:135" x14ac:dyDescent="0.25">
      <c r="BX2251" s="78"/>
      <c r="BY2251" s="319">
        <v>195</v>
      </c>
      <c r="CA2251" s="78"/>
      <c r="EE2251" s="76">
        <f>+IF(MID($J$2,1,10)=MID($EE$2,1,10),3,1)</f>
        <v>3</v>
      </c>
    </row>
    <row r="2252" spans="76:135" x14ac:dyDescent="0.25">
      <c r="BX2252" s="78"/>
      <c r="BY2252" s="319">
        <v>1122</v>
      </c>
      <c r="CA2252" s="78"/>
      <c r="EE2252" s="76">
        <f>+IF(MID($J$2,1,10)=MID($EE$2,1,10),1,2)</f>
        <v>1</v>
      </c>
    </row>
    <row r="2253" spans="76:135" x14ac:dyDescent="0.25">
      <c r="BX2253" s="78"/>
      <c r="BY2253" s="319">
        <v>183</v>
      </c>
      <c r="CA2253" s="78"/>
      <c r="EE2253" s="76">
        <f>+IF(MID($J$3,1,10)=MID($EE$3,1,10),2,1)</f>
        <v>2</v>
      </c>
    </row>
    <row r="2254" spans="76:135" x14ac:dyDescent="0.25">
      <c r="BX2254" s="78"/>
      <c r="BY2254" s="319">
        <v>120</v>
      </c>
      <c r="CA2254" s="78"/>
      <c r="EE2254" s="76">
        <f>+IF(MID($J$2,1,10)=MID($EE$2,1,10),4,1)</f>
        <v>4</v>
      </c>
    </row>
    <row r="2255" spans="76:135" x14ac:dyDescent="0.25">
      <c r="BX2255" s="78"/>
      <c r="BY2255" s="319">
        <v>520</v>
      </c>
      <c r="CA2255" s="78"/>
      <c r="EE2255" s="76">
        <f>+IF(MID($J$2,1,10)=MID($EE$2,1,10),0,1)</f>
        <v>0</v>
      </c>
    </row>
    <row r="2256" spans="76:135" x14ac:dyDescent="0.25">
      <c r="BX2256" s="78"/>
      <c r="BY2256" s="319">
        <v>118</v>
      </c>
      <c r="CA2256" s="78"/>
      <c r="EE2256" s="76">
        <f>+IF(MID($J$3,1,10)=MID($EE$3,1,10),2,1)</f>
        <v>2</v>
      </c>
    </row>
    <row r="2257" spans="76:135" x14ac:dyDescent="0.25">
      <c r="BX2257" s="78"/>
      <c r="BY2257" s="319">
        <v>321</v>
      </c>
      <c r="CA2257" s="78"/>
      <c r="EE2257" s="76">
        <f>+IF(MID($J$3,1,10)=MID($EE$3,1,10),2,1)</f>
        <v>2</v>
      </c>
    </row>
    <row r="2258" spans="76:135" x14ac:dyDescent="0.25">
      <c r="BX2258" s="78"/>
      <c r="BY2258" s="319">
        <v>164</v>
      </c>
      <c r="CA2258" s="78"/>
      <c r="EE2258" s="76">
        <f>+IF(MID($J$2,1,10)=MID($EE$2,1,10),4,1)</f>
        <v>4</v>
      </c>
    </row>
    <row r="2259" spans="76:135" x14ac:dyDescent="0.25">
      <c r="BX2259" s="78"/>
      <c r="BY2259" s="319">
        <v>1109</v>
      </c>
      <c r="CA2259" s="78"/>
      <c r="EE2259" s="76">
        <f>+IF(MID($J$3,1,10)=MID($EE$3,1,10),2,1)</f>
        <v>2</v>
      </c>
    </row>
    <row r="2260" spans="76:135" x14ac:dyDescent="0.25">
      <c r="BX2260" s="78"/>
      <c r="BY2260" s="319">
        <v>104</v>
      </c>
      <c r="CA2260" s="78"/>
      <c r="EE2260" s="76">
        <f>+IF(MID($J$2,1,10)=MID($EE$2,1,10),4,1)</f>
        <v>4</v>
      </c>
    </row>
    <row r="2261" spans="76:135" x14ac:dyDescent="0.25">
      <c r="BX2261" s="78"/>
      <c r="BY2261" s="319">
        <v>147</v>
      </c>
      <c r="CA2261" s="78"/>
      <c r="EE2261" s="76">
        <f>+IF(MID($J$2,1,10)=MID($EE$2,1,10),1,2)</f>
        <v>1</v>
      </c>
    </row>
    <row r="2262" spans="76:135" x14ac:dyDescent="0.25">
      <c r="BX2262" s="78"/>
      <c r="BY2262" s="319">
        <v>173</v>
      </c>
      <c r="CA2262" s="78"/>
      <c r="EE2262" s="76">
        <f>+IF(MID($J$2,1,10)=MID($EE$2,1,10),3,1)</f>
        <v>3</v>
      </c>
    </row>
    <row r="2263" spans="76:135" x14ac:dyDescent="0.25">
      <c r="BX2263" s="78"/>
      <c r="BY2263" s="319">
        <v>971</v>
      </c>
      <c r="CA2263" s="78"/>
      <c r="EE2263" s="76">
        <f>+IF(MID($J$2,1,10)=MID($EE$2,1,10),1,2)</f>
        <v>1</v>
      </c>
    </row>
    <row r="2264" spans="76:135" x14ac:dyDescent="0.25">
      <c r="BX2264" s="78"/>
      <c r="BY2264" s="319">
        <v>167</v>
      </c>
      <c r="CA2264" s="78"/>
      <c r="EE2264" s="76">
        <f>+IF(MID($J$3,1,10)=MID($EE$3,1,10),2,1)</f>
        <v>2</v>
      </c>
    </row>
    <row r="2265" spans="76:135" x14ac:dyDescent="0.25">
      <c r="BX2265" s="78"/>
      <c r="BY2265" s="319">
        <v>555</v>
      </c>
      <c r="CA2265" s="78"/>
      <c r="EE2265" s="76">
        <f>+IF(MID($J$2,1,10)=MID($EE$2,1,10),1,2)</f>
        <v>1</v>
      </c>
    </row>
    <row r="2266" spans="76:135" x14ac:dyDescent="0.25">
      <c r="BX2266" s="78"/>
      <c r="BY2266" s="319">
        <v>196</v>
      </c>
      <c r="CA2266" s="78"/>
      <c r="EE2266" s="76">
        <f>+IF(MID($J$2,1,10)=MID($EE$2,1,10),0,1)</f>
        <v>0</v>
      </c>
    </row>
    <row r="2267" spans="76:135" x14ac:dyDescent="0.25">
      <c r="BX2267" s="79"/>
      <c r="BY2267" s="322">
        <v>10</v>
      </c>
      <c r="BZ2267" s="323"/>
      <c r="CA2267" s="79"/>
      <c r="EE2267" s="76">
        <f>+IF(MID($J$5,1,10)=MID($EE$5,1,10),0,1)</f>
        <v>0</v>
      </c>
    </row>
    <row r="2268" spans="76:135" x14ac:dyDescent="0.25">
      <c r="BX2268" s="78"/>
      <c r="BY2268" s="322">
        <v>18</v>
      </c>
      <c r="CA2268" s="78"/>
      <c r="EE2268" s="76">
        <f>+IF(MID($J$6,1,5)=MID($EE$11,1,5),1,2)</f>
        <v>1</v>
      </c>
    </row>
    <row r="2269" spans="76:135" x14ac:dyDescent="0.25">
      <c r="BX2269" s="78"/>
      <c r="BY2269" s="319">
        <v>173</v>
      </c>
      <c r="CA2269" s="78"/>
      <c r="EE2269" s="76">
        <f>+IF(MID($J$2,1,10)=MID($EE$2,1,10),4,1)</f>
        <v>4</v>
      </c>
    </row>
    <row r="2270" spans="76:135" x14ac:dyDescent="0.25">
      <c r="BX2270" s="78"/>
      <c r="BY2270" s="319">
        <v>249</v>
      </c>
      <c r="CA2270" s="78"/>
      <c r="EE2270" s="76">
        <f>+IF(MID($J$2,1,10)=MID($EE$2,1,10),0,1)</f>
        <v>0</v>
      </c>
    </row>
    <row r="2271" spans="76:135" x14ac:dyDescent="0.25">
      <c r="BX2271" s="78"/>
      <c r="BY2271" s="319">
        <v>126</v>
      </c>
      <c r="CA2271" s="78"/>
      <c r="EE2271" s="76">
        <f>+IF(MID($J$3,1,10)=MID($EE$3,1,10),2,1)</f>
        <v>2</v>
      </c>
    </row>
    <row r="2272" spans="76:135" x14ac:dyDescent="0.25">
      <c r="BX2272" s="78"/>
      <c r="BY2272" s="319">
        <v>840</v>
      </c>
      <c r="CA2272" s="78"/>
      <c r="EE2272" s="76">
        <f>+IF(MID($J$3,1,10)=MID($EE$3,1,10),2,1)</f>
        <v>2</v>
      </c>
    </row>
    <row r="2273" spans="76:135" x14ac:dyDescent="0.25">
      <c r="BX2273" s="78"/>
      <c r="BY2273" s="319">
        <v>188</v>
      </c>
      <c r="CA2273" s="78"/>
      <c r="EE2273" s="76">
        <f>+IF(MID($J$2,1,10)=MID($EE$2,1,10),4,1)</f>
        <v>4</v>
      </c>
    </row>
    <row r="2274" spans="76:135" x14ac:dyDescent="0.25">
      <c r="BX2274" s="78"/>
      <c r="BY2274" s="319">
        <v>563</v>
      </c>
      <c r="CA2274" s="78"/>
      <c r="EE2274" s="76">
        <f>+IF(MID($J$3,1,10)=MID($EE$3,1,10),2,1)</f>
        <v>2</v>
      </c>
    </row>
    <row r="2275" spans="76:135" x14ac:dyDescent="0.25">
      <c r="BX2275" s="78"/>
      <c r="BY2275" s="319">
        <v>171</v>
      </c>
      <c r="CA2275" s="78"/>
      <c r="EE2275" s="76">
        <f>+IF(MID($J$2,1,10)=MID($EE$2,1,10),4,1)</f>
        <v>4</v>
      </c>
    </row>
    <row r="2276" spans="76:135" x14ac:dyDescent="0.25">
      <c r="BX2276" s="78"/>
      <c r="BY2276" s="319">
        <v>308</v>
      </c>
      <c r="CA2276" s="78"/>
      <c r="EE2276" s="76">
        <f>+IF(MID($J$2,1,10)=MID($EE$2,1,10),1,2)</f>
        <v>1</v>
      </c>
    </row>
    <row r="2277" spans="76:135" x14ac:dyDescent="0.25">
      <c r="BX2277" s="78"/>
      <c r="BY2277" s="319">
        <v>186</v>
      </c>
      <c r="CA2277" s="78"/>
      <c r="EE2277" s="76">
        <f>+IF(MID($J$2,1,10)=MID($EE$2,1,10),3,1)</f>
        <v>3</v>
      </c>
    </row>
    <row r="2278" spans="76:135" x14ac:dyDescent="0.25">
      <c r="BX2278" s="78"/>
      <c r="BY2278" s="319">
        <v>143</v>
      </c>
      <c r="CA2278" s="78"/>
      <c r="EE2278" s="76">
        <f>+IF(MID($J$2,1,10)=MID($EE$2,1,10),1,2)</f>
        <v>1</v>
      </c>
    </row>
    <row r="2279" spans="76:135" x14ac:dyDescent="0.25">
      <c r="BX2279" s="78"/>
      <c r="BY2279" s="319">
        <v>144</v>
      </c>
      <c r="CA2279" s="78"/>
      <c r="EE2279" s="76">
        <f>+IF(MID($J$3,1,10)=MID($EE$3,1,10),2,1)</f>
        <v>2</v>
      </c>
    </row>
    <row r="2280" spans="76:135" x14ac:dyDescent="0.25">
      <c r="BX2280" s="78"/>
      <c r="BY2280" s="319">
        <v>133</v>
      </c>
      <c r="CA2280" s="78"/>
      <c r="EE2280" s="76">
        <f>+IF(MID($J$2,1,10)=MID($EE$2,1,10),1,2)</f>
        <v>1</v>
      </c>
    </row>
    <row r="2281" spans="76:135" x14ac:dyDescent="0.25">
      <c r="BX2281" s="78"/>
      <c r="BY2281" s="319">
        <v>157</v>
      </c>
      <c r="CA2281" s="78"/>
      <c r="EE2281" s="76">
        <f>+IF(MID($J$2,1,10)=MID($EE$2,1,10),0,1)</f>
        <v>0</v>
      </c>
    </row>
    <row r="2282" spans="76:135" x14ac:dyDescent="0.25">
      <c r="BX2282" s="78"/>
      <c r="BY2282" s="319">
        <v>831</v>
      </c>
      <c r="CA2282" s="78"/>
      <c r="EE2282" s="76">
        <f>+IF(MID($J$2,1,10)=MID($EE$2,1,10),0,1)</f>
        <v>0</v>
      </c>
    </row>
    <row r="2283" spans="76:135" x14ac:dyDescent="0.25">
      <c r="BX2283" s="78"/>
      <c r="BY2283" s="319">
        <v>13</v>
      </c>
      <c r="CA2283" s="78"/>
      <c r="EE2283" s="76">
        <f>+IF(MID($J$6,1,5)=MID($EE$11,1,5),2,1)</f>
        <v>2</v>
      </c>
    </row>
    <row r="2284" spans="76:135" x14ac:dyDescent="0.25">
      <c r="BX2284" s="78"/>
      <c r="BY2284" s="319">
        <v>859</v>
      </c>
      <c r="CA2284" s="78"/>
      <c r="EE2284" s="76">
        <f>+IF(MID($J$2,1,10)=MID($EE$2,1,10),1,2)</f>
        <v>1</v>
      </c>
    </row>
    <row r="2285" spans="76:135" x14ac:dyDescent="0.25">
      <c r="BX2285" s="78"/>
      <c r="BY2285" s="319">
        <v>109</v>
      </c>
      <c r="CA2285" s="78"/>
      <c r="EE2285" s="76">
        <f>+IF(MID($J$2,1,10)=MID($EE$2,1,10),1,2)</f>
        <v>1</v>
      </c>
    </row>
    <row r="2286" spans="76:135" x14ac:dyDescent="0.25">
      <c r="BX2286" s="78"/>
      <c r="BY2286" s="319">
        <v>169</v>
      </c>
      <c r="CA2286" s="78"/>
      <c r="EE2286" s="76">
        <f>+IF(MID($J$2,1,10)=MID($EE$2,1,10),3,1)</f>
        <v>3</v>
      </c>
    </row>
    <row r="2287" spans="76:135" x14ac:dyDescent="0.25">
      <c r="BX2287" s="78"/>
      <c r="BY2287" s="319">
        <v>124</v>
      </c>
      <c r="CA2287" s="78"/>
      <c r="EE2287" s="76">
        <f>+IF(MID($J$2,1,10)=MID($EE$2,1,10),3,1)</f>
        <v>3</v>
      </c>
    </row>
    <row r="2288" spans="76:135" x14ac:dyDescent="0.25">
      <c r="BX2288" s="78"/>
      <c r="BY2288" s="319">
        <v>692</v>
      </c>
      <c r="CA2288" s="78"/>
      <c r="EE2288" s="76">
        <f>+IF(MID($J$2,1,10)=MID($EE$2,1,10),3,1)</f>
        <v>3</v>
      </c>
    </row>
    <row r="2289" spans="76:135" x14ac:dyDescent="0.25">
      <c r="BX2289" s="78"/>
      <c r="BY2289" s="319">
        <v>114</v>
      </c>
      <c r="CA2289" s="78"/>
      <c r="EE2289" s="76">
        <f>+IF(MID($J$2,1,10)=MID($EE$2,1,10),0,1)</f>
        <v>0</v>
      </c>
    </row>
    <row r="2290" spans="76:135" x14ac:dyDescent="0.25">
      <c r="BX2290" s="78"/>
      <c r="BY2290" s="319">
        <v>106</v>
      </c>
      <c r="CA2290" s="78"/>
      <c r="EE2290" s="76">
        <f>+IF(MID($J$2,1,10)=MID($EE$2,1,10),1,2)</f>
        <v>1</v>
      </c>
    </row>
    <row r="2291" spans="76:135" x14ac:dyDescent="0.25">
      <c r="BX2291" s="78"/>
      <c r="BY2291" s="319">
        <v>200</v>
      </c>
      <c r="CA2291" s="78"/>
      <c r="EE2291" s="76">
        <f>+IF(MID($J$2,1,10)=MID($EE$2,1,10),3,1)</f>
        <v>3</v>
      </c>
    </row>
    <row r="2292" spans="76:135" x14ac:dyDescent="0.25">
      <c r="BX2292" s="78"/>
      <c r="BY2292" s="319">
        <v>162</v>
      </c>
      <c r="CA2292" s="78"/>
      <c r="EE2292" s="76">
        <f>+IF(MID($J$2,1,10)=MID($EE$2,1,10),3,1)</f>
        <v>3</v>
      </c>
    </row>
    <row r="2293" spans="76:135" x14ac:dyDescent="0.25">
      <c r="BX2293" s="78"/>
      <c r="BY2293" s="319">
        <v>116</v>
      </c>
      <c r="CA2293" s="78"/>
      <c r="EE2293" s="76">
        <f>+IF(MID($J$2,1,10)=MID($EE$2,1,10),0,1)</f>
        <v>0</v>
      </c>
    </row>
    <row r="2294" spans="76:135" x14ac:dyDescent="0.25">
      <c r="BX2294" s="78"/>
      <c r="BY2294" s="319">
        <v>136</v>
      </c>
      <c r="CA2294" s="78"/>
      <c r="EE2294" s="76">
        <f>+IF(MID($J$2,1,10)=MID($EE$2,1,10),3,1)</f>
        <v>3</v>
      </c>
    </row>
    <row r="2295" spans="76:135" x14ac:dyDescent="0.25">
      <c r="BX2295" s="78"/>
      <c r="BY2295" s="319">
        <v>166</v>
      </c>
      <c r="CA2295" s="78"/>
      <c r="EE2295" s="76">
        <f>+IF(MID($J$2,1,10)=MID($EE$2,1,10),3,1)</f>
        <v>3</v>
      </c>
    </row>
    <row r="2296" spans="76:135" x14ac:dyDescent="0.25">
      <c r="BX2296" s="78"/>
      <c r="BY2296" s="319">
        <v>142</v>
      </c>
      <c r="CA2296" s="78"/>
      <c r="EE2296" s="76">
        <f>+IF(MID($J$2,1,10)=MID($EE$2,1,10),3,1)</f>
        <v>3</v>
      </c>
    </row>
    <row r="2297" spans="76:135" x14ac:dyDescent="0.25">
      <c r="BX2297" s="78"/>
      <c r="BY2297" s="319">
        <v>126</v>
      </c>
      <c r="CA2297" s="78"/>
      <c r="EE2297" s="76">
        <f>+IF(MID($J$2,1,10)=MID($EE$2,1,10),1,2)</f>
        <v>1</v>
      </c>
    </row>
    <row r="2298" spans="76:135" x14ac:dyDescent="0.25">
      <c r="BX2298" s="78"/>
      <c r="BY2298" s="319">
        <v>186</v>
      </c>
      <c r="CA2298" s="78"/>
      <c r="EE2298" s="76">
        <f>+IF(MID($J$3,1,10)=MID($EE$3,1,10),2,1)</f>
        <v>2</v>
      </c>
    </row>
    <row r="2299" spans="76:135" x14ac:dyDescent="0.25">
      <c r="BX2299" s="78"/>
      <c r="BY2299" s="319">
        <v>101</v>
      </c>
      <c r="CA2299" s="78"/>
      <c r="EE2299" s="76">
        <f>+IF(MID($J$2,1,10)=MID($EE$2,1,10),4,1)</f>
        <v>4</v>
      </c>
    </row>
    <row r="2300" spans="76:135" x14ac:dyDescent="0.25">
      <c r="BX2300" s="78"/>
      <c r="BY2300" s="319">
        <v>113</v>
      </c>
      <c r="CA2300" s="78"/>
      <c r="EE2300" s="76">
        <f>+IF(MID($J$2,1,10)=MID($EE$2,1,10),0,1)</f>
        <v>0</v>
      </c>
    </row>
    <row r="2301" spans="76:135" x14ac:dyDescent="0.25">
      <c r="BX2301" s="78"/>
      <c r="BY2301" s="319">
        <v>123</v>
      </c>
      <c r="CA2301" s="78"/>
      <c r="EE2301" s="76">
        <f>+IF(MID($J$3,1,10)=MID($EE$3,1,10),2,1)</f>
        <v>2</v>
      </c>
    </row>
    <row r="2302" spans="76:135" x14ac:dyDescent="0.25">
      <c r="BX2302" s="78"/>
      <c r="BY2302" s="319">
        <v>190</v>
      </c>
      <c r="CA2302" s="78"/>
      <c r="EE2302" s="76">
        <f>+IF(MID($J$3,1,10)=MID($EE$3,1,10),2,1)</f>
        <v>2</v>
      </c>
    </row>
    <row r="2303" spans="76:135" x14ac:dyDescent="0.25">
      <c r="BX2303" s="78"/>
      <c r="BY2303" s="319">
        <v>186</v>
      </c>
      <c r="CA2303" s="78"/>
      <c r="EE2303" s="76">
        <f>+IF(MID($J$2,1,10)=MID($EE$2,1,10),4,1)</f>
        <v>4</v>
      </c>
    </row>
    <row r="2304" spans="76:135" x14ac:dyDescent="0.25">
      <c r="BX2304" s="78"/>
      <c r="BY2304" s="319">
        <v>183</v>
      </c>
      <c r="CA2304" s="78"/>
      <c r="EE2304" s="76">
        <f>+IF(MID($J$3,1,10)=MID($EE$3,1,10),2,1)</f>
        <v>2</v>
      </c>
    </row>
    <row r="2305" spans="76:135" x14ac:dyDescent="0.25">
      <c r="BX2305" s="78"/>
      <c r="BY2305" s="319">
        <v>172</v>
      </c>
      <c r="CA2305" s="78"/>
      <c r="EE2305" s="76">
        <f>+IF(MID($J$2,1,10)=MID($EE$2,1,10),4,1)</f>
        <v>4</v>
      </c>
    </row>
    <row r="2306" spans="76:135" x14ac:dyDescent="0.25">
      <c r="BX2306" s="78"/>
      <c r="BY2306" s="319">
        <v>185</v>
      </c>
      <c r="CA2306" s="78"/>
      <c r="EE2306" s="76">
        <f>+IF(MID($J$2,1,10)=MID($EE$2,1,10),1,2)</f>
        <v>1</v>
      </c>
    </row>
    <row r="2307" spans="76:135" x14ac:dyDescent="0.25">
      <c r="BX2307" s="78"/>
      <c r="BY2307" s="324">
        <v>5</v>
      </c>
      <c r="CA2307" s="78"/>
      <c r="EE2307" s="76">
        <f>+IF(MID($J$5,1,10)=MID($EE$5,1,10),0,1)</f>
        <v>0</v>
      </c>
    </row>
    <row r="2308" spans="76:135" x14ac:dyDescent="0.25">
      <c r="BX2308" s="78"/>
      <c r="BY2308" s="322">
        <v>10</v>
      </c>
      <c r="CA2308" s="78"/>
      <c r="EE2308" s="76">
        <f>+IF(MID($J$6,1,5)=MID($EE$11,1,5),0,1)</f>
        <v>0</v>
      </c>
    </row>
    <row r="2309" spans="76:135" x14ac:dyDescent="0.25">
      <c r="BX2309" s="78"/>
      <c r="BY2309" s="319">
        <v>129</v>
      </c>
      <c r="CA2309" s="78"/>
      <c r="EE2309" s="76">
        <f>+IF(MID($J$3,1,10)=MID($EE$3,1,10),2,1)</f>
        <v>2</v>
      </c>
    </row>
    <row r="2310" spans="76:135" x14ac:dyDescent="0.25">
      <c r="BX2310" s="78"/>
      <c r="BY2310" s="319">
        <v>94</v>
      </c>
      <c r="CA2310" s="78"/>
      <c r="EE2310" s="76">
        <f>+IF(MID($J$2,1,10)=MID($EE$2,1,10),1,2)</f>
        <v>1</v>
      </c>
    </row>
    <row r="2311" spans="76:135" x14ac:dyDescent="0.25">
      <c r="BX2311" s="78"/>
      <c r="BY2311" s="319">
        <v>101</v>
      </c>
      <c r="CA2311" s="78"/>
      <c r="EE2311" s="76">
        <f>+IF(MID($J$2,1,10)=MID($EE$2,1,10),0,1)</f>
        <v>0</v>
      </c>
    </row>
    <row r="2312" spans="76:135" x14ac:dyDescent="0.25">
      <c r="BX2312" s="78"/>
      <c r="BY2312" s="319">
        <v>199</v>
      </c>
      <c r="CA2312" s="78"/>
      <c r="EE2312" s="76">
        <f>+IF(MID($J$2,1,10)=MID($EE$2,1,10),0,1)</f>
        <v>0</v>
      </c>
    </row>
    <row r="2313" spans="76:135" x14ac:dyDescent="0.25">
      <c r="BX2313" s="78"/>
      <c r="BY2313" s="319">
        <v>151</v>
      </c>
      <c r="CA2313" s="78"/>
      <c r="EE2313" s="76">
        <f>+IF(MID($J$2,1,10)=MID($EE$2,1,10),0,1)</f>
        <v>0</v>
      </c>
    </row>
    <row r="2314" spans="76:135" x14ac:dyDescent="0.25">
      <c r="BX2314" s="78"/>
      <c r="BY2314" s="319">
        <v>196</v>
      </c>
      <c r="CA2314" s="78"/>
      <c r="EE2314" s="76">
        <f>+IF(MID($J$2,1,10)=MID($EE$2,1,10),1,2)</f>
        <v>1</v>
      </c>
    </row>
    <row r="2315" spans="76:135" x14ac:dyDescent="0.25">
      <c r="BX2315" s="78"/>
      <c r="BY2315" s="319">
        <v>107</v>
      </c>
      <c r="CA2315" s="78"/>
      <c r="EE2315" s="76">
        <f>+IF(MID($J$2,1,10)=MID($EE$2,1,10),1,2)</f>
        <v>1</v>
      </c>
    </row>
    <row r="2316" spans="76:135" x14ac:dyDescent="0.25">
      <c r="BX2316" s="78"/>
      <c r="BY2316" s="319">
        <v>109</v>
      </c>
      <c r="CA2316" s="78"/>
      <c r="EE2316" s="76">
        <f>+IF(MID($J$2,1,10)=MID($EE$2,1,10),3,1)</f>
        <v>3</v>
      </c>
    </row>
    <row r="2317" spans="76:135" x14ac:dyDescent="0.25">
      <c r="BX2317" s="78"/>
      <c r="BY2317" s="319">
        <v>195</v>
      </c>
      <c r="CA2317" s="78"/>
      <c r="EE2317" s="76">
        <f>+IF(MID($J$2,1,10)=MID($EE$2,1,10),3,1)</f>
        <v>3</v>
      </c>
    </row>
    <row r="2318" spans="76:135" x14ac:dyDescent="0.25">
      <c r="BX2318" s="78"/>
      <c r="BY2318" s="319">
        <v>128</v>
      </c>
      <c r="CA2318" s="78"/>
      <c r="EE2318" s="76">
        <f>+IF(MID($J$2,1,10)=MID($EE$2,1,10),3,1)</f>
        <v>3</v>
      </c>
    </row>
    <row r="2319" spans="76:135" x14ac:dyDescent="0.25">
      <c r="BX2319" s="78"/>
      <c r="BY2319" s="319">
        <v>115</v>
      </c>
      <c r="CA2319" s="78"/>
      <c r="EE2319" s="76">
        <f>+IF(MID($J$2,1,10)=MID($EE$2,1,10),0,1)</f>
        <v>0</v>
      </c>
    </row>
    <row r="2320" spans="76:135" x14ac:dyDescent="0.25">
      <c r="BX2320" s="78"/>
      <c r="BY2320" s="319">
        <v>104</v>
      </c>
      <c r="CA2320" s="78"/>
      <c r="EE2320" s="76">
        <f>+IF(MID($J$2,1,10)=MID($EE$2,1,10),1,2)</f>
        <v>1</v>
      </c>
    </row>
    <row r="2321" spans="76:135" x14ac:dyDescent="0.25">
      <c r="BX2321" s="78"/>
      <c r="BY2321" s="319">
        <v>147</v>
      </c>
      <c r="CA2321" s="78"/>
      <c r="EE2321" s="76">
        <f>+IF(MID($J$2,1,10)=MID($EE$2,1,10),3,1)</f>
        <v>3</v>
      </c>
    </row>
    <row r="2322" spans="76:135" x14ac:dyDescent="0.25">
      <c r="BX2322" s="78"/>
      <c r="BY2322" s="319">
        <v>152</v>
      </c>
      <c r="CA2322" s="78"/>
      <c r="EE2322" s="76">
        <f>+IF(MID($J$2,1,10)=MID($EE$2,1,10),3,1)</f>
        <v>3</v>
      </c>
    </row>
    <row r="2323" spans="76:135" x14ac:dyDescent="0.25">
      <c r="BX2323" s="78"/>
      <c r="BY2323" s="319">
        <v>3</v>
      </c>
      <c r="CA2323" s="78"/>
      <c r="EE2323" s="76">
        <f>+IF(MID($J$2,1,10)=MID($EE$2,1,10),0,1)</f>
        <v>0</v>
      </c>
    </row>
    <row r="2324" spans="76:135" x14ac:dyDescent="0.25">
      <c r="BX2324" s="78"/>
      <c r="BY2324" s="319">
        <v>190</v>
      </c>
      <c r="CA2324" s="78"/>
      <c r="EE2324" s="76">
        <f>+IF(MID($J$2,1,10)=MID($EE$2,1,10),3,1)</f>
        <v>3</v>
      </c>
    </row>
    <row r="2325" spans="76:135" x14ac:dyDescent="0.25">
      <c r="BX2325" s="78"/>
      <c r="BY2325" s="319">
        <v>107</v>
      </c>
      <c r="CA2325" s="78"/>
      <c r="EE2325" s="76">
        <f>+IF(MID($J$2,1,10)=MID($EE$2,1,10),3,1)</f>
        <v>3</v>
      </c>
    </row>
    <row r="2326" spans="76:135" x14ac:dyDescent="0.25">
      <c r="BX2326" s="78"/>
      <c r="BY2326" s="319">
        <v>998</v>
      </c>
      <c r="CA2326" s="78"/>
      <c r="EE2326" s="76">
        <f>+IF(MID($J$2,1,10)=MID($EE$2,1,10),3,1)</f>
        <v>3</v>
      </c>
    </row>
    <row r="2327" spans="76:135" x14ac:dyDescent="0.25">
      <c r="BX2327" s="78"/>
      <c r="BY2327" s="319">
        <v>139</v>
      </c>
      <c r="CA2327" s="78"/>
      <c r="EE2327" s="76">
        <f>+IF(MID($J$2,1,10)=MID($EE$2,1,10),1,2)</f>
        <v>1</v>
      </c>
    </row>
    <row r="2328" spans="76:135" x14ac:dyDescent="0.25">
      <c r="BX2328" s="78"/>
      <c r="BY2328" s="319">
        <v>185</v>
      </c>
      <c r="CA2328" s="78"/>
      <c r="EE2328" s="76">
        <f>+IF(MID($J$3,1,10)=MID($EE$3,1,10),2,1)</f>
        <v>2</v>
      </c>
    </row>
    <row r="2329" spans="76:135" x14ac:dyDescent="0.25">
      <c r="BX2329" s="78"/>
      <c r="BY2329" s="319">
        <v>157</v>
      </c>
      <c r="CA2329" s="78"/>
      <c r="EE2329" s="76">
        <f>+IF(MID($J$2,1,10)=MID($EE$2,1,10),4,1)</f>
        <v>4</v>
      </c>
    </row>
    <row r="2330" spans="76:135" x14ac:dyDescent="0.25">
      <c r="BX2330" s="79"/>
      <c r="BY2330" s="322">
        <v>20</v>
      </c>
      <c r="BZ2330" s="323"/>
      <c r="CA2330" s="79"/>
      <c r="EE2330" s="76">
        <f>+IF(MID($J$3,1,10)=MID($EE$3,1,10),0,1)</f>
        <v>0</v>
      </c>
    </row>
    <row r="2331" spans="76:135" x14ac:dyDescent="0.25">
      <c r="BX2331" s="78"/>
      <c r="BY2331" s="322">
        <v>18</v>
      </c>
      <c r="CA2331" s="78"/>
      <c r="EE2331" s="76">
        <f>+IF(MID($J$4,1,8)=MID($EE$4,1,8),4,1)</f>
        <v>4</v>
      </c>
    </row>
    <row r="2332" spans="76:135" x14ac:dyDescent="0.25">
      <c r="BX2332" s="78"/>
      <c r="BY2332" s="319">
        <v>470</v>
      </c>
      <c r="CA2332" s="78"/>
      <c r="EE2332" s="76">
        <f>+IF(MID($J$3,1,10)=MID($EE$3,1,10),2,1)</f>
        <v>2</v>
      </c>
    </row>
    <row r="2333" spans="76:135" x14ac:dyDescent="0.25">
      <c r="BX2333" s="78"/>
      <c r="BY2333" s="319">
        <v>199</v>
      </c>
      <c r="CA2333" s="78"/>
      <c r="EE2333" s="76">
        <f>+IF(MID($J$2,1,10)=MID($EE$2,1,10),4,1)</f>
        <v>4</v>
      </c>
    </row>
    <row r="2334" spans="76:135" x14ac:dyDescent="0.25">
      <c r="BX2334" s="78"/>
      <c r="BY2334" s="319">
        <v>588</v>
      </c>
      <c r="CA2334" s="78"/>
      <c r="EE2334" s="76">
        <f>+IF(MID($J$3,1,10)=MID($EE$3,1,10),2,1)</f>
        <v>2</v>
      </c>
    </row>
    <row r="2335" spans="76:135" x14ac:dyDescent="0.25">
      <c r="BX2335" s="78"/>
      <c r="BY2335" s="319">
        <v>170</v>
      </c>
      <c r="CA2335" s="78"/>
      <c r="EE2335" s="76">
        <f>+IF(MID($J$2,1,10)=MID($EE$2,1,10),4,1)</f>
        <v>4</v>
      </c>
    </row>
    <row r="2336" spans="76:135" x14ac:dyDescent="0.25">
      <c r="BX2336" s="78"/>
      <c r="BY2336" s="319">
        <v>421</v>
      </c>
      <c r="CA2336" s="78"/>
      <c r="EE2336" s="76">
        <f>+IF(MID($J$2,1,10)=MID($EE$2,1,10),1,2)</f>
        <v>1</v>
      </c>
    </row>
    <row r="2337" spans="76:135" x14ac:dyDescent="0.25">
      <c r="BX2337" s="78"/>
      <c r="BY2337" s="319">
        <v>111</v>
      </c>
      <c r="CA2337" s="78"/>
      <c r="EE2337" s="76">
        <f>+IF(MID($J$2,1,10)=MID($EE$2,1,10),3,1)</f>
        <v>3</v>
      </c>
    </row>
    <row r="2338" spans="76:135" x14ac:dyDescent="0.25">
      <c r="BX2338" s="78"/>
      <c r="BY2338" s="319">
        <v>995</v>
      </c>
      <c r="CA2338" s="78"/>
      <c r="EE2338" s="76">
        <f>+IF(MID($J$2,1,10)=MID($EE$2,1,10),1,2)</f>
        <v>1</v>
      </c>
    </row>
    <row r="2339" spans="76:135" x14ac:dyDescent="0.25">
      <c r="BX2339" s="78"/>
      <c r="BY2339" s="319">
        <v>990</v>
      </c>
      <c r="CA2339" s="78"/>
      <c r="EE2339" s="76">
        <f>+IF(MID($J$3,1,10)=MID($EE$3,1,10),2,1)</f>
        <v>2</v>
      </c>
    </row>
    <row r="2340" spans="76:135" x14ac:dyDescent="0.25">
      <c r="BX2340" s="78"/>
      <c r="BY2340" s="319">
        <v>108</v>
      </c>
      <c r="CA2340" s="78"/>
      <c r="EE2340" s="76">
        <f>+IF(MID($J$2,1,10)=MID($EE$2,1,10),1,2)</f>
        <v>1</v>
      </c>
    </row>
    <row r="2341" spans="76:135" x14ac:dyDescent="0.25">
      <c r="BX2341" s="78"/>
      <c r="BY2341" s="319">
        <v>131</v>
      </c>
      <c r="CA2341" s="78"/>
      <c r="EE2341" s="76">
        <f>+IF(MID($J$2,1,10)=MID($EE$2,1,10),0,1)</f>
        <v>0</v>
      </c>
    </row>
    <row r="2342" spans="76:135" x14ac:dyDescent="0.25">
      <c r="BX2342" s="78"/>
      <c r="BY2342" s="319">
        <v>200</v>
      </c>
      <c r="CA2342" s="78"/>
      <c r="EE2342" s="76">
        <f>+IF(MID($J$2,1,10)=MID($EE$2,1,10),0,1)</f>
        <v>0</v>
      </c>
    </row>
    <row r="2343" spans="76:135" x14ac:dyDescent="0.25">
      <c r="BX2343" s="78"/>
      <c r="BY2343" s="319">
        <v>388</v>
      </c>
      <c r="CA2343" s="78"/>
      <c r="EE2343" s="76">
        <f>+IF(MID($J$2,1,10)=MID($EE$2,1,10),0,1)</f>
        <v>0</v>
      </c>
    </row>
    <row r="2344" spans="76:135" x14ac:dyDescent="0.25">
      <c r="BX2344" s="78"/>
      <c r="BY2344" s="319">
        <v>139</v>
      </c>
      <c r="CA2344" s="78"/>
      <c r="EE2344" s="76">
        <f>+IF(MID($J$2,1,10)=MID($EE$2,1,10),1,2)</f>
        <v>1</v>
      </c>
    </row>
    <row r="2345" spans="76:135" x14ac:dyDescent="0.25">
      <c r="BX2345" s="78"/>
      <c r="BY2345" s="319">
        <v>1123</v>
      </c>
      <c r="CA2345" s="78"/>
      <c r="EE2345" s="76">
        <f>+IF(MID($J$2,1,10)=MID($EE$2,1,10),1,2)</f>
        <v>1</v>
      </c>
    </row>
    <row r="2346" spans="76:135" x14ac:dyDescent="0.25">
      <c r="BX2346" s="78"/>
      <c r="BY2346" s="319">
        <v>179</v>
      </c>
      <c r="CA2346" s="78"/>
      <c r="EE2346" s="76">
        <f>+IF(MID($J$2,1,10)=MID($EE$2,1,10),3,1)</f>
        <v>3</v>
      </c>
    </row>
    <row r="2347" spans="76:135" x14ac:dyDescent="0.25">
      <c r="BX2347" s="78"/>
      <c r="BY2347" s="319">
        <v>650</v>
      </c>
      <c r="CA2347" s="78"/>
      <c r="EE2347" s="76">
        <f>+IF(MID($J$2,1,10)=MID($EE$2,1,10),3,1)</f>
        <v>3</v>
      </c>
    </row>
    <row r="2348" spans="76:135" x14ac:dyDescent="0.25">
      <c r="BX2348" s="78"/>
      <c r="BY2348" s="319">
        <v>193</v>
      </c>
      <c r="CA2348" s="78"/>
      <c r="EE2348" s="76">
        <f>+IF(MID($J$2,1,10)=MID($EE$2,1,10),3,1)</f>
        <v>3</v>
      </c>
    </row>
    <row r="2349" spans="76:135" x14ac:dyDescent="0.25">
      <c r="BX2349" s="78"/>
      <c r="BY2349" s="319">
        <v>209</v>
      </c>
      <c r="CA2349" s="78"/>
      <c r="EE2349" s="76">
        <f>+IF(MID($J$2,1,10)=MID($EE$2,1,10),0,1)</f>
        <v>0</v>
      </c>
    </row>
    <row r="2350" spans="76:135" x14ac:dyDescent="0.25">
      <c r="BX2350" s="78"/>
      <c r="BY2350" s="319">
        <v>196</v>
      </c>
      <c r="CA2350" s="78"/>
      <c r="EE2350" s="76">
        <f>+IF(MID($J$2,1,10)=MID($EE$2,1,10),1,2)</f>
        <v>1</v>
      </c>
    </row>
    <row r="2351" spans="76:135" x14ac:dyDescent="0.25">
      <c r="BX2351" s="78"/>
      <c r="BY2351" s="319">
        <v>179</v>
      </c>
      <c r="CA2351" s="78"/>
      <c r="EE2351" s="76">
        <f>+IF(MID($J$2,1,10)=MID($EE$2,1,10),3,1)</f>
        <v>3</v>
      </c>
    </row>
    <row r="2352" spans="76:135" x14ac:dyDescent="0.25">
      <c r="BX2352" s="78"/>
      <c r="BY2352" s="319">
        <v>142</v>
      </c>
      <c r="CA2352" s="78"/>
      <c r="EE2352" s="76">
        <f>+IF(MID($J$2,1,10)=MID($EE$2,1,10),3,1)</f>
        <v>3</v>
      </c>
    </row>
    <row r="2353" spans="76:135" x14ac:dyDescent="0.25">
      <c r="BX2353" s="78"/>
      <c r="BY2353" s="319">
        <v>644</v>
      </c>
      <c r="CA2353" s="78"/>
      <c r="EE2353" s="76">
        <f>+IF(MID($J$2,1,10)=MID($EE$2,1,10),0,1)</f>
        <v>0</v>
      </c>
    </row>
    <row r="2354" spans="76:135" x14ac:dyDescent="0.25">
      <c r="BX2354" s="78"/>
      <c r="BY2354" s="319">
        <v>132</v>
      </c>
      <c r="CA2354" s="78"/>
      <c r="EE2354" s="76">
        <f>+IF(MID($J$2,1,10)=MID($EE$2,1,10),3,1)</f>
        <v>3</v>
      </c>
    </row>
    <row r="2355" spans="76:135" x14ac:dyDescent="0.25">
      <c r="BX2355" s="78"/>
      <c r="BY2355" s="319">
        <v>550</v>
      </c>
      <c r="CA2355" s="78"/>
      <c r="EE2355" s="76">
        <f>+IF(MID($J$2,1,10)=MID($EE$2,1,10),3,1)</f>
        <v>3</v>
      </c>
    </row>
    <row r="2356" spans="76:135" x14ac:dyDescent="0.25">
      <c r="BX2356" s="78"/>
      <c r="BY2356" s="319">
        <v>150</v>
      </c>
      <c r="CA2356" s="78"/>
      <c r="EE2356" s="76">
        <f>+IF(MID($J$2,1,10)=MID($EE$2,1,10),3,1)</f>
        <v>3</v>
      </c>
    </row>
    <row r="2357" spans="76:135" x14ac:dyDescent="0.25">
      <c r="BX2357" s="78"/>
      <c r="BY2357" s="319">
        <v>187</v>
      </c>
      <c r="CA2357" s="78"/>
      <c r="EE2357" s="76">
        <f>+IF(MID($J$2,1,10)=MID($EE$2,1,10),1,2)</f>
        <v>1</v>
      </c>
    </row>
    <row r="2358" spans="76:135" x14ac:dyDescent="0.25">
      <c r="BX2358" s="78"/>
      <c r="BY2358" s="319">
        <v>146</v>
      </c>
      <c r="CA2358" s="78"/>
      <c r="EE2358" s="76">
        <f>+IF(MID($J$3,1,10)=MID($EE$3,1,10),2,1)</f>
        <v>2</v>
      </c>
    </row>
    <row r="2359" spans="76:135" x14ac:dyDescent="0.25">
      <c r="BX2359" s="78"/>
      <c r="BY2359" s="322">
        <v>15</v>
      </c>
      <c r="CA2359" s="78"/>
      <c r="EE2359" s="76">
        <f>+IF(MID($J$2,1,10)=MID($EE$2,1,10),0,1)</f>
        <v>0</v>
      </c>
    </row>
    <row r="2360" spans="76:135" x14ac:dyDescent="0.25">
      <c r="BX2360" s="78"/>
      <c r="BY2360" s="319">
        <v>158</v>
      </c>
      <c r="CA2360" s="78"/>
      <c r="EE2360" s="76">
        <f>+IF(MID($J$2,1,10)=MID($EE$2,1,10),0,1)</f>
        <v>0</v>
      </c>
    </row>
    <row r="2361" spans="76:135" x14ac:dyDescent="0.25">
      <c r="BX2361" s="78"/>
      <c r="BY2361" s="319">
        <v>617</v>
      </c>
      <c r="CA2361" s="78"/>
      <c r="EE2361" s="76">
        <f>+IF(MID($J$3,1,10)=MID($EE$3,1,10),2,1)</f>
        <v>2</v>
      </c>
    </row>
    <row r="2362" spans="76:135" x14ac:dyDescent="0.25">
      <c r="BX2362" s="78"/>
      <c r="BY2362" s="319">
        <v>166</v>
      </c>
      <c r="CA2362" s="78"/>
      <c r="EE2362" s="76">
        <f>+IF(MID($J$3,1,10)=MID($EE$3,1,10),2,1)</f>
        <v>2</v>
      </c>
    </row>
    <row r="2363" spans="76:135" x14ac:dyDescent="0.25">
      <c r="BX2363" s="78"/>
      <c r="BY2363" s="319">
        <v>912</v>
      </c>
      <c r="CA2363" s="78"/>
      <c r="EE2363" s="76">
        <f>+IF(MID($J$2,1,10)=MID($EE$2,1,10),4,1)</f>
        <v>4</v>
      </c>
    </row>
    <row r="2364" spans="76:135" x14ac:dyDescent="0.25">
      <c r="BX2364" s="78"/>
      <c r="BY2364" s="319">
        <v>117</v>
      </c>
      <c r="CA2364" s="78"/>
      <c r="EE2364" s="76">
        <f>+IF(MID($J$3,1,10)=MID($EE$3,1,10),2,1)</f>
        <v>2</v>
      </c>
    </row>
    <row r="2365" spans="76:135" x14ac:dyDescent="0.25">
      <c r="BX2365" s="78"/>
      <c r="BY2365" s="319">
        <v>124</v>
      </c>
      <c r="CA2365" s="78"/>
      <c r="EE2365" s="76">
        <f>+IF(MID($J$2,1,10)=MID($EE$2,1,10),4,1)</f>
        <v>4</v>
      </c>
    </row>
    <row r="2366" spans="76:135" x14ac:dyDescent="0.25">
      <c r="BX2366" s="78"/>
      <c r="BY2366" s="319">
        <v>330</v>
      </c>
      <c r="CA2366" s="78"/>
      <c r="EE2366" s="76">
        <f>+IF(MID($J$2,1,10)=MID($EE$2,1,10),1,2)</f>
        <v>1</v>
      </c>
    </row>
    <row r="2367" spans="76:135" x14ac:dyDescent="0.25">
      <c r="BX2367" s="78"/>
      <c r="BY2367" s="319">
        <v>192</v>
      </c>
      <c r="CA2367" s="78"/>
      <c r="EE2367" s="76">
        <f>+IF(MID($J$2,1,10)=MID($EE$2,1,10),3,1)</f>
        <v>3</v>
      </c>
    </row>
    <row r="2368" spans="76:135" x14ac:dyDescent="0.25">
      <c r="BX2368" s="78"/>
      <c r="BY2368" s="319">
        <v>599</v>
      </c>
      <c r="CA2368" s="78"/>
      <c r="EE2368" s="76">
        <f>+IF(MID($J$2,1,10)=MID($EE$2,1,10),1,2)</f>
        <v>1</v>
      </c>
    </row>
    <row r="2369" spans="76:135" x14ac:dyDescent="0.25">
      <c r="BX2369" s="78"/>
      <c r="BY2369" s="319">
        <v>151</v>
      </c>
      <c r="CA2369" s="78"/>
      <c r="EE2369" s="76">
        <f>+IF(MID($J$3,1,10)=MID($EE$3,1,10),2,1)</f>
        <v>2</v>
      </c>
    </row>
    <row r="2370" spans="76:135" x14ac:dyDescent="0.25">
      <c r="BX2370" s="78"/>
      <c r="BY2370" s="319">
        <v>371</v>
      </c>
      <c r="CA2370" s="78"/>
      <c r="EE2370" s="76">
        <f>+IF(MID($J$2,1,10)=MID($EE$2,1,10),1,2)</f>
        <v>1</v>
      </c>
    </row>
    <row r="2371" spans="76:135" x14ac:dyDescent="0.25">
      <c r="BX2371" s="78"/>
      <c r="BY2371" s="319">
        <v>186</v>
      </c>
      <c r="CA2371" s="78"/>
      <c r="EE2371" s="76">
        <f>+IF(MID($J$2,1,10)=MID($EE$2,1,10),0,1)</f>
        <v>0</v>
      </c>
    </row>
    <row r="2372" spans="76:135" x14ac:dyDescent="0.25">
      <c r="BX2372" s="78"/>
      <c r="BY2372" s="319">
        <v>998</v>
      </c>
      <c r="CA2372" s="78"/>
      <c r="EE2372" s="76">
        <f>+IF(MID($J$2,1,10)=MID($EE$2,1,10),0,1)</f>
        <v>0</v>
      </c>
    </row>
    <row r="2373" spans="76:135" x14ac:dyDescent="0.25">
      <c r="BX2373" s="78"/>
      <c r="BY2373" s="319">
        <v>159</v>
      </c>
      <c r="CA2373" s="78"/>
      <c r="EE2373" s="76">
        <f>+IF(MID($J$2,1,10)=MID($EE$2,1,10),0,1)</f>
        <v>0</v>
      </c>
    </row>
    <row r="2374" spans="76:135" x14ac:dyDescent="0.25">
      <c r="BX2374" s="78"/>
      <c r="BY2374" s="319">
        <v>825</v>
      </c>
      <c r="CA2374" s="78"/>
      <c r="EE2374" s="76">
        <f>+IF(MID($J$2,1,10)=MID($EE$2,1,10),1,2)</f>
        <v>1</v>
      </c>
    </row>
    <row r="2375" spans="76:135" x14ac:dyDescent="0.25">
      <c r="BX2375" s="78"/>
      <c r="BY2375" s="319">
        <v>163</v>
      </c>
      <c r="CA2375" s="78"/>
      <c r="EE2375" s="76">
        <f>+IF(MID($J$3,1,10)=MID($EE$3,1,10),2,1)</f>
        <v>2</v>
      </c>
    </row>
    <row r="2376" spans="76:135" x14ac:dyDescent="0.25">
      <c r="BX2376" s="78"/>
      <c r="BY2376" s="319">
        <v>779</v>
      </c>
      <c r="CA2376" s="78"/>
      <c r="EE2376" s="76">
        <f>+IF(MID($J$2,1,10)=MID($EE$2,1,10),4,1)</f>
        <v>4</v>
      </c>
    </row>
    <row r="2377" spans="76:135" x14ac:dyDescent="0.25">
      <c r="BX2377" s="78"/>
      <c r="BY2377" s="319">
        <v>186</v>
      </c>
      <c r="CA2377" s="78"/>
      <c r="EE2377" s="76">
        <f>+IF(MID($J$2,1,10)=MID($EE$2,1,10),0,1)</f>
        <v>0</v>
      </c>
    </row>
    <row r="2378" spans="76:135" x14ac:dyDescent="0.25">
      <c r="BX2378" s="78"/>
      <c r="BY2378" s="319">
        <v>370</v>
      </c>
      <c r="CA2378" s="78"/>
      <c r="EE2378" s="76">
        <f>+IF(MID($J$3,1,10)=MID($EE$3,1,10),2,1)</f>
        <v>2</v>
      </c>
    </row>
    <row r="2379" spans="76:135" x14ac:dyDescent="0.25">
      <c r="BX2379" s="78"/>
      <c r="BY2379" s="319">
        <v>789</v>
      </c>
      <c r="CA2379" s="78"/>
      <c r="EE2379" s="76">
        <f>+IF(MID($J$3,1,10)=MID($EE$3,1,10),2,1)</f>
        <v>2</v>
      </c>
    </row>
    <row r="2380" spans="76:135" x14ac:dyDescent="0.25">
      <c r="BX2380" s="78"/>
      <c r="BY2380" s="319">
        <v>173</v>
      </c>
      <c r="CA2380" s="78"/>
      <c r="EE2380" s="76">
        <f>+IF(MID($J$2,1,10)=MID($EE$2,1,10),4,1)</f>
        <v>4</v>
      </c>
    </row>
    <row r="2381" spans="76:135" x14ac:dyDescent="0.25">
      <c r="BX2381" s="78"/>
      <c r="BY2381" s="319">
        <v>537</v>
      </c>
      <c r="CA2381" s="78"/>
      <c r="EE2381" s="76">
        <f>+IF(MID($J$3,1,10)=MID($EE$3,1,10),2,1)</f>
        <v>2</v>
      </c>
    </row>
    <row r="2382" spans="76:135" x14ac:dyDescent="0.25">
      <c r="BX2382" s="78"/>
      <c r="BY2382" s="319">
        <v>123</v>
      </c>
      <c r="CA2382" s="78"/>
      <c r="EE2382" s="76">
        <f>+IF(MID($J$2,1,10)=MID($EE$2,1,10),4,1)</f>
        <v>4</v>
      </c>
    </row>
    <row r="2383" spans="76:135" x14ac:dyDescent="0.25">
      <c r="BX2383" s="78"/>
      <c r="BY2383" s="319">
        <v>934</v>
      </c>
      <c r="CA2383" s="78"/>
      <c r="EE2383" s="76">
        <f>+IF(MID($J$2,1,10)=MID($EE$2,1,10),1,2)</f>
        <v>1</v>
      </c>
    </row>
    <row r="2384" spans="76:135" x14ac:dyDescent="0.25">
      <c r="BX2384" s="78"/>
      <c r="BY2384" s="319">
        <v>142</v>
      </c>
      <c r="CA2384" s="78"/>
      <c r="EE2384" s="76">
        <f>+IF(MID($J$2,1,10)=MID($EE$2,1,10),3,1)</f>
        <v>3</v>
      </c>
    </row>
    <row r="2385" spans="76:135" x14ac:dyDescent="0.25">
      <c r="BX2385" s="78"/>
      <c r="BY2385" s="319">
        <v>357</v>
      </c>
      <c r="CA2385" s="78"/>
      <c r="EE2385" s="76">
        <f>+IF(MID($J$2,1,10)=MID($EE$2,1,10),1,2)</f>
        <v>1</v>
      </c>
    </row>
    <row r="2386" spans="76:135" x14ac:dyDescent="0.25">
      <c r="BX2386" s="78"/>
      <c r="BY2386" s="319">
        <v>132</v>
      </c>
      <c r="CA2386" s="78"/>
      <c r="EE2386" s="76">
        <f>+IF(MID($J$3,1,10)=MID($EE$3,1,10),2,1)</f>
        <v>2</v>
      </c>
    </row>
    <row r="2387" spans="76:135" x14ac:dyDescent="0.25">
      <c r="BX2387" s="78"/>
      <c r="BY2387" s="319">
        <v>184</v>
      </c>
      <c r="CA2387" s="78"/>
      <c r="EE2387" s="76">
        <f>+IF(MID($J$2,1,10)=MID($EE$2,1,10),1,2)</f>
        <v>1</v>
      </c>
    </row>
    <row r="2388" spans="76:135" x14ac:dyDescent="0.25">
      <c r="BX2388" s="78"/>
      <c r="BY2388" s="319">
        <v>165</v>
      </c>
      <c r="CA2388" s="78"/>
      <c r="EE2388" s="76">
        <f>+IF(MID($J$2,1,10)=MID($EE$2,1,10),0,1)</f>
        <v>0</v>
      </c>
    </row>
    <row r="2389" spans="76:135" x14ac:dyDescent="0.25">
      <c r="BX2389" s="78"/>
      <c r="BY2389" s="319">
        <v>156</v>
      </c>
      <c r="CA2389" s="78"/>
      <c r="EE2389" s="76">
        <f>+IF(MID($J$2,1,10)=MID($EE$2,1,10),0,1)</f>
        <v>0</v>
      </c>
    </row>
    <row r="2390" spans="76:135" x14ac:dyDescent="0.25">
      <c r="BX2390" s="78"/>
      <c r="BY2390" s="319">
        <v>186</v>
      </c>
      <c r="CA2390" s="78"/>
      <c r="EE2390" s="76">
        <f>+IF(MID($J$2,1,10)=MID($EE$2,1,10),0,1)</f>
        <v>0</v>
      </c>
    </row>
    <row r="2391" spans="76:135" x14ac:dyDescent="0.25">
      <c r="BX2391" s="78"/>
      <c r="BY2391" s="319">
        <v>137</v>
      </c>
      <c r="CA2391" s="78"/>
      <c r="EE2391" s="76">
        <f>+IF(MID($J$2,1,10)=MID($EE$2,1,10),1,2)</f>
        <v>1</v>
      </c>
    </row>
    <row r="2392" spans="76:135" x14ac:dyDescent="0.25">
      <c r="BX2392" s="78"/>
      <c r="BY2392" s="319">
        <v>165</v>
      </c>
      <c r="CA2392" s="78"/>
      <c r="EE2392" s="76">
        <f>+IF(MID($J$2,1,10)=MID($EE$2,1,10),1,2)</f>
        <v>1</v>
      </c>
    </row>
    <row r="2393" spans="76:135" x14ac:dyDescent="0.25">
      <c r="BX2393" s="78"/>
      <c r="BY2393" s="319">
        <v>189</v>
      </c>
      <c r="CA2393" s="78"/>
      <c r="EE2393" s="76">
        <f>+IF(MID($J$2,1,10)=MID($EE$2,1,10),3,1)</f>
        <v>3</v>
      </c>
    </row>
    <row r="2394" spans="76:135" x14ac:dyDescent="0.25">
      <c r="BX2394" s="78"/>
      <c r="BY2394" s="319">
        <v>160</v>
      </c>
      <c r="CA2394" s="78"/>
      <c r="EE2394" s="76">
        <f>+IF(MID($J$2,1,10)=MID($EE$2,1,10),3,1)</f>
        <v>3</v>
      </c>
    </row>
    <row r="2395" spans="76:135" x14ac:dyDescent="0.25">
      <c r="BX2395" s="78"/>
      <c r="BY2395" s="319">
        <v>640</v>
      </c>
      <c r="CA2395" s="78"/>
      <c r="EE2395" s="76">
        <f>+IF(MID($J$2,1,10)=MID($EE$2,1,10),3,1)</f>
        <v>3</v>
      </c>
    </row>
    <row r="2396" spans="76:135" x14ac:dyDescent="0.25">
      <c r="BX2396" s="78"/>
      <c r="BY2396" s="319">
        <v>133</v>
      </c>
      <c r="CA2396" s="78"/>
      <c r="EE2396" s="76">
        <f>+IF(MID($J$2,1,10)=MID($EE$2,1,10),0,1)</f>
        <v>0</v>
      </c>
    </row>
    <row r="2397" spans="76:135" x14ac:dyDescent="0.25">
      <c r="BX2397" s="78"/>
      <c r="BY2397" s="319">
        <v>6</v>
      </c>
      <c r="CA2397" s="78"/>
      <c r="EE2397" s="76">
        <f>+IF(MID($J$2,1,10)=MID($EE$2,1,10),1,2)</f>
        <v>1</v>
      </c>
    </row>
    <row r="2398" spans="76:135" x14ac:dyDescent="0.25">
      <c r="BX2398" s="78"/>
      <c r="BY2398" s="319">
        <v>143</v>
      </c>
      <c r="CA2398" s="78"/>
      <c r="EE2398" s="76">
        <f>+IF(MID($J$2,1,10)=MID($EE$2,1,10),3,1)</f>
        <v>3</v>
      </c>
    </row>
    <row r="2399" spans="76:135" x14ac:dyDescent="0.25">
      <c r="BX2399" s="78"/>
      <c r="BY2399" s="319">
        <v>461</v>
      </c>
      <c r="CA2399" s="78"/>
      <c r="EE2399" s="76">
        <f>+IF(MID($J$2,1,10)=MID($EE$2,1,10),3,1)</f>
        <v>3</v>
      </c>
    </row>
    <row r="2400" spans="76:135" x14ac:dyDescent="0.25">
      <c r="BX2400" s="78"/>
      <c r="BY2400" s="322">
        <v>10</v>
      </c>
      <c r="CA2400" s="78"/>
      <c r="EE2400" s="76">
        <f>+IF(MID($J$3,1,10)=MID($EE$3,1,10),0,1)</f>
        <v>0</v>
      </c>
    </row>
    <row r="2401" spans="76:135" x14ac:dyDescent="0.25">
      <c r="BX2401" s="78"/>
      <c r="BY2401" s="319">
        <v>162</v>
      </c>
      <c r="CA2401" s="78"/>
      <c r="EE2401" s="76">
        <f>+IF(MID($J$4,1,8)=MID($EE$4,1,8),0,1)</f>
        <v>0</v>
      </c>
    </row>
    <row r="2402" spans="76:135" x14ac:dyDescent="0.25">
      <c r="BX2402" s="78"/>
      <c r="BY2402" s="319">
        <v>13</v>
      </c>
      <c r="CA2402" s="78"/>
      <c r="EE2402" s="76">
        <f>+IF(MID($J$5,1,10)=MID($EE$5,1,10),0,1)</f>
        <v>0</v>
      </c>
    </row>
    <row r="2403" spans="76:135" x14ac:dyDescent="0.25">
      <c r="BX2403" s="79"/>
      <c r="BY2403" s="322">
        <v>10</v>
      </c>
      <c r="BZ2403" s="323"/>
      <c r="CA2403" s="79"/>
      <c r="EE2403" s="76">
        <f>+IF(MID($J$6,1,5)=MID($EE$11,1,5),0,1)</f>
        <v>0</v>
      </c>
    </row>
    <row r="2404" spans="76:135" x14ac:dyDescent="0.25">
      <c r="BX2404" s="78"/>
      <c r="BY2404" s="319">
        <v>798</v>
      </c>
      <c r="CA2404" s="78"/>
      <c r="EE2404" s="76">
        <f>+IF(MID($J$2,1,10)=MID($EE$2,1,10),0,1)</f>
        <v>0</v>
      </c>
    </row>
    <row r="2405" spans="76:135" x14ac:dyDescent="0.25">
      <c r="BX2405" s="78"/>
      <c r="BY2405" s="322">
        <v>28</v>
      </c>
      <c r="CA2405" s="78"/>
      <c r="EE2405" s="76">
        <f>+IF(MID($J$3,1,10)=MID($EE$3,1,10),0,1)</f>
        <v>0</v>
      </c>
    </row>
    <row r="2406" spans="76:135" x14ac:dyDescent="0.25">
      <c r="BX2406" s="78"/>
      <c r="BY2406" s="319">
        <v>10</v>
      </c>
      <c r="CA2406" s="78"/>
      <c r="EE2406" s="76">
        <f>+IF(MID($J$4,1,8)=MID($EE$4,1,8),0,1)</f>
        <v>0</v>
      </c>
    </row>
    <row r="2407" spans="76:135" x14ac:dyDescent="0.25">
      <c r="BX2407" s="78"/>
      <c r="BY2407" s="322">
        <v>7</v>
      </c>
      <c r="CA2407" s="78"/>
      <c r="EE2407" s="76">
        <f>+IF(MID($J$5,1,10)=MID($EE$5,1,10),3,1)</f>
        <v>3</v>
      </c>
    </row>
    <row r="2408" spans="76:135" x14ac:dyDescent="0.25">
      <c r="BX2408" s="78"/>
      <c r="BY2408" s="319">
        <v>835</v>
      </c>
      <c r="CA2408" s="78"/>
      <c r="EE2408" s="76">
        <f>+IF(MID($J$6,1,5)=MID($EE$11,1,5),0,1)</f>
        <v>0</v>
      </c>
    </row>
    <row r="2409" spans="76:135" x14ac:dyDescent="0.25">
      <c r="BX2409" s="78"/>
      <c r="BY2409" s="322">
        <v>15</v>
      </c>
      <c r="CA2409" s="78"/>
      <c r="EE2409" s="76">
        <f>+IF(MID($J$2,1,10)=MID($EE$2,1,10),2,1)</f>
        <v>2</v>
      </c>
    </row>
    <row r="2410" spans="76:135" x14ac:dyDescent="0.25">
      <c r="BX2410" s="78"/>
      <c r="BY2410" s="319">
        <v>913</v>
      </c>
      <c r="CA2410" s="78"/>
      <c r="EE2410" s="76">
        <f>+IF(MID($J$2,1,10)=MID($EE$2,1,10),4,1)</f>
        <v>4</v>
      </c>
    </row>
    <row r="2411" spans="76:135" x14ac:dyDescent="0.25">
      <c r="BX2411" s="78"/>
      <c r="BY2411" s="319">
        <v>182</v>
      </c>
      <c r="CA2411" s="78"/>
      <c r="EE2411" s="76">
        <f>+IF(MID($J$3,1,10)=MID($EE$3,1,10),2,1)</f>
        <v>2</v>
      </c>
    </row>
    <row r="2412" spans="76:135" x14ac:dyDescent="0.25">
      <c r="BX2412" s="78"/>
      <c r="BY2412" s="319">
        <v>152</v>
      </c>
      <c r="CA2412" s="78"/>
      <c r="EE2412" s="76">
        <f>+IF(MID($J$2,1,10)=MID($EE$2,1,10),4,1)</f>
        <v>4</v>
      </c>
    </row>
    <row r="2413" spans="76:135" x14ac:dyDescent="0.25">
      <c r="BX2413" s="78"/>
      <c r="BY2413" s="319">
        <v>565</v>
      </c>
      <c r="CA2413" s="78"/>
      <c r="EE2413" s="76">
        <f>+IF(MID($J$2,1,10)=MID($EE$2,1,10),1,2)</f>
        <v>1</v>
      </c>
    </row>
    <row r="2414" spans="76:135" x14ac:dyDescent="0.25">
      <c r="BX2414" s="78"/>
      <c r="BY2414" s="319">
        <v>20</v>
      </c>
      <c r="CA2414" s="78"/>
      <c r="EE2414" s="76">
        <f>+IF(MID($J$2,1,10)=MID($EE$2,1,10),3,1)</f>
        <v>3</v>
      </c>
    </row>
    <row r="2415" spans="76:135" x14ac:dyDescent="0.25">
      <c r="BX2415" s="78"/>
      <c r="BY2415" s="319">
        <v>1017</v>
      </c>
      <c r="CA2415" s="78"/>
      <c r="EE2415" s="76">
        <f>+IF(MID($J$2,1,10)=MID($EE$2,1,10),1,2)</f>
        <v>1</v>
      </c>
    </row>
    <row r="2416" spans="76:135" x14ac:dyDescent="0.25">
      <c r="BX2416" s="78"/>
      <c r="BY2416" s="319">
        <v>158</v>
      </c>
      <c r="CA2416" s="78"/>
      <c r="EE2416" s="76">
        <f>+IF(MID($J$3,1,10)=MID($EE$3,1,10),2,1)</f>
        <v>2</v>
      </c>
    </row>
    <row r="2417" spans="76:135" x14ac:dyDescent="0.25">
      <c r="BX2417" s="78"/>
      <c r="BY2417" s="319">
        <v>426</v>
      </c>
      <c r="CA2417" s="78"/>
      <c r="EE2417" s="76">
        <f>+IF(MID($J$2,1,10)=MID($EE$2,1,10),1,2)</f>
        <v>1</v>
      </c>
    </row>
    <row r="2418" spans="76:135" x14ac:dyDescent="0.25">
      <c r="BX2418" s="78"/>
      <c r="BY2418" s="319">
        <v>123</v>
      </c>
      <c r="CA2418" s="78"/>
      <c r="EE2418" s="76">
        <f>+IF(MID($J$2,1,10)=MID($EE$2,1,10),0,1)</f>
        <v>0</v>
      </c>
    </row>
    <row r="2419" spans="76:135" x14ac:dyDescent="0.25">
      <c r="BX2419" s="78"/>
      <c r="BY2419" s="319">
        <v>1085</v>
      </c>
      <c r="CA2419" s="78"/>
      <c r="EE2419" s="76">
        <f>+IF(MID($J$2,1,10)=MID($EE$2,1,10),0,1)</f>
        <v>0</v>
      </c>
    </row>
    <row r="2420" spans="76:135" x14ac:dyDescent="0.25">
      <c r="BX2420" s="78"/>
      <c r="BY2420" s="319">
        <v>163</v>
      </c>
      <c r="CA2420" s="78"/>
      <c r="EE2420" s="76">
        <f>+IF(MID($J$2,1,10)=MID($EE$2,1,10),0,1)</f>
        <v>0</v>
      </c>
    </row>
    <row r="2421" spans="76:135" x14ac:dyDescent="0.25">
      <c r="BX2421" s="78"/>
      <c r="BY2421" s="319">
        <v>584</v>
      </c>
      <c r="CA2421" s="78"/>
      <c r="EE2421" s="76">
        <f>+IF(MID($J$2,1,10)=MID($EE$2,1,10),1,2)</f>
        <v>1</v>
      </c>
    </row>
    <row r="2422" spans="76:135" x14ac:dyDescent="0.25">
      <c r="BX2422" s="78"/>
      <c r="BY2422" s="319">
        <v>136</v>
      </c>
      <c r="CA2422" s="78"/>
      <c r="EE2422" s="76">
        <f>+IF(MID($J$2,1,10)=MID($EE$2,1,10),1,2)</f>
        <v>1</v>
      </c>
    </row>
    <row r="2423" spans="76:135" x14ac:dyDescent="0.25">
      <c r="BX2423" s="78"/>
      <c r="BY2423" s="319">
        <v>802</v>
      </c>
      <c r="CA2423" s="78"/>
      <c r="EE2423" s="76">
        <f>+IF(MID($J$2,1,10)=MID($EE$2,1,10),3,1)</f>
        <v>3</v>
      </c>
    </row>
    <row r="2424" spans="76:135" x14ac:dyDescent="0.25">
      <c r="BX2424" s="78"/>
      <c r="BY2424" s="319">
        <v>161</v>
      </c>
      <c r="CA2424" s="78"/>
      <c r="EE2424" s="76">
        <f>+IF(MID($J$2,1,10)=MID($EE$2,1,10),3,1)</f>
        <v>3</v>
      </c>
    </row>
    <row r="2425" spans="76:135" x14ac:dyDescent="0.25">
      <c r="BX2425" s="78"/>
      <c r="BY2425" s="319">
        <v>111</v>
      </c>
      <c r="CA2425" s="78"/>
      <c r="EE2425" s="76">
        <f>+IF(MID($J$2,1,10)=MID($EE$2,1,10),3,1)</f>
        <v>3</v>
      </c>
    </row>
    <row r="2426" spans="76:135" x14ac:dyDescent="0.25">
      <c r="BX2426" s="78"/>
      <c r="BY2426" s="319">
        <v>189</v>
      </c>
      <c r="CA2426" s="78"/>
      <c r="EE2426" s="76">
        <f>+IF(MID($J$2,1,10)=MID($EE$2,1,10),0,1)</f>
        <v>0</v>
      </c>
    </row>
    <row r="2427" spans="76:135" x14ac:dyDescent="0.25">
      <c r="BX2427" s="78"/>
      <c r="BY2427" s="319">
        <v>737</v>
      </c>
      <c r="CA2427" s="78"/>
      <c r="EE2427" s="76">
        <f>+IF(MID($J$2,1,10)=MID($EE$2,1,10),1,2)</f>
        <v>1</v>
      </c>
    </row>
    <row r="2428" spans="76:135" x14ac:dyDescent="0.25">
      <c r="BX2428" s="78"/>
      <c r="BY2428" s="319">
        <v>123</v>
      </c>
      <c r="CA2428" s="78"/>
      <c r="EE2428" s="76">
        <f>+IF(MID($J$2,1,10)=MID($EE$2,1,10),3,1)</f>
        <v>3</v>
      </c>
    </row>
    <row r="2429" spans="76:135" x14ac:dyDescent="0.25">
      <c r="BX2429" s="78"/>
      <c r="BY2429" s="319">
        <v>388</v>
      </c>
      <c r="CA2429" s="78"/>
      <c r="EE2429" s="76">
        <f>+IF(MID($J$2,1,10)=MID($EE$2,1,10),3,1)</f>
        <v>3</v>
      </c>
    </row>
    <row r="2430" spans="76:135" x14ac:dyDescent="0.25">
      <c r="BX2430" s="78"/>
      <c r="BY2430" s="319">
        <v>161</v>
      </c>
      <c r="CA2430" s="78"/>
      <c r="EE2430" s="76">
        <f>+IF(MID($J$2,1,10)=MID($EE$2,1,10),0,1)</f>
        <v>0</v>
      </c>
    </row>
    <row r="2431" spans="76:135" x14ac:dyDescent="0.25">
      <c r="BX2431" s="78"/>
      <c r="BY2431" s="319">
        <v>538</v>
      </c>
      <c r="CA2431" s="78"/>
      <c r="EE2431" s="76">
        <f>+IF(MID($J$2,1,10)=MID($EE$2,1,10),3,1)</f>
        <v>3</v>
      </c>
    </row>
    <row r="2432" spans="76:135" x14ac:dyDescent="0.25">
      <c r="BX2432" s="78"/>
      <c r="BY2432" s="319">
        <v>158</v>
      </c>
      <c r="CA2432" s="78"/>
      <c r="EE2432" s="76">
        <f>+IF(MID($J$2,1,10)=MID($EE$2,1,10),3,1)</f>
        <v>3</v>
      </c>
    </row>
    <row r="2433" spans="76:135" x14ac:dyDescent="0.25">
      <c r="BX2433" s="78"/>
      <c r="BY2433" s="319">
        <v>562</v>
      </c>
      <c r="CA2433" s="78"/>
      <c r="EE2433" s="76">
        <f>+IF(MID($J$2,1,10)=MID($EE$2,1,10),3,1)</f>
        <v>3</v>
      </c>
    </row>
    <row r="2434" spans="76:135" x14ac:dyDescent="0.25">
      <c r="BX2434" s="78"/>
      <c r="BY2434" s="319">
        <v>151</v>
      </c>
      <c r="CA2434" s="78"/>
      <c r="EE2434" s="76">
        <f>+IF(MID($J$3,1,10)=MID($EE$3,1,10),2,1)</f>
        <v>2</v>
      </c>
    </row>
    <row r="2435" spans="76:135" x14ac:dyDescent="0.25">
      <c r="BX2435" s="78"/>
      <c r="BY2435" s="319">
        <v>132</v>
      </c>
      <c r="CA2435" s="78"/>
      <c r="EE2435" s="76">
        <f>+IF(MID($J$2,1,10)=MID($EE$2,1,10),4,1)</f>
        <v>4</v>
      </c>
    </row>
    <row r="2436" spans="76:135" x14ac:dyDescent="0.25">
      <c r="BX2436" s="78"/>
      <c r="BY2436" s="319">
        <v>124</v>
      </c>
      <c r="CA2436" s="78"/>
      <c r="EE2436" s="76">
        <f>+IF(MID($J$2,1,10)=MID($EE$2,1,10),0,1)</f>
        <v>0</v>
      </c>
    </row>
    <row r="2437" spans="76:135" x14ac:dyDescent="0.25">
      <c r="BX2437" s="78"/>
      <c r="BY2437" s="319">
        <v>98</v>
      </c>
      <c r="CA2437" s="78"/>
      <c r="EE2437" s="76">
        <f>+IF(MID($J$3,1,10)=MID($EE$3,1,10),2,1)</f>
        <v>2</v>
      </c>
    </row>
    <row r="2438" spans="76:135" x14ac:dyDescent="0.25">
      <c r="BX2438" s="78"/>
      <c r="BY2438" s="319">
        <v>108</v>
      </c>
      <c r="CA2438" s="78"/>
      <c r="EE2438" s="76">
        <f>+IF(MID($J$3,1,10)=MID($EE$3,1,10),2,1)</f>
        <v>2</v>
      </c>
    </row>
    <row r="2439" spans="76:135" x14ac:dyDescent="0.25">
      <c r="BX2439" s="78"/>
      <c r="BY2439" s="319">
        <v>116</v>
      </c>
      <c r="CA2439" s="78"/>
      <c r="EE2439" s="76">
        <f>+IF(MID($J$2,1,10)=MID($EE$2,1,10),4,1)</f>
        <v>4</v>
      </c>
    </row>
    <row r="2440" spans="76:135" x14ac:dyDescent="0.25">
      <c r="BX2440" s="78"/>
      <c r="BY2440" s="319">
        <v>338</v>
      </c>
      <c r="CA2440" s="78"/>
      <c r="EE2440" s="76">
        <f>+IF(MID($J$3,1,10)=MID($EE$3,1,10),2,1)</f>
        <v>2</v>
      </c>
    </row>
    <row r="2441" spans="76:135" x14ac:dyDescent="0.25">
      <c r="BX2441" s="78"/>
      <c r="BY2441" s="319">
        <v>162</v>
      </c>
      <c r="CA2441" s="78"/>
      <c r="EE2441" s="76">
        <f>+IF(MID($J$2,1,10)=MID($EE$2,1,10),4,1)</f>
        <v>4</v>
      </c>
    </row>
    <row r="2442" spans="76:135" x14ac:dyDescent="0.25">
      <c r="BX2442" s="78"/>
      <c r="BY2442" s="319">
        <v>1045</v>
      </c>
      <c r="CA2442" s="78"/>
      <c r="EE2442" s="76">
        <f>+IF(MID($J$2,1,10)=MID($EE$2,1,10),1,2)</f>
        <v>1</v>
      </c>
    </row>
    <row r="2443" spans="76:135" x14ac:dyDescent="0.25">
      <c r="BX2443" s="78"/>
      <c r="BY2443" s="319">
        <v>190</v>
      </c>
      <c r="CA2443" s="78"/>
      <c r="EE2443" s="76">
        <f>+IF(MID($J$2,1,10)=MID($EE$2,1,10),3,1)</f>
        <v>3</v>
      </c>
    </row>
    <row r="2444" spans="76:135" x14ac:dyDescent="0.25">
      <c r="BX2444" s="78"/>
      <c r="BY2444" s="319">
        <v>523</v>
      </c>
      <c r="CA2444" s="78"/>
      <c r="EE2444" s="76">
        <f>+IF(MID($J$2,1,10)=MID($EE$2,1,10),1,2)</f>
        <v>1</v>
      </c>
    </row>
    <row r="2445" spans="76:135" x14ac:dyDescent="0.25">
      <c r="BX2445" s="78"/>
      <c r="BY2445" s="319">
        <v>123</v>
      </c>
      <c r="CA2445" s="78"/>
      <c r="EE2445" s="76">
        <f>+IF(MID($J$3,1,10)=MID($EE$3,1,10),2,1)</f>
        <v>2</v>
      </c>
    </row>
    <row r="2446" spans="76:135" x14ac:dyDescent="0.25">
      <c r="BX2446" s="78"/>
      <c r="BY2446" s="319">
        <v>323</v>
      </c>
      <c r="CA2446" s="78"/>
      <c r="EE2446" s="76">
        <f>+IF(MID($J$2,1,10)=MID($EE$2,1,10),1,2)</f>
        <v>1</v>
      </c>
    </row>
    <row r="2447" spans="76:135" x14ac:dyDescent="0.25">
      <c r="BX2447" s="78"/>
      <c r="BY2447" s="319">
        <v>173</v>
      </c>
      <c r="CA2447" s="78"/>
      <c r="EE2447" s="76">
        <f>+IF(MID($J$2,1,10)=MID($EE$2,1,10),0,1)</f>
        <v>0</v>
      </c>
    </row>
    <row r="2448" spans="76:135" x14ac:dyDescent="0.25">
      <c r="BX2448" s="78"/>
      <c r="BY2448" s="319">
        <v>525</v>
      </c>
      <c r="CA2448" s="78"/>
      <c r="EE2448" s="76">
        <f>+IF(MID($J$2,1,10)=MID($EE$2,1,10),0,1)</f>
        <v>0</v>
      </c>
    </row>
    <row r="2449" spans="76:135" x14ac:dyDescent="0.25">
      <c r="BX2449" s="78"/>
      <c r="BY2449" s="319">
        <v>158</v>
      </c>
      <c r="CA2449" s="78"/>
      <c r="EE2449" s="76">
        <f>+IF(MID($J$2,1,10)=MID($EE$2,1,10),0,1)</f>
        <v>0</v>
      </c>
    </row>
    <row r="2450" spans="76:135" x14ac:dyDescent="0.25">
      <c r="BX2450" s="78"/>
      <c r="BY2450" s="319">
        <v>1017</v>
      </c>
      <c r="CA2450" s="78"/>
      <c r="EE2450" s="76">
        <f>+IF(MID($J$2,1,10)=MID($EE$2,1,10),1,2)</f>
        <v>1</v>
      </c>
    </row>
    <row r="2451" spans="76:135" x14ac:dyDescent="0.25">
      <c r="BX2451" s="78"/>
      <c r="BY2451" s="319">
        <v>187</v>
      </c>
      <c r="CA2451" s="78"/>
      <c r="EE2451" s="76">
        <f>+IF(MID($J$2,1,10)=MID($EE$2,1,10),1,2)</f>
        <v>1</v>
      </c>
    </row>
    <row r="2452" spans="76:135" x14ac:dyDescent="0.25">
      <c r="BX2452" s="78"/>
      <c r="BY2452" s="319">
        <v>552</v>
      </c>
      <c r="CA2452" s="78"/>
      <c r="EE2452" s="76">
        <f>+IF(MID($J$2,1,10)=MID($EE$2,1,10),3,1)</f>
        <v>3</v>
      </c>
    </row>
    <row r="2453" spans="76:135" x14ac:dyDescent="0.25">
      <c r="BX2453" s="78"/>
      <c r="BY2453" s="319">
        <v>885</v>
      </c>
      <c r="CA2453" s="78"/>
      <c r="EE2453" s="76">
        <f>+IF(MID($J$2,1,10)=MID($EE$2,1,10),3,1)</f>
        <v>3</v>
      </c>
    </row>
    <row r="2454" spans="76:135" x14ac:dyDescent="0.25">
      <c r="BX2454" s="78"/>
      <c r="BY2454" s="319">
        <v>13</v>
      </c>
      <c r="CA2454" s="78"/>
      <c r="EE2454" s="76">
        <f>+IF(MID($J$2,1,10)=MID($EE$2,1,10),1,1)</f>
        <v>1</v>
      </c>
    </row>
    <row r="2455" spans="76:135" x14ac:dyDescent="0.25">
      <c r="BX2455" s="78"/>
      <c r="BY2455" s="319">
        <v>484</v>
      </c>
      <c r="CA2455" s="78"/>
      <c r="EE2455" s="76">
        <f>+IF(MID($J$2,1,10)=MID($EE$2,1,10),0,1)</f>
        <v>0</v>
      </c>
    </row>
    <row r="2456" spans="76:135" x14ac:dyDescent="0.25">
      <c r="BX2456" s="78"/>
      <c r="BY2456" s="319">
        <v>185</v>
      </c>
      <c r="CA2456" s="78"/>
      <c r="EE2456" s="76">
        <f>+IF(MID($J$2,1,10)=MID($EE$2,1,10),1,2)</f>
        <v>1</v>
      </c>
    </row>
    <row r="2457" spans="76:135" x14ac:dyDescent="0.25">
      <c r="BX2457" s="78"/>
      <c r="BY2457" s="319">
        <v>687</v>
      </c>
      <c r="CA2457" s="78"/>
      <c r="EE2457" s="76">
        <f>+IF(MID($J$2,1,10)=MID($EE$2,1,10),3,1)</f>
        <v>3</v>
      </c>
    </row>
    <row r="2458" spans="76:135" x14ac:dyDescent="0.25">
      <c r="BX2458" s="78"/>
      <c r="BY2458" s="319">
        <v>158</v>
      </c>
      <c r="CA2458" s="78"/>
      <c r="EE2458" s="76">
        <f>+IF(MID($J$2,1,10)=MID($EE$2,1,10),3,1)</f>
        <v>3</v>
      </c>
    </row>
    <row r="2459" spans="76:135" x14ac:dyDescent="0.25">
      <c r="BX2459" s="78"/>
      <c r="BY2459" s="319">
        <v>845</v>
      </c>
      <c r="CA2459" s="78"/>
      <c r="EE2459" s="76">
        <f>+IF(MID($J$2,1,10)=MID($EE$2,1,10),0,1)</f>
        <v>0</v>
      </c>
    </row>
    <row r="2460" spans="76:135" x14ac:dyDescent="0.25">
      <c r="BX2460" s="78"/>
      <c r="BY2460" s="319">
        <v>13</v>
      </c>
      <c r="CA2460" s="78"/>
      <c r="EE2460" s="76">
        <f>+IF(MID($J$2,1,10)=MID($EE$2,1,10),3,1)</f>
        <v>3</v>
      </c>
    </row>
    <row r="2461" spans="76:135" x14ac:dyDescent="0.25">
      <c r="BX2461" s="78"/>
      <c r="BY2461" s="319">
        <v>937</v>
      </c>
      <c r="CA2461" s="78"/>
      <c r="EE2461" s="76">
        <f>+IF(MID($J$2,1,10)=MID($EE$2,1,10),3,1)</f>
        <v>3</v>
      </c>
    </row>
    <row r="2462" spans="76:135" x14ac:dyDescent="0.25">
      <c r="BX2462" s="78"/>
      <c r="BY2462" s="319">
        <v>161</v>
      </c>
      <c r="CA2462" s="78"/>
      <c r="EE2462" s="76">
        <f>+IF(MID($J$2,1,10)=MID($EE$2,1,10),3,1)</f>
        <v>3</v>
      </c>
    </row>
    <row r="2463" spans="76:135" x14ac:dyDescent="0.25">
      <c r="BX2463" s="78"/>
      <c r="BY2463" s="319">
        <v>178</v>
      </c>
      <c r="CA2463" s="78"/>
      <c r="EE2463" s="76">
        <f>+IF(MID($J$2,1,10)=MID($EE$2,1,10),1,2)</f>
        <v>1</v>
      </c>
    </row>
    <row r="2464" spans="76:135" x14ac:dyDescent="0.25">
      <c r="BX2464" s="78"/>
      <c r="BY2464" s="319">
        <v>113</v>
      </c>
      <c r="CA2464" s="78"/>
      <c r="EE2464" s="76">
        <f>+IF(MID($J$3,1,10)=MID($EE$3,1,10),2,1)</f>
        <v>2</v>
      </c>
    </row>
    <row r="2465" spans="76:135" x14ac:dyDescent="0.25">
      <c r="BX2465" s="78"/>
      <c r="BY2465" s="319">
        <v>186</v>
      </c>
      <c r="CA2465" s="78"/>
      <c r="EE2465" s="76">
        <f>+IF(MID($J$2,1,10)=MID($EE$2,1,10),4,1)</f>
        <v>4</v>
      </c>
    </row>
    <row r="2466" spans="76:135" x14ac:dyDescent="0.25">
      <c r="BX2466" s="78"/>
      <c r="BY2466" s="319">
        <v>137</v>
      </c>
      <c r="CA2466" s="78"/>
      <c r="EE2466" s="76">
        <f>+IF(MID($J$2,1,10)=MID($EE$2,1,10),0,1)</f>
        <v>0</v>
      </c>
    </row>
    <row r="2467" spans="76:135" x14ac:dyDescent="0.25">
      <c r="BX2467" s="78"/>
      <c r="BY2467" s="319">
        <v>1023</v>
      </c>
      <c r="CA2467" s="78"/>
      <c r="EE2467" s="76">
        <f>+IF(MID($J$3,1,10)=MID($EE$3,1,10),2,1)</f>
        <v>2</v>
      </c>
    </row>
    <row r="2468" spans="76:135" x14ac:dyDescent="0.25">
      <c r="BX2468" s="78"/>
      <c r="BY2468" s="319">
        <v>157</v>
      </c>
      <c r="CA2468" s="78"/>
      <c r="EE2468" s="76">
        <f>+IF(MID($J$3,1,10)=MID($EE$3,1,10),2,1)</f>
        <v>2</v>
      </c>
    </row>
    <row r="2469" spans="76:135" x14ac:dyDescent="0.25">
      <c r="BX2469" s="78"/>
      <c r="BY2469" s="319">
        <v>431</v>
      </c>
      <c r="CA2469" s="78"/>
      <c r="EE2469" s="76">
        <f>+IF(MID($J$2,1,10)=MID($EE$2,1,10),4,1)</f>
        <v>4</v>
      </c>
    </row>
    <row r="2470" spans="76:135" x14ac:dyDescent="0.25">
      <c r="BX2470" s="78"/>
      <c r="BY2470" s="319">
        <v>195</v>
      </c>
      <c r="CA2470" s="78"/>
      <c r="EE2470" s="76">
        <f>+IF(MID($J$3,1,10)=MID($EE$3,1,10),2,1)</f>
        <v>2</v>
      </c>
    </row>
    <row r="2471" spans="76:135" x14ac:dyDescent="0.25">
      <c r="BX2471" s="78"/>
      <c r="BY2471" s="319">
        <v>8</v>
      </c>
      <c r="CA2471" s="78"/>
      <c r="EE2471" s="76">
        <f>+IF(MID($J$2,1,10)=MID($EE$2,1,10),4,1)</f>
        <v>4</v>
      </c>
    </row>
    <row r="2472" spans="76:135" x14ac:dyDescent="0.25">
      <c r="BX2472" s="78"/>
      <c r="BY2472" s="319">
        <v>119</v>
      </c>
      <c r="CA2472" s="78"/>
      <c r="EE2472" s="76">
        <f>+IF(MID($J$2,1,10)=MID($EE$2,1,10),1,2)</f>
        <v>1</v>
      </c>
    </row>
    <row r="2473" spans="76:135" x14ac:dyDescent="0.25">
      <c r="BX2473" s="78"/>
      <c r="BY2473" s="319">
        <v>171</v>
      </c>
      <c r="CA2473" s="78"/>
      <c r="EE2473" s="76">
        <f>+IF(MID($J$2,1,10)=MID($EE$2,1,10),3,1)</f>
        <v>3</v>
      </c>
    </row>
    <row r="2474" spans="76:135" x14ac:dyDescent="0.25">
      <c r="BX2474" s="78"/>
      <c r="BY2474" s="319">
        <v>121</v>
      </c>
      <c r="CA2474" s="78"/>
      <c r="EE2474" s="76">
        <f>+IF(MID($J$2,1,10)=MID($EE$2,1,10),1,2)</f>
        <v>1</v>
      </c>
    </row>
    <row r="2475" spans="76:135" x14ac:dyDescent="0.25">
      <c r="BX2475" s="78"/>
      <c r="BY2475" s="319">
        <v>139</v>
      </c>
      <c r="CA2475" s="78"/>
      <c r="EE2475" s="76">
        <f>+IF(MID($J$3,1,10)=MID($EE$3,1,10),2,1)</f>
        <v>2</v>
      </c>
    </row>
    <row r="2476" spans="76:135" x14ac:dyDescent="0.25">
      <c r="BX2476" s="78"/>
      <c r="BY2476" s="319">
        <v>582</v>
      </c>
      <c r="CA2476" s="78"/>
      <c r="EE2476" s="76">
        <f>+IF(MID($J$2,1,10)=MID($EE$2,1,10),1,2)</f>
        <v>1</v>
      </c>
    </row>
    <row r="2477" spans="76:135" x14ac:dyDescent="0.25">
      <c r="BX2477" s="78"/>
      <c r="BY2477" s="319">
        <v>202</v>
      </c>
      <c r="CA2477" s="78"/>
      <c r="EE2477" s="76">
        <f>+IF(MID($J$2,1,10)=MID($EE$2,1,10),0,1)</f>
        <v>0</v>
      </c>
    </row>
    <row r="2478" spans="76:135" x14ac:dyDescent="0.25">
      <c r="BX2478" s="78"/>
      <c r="BY2478" s="322">
        <v>28</v>
      </c>
      <c r="CA2478" s="78"/>
      <c r="EE2478" s="76">
        <f>+IF(MID($J$6,1,5)=MID($EE$11,1,5),0,1)</f>
        <v>0</v>
      </c>
    </row>
    <row r="2479" spans="76:135" x14ac:dyDescent="0.25">
      <c r="BX2479" s="78"/>
      <c r="BY2479" s="322">
        <v>15</v>
      </c>
      <c r="CA2479" s="78"/>
      <c r="EE2479" s="76">
        <f>+IF(MID($J$2,1,10)=MID($EE$2,1,10),0,1)</f>
        <v>0</v>
      </c>
    </row>
    <row r="2480" spans="76:135" x14ac:dyDescent="0.25">
      <c r="BX2480" s="78"/>
      <c r="BY2480" s="319">
        <v>988</v>
      </c>
      <c r="CA2480" s="78"/>
      <c r="EE2480" s="76">
        <f>+IF(MID($J$2,1,10)=MID($EE$2,1,10),1,2)</f>
        <v>1</v>
      </c>
    </row>
    <row r="2481" spans="76:135" x14ac:dyDescent="0.25">
      <c r="BX2481" s="78"/>
      <c r="BY2481" s="319">
        <v>173</v>
      </c>
      <c r="CA2481" s="78"/>
      <c r="EE2481" s="76">
        <f>+IF(MID($J$2,1,10)=MID($EE$2,1,10),1,2)</f>
        <v>1</v>
      </c>
    </row>
    <row r="2482" spans="76:135" x14ac:dyDescent="0.25">
      <c r="BX2482" s="78"/>
      <c r="BY2482" s="319">
        <v>582</v>
      </c>
      <c r="CA2482" s="78"/>
      <c r="EE2482" s="76">
        <f>+IF(MID($J$2,1,10)=MID($EE$2,1,10),3,1)</f>
        <v>3</v>
      </c>
    </row>
    <row r="2483" spans="76:135" x14ac:dyDescent="0.25">
      <c r="BX2483" s="78"/>
      <c r="BY2483" s="319">
        <v>152</v>
      </c>
      <c r="CA2483" s="78"/>
      <c r="EE2483" s="76">
        <f>+IF(MID($J$2,1,10)=MID($EE$2,1,10),3,1)</f>
        <v>3</v>
      </c>
    </row>
    <row r="2484" spans="76:135" x14ac:dyDescent="0.25">
      <c r="BX2484" s="78"/>
      <c r="BY2484" s="319">
        <v>861</v>
      </c>
      <c r="CA2484" s="78"/>
      <c r="EE2484" s="76">
        <f>+IF(MID($J$2,1,10)=MID($EE$2,1,10),3,1)</f>
        <v>3</v>
      </c>
    </row>
    <row r="2485" spans="76:135" x14ac:dyDescent="0.25">
      <c r="BX2485" s="78"/>
      <c r="BY2485" s="319">
        <v>160</v>
      </c>
      <c r="CA2485" s="78"/>
      <c r="EE2485" s="76">
        <f>+IF(MID($J$2,1,10)=MID($EE$2,1,10),0,1)</f>
        <v>0</v>
      </c>
    </row>
    <row r="2486" spans="76:135" x14ac:dyDescent="0.25">
      <c r="BX2486" s="78"/>
      <c r="BY2486" s="319">
        <v>184</v>
      </c>
      <c r="CA2486" s="78"/>
      <c r="EE2486" s="76">
        <f>+IF(MID($J$2,1,10)=MID($EE$2,1,10),1,2)</f>
        <v>1</v>
      </c>
    </row>
    <row r="2487" spans="76:135" x14ac:dyDescent="0.25">
      <c r="BX2487" s="78"/>
      <c r="BY2487" s="319">
        <v>461</v>
      </c>
      <c r="CA2487" s="78"/>
      <c r="EE2487" s="76">
        <f>+IF(MID($J$2,1,10)=MID($EE$2,1,10),3,1)</f>
        <v>3</v>
      </c>
    </row>
    <row r="2488" spans="76:135" x14ac:dyDescent="0.25">
      <c r="BX2488" s="78"/>
      <c r="BY2488" s="319">
        <v>168</v>
      </c>
      <c r="CA2488" s="78"/>
      <c r="EE2488" s="76">
        <f>+IF(MID($J$2,1,10)=MID($EE$2,1,10),3,1)</f>
        <v>3</v>
      </c>
    </row>
    <row r="2489" spans="76:135" x14ac:dyDescent="0.25">
      <c r="BX2489" s="78"/>
      <c r="BY2489" s="319">
        <v>948</v>
      </c>
      <c r="CA2489" s="78"/>
      <c r="EE2489" s="76">
        <f>+IF(MID($J$2,1,10)=MID($EE$2,1,10),0,1)</f>
        <v>0</v>
      </c>
    </row>
    <row r="2490" spans="76:135" x14ac:dyDescent="0.25">
      <c r="BX2490" s="78"/>
      <c r="BY2490" s="319">
        <v>196</v>
      </c>
      <c r="CA2490" s="78"/>
      <c r="EE2490" s="76">
        <f>+IF(MID($J$2,1,10)=MID($EE$2,1,10),3,1)</f>
        <v>3</v>
      </c>
    </row>
    <row r="2491" spans="76:135" x14ac:dyDescent="0.25">
      <c r="BX2491" s="78"/>
      <c r="BY2491" s="319">
        <v>1043</v>
      </c>
      <c r="CA2491" s="78"/>
      <c r="EE2491" s="76">
        <f>+IF(MID($J$3,1,10)=MID($EE$3,1,10),2,1)</f>
        <v>2</v>
      </c>
    </row>
    <row r="2492" spans="76:135" x14ac:dyDescent="0.25">
      <c r="BX2492" s="78"/>
      <c r="BY2492" s="319">
        <v>122</v>
      </c>
      <c r="CA2492" s="78"/>
      <c r="EE2492" s="76">
        <f>+IF(MID($J$2,1,10)=MID($EE$2,1,10),4,1)</f>
        <v>4</v>
      </c>
    </row>
    <row r="2493" spans="76:135" x14ac:dyDescent="0.25">
      <c r="BX2493" s="78"/>
      <c r="BY2493" s="319">
        <v>800</v>
      </c>
      <c r="CA2493" s="78"/>
      <c r="EE2493" s="76">
        <f>+IF(MID($J$2,1,10)=MID($EE$2,1,10),0,1)</f>
        <v>0</v>
      </c>
    </row>
    <row r="2494" spans="76:135" x14ac:dyDescent="0.25">
      <c r="BX2494" s="78"/>
      <c r="BY2494" s="319">
        <v>204</v>
      </c>
      <c r="CA2494" s="78"/>
      <c r="EE2494" s="76">
        <f>+IF(MID($J$3,1,10)=MID($EE$3,1,10),2,1)</f>
        <v>2</v>
      </c>
    </row>
    <row r="2495" spans="76:135" x14ac:dyDescent="0.25">
      <c r="BX2495" s="78"/>
      <c r="BY2495" s="319">
        <v>821</v>
      </c>
      <c r="CA2495" s="78"/>
      <c r="EE2495" s="76">
        <f>+IF(MID($J$3,1,10)=MID($EE$3,1,10),2,1)</f>
        <v>2</v>
      </c>
    </row>
    <row r="2496" spans="76:135" x14ac:dyDescent="0.25">
      <c r="BX2496" s="78"/>
      <c r="BY2496" s="319">
        <v>198</v>
      </c>
      <c r="CA2496" s="78"/>
      <c r="EE2496" s="76">
        <f>+IF(MID($J$2,1,10)=MID($EE$2,1,10),4,1)</f>
        <v>4</v>
      </c>
    </row>
    <row r="2497" spans="76:135" x14ac:dyDescent="0.25">
      <c r="BX2497" s="78"/>
      <c r="BY2497" s="319">
        <v>119</v>
      </c>
      <c r="CA2497" s="78"/>
      <c r="EE2497" s="76">
        <f>+IF(MID($J$3,1,10)=MID($EE$3,1,10),2,1)</f>
        <v>2</v>
      </c>
    </row>
    <row r="2498" spans="76:135" x14ac:dyDescent="0.25">
      <c r="BX2498" s="78"/>
      <c r="BY2498" s="319">
        <v>149</v>
      </c>
      <c r="CA2498" s="78"/>
      <c r="EE2498" s="76">
        <f>+IF(MID($J$2,1,10)=MID($EE$2,1,10),4,1)</f>
        <v>4</v>
      </c>
    </row>
    <row r="2499" spans="76:135" x14ac:dyDescent="0.25">
      <c r="BX2499" s="78"/>
      <c r="BY2499" s="319">
        <v>161</v>
      </c>
      <c r="CA2499" s="78"/>
      <c r="EE2499" s="76">
        <f>+IF(MID($J$2,1,10)=MID($EE$2,1,10),1,2)</f>
        <v>1</v>
      </c>
    </row>
    <row r="2500" spans="76:135" x14ac:dyDescent="0.25">
      <c r="BX2500" s="78"/>
      <c r="BY2500" s="319">
        <v>156</v>
      </c>
      <c r="CA2500" s="78"/>
      <c r="EE2500" s="76">
        <f>+IF(MID($J$2,1,10)=MID($EE$2,1,10),3,1)</f>
        <v>3</v>
      </c>
    </row>
    <row r="2501" spans="76:135" x14ac:dyDescent="0.25">
      <c r="BX2501" s="79"/>
      <c r="BY2501" s="322">
        <v>10</v>
      </c>
      <c r="BZ2501" s="323"/>
      <c r="CA2501" s="79"/>
      <c r="EE2501" s="76">
        <f>+IF(MID($J$4,1,8)=MID($EE$4,1,8),0,1)</f>
        <v>0</v>
      </c>
    </row>
    <row r="2502" spans="76:135" x14ac:dyDescent="0.25">
      <c r="BX2502" s="78"/>
      <c r="BY2502" s="319">
        <v>115</v>
      </c>
      <c r="CA2502" s="78"/>
      <c r="EE2502" s="76">
        <f>+IF(MID($J$3,1,10)=MID($EE$3,1,10),2,1)</f>
        <v>2</v>
      </c>
    </row>
    <row r="2503" spans="76:135" x14ac:dyDescent="0.25">
      <c r="BX2503" s="78"/>
      <c r="BY2503" s="319">
        <v>316</v>
      </c>
      <c r="CA2503" s="78"/>
      <c r="EE2503" s="76">
        <f>+IF(MID($J$2,1,10)=MID($EE$2,1,10),1,2)</f>
        <v>1</v>
      </c>
    </row>
    <row r="2504" spans="76:135" x14ac:dyDescent="0.25">
      <c r="BX2504" s="78"/>
      <c r="BY2504" s="319">
        <v>199</v>
      </c>
      <c r="CA2504" s="78"/>
      <c r="EE2504" s="76">
        <f>+IF(MID($J$2,1,10)=MID($EE$2,1,10),0,1)</f>
        <v>0</v>
      </c>
    </row>
    <row r="2505" spans="76:135" x14ac:dyDescent="0.25">
      <c r="BX2505" s="78"/>
      <c r="BY2505" s="319">
        <v>555</v>
      </c>
      <c r="CA2505" s="78"/>
      <c r="EE2505" s="76">
        <f>+IF(MID($J$2,1,10)=MID($EE$2,1,10),0,1)</f>
        <v>0</v>
      </c>
    </row>
    <row r="2506" spans="76:135" x14ac:dyDescent="0.25">
      <c r="BX2506" s="78"/>
      <c r="BY2506" s="319">
        <v>113</v>
      </c>
      <c r="CA2506" s="78"/>
      <c r="EE2506" s="76">
        <f>+IF(MID($J$2,1,10)=MID($EE$2,1,10),0,1)</f>
        <v>0</v>
      </c>
    </row>
    <row r="2507" spans="76:135" x14ac:dyDescent="0.25">
      <c r="BX2507" s="78"/>
      <c r="BY2507" s="319">
        <v>562</v>
      </c>
      <c r="CA2507" s="78"/>
      <c r="EE2507" s="76">
        <f>+IF(MID($J$2,1,10)=MID($EE$2,1,10),1,2)</f>
        <v>1</v>
      </c>
    </row>
    <row r="2508" spans="76:135" x14ac:dyDescent="0.25">
      <c r="BX2508" s="78"/>
      <c r="BY2508" s="319">
        <v>164</v>
      </c>
      <c r="CA2508" s="78"/>
      <c r="EE2508" s="76">
        <f>+IF(MID($J$2,1,10)=MID($EE$2,1,10),1,2)</f>
        <v>1</v>
      </c>
    </row>
    <row r="2509" spans="76:135" x14ac:dyDescent="0.25">
      <c r="BX2509" s="78"/>
      <c r="BY2509" s="319">
        <v>1053</v>
      </c>
      <c r="CA2509" s="78"/>
      <c r="EE2509" s="76">
        <f>+IF(MID($J$2,1,10)=MID($EE$2,1,10),3,1)</f>
        <v>3</v>
      </c>
    </row>
    <row r="2510" spans="76:135" x14ac:dyDescent="0.25">
      <c r="BX2510" s="78"/>
      <c r="BY2510" s="319">
        <v>190</v>
      </c>
      <c r="CA2510" s="78"/>
      <c r="EE2510" s="76">
        <f>+IF(MID($J$2,1,10)=MID($EE$2,1,10),3,1)</f>
        <v>3</v>
      </c>
    </row>
    <row r="2511" spans="76:135" x14ac:dyDescent="0.25">
      <c r="BX2511" s="78"/>
      <c r="BY2511" s="319">
        <v>179</v>
      </c>
      <c r="CA2511" s="78"/>
      <c r="EE2511" s="76">
        <f>+IF(MID($J$2,1,10)=MID($EE$2,1,10),3,1)</f>
        <v>3</v>
      </c>
    </row>
    <row r="2512" spans="76:135" x14ac:dyDescent="0.25">
      <c r="BX2512" s="78"/>
      <c r="BY2512" s="319">
        <v>187</v>
      </c>
      <c r="CA2512" s="78"/>
      <c r="EE2512" s="76">
        <f>+IF(MID($J$2,1,10)=MID($EE$2,1,10),0,1)</f>
        <v>0</v>
      </c>
    </row>
    <row r="2513" spans="76:135" x14ac:dyDescent="0.25">
      <c r="BX2513" s="78"/>
      <c r="BY2513" s="319">
        <v>180</v>
      </c>
      <c r="CA2513" s="78"/>
      <c r="EE2513" s="76">
        <f>+IF(MID($J$2,1,10)=MID($EE$2,1,10),1,2)</f>
        <v>1</v>
      </c>
    </row>
    <row r="2514" spans="76:135" x14ac:dyDescent="0.25">
      <c r="BX2514" s="78"/>
      <c r="BY2514" s="319">
        <v>786</v>
      </c>
      <c r="CA2514" s="78"/>
      <c r="EE2514" s="76">
        <f>+IF(MID($J$2,1,10)=MID($EE$2,1,10),3,1)</f>
        <v>3</v>
      </c>
    </row>
    <row r="2515" spans="76:135" x14ac:dyDescent="0.25">
      <c r="BX2515" s="78"/>
      <c r="BY2515" s="319">
        <v>172</v>
      </c>
      <c r="CA2515" s="78"/>
      <c r="EE2515" s="76">
        <f>+IF(MID($J$2,1,10)=MID($EE$2,1,10),3,1)</f>
        <v>3</v>
      </c>
    </row>
    <row r="2516" spans="76:135" x14ac:dyDescent="0.25">
      <c r="BX2516" s="78"/>
      <c r="BY2516" s="319">
        <v>403</v>
      </c>
      <c r="CA2516" s="78"/>
      <c r="EE2516" s="76">
        <f>+IF(MID($J$2,1,10)=MID($EE$2,1,10),0,1)</f>
        <v>0</v>
      </c>
    </row>
    <row r="2517" spans="76:135" x14ac:dyDescent="0.25">
      <c r="BX2517" s="78"/>
      <c r="BY2517" s="319">
        <v>192</v>
      </c>
      <c r="CA2517" s="78"/>
      <c r="EE2517" s="76">
        <f>+IF(MID($J$2,1,10)=MID($EE$2,1,10),3,1)</f>
        <v>3</v>
      </c>
    </row>
    <row r="2518" spans="76:135" x14ac:dyDescent="0.25">
      <c r="BX2518" s="78"/>
      <c r="BY2518" s="319">
        <v>466</v>
      </c>
      <c r="CA2518" s="78"/>
      <c r="EE2518" s="76">
        <f>+IF(MID($J$2,1,10)=MID($EE$2,1,10),3,1)</f>
        <v>3</v>
      </c>
    </row>
    <row r="2519" spans="76:135" x14ac:dyDescent="0.25">
      <c r="BX2519" s="78"/>
      <c r="BY2519" s="319">
        <v>173</v>
      </c>
      <c r="CA2519" s="78"/>
      <c r="EE2519" s="76">
        <f>+IF(MID($J$2,1,10)=MID($EE$2,1,10),3,1)</f>
        <v>3</v>
      </c>
    </row>
    <row r="2520" spans="76:135" x14ac:dyDescent="0.25">
      <c r="BX2520" s="78"/>
      <c r="BY2520" s="319">
        <v>501</v>
      </c>
      <c r="CA2520" s="78"/>
      <c r="EE2520" s="76">
        <f>+IF(MID($J$2,1,10)=MID($EE$2,1,10),1,2)</f>
        <v>1</v>
      </c>
    </row>
    <row r="2521" spans="76:135" x14ac:dyDescent="0.25">
      <c r="BX2521" s="78"/>
      <c r="BY2521" s="319">
        <v>131</v>
      </c>
      <c r="CA2521" s="78"/>
      <c r="EE2521" s="76">
        <f>+IF(MID($J$3,1,10)=MID($EE$3,1,10),2,1)</f>
        <v>2</v>
      </c>
    </row>
    <row r="2522" spans="76:135" x14ac:dyDescent="0.25">
      <c r="BX2522" s="78"/>
      <c r="BY2522" s="319">
        <v>208</v>
      </c>
      <c r="CA2522" s="78"/>
      <c r="EE2522" s="76">
        <f>+IF(MID($J$2,1,10)=MID($EE$2,1,10),4,1)</f>
        <v>4</v>
      </c>
    </row>
    <row r="2523" spans="76:135" x14ac:dyDescent="0.25">
      <c r="BX2523" s="78"/>
      <c r="BY2523" s="319">
        <v>179</v>
      </c>
      <c r="CA2523" s="78"/>
      <c r="EE2523" s="76">
        <f>+IF(MID($J$2,1,10)=MID($EE$2,1,10),0,1)</f>
        <v>0</v>
      </c>
    </row>
    <row r="2524" spans="76:135" x14ac:dyDescent="0.25">
      <c r="BX2524" s="78"/>
      <c r="BY2524" s="319">
        <v>776</v>
      </c>
      <c r="CA2524" s="78"/>
      <c r="EE2524" s="76">
        <f>+IF(MID($J$3,1,10)=MID($EE$3,1,10),2,1)</f>
        <v>2</v>
      </c>
    </row>
    <row r="2525" spans="76:135" x14ac:dyDescent="0.25">
      <c r="BX2525" s="78"/>
      <c r="BY2525" s="319">
        <v>128</v>
      </c>
      <c r="CA2525" s="78"/>
      <c r="EE2525" s="76">
        <f>+IF(MID($J$3,1,10)=MID($EE$3,1,10),2,1)</f>
        <v>2</v>
      </c>
    </row>
    <row r="2526" spans="76:135" x14ac:dyDescent="0.25">
      <c r="BX2526" s="78"/>
      <c r="BY2526" s="319">
        <v>440</v>
      </c>
      <c r="CA2526" s="78"/>
      <c r="EE2526" s="76">
        <f>+IF(MID($J$2,1,10)=MID($EE$2,1,10),4,1)</f>
        <v>4</v>
      </c>
    </row>
    <row r="2527" spans="76:135" x14ac:dyDescent="0.25">
      <c r="BX2527" s="78"/>
      <c r="BY2527" s="319">
        <v>932</v>
      </c>
      <c r="CA2527" s="78"/>
      <c r="EE2527" s="76">
        <f>+IF(MID($J$3,1,10)=MID($EE$3,1,10),2,1)</f>
        <v>2</v>
      </c>
    </row>
    <row r="2528" spans="76:135" x14ac:dyDescent="0.25">
      <c r="BX2528" s="78"/>
      <c r="BY2528" s="319">
        <v>187</v>
      </c>
      <c r="CA2528" s="78"/>
      <c r="EE2528" s="76">
        <f>+IF(MID($J$2,1,10)=MID($EE$2,1,10),4,1)</f>
        <v>4</v>
      </c>
    </row>
    <row r="2529" spans="76:135" x14ac:dyDescent="0.25">
      <c r="BX2529" s="78"/>
      <c r="BY2529" s="319">
        <v>926</v>
      </c>
      <c r="CA2529" s="78"/>
      <c r="EE2529" s="76">
        <f>+IF(MID($J$2,1,10)=MID($EE$2,1,10),1,2)</f>
        <v>1</v>
      </c>
    </row>
    <row r="2530" spans="76:135" x14ac:dyDescent="0.25">
      <c r="BX2530" s="78"/>
      <c r="BY2530" s="319">
        <v>148</v>
      </c>
      <c r="CA2530" s="78"/>
      <c r="EE2530" s="76">
        <f>+IF(MID($J$2,1,10)=MID($EE$2,1,10),3,1)</f>
        <v>3</v>
      </c>
    </row>
    <row r="2531" spans="76:135" x14ac:dyDescent="0.25">
      <c r="BX2531" s="78"/>
      <c r="BY2531" s="319">
        <v>186</v>
      </c>
      <c r="CA2531" s="78"/>
      <c r="EE2531" s="76">
        <f>+IF(MID($J$2,1,10)=MID($EE$2,1,10),1,2)</f>
        <v>1</v>
      </c>
    </row>
    <row r="2532" spans="76:135" x14ac:dyDescent="0.25">
      <c r="BX2532" s="78"/>
      <c r="BY2532" s="319">
        <v>187</v>
      </c>
      <c r="CA2532" s="78"/>
      <c r="EE2532" s="76">
        <f>+IF(MID($J$3,1,10)=MID($EE$3,1,10),2,1)</f>
        <v>2</v>
      </c>
    </row>
    <row r="2533" spans="76:135" x14ac:dyDescent="0.25">
      <c r="BX2533" s="78"/>
      <c r="BY2533" s="319">
        <v>1043</v>
      </c>
      <c r="CA2533" s="78"/>
      <c r="EE2533" s="76">
        <f>+IF(MID($J$2,1,10)=MID($EE$2,1,10),1,2)</f>
        <v>1</v>
      </c>
    </row>
    <row r="2534" spans="76:135" x14ac:dyDescent="0.25">
      <c r="BX2534" s="78"/>
      <c r="BY2534" s="319">
        <v>107</v>
      </c>
      <c r="CA2534" s="78"/>
      <c r="EE2534" s="76">
        <f>+IF(MID($J$2,1,10)=MID($EE$2,1,10),0,1)</f>
        <v>0</v>
      </c>
    </row>
    <row r="2535" spans="76:135" x14ac:dyDescent="0.25">
      <c r="BX2535" s="78"/>
      <c r="BY2535" s="319">
        <v>475</v>
      </c>
      <c r="CA2535" s="78"/>
      <c r="EE2535" s="76">
        <f>+IF(MID($J$2,1,10)=MID($EE$2,1,10),0,1)</f>
        <v>0</v>
      </c>
    </row>
    <row r="2536" spans="76:135" x14ac:dyDescent="0.25">
      <c r="BX2536" s="78"/>
      <c r="BY2536" s="319">
        <v>153</v>
      </c>
      <c r="CA2536" s="78"/>
      <c r="EE2536" s="76">
        <f>+IF(MID($J$2,1,10)=MID($EE$2,1,10),0,1)</f>
        <v>0</v>
      </c>
    </row>
    <row r="2537" spans="76:135" x14ac:dyDescent="0.25">
      <c r="BX2537" s="78"/>
      <c r="BY2537" s="319">
        <v>176</v>
      </c>
      <c r="CA2537" s="78"/>
      <c r="EE2537" s="76">
        <f>+IF(MID($J$2,1,10)=MID($EE$2,1,10),1,2)</f>
        <v>1</v>
      </c>
    </row>
    <row r="2538" spans="76:135" x14ac:dyDescent="0.25">
      <c r="BX2538" s="78"/>
      <c r="BY2538" s="319">
        <v>159</v>
      </c>
      <c r="CA2538" s="78"/>
      <c r="EE2538" s="76">
        <f>+IF(MID($J$2,1,10)=MID($EE$2,1,10),1,2)</f>
        <v>1</v>
      </c>
    </row>
    <row r="2539" spans="76:135" x14ac:dyDescent="0.25">
      <c r="BX2539" s="78"/>
      <c r="BY2539" s="319">
        <v>139</v>
      </c>
      <c r="CA2539" s="78"/>
      <c r="EE2539" s="76">
        <f>+IF(MID($J$2,1,10)=MID($EE$2,1,10),3,1)</f>
        <v>3</v>
      </c>
    </row>
    <row r="2540" spans="76:135" x14ac:dyDescent="0.25">
      <c r="BX2540" s="78"/>
      <c r="BY2540" s="319">
        <v>125</v>
      </c>
      <c r="CA2540" s="78"/>
      <c r="EE2540" s="76">
        <f>+IF(MID($J$2,1,10)=MID($EE$2,1,10),3,1)</f>
        <v>3</v>
      </c>
    </row>
    <row r="2541" spans="76:135" x14ac:dyDescent="0.25">
      <c r="BX2541" s="78"/>
      <c r="BY2541" s="319">
        <v>898</v>
      </c>
      <c r="CA2541" s="78"/>
      <c r="EE2541" s="76">
        <f>+IF(MID($J$2,1,10)=MID($EE$2,1,10),3,1)</f>
        <v>3</v>
      </c>
    </row>
    <row r="2542" spans="76:135" x14ac:dyDescent="0.25">
      <c r="BX2542" s="78"/>
      <c r="BY2542" s="319">
        <v>145</v>
      </c>
      <c r="CA2542" s="78"/>
      <c r="EE2542" s="76">
        <f>+IF(MID($J$2,1,10)=MID($EE$2,1,10),0,1)</f>
        <v>0</v>
      </c>
    </row>
    <row r="2543" spans="76:135" x14ac:dyDescent="0.25">
      <c r="BX2543" s="78"/>
      <c r="BY2543" s="319">
        <v>957</v>
      </c>
      <c r="CA2543" s="78"/>
      <c r="EE2543" s="76">
        <f>+IF(MID($J$2,1,10)=MID($EE$2,1,10),1,2)</f>
        <v>1</v>
      </c>
    </row>
    <row r="2544" spans="76:135" x14ac:dyDescent="0.25">
      <c r="BX2544" s="78"/>
      <c r="BY2544" s="319">
        <v>179</v>
      </c>
      <c r="CA2544" s="78"/>
      <c r="EE2544" s="76">
        <f>+IF(MID($J$2,1,10)=MID($EE$2,1,10),3,1)</f>
        <v>3</v>
      </c>
    </row>
    <row r="2545" spans="76:135" x14ac:dyDescent="0.25">
      <c r="BX2545" s="78"/>
      <c r="BY2545" s="319">
        <v>3</v>
      </c>
      <c r="CA2545" s="78"/>
      <c r="EE2545" s="76">
        <f>+IF(MID($J$2,1,10)=MID($EE$2,1,10),3,1)</f>
        <v>3</v>
      </c>
    </row>
    <row r="2546" spans="76:135" x14ac:dyDescent="0.25">
      <c r="BX2546" s="78"/>
      <c r="BY2546" s="319">
        <v>156</v>
      </c>
      <c r="CA2546" s="78"/>
      <c r="EE2546" s="76">
        <f>+IF(MID($J$2,1,10)=MID($EE$2,1,10),0,1)</f>
        <v>0</v>
      </c>
    </row>
    <row r="2547" spans="76:135" x14ac:dyDescent="0.25">
      <c r="BX2547" s="78"/>
      <c r="BY2547" s="319">
        <v>654</v>
      </c>
      <c r="CA2547" s="78"/>
      <c r="EE2547" s="76">
        <f>+IF(MID($J$2,1,10)=MID($EE$2,1,10),3,1)</f>
        <v>3</v>
      </c>
    </row>
    <row r="2548" spans="76:135" x14ac:dyDescent="0.25">
      <c r="BX2548" s="78"/>
      <c r="BY2548" s="319">
        <v>144</v>
      </c>
      <c r="CA2548" s="78"/>
      <c r="EE2548" s="76">
        <f>+IF(MID($J$2,1,10)=MID($EE$2,1,10),3,1)</f>
        <v>3</v>
      </c>
    </row>
    <row r="2549" spans="76:135" x14ac:dyDescent="0.25">
      <c r="BX2549" s="78"/>
      <c r="BY2549" s="319">
        <v>170</v>
      </c>
      <c r="CA2549" s="78"/>
      <c r="EE2549" s="76">
        <f>+IF(MID($J$2,1,10)=MID($EE$2,1,10),3,1)</f>
        <v>3</v>
      </c>
    </row>
    <row r="2550" spans="76:135" x14ac:dyDescent="0.25">
      <c r="BX2550" s="78"/>
      <c r="BY2550" s="319">
        <v>160</v>
      </c>
      <c r="CA2550" s="78"/>
      <c r="EE2550" s="76">
        <f>+IF(MID($J$2,1,10)=MID($EE$2,1,10),1,2)</f>
        <v>1</v>
      </c>
    </row>
    <row r="2551" spans="76:135" x14ac:dyDescent="0.25">
      <c r="BX2551" s="78"/>
      <c r="BY2551" s="319">
        <v>154</v>
      </c>
      <c r="CA2551" s="78"/>
      <c r="EE2551" s="76">
        <f>+IF(MID($J$3,1,10)=MID($EE$3,1,10),2,1)</f>
        <v>2</v>
      </c>
    </row>
    <row r="2552" spans="76:135" x14ac:dyDescent="0.25">
      <c r="BX2552" s="78"/>
      <c r="BY2552" s="319">
        <v>169</v>
      </c>
      <c r="CA2552" s="78"/>
      <c r="EE2552" s="76">
        <f>+IF(MID($J$2,1,10)=MID($EE$2,1,10),4,1)</f>
        <v>4</v>
      </c>
    </row>
    <row r="2553" spans="76:135" x14ac:dyDescent="0.25">
      <c r="BX2553" s="78"/>
      <c r="BY2553" s="319">
        <v>165</v>
      </c>
      <c r="CA2553" s="78"/>
      <c r="EE2553" s="76">
        <f>+IF(MID($J$2,1,10)=MID($EE$2,1,10),0,1)</f>
        <v>0</v>
      </c>
    </row>
    <row r="2554" spans="76:135" x14ac:dyDescent="0.25">
      <c r="BX2554" s="78"/>
      <c r="BY2554" s="319">
        <v>143</v>
      </c>
      <c r="CA2554" s="78"/>
      <c r="EE2554" s="76">
        <f>+IF(MID($J$3,1,10)=MID($EE$3,1,10),2,1)</f>
        <v>2</v>
      </c>
    </row>
    <row r="2555" spans="76:135" x14ac:dyDescent="0.25">
      <c r="BX2555" s="78"/>
      <c r="BY2555" s="319">
        <v>124</v>
      </c>
      <c r="CA2555" s="78"/>
      <c r="EE2555" s="76">
        <f>+IF(MID($J$3,1,10)=MID($EE$3,1,10),2,1)</f>
        <v>2</v>
      </c>
    </row>
    <row r="2556" spans="76:135" x14ac:dyDescent="0.25">
      <c r="BX2556" s="78"/>
      <c r="BY2556" s="322">
        <v>18</v>
      </c>
      <c r="CA2556" s="78"/>
      <c r="EE2556" s="76">
        <f>+IF(MID($J$4,1,8)=MID($EE$4,1,8),0,1)</f>
        <v>0</v>
      </c>
    </row>
    <row r="2557" spans="76:135" x14ac:dyDescent="0.25">
      <c r="BX2557" s="78"/>
      <c r="BY2557" s="319">
        <v>171</v>
      </c>
      <c r="CA2557" s="78"/>
      <c r="EE2557" s="76">
        <f>+IF(MID($J$3,1,10)=MID($EE$3,1,10),2,1)</f>
        <v>2</v>
      </c>
    </row>
    <row r="2558" spans="76:135" x14ac:dyDescent="0.25">
      <c r="BX2558" s="78"/>
      <c r="BY2558" s="319">
        <v>176</v>
      </c>
      <c r="CA2558" s="78"/>
      <c r="EE2558" s="76">
        <f>+IF(MID($J$2,1,10)=MID($EE$2,1,10),4,1)</f>
        <v>4</v>
      </c>
    </row>
    <row r="2559" spans="76:135" x14ac:dyDescent="0.25">
      <c r="BX2559" s="78"/>
      <c r="BY2559" s="319">
        <v>146</v>
      </c>
      <c r="CA2559" s="78"/>
      <c r="EE2559" s="76">
        <f>+IF(MID($J$2,1,10)=MID($EE$2,1,10),1,2)</f>
        <v>1</v>
      </c>
    </row>
    <row r="2560" spans="76:135" x14ac:dyDescent="0.25">
      <c r="BX2560" s="78"/>
      <c r="BY2560" s="319">
        <v>193</v>
      </c>
      <c r="CA2560" s="78"/>
      <c r="EE2560" s="76">
        <f>+IF(MID($J$2,1,10)=MID($EE$2,1,10),3,1)</f>
        <v>3</v>
      </c>
    </row>
    <row r="2561" spans="76:135" x14ac:dyDescent="0.25">
      <c r="BX2561" s="78"/>
      <c r="BY2561" s="319">
        <v>112</v>
      </c>
      <c r="CA2561" s="78"/>
      <c r="EE2561" s="76">
        <f>+IF(MID($J$2,1,10)=MID($EE$2,1,10),1,2)</f>
        <v>1</v>
      </c>
    </row>
    <row r="2562" spans="76:135" x14ac:dyDescent="0.25">
      <c r="BX2562" s="78"/>
      <c r="BY2562" s="319">
        <v>203</v>
      </c>
      <c r="CA2562" s="78"/>
      <c r="EE2562" s="76">
        <f>+IF(MID($J$3,1,10)=MID($EE$3,1,10),2,1)</f>
        <v>2</v>
      </c>
    </row>
    <row r="2563" spans="76:135" x14ac:dyDescent="0.25">
      <c r="BX2563" s="78"/>
      <c r="BY2563" s="319">
        <v>127</v>
      </c>
      <c r="CA2563" s="78"/>
      <c r="EE2563" s="76">
        <f>+IF(MID($J$2,1,10)=MID($EE$2,1,10),1,2)</f>
        <v>1</v>
      </c>
    </row>
    <row r="2564" spans="76:135" x14ac:dyDescent="0.25">
      <c r="BX2564" s="78"/>
      <c r="BY2564" s="319">
        <v>111</v>
      </c>
      <c r="CA2564" s="78"/>
      <c r="EE2564" s="76">
        <f>+IF(MID($J$2,1,10)=MID($EE$2,1,10),0,1)</f>
        <v>0</v>
      </c>
    </row>
    <row r="2565" spans="76:135" x14ac:dyDescent="0.25">
      <c r="BX2565" s="78"/>
      <c r="BY2565" s="319">
        <v>193</v>
      </c>
      <c r="CA2565" s="78"/>
      <c r="EE2565" s="76">
        <f>+IF(MID($J$2,1,10)=MID($EE$2,1,10),0,1)</f>
        <v>0</v>
      </c>
    </row>
    <row r="2566" spans="76:135" x14ac:dyDescent="0.25">
      <c r="BX2566" s="78"/>
      <c r="BY2566" s="319">
        <v>176</v>
      </c>
      <c r="CA2566" s="78"/>
      <c r="EE2566" s="76">
        <f>+IF(MID($J$2,1,10)=MID($EE$2,1,10),0,1)</f>
        <v>0</v>
      </c>
    </row>
    <row r="2567" spans="76:135" x14ac:dyDescent="0.25">
      <c r="BX2567" s="79"/>
      <c r="BY2567" s="322">
        <v>20</v>
      </c>
      <c r="BZ2567" s="323"/>
      <c r="CA2567" s="79"/>
      <c r="EE2567" s="76">
        <f>+IF(MID($J$5,1,10)=MID($EE$5,1,10),0,1)</f>
        <v>0</v>
      </c>
    </row>
    <row r="2568" spans="76:135" x14ac:dyDescent="0.25">
      <c r="BX2568" s="78"/>
      <c r="BY2568" s="319">
        <v>177</v>
      </c>
      <c r="CA2568" s="78"/>
      <c r="EE2568" s="76">
        <f>+IF(MID($J$6,1,5)=MID($EE$11,1,5),0,1)</f>
        <v>0</v>
      </c>
    </row>
    <row r="2569" spans="76:135" x14ac:dyDescent="0.25">
      <c r="BX2569" s="78"/>
      <c r="BY2569" s="319">
        <v>176</v>
      </c>
      <c r="CA2569" s="78"/>
      <c r="EE2569" s="76">
        <f>+IF(MID($J$2,1,10)=MID($EE$2,1,10),0,1)</f>
        <v>0</v>
      </c>
    </row>
    <row r="2570" spans="76:135" x14ac:dyDescent="0.25">
      <c r="BX2570" s="78"/>
      <c r="BY2570" s="319">
        <v>207</v>
      </c>
      <c r="CA2570" s="78"/>
      <c r="EE2570" s="76">
        <f>+IF(MID($J$3,1,10)=MID($EE$3,1,10),0,1)</f>
        <v>0</v>
      </c>
    </row>
    <row r="2571" spans="76:135" x14ac:dyDescent="0.25">
      <c r="BX2571" s="78"/>
      <c r="BY2571" s="322">
        <v>28</v>
      </c>
      <c r="CA2571" s="78"/>
      <c r="EE2571" s="76">
        <f>+IF(MID($J$4,1,8)=MID($EE$4,1,8),3,1)</f>
        <v>3</v>
      </c>
    </row>
    <row r="2572" spans="76:135" x14ac:dyDescent="0.25">
      <c r="BX2572" s="78"/>
      <c r="BY2572" s="322">
        <v>10</v>
      </c>
      <c r="CA2572" s="78"/>
      <c r="EE2572" s="76">
        <f>+IF(MID($J$5,1,10)=MID($EE$5,1,10),0,1)</f>
        <v>0</v>
      </c>
    </row>
    <row r="2573" spans="76:135" x14ac:dyDescent="0.25">
      <c r="BX2573" s="78"/>
      <c r="BY2573" s="319">
        <v>131</v>
      </c>
      <c r="CA2573" s="78"/>
      <c r="EE2573" s="76">
        <f>+IF(MID($J$2,1,10)=MID($EE$2,1,10),1,2)</f>
        <v>1</v>
      </c>
    </row>
    <row r="2574" spans="76:135" x14ac:dyDescent="0.25">
      <c r="BX2574" s="78"/>
      <c r="BY2574" s="319">
        <v>157</v>
      </c>
      <c r="CA2574" s="78"/>
      <c r="EE2574" s="76">
        <f>+IF(MID($J$2,1,10)=MID($EE$2,1,10),3,1)</f>
        <v>3</v>
      </c>
    </row>
    <row r="2575" spans="76:135" x14ac:dyDescent="0.25">
      <c r="BX2575" s="78"/>
      <c r="BY2575" s="319">
        <v>99</v>
      </c>
      <c r="CA2575" s="78"/>
      <c r="EE2575" s="76">
        <f>+IF(MID($J$2,1,10)=MID($EE$2,1,10),3,1)</f>
        <v>3</v>
      </c>
    </row>
    <row r="2576" spans="76:135" x14ac:dyDescent="0.25">
      <c r="BX2576" s="78"/>
      <c r="BY2576" s="319">
        <v>163</v>
      </c>
      <c r="CA2576" s="78"/>
      <c r="EE2576" s="76">
        <f>+IF(MID($J$2,1,10)=MID($EE$2,1,10),0,1)</f>
        <v>0</v>
      </c>
    </row>
    <row r="2577" spans="76:135" x14ac:dyDescent="0.25">
      <c r="BX2577" s="78"/>
      <c r="BY2577" s="319">
        <v>134</v>
      </c>
      <c r="CA2577" s="78"/>
      <c r="EE2577" s="76">
        <f>+IF(MID($J$2,1,10)=MID($EE$2,1,10),3,1)</f>
        <v>3</v>
      </c>
    </row>
    <row r="2578" spans="76:135" x14ac:dyDescent="0.25">
      <c r="BX2578" s="78"/>
      <c r="BY2578" s="319">
        <v>107</v>
      </c>
      <c r="CA2578" s="78"/>
      <c r="EE2578" s="76">
        <f>+IF(MID($J$2,1,10)=MID($EE$2,1,10),3,1)</f>
        <v>3</v>
      </c>
    </row>
    <row r="2579" spans="76:135" x14ac:dyDescent="0.25">
      <c r="BX2579" s="78"/>
      <c r="BY2579" s="319">
        <v>154</v>
      </c>
      <c r="CA2579" s="78"/>
      <c r="EE2579" s="76">
        <f>+IF(MID($J$2,1,10)=MID($EE$2,1,10),3,1)</f>
        <v>3</v>
      </c>
    </row>
    <row r="2580" spans="76:135" x14ac:dyDescent="0.25">
      <c r="BX2580" s="78"/>
      <c r="BY2580" s="319">
        <v>135</v>
      </c>
      <c r="CA2580" s="78"/>
      <c r="EE2580" s="76">
        <f>+IF(MID($J$2,1,10)=MID($EE$2,1,10),1,2)</f>
        <v>1</v>
      </c>
    </row>
    <row r="2581" spans="76:135" x14ac:dyDescent="0.25">
      <c r="BX2581" s="78"/>
      <c r="BY2581" s="319">
        <v>184</v>
      </c>
      <c r="CA2581" s="78"/>
      <c r="EE2581" s="76">
        <f>+IF(MID($J$3,1,10)=MID($EE$3,1,10),2,1)</f>
        <v>2</v>
      </c>
    </row>
    <row r="2582" spans="76:135" x14ac:dyDescent="0.25">
      <c r="BX2582" s="78"/>
      <c r="BY2582" s="319">
        <v>3</v>
      </c>
      <c r="CA2582" s="78"/>
      <c r="EE2582" s="76">
        <f>+IF(MID($J$2,1,10)=MID($EE$2,1,10),4,1)</f>
        <v>4</v>
      </c>
    </row>
    <row r="2583" spans="76:135" x14ac:dyDescent="0.25">
      <c r="BX2583" s="78"/>
      <c r="BY2583" s="319">
        <v>13</v>
      </c>
      <c r="CA2583" s="78"/>
      <c r="EE2583" s="76">
        <f>+IF(MID($J$2,1,10)=MID($EE$2,1,10),0,1)</f>
        <v>0</v>
      </c>
    </row>
    <row r="2584" spans="76:135" x14ac:dyDescent="0.25">
      <c r="BX2584" s="78"/>
      <c r="BY2584" s="319">
        <v>193</v>
      </c>
      <c r="CA2584" s="78"/>
      <c r="EE2584" s="76">
        <f>+IF(MID($J$3,1,10)=MID($EE$3,1,10),2,1)</f>
        <v>2</v>
      </c>
    </row>
    <row r="2585" spans="76:135" x14ac:dyDescent="0.25">
      <c r="BX2585" s="78"/>
      <c r="BY2585" s="319">
        <v>320</v>
      </c>
      <c r="CA2585" s="78"/>
      <c r="EE2585" s="76">
        <f>+IF(MID($J$3,1,10)=MID($EE$3,1,10),2,1)</f>
        <v>2</v>
      </c>
    </row>
    <row r="2586" spans="76:135" x14ac:dyDescent="0.25">
      <c r="BX2586" s="78"/>
      <c r="BY2586" s="319">
        <v>136</v>
      </c>
      <c r="CA2586" s="78"/>
      <c r="EE2586" s="76">
        <f>+IF(MID($J$2,1,10)=MID($EE$2,1,10),4,1)</f>
        <v>4</v>
      </c>
    </row>
    <row r="2587" spans="76:135" x14ac:dyDescent="0.25">
      <c r="BX2587" s="78"/>
      <c r="BY2587" s="319">
        <v>263</v>
      </c>
      <c r="CA2587" s="78"/>
      <c r="EE2587" s="76">
        <f>+IF(MID($J$3,1,10)=MID($EE$3,1,10),2,1)</f>
        <v>2</v>
      </c>
    </row>
    <row r="2588" spans="76:135" x14ac:dyDescent="0.25">
      <c r="BX2588" s="78"/>
      <c r="BY2588" s="319">
        <v>120</v>
      </c>
      <c r="CA2588" s="78"/>
      <c r="EE2588" s="76">
        <f>+IF(MID($J$2,1,10)=MID($EE$2,1,10),4,1)</f>
        <v>4</v>
      </c>
    </row>
    <row r="2589" spans="76:135" x14ac:dyDescent="0.25">
      <c r="BX2589" s="78"/>
      <c r="BY2589" s="319">
        <v>187</v>
      </c>
      <c r="CA2589" s="78"/>
      <c r="EE2589" s="76">
        <f>+IF(MID($J$2,1,10)=MID($EE$2,1,10),1,2)</f>
        <v>1</v>
      </c>
    </row>
    <row r="2590" spans="76:135" x14ac:dyDescent="0.25">
      <c r="BX2590" s="78"/>
      <c r="BY2590" s="319">
        <v>123</v>
      </c>
      <c r="CA2590" s="78"/>
      <c r="EE2590" s="76">
        <f>+IF(MID($J$2,1,10)=MID($EE$2,1,10),3,1)</f>
        <v>3</v>
      </c>
    </row>
    <row r="2591" spans="76:135" x14ac:dyDescent="0.25">
      <c r="BX2591" s="78"/>
      <c r="BY2591" s="319">
        <v>116</v>
      </c>
      <c r="CA2591" s="78"/>
      <c r="EE2591" s="76">
        <f>+IF(MID($J$2,1,10)=MID($EE$2,1,10),1,2)</f>
        <v>1</v>
      </c>
    </row>
    <row r="2592" spans="76:135" x14ac:dyDescent="0.25">
      <c r="BX2592" s="78"/>
      <c r="BY2592" s="319">
        <v>151</v>
      </c>
      <c r="CA2592" s="78"/>
      <c r="EE2592" s="76">
        <f>+IF(MID($J$3,1,10)=MID($EE$3,1,10),2,1)</f>
        <v>2</v>
      </c>
    </row>
    <row r="2593" spans="76:135" x14ac:dyDescent="0.25">
      <c r="BX2593" s="78"/>
      <c r="BY2593" s="319">
        <v>515</v>
      </c>
      <c r="CA2593" s="78"/>
      <c r="EE2593" s="76">
        <f>+IF(MID($J$2,1,10)=MID($EE$2,1,10),1,2)</f>
        <v>1</v>
      </c>
    </row>
    <row r="2594" spans="76:135" x14ac:dyDescent="0.25">
      <c r="BX2594" s="78"/>
      <c r="BY2594" s="322">
        <v>10</v>
      </c>
      <c r="CA2594" s="78"/>
      <c r="EE2594" s="76">
        <f>+IF(MID($J$2,1,10)=MID($EE$2,1,10),0,1)</f>
        <v>0</v>
      </c>
    </row>
    <row r="2595" spans="76:135" x14ac:dyDescent="0.25">
      <c r="BX2595" s="78"/>
      <c r="BY2595" s="324">
        <v>5</v>
      </c>
      <c r="CA2595" s="78"/>
      <c r="EE2595" s="76">
        <f>+IF(MID($J$3,1,10)=MID($EE$3,1,10),0,1)</f>
        <v>0</v>
      </c>
    </row>
    <row r="2596" spans="76:135" x14ac:dyDescent="0.25">
      <c r="BX2596" s="78"/>
      <c r="BY2596" s="319">
        <v>135</v>
      </c>
      <c r="CA2596" s="78"/>
      <c r="EE2596" s="76">
        <f>+IF(MID($J$2,1,10)=MID($EE$2,1,10),0,1)</f>
        <v>0</v>
      </c>
    </row>
    <row r="2597" spans="76:135" x14ac:dyDescent="0.25">
      <c r="BX2597" s="78"/>
      <c r="BY2597" s="319">
        <v>214</v>
      </c>
      <c r="CA2597" s="78"/>
      <c r="EE2597" s="76">
        <f>+IF(MID($J$2,1,10)=MID($EE$2,1,10),1,2)</f>
        <v>1</v>
      </c>
    </row>
    <row r="2598" spans="76:135" x14ac:dyDescent="0.25">
      <c r="BX2598" s="78"/>
      <c r="BY2598" s="319">
        <v>381</v>
      </c>
      <c r="CA2598" s="78"/>
      <c r="EE2598" s="76">
        <f>+IF(MID($J$2,1,10)=MID($EE$2,1,10),1,2)</f>
        <v>1</v>
      </c>
    </row>
    <row r="2599" spans="76:135" x14ac:dyDescent="0.25">
      <c r="BX2599" s="78"/>
      <c r="BY2599" s="319">
        <v>124</v>
      </c>
      <c r="CA2599" s="78"/>
      <c r="EE2599" s="76">
        <f>+IF(MID($J$2,1,10)=MID($EE$2,1,10),3,1)</f>
        <v>3</v>
      </c>
    </row>
    <row r="2600" spans="76:135" x14ac:dyDescent="0.25">
      <c r="BX2600" s="78"/>
      <c r="BY2600" s="319">
        <v>1124</v>
      </c>
      <c r="CA2600" s="78"/>
      <c r="EE2600" s="76">
        <f>+IF(MID($J$2,1,10)=MID($EE$2,1,10),3,1)</f>
        <v>3</v>
      </c>
    </row>
    <row r="2601" spans="76:135" x14ac:dyDescent="0.25">
      <c r="BX2601" s="78"/>
      <c r="BY2601" s="319">
        <v>154</v>
      </c>
      <c r="CA2601" s="78"/>
      <c r="EE2601" s="76">
        <f>+IF(MID($J$2,1,10)=MID($EE$2,1,10),3,1)</f>
        <v>3</v>
      </c>
    </row>
    <row r="2602" spans="76:135" x14ac:dyDescent="0.25">
      <c r="BX2602" s="78"/>
      <c r="BY2602" s="319">
        <v>502</v>
      </c>
      <c r="CA2602" s="78"/>
      <c r="EE2602" s="76">
        <f>+IF(MID($J$2,1,10)=MID($EE$2,1,10),0,1)</f>
        <v>0</v>
      </c>
    </row>
    <row r="2603" spans="76:135" x14ac:dyDescent="0.25">
      <c r="BX2603" s="78"/>
      <c r="BY2603" s="319">
        <v>104</v>
      </c>
      <c r="CA2603" s="78"/>
      <c r="EE2603" s="76">
        <f>+IF(MID($J$2,1,10)=MID($EE$2,1,10),1,2)</f>
        <v>1</v>
      </c>
    </row>
    <row r="2604" spans="76:135" x14ac:dyDescent="0.25">
      <c r="BX2604" s="78"/>
      <c r="BY2604" s="319">
        <v>10</v>
      </c>
      <c r="CA2604" s="78"/>
      <c r="EE2604" s="76">
        <f>+IF(MID($J$2,1,10)=MID($EE$2,1,10),3,1)</f>
        <v>3</v>
      </c>
    </row>
    <row r="2605" spans="76:135" x14ac:dyDescent="0.25">
      <c r="BX2605" s="78"/>
      <c r="BY2605" s="319">
        <v>159</v>
      </c>
      <c r="CA2605" s="78"/>
      <c r="EE2605" s="76">
        <f>+IF(MID($J$2,1,10)=MID($EE$2,1,10),3,1)</f>
        <v>3</v>
      </c>
    </row>
    <row r="2606" spans="76:135" x14ac:dyDescent="0.25">
      <c r="BX2606" s="78"/>
      <c r="BY2606" s="319">
        <v>292</v>
      </c>
      <c r="CA2606" s="78"/>
      <c r="EE2606" s="76">
        <f>+IF(MID($J$2,1,10)=MID($EE$2,1,10),0,1)</f>
        <v>0</v>
      </c>
    </row>
    <row r="2607" spans="76:135" x14ac:dyDescent="0.25">
      <c r="BX2607" s="78"/>
      <c r="BY2607" s="319">
        <v>165</v>
      </c>
      <c r="CA2607" s="78"/>
      <c r="EE2607" s="76">
        <f>+IF(MID($J$3,1,10)=MID($EE$3,1,10),2,1)</f>
        <v>2</v>
      </c>
    </row>
    <row r="2608" spans="76:135" x14ac:dyDescent="0.25">
      <c r="BX2608" s="78"/>
      <c r="BY2608" s="319">
        <v>186</v>
      </c>
      <c r="CA2608" s="78"/>
      <c r="EE2608" s="76">
        <f>+IF(MID($J$2,1,10)=MID($EE$2,1,10),4,1)</f>
        <v>4</v>
      </c>
    </row>
    <row r="2609" spans="76:135" x14ac:dyDescent="0.25">
      <c r="BX2609" s="78"/>
      <c r="BY2609" s="319">
        <v>117</v>
      </c>
      <c r="CA2609" s="78"/>
      <c r="EE2609" s="76">
        <f>+IF(MID($J$2,1,10)=MID($EE$2,1,10),0,1)</f>
        <v>0</v>
      </c>
    </row>
    <row r="2610" spans="76:135" x14ac:dyDescent="0.25">
      <c r="BX2610" s="78"/>
      <c r="BY2610" s="319">
        <v>172</v>
      </c>
      <c r="CA2610" s="78"/>
      <c r="EE2610" s="76">
        <f>+IF(MID($J$3,1,10)=MID($EE$3,1,10),2,1)</f>
        <v>2</v>
      </c>
    </row>
    <row r="2611" spans="76:135" x14ac:dyDescent="0.25">
      <c r="BX2611" s="78"/>
      <c r="BY2611" s="319">
        <v>153</v>
      </c>
      <c r="CA2611" s="78"/>
      <c r="EE2611" s="76">
        <f>+IF(MID($J$3,1,10)=MID($EE$3,1,10),2,1)</f>
        <v>2</v>
      </c>
    </row>
    <row r="2612" spans="76:135" x14ac:dyDescent="0.25">
      <c r="BX2612" s="78"/>
      <c r="BY2612" s="319">
        <v>472</v>
      </c>
      <c r="CA2612" s="78"/>
      <c r="EE2612" s="76">
        <f>+IF(MID($J$2,1,10)=MID($EE$2,1,10),4,1)</f>
        <v>4</v>
      </c>
    </row>
    <row r="2613" spans="76:135" x14ac:dyDescent="0.25">
      <c r="BX2613" s="78"/>
      <c r="BY2613" s="319">
        <v>199</v>
      </c>
      <c r="CA2613" s="78"/>
      <c r="EE2613" s="76">
        <f>+IF(MID($J$3,1,10)=MID($EE$3,1,10),2,1)</f>
        <v>2</v>
      </c>
    </row>
    <row r="2614" spans="76:135" x14ac:dyDescent="0.25">
      <c r="BX2614" s="78"/>
      <c r="BY2614" s="319">
        <v>464</v>
      </c>
      <c r="CA2614" s="78"/>
      <c r="EE2614" s="76">
        <f>+IF(MID($J$2,1,10)=MID($EE$2,1,10),4,1)</f>
        <v>4</v>
      </c>
    </row>
    <row r="2615" spans="76:135" x14ac:dyDescent="0.25">
      <c r="BX2615" s="78"/>
      <c r="BY2615" s="319">
        <v>163</v>
      </c>
      <c r="CA2615" s="78"/>
      <c r="EE2615" s="76">
        <f>+IF(MID($J$2,1,10)=MID($EE$2,1,10),1,2)</f>
        <v>1</v>
      </c>
    </row>
    <row r="2616" spans="76:135" x14ac:dyDescent="0.25">
      <c r="BX2616" s="78"/>
      <c r="BY2616" s="322">
        <v>7</v>
      </c>
      <c r="CA2616" s="78"/>
      <c r="EE2616" s="76">
        <f>+IF(MID($J$4,1,8)=MID($EE$4,1,8),2,1)</f>
        <v>2</v>
      </c>
    </row>
    <row r="2617" spans="76:135" x14ac:dyDescent="0.25">
      <c r="BX2617" s="78"/>
      <c r="BY2617" s="322">
        <v>10</v>
      </c>
      <c r="CA2617" s="78"/>
      <c r="EE2617" s="76">
        <f>+IF(MID($J$5,1,10)=MID($EE$5,1,10),1,2)</f>
        <v>1</v>
      </c>
    </row>
    <row r="2618" spans="76:135" x14ac:dyDescent="0.25">
      <c r="BX2618" s="78"/>
      <c r="BY2618" s="319">
        <v>364</v>
      </c>
      <c r="CA2618" s="78"/>
      <c r="EE2618" s="76">
        <f>+IF(MID($J$3,1,10)=MID($EE$3,1,10),2,1)</f>
        <v>2</v>
      </c>
    </row>
    <row r="2619" spans="76:135" x14ac:dyDescent="0.25">
      <c r="BX2619" s="78"/>
      <c r="BY2619" s="319">
        <v>6</v>
      </c>
      <c r="CA2619" s="78"/>
      <c r="EE2619" s="76">
        <f>+IF(MID($J$2,1,10)=MID($EE$2,1,10),1,2)</f>
        <v>1</v>
      </c>
    </row>
    <row r="2620" spans="76:135" x14ac:dyDescent="0.25">
      <c r="BX2620" s="78"/>
      <c r="BY2620" s="319">
        <v>1039</v>
      </c>
      <c r="CA2620" s="78"/>
      <c r="EE2620" s="76">
        <f>+IF(MID($J$2,1,10)=MID($EE$2,1,10),0,1)</f>
        <v>0</v>
      </c>
    </row>
    <row r="2621" spans="76:135" x14ac:dyDescent="0.25">
      <c r="BX2621" s="78"/>
      <c r="BY2621" s="319">
        <v>114</v>
      </c>
      <c r="CA2621" s="78"/>
      <c r="EE2621" s="76">
        <f>+IF(MID($J$2,1,10)=MID($EE$2,1,10),0,1)</f>
        <v>0</v>
      </c>
    </row>
    <row r="2622" spans="76:135" x14ac:dyDescent="0.25">
      <c r="BX2622" s="78"/>
      <c r="BY2622" s="319">
        <v>469</v>
      </c>
      <c r="CA2622" s="78"/>
      <c r="EE2622" s="76">
        <f>+IF(MID($J$2,1,10)=MID($EE$2,1,10),0,1)</f>
        <v>0</v>
      </c>
    </row>
    <row r="2623" spans="76:135" x14ac:dyDescent="0.25">
      <c r="BX2623" s="78"/>
      <c r="BY2623" s="319">
        <v>129</v>
      </c>
      <c r="CA2623" s="78"/>
      <c r="EE2623" s="76">
        <f>+IF(MID($J$2,1,10)=MID($EE$2,1,10),1,2)</f>
        <v>1</v>
      </c>
    </row>
    <row r="2624" spans="76:135" x14ac:dyDescent="0.25">
      <c r="BX2624" s="78"/>
      <c r="BY2624" s="319">
        <v>125</v>
      </c>
      <c r="CA2624" s="78"/>
      <c r="EE2624" s="76">
        <f>+IF(MID($J$2,1,10)=MID($EE$2,1,10),1,2)</f>
        <v>1</v>
      </c>
    </row>
    <row r="2625" spans="76:135" x14ac:dyDescent="0.25">
      <c r="BX2625" s="78"/>
      <c r="BY2625" s="319">
        <v>101</v>
      </c>
      <c r="CA2625" s="78"/>
      <c r="EE2625" s="76">
        <f>+IF(MID($J$2,1,10)=MID($EE$2,1,10),3,1)</f>
        <v>3</v>
      </c>
    </row>
    <row r="2626" spans="76:135" x14ac:dyDescent="0.25">
      <c r="BX2626" s="78"/>
      <c r="BY2626" s="319">
        <v>137</v>
      </c>
      <c r="CA2626" s="78"/>
      <c r="EE2626" s="76">
        <f>+IF(MID($J$2,1,10)=MID($EE$2,1,10),3,1)</f>
        <v>3</v>
      </c>
    </row>
    <row r="2627" spans="76:135" x14ac:dyDescent="0.25">
      <c r="BX2627" s="78"/>
      <c r="BY2627" s="319">
        <v>100</v>
      </c>
      <c r="CA2627" s="78"/>
      <c r="EE2627" s="76">
        <f>+IF(MID($J$2,1,10)=MID($EE$2,1,10),3,1)</f>
        <v>3</v>
      </c>
    </row>
    <row r="2628" spans="76:135" x14ac:dyDescent="0.25">
      <c r="BX2628" s="78"/>
      <c r="BY2628" s="319">
        <v>146</v>
      </c>
      <c r="CA2628" s="78"/>
      <c r="EE2628" s="76">
        <f>+IF(MID($J$2,1,10)=MID($EE$2,1,10),0,1)</f>
        <v>0</v>
      </c>
    </row>
    <row r="2629" spans="76:135" x14ac:dyDescent="0.25">
      <c r="BX2629" s="78"/>
      <c r="BY2629" s="319">
        <v>290</v>
      </c>
      <c r="CA2629" s="78"/>
      <c r="EE2629" s="76">
        <f>+IF(MID($J$2,1,10)=MID($EE$2,1,10),1,2)</f>
        <v>1</v>
      </c>
    </row>
    <row r="2630" spans="76:135" x14ac:dyDescent="0.25">
      <c r="BX2630" s="78"/>
      <c r="BY2630" s="319">
        <v>141</v>
      </c>
      <c r="CA2630" s="78"/>
      <c r="EE2630" s="76">
        <f>+IF(MID($J$2,1,10)=MID($EE$2,1,10),3,1)</f>
        <v>3</v>
      </c>
    </row>
    <row r="2631" spans="76:135" x14ac:dyDescent="0.25">
      <c r="BX2631" s="78"/>
      <c r="BY2631" s="319">
        <v>900</v>
      </c>
      <c r="CA2631" s="78"/>
      <c r="EE2631" s="76">
        <f>+IF(MID($J$2,1,10)=MID($EE$2,1,10),3,1)</f>
        <v>3</v>
      </c>
    </row>
    <row r="2632" spans="76:135" x14ac:dyDescent="0.25">
      <c r="BX2632" s="78"/>
      <c r="BY2632" s="319">
        <v>206</v>
      </c>
      <c r="CA2632" s="78"/>
      <c r="EE2632" s="76">
        <f>+IF(MID($J$2,1,10)=MID($EE$2,1,10),0,1)</f>
        <v>0</v>
      </c>
    </row>
    <row r="2633" spans="76:135" x14ac:dyDescent="0.25">
      <c r="BX2633" s="78"/>
      <c r="BY2633" s="319">
        <v>546</v>
      </c>
      <c r="CA2633" s="78"/>
      <c r="EE2633" s="76">
        <f>+IF(MID($J$2,1,10)=MID($EE$2,1,10),3,1)</f>
        <v>3</v>
      </c>
    </row>
    <row r="2634" spans="76:135" x14ac:dyDescent="0.25">
      <c r="BX2634" s="78"/>
      <c r="BY2634" s="319">
        <v>118</v>
      </c>
      <c r="CA2634" s="78"/>
      <c r="EE2634" s="76">
        <f>+IF(MID($J$2,1,10)=MID($EE$2,1,10),3,1)</f>
        <v>3</v>
      </c>
    </row>
    <row r="2635" spans="76:135" x14ac:dyDescent="0.25">
      <c r="BX2635" s="78"/>
      <c r="BY2635" s="319">
        <v>813</v>
      </c>
      <c r="CA2635" s="78"/>
      <c r="EE2635" s="76">
        <f>+IF(MID($J$2,1,10)=MID($EE$2,1,10),3,1)</f>
        <v>3</v>
      </c>
    </row>
    <row r="2636" spans="76:135" x14ac:dyDescent="0.25">
      <c r="BX2636" s="78"/>
      <c r="BY2636" s="319">
        <v>155</v>
      </c>
      <c r="CA2636" s="78"/>
      <c r="EE2636" s="76">
        <f>+IF(MID($J$2,1,10)=MID($EE$2,1,10),1,2)</f>
        <v>1</v>
      </c>
    </row>
    <row r="2637" spans="76:135" x14ac:dyDescent="0.25">
      <c r="BX2637" s="78"/>
      <c r="BY2637" s="319">
        <v>1025</v>
      </c>
      <c r="CA2637" s="78"/>
      <c r="EE2637" s="76">
        <f>+IF(MID($J$3,1,10)=MID($EE$3,1,10),2,1)</f>
        <v>2</v>
      </c>
    </row>
    <row r="2638" spans="76:135" x14ac:dyDescent="0.25">
      <c r="BX2638" s="78"/>
      <c r="BY2638" s="319">
        <v>714</v>
      </c>
      <c r="CA2638" s="78"/>
      <c r="EE2638" s="76">
        <f>+IF(MID($J$2,1,10)=MID($EE$2,1,10),4,1)</f>
        <v>4</v>
      </c>
    </row>
    <row r="2639" spans="76:135" x14ac:dyDescent="0.25">
      <c r="BX2639" s="78"/>
      <c r="BY2639" s="322">
        <v>18</v>
      </c>
      <c r="CA2639" s="78"/>
      <c r="EE2639" s="76">
        <f>+IF(MID($J$2,1,10)=MID($EE$2,1,10),3,1)</f>
        <v>3</v>
      </c>
    </row>
    <row r="2640" spans="76:135" x14ac:dyDescent="0.25">
      <c r="BX2640" s="78"/>
      <c r="BY2640" s="319">
        <v>261</v>
      </c>
      <c r="CA2640" s="78"/>
      <c r="EE2640" s="76">
        <f>+IF(MID($J$3,1,10)=MID($EE$3,1,10),2,1)</f>
        <v>2</v>
      </c>
    </row>
    <row r="2641" spans="76:135" x14ac:dyDescent="0.25">
      <c r="BX2641" s="78"/>
      <c r="BY2641" s="319">
        <v>171</v>
      </c>
      <c r="CA2641" s="78"/>
      <c r="EE2641" s="76">
        <f>+IF(MID($J$3,1,10)=MID($EE$3,1,10),2,1)</f>
        <v>2</v>
      </c>
    </row>
    <row r="2642" spans="76:135" x14ac:dyDescent="0.25">
      <c r="BX2642" s="78"/>
      <c r="BY2642" s="319">
        <v>713</v>
      </c>
      <c r="CA2642" s="78"/>
      <c r="EE2642" s="76">
        <f>+IF(MID($J$2,1,10)=MID($EE$2,1,10),4,1)</f>
        <v>4</v>
      </c>
    </row>
    <row r="2643" spans="76:135" x14ac:dyDescent="0.25">
      <c r="BX2643" s="78"/>
      <c r="BY2643" s="319">
        <v>155</v>
      </c>
      <c r="CA2643" s="78"/>
      <c r="EE2643" s="76">
        <f>+IF(MID($J$3,1,10)=MID($EE$3,1,10),2,1)</f>
        <v>2</v>
      </c>
    </row>
    <row r="2644" spans="76:135" x14ac:dyDescent="0.25">
      <c r="BX2644" s="78"/>
      <c r="BY2644" s="319">
        <v>984</v>
      </c>
      <c r="CA2644" s="78"/>
      <c r="EE2644" s="76">
        <f>+IF(MID($J$2,1,10)=MID($EE$2,1,10),4,1)</f>
        <v>4</v>
      </c>
    </row>
    <row r="2645" spans="76:135" x14ac:dyDescent="0.25">
      <c r="BX2645" s="78"/>
      <c r="BY2645" s="319">
        <v>118</v>
      </c>
      <c r="CA2645" s="78"/>
      <c r="EE2645" s="76">
        <f>+IF(MID($J$2,1,10)=MID($EE$2,1,10),1,2)</f>
        <v>1</v>
      </c>
    </row>
    <row r="2646" spans="76:135" x14ac:dyDescent="0.25">
      <c r="BX2646" s="78"/>
      <c r="BY2646" s="319">
        <v>333</v>
      </c>
      <c r="CA2646" s="78"/>
      <c r="EE2646" s="76">
        <f>+IF(MID($J$2,1,10)=MID($EE$2,1,10),3,1)</f>
        <v>3</v>
      </c>
    </row>
    <row r="2647" spans="76:135" x14ac:dyDescent="0.25">
      <c r="BX2647" s="78"/>
      <c r="BY2647" s="319">
        <v>176</v>
      </c>
      <c r="CA2647" s="78"/>
      <c r="EE2647" s="76">
        <f>+IF(MID($J$2,1,10)=MID($EE$2,1,10),1,2)</f>
        <v>1</v>
      </c>
    </row>
    <row r="2648" spans="76:135" x14ac:dyDescent="0.25">
      <c r="BX2648" s="78"/>
      <c r="BY2648" s="319">
        <v>1026</v>
      </c>
      <c r="CA2648" s="78"/>
      <c r="EE2648" s="76">
        <f>+IF(MID($J$3,1,10)=MID($EE$3,1,10),2,1)</f>
        <v>2</v>
      </c>
    </row>
    <row r="2649" spans="76:135" x14ac:dyDescent="0.25">
      <c r="BX2649" s="78"/>
      <c r="BY2649" s="319">
        <v>169</v>
      </c>
      <c r="CA2649" s="78"/>
      <c r="EE2649" s="76">
        <f>+IF(MID($J$2,1,10)=MID($EE$2,1,10),1,2)</f>
        <v>1</v>
      </c>
    </row>
    <row r="2650" spans="76:135" x14ac:dyDescent="0.25">
      <c r="BX2650" s="78"/>
      <c r="BY2650" s="319">
        <v>142</v>
      </c>
      <c r="CA2650" s="78"/>
      <c r="EE2650" s="76">
        <f>+IF(MID($J$2,1,10)=MID($EE$2,1,10),0,1)</f>
        <v>0</v>
      </c>
    </row>
    <row r="2651" spans="76:135" x14ac:dyDescent="0.25">
      <c r="BX2651" s="78"/>
      <c r="BY2651" s="319">
        <v>130</v>
      </c>
      <c r="CA2651" s="78"/>
      <c r="EE2651" s="76">
        <f>+IF(MID($J$2,1,10)=MID($EE$2,1,10),0,1)</f>
        <v>0</v>
      </c>
    </row>
    <row r="2652" spans="76:135" x14ac:dyDescent="0.25">
      <c r="BX2652" s="78"/>
      <c r="BY2652" s="319">
        <v>772</v>
      </c>
      <c r="CA2652" s="78"/>
      <c r="EE2652" s="76">
        <f>+IF(MID($J$2,1,10)=MID($EE$2,1,10),0,1)</f>
        <v>0</v>
      </c>
    </row>
    <row r="2653" spans="76:135" x14ac:dyDescent="0.25">
      <c r="BX2653" s="78"/>
      <c r="BY2653" s="319">
        <v>104</v>
      </c>
      <c r="CA2653" s="78"/>
      <c r="EE2653" s="76">
        <f>+IF(MID($J$2,1,10)=MID($EE$2,1,10),1,2)</f>
        <v>1</v>
      </c>
    </row>
    <row r="2654" spans="76:135" x14ac:dyDescent="0.25">
      <c r="BX2654" s="78"/>
      <c r="BY2654" s="319">
        <v>615</v>
      </c>
      <c r="CA2654" s="78"/>
      <c r="EE2654" s="76">
        <f>+IF(MID($J$2,1,10)=MID($EE$2,1,10),1,2)</f>
        <v>1</v>
      </c>
    </row>
    <row r="2655" spans="76:135" x14ac:dyDescent="0.25">
      <c r="BX2655" s="78"/>
      <c r="BY2655" s="319">
        <v>111</v>
      </c>
      <c r="CA2655" s="78"/>
      <c r="EE2655" s="76">
        <f>+IF(MID($J$2,1,10)=MID($EE$2,1,10),3,1)</f>
        <v>3</v>
      </c>
    </row>
    <row r="2656" spans="76:135" x14ac:dyDescent="0.25">
      <c r="BX2656" s="79"/>
      <c r="BY2656" s="322">
        <v>10</v>
      </c>
      <c r="BZ2656" s="323"/>
      <c r="CA2656" s="79"/>
      <c r="EE2656" s="76">
        <f>+IF(MID($J$4,1,8)=MID($EE$4,1,8),0,1)</f>
        <v>0</v>
      </c>
    </row>
    <row r="2657" spans="76:135" x14ac:dyDescent="0.25">
      <c r="BX2657" s="78"/>
      <c r="BY2657" s="319">
        <v>181</v>
      </c>
      <c r="CA2657" s="78"/>
      <c r="EE2657" s="76">
        <f>+IF(MID($J$5,1,10)=MID($EE$5,1,10),0,1)</f>
        <v>0</v>
      </c>
    </row>
    <row r="2658" spans="76:135" x14ac:dyDescent="0.25">
      <c r="BX2658" s="78"/>
      <c r="BY2658" s="325">
        <v>15</v>
      </c>
      <c r="CA2658" s="78"/>
      <c r="EE2658" s="76">
        <f>+IF(MID($J$6,1,5)=MID($EE$11,1,5),0,1)</f>
        <v>0</v>
      </c>
    </row>
    <row r="2659" spans="76:135" x14ac:dyDescent="0.25">
      <c r="BX2659" s="78"/>
      <c r="BY2659" s="322">
        <v>28</v>
      </c>
      <c r="CA2659" s="78"/>
      <c r="EE2659" s="76">
        <f>+IF(MID($J$2,1,10)=MID($EE$2,1,10),0,1)</f>
        <v>0</v>
      </c>
    </row>
    <row r="2660" spans="76:135" x14ac:dyDescent="0.25">
      <c r="BX2660" s="78"/>
      <c r="BY2660" s="319">
        <v>118</v>
      </c>
      <c r="CA2660" s="78"/>
      <c r="EE2660" s="76">
        <f>+IF(MID($J$2,1,10)=MID($EE$2,1,10),3,1)</f>
        <v>3</v>
      </c>
    </row>
    <row r="2661" spans="76:135" x14ac:dyDescent="0.25">
      <c r="BX2661" s="78"/>
      <c r="BY2661" s="319">
        <v>99</v>
      </c>
      <c r="CA2661" s="78"/>
      <c r="EE2661" s="76">
        <f>+IF(MID($J$2,1,10)=MID($EE$2,1,10),3,1)</f>
        <v>3</v>
      </c>
    </row>
    <row r="2662" spans="76:135" x14ac:dyDescent="0.25">
      <c r="BX2662" s="78"/>
      <c r="BY2662" s="319">
        <v>153</v>
      </c>
      <c r="CA2662" s="78"/>
      <c r="EE2662" s="76">
        <f>+IF(MID($J$2,1,10)=MID($EE$2,1,10),0,1)</f>
        <v>0</v>
      </c>
    </row>
    <row r="2663" spans="76:135" x14ac:dyDescent="0.25">
      <c r="BX2663" s="78"/>
      <c r="BY2663" s="319">
        <v>128</v>
      </c>
      <c r="CA2663" s="78"/>
      <c r="EE2663" s="76">
        <f>+IF(MID($J$2,1,10)=MID($EE$2,1,10),3,1)</f>
        <v>3</v>
      </c>
    </row>
    <row r="2664" spans="76:135" x14ac:dyDescent="0.25">
      <c r="BX2664" s="78"/>
      <c r="BY2664" s="319">
        <v>152</v>
      </c>
      <c r="CA2664" s="78"/>
      <c r="EE2664" s="76">
        <f>+IF(MID($J$2,1,10)=MID($EE$2,1,10),3,1)</f>
        <v>3</v>
      </c>
    </row>
    <row r="2665" spans="76:135" x14ac:dyDescent="0.25">
      <c r="BX2665" s="78"/>
      <c r="BY2665" s="319">
        <v>113</v>
      </c>
      <c r="CA2665" s="78"/>
      <c r="EE2665" s="76">
        <f>+IF(MID($J$2,1,10)=MID($EE$2,1,10),3,1)</f>
        <v>3</v>
      </c>
    </row>
    <row r="2666" spans="76:135" x14ac:dyDescent="0.25">
      <c r="BX2666" s="78"/>
      <c r="BY2666" s="319">
        <v>105</v>
      </c>
      <c r="CA2666" s="78"/>
      <c r="EE2666" s="76">
        <f>+IF(MID($J$2,1,10)=MID($EE$2,1,10),1,2)</f>
        <v>1</v>
      </c>
    </row>
    <row r="2667" spans="76:135" x14ac:dyDescent="0.25">
      <c r="BX2667" s="78"/>
      <c r="BY2667" s="319">
        <v>163</v>
      </c>
      <c r="CA2667" s="78"/>
      <c r="EE2667" s="76">
        <f>+IF(MID($J$2,1,10)=MID($EE$2,1,10),3,1)</f>
        <v>3</v>
      </c>
    </row>
    <row r="2668" spans="76:135" x14ac:dyDescent="0.25">
      <c r="BX2668" s="78"/>
      <c r="BY2668" s="319">
        <v>122</v>
      </c>
      <c r="CA2668" s="78"/>
      <c r="EE2668" s="76">
        <f>+IF(MID($J$2,1,10)=MID($EE$2,1,10),0,1)</f>
        <v>0</v>
      </c>
    </row>
    <row r="2669" spans="76:135" x14ac:dyDescent="0.25">
      <c r="BX2669" s="78"/>
      <c r="BY2669" s="319">
        <v>120</v>
      </c>
      <c r="CA2669" s="78"/>
      <c r="EE2669" s="76">
        <f>+IF(MID($J$2,1,10)=MID($EE$2,1,10),3,1)</f>
        <v>3</v>
      </c>
    </row>
    <row r="2670" spans="76:135" x14ac:dyDescent="0.25">
      <c r="BX2670" s="78"/>
      <c r="BY2670" s="319">
        <v>133</v>
      </c>
      <c r="CA2670" s="78"/>
      <c r="EE2670" s="76">
        <f>+IF(MID($J$2,1,10)=MID($EE$2,1,10),3,1)</f>
        <v>3</v>
      </c>
    </row>
    <row r="2671" spans="76:135" x14ac:dyDescent="0.25">
      <c r="BX2671" s="78"/>
      <c r="BY2671" s="319">
        <v>113</v>
      </c>
      <c r="CA2671" s="78"/>
      <c r="EE2671" s="76">
        <f>+IF(MID($J$2,1,10)=MID($EE$2,1,10),3,1)</f>
        <v>3</v>
      </c>
    </row>
    <row r="2672" spans="76:135" x14ac:dyDescent="0.25">
      <c r="BX2672" s="78"/>
      <c r="BY2672" s="319">
        <v>113</v>
      </c>
      <c r="CA2672" s="78"/>
      <c r="EE2672" s="76">
        <f>+IF(MID($J$3,1,10)=MID($EE$3,1,10),2,1)</f>
        <v>2</v>
      </c>
    </row>
    <row r="2673" spans="76:135" x14ac:dyDescent="0.25">
      <c r="BX2673" s="78"/>
      <c r="BY2673" s="319">
        <v>28</v>
      </c>
      <c r="CA2673" s="78"/>
      <c r="EE2673" s="76">
        <f>+IF(MID($J$2,1,10)=MID($EE$2,1,10),4,1)</f>
        <v>4</v>
      </c>
    </row>
    <row r="2674" spans="76:135" x14ac:dyDescent="0.25">
      <c r="BX2674" s="78"/>
      <c r="BY2674" s="319">
        <v>122</v>
      </c>
      <c r="CA2674" s="78"/>
      <c r="EE2674" s="76">
        <f>+IF(MID($J$2,1,10)=MID($EE$2,1,10),0,1)</f>
        <v>0</v>
      </c>
    </row>
    <row r="2675" spans="76:135" x14ac:dyDescent="0.25">
      <c r="BX2675" s="78"/>
      <c r="BY2675" s="319">
        <v>106</v>
      </c>
      <c r="CA2675" s="78"/>
      <c r="EE2675" s="76">
        <f>+IF(MID($J$3,1,10)=MID($EE$3,1,10),2,1)</f>
        <v>2</v>
      </c>
    </row>
    <row r="2676" spans="76:135" x14ac:dyDescent="0.25">
      <c r="BX2676" s="78"/>
      <c r="BY2676" s="319">
        <v>187</v>
      </c>
      <c r="CA2676" s="78"/>
      <c r="EE2676" s="76">
        <f>+IF(MID($J$3,1,10)=MID($EE$3,1,10),2,1)</f>
        <v>2</v>
      </c>
    </row>
    <row r="2677" spans="76:135" x14ac:dyDescent="0.25">
      <c r="BX2677" s="78"/>
      <c r="BY2677" s="319">
        <v>162</v>
      </c>
      <c r="CA2677" s="78"/>
      <c r="EE2677" s="76">
        <f>+IF(MID($J$2,1,10)=MID($EE$2,1,10),4,1)</f>
        <v>4</v>
      </c>
    </row>
    <row r="2678" spans="76:135" x14ac:dyDescent="0.25">
      <c r="BX2678" s="78"/>
      <c r="BY2678" s="319">
        <v>158</v>
      </c>
      <c r="CA2678" s="78"/>
      <c r="EE2678" s="76">
        <f>+IF(MID($J$3,1,10)=MID($EE$3,1,10),2,1)</f>
        <v>2</v>
      </c>
    </row>
    <row r="2679" spans="76:135" x14ac:dyDescent="0.25">
      <c r="BX2679" s="78"/>
      <c r="BY2679" s="319">
        <v>144</v>
      </c>
      <c r="CA2679" s="78"/>
      <c r="EE2679" s="76">
        <f>+IF(MID($J$2,1,10)=MID($EE$2,1,10),4,1)</f>
        <v>4</v>
      </c>
    </row>
    <row r="2680" spans="76:135" x14ac:dyDescent="0.25">
      <c r="BX2680" s="78"/>
      <c r="BY2680" s="319">
        <v>109</v>
      </c>
      <c r="CA2680" s="78"/>
      <c r="EE2680" s="76">
        <f>+IF(MID($J$2,1,10)=MID($EE$2,1,10),1,2)</f>
        <v>1</v>
      </c>
    </row>
    <row r="2681" spans="76:135" x14ac:dyDescent="0.25">
      <c r="BX2681" s="79"/>
      <c r="BY2681" s="322">
        <v>20</v>
      </c>
      <c r="BZ2681" s="323"/>
      <c r="CA2681" s="79"/>
      <c r="EE2681" s="76">
        <f>+IF(MID($J$4,1,8)=MID($EE$4,1,8),0,1)</f>
        <v>0</v>
      </c>
    </row>
    <row r="2682" spans="76:135" x14ac:dyDescent="0.25">
      <c r="BX2682" s="78"/>
      <c r="BY2682" s="322">
        <v>10</v>
      </c>
      <c r="CA2682" s="78"/>
      <c r="EE2682" s="76">
        <f>+IF(MID($J$5,1,10)=MID($EE$5,1,10),1,2)</f>
        <v>1</v>
      </c>
    </row>
    <row r="2683" spans="76:135" x14ac:dyDescent="0.25">
      <c r="BX2683" s="78"/>
      <c r="BY2683" s="319">
        <v>114</v>
      </c>
      <c r="CA2683" s="78"/>
      <c r="EE2683" s="76">
        <f>+IF(MID($J$3,1,10)=MID($EE$3,1,10),2,1)</f>
        <v>2</v>
      </c>
    </row>
    <row r="2684" spans="76:135" x14ac:dyDescent="0.25">
      <c r="BX2684" s="78"/>
      <c r="BY2684" s="319">
        <v>114</v>
      </c>
      <c r="CA2684" s="78"/>
      <c r="EE2684" s="76">
        <f>+IF(MID($J$2,1,10)=MID($EE$2,1,10),1,2)</f>
        <v>1</v>
      </c>
    </row>
    <row r="2685" spans="76:135" x14ac:dyDescent="0.25">
      <c r="BX2685" s="78"/>
      <c r="BY2685" s="319">
        <v>208</v>
      </c>
      <c r="CA2685" s="78"/>
      <c r="EE2685" s="76">
        <f>+IF(MID($J$2,1,10)=MID($EE$2,1,10),0,1)</f>
        <v>0</v>
      </c>
    </row>
    <row r="2686" spans="76:135" x14ac:dyDescent="0.25">
      <c r="BX2686" s="78"/>
      <c r="BY2686" s="319">
        <v>152</v>
      </c>
      <c r="CA2686" s="78"/>
      <c r="EE2686" s="76">
        <f>+IF(MID($J$2,1,10)=MID($EE$2,1,10),0,1)</f>
        <v>0</v>
      </c>
    </row>
    <row r="2687" spans="76:135" x14ac:dyDescent="0.25">
      <c r="BX2687" s="78"/>
      <c r="BY2687" s="319">
        <v>190</v>
      </c>
      <c r="CA2687" s="78"/>
      <c r="EE2687" s="76">
        <f>+IF(MID($J$2,1,10)=MID($EE$2,1,10),0,1)</f>
        <v>0</v>
      </c>
    </row>
    <row r="2688" spans="76:135" x14ac:dyDescent="0.25">
      <c r="BX2688" s="78"/>
      <c r="BY2688" s="319">
        <v>133</v>
      </c>
      <c r="CA2688" s="78"/>
      <c r="EE2688" s="76">
        <f>+IF(MID($J$2,1,10)=MID($EE$2,1,10),1,2)</f>
        <v>1</v>
      </c>
    </row>
    <row r="2689" spans="76:135" x14ac:dyDescent="0.25">
      <c r="BX2689" s="78"/>
      <c r="BY2689" s="319">
        <v>201</v>
      </c>
      <c r="CA2689" s="78"/>
      <c r="EE2689" s="76">
        <f>+IF(MID($J$2,1,10)=MID($EE$2,1,10),1,2)</f>
        <v>1</v>
      </c>
    </row>
    <row r="2690" spans="76:135" x14ac:dyDescent="0.25">
      <c r="BX2690" s="78"/>
      <c r="BY2690" s="319">
        <v>135</v>
      </c>
      <c r="CA2690" s="78"/>
      <c r="EE2690" s="76">
        <f>+IF(MID($J$2,1,10)=MID($EE$2,1,10),3,1)</f>
        <v>3</v>
      </c>
    </row>
    <row r="2691" spans="76:135" x14ac:dyDescent="0.25">
      <c r="BX2691" s="78"/>
      <c r="BY2691" s="319">
        <v>124</v>
      </c>
      <c r="CA2691" s="78"/>
      <c r="EE2691" s="76">
        <f>+IF(MID($J$2,1,10)=MID($EE$2,1,10),3,1)</f>
        <v>3</v>
      </c>
    </row>
    <row r="2692" spans="76:135" x14ac:dyDescent="0.25">
      <c r="BX2692" s="78"/>
      <c r="BY2692" s="319">
        <v>130</v>
      </c>
      <c r="CA2692" s="78"/>
      <c r="EE2692" s="76">
        <f>+IF(MID($J$2,1,10)=MID($EE$2,1,10),3,1)</f>
        <v>3</v>
      </c>
    </row>
    <row r="2693" spans="76:135" x14ac:dyDescent="0.25">
      <c r="BX2693" s="78"/>
      <c r="BY2693" s="319">
        <v>2</v>
      </c>
      <c r="CA2693" s="78"/>
      <c r="EE2693" s="76">
        <f>+IF(MID($J$2,1,10)=MID($EE$2,1,10),0,1)</f>
        <v>0</v>
      </c>
    </row>
    <row r="2694" spans="76:135" x14ac:dyDescent="0.25">
      <c r="BX2694" s="78"/>
      <c r="BY2694" s="319">
        <v>117</v>
      </c>
      <c r="CA2694" s="78"/>
      <c r="EE2694" s="76">
        <f>+IF(MID($J$2,1,10)=MID($EE$2,1,10),1,2)</f>
        <v>1</v>
      </c>
    </row>
    <row r="2695" spans="76:135" x14ac:dyDescent="0.25">
      <c r="BX2695" s="78"/>
      <c r="BY2695" s="319">
        <v>123</v>
      </c>
      <c r="CA2695" s="78"/>
      <c r="EE2695" s="76">
        <f>+IF(MID($J$2,1,10)=MID($EE$2,1,10),3,1)</f>
        <v>3</v>
      </c>
    </row>
    <row r="2696" spans="76:135" x14ac:dyDescent="0.25">
      <c r="BX2696" s="78"/>
      <c r="BY2696" s="319">
        <v>837</v>
      </c>
      <c r="CA2696" s="78"/>
      <c r="EE2696" s="76">
        <f>+IF(MID($J$2,1,10)=MID($EE$2,1,10),3,1)</f>
        <v>3</v>
      </c>
    </row>
    <row r="2697" spans="76:135" x14ac:dyDescent="0.25">
      <c r="BX2697" s="78"/>
      <c r="BY2697" s="319">
        <v>103</v>
      </c>
      <c r="CA2697" s="78"/>
      <c r="EE2697" s="76">
        <f>+IF(MID($J$2,1,10)=MID($EE$2,1,10),0,1)</f>
        <v>0</v>
      </c>
    </row>
    <row r="2698" spans="76:135" x14ac:dyDescent="0.25">
      <c r="BX2698" s="78"/>
      <c r="BY2698" s="319">
        <v>987</v>
      </c>
      <c r="CA2698" s="78"/>
      <c r="EE2698" s="76">
        <f>+IF(MID($J$2,1,10)=MID($EE$2,1,10),3,1)</f>
        <v>3</v>
      </c>
    </row>
    <row r="2699" spans="76:135" x14ac:dyDescent="0.25">
      <c r="BX2699" s="78"/>
      <c r="BY2699" s="319">
        <v>110</v>
      </c>
      <c r="CA2699" s="78"/>
      <c r="EE2699" s="76">
        <f>+IF(MID($J$2,1,10)=MID($EE$2,1,10),3,1)</f>
        <v>3</v>
      </c>
    </row>
    <row r="2700" spans="76:135" x14ac:dyDescent="0.25">
      <c r="BX2700" s="78"/>
      <c r="BY2700" s="319">
        <v>499</v>
      </c>
      <c r="CA2700" s="78"/>
      <c r="EE2700" s="76">
        <f>+IF(MID($J$2,1,10)=MID($EE$2,1,10),3,1)</f>
        <v>3</v>
      </c>
    </row>
    <row r="2701" spans="76:135" x14ac:dyDescent="0.25">
      <c r="BX2701" s="78"/>
      <c r="BY2701" s="319">
        <v>137</v>
      </c>
      <c r="CA2701" s="78"/>
      <c r="EE2701" s="76">
        <f>+IF(MID($J$2,1,10)=MID($EE$2,1,10),1,2)</f>
        <v>1</v>
      </c>
    </row>
    <row r="2702" spans="76:135" x14ac:dyDescent="0.25">
      <c r="BX2702" s="78"/>
      <c r="BY2702" s="319">
        <v>504</v>
      </c>
      <c r="CA2702" s="78"/>
      <c r="EE2702" s="76">
        <f>+IF(MID($J$3,1,10)=MID($EE$3,1,10),2,1)</f>
        <v>2</v>
      </c>
    </row>
    <row r="2703" spans="76:135" x14ac:dyDescent="0.25">
      <c r="BX2703" s="78"/>
      <c r="BY2703" s="319">
        <v>111</v>
      </c>
      <c r="CA2703" s="78"/>
      <c r="EE2703" s="76">
        <f>+IF(MID($J$2,1,10)=MID($EE$2,1,10),4,1)</f>
        <v>4</v>
      </c>
    </row>
    <row r="2704" spans="76:135" x14ac:dyDescent="0.25">
      <c r="BX2704" s="78"/>
      <c r="BY2704" s="319">
        <v>999</v>
      </c>
      <c r="CA2704" s="78"/>
      <c r="EE2704" s="76">
        <f>+IF(MID($J$2,1,10)=MID($EE$2,1,10),0,1)</f>
        <v>0</v>
      </c>
    </row>
    <row r="2705" spans="76:135" x14ac:dyDescent="0.25">
      <c r="BX2705" s="78"/>
      <c r="BY2705" s="319">
        <v>158</v>
      </c>
      <c r="CA2705" s="78"/>
      <c r="EE2705" s="76">
        <f>+IF(MID($J$3,1,10)=MID($EE$3,1,10),2,1)</f>
        <v>2</v>
      </c>
    </row>
    <row r="2706" spans="76:135" x14ac:dyDescent="0.25">
      <c r="BX2706" s="78"/>
      <c r="BY2706" s="319">
        <v>864</v>
      </c>
      <c r="CA2706" s="78"/>
      <c r="EE2706" s="76">
        <f>+IF(MID($J$3,1,10)=MID($EE$3,1,10),2,1)</f>
        <v>2</v>
      </c>
    </row>
    <row r="2707" spans="76:135" x14ac:dyDescent="0.25">
      <c r="BX2707" s="78"/>
      <c r="BY2707" s="319">
        <v>163</v>
      </c>
      <c r="CA2707" s="78"/>
      <c r="EE2707" s="76">
        <f>+IF(MID($J$2,1,10)=MID($EE$2,1,10),4,1)</f>
        <v>4</v>
      </c>
    </row>
    <row r="2708" spans="76:135" x14ac:dyDescent="0.25">
      <c r="BX2708" s="78"/>
      <c r="BY2708" s="319">
        <v>598</v>
      </c>
      <c r="CA2708" s="78"/>
      <c r="EE2708" s="76">
        <f>+IF(MID($J$3,1,10)=MID($EE$3,1,10),2,1)</f>
        <v>2</v>
      </c>
    </row>
    <row r="2709" spans="76:135" x14ac:dyDescent="0.25">
      <c r="BX2709" s="78"/>
      <c r="BY2709" s="319">
        <v>154</v>
      </c>
      <c r="CA2709" s="78"/>
      <c r="EE2709" s="76">
        <f>+IF(MID($J$2,1,10)=MID($EE$2,1,10),4,1)</f>
        <v>4</v>
      </c>
    </row>
    <row r="2710" spans="76:135" x14ac:dyDescent="0.25">
      <c r="BX2710" s="78"/>
      <c r="BY2710" s="319">
        <v>193</v>
      </c>
      <c r="CA2710" s="78"/>
      <c r="EE2710" s="76">
        <f>+IF(MID($J$2,1,10)=MID($EE$2,1,10),1,2)</f>
        <v>1</v>
      </c>
    </row>
    <row r="2711" spans="76:135" x14ac:dyDescent="0.25">
      <c r="BX2711" s="78"/>
      <c r="BY2711" s="319">
        <v>964</v>
      </c>
      <c r="CA2711" s="78"/>
      <c r="EE2711" s="76">
        <f>+IF(MID($J$2,1,10)=MID($EE$2,1,10),3,1)</f>
        <v>3</v>
      </c>
    </row>
    <row r="2712" spans="76:135" x14ac:dyDescent="0.25">
      <c r="BX2712" s="78"/>
      <c r="BY2712" s="319">
        <v>117</v>
      </c>
      <c r="CA2712" s="78"/>
      <c r="EE2712" s="76">
        <f>+IF(MID($J$2,1,10)=MID($EE$2,1,10),1,2)</f>
        <v>1</v>
      </c>
    </row>
    <row r="2713" spans="76:135" x14ac:dyDescent="0.25">
      <c r="BX2713" s="78"/>
      <c r="BY2713" s="319">
        <v>603</v>
      </c>
      <c r="CA2713" s="78"/>
      <c r="EE2713" s="76">
        <f>+IF(MID($J$3,1,10)=MID($EE$3,1,10),2,1)</f>
        <v>2</v>
      </c>
    </row>
    <row r="2714" spans="76:135" x14ac:dyDescent="0.25">
      <c r="BX2714" s="78"/>
      <c r="BY2714" s="319">
        <v>166</v>
      </c>
      <c r="CA2714" s="78"/>
      <c r="EE2714" s="76">
        <f>+IF(MID($J$2,1,10)=MID($EE$2,1,10),1,2)</f>
        <v>1</v>
      </c>
    </row>
    <row r="2715" spans="76:135" x14ac:dyDescent="0.25">
      <c r="BX2715" s="78"/>
      <c r="BY2715" s="319">
        <v>1074</v>
      </c>
      <c r="CA2715" s="78"/>
      <c r="EE2715" s="76">
        <f>+IF(MID($J$2,1,10)=MID($EE$2,1,10),0,1)</f>
        <v>0</v>
      </c>
    </row>
    <row r="2716" spans="76:135" x14ac:dyDescent="0.25">
      <c r="BX2716" s="78"/>
      <c r="BY2716" s="319">
        <v>120</v>
      </c>
      <c r="CA2716" s="78"/>
      <c r="EE2716" s="76">
        <f>+IF(MID($J$2,1,10)=MID($EE$2,1,10),0,1)</f>
        <v>0</v>
      </c>
    </row>
    <row r="2717" spans="76:135" x14ac:dyDescent="0.25">
      <c r="BX2717" s="78"/>
      <c r="BY2717" s="319">
        <v>106</v>
      </c>
      <c r="CA2717" s="78"/>
      <c r="EE2717" s="76">
        <f>+IF(MID($J$3,1,10)=MID($EE$3,1,10),2,1)</f>
        <v>2</v>
      </c>
    </row>
    <row r="2718" spans="76:135" x14ac:dyDescent="0.25">
      <c r="BX2718" s="78"/>
      <c r="BY2718" s="319">
        <v>176</v>
      </c>
      <c r="CA2718" s="78"/>
      <c r="EE2718" s="76">
        <f>+IF(MID($J$2,1,10)=MID($EE$2,1,10),4,1)</f>
        <v>4</v>
      </c>
    </row>
    <row r="2719" spans="76:135" x14ac:dyDescent="0.25">
      <c r="BX2719" s="78"/>
      <c r="BY2719" s="319">
        <v>170</v>
      </c>
      <c r="CA2719" s="78"/>
      <c r="EE2719" s="76">
        <f>+IF(MID($J$2,1,10)=MID($EE$2,1,10),0,1)</f>
        <v>0</v>
      </c>
    </row>
    <row r="2720" spans="76:135" x14ac:dyDescent="0.25">
      <c r="BX2720" s="78"/>
      <c r="BY2720" s="319">
        <v>196</v>
      </c>
      <c r="CA2720" s="78"/>
      <c r="EE2720" s="76">
        <f>+IF(MID($J$3,1,10)=MID($EE$3,1,10),2,1)</f>
        <v>2</v>
      </c>
    </row>
    <row r="2721" spans="76:135" x14ac:dyDescent="0.25">
      <c r="BX2721" s="78"/>
      <c r="BY2721" s="319">
        <v>156</v>
      </c>
      <c r="CA2721" s="78"/>
      <c r="EE2721" s="76">
        <f>+IF(MID($J$3,1,10)=MID($EE$3,1,10),2,1)</f>
        <v>2</v>
      </c>
    </row>
    <row r="2722" spans="76:135" x14ac:dyDescent="0.25">
      <c r="BX2722" s="78"/>
      <c r="BY2722" s="319">
        <v>194</v>
      </c>
      <c r="CA2722" s="78"/>
      <c r="EE2722" s="76">
        <f>+IF(MID($J$2,1,10)=MID($EE$2,1,10),4,1)</f>
        <v>4</v>
      </c>
    </row>
    <row r="2723" spans="76:135" x14ac:dyDescent="0.25">
      <c r="BX2723" s="78"/>
      <c r="BY2723" s="319">
        <v>940</v>
      </c>
      <c r="CA2723" s="78"/>
      <c r="EE2723" s="76">
        <f>+IF(MID($J$3,1,10)=MID($EE$3,1,10),2,1)</f>
        <v>2</v>
      </c>
    </row>
    <row r="2724" spans="76:135" x14ac:dyDescent="0.25">
      <c r="BX2724" s="78"/>
      <c r="BY2724" s="319">
        <v>127</v>
      </c>
      <c r="CA2724" s="78"/>
      <c r="EE2724" s="76">
        <f>+IF(MID($J$2,1,10)=MID($EE$2,1,10),4,1)</f>
        <v>4</v>
      </c>
    </row>
    <row r="2725" spans="76:135" x14ac:dyDescent="0.25">
      <c r="BX2725" s="78"/>
      <c r="BY2725" s="319">
        <v>630</v>
      </c>
      <c r="CA2725" s="78"/>
      <c r="EE2725" s="76">
        <f>+IF(MID($J$2,1,10)=MID($EE$2,1,10),1,2)</f>
        <v>1</v>
      </c>
    </row>
    <row r="2726" spans="76:135" x14ac:dyDescent="0.25">
      <c r="BX2726" s="78"/>
      <c r="BY2726" s="319">
        <v>206</v>
      </c>
      <c r="CA2726" s="78"/>
      <c r="EE2726" s="76">
        <f>+IF(MID($J$2,1,10)=MID($EE$2,1,10),3,1)</f>
        <v>3</v>
      </c>
    </row>
    <row r="2727" spans="76:135" x14ac:dyDescent="0.25">
      <c r="BX2727" s="78"/>
      <c r="BY2727" s="319">
        <v>410</v>
      </c>
      <c r="CA2727" s="78"/>
      <c r="EE2727" s="76">
        <f>+IF(MID($J$2,1,10)=MID($EE$2,1,10),1,2)</f>
        <v>1</v>
      </c>
    </row>
    <row r="2728" spans="76:135" x14ac:dyDescent="0.25">
      <c r="BX2728" s="78"/>
      <c r="BY2728" s="319">
        <v>159</v>
      </c>
      <c r="CA2728" s="78"/>
      <c r="EE2728" s="76">
        <f>+IF(MID($J$3,1,10)=MID($EE$3,1,10),2,1)</f>
        <v>2</v>
      </c>
    </row>
    <row r="2729" spans="76:135" x14ac:dyDescent="0.25">
      <c r="BX2729" s="78"/>
      <c r="BY2729" s="319">
        <v>273</v>
      </c>
      <c r="CA2729" s="78"/>
      <c r="EE2729" s="76">
        <f>+IF(MID($J$2,1,10)=MID($EE$2,1,10),1,2)</f>
        <v>1</v>
      </c>
    </row>
    <row r="2730" spans="76:135" x14ac:dyDescent="0.25">
      <c r="BX2730" s="78"/>
      <c r="BY2730" s="319">
        <v>152</v>
      </c>
      <c r="CA2730" s="78"/>
      <c r="EE2730" s="76">
        <f>+IF(MID($J$2,1,10)=MID($EE$2,1,10),0,1)</f>
        <v>0</v>
      </c>
    </row>
    <row r="2731" spans="76:135" x14ac:dyDescent="0.25">
      <c r="BX2731" s="78"/>
      <c r="BY2731" s="319">
        <v>316</v>
      </c>
      <c r="CA2731" s="78"/>
      <c r="EE2731" s="76">
        <f>+IF(MID($J$2,1,10)=MID($EE$2,1,10),0,1)</f>
        <v>0</v>
      </c>
    </row>
    <row r="2732" spans="76:135" x14ac:dyDescent="0.25">
      <c r="BX2732" s="78"/>
      <c r="BY2732" s="319">
        <v>167</v>
      </c>
      <c r="CA2732" s="78"/>
      <c r="EE2732" s="76">
        <f>+IF(MID($J$2,1,10)=MID($EE$2,1,10),0,1)</f>
        <v>0</v>
      </c>
    </row>
    <row r="2733" spans="76:135" x14ac:dyDescent="0.25">
      <c r="BX2733" s="78"/>
      <c r="BY2733" s="319">
        <v>535</v>
      </c>
      <c r="CA2733" s="78"/>
      <c r="EE2733" s="76">
        <f>+IF(MID($J$2,1,10)=MID($EE$2,1,10),1,2)</f>
        <v>1</v>
      </c>
    </row>
    <row r="2734" spans="76:135" x14ac:dyDescent="0.25">
      <c r="BX2734" s="78"/>
      <c r="BY2734" s="319">
        <v>137</v>
      </c>
      <c r="CA2734" s="78"/>
      <c r="EE2734" s="76">
        <f>+IF(MID($J$2,1,10)=MID($EE$2,1,10),1,2)</f>
        <v>1</v>
      </c>
    </row>
    <row r="2735" spans="76:135" x14ac:dyDescent="0.25">
      <c r="BX2735" s="78"/>
      <c r="BY2735" s="319">
        <v>110</v>
      </c>
      <c r="CA2735" s="78"/>
      <c r="EE2735" s="76">
        <f>+IF(MID($J$2,1,10)=MID($EE$2,1,10),3,1)</f>
        <v>3</v>
      </c>
    </row>
    <row r="2736" spans="76:135" x14ac:dyDescent="0.25">
      <c r="BX2736" s="78"/>
      <c r="BY2736" s="322">
        <v>7</v>
      </c>
      <c r="CA2736" s="78"/>
      <c r="EE2736" s="76">
        <f>+IF(MID($J$4,1,8)=MID($EE$4,1,8),0,1)</f>
        <v>0</v>
      </c>
    </row>
    <row r="2737" spans="76:135" x14ac:dyDescent="0.25">
      <c r="BX2737" s="78"/>
      <c r="BY2737" s="319">
        <v>111</v>
      </c>
      <c r="CA2737" s="78"/>
      <c r="EE2737" s="76">
        <f>+IF(MID($J$2,1,10)=MID($EE$2,1,10),3,1)</f>
        <v>3</v>
      </c>
    </row>
    <row r="2738" spans="76:135" x14ac:dyDescent="0.25">
      <c r="BX2738" s="78"/>
      <c r="BY2738" s="319">
        <v>472</v>
      </c>
      <c r="CA2738" s="78"/>
      <c r="EE2738" s="76">
        <f>+IF(MID($J$2,1,10)=MID($EE$2,1,10),0,1)</f>
        <v>0</v>
      </c>
    </row>
    <row r="2739" spans="76:135" x14ac:dyDescent="0.25">
      <c r="BX2739" s="78"/>
      <c r="BY2739" s="319">
        <v>192</v>
      </c>
      <c r="CA2739" s="78"/>
      <c r="EE2739" s="76">
        <f>+IF(MID($J$2,1,10)=MID($EE$2,1,10),1,2)</f>
        <v>1</v>
      </c>
    </row>
    <row r="2740" spans="76:135" x14ac:dyDescent="0.25">
      <c r="BX2740" s="78"/>
      <c r="BY2740" s="319">
        <v>869</v>
      </c>
      <c r="CA2740" s="78"/>
      <c r="EE2740" s="76">
        <f>+IF(MID($J$2,1,10)=MID($EE$2,1,10),3,1)</f>
        <v>3</v>
      </c>
    </row>
    <row r="2741" spans="76:135" x14ac:dyDescent="0.25">
      <c r="BX2741" s="78"/>
      <c r="BY2741" s="319">
        <v>134</v>
      </c>
      <c r="CA2741" s="78"/>
      <c r="EE2741" s="76">
        <f>+IF(MID($J$2,1,10)=MID($EE$2,1,10),3,1)</f>
        <v>3</v>
      </c>
    </row>
    <row r="2742" spans="76:135" x14ac:dyDescent="0.25">
      <c r="BX2742" s="78"/>
      <c r="BY2742" s="319">
        <v>1013</v>
      </c>
      <c r="CA2742" s="78"/>
      <c r="EE2742" s="76">
        <f>+IF(MID($J$2,1,10)=MID($EE$2,1,10),0,1)</f>
        <v>0</v>
      </c>
    </row>
    <row r="2743" spans="76:135" x14ac:dyDescent="0.25">
      <c r="BX2743" s="78"/>
      <c r="BY2743" s="319">
        <v>113</v>
      </c>
      <c r="CA2743" s="78"/>
      <c r="EE2743" s="76">
        <f>+IF(MID($J$2,1,10)=MID($EE$2,1,10),3,1)</f>
        <v>3</v>
      </c>
    </row>
    <row r="2744" spans="76:135" x14ac:dyDescent="0.25">
      <c r="BX2744" s="78"/>
      <c r="BY2744" s="319">
        <v>943</v>
      </c>
      <c r="CA2744" s="78"/>
      <c r="EE2744" s="76">
        <f>+IF(MID($J$2,1,10)=MID($EE$2,1,10),3,1)</f>
        <v>3</v>
      </c>
    </row>
    <row r="2745" spans="76:135" x14ac:dyDescent="0.25">
      <c r="BX2745" s="78"/>
      <c r="BY2745" s="319">
        <v>136</v>
      </c>
      <c r="CA2745" s="78"/>
      <c r="EE2745" s="76">
        <f>+IF(MID($J$2,1,10)=MID($EE$2,1,10),3,1)</f>
        <v>3</v>
      </c>
    </row>
    <row r="2746" spans="76:135" x14ac:dyDescent="0.25">
      <c r="BX2746" s="78"/>
      <c r="BY2746" s="319">
        <v>731</v>
      </c>
      <c r="CA2746" s="78"/>
      <c r="EE2746" s="76">
        <f>+IF(MID($J$2,1,10)=MID($EE$2,1,10),1,2)</f>
        <v>1</v>
      </c>
    </row>
    <row r="2747" spans="76:135" x14ac:dyDescent="0.25">
      <c r="BX2747" s="78"/>
      <c r="BY2747" s="319">
        <v>110</v>
      </c>
      <c r="CA2747" s="78"/>
      <c r="EE2747" s="76">
        <f>+IF(MID($J$3,1,10)=MID($EE$3,1,10),2,1)</f>
        <v>2</v>
      </c>
    </row>
    <row r="2748" spans="76:135" x14ac:dyDescent="0.25">
      <c r="BX2748" s="78"/>
      <c r="BY2748" s="319">
        <v>957</v>
      </c>
      <c r="CA2748" s="78"/>
      <c r="EE2748" s="76">
        <f>+IF(MID($J$2,1,10)=MID($EE$2,1,10),4,1)</f>
        <v>4</v>
      </c>
    </row>
    <row r="2749" spans="76:135" x14ac:dyDescent="0.25">
      <c r="BX2749" s="78"/>
      <c r="BY2749" s="319">
        <v>485</v>
      </c>
      <c r="CA2749" s="78"/>
      <c r="EE2749" s="76">
        <f>+IF(MID($J$2,1,10)=MID($EE$2,1,10),0,1)</f>
        <v>0</v>
      </c>
    </row>
    <row r="2750" spans="76:135" x14ac:dyDescent="0.25">
      <c r="BX2750" s="78"/>
      <c r="BY2750" s="319">
        <v>173</v>
      </c>
      <c r="CA2750" s="78"/>
      <c r="EE2750" s="76">
        <f>+IF(MID($J$3,1,10)=MID($EE$3,1,10),2,1)</f>
        <v>2</v>
      </c>
    </row>
    <row r="2751" spans="76:135" x14ac:dyDescent="0.25">
      <c r="BX2751" s="78"/>
      <c r="BY2751" s="319">
        <v>162</v>
      </c>
      <c r="CA2751" s="78"/>
      <c r="EE2751" s="76">
        <f>+IF(MID($J$3,1,10)=MID($EE$3,1,10),2,1)</f>
        <v>2</v>
      </c>
    </row>
    <row r="2752" spans="76:135" x14ac:dyDescent="0.25">
      <c r="BX2752" s="78"/>
      <c r="BY2752" s="319">
        <v>149</v>
      </c>
      <c r="CA2752" s="78"/>
      <c r="EE2752" s="76">
        <f>+IF(MID($J$2,1,10)=MID($EE$2,1,10),4,1)</f>
        <v>4</v>
      </c>
    </row>
    <row r="2753" spans="76:135" x14ac:dyDescent="0.25">
      <c r="BX2753" s="78"/>
      <c r="BY2753" s="319">
        <v>139</v>
      </c>
      <c r="CA2753" s="78"/>
      <c r="EE2753" s="76">
        <f>+IF(MID($J$3,1,10)=MID($EE$3,1,10),2,1)</f>
        <v>2</v>
      </c>
    </row>
    <row r="2754" spans="76:135" x14ac:dyDescent="0.25">
      <c r="BX2754" s="78"/>
      <c r="BY2754" s="319">
        <v>133</v>
      </c>
      <c r="CA2754" s="78"/>
      <c r="EE2754" s="76">
        <f>+IF(MID($J$2,1,10)=MID($EE$2,1,10),4,1)</f>
        <v>4</v>
      </c>
    </row>
    <row r="2755" spans="76:135" x14ac:dyDescent="0.25">
      <c r="BX2755" s="78"/>
      <c r="BY2755" s="319">
        <v>932</v>
      </c>
      <c r="CA2755" s="78"/>
      <c r="EE2755" s="76">
        <f>+IF(MID($J$2,1,10)=MID($EE$2,1,10),1,2)</f>
        <v>1</v>
      </c>
    </row>
    <row r="2756" spans="76:135" x14ac:dyDescent="0.25">
      <c r="BX2756" s="78"/>
      <c r="BY2756" s="319">
        <v>185</v>
      </c>
      <c r="CA2756" s="78"/>
      <c r="EE2756" s="76">
        <f>+IF(MID($J$2,1,10)=MID($EE$2,1,10),3,1)</f>
        <v>3</v>
      </c>
    </row>
    <row r="2757" spans="76:135" x14ac:dyDescent="0.25">
      <c r="BX2757" s="78"/>
      <c r="BY2757" s="319">
        <v>812</v>
      </c>
      <c r="CA2757" s="78"/>
      <c r="EE2757" s="76">
        <f>+IF(MID($J$2,1,10)=MID($EE$2,1,10),1,2)</f>
        <v>1</v>
      </c>
    </row>
    <row r="2758" spans="76:135" x14ac:dyDescent="0.25">
      <c r="BX2758" s="78"/>
      <c r="BY2758" s="324">
        <v>5</v>
      </c>
      <c r="CA2758" s="78"/>
      <c r="EE2758" s="76">
        <f>+IF(MID($J$6,1,5)=MID($EE$11,1,5),0,1)</f>
        <v>0</v>
      </c>
    </row>
    <row r="2759" spans="76:135" x14ac:dyDescent="0.25">
      <c r="BX2759" s="78"/>
      <c r="BY2759" s="319">
        <v>415</v>
      </c>
      <c r="CA2759" s="78"/>
      <c r="EE2759" s="76">
        <f>+IF(MID($J$2,1,10)=MID($EE$2,1,10),1,2)</f>
        <v>1</v>
      </c>
    </row>
    <row r="2760" spans="76:135" x14ac:dyDescent="0.25">
      <c r="BX2760" s="78"/>
      <c r="BY2760" s="319">
        <v>153</v>
      </c>
      <c r="CA2760" s="78"/>
      <c r="EE2760" s="76">
        <f>+IF(MID($J$2,1,10)=MID($EE$2,1,10),0,1)</f>
        <v>0</v>
      </c>
    </row>
    <row r="2761" spans="76:135" x14ac:dyDescent="0.25">
      <c r="BX2761" s="78"/>
      <c r="BY2761" s="319">
        <v>178</v>
      </c>
      <c r="CA2761" s="78"/>
      <c r="EE2761" s="76">
        <f>+IF(MID($J$2,1,10)=MID($EE$2,1,10),0,1)</f>
        <v>0</v>
      </c>
    </row>
    <row r="2762" spans="76:135" x14ac:dyDescent="0.25">
      <c r="BX2762" s="78"/>
      <c r="BY2762" s="319">
        <v>153</v>
      </c>
      <c r="CA2762" s="78"/>
      <c r="EE2762" s="76">
        <f>+IF(MID($J$2,1,10)=MID($EE$2,1,10),0,1)</f>
        <v>0</v>
      </c>
    </row>
    <row r="2763" spans="76:135" x14ac:dyDescent="0.25">
      <c r="BX2763" s="78"/>
      <c r="BY2763" s="319">
        <v>1088</v>
      </c>
      <c r="CA2763" s="78"/>
      <c r="EE2763" s="76">
        <f>+IF(MID($J$2,1,10)=MID($EE$2,1,10),1,2)</f>
        <v>1</v>
      </c>
    </row>
    <row r="2764" spans="76:135" x14ac:dyDescent="0.25">
      <c r="BX2764" s="78"/>
      <c r="BY2764" s="319">
        <v>174</v>
      </c>
      <c r="CA2764" s="78"/>
      <c r="EE2764" s="76">
        <f>+IF(MID($J$2,1,10)=MID($EE$2,1,10),1,2)</f>
        <v>1</v>
      </c>
    </row>
    <row r="2765" spans="76:135" x14ac:dyDescent="0.25">
      <c r="BX2765" s="78"/>
      <c r="BY2765" s="319">
        <v>252</v>
      </c>
      <c r="CA2765" s="78"/>
      <c r="EE2765" s="76">
        <f>+IF(MID($J$2,1,10)=MID($EE$2,1,10),3,1)</f>
        <v>3</v>
      </c>
    </row>
    <row r="2766" spans="76:135" x14ac:dyDescent="0.25">
      <c r="BX2766" s="78"/>
      <c r="BY2766" s="319">
        <v>120</v>
      </c>
      <c r="CA2766" s="78"/>
      <c r="EE2766" s="76">
        <f>+IF(MID($J$2,1,10)=MID($EE$2,1,10),3,1)</f>
        <v>3</v>
      </c>
    </row>
    <row r="2767" spans="76:135" x14ac:dyDescent="0.25">
      <c r="BX2767" s="78"/>
      <c r="BY2767" s="319">
        <v>1</v>
      </c>
      <c r="CA2767" s="78"/>
      <c r="EE2767" s="76">
        <f>+IF(MID($J$2,1,10)=MID($EE$2,1,10),3,1)</f>
        <v>3</v>
      </c>
    </row>
    <row r="2768" spans="76:135" x14ac:dyDescent="0.25">
      <c r="BX2768" s="78"/>
      <c r="BY2768" s="319">
        <v>175</v>
      </c>
      <c r="CA2768" s="78"/>
      <c r="EE2768" s="76">
        <f>+IF(MID($J$2,1,10)=MID($EE$2,1,10),0,1)</f>
        <v>0</v>
      </c>
    </row>
    <row r="2769" spans="76:135" x14ac:dyDescent="0.25">
      <c r="BX2769" s="78"/>
      <c r="BY2769" s="319">
        <v>869</v>
      </c>
      <c r="CA2769" s="78"/>
      <c r="EE2769" s="76">
        <f>+IF(MID($J$2,1,10)=MID($EE$2,1,10),1,2)</f>
        <v>1</v>
      </c>
    </row>
    <row r="2770" spans="76:135" x14ac:dyDescent="0.25">
      <c r="BX2770" s="78"/>
      <c r="BY2770" s="322">
        <v>15</v>
      </c>
      <c r="CA2770" s="78"/>
      <c r="EE2770" s="76">
        <f>+IF(MID($J$3,1,10)=MID($EE$3,1,10),0,1)</f>
        <v>0</v>
      </c>
    </row>
    <row r="2771" spans="76:135" x14ac:dyDescent="0.25">
      <c r="BX2771" s="78"/>
      <c r="BY2771" s="319">
        <v>118</v>
      </c>
      <c r="CA2771" s="78"/>
      <c r="EE2771" s="76">
        <f>+IF(MID($J$2,1,10)=MID($EE$2,1,10),3,1)</f>
        <v>3</v>
      </c>
    </row>
    <row r="2772" spans="76:135" x14ac:dyDescent="0.25">
      <c r="BX2772" s="78"/>
      <c r="BY2772" s="319">
        <v>144</v>
      </c>
      <c r="CA2772" s="78"/>
      <c r="EE2772" s="76">
        <f>+IF(MID($J$2,1,10)=MID($EE$2,1,10),0,1)</f>
        <v>0</v>
      </c>
    </row>
    <row r="2773" spans="76:135" x14ac:dyDescent="0.25">
      <c r="BX2773" s="78"/>
      <c r="BY2773" s="319">
        <v>165</v>
      </c>
      <c r="CA2773" s="78"/>
      <c r="EE2773" s="76">
        <f>+IF(MID($J$2,1,10)=MID($EE$2,1,10),3,1)</f>
        <v>3</v>
      </c>
    </row>
    <row r="2774" spans="76:135" x14ac:dyDescent="0.25">
      <c r="BX2774" s="78"/>
      <c r="BY2774" s="319">
        <v>129</v>
      </c>
      <c r="CA2774" s="78"/>
      <c r="EE2774" s="76">
        <f>+IF(MID($J$2,1,10)=MID($EE$2,1,10),3,1)</f>
        <v>3</v>
      </c>
    </row>
    <row r="2775" spans="76:135" x14ac:dyDescent="0.25">
      <c r="BX2775" s="78"/>
      <c r="BY2775" s="319">
        <v>179</v>
      </c>
      <c r="CA2775" s="78"/>
      <c r="EE2775" s="76">
        <f>+IF(MID($J$2,1,10)=MID($EE$2,1,10),3,1)</f>
        <v>3</v>
      </c>
    </row>
    <row r="2776" spans="76:135" x14ac:dyDescent="0.25">
      <c r="BX2776" s="78"/>
      <c r="BY2776" s="319">
        <v>190</v>
      </c>
      <c r="CA2776" s="78"/>
      <c r="EE2776" s="76">
        <f>+IF(MID($J$2,1,10)=MID($EE$2,1,10),1,2)</f>
        <v>1</v>
      </c>
    </row>
    <row r="2777" spans="76:135" x14ac:dyDescent="0.25">
      <c r="BX2777" s="78"/>
      <c r="BY2777" s="319">
        <v>116</v>
      </c>
      <c r="CA2777" s="78"/>
      <c r="EE2777" s="76">
        <f>+IF(MID($J$3,1,10)=MID($EE$3,1,10),2,1)</f>
        <v>2</v>
      </c>
    </row>
    <row r="2778" spans="76:135" x14ac:dyDescent="0.25">
      <c r="BX2778" s="78"/>
      <c r="BY2778" s="319">
        <v>172</v>
      </c>
      <c r="CA2778" s="78"/>
      <c r="EE2778" s="76">
        <f>+IF(MID($J$2,1,10)=MID($EE$2,1,10),4,1)</f>
        <v>4</v>
      </c>
    </row>
    <row r="2779" spans="76:135" x14ac:dyDescent="0.25">
      <c r="BX2779" s="78"/>
      <c r="BY2779" s="322">
        <v>28</v>
      </c>
      <c r="CA2779" s="78"/>
      <c r="EE2779" s="76">
        <f>+IF(MID($J$2,1,10)=MID($EE$2,1,10),0,1)</f>
        <v>0</v>
      </c>
    </row>
    <row r="2780" spans="76:135" x14ac:dyDescent="0.25">
      <c r="BX2780" s="78"/>
      <c r="BY2780" s="319">
        <v>205</v>
      </c>
      <c r="CA2780" s="78"/>
      <c r="EE2780" s="76">
        <f>+IF(MID($J$3,1,10)=MID($EE$3,1,10),2,1)</f>
        <v>2</v>
      </c>
    </row>
    <row r="2781" spans="76:135" x14ac:dyDescent="0.25">
      <c r="BX2781" s="78"/>
      <c r="BY2781" s="319">
        <v>158</v>
      </c>
      <c r="CA2781" s="78"/>
      <c r="EE2781" s="76">
        <f>+IF(MID($J$3,1,10)=MID($EE$3,1,10),2,1)</f>
        <v>2</v>
      </c>
    </row>
    <row r="2782" spans="76:135" x14ac:dyDescent="0.25">
      <c r="BX2782" s="78"/>
      <c r="BY2782" s="322">
        <v>18</v>
      </c>
      <c r="CA2782" s="78"/>
      <c r="EE2782" s="76">
        <f>+IF(MID($J$5,1,10)=MID($EE$5,1,10),0,1)</f>
        <v>0</v>
      </c>
    </row>
    <row r="2783" spans="76:135" x14ac:dyDescent="0.25">
      <c r="BX2783" s="79"/>
      <c r="BY2783" s="322">
        <v>10</v>
      </c>
      <c r="BZ2783" s="323"/>
      <c r="CA2783" s="79"/>
      <c r="EE2783" s="76">
        <f>+IF(MID($J$6,1,5)=MID($EE$11,1,5),0,1)</f>
        <v>0</v>
      </c>
    </row>
    <row r="2784" spans="76:135" x14ac:dyDescent="0.25">
      <c r="BX2784" s="78"/>
      <c r="BY2784" s="325">
        <v>15</v>
      </c>
      <c r="CA2784" s="78"/>
      <c r="EE2784" s="76">
        <f>+IF(MID($J$2,1,10)=MID($EE$2,1,10),3,1)</f>
        <v>3</v>
      </c>
    </row>
    <row r="2785" spans="76:135" x14ac:dyDescent="0.25">
      <c r="BX2785" s="78"/>
      <c r="BY2785" s="319">
        <v>196</v>
      </c>
      <c r="CA2785" s="78"/>
      <c r="EE2785" s="76">
        <f>+IF(MID($J$2,1,10)=MID($EE$2,1,10),1,2)</f>
        <v>1</v>
      </c>
    </row>
    <row r="2786" spans="76:135" x14ac:dyDescent="0.25">
      <c r="BX2786" s="78"/>
      <c r="BY2786" s="319">
        <v>188</v>
      </c>
      <c r="CA2786" s="78"/>
      <c r="EE2786" s="76">
        <f>+IF(MID($J$2,1,10)=MID($EE$2,1,10),3,1)</f>
        <v>3</v>
      </c>
    </row>
    <row r="2787" spans="76:135" x14ac:dyDescent="0.25">
      <c r="BX2787" s="78"/>
      <c r="BY2787" s="319">
        <v>107</v>
      </c>
      <c r="CA2787" s="78"/>
      <c r="EE2787" s="76">
        <f>+IF(MID($J$2,1,10)=MID($EE$2,1,10),1,2)</f>
        <v>1</v>
      </c>
    </row>
    <row r="2788" spans="76:135" x14ac:dyDescent="0.25">
      <c r="BX2788" s="78"/>
      <c r="BY2788" s="319">
        <v>174</v>
      </c>
      <c r="CA2788" s="78"/>
      <c r="EE2788" s="76">
        <f>+IF(MID($J$3,1,10)=MID($EE$3,1,10),2,1)</f>
        <v>2</v>
      </c>
    </row>
    <row r="2789" spans="76:135" x14ac:dyDescent="0.25">
      <c r="BX2789" s="78"/>
      <c r="BY2789" s="319">
        <v>181</v>
      </c>
      <c r="CA2789" s="78"/>
      <c r="EE2789" s="76">
        <f>+IF(MID($J$2,1,10)=MID($EE$2,1,10),1,2)</f>
        <v>1</v>
      </c>
    </row>
    <row r="2790" spans="76:135" x14ac:dyDescent="0.25">
      <c r="BX2790" s="78"/>
      <c r="BY2790" s="319">
        <v>133</v>
      </c>
      <c r="CA2790" s="78"/>
      <c r="EE2790" s="76">
        <f>+IF(MID($J$2,1,10)=MID($EE$2,1,10),0,1)</f>
        <v>0</v>
      </c>
    </row>
    <row r="2791" spans="76:135" x14ac:dyDescent="0.25">
      <c r="BX2791" s="78"/>
      <c r="BY2791" s="319">
        <v>176</v>
      </c>
      <c r="CA2791" s="78"/>
      <c r="EE2791" s="76">
        <f>+IF(MID($J$2,1,10)=MID($EE$2,1,10),0,1)</f>
        <v>0</v>
      </c>
    </row>
    <row r="2792" spans="76:135" x14ac:dyDescent="0.25">
      <c r="BX2792" s="78"/>
      <c r="BY2792" s="319">
        <v>149</v>
      </c>
      <c r="CA2792" s="78"/>
      <c r="EE2792" s="76">
        <f>+IF(MID($J$2,1,10)=MID($EE$2,1,10),0,1)</f>
        <v>0</v>
      </c>
    </row>
    <row r="2793" spans="76:135" x14ac:dyDescent="0.25">
      <c r="BX2793" s="78"/>
      <c r="BY2793" s="319">
        <v>110</v>
      </c>
      <c r="CA2793" s="78"/>
      <c r="EE2793" s="76">
        <f>+IF(MID($J$2,1,10)=MID($EE$2,1,10),1,2)</f>
        <v>1</v>
      </c>
    </row>
    <row r="2794" spans="76:135" x14ac:dyDescent="0.25">
      <c r="BX2794" s="78"/>
      <c r="BY2794" s="319">
        <v>201</v>
      </c>
      <c r="CA2794" s="78"/>
      <c r="EE2794" s="76">
        <f>+IF(MID($J$2,1,10)=MID($EE$2,1,10),1,2)</f>
        <v>1</v>
      </c>
    </row>
    <row r="2795" spans="76:135" x14ac:dyDescent="0.25">
      <c r="BX2795" s="78"/>
      <c r="BY2795" s="319">
        <v>119</v>
      </c>
      <c r="CA2795" s="78"/>
      <c r="EE2795" s="76">
        <f>+IF(MID($J$2,1,10)=MID($EE$2,1,10),3,1)</f>
        <v>3</v>
      </c>
    </row>
    <row r="2796" spans="76:135" x14ac:dyDescent="0.25">
      <c r="BX2796" s="78"/>
      <c r="BY2796" s="319">
        <v>176</v>
      </c>
      <c r="CA2796" s="78"/>
      <c r="EE2796" s="76">
        <f>+IF(MID($J$2,1,10)=MID($EE$2,1,10),3,1)</f>
        <v>3</v>
      </c>
    </row>
    <row r="2797" spans="76:135" x14ac:dyDescent="0.25">
      <c r="BX2797" s="78"/>
      <c r="BY2797" s="319">
        <v>199</v>
      </c>
      <c r="CA2797" s="78"/>
      <c r="EE2797" s="76">
        <f>+IF(MID($J$2,1,10)=MID($EE$2,1,10),3,1)</f>
        <v>3</v>
      </c>
    </row>
    <row r="2798" spans="76:135" x14ac:dyDescent="0.25">
      <c r="BX2798" s="78"/>
      <c r="BY2798" s="319">
        <v>154</v>
      </c>
      <c r="CA2798" s="78"/>
      <c r="EE2798" s="76">
        <f>+IF(MID($J$2,1,10)=MID($EE$2,1,10),0,1)</f>
        <v>0</v>
      </c>
    </row>
    <row r="2799" spans="76:135" x14ac:dyDescent="0.25">
      <c r="BX2799" s="78"/>
      <c r="BY2799" s="319">
        <v>179</v>
      </c>
      <c r="CA2799" s="78"/>
      <c r="EE2799" s="76">
        <f>+IF(MID($J$2,1,10)=MID($EE$2,1,10),1,2)</f>
        <v>1</v>
      </c>
    </row>
    <row r="2800" spans="76:135" x14ac:dyDescent="0.25">
      <c r="BX2800" s="78"/>
      <c r="BY2800" s="319">
        <v>157</v>
      </c>
      <c r="CA2800" s="78"/>
      <c r="EE2800" s="76">
        <f>+IF(MID($J$2,1,10)=MID($EE$2,1,10),3,1)</f>
        <v>3</v>
      </c>
    </row>
    <row r="2801" spans="76:135" x14ac:dyDescent="0.25">
      <c r="BX2801" s="78"/>
      <c r="BY2801" s="319">
        <v>159</v>
      </c>
      <c r="CA2801" s="78"/>
      <c r="EE2801" s="76">
        <f>+IF(MID($J$2,1,10)=MID($EE$2,1,10),3,1)</f>
        <v>3</v>
      </c>
    </row>
    <row r="2802" spans="76:135" x14ac:dyDescent="0.25">
      <c r="BX2802" s="78"/>
      <c r="BY2802" s="319">
        <v>95</v>
      </c>
      <c r="CA2802" s="78"/>
      <c r="EE2802" s="76">
        <f>+IF(MID($J$2,1,10)=MID($EE$2,1,10),0,1)</f>
        <v>0</v>
      </c>
    </row>
    <row r="2803" spans="76:135" x14ac:dyDescent="0.25">
      <c r="BX2803" s="78"/>
      <c r="BY2803" s="319">
        <v>197</v>
      </c>
      <c r="CA2803" s="78"/>
      <c r="EE2803" s="76">
        <f>+IF(MID($J$2,1,10)=MID($EE$2,1,10),3,1)</f>
        <v>3</v>
      </c>
    </row>
    <row r="2804" spans="76:135" x14ac:dyDescent="0.25">
      <c r="BX2804" s="78"/>
      <c r="BY2804" s="319">
        <v>203</v>
      </c>
      <c r="CA2804" s="78"/>
      <c r="EE2804" s="76">
        <f>+IF(MID($J$2,1,10)=MID($EE$2,1,10),3,1)</f>
        <v>3</v>
      </c>
    </row>
    <row r="2805" spans="76:135" x14ac:dyDescent="0.25">
      <c r="BX2805" s="78"/>
      <c r="BY2805" s="319">
        <v>185</v>
      </c>
      <c r="CA2805" s="78"/>
      <c r="EE2805" s="76">
        <f>+IF(MID($J$2,1,10)=MID($EE$2,1,10),3,1)</f>
        <v>3</v>
      </c>
    </row>
    <row r="2806" spans="76:135" x14ac:dyDescent="0.25">
      <c r="BX2806" s="78"/>
      <c r="BY2806" s="322">
        <v>28</v>
      </c>
      <c r="CA2806" s="78"/>
      <c r="EE2806" s="76">
        <f>+IF(MID($J$4,1,8)=MID($EE$4,1,8),0,1)</f>
        <v>0</v>
      </c>
    </row>
    <row r="2807" spans="76:135" x14ac:dyDescent="0.25">
      <c r="BX2807" s="78"/>
      <c r="BY2807" s="322">
        <v>10</v>
      </c>
      <c r="CA2807" s="78"/>
      <c r="EE2807" s="76">
        <f>+IF(MID($J$5,1,10)=MID($EE$5,1,10),1,2)</f>
        <v>1</v>
      </c>
    </row>
    <row r="2808" spans="76:135" x14ac:dyDescent="0.25">
      <c r="BX2808" s="78"/>
      <c r="BY2808" s="319">
        <v>187</v>
      </c>
      <c r="CA2808" s="78"/>
      <c r="EE2808" s="76">
        <f>+IF(MID($J$2,1,10)=MID($EE$2,1,10),4,1)</f>
        <v>4</v>
      </c>
    </row>
    <row r="2809" spans="76:135" x14ac:dyDescent="0.25">
      <c r="BX2809" s="78"/>
      <c r="BY2809" s="319">
        <v>1117</v>
      </c>
      <c r="CA2809" s="78"/>
      <c r="EE2809" s="76">
        <f>+IF(MID($J$2,1,10)=MID($EE$2,1,10),0,1)</f>
        <v>0</v>
      </c>
    </row>
    <row r="2810" spans="76:135" x14ac:dyDescent="0.25">
      <c r="BX2810" s="78"/>
      <c r="BY2810" s="319">
        <v>118</v>
      </c>
      <c r="CA2810" s="78"/>
      <c r="EE2810" s="76">
        <f>+IF(MID($J$3,1,10)=MID($EE$3,1,10),2,1)</f>
        <v>2</v>
      </c>
    </row>
    <row r="2811" spans="76:135" x14ac:dyDescent="0.25">
      <c r="BX2811" s="78"/>
      <c r="BY2811" s="319">
        <v>302</v>
      </c>
      <c r="CA2811" s="78"/>
      <c r="EE2811" s="76">
        <f>+IF(MID($J$3,1,10)=MID($EE$3,1,10),2,1)</f>
        <v>2</v>
      </c>
    </row>
    <row r="2812" spans="76:135" x14ac:dyDescent="0.25">
      <c r="BX2812" s="78"/>
      <c r="BY2812" s="319">
        <v>172</v>
      </c>
      <c r="CA2812" s="78"/>
      <c r="EE2812" s="76">
        <f>+IF(MID($J$2,1,10)=MID($EE$2,1,10),4,1)</f>
        <v>4</v>
      </c>
    </row>
    <row r="2813" spans="76:135" x14ac:dyDescent="0.25">
      <c r="BX2813" s="78"/>
      <c r="BY2813" s="319">
        <v>777</v>
      </c>
      <c r="CA2813" s="78"/>
      <c r="EE2813" s="76">
        <f>+IF(MID($J$3,1,10)=MID($EE$3,1,10),2,1)</f>
        <v>2</v>
      </c>
    </row>
    <row r="2814" spans="76:135" x14ac:dyDescent="0.25">
      <c r="BX2814" s="78"/>
      <c r="BY2814" s="319">
        <v>169</v>
      </c>
      <c r="CA2814" s="78"/>
      <c r="EE2814" s="76">
        <f>+IF(MID($J$2,1,10)=MID($EE$2,1,10),4,1)</f>
        <v>4</v>
      </c>
    </row>
    <row r="2815" spans="76:135" x14ac:dyDescent="0.25">
      <c r="BX2815" s="78"/>
      <c r="BY2815" s="319">
        <v>371</v>
      </c>
      <c r="CA2815" s="78"/>
      <c r="EE2815" s="76">
        <f>+IF(MID($J$2,1,10)=MID($EE$2,1,10),1,2)</f>
        <v>1</v>
      </c>
    </row>
    <row r="2816" spans="76:135" x14ac:dyDescent="0.25">
      <c r="BX2816" s="78"/>
      <c r="BY2816" s="319">
        <v>202</v>
      </c>
      <c r="CA2816" s="78"/>
      <c r="EE2816" s="76">
        <f>+IF(MID($J$2,1,10)=MID($EE$2,1,10),3,1)</f>
        <v>3</v>
      </c>
    </row>
    <row r="2817" spans="76:135" x14ac:dyDescent="0.25">
      <c r="BX2817" s="78"/>
      <c r="BY2817" s="319">
        <v>1144</v>
      </c>
      <c r="CA2817" s="78"/>
      <c r="EE2817" s="76">
        <f>+IF(MID($J$2,1,10)=MID($EE$2,1,10),1,2)</f>
        <v>1</v>
      </c>
    </row>
    <row r="2818" spans="76:135" x14ac:dyDescent="0.25">
      <c r="BX2818" s="78"/>
      <c r="BY2818" s="319">
        <v>174</v>
      </c>
      <c r="CA2818" s="78"/>
      <c r="EE2818" s="76">
        <f>+IF(MID($J$3,1,10)=MID($EE$3,1,10),2,1)</f>
        <v>2</v>
      </c>
    </row>
    <row r="2819" spans="76:135" x14ac:dyDescent="0.25">
      <c r="BX2819" s="78"/>
      <c r="BY2819" s="319">
        <v>166</v>
      </c>
      <c r="CA2819" s="78"/>
      <c r="EE2819" s="76">
        <f>+IF(MID($J$2,1,10)=MID($EE$2,1,10),1,2)</f>
        <v>1</v>
      </c>
    </row>
    <row r="2820" spans="76:135" x14ac:dyDescent="0.25">
      <c r="BX2820" s="78"/>
      <c r="BY2820" s="319">
        <v>96</v>
      </c>
      <c r="CA2820" s="78"/>
      <c r="EE2820" s="76">
        <f>+IF(MID($J$2,1,10)=MID($EE$2,1,10),0,1)</f>
        <v>0</v>
      </c>
    </row>
    <row r="2821" spans="76:135" x14ac:dyDescent="0.25">
      <c r="BX2821" s="78"/>
      <c r="BY2821" s="319">
        <v>179</v>
      </c>
      <c r="CA2821" s="78"/>
      <c r="EE2821" s="76">
        <f>+IF(MID($J$2,1,10)=MID($EE$2,1,10),0,1)</f>
        <v>0</v>
      </c>
    </row>
    <row r="2822" spans="76:135" x14ac:dyDescent="0.25">
      <c r="BX2822" s="78"/>
      <c r="BY2822" s="319">
        <v>184</v>
      </c>
      <c r="CA2822" s="78"/>
      <c r="EE2822" s="76">
        <f>+IF(MID($J$2,1,10)=MID($EE$2,1,10),0,1)</f>
        <v>0</v>
      </c>
    </row>
    <row r="2823" spans="76:135" x14ac:dyDescent="0.25">
      <c r="BX2823" s="78"/>
      <c r="BY2823" s="319">
        <v>120</v>
      </c>
      <c r="CA2823" s="78"/>
      <c r="EE2823" s="76">
        <f>+IF(MID($J$2,1,10)=MID($EE$2,1,10),1,2)</f>
        <v>1</v>
      </c>
    </row>
    <row r="2824" spans="76:135" x14ac:dyDescent="0.25">
      <c r="BX2824" s="78"/>
      <c r="BY2824" s="319">
        <v>596</v>
      </c>
      <c r="CA2824" s="78"/>
      <c r="EE2824" s="76">
        <f>+IF(MID($J$3,1,10)=MID($EE$3,1,10),2,1)</f>
        <v>2</v>
      </c>
    </row>
    <row r="2825" spans="76:135" x14ac:dyDescent="0.25">
      <c r="BX2825" s="78"/>
      <c r="BY2825" s="319">
        <v>169</v>
      </c>
      <c r="CA2825" s="78"/>
      <c r="EE2825" s="76">
        <f>+IF(MID($J$2,1,10)=MID($EE$2,1,10),4,1)</f>
        <v>4</v>
      </c>
    </row>
    <row r="2826" spans="76:135" x14ac:dyDescent="0.25">
      <c r="BX2826" s="78"/>
      <c r="BY2826" s="319">
        <v>725</v>
      </c>
      <c r="CA2826" s="78"/>
      <c r="EE2826" s="76">
        <f>+IF(MID($J$2,1,10)=MID($EE$2,1,10),0,1)</f>
        <v>0</v>
      </c>
    </row>
    <row r="2827" spans="76:135" x14ac:dyDescent="0.25">
      <c r="BX2827" s="78"/>
      <c r="BY2827" s="319">
        <v>109</v>
      </c>
      <c r="CA2827" s="78"/>
      <c r="EE2827" s="76">
        <f>+IF(MID($J$3,1,10)=MID($EE$3,1,10),2,1)</f>
        <v>2</v>
      </c>
    </row>
    <row r="2828" spans="76:135" x14ac:dyDescent="0.25">
      <c r="BX2828" s="78"/>
      <c r="BY2828" s="319">
        <v>280</v>
      </c>
      <c r="CA2828" s="78"/>
      <c r="EE2828" s="76">
        <f>+IF(MID($J$3,1,10)=MID($EE$3,1,10),2,1)</f>
        <v>2</v>
      </c>
    </row>
    <row r="2829" spans="76:135" x14ac:dyDescent="0.25">
      <c r="BX2829" s="78"/>
      <c r="BY2829" s="319">
        <v>129</v>
      </c>
      <c r="CA2829" s="78"/>
      <c r="EE2829" s="76">
        <f>+IF(MID($J$2,1,10)=MID($EE$2,1,10),4,1)</f>
        <v>4</v>
      </c>
    </row>
    <row r="2830" spans="76:135" x14ac:dyDescent="0.25">
      <c r="BX2830" s="78"/>
      <c r="BY2830" s="319">
        <v>406</v>
      </c>
      <c r="CA2830" s="78"/>
      <c r="EE2830" s="76">
        <f>+IF(MID($J$3,1,10)=MID($EE$3,1,10),2,1)</f>
        <v>2</v>
      </c>
    </row>
    <row r="2831" spans="76:135" x14ac:dyDescent="0.25">
      <c r="BX2831" s="78"/>
      <c r="BY2831" s="319">
        <v>186</v>
      </c>
      <c r="CA2831" s="78"/>
      <c r="EE2831" s="76">
        <f>+IF(MID($J$2,1,10)=MID($EE$2,1,10),4,1)</f>
        <v>4</v>
      </c>
    </row>
    <row r="2832" spans="76:135" x14ac:dyDescent="0.25">
      <c r="BX2832" s="78"/>
      <c r="BY2832" s="319">
        <v>115</v>
      </c>
      <c r="CA2832" s="78"/>
      <c r="EE2832" s="76">
        <f>+IF(MID($J$2,1,10)=MID($EE$2,1,10),1,2)</f>
        <v>1</v>
      </c>
    </row>
    <row r="2833" spans="76:135" x14ac:dyDescent="0.25">
      <c r="BX2833" s="78"/>
      <c r="BY2833" s="319">
        <v>183</v>
      </c>
      <c r="CA2833" s="78"/>
      <c r="EE2833" s="76">
        <f>+IF(MID($J$2,1,10)=MID($EE$2,1,10),3,1)</f>
        <v>3</v>
      </c>
    </row>
    <row r="2834" spans="76:135" x14ac:dyDescent="0.25">
      <c r="BX2834" s="78"/>
      <c r="BY2834" s="319">
        <v>1010</v>
      </c>
      <c r="CA2834" s="78"/>
      <c r="EE2834" s="76">
        <f>+IF(MID($J$2,1,10)=MID($EE$2,1,10),1,2)</f>
        <v>1</v>
      </c>
    </row>
    <row r="2835" spans="76:135" x14ac:dyDescent="0.25">
      <c r="BX2835" s="78"/>
      <c r="BY2835" s="319">
        <v>147</v>
      </c>
      <c r="CA2835" s="78"/>
      <c r="EE2835" s="76">
        <f>+IF(MID($J$3,1,10)=MID($EE$3,1,10),2,1)</f>
        <v>2</v>
      </c>
    </row>
    <row r="2836" spans="76:135" x14ac:dyDescent="0.25">
      <c r="BX2836" s="78"/>
      <c r="BY2836" s="319">
        <v>302</v>
      </c>
      <c r="CA2836" s="78"/>
      <c r="EE2836" s="76">
        <f>+IF(MID($J$2,1,10)=MID($EE$2,1,10),1,2)</f>
        <v>1</v>
      </c>
    </row>
    <row r="2837" spans="76:135" x14ac:dyDescent="0.25">
      <c r="BX2837" s="78"/>
      <c r="BY2837" s="319">
        <v>191</v>
      </c>
      <c r="CA2837" s="78"/>
      <c r="EE2837" s="76">
        <f>+IF(MID($J$2,1,10)=MID($EE$2,1,10),0,1)</f>
        <v>0</v>
      </c>
    </row>
    <row r="2838" spans="76:135" x14ac:dyDescent="0.25">
      <c r="BX2838" s="78"/>
      <c r="BY2838" s="319">
        <v>122</v>
      </c>
      <c r="CA2838" s="78"/>
      <c r="EE2838" s="76">
        <f>+IF(MID($J$2,1,10)=MID($EE$2,1,10),0,1)</f>
        <v>0</v>
      </c>
    </row>
    <row r="2839" spans="76:135" x14ac:dyDescent="0.25">
      <c r="BX2839" s="78"/>
      <c r="BY2839" s="319">
        <v>106</v>
      </c>
      <c r="CA2839" s="78"/>
      <c r="EE2839" s="76">
        <f>+IF(MID($J$2,1,10)=MID($EE$2,1,10),0,1)</f>
        <v>0</v>
      </c>
    </row>
    <row r="2840" spans="76:135" x14ac:dyDescent="0.25">
      <c r="BX2840" s="78"/>
      <c r="BY2840" s="319">
        <v>175</v>
      </c>
      <c r="CA2840" s="78"/>
      <c r="EE2840" s="76">
        <f>+IF(MID($J$2,1,10)=MID($EE$2,1,10),1,2)</f>
        <v>1</v>
      </c>
    </row>
    <row r="2841" spans="76:135" x14ac:dyDescent="0.25">
      <c r="BX2841" s="78"/>
      <c r="BY2841" s="319">
        <v>4</v>
      </c>
      <c r="CA2841" s="78"/>
      <c r="EE2841" s="76">
        <f>+IF(MID($J$2,1,10)=MID($EE$2,1,10),1,2)</f>
        <v>1</v>
      </c>
    </row>
    <row r="2842" spans="76:135" x14ac:dyDescent="0.25">
      <c r="BX2842" s="78"/>
      <c r="BY2842" s="319">
        <v>1060</v>
      </c>
      <c r="CA2842" s="78"/>
      <c r="EE2842" s="76">
        <f>+IF(MID($J$2,1,10)=MID($EE$2,1,10),3,1)</f>
        <v>3</v>
      </c>
    </row>
    <row r="2843" spans="76:135" x14ac:dyDescent="0.25">
      <c r="BX2843" s="78"/>
      <c r="BY2843" s="319">
        <v>146</v>
      </c>
      <c r="CA2843" s="78"/>
      <c r="EE2843" s="76">
        <f>+IF(MID($J$2,1,10)=MID($EE$2,1,10),3,1)</f>
        <v>3</v>
      </c>
    </row>
    <row r="2844" spans="76:135" x14ac:dyDescent="0.25">
      <c r="BX2844" s="78"/>
      <c r="BY2844" s="319">
        <v>458</v>
      </c>
      <c r="CA2844" s="78"/>
      <c r="EE2844" s="76">
        <f>+IF(MID($J$2,1,10)=MID($EE$2,1,10),3,1)</f>
        <v>3</v>
      </c>
    </row>
    <row r="2845" spans="76:135" x14ac:dyDescent="0.25">
      <c r="BX2845" s="78"/>
      <c r="BY2845" s="319">
        <v>148</v>
      </c>
      <c r="CA2845" s="78"/>
      <c r="EE2845" s="76">
        <f>+IF(MID($J$2,1,10)=MID($EE$2,1,10),0,1)</f>
        <v>0</v>
      </c>
    </row>
    <row r="2846" spans="76:135" x14ac:dyDescent="0.25">
      <c r="BX2846" s="78"/>
      <c r="BY2846" s="319">
        <v>113</v>
      </c>
      <c r="CA2846" s="78"/>
      <c r="EE2846" s="76">
        <f>+IF(MID($J$2,1,10)=MID($EE$2,1,10),1,2)</f>
        <v>1</v>
      </c>
    </row>
    <row r="2847" spans="76:135" x14ac:dyDescent="0.25">
      <c r="BX2847" s="78"/>
      <c r="BY2847" s="319">
        <v>297</v>
      </c>
      <c r="CA2847" s="78"/>
      <c r="EE2847" s="76">
        <f>+IF(MID($J$2,1,10)=MID($EE$2,1,10),3,1)</f>
        <v>3</v>
      </c>
    </row>
    <row r="2848" spans="76:135" x14ac:dyDescent="0.25">
      <c r="BX2848" s="78"/>
      <c r="BY2848" s="319">
        <v>126</v>
      </c>
      <c r="CA2848" s="78"/>
      <c r="EE2848" s="76">
        <f>+IF(MID($J$2,1,10)=MID($EE$2,1,10),3,1)</f>
        <v>3</v>
      </c>
    </row>
    <row r="2849" spans="76:135" x14ac:dyDescent="0.25">
      <c r="BX2849" s="78"/>
      <c r="BY2849" s="319">
        <v>830</v>
      </c>
      <c r="CA2849" s="78"/>
      <c r="EE2849" s="76">
        <f>+IF(MID($J$2,1,10)=MID($EE$2,1,10),0,1)</f>
        <v>0</v>
      </c>
    </row>
    <row r="2850" spans="76:135" x14ac:dyDescent="0.25">
      <c r="BX2850" s="78"/>
      <c r="BY2850" s="319">
        <v>193</v>
      </c>
      <c r="CA2850" s="78"/>
      <c r="EE2850" s="76">
        <f>+IF(MID($J$2,1,10)=MID($EE$2,1,10),3,1)</f>
        <v>3</v>
      </c>
    </row>
    <row r="2851" spans="76:135" x14ac:dyDescent="0.25">
      <c r="BX2851" s="78"/>
      <c r="BY2851" s="319">
        <v>207</v>
      </c>
      <c r="CA2851" s="78"/>
      <c r="EE2851" s="76">
        <f>+IF(MID($J$2,1,10)=MID($EE$2,1,10),3,1)</f>
        <v>3</v>
      </c>
    </row>
    <row r="2852" spans="76:135" x14ac:dyDescent="0.25">
      <c r="BX2852" s="78"/>
      <c r="BY2852" s="319">
        <v>172</v>
      </c>
      <c r="CA2852" s="78"/>
      <c r="EE2852" s="76">
        <f>+IF(MID($J$2,1,10)=MID($EE$2,1,10),3,1)</f>
        <v>3</v>
      </c>
    </row>
    <row r="2853" spans="76:135" x14ac:dyDescent="0.25">
      <c r="BX2853" s="78"/>
      <c r="BY2853" s="319">
        <v>380</v>
      </c>
      <c r="CA2853" s="78"/>
      <c r="EE2853" s="76">
        <f>+IF(MID($J$2,1,10)=MID($EE$2,1,10),1,2)</f>
        <v>1</v>
      </c>
    </row>
    <row r="2854" spans="76:135" x14ac:dyDescent="0.25">
      <c r="BX2854" s="78"/>
      <c r="BY2854" s="319">
        <v>201</v>
      </c>
      <c r="CA2854" s="78"/>
      <c r="EE2854" s="76">
        <f>+IF(MID($J$3,1,10)=MID($EE$3,1,10),2,1)</f>
        <v>2</v>
      </c>
    </row>
    <row r="2855" spans="76:135" x14ac:dyDescent="0.25">
      <c r="BX2855" s="78"/>
      <c r="BY2855" s="319">
        <v>307</v>
      </c>
      <c r="CA2855" s="78"/>
      <c r="EE2855" s="76">
        <f>+IF(MID($J$2,1,10)=MID($EE$2,1,10),4,1)</f>
        <v>4</v>
      </c>
    </row>
    <row r="2856" spans="76:135" x14ac:dyDescent="0.25">
      <c r="BX2856" s="78"/>
      <c r="BY2856" s="319">
        <v>148</v>
      </c>
      <c r="CA2856" s="78"/>
      <c r="EE2856" s="76">
        <f>+IF(MID($J$2,1,10)=MID($EE$2,1,10),0,1)</f>
        <v>0</v>
      </c>
    </row>
    <row r="2857" spans="76:135" x14ac:dyDescent="0.25">
      <c r="BX2857" s="78"/>
      <c r="BY2857" s="319">
        <v>417</v>
      </c>
      <c r="CA2857" s="78"/>
      <c r="EE2857" s="76">
        <f>+IF(MID($J$3,1,10)=MID($EE$3,1,10),2,1)</f>
        <v>2</v>
      </c>
    </row>
    <row r="2858" spans="76:135" x14ac:dyDescent="0.25">
      <c r="BX2858" s="78"/>
      <c r="BY2858" s="319">
        <v>116</v>
      </c>
      <c r="CA2858" s="78"/>
      <c r="EE2858" s="76">
        <f>+IF(MID($J$3,1,10)=MID($EE$3,1,10),2,1)</f>
        <v>2</v>
      </c>
    </row>
    <row r="2859" spans="76:135" x14ac:dyDescent="0.25">
      <c r="BX2859" s="78"/>
      <c r="BY2859" s="319">
        <v>950</v>
      </c>
      <c r="CA2859" s="78"/>
      <c r="EE2859" s="76">
        <f>+IF(MID($J$2,1,10)=MID($EE$2,1,10),4,1)</f>
        <v>4</v>
      </c>
    </row>
    <row r="2860" spans="76:135" x14ac:dyDescent="0.25">
      <c r="BX2860" s="78"/>
      <c r="BY2860" s="319">
        <v>827</v>
      </c>
      <c r="CA2860" s="78"/>
      <c r="EE2860" s="76">
        <f>+IF(MID($J$3,1,10)=MID($EE$3,1,10),2,1)</f>
        <v>2</v>
      </c>
    </row>
    <row r="2861" spans="76:135" x14ac:dyDescent="0.25">
      <c r="BX2861" s="78"/>
      <c r="BY2861" s="319">
        <v>170</v>
      </c>
      <c r="CA2861" s="78"/>
      <c r="EE2861" s="76">
        <f>+IF(MID($J$2,1,10)=MID($EE$2,1,10),4,1)</f>
        <v>4</v>
      </c>
    </row>
    <row r="2862" spans="76:135" x14ac:dyDescent="0.25">
      <c r="BX2862" s="78"/>
      <c r="BY2862" s="319">
        <v>227</v>
      </c>
      <c r="CA2862" s="78"/>
      <c r="EE2862" s="76">
        <f>+IF(MID($J$2,1,10)=MID($EE$2,1,10),1,2)</f>
        <v>1</v>
      </c>
    </row>
    <row r="2863" spans="76:135" x14ac:dyDescent="0.25">
      <c r="BX2863" s="78"/>
      <c r="BY2863" s="319">
        <v>193</v>
      </c>
      <c r="CA2863" s="78"/>
      <c r="EE2863" s="76">
        <f>+IF(MID($J$2,1,10)=MID($EE$2,1,10),3,1)</f>
        <v>3</v>
      </c>
    </row>
    <row r="2864" spans="76:135" x14ac:dyDescent="0.25">
      <c r="BX2864" s="78"/>
      <c r="BY2864" s="319">
        <v>658</v>
      </c>
      <c r="CA2864" s="78"/>
      <c r="EE2864" s="76">
        <f>+IF(MID($J$2,1,10)=MID($EE$2,1,10),1,2)</f>
        <v>1</v>
      </c>
    </row>
    <row r="2865" spans="76:135" x14ac:dyDescent="0.25">
      <c r="BX2865" s="78"/>
      <c r="BY2865" s="319">
        <v>145</v>
      </c>
      <c r="CA2865" s="78"/>
      <c r="EE2865" s="76">
        <f>+IF(MID($J$3,1,10)=MID($EE$3,1,10),2,1)</f>
        <v>2</v>
      </c>
    </row>
    <row r="2866" spans="76:135" x14ac:dyDescent="0.25">
      <c r="BX2866" s="78"/>
      <c r="BY2866" s="322">
        <v>7</v>
      </c>
      <c r="CA2866" s="78"/>
      <c r="EE2866" s="76">
        <f>+IF(MID($J$4,1,8)=MID($EE$4,1,8),2,1)</f>
        <v>2</v>
      </c>
    </row>
    <row r="2867" spans="76:135" x14ac:dyDescent="0.25">
      <c r="BX2867" s="78"/>
      <c r="BY2867" s="319">
        <v>175</v>
      </c>
      <c r="CA2867" s="78"/>
      <c r="EE2867" s="76">
        <f>+IF(MID($J$2,1,10)=MID($EE$2,1,10),0,1)</f>
        <v>0</v>
      </c>
    </row>
    <row r="2868" spans="76:135" x14ac:dyDescent="0.25">
      <c r="BX2868" s="78"/>
      <c r="BY2868" s="319">
        <v>196</v>
      </c>
      <c r="CA2868" s="78"/>
      <c r="EE2868" s="76">
        <f>+IF(MID($J$2,1,10)=MID($EE$2,1,10),0,1)</f>
        <v>0</v>
      </c>
    </row>
    <row r="2869" spans="76:135" x14ac:dyDescent="0.25">
      <c r="BX2869" s="78"/>
      <c r="BY2869" s="319">
        <v>156</v>
      </c>
      <c r="CA2869" s="78"/>
      <c r="EE2869" s="76">
        <f>+IF(MID($J$2,1,10)=MID($EE$2,1,10),0,1)</f>
        <v>0</v>
      </c>
    </row>
    <row r="2870" spans="76:135" x14ac:dyDescent="0.25">
      <c r="BX2870" s="78"/>
      <c r="BY2870" s="319">
        <v>131</v>
      </c>
      <c r="CA2870" s="78"/>
      <c r="EE2870" s="76">
        <f>+IF(MID($J$2,1,10)=MID($EE$2,1,10),1,2)</f>
        <v>1</v>
      </c>
    </row>
    <row r="2871" spans="76:135" x14ac:dyDescent="0.25">
      <c r="BX2871" s="78"/>
      <c r="BY2871" s="319">
        <v>174</v>
      </c>
      <c r="CA2871" s="78"/>
      <c r="EE2871" s="76">
        <f>+IF(MID($J$2,1,10)=MID($EE$2,1,10),1,2)</f>
        <v>1</v>
      </c>
    </row>
    <row r="2872" spans="76:135" x14ac:dyDescent="0.25">
      <c r="BX2872" s="78"/>
      <c r="BY2872" s="319">
        <v>114</v>
      </c>
      <c r="CA2872" s="78"/>
      <c r="EE2872" s="76">
        <f>+IF(MID($J$2,1,10)=MID($EE$2,1,10),3,1)</f>
        <v>3</v>
      </c>
    </row>
    <row r="2873" spans="76:135" x14ac:dyDescent="0.25">
      <c r="BX2873" s="78"/>
      <c r="BY2873" s="319">
        <v>201</v>
      </c>
      <c r="CA2873" s="78"/>
      <c r="EE2873" s="76">
        <f>+IF(MID($J$2,1,10)=MID($EE$2,1,10),3,1)</f>
        <v>3</v>
      </c>
    </row>
    <row r="2874" spans="76:135" x14ac:dyDescent="0.25">
      <c r="BX2874" s="78"/>
      <c r="BY2874" s="319">
        <v>426</v>
      </c>
      <c r="CA2874" s="78"/>
      <c r="EE2874" s="76">
        <f>+IF(MID($J$2,1,10)=MID($EE$2,1,10),3,1)</f>
        <v>3</v>
      </c>
    </row>
    <row r="2875" spans="76:135" x14ac:dyDescent="0.25">
      <c r="BX2875" s="78"/>
      <c r="BY2875" s="319">
        <v>175</v>
      </c>
      <c r="CA2875" s="78"/>
      <c r="EE2875" s="76">
        <f>+IF(MID($J$2,1,10)=MID($EE$2,1,10),0,1)</f>
        <v>0</v>
      </c>
    </row>
    <row r="2876" spans="76:135" x14ac:dyDescent="0.25">
      <c r="BX2876" s="78"/>
      <c r="BY2876" s="319">
        <v>1159</v>
      </c>
      <c r="CA2876" s="78"/>
      <c r="EE2876" s="76">
        <f>+IF(MID($J$2,1,10)=MID($EE$2,1,10),1,2)</f>
        <v>1</v>
      </c>
    </row>
    <row r="2877" spans="76:135" x14ac:dyDescent="0.25">
      <c r="BX2877" s="78"/>
      <c r="BY2877" s="319">
        <v>177</v>
      </c>
      <c r="CA2877" s="78"/>
      <c r="EE2877" s="76">
        <f>+IF(MID($J$2,1,10)=MID($EE$2,1,10),3,1)</f>
        <v>3</v>
      </c>
    </row>
    <row r="2878" spans="76:135" x14ac:dyDescent="0.25">
      <c r="BX2878" s="78"/>
      <c r="BY2878" s="319">
        <v>1044</v>
      </c>
      <c r="CA2878" s="78"/>
      <c r="EE2878" s="76">
        <f>+IF(MID($J$2,1,10)=MID($EE$2,1,10),3,1)</f>
        <v>3</v>
      </c>
    </row>
    <row r="2879" spans="76:135" x14ac:dyDescent="0.25">
      <c r="BX2879" s="78"/>
      <c r="BY2879" s="319">
        <v>107</v>
      </c>
      <c r="CA2879" s="78"/>
      <c r="EE2879" s="76">
        <f>+IF(MID($J$2,1,10)=MID($EE$2,1,10),0,1)</f>
        <v>0</v>
      </c>
    </row>
    <row r="2880" spans="76:135" x14ac:dyDescent="0.25">
      <c r="BX2880" s="78"/>
      <c r="BY2880" s="319">
        <v>268</v>
      </c>
      <c r="CA2880" s="78"/>
      <c r="EE2880" s="76">
        <f>+IF(MID($J$2,1,10)=MID($EE$2,1,10),3,1)</f>
        <v>3</v>
      </c>
    </row>
    <row r="2881" spans="76:135" x14ac:dyDescent="0.25">
      <c r="BX2881" s="78"/>
      <c r="BY2881" s="319">
        <v>146</v>
      </c>
      <c r="CA2881" s="78"/>
      <c r="EE2881" s="76">
        <f>+IF(MID($J$2,1,10)=MID($EE$2,1,10),3,1)</f>
        <v>3</v>
      </c>
    </row>
    <row r="2882" spans="76:135" x14ac:dyDescent="0.25">
      <c r="BX2882" s="78"/>
      <c r="BY2882" s="319">
        <v>166</v>
      </c>
      <c r="CA2882" s="78"/>
      <c r="EE2882" s="76">
        <f>+IF(MID($J$2,1,10)=MID($EE$2,1,10),3,1)</f>
        <v>3</v>
      </c>
    </row>
    <row r="2883" spans="76:135" x14ac:dyDescent="0.25">
      <c r="BX2883" s="78"/>
      <c r="BY2883" s="319">
        <v>197</v>
      </c>
      <c r="CA2883" s="78"/>
      <c r="EE2883" s="76">
        <f>+IF(MID($J$3,1,10)=MID($EE$3,1,10),2,1)</f>
        <v>2</v>
      </c>
    </row>
    <row r="2884" spans="76:135" x14ac:dyDescent="0.25">
      <c r="BX2884" s="78"/>
      <c r="BY2884" s="319">
        <v>198</v>
      </c>
      <c r="CA2884" s="78"/>
      <c r="EE2884" s="76">
        <f>+IF(MID($J$2,1,10)=MID($EE$2,1,10),4,1)</f>
        <v>4</v>
      </c>
    </row>
    <row r="2885" spans="76:135" x14ac:dyDescent="0.25">
      <c r="BX2885" s="78"/>
      <c r="BY2885" s="319">
        <v>183</v>
      </c>
      <c r="CA2885" s="78"/>
      <c r="EE2885" s="76">
        <f>+IF(MID($J$2,1,10)=MID($EE$2,1,10),0,1)</f>
        <v>0</v>
      </c>
    </row>
    <row r="2886" spans="76:135" x14ac:dyDescent="0.25">
      <c r="BX2886" s="78"/>
      <c r="BY2886" s="319">
        <v>160</v>
      </c>
      <c r="CA2886" s="78"/>
      <c r="EE2886" s="76">
        <f>+IF(MID($J$3,1,10)=MID($EE$3,1,10),2,1)</f>
        <v>2</v>
      </c>
    </row>
    <row r="2887" spans="76:135" x14ac:dyDescent="0.25">
      <c r="BX2887" s="78"/>
      <c r="BY2887" s="319">
        <v>196</v>
      </c>
      <c r="CA2887" s="78"/>
      <c r="EE2887" s="76">
        <f>+IF(MID($J$3,1,10)=MID($EE$3,1,10),2,1)</f>
        <v>2</v>
      </c>
    </row>
    <row r="2888" spans="76:135" x14ac:dyDescent="0.25">
      <c r="BX2888" s="78"/>
      <c r="BY2888" s="322">
        <v>10</v>
      </c>
      <c r="CA2888" s="78"/>
      <c r="EE2888" s="76">
        <f>+IF(MID($J$6,1,5)=MID($EE$11,1,5),4,1)</f>
        <v>4</v>
      </c>
    </row>
    <row r="2889" spans="76:135" x14ac:dyDescent="0.25">
      <c r="BX2889" s="78"/>
      <c r="BY2889" s="319">
        <v>119</v>
      </c>
      <c r="CA2889" s="78"/>
      <c r="EE2889" s="76">
        <f>+IF(MID($J$3,1,10)=MID($EE$3,1,10),2,1)</f>
        <v>2</v>
      </c>
    </row>
    <row r="2890" spans="76:135" x14ac:dyDescent="0.25">
      <c r="BX2890" s="78"/>
      <c r="BY2890" s="322">
        <v>10</v>
      </c>
      <c r="CA2890" s="78"/>
      <c r="EE2890" s="76">
        <f>+IF(MID($J$3,1,10)=MID($EE$3,1,10),4,1)</f>
        <v>4</v>
      </c>
    </row>
    <row r="2891" spans="76:135" x14ac:dyDescent="0.25">
      <c r="BX2891" s="78"/>
      <c r="BY2891" s="319">
        <v>141</v>
      </c>
      <c r="CA2891" s="78"/>
      <c r="EE2891" s="76">
        <f>+IF(MID($J$2,1,10)=MID($EE$2,1,10),1,2)</f>
        <v>1</v>
      </c>
    </row>
    <row r="2892" spans="76:135" x14ac:dyDescent="0.25">
      <c r="BX2892" s="78"/>
      <c r="BY2892" s="325">
        <v>15</v>
      </c>
      <c r="CA2892" s="78"/>
      <c r="EE2892" s="76">
        <f>+IF(MID($J$5,1,10)=MID($EE$5,1,10),0,1)</f>
        <v>0</v>
      </c>
    </row>
    <row r="2893" spans="76:135" x14ac:dyDescent="0.25">
      <c r="BX2893" s="79"/>
      <c r="BY2893" s="322">
        <v>10</v>
      </c>
      <c r="BZ2893" s="323"/>
      <c r="CA2893" s="79"/>
      <c r="EE2893" s="76">
        <f>+IF(MID($J$6,1,5)=MID($EE$11,1,5),0,1)</f>
        <v>0</v>
      </c>
    </row>
    <row r="2894" spans="76:135" x14ac:dyDescent="0.25">
      <c r="BX2894" s="78"/>
      <c r="BY2894" s="319">
        <v>157</v>
      </c>
      <c r="CA2894" s="78"/>
      <c r="EE2894" s="76">
        <f>+IF(MID($J$3,1,10)=MID($EE$3,1,10),2,1)</f>
        <v>2</v>
      </c>
    </row>
    <row r="2895" spans="76:135" x14ac:dyDescent="0.25">
      <c r="BX2895" s="78"/>
      <c r="BY2895" s="319">
        <v>118</v>
      </c>
      <c r="CA2895" s="78"/>
      <c r="EE2895" s="76">
        <f>+IF(MID($J$2,1,10)=MID($EE$2,1,10),1,2)</f>
        <v>1</v>
      </c>
    </row>
    <row r="2896" spans="76:135" x14ac:dyDescent="0.25">
      <c r="BX2896" s="78"/>
      <c r="BY2896" s="319">
        <v>143</v>
      </c>
      <c r="CA2896" s="78"/>
      <c r="EE2896" s="76">
        <f>+IF(MID($J$2,1,10)=MID($EE$2,1,10),0,1)</f>
        <v>0</v>
      </c>
    </row>
    <row r="2897" spans="76:135" x14ac:dyDescent="0.25">
      <c r="BX2897" s="78"/>
      <c r="BY2897" s="319">
        <v>196</v>
      </c>
      <c r="CA2897" s="78"/>
      <c r="EE2897" s="76">
        <f>+IF(MID($J$2,1,10)=MID($EE$2,1,10),0,1)</f>
        <v>0</v>
      </c>
    </row>
    <row r="2898" spans="76:135" x14ac:dyDescent="0.25">
      <c r="BX2898" s="78"/>
      <c r="BY2898" s="319">
        <v>167</v>
      </c>
      <c r="CA2898" s="78"/>
      <c r="EE2898" s="76">
        <f>+IF(MID($J$2,1,10)=MID($EE$2,1,10),0,1)</f>
        <v>0</v>
      </c>
    </row>
    <row r="2899" spans="76:135" x14ac:dyDescent="0.25">
      <c r="BX2899" s="78"/>
      <c r="BY2899" s="319">
        <v>152</v>
      </c>
      <c r="CA2899" s="78"/>
      <c r="EE2899" s="76">
        <f>+IF(MID($J$2,1,10)=MID($EE$2,1,10),1,2)</f>
        <v>1</v>
      </c>
    </row>
    <row r="2900" spans="76:135" x14ac:dyDescent="0.25">
      <c r="BX2900" s="78"/>
      <c r="BY2900" s="319">
        <v>208</v>
      </c>
      <c r="CA2900" s="78"/>
      <c r="EE2900" s="76">
        <f>+IF(MID($J$2,1,10)=MID($EE$2,1,10),1,2)</f>
        <v>1</v>
      </c>
    </row>
    <row r="2901" spans="76:135" x14ac:dyDescent="0.25">
      <c r="BX2901" s="78"/>
      <c r="BY2901" s="319">
        <v>13</v>
      </c>
      <c r="CA2901" s="78"/>
      <c r="EE2901" s="76">
        <f>+IF(MID($J$2,1,10)=MID($EE$2,1,10),3,1)</f>
        <v>3</v>
      </c>
    </row>
    <row r="2902" spans="76:135" x14ac:dyDescent="0.25">
      <c r="BX2902" s="78"/>
      <c r="BY2902" s="319">
        <v>179</v>
      </c>
      <c r="CA2902" s="78"/>
      <c r="EE2902" s="76">
        <f>+IF(MID($J$2,1,10)=MID($EE$2,1,10),3,1)</f>
        <v>3</v>
      </c>
    </row>
    <row r="2903" spans="76:135" x14ac:dyDescent="0.25">
      <c r="BX2903" s="78"/>
      <c r="BY2903" s="319">
        <v>171</v>
      </c>
      <c r="CA2903" s="78"/>
      <c r="EE2903" s="76">
        <f>+IF(MID($J$2,1,10)=MID($EE$2,1,10),3,1)</f>
        <v>3</v>
      </c>
    </row>
    <row r="2904" spans="76:135" x14ac:dyDescent="0.25">
      <c r="BX2904" s="78"/>
      <c r="BY2904" s="319">
        <v>200</v>
      </c>
      <c r="CA2904" s="78"/>
      <c r="EE2904" s="76">
        <f>+IF(MID($J$2,1,10)=MID($EE$2,1,10),0,1)</f>
        <v>0</v>
      </c>
    </row>
    <row r="2905" spans="76:135" x14ac:dyDescent="0.25">
      <c r="BX2905" s="78"/>
      <c r="BY2905" s="319">
        <v>196</v>
      </c>
      <c r="CA2905" s="78"/>
      <c r="EE2905" s="76">
        <f>+IF(MID($J$2,1,10)=MID($EE$2,1,10),1,2)</f>
        <v>1</v>
      </c>
    </row>
    <row r="2906" spans="76:135" x14ac:dyDescent="0.25">
      <c r="BX2906" s="78"/>
      <c r="BY2906" s="319">
        <v>133</v>
      </c>
      <c r="CA2906" s="78"/>
      <c r="EE2906" s="76">
        <f>+IF(MID($J$2,1,10)=MID($EE$2,1,10),3,1)</f>
        <v>3</v>
      </c>
    </row>
    <row r="2907" spans="76:135" x14ac:dyDescent="0.25">
      <c r="BX2907" s="78"/>
      <c r="BY2907" s="319">
        <v>148</v>
      </c>
      <c r="CA2907" s="78"/>
      <c r="EE2907" s="76">
        <f>+IF(MID($J$2,1,10)=MID($EE$2,1,10),3,1)</f>
        <v>3</v>
      </c>
    </row>
    <row r="2908" spans="76:135" x14ac:dyDescent="0.25">
      <c r="BX2908" s="78"/>
      <c r="BY2908" s="319">
        <v>184</v>
      </c>
      <c r="CA2908" s="78"/>
      <c r="EE2908" s="76">
        <f>+IF(MID($J$2,1,10)=MID($EE$2,1,10),0,1)</f>
        <v>0</v>
      </c>
    </row>
    <row r="2909" spans="76:135" x14ac:dyDescent="0.25">
      <c r="BX2909" s="78"/>
      <c r="BY2909" s="319">
        <v>164</v>
      </c>
      <c r="CA2909" s="78"/>
      <c r="EE2909" s="76">
        <f>+IF(MID($J$2,1,10)=MID($EE$2,1,10),3,1)</f>
        <v>3</v>
      </c>
    </row>
    <row r="2910" spans="76:135" x14ac:dyDescent="0.25">
      <c r="BX2910" s="78"/>
      <c r="BY2910" s="319">
        <v>158</v>
      </c>
      <c r="CA2910" s="78"/>
      <c r="EE2910" s="76">
        <f>+IF(MID($J$2,1,10)=MID($EE$2,1,10),3,1)</f>
        <v>3</v>
      </c>
    </row>
    <row r="2911" spans="76:135" x14ac:dyDescent="0.25">
      <c r="BX2911" s="78"/>
      <c r="BY2911" s="319">
        <v>180</v>
      </c>
      <c r="CA2911" s="78"/>
      <c r="EE2911" s="76">
        <f>+IF(MID($J$2,1,10)=MID($EE$2,1,10),3,1)</f>
        <v>3</v>
      </c>
    </row>
    <row r="2912" spans="76:135" x14ac:dyDescent="0.25">
      <c r="BX2912" s="78"/>
      <c r="BY2912" s="319">
        <v>196</v>
      </c>
      <c r="CA2912" s="78"/>
      <c r="EE2912" s="76">
        <f>+IF(MID($J$2,1,10)=MID($EE$2,1,10),1,2)</f>
        <v>1</v>
      </c>
    </row>
    <row r="2913" spans="76:135" x14ac:dyDescent="0.25">
      <c r="BX2913" s="78"/>
      <c r="BY2913" s="319">
        <v>149</v>
      </c>
      <c r="CA2913" s="78"/>
      <c r="EE2913" s="76">
        <f>+IF(MID($J$3,1,10)=MID($EE$3,1,10),2,1)</f>
        <v>2</v>
      </c>
    </row>
    <row r="2914" spans="76:135" x14ac:dyDescent="0.25">
      <c r="BX2914" s="78"/>
      <c r="BY2914" s="319">
        <v>121</v>
      </c>
      <c r="CA2914" s="78"/>
      <c r="EE2914" s="76">
        <f>+IF(MID($J$2,1,10)=MID($EE$2,1,10),4,1)</f>
        <v>4</v>
      </c>
    </row>
    <row r="2915" spans="76:135" x14ac:dyDescent="0.25">
      <c r="BX2915" s="78"/>
      <c r="BY2915" s="322">
        <v>18</v>
      </c>
      <c r="CA2915" s="78"/>
      <c r="EE2915" s="76">
        <f>+IF(MID($J$3,1,10)=MID($EE$3,1,10),3,1)</f>
        <v>3</v>
      </c>
    </row>
    <row r="2916" spans="76:135" x14ac:dyDescent="0.25">
      <c r="BX2916" s="78"/>
      <c r="BY2916" s="319">
        <v>13</v>
      </c>
      <c r="CA2916" s="78"/>
      <c r="EE2916" s="76">
        <f>+IF(MID($J$3,1,10)=MID($EE$3,1,10),2,1)</f>
        <v>2</v>
      </c>
    </row>
    <row r="2917" spans="76:135" x14ac:dyDescent="0.25">
      <c r="BX2917" s="78"/>
      <c r="BY2917" s="319">
        <v>189</v>
      </c>
      <c r="CA2917" s="78"/>
      <c r="EE2917" s="76">
        <f>+IF(MID($J$3,1,10)=MID($EE$3,1,10),2,1)</f>
        <v>2</v>
      </c>
    </row>
    <row r="2918" spans="76:135" x14ac:dyDescent="0.25">
      <c r="BX2918" s="78"/>
      <c r="BY2918" s="319">
        <v>173</v>
      </c>
      <c r="CA2918" s="78"/>
      <c r="EE2918" s="76">
        <f>+IF(MID($J$2,1,10)=MID($EE$2,1,10),4,1)</f>
        <v>4</v>
      </c>
    </row>
    <row r="2919" spans="76:135" x14ac:dyDescent="0.25">
      <c r="BX2919" s="78"/>
      <c r="BY2919" s="319">
        <v>177</v>
      </c>
      <c r="CA2919" s="78"/>
      <c r="EE2919" s="76">
        <f>+IF(MID($J$3,1,10)=MID($EE$3,1,10),2,1)</f>
        <v>2</v>
      </c>
    </row>
    <row r="2920" spans="76:135" x14ac:dyDescent="0.25">
      <c r="BX2920" s="78"/>
      <c r="BY2920" s="319">
        <v>130</v>
      </c>
      <c r="CA2920" s="78"/>
      <c r="EE2920" s="76">
        <f>+IF(MID($J$2,1,10)=MID($EE$2,1,10),4,1)</f>
        <v>4</v>
      </c>
    </row>
    <row r="2921" spans="76:135" x14ac:dyDescent="0.25">
      <c r="BX2921" s="78"/>
      <c r="BY2921" s="319">
        <v>143</v>
      </c>
      <c r="CA2921" s="78"/>
      <c r="EE2921" s="76">
        <f>+IF(MID($J$2,1,10)=MID($EE$2,1,10),1,2)</f>
        <v>1</v>
      </c>
    </row>
    <row r="2922" spans="76:135" x14ac:dyDescent="0.25">
      <c r="BX2922" s="78"/>
      <c r="BY2922" s="319">
        <v>100</v>
      </c>
      <c r="CA2922" s="78"/>
      <c r="EE2922" s="76">
        <f>+IF(MID($J$3,1,10)=MID($EE$3,1,10),2,1)</f>
        <v>2</v>
      </c>
    </row>
    <row r="2923" spans="76:135" x14ac:dyDescent="0.25">
      <c r="BX2923" s="78"/>
      <c r="BY2923" s="319">
        <v>151</v>
      </c>
      <c r="CA2923" s="78"/>
      <c r="EE2923" s="76">
        <f>+IF(MID($J$2,1,10)=MID($EE$2,1,10),4,1)</f>
        <v>4</v>
      </c>
    </row>
    <row r="2924" spans="76:135" x14ac:dyDescent="0.25">
      <c r="BX2924" s="78"/>
      <c r="BY2924" s="319">
        <v>166</v>
      </c>
      <c r="CA2924" s="78"/>
      <c r="EE2924" s="76">
        <f>+IF(MID($J$2,1,10)=MID($EE$2,1,10),0,1)</f>
        <v>0</v>
      </c>
    </row>
    <row r="2925" spans="76:135" x14ac:dyDescent="0.25">
      <c r="BX2925" s="78"/>
      <c r="BY2925" s="319">
        <v>159</v>
      </c>
      <c r="CA2925" s="78"/>
      <c r="EE2925" s="76">
        <f>+IF(MID($J$3,1,10)=MID($EE$3,1,10),2,1)</f>
        <v>2</v>
      </c>
    </row>
    <row r="2926" spans="76:135" x14ac:dyDescent="0.25">
      <c r="BX2926" s="78"/>
      <c r="BY2926" s="319">
        <v>119</v>
      </c>
      <c r="CA2926" s="78"/>
      <c r="EE2926" s="76">
        <f>+IF(MID($J$3,1,10)=MID($EE$3,1,10),2,1)</f>
        <v>2</v>
      </c>
    </row>
    <row r="2927" spans="76:135" x14ac:dyDescent="0.25">
      <c r="BX2927" s="78"/>
      <c r="BY2927" s="319">
        <v>102</v>
      </c>
      <c r="CA2927" s="78"/>
      <c r="EE2927" s="76">
        <f>+IF(MID($J$2,1,10)=MID($EE$2,1,10),4,1)</f>
        <v>4</v>
      </c>
    </row>
    <row r="2928" spans="76:135" x14ac:dyDescent="0.25">
      <c r="BX2928" s="78"/>
      <c r="BY2928" s="319">
        <v>164</v>
      </c>
      <c r="CA2928" s="78"/>
      <c r="EE2928" s="76">
        <f>+IF(MID($J$3,1,10)=MID($EE$3,1,10),2,1)</f>
        <v>2</v>
      </c>
    </row>
    <row r="2929" spans="76:135" x14ac:dyDescent="0.25">
      <c r="BX2929" s="78"/>
      <c r="BY2929" s="319">
        <v>110</v>
      </c>
      <c r="CA2929" s="78"/>
      <c r="EE2929" s="76">
        <f>+IF(MID($J$2,1,10)=MID($EE$2,1,10),4,1)</f>
        <v>4</v>
      </c>
    </row>
    <row r="2930" spans="76:135" x14ac:dyDescent="0.25">
      <c r="BX2930" s="78"/>
      <c r="BY2930" s="319">
        <v>169</v>
      </c>
      <c r="CA2930" s="78"/>
      <c r="EE2930" s="76">
        <f>+IF(MID($J$2,1,10)=MID($EE$2,1,10),1,2)</f>
        <v>1</v>
      </c>
    </row>
    <row r="2931" spans="76:135" x14ac:dyDescent="0.25">
      <c r="BX2931" s="78"/>
      <c r="BY2931" s="319">
        <v>147</v>
      </c>
      <c r="CA2931" s="78"/>
      <c r="EE2931" s="76">
        <f>+IF(MID($J$2,1,10)=MID($EE$2,1,10),3,1)</f>
        <v>3</v>
      </c>
    </row>
    <row r="2932" spans="76:135" x14ac:dyDescent="0.25">
      <c r="BX2932" s="78"/>
      <c r="BY2932" s="319">
        <v>179</v>
      </c>
      <c r="CA2932" s="78"/>
      <c r="EE2932" s="76">
        <f>+IF(MID($J$2,1,10)=MID($EE$2,1,10),1,2)</f>
        <v>1</v>
      </c>
    </row>
    <row r="2933" spans="76:135" x14ac:dyDescent="0.25">
      <c r="BX2933" s="78"/>
      <c r="BY2933" s="319">
        <v>172</v>
      </c>
      <c r="CA2933" s="78"/>
      <c r="EE2933" s="76">
        <f>+IF(MID($J$3,1,10)=MID($EE$3,1,10),2,1)</f>
        <v>2</v>
      </c>
    </row>
    <row r="2934" spans="76:135" x14ac:dyDescent="0.25">
      <c r="BX2934" s="78"/>
      <c r="BY2934" s="319">
        <v>113</v>
      </c>
      <c r="CA2934" s="78"/>
      <c r="EE2934" s="76">
        <f>+IF(MID($J$2,1,10)=MID($EE$2,1,10),1,2)</f>
        <v>1</v>
      </c>
    </row>
    <row r="2935" spans="76:135" x14ac:dyDescent="0.25">
      <c r="BX2935" s="78"/>
      <c r="BY2935" s="319">
        <v>156</v>
      </c>
      <c r="CA2935" s="78"/>
      <c r="EE2935" s="76">
        <f>+IF(MID($J$2,1,10)=MID($EE$2,1,10),0,1)</f>
        <v>0</v>
      </c>
    </row>
    <row r="2936" spans="76:135" x14ac:dyDescent="0.25">
      <c r="BX2936" s="78"/>
      <c r="BY2936" s="319">
        <v>167</v>
      </c>
      <c r="CA2936" s="78"/>
    </row>
    <row r="2937" spans="76:135" x14ac:dyDescent="0.25">
      <c r="BX2937" s="78"/>
      <c r="BY2937" s="319">
        <v>194</v>
      </c>
      <c r="CA2937" s="78"/>
      <c r="EE2937" s="76">
        <f>+IF(MID($J$2,1,10)=MID($EE$2,1,10),0,1)</f>
        <v>0</v>
      </c>
    </row>
    <row r="2938" spans="76:135" x14ac:dyDescent="0.25">
      <c r="BX2938" s="78"/>
      <c r="BY2938" s="324">
        <v>5</v>
      </c>
      <c r="CA2938" s="78"/>
      <c r="EE2938" s="76">
        <f>+IF(MID($J$5,1,10)=MID($EE$5,1,10),0,1)</f>
        <v>0</v>
      </c>
    </row>
    <row r="2939" spans="76:135" x14ac:dyDescent="0.25">
      <c r="BX2939" s="78"/>
      <c r="BY2939" s="319">
        <v>118</v>
      </c>
      <c r="CA2939" s="78"/>
      <c r="EE2939" s="76">
        <f>+IF(MID($J$2,1,10)=MID($EE$2,1,10),1,2)</f>
        <v>1</v>
      </c>
    </row>
    <row r="2940" spans="76:135" x14ac:dyDescent="0.25">
      <c r="BX2940" s="78"/>
      <c r="BY2940" s="319">
        <v>113</v>
      </c>
      <c r="CA2940" s="78"/>
      <c r="EE2940" s="76">
        <f>+IF(MID($J$2,1,10)=MID($EE$2,1,10),1,2)</f>
        <v>1</v>
      </c>
    </row>
    <row r="2941" spans="76:135" x14ac:dyDescent="0.25">
      <c r="BX2941" s="78"/>
      <c r="BY2941" s="319">
        <v>175</v>
      </c>
      <c r="CA2941" s="78"/>
      <c r="EE2941" s="76">
        <f>+IF(MID($J$2,1,10)=MID($EE$2,1,10),3,1)</f>
        <v>3</v>
      </c>
    </row>
    <row r="2942" spans="76:135" x14ac:dyDescent="0.25">
      <c r="BX2942" s="78"/>
      <c r="BY2942" s="319">
        <v>190</v>
      </c>
      <c r="CA2942" s="78"/>
      <c r="EE2942" s="76">
        <f>+IF(MID($J$2,1,10)=MID($EE$2,1,10),3,1)</f>
        <v>3</v>
      </c>
    </row>
    <row r="2943" spans="76:135" x14ac:dyDescent="0.25">
      <c r="BX2943" s="78"/>
      <c r="BY2943" s="319">
        <v>177</v>
      </c>
      <c r="CA2943" s="78"/>
      <c r="EE2943" s="76">
        <f>+IF(MID($J$2,1,10)=MID($EE$2,1,10),3,1)</f>
        <v>3</v>
      </c>
    </row>
    <row r="2944" spans="76:135" x14ac:dyDescent="0.25">
      <c r="BX2944" s="78"/>
      <c r="BY2944" s="319">
        <v>133</v>
      </c>
      <c r="CA2944" s="78"/>
      <c r="EE2944" s="76">
        <f>+IF(MID($J$2,1,10)=MID($EE$2,1,10),0,1)</f>
        <v>0</v>
      </c>
    </row>
    <row r="2945" spans="76:135" x14ac:dyDescent="0.25">
      <c r="BX2945" s="78"/>
      <c r="BY2945" s="319">
        <v>184</v>
      </c>
      <c r="CA2945" s="78"/>
      <c r="EE2945" s="76">
        <f>+IF(MID($J$2,1,10)=MID($EE$2,1,10),1,2)</f>
        <v>1</v>
      </c>
    </row>
    <row r="2946" spans="76:135" x14ac:dyDescent="0.25">
      <c r="BX2946" s="78"/>
      <c r="BY2946" s="319">
        <v>178</v>
      </c>
      <c r="CA2946" s="78"/>
      <c r="EE2946" s="76">
        <f>+IF(MID($J$2,1,10)=MID($EE$2,1,10),3,1)</f>
        <v>3</v>
      </c>
    </row>
    <row r="2947" spans="76:135" x14ac:dyDescent="0.25">
      <c r="BX2947" s="78"/>
      <c r="BY2947" s="319">
        <v>115</v>
      </c>
      <c r="CA2947" s="78"/>
      <c r="EE2947" s="76">
        <f>+IF(MID($J$2,1,10)=MID($EE$2,1,10),3,1)</f>
        <v>3</v>
      </c>
    </row>
    <row r="2948" spans="76:135" x14ac:dyDescent="0.25">
      <c r="BX2948" s="78"/>
      <c r="BY2948" s="319">
        <v>200</v>
      </c>
      <c r="CA2948" s="78"/>
      <c r="EE2948" s="76">
        <f>+IF(MID($J$2,1,10)=MID($EE$2,1,10),0,1)</f>
        <v>0</v>
      </c>
    </row>
    <row r="2949" spans="76:135" x14ac:dyDescent="0.25">
      <c r="BX2949" s="78"/>
      <c r="BY2949" s="322">
        <v>28</v>
      </c>
      <c r="CA2949" s="78"/>
      <c r="EE2949" s="76">
        <f>+IF(MID($J$6,1,5)=MID($EE$11,1,5),0,1)</f>
        <v>0</v>
      </c>
    </row>
    <row r="2950" spans="76:135" x14ac:dyDescent="0.25">
      <c r="BX2950" s="78"/>
      <c r="BY2950" s="319">
        <v>182</v>
      </c>
      <c r="CA2950" s="78"/>
      <c r="EE2950" s="76">
        <f>+IF(MID($J$2,1,10)=MID($EE$2,1,10),3,1)</f>
        <v>3</v>
      </c>
    </row>
    <row r="2951" spans="76:135" x14ac:dyDescent="0.25">
      <c r="BX2951" s="79"/>
      <c r="BY2951" s="322">
        <v>20</v>
      </c>
      <c r="BZ2951" s="323"/>
      <c r="CA2951" s="79"/>
      <c r="EE2951" s="76">
        <f>+IF(MID($J$3,1,10)=MID($EE$3,1,10),0,1)</f>
        <v>0</v>
      </c>
    </row>
    <row r="2952" spans="76:135" x14ac:dyDescent="0.25">
      <c r="BX2952" s="78"/>
      <c r="BY2952" s="319">
        <v>13</v>
      </c>
      <c r="CA2952" s="78"/>
      <c r="EE2952" s="76">
        <f>+IF(MID($J$2,1,10)=MID($EE$2,1,10),1,2)</f>
        <v>1</v>
      </c>
    </row>
    <row r="2953" spans="76:135" x14ac:dyDescent="0.25">
      <c r="BX2953" s="78"/>
      <c r="BY2953" s="319">
        <v>196</v>
      </c>
      <c r="CA2953" s="78"/>
      <c r="EE2953" s="76">
        <f>+IF(MID($J$3,1,10)=MID($EE$3,1,10),2,1)</f>
        <v>2</v>
      </c>
    </row>
    <row r="2954" spans="76:135" x14ac:dyDescent="0.25">
      <c r="BX2954" s="78"/>
      <c r="BY2954" s="319">
        <v>98</v>
      </c>
      <c r="CA2954" s="78"/>
      <c r="EE2954" s="76">
        <f>+IF(MID($J$2,1,10)=MID($EE$2,1,10),4,1)</f>
        <v>4</v>
      </c>
    </row>
    <row r="2955" spans="76:135" x14ac:dyDescent="0.25">
      <c r="BX2955" s="78"/>
      <c r="BY2955" s="319">
        <v>137</v>
      </c>
      <c r="CA2955" s="78"/>
      <c r="EE2955" s="76">
        <f>+IF(MID($J$2,1,10)=MID($EE$2,1,10),0,1)</f>
        <v>0</v>
      </c>
    </row>
    <row r="2956" spans="76:135" x14ac:dyDescent="0.25">
      <c r="BX2956" s="78"/>
      <c r="BY2956" s="319">
        <v>158</v>
      </c>
      <c r="CA2956" s="78"/>
      <c r="EE2956" s="76">
        <f>+IF(MID($J$3,1,10)=MID($EE$3,1,10),2,1)</f>
        <v>2</v>
      </c>
    </row>
    <row r="2957" spans="76:135" x14ac:dyDescent="0.25">
      <c r="BX2957" s="78"/>
      <c r="BY2957" s="319">
        <v>114</v>
      </c>
      <c r="CA2957" s="78"/>
      <c r="EE2957" s="76">
        <f>+IF(MID($J$3,1,10)=MID($EE$3,1,10),2,1)</f>
        <v>2</v>
      </c>
    </row>
    <row r="2958" spans="76:135" x14ac:dyDescent="0.25">
      <c r="BX2958" s="78"/>
      <c r="BY2958" s="319">
        <v>856</v>
      </c>
      <c r="CA2958" s="78"/>
      <c r="EE2958" s="76">
        <f>+IF(MID($J$2,1,10)=MID($EE$2,1,10),4,1)</f>
        <v>4</v>
      </c>
    </row>
    <row r="2959" spans="76:135" x14ac:dyDescent="0.25">
      <c r="BX2959" s="78"/>
      <c r="BY2959" s="319">
        <v>113</v>
      </c>
      <c r="CA2959" s="78"/>
      <c r="EE2959" s="76">
        <f>+IF(MID($J$3,1,10)=MID($EE$3,1,10),2,1)</f>
        <v>2</v>
      </c>
    </row>
    <row r="2960" spans="76:135" x14ac:dyDescent="0.25">
      <c r="BX2960" s="78"/>
      <c r="BY2960" s="319">
        <v>523</v>
      </c>
      <c r="CA2960" s="78"/>
      <c r="EE2960" s="76">
        <f>+IF(MID($J$2,1,10)=MID($EE$2,1,10),4,1)</f>
        <v>4</v>
      </c>
    </row>
    <row r="2961" spans="76:135" x14ac:dyDescent="0.25">
      <c r="BX2961" s="78"/>
      <c r="BY2961" s="319">
        <v>118</v>
      </c>
      <c r="CA2961" s="78"/>
      <c r="EE2961" s="76">
        <f>+IF(MID($J$2,1,10)=MID($EE$2,1,10),1,2)</f>
        <v>1</v>
      </c>
    </row>
    <row r="2962" spans="76:135" x14ac:dyDescent="0.25">
      <c r="BX2962" s="78"/>
      <c r="BY2962" s="319">
        <v>737</v>
      </c>
      <c r="CA2962" s="78"/>
      <c r="EE2962" s="76">
        <f>+IF(MID($J$2,1,10)=MID($EE$2,1,10),3,1)</f>
        <v>3</v>
      </c>
    </row>
    <row r="2963" spans="76:135" x14ac:dyDescent="0.25">
      <c r="BX2963" s="78"/>
      <c r="BY2963" s="319">
        <v>180</v>
      </c>
      <c r="CA2963" s="78"/>
      <c r="EE2963" s="76">
        <f>+IF(MID($J$2,1,10)=MID($EE$2,1,10),1,2)</f>
        <v>1</v>
      </c>
    </row>
    <row r="2964" spans="76:135" x14ac:dyDescent="0.25">
      <c r="BX2964" s="78"/>
      <c r="BY2964" s="319">
        <v>912</v>
      </c>
      <c r="CA2964" s="78"/>
      <c r="EE2964" s="76">
        <f>+IF(MID($J$3,1,10)=MID($EE$3,1,10),2,1)</f>
        <v>2</v>
      </c>
    </row>
    <row r="2965" spans="76:135" x14ac:dyDescent="0.25">
      <c r="BX2965" s="78"/>
      <c r="BY2965" s="319">
        <v>187</v>
      </c>
      <c r="CA2965" s="78"/>
      <c r="EE2965" s="76">
        <f>+IF(MID($J$2,1,10)=MID($EE$2,1,10),1,2)</f>
        <v>1</v>
      </c>
    </row>
    <row r="2966" spans="76:135" x14ac:dyDescent="0.25">
      <c r="BX2966" s="78"/>
      <c r="BY2966" s="319">
        <v>915</v>
      </c>
      <c r="CA2966" s="78"/>
      <c r="EE2966" s="76">
        <f>+IF(MID($J$2,1,10)=MID($EE$2,1,10),0,1)</f>
        <v>0</v>
      </c>
    </row>
    <row r="2967" spans="76:135" x14ac:dyDescent="0.25">
      <c r="BX2967" s="78"/>
      <c r="BY2967" s="319">
        <v>110</v>
      </c>
      <c r="CA2967" s="78"/>
      <c r="EE2967" s="76">
        <f>+IF(MID($J$2,1,10)=MID($EE$2,1,10),0,1)</f>
        <v>0</v>
      </c>
    </row>
    <row r="2968" spans="76:135" x14ac:dyDescent="0.25">
      <c r="BX2968" s="78"/>
      <c r="BY2968" s="319">
        <v>652</v>
      </c>
      <c r="CA2968" s="78"/>
      <c r="EE2968" s="76">
        <f>+IF(MID($J$2,1,10)=MID($EE$2,1,10),0,1)</f>
        <v>0</v>
      </c>
    </row>
    <row r="2969" spans="76:135" x14ac:dyDescent="0.25">
      <c r="BX2969" s="78"/>
      <c r="BY2969" s="319">
        <v>321</v>
      </c>
      <c r="CA2969" s="78"/>
      <c r="EE2969" s="76">
        <f>+IF(MID($J$2,1,10)=MID($EE$2,1,10),1,2)</f>
        <v>1</v>
      </c>
    </row>
    <row r="2970" spans="76:135" x14ac:dyDescent="0.25">
      <c r="BX2970" s="78"/>
      <c r="BY2970" s="319">
        <v>108</v>
      </c>
      <c r="CA2970" s="78"/>
      <c r="EE2970" s="76">
        <f>+IF(MID($J$2,1,10)=MID($EE$2,1,10),1,2)</f>
        <v>1</v>
      </c>
    </row>
    <row r="2971" spans="76:135" x14ac:dyDescent="0.25">
      <c r="BX2971" s="78"/>
      <c r="BY2971" s="319">
        <v>154</v>
      </c>
      <c r="CA2971" s="78"/>
      <c r="EE2971" s="76">
        <f>+IF(MID($J$2,1,10)=MID($EE$2,1,10),3,1)</f>
        <v>3</v>
      </c>
    </row>
    <row r="2972" spans="76:135" x14ac:dyDescent="0.25">
      <c r="BX2972" s="78"/>
      <c r="BY2972" s="319">
        <v>170</v>
      </c>
      <c r="CA2972" s="78"/>
      <c r="EE2972" s="76">
        <f>+IF(MID($J$2,1,10)=MID($EE$2,1,10),3,1)</f>
        <v>3</v>
      </c>
    </row>
    <row r="2973" spans="76:135" x14ac:dyDescent="0.25">
      <c r="BX2973" s="78"/>
      <c r="BY2973" s="319">
        <v>127</v>
      </c>
      <c r="CA2973" s="78"/>
      <c r="EE2973" s="76">
        <f>+IF(MID($J$2,1,10)=MID($EE$2,1,10),3,1)</f>
        <v>3</v>
      </c>
    </row>
    <row r="2974" spans="76:135" x14ac:dyDescent="0.25">
      <c r="BX2974" s="78"/>
      <c r="BY2974" s="322">
        <v>7</v>
      </c>
      <c r="CA2974" s="78"/>
      <c r="EE2974" s="76">
        <f>+IF(MID($J$6,1,5)=MID($EE$11,1,5),0,1)</f>
        <v>0</v>
      </c>
    </row>
    <row r="2975" spans="76:135" x14ac:dyDescent="0.25">
      <c r="BX2975" s="78"/>
      <c r="BY2975" s="319">
        <v>493</v>
      </c>
      <c r="CA2975" s="78"/>
      <c r="EE2975" s="76">
        <f>+IF(MID($J$2,1,10)=MID($EE$2,1,10),1,2)</f>
        <v>1</v>
      </c>
    </row>
    <row r="2976" spans="76:135" x14ac:dyDescent="0.25">
      <c r="BX2976" s="78"/>
      <c r="BY2976" s="319">
        <v>169</v>
      </c>
      <c r="CA2976" s="78"/>
      <c r="EE2976" s="76">
        <f>+IF(MID($J$2,1,10)=MID($EE$2,1,10),3,1)</f>
        <v>3</v>
      </c>
    </row>
    <row r="2977" spans="76:135" x14ac:dyDescent="0.25">
      <c r="BX2977" s="78"/>
      <c r="BY2977" s="319">
        <v>504</v>
      </c>
      <c r="CA2977" s="78"/>
      <c r="EE2977" s="76">
        <f>+IF(MID($J$2,1,10)=MID($EE$2,1,10),3,1)</f>
        <v>3</v>
      </c>
    </row>
    <row r="2978" spans="76:135" x14ac:dyDescent="0.25">
      <c r="BX2978" s="78"/>
      <c r="BY2978" s="319">
        <v>140</v>
      </c>
      <c r="CA2978" s="78"/>
      <c r="EE2978" s="76">
        <f>+IF(MID($J$2,1,10)=MID($EE$2,1,10),0,1)</f>
        <v>0</v>
      </c>
    </row>
    <row r="2979" spans="76:135" x14ac:dyDescent="0.25">
      <c r="BX2979" s="78"/>
      <c r="BY2979" s="319">
        <v>321</v>
      </c>
      <c r="CA2979" s="78"/>
      <c r="EE2979" s="76">
        <f>+IF(MID($J$2,1,10)=MID($EE$2,1,10),3,1)</f>
        <v>3</v>
      </c>
    </row>
    <row r="2980" spans="76:135" x14ac:dyDescent="0.25">
      <c r="BX2980" s="78"/>
      <c r="BY2980" s="319">
        <v>184</v>
      </c>
      <c r="CA2980" s="78"/>
      <c r="EE2980" s="76">
        <f>+IF(MID($J$2,1,10)=MID($EE$2,1,10),3,1)</f>
        <v>3</v>
      </c>
    </row>
    <row r="2981" spans="76:135" x14ac:dyDescent="0.25">
      <c r="BX2981" s="78"/>
      <c r="BY2981" s="319">
        <v>128</v>
      </c>
      <c r="CA2981" s="78"/>
      <c r="EE2981" s="76">
        <f>+IF(MID($J$2,1,10)=MID($EE$2,1,10),3,1)</f>
        <v>3</v>
      </c>
    </row>
    <row r="2982" spans="76:135" x14ac:dyDescent="0.25">
      <c r="BX2982" s="78"/>
      <c r="BY2982" s="319">
        <v>171</v>
      </c>
      <c r="CA2982" s="78"/>
      <c r="EE2982" s="76">
        <f>+IF(MID($J$2,1,10)=MID($EE$2,1,10),1,2)</f>
        <v>1</v>
      </c>
    </row>
    <row r="2983" spans="76:135" x14ac:dyDescent="0.25">
      <c r="BX2983" s="78"/>
      <c r="BY2983" s="319">
        <v>917</v>
      </c>
      <c r="CA2983" s="78"/>
    </row>
    <row r="2984" spans="76:135" x14ac:dyDescent="0.25">
      <c r="BX2984" s="78"/>
      <c r="BY2984" s="319">
        <v>186</v>
      </c>
      <c r="CA2984" s="78"/>
      <c r="EE2984" s="76">
        <f>+IF(MID($J$3,1,10)=MID($EE$3,1,10),2,1)</f>
        <v>2</v>
      </c>
    </row>
    <row r="2985" spans="76:135" x14ac:dyDescent="0.25">
      <c r="BX2985" s="78"/>
      <c r="BY2985" s="319">
        <v>307</v>
      </c>
      <c r="CA2985" s="78"/>
    </row>
    <row r="2986" spans="76:135" x14ac:dyDescent="0.25">
      <c r="BX2986" s="78"/>
      <c r="BY2986" s="319">
        <v>593</v>
      </c>
      <c r="CA2986" s="78"/>
    </row>
    <row r="2987" spans="76:135" x14ac:dyDescent="0.25">
      <c r="BX2987" s="78"/>
      <c r="BY2987" s="319">
        <v>168</v>
      </c>
      <c r="CA2987" s="78"/>
      <c r="EE2987" s="76">
        <f>+IF(MID($J$2,1,10)=MID($EE$2,1,10),4,1)</f>
        <v>4</v>
      </c>
    </row>
    <row r="2988" spans="76:135" x14ac:dyDescent="0.25">
      <c r="BX2988" s="78"/>
      <c r="BY2988" s="319">
        <v>725</v>
      </c>
      <c r="CA2988" s="78"/>
      <c r="EE2988" s="76">
        <f>+IF(MID($J$2,1,10)=MID($EE$2,1,10),0,1)</f>
        <v>0</v>
      </c>
    </row>
    <row r="2989" spans="76:135" x14ac:dyDescent="0.25">
      <c r="BX2989" s="78"/>
      <c r="BY2989" s="319">
        <v>135</v>
      </c>
      <c r="CA2989" s="78"/>
      <c r="EE2989" s="76">
        <f>+IF(MID($J$3,1,10)=MID($EE$3,1,10),2,1)</f>
        <v>2</v>
      </c>
    </row>
    <row r="2990" spans="76:135" x14ac:dyDescent="0.25">
      <c r="BX2990" s="78"/>
      <c r="BY2990" s="319">
        <v>119</v>
      </c>
      <c r="CA2990" s="78"/>
      <c r="EE2990" s="76">
        <f>+IF(MID($J$3,1,10)=MID($EE$3,1,10),2,1)</f>
        <v>2</v>
      </c>
    </row>
    <row r="2991" spans="76:135" x14ac:dyDescent="0.25">
      <c r="BX2991" s="78"/>
      <c r="BY2991" s="319">
        <v>130</v>
      </c>
      <c r="CA2991" s="78"/>
      <c r="EE2991" s="76">
        <f>+IF(MID($J$2,1,10)=MID($EE$2,1,10),4,1)</f>
        <v>4</v>
      </c>
    </row>
    <row r="2992" spans="76:135" x14ac:dyDescent="0.25">
      <c r="BX2992" s="78"/>
      <c r="BY2992" s="319">
        <v>143</v>
      </c>
      <c r="CA2992" s="78"/>
      <c r="EE2992" s="76">
        <f>+IF(MID($J$3,1,10)=MID($EE$3,1,10),2,1)</f>
        <v>2</v>
      </c>
    </row>
    <row r="2993" spans="76:135" x14ac:dyDescent="0.25">
      <c r="BX2993" s="78"/>
      <c r="BY2993" s="319">
        <v>1</v>
      </c>
      <c r="CA2993" s="78"/>
      <c r="EE2993" s="76">
        <f>+IF(MID($J$2,1,10)=MID($EE$2,1,10),4,1)</f>
        <v>4</v>
      </c>
    </row>
    <row r="2994" spans="76:135" x14ac:dyDescent="0.25">
      <c r="BX2994" s="78"/>
      <c r="BY2994" s="319">
        <v>713</v>
      </c>
      <c r="CA2994" s="78"/>
      <c r="EE2994" s="76">
        <f>+IF(MID($J$2,1,10)=MID($EE$2,1,10),1,2)</f>
        <v>1</v>
      </c>
    </row>
    <row r="2995" spans="76:135" x14ac:dyDescent="0.25">
      <c r="BX2995" s="78"/>
      <c r="BY2995" s="319">
        <v>182</v>
      </c>
      <c r="CA2995" s="78"/>
      <c r="EE2995" s="76">
        <f>+IF(MID($J$2,1,10)=MID($EE$2,1,10),3,1)</f>
        <v>3</v>
      </c>
    </row>
    <row r="2996" spans="76:135" x14ac:dyDescent="0.25">
      <c r="BX2996" s="78"/>
      <c r="BY2996" s="319">
        <v>592</v>
      </c>
      <c r="CA2996" s="78"/>
      <c r="EE2996" s="76">
        <f>+IF(MID($J$2,1,10)=MID($EE$2,1,10),1,2)</f>
        <v>1</v>
      </c>
    </row>
    <row r="2997" spans="76:135" x14ac:dyDescent="0.25">
      <c r="BX2997" s="78"/>
      <c r="BY2997" s="319">
        <v>160</v>
      </c>
      <c r="CA2997" s="78"/>
      <c r="EE2997" s="76">
        <f>+IF(MID($J$3,1,10)=MID($EE$3,1,10),2,1)</f>
        <v>2</v>
      </c>
    </row>
    <row r="2998" spans="76:135" x14ac:dyDescent="0.25">
      <c r="BX2998" s="78"/>
      <c r="BY2998" s="319">
        <v>130</v>
      </c>
      <c r="CA2998" s="78"/>
      <c r="EE2998" s="76">
        <f>+IF(MID($J$2,1,10)=MID($EE$2,1,10),1,2)</f>
        <v>1</v>
      </c>
    </row>
    <row r="2999" spans="76:135" x14ac:dyDescent="0.25">
      <c r="BX2999" s="78"/>
      <c r="BY2999" s="319">
        <v>735</v>
      </c>
      <c r="CA2999" s="78"/>
      <c r="EE2999" s="76">
        <f>+IF(MID($J$2,1,10)=MID($EE$2,1,10),0,1)</f>
        <v>0</v>
      </c>
    </row>
    <row r="3000" spans="76:135" x14ac:dyDescent="0.25">
      <c r="BX3000" s="78"/>
      <c r="BY3000" s="319">
        <v>199</v>
      </c>
      <c r="CA3000" s="78"/>
      <c r="EE3000" s="76">
        <f>+IF(MID($J$2,1,10)=MID($EE$2,1,10),0,1)</f>
        <v>0</v>
      </c>
    </row>
    <row r="3001" spans="76:135" x14ac:dyDescent="0.25">
      <c r="BX3001" s="78"/>
      <c r="BY3001" s="319">
        <v>531</v>
      </c>
      <c r="CA3001" s="78"/>
      <c r="EE3001" s="76">
        <f>+IF(MID($J$2,1,10)=MID($EE$2,1,10),0,1)</f>
        <v>0</v>
      </c>
    </row>
    <row r="3002" spans="76:135" x14ac:dyDescent="0.25">
      <c r="BX3002" s="78"/>
      <c r="BY3002" s="319">
        <v>105</v>
      </c>
      <c r="CA3002" s="78"/>
      <c r="EE3002" s="76">
        <f>+IF(MID($J$2,1,10)=MID($EE$2,1,10),1,2)</f>
        <v>1</v>
      </c>
    </row>
    <row r="3003" spans="76:135" x14ac:dyDescent="0.25">
      <c r="BX3003" s="78"/>
      <c r="BY3003" s="319">
        <v>1068</v>
      </c>
      <c r="CA3003" s="78"/>
      <c r="EE3003" s="76">
        <f>+IF(MID($J$2,1,10)=MID($EE$2,1,10),1,2)</f>
        <v>1</v>
      </c>
    </row>
    <row r="3004" spans="76:135" x14ac:dyDescent="0.25">
      <c r="BX3004" s="78"/>
      <c r="BY3004" s="319">
        <v>161</v>
      </c>
      <c r="CA3004" s="78"/>
      <c r="EE3004" s="76">
        <f>+IF(MID($J$2,1,10)=MID($EE$2,1,10),3,1)</f>
        <v>3</v>
      </c>
    </row>
    <row r="3005" spans="76:135" x14ac:dyDescent="0.25">
      <c r="BX3005" s="78"/>
      <c r="BY3005" s="319">
        <v>638</v>
      </c>
      <c r="CA3005" s="78"/>
      <c r="EE3005" s="76">
        <f>+IF(MID($J$2,1,10)=MID($EE$2,1,10),3,1)</f>
        <v>3</v>
      </c>
    </row>
    <row r="3006" spans="76:135" x14ac:dyDescent="0.25">
      <c r="BX3006" s="78"/>
      <c r="BY3006" s="319">
        <v>109</v>
      </c>
      <c r="CA3006" s="78"/>
      <c r="EE3006" s="76">
        <f>+IF(MID($J$2,1,10)=MID($EE$2,1,10),3,1)</f>
        <v>3</v>
      </c>
    </row>
    <row r="3007" spans="76:135" x14ac:dyDescent="0.25">
      <c r="BX3007" s="78"/>
      <c r="BY3007" s="319">
        <v>381</v>
      </c>
      <c r="CA3007" s="78"/>
      <c r="EE3007" s="76">
        <f>+IF(MID($J$2,1,10)=MID($EE$2,1,10),0,1)</f>
        <v>0</v>
      </c>
    </row>
    <row r="3008" spans="76:135" x14ac:dyDescent="0.25">
      <c r="BX3008" s="78"/>
      <c r="BY3008" s="319">
        <v>187</v>
      </c>
      <c r="CA3008" s="78"/>
      <c r="EE3008" s="76">
        <f>+IF(MID($J$2,1,10)=MID($EE$2,1,10),1,2)</f>
        <v>1</v>
      </c>
    </row>
    <row r="3009" spans="76:135" x14ac:dyDescent="0.25">
      <c r="BX3009" s="78"/>
      <c r="BY3009" s="319">
        <v>707</v>
      </c>
      <c r="CA3009" s="78"/>
      <c r="EE3009" s="76">
        <f>+IF(MID($J$2,1,10)=MID($EE$2,1,10),3,1)</f>
        <v>3</v>
      </c>
    </row>
    <row r="3010" spans="76:135" x14ac:dyDescent="0.25">
      <c r="BX3010" s="78"/>
      <c r="BY3010" s="319">
        <v>167</v>
      </c>
      <c r="CA3010" s="78"/>
      <c r="EE3010" s="76">
        <f>+IF(MID($J$2,1,10)=MID($EE$2,1,10),3,1)</f>
        <v>3</v>
      </c>
    </row>
    <row r="3011" spans="76:135" x14ac:dyDescent="0.25">
      <c r="BX3011" s="78"/>
      <c r="BY3011" s="319">
        <v>915</v>
      </c>
      <c r="CA3011" s="78"/>
      <c r="EE3011" s="76">
        <f>+IF(MID($J$2,1,10)=MID($EE$2,1,10),0,1)</f>
        <v>0</v>
      </c>
    </row>
    <row r="3012" spans="76:135" x14ac:dyDescent="0.25">
      <c r="BX3012" s="78"/>
      <c r="BY3012" s="319">
        <v>727</v>
      </c>
      <c r="CA3012" s="78"/>
      <c r="EE3012" s="76">
        <f>+IF(MID($J$2,1,10)=MID($EE$2,1,10),3,1)</f>
        <v>3</v>
      </c>
    </row>
    <row r="3013" spans="76:135" x14ac:dyDescent="0.25">
      <c r="BX3013" s="78"/>
      <c r="BY3013" s="319">
        <v>195</v>
      </c>
      <c r="CA3013" s="78"/>
      <c r="EE3013" s="76">
        <f>+IF(MID($J$2,1,10)=MID($EE$2,1,10),3,1)</f>
        <v>3</v>
      </c>
    </row>
    <row r="3014" spans="76:135" x14ac:dyDescent="0.25">
      <c r="BX3014" s="78"/>
      <c r="BY3014" s="319">
        <v>471</v>
      </c>
      <c r="CA3014" s="78"/>
      <c r="EE3014" s="76">
        <f>+IF(MID($J$2,1,10)=MID($EE$2,1,10),3,1)</f>
        <v>3</v>
      </c>
    </row>
    <row r="3015" spans="76:135" x14ac:dyDescent="0.25">
      <c r="BX3015" s="78"/>
      <c r="BY3015" s="319">
        <v>128</v>
      </c>
      <c r="CA3015" s="78"/>
      <c r="EE3015" s="76">
        <f>+IF(MID($J$2,1,10)=MID($EE$2,1,10),1,2)</f>
        <v>1</v>
      </c>
    </row>
    <row r="3016" spans="76:135" x14ac:dyDescent="0.25">
      <c r="BX3016" s="78"/>
      <c r="BY3016" s="319">
        <v>128</v>
      </c>
      <c r="CA3016" s="78"/>
      <c r="EE3016" s="76">
        <f>+IF(MID($J$3,1,10)=MID($EE$3,1,10),2,1)</f>
        <v>2</v>
      </c>
    </row>
    <row r="3017" spans="76:135" x14ac:dyDescent="0.25">
      <c r="BX3017" s="78"/>
      <c r="BY3017" s="325">
        <v>15</v>
      </c>
      <c r="CA3017" s="78"/>
      <c r="EE3017" s="76">
        <f>+IF(MID($J$6,1,5)=MID($EE$11,1,5),2,1)</f>
        <v>2</v>
      </c>
    </row>
    <row r="3018" spans="76:135" x14ac:dyDescent="0.25">
      <c r="BX3018" s="78"/>
      <c r="BY3018" s="319">
        <v>127</v>
      </c>
      <c r="CA3018" s="78"/>
      <c r="EE3018" s="76">
        <f>+IF(MID($J$2,1,10)=MID($EE$2,1,10),0,1)</f>
        <v>0</v>
      </c>
    </row>
    <row r="3019" spans="76:135" x14ac:dyDescent="0.25">
      <c r="BX3019" s="78"/>
      <c r="BY3019" s="319">
        <v>164</v>
      </c>
      <c r="CA3019" s="78"/>
      <c r="EE3019" s="76">
        <f>+IF(MID($J$3,1,10)=MID($EE$3,1,10),2,1)</f>
        <v>2</v>
      </c>
    </row>
    <row r="3020" spans="76:135" x14ac:dyDescent="0.25">
      <c r="BX3020" s="78"/>
      <c r="BY3020" s="319">
        <v>1148</v>
      </c>
      <c r="CA3020" s="78"/>
      <c r="EE3020" s="76">
        <f>+IF(MID($J$3,1,10)=MID($EE$3,1,10),2,1)</f>
        <v>2</v>
      </c>
    </row>
    <row r="3021" spans="76:135" x14ac:dyDescent="0.25">
      <c r="BX3021" s="78"/>
      <c r="BY3021" s="319">
        <v>114</v>
      </c>
      <c r="CA3021" s="78"/>
      <c r="EE3021" s="76">
        <f>+IF(MID($J$2,1,10)=MID($EE$2,1,10),4,1)</f>
        <v>4</v>
      </c>
    </row>
    <row r="3022" spans="76:135" x14ac:dyDescent="0.25">
      <c r="BX3022" s="78"/>
      <c r="BY3022" s="319">
        <v>839</v>
      </c>
      <c r="CA3022" s="78"/>
      <c r="EE3022" s="76">
        <f>+IF(MID($J$3,1,10)=MID($EE$3,1,10),2,1)</f>
        <v>2</v>
      </c>
    </row>
    <row r="3023" spans="76:135" x14ac:dyDescent="0.25">
      <c r="BX3023" s="78"/>
      <c r="BY3023" s="319">
        <v>111</v>
      </c>
      <c r="CA3023" s="78"/>
      <c r="EE3023" s="76">
        <f>+IF(MID($J$2,1,10)=MID($EE$2,1,10),4,1)</f>
        <v>4</v>
      </c>
    </row>
    <row r="3024" spans="76:135" x14ac:dyDescent="0.25">
      <c r="BX3024" s="78"/>
      <c r="BY3024" s="319">
        <v>114</v>
      </c>
      <c r="CA3024" s="78"/>
      <c r="EE3024" s="76">
        <f>+IF(MID($J$2,1,10)=MID($EE$2,1,10),1,2)</f>
        <v>1</v>
      </c>
    </row>
    <row r="3025" spans="76:135" x14ac:dyDescent="0.25">
      <c r="BX3025" s="78"/>
      <c r="BY3025" s="319">
        <v>164</v>
      </c>
      <c r="CA3025" s="78"/>
      <c r="EE3025" s="76">
        <f>+IF(MID($J$2,1,10)=MID($EE$2,1,10),3,1)</f>
        <v>3</v>
      </c>
    </row>
    <row r="3026" spans="76:135" x14ac:dyDescent="0.25">
      <c r="BX3026" s="78"/>
      <c r="BY3026" s="319">
        <v>715</v>
      </c>
      <c r="CA3026" s="78"/>
      <c r="EE3026" s="76">
        <f>+IF(MID($J$2,1,10)=MID($EE$2,1,10),1,2)</f>
        <v>1</v>
      </c>
    </row>
    <row r="3027" spans="76:135" x14ac:dyDescent="0.25">
      <c r="BX3027" s="78"/>
      <c r="BY3027" s="319">
        <v>118</v>
      </c>
      <c r="CA3027" s="78"/>
      <c r="EE3027" s="76">
        <f>+IF(MID($J$3,1,10)=MID($EE$3,1,10),2,1)</f>
        <v>2</v>
      </c>
    </row>
    <row r="3028" spans="76:135" x14ac:dyDescent="0.25">
      <c r="BX3028" s="78"/>
      <c r="BY3028" s="319">
        <v>1083</v>
      </c>
      <c r="CA3028" s="78"/>
      <c r="EE3028" s="76">
        <f>+IF(MID($J$2,1,10)=MID($EE$2,1,10),1,2)</f>
        <v>1</v>
      </c>
    </row>
    <row r="3029" spans="76:135" x14ac:dyDescent="0.25">
      <c r="BX3029" s="78"/>
      <c r="BY3029" s="319">
        <v>195</v>
      </c>
      <c r="CA3029" s="78"/>
      <c r="EE3029" s="76">
        <f>+IF(MID($J$2,1,10)=MID($EE$2,1,10),0,1)</f>
        <v>0</v>
      </c>
    </row>
    <row r="3030" spans="76:135" x14ac:dyDescent="0.25">
      <c r="BX3030" s="78"/>
      <c r="BY3030" s="319">
        <v>336</v>
      </c>
      <c r="CA3030" s="78"/>
      <c r="EE3030" s="76">
        <f>+IF(MID($J$2,1,10)=MID($EE$2,1,10),0,1)</f>
        <v>0</v>
      </c>
    </row>
    <row r="3031" spans="76:135" x14ac:dyDescent="0.25">
      <c r="BX3031" s="78"/>
      <c r="BY3031" s="319">
        <v>205</v>
      </c>
      <c r="CA3031" s="78"/>
      <c r="EE3031" s="76">
        <f>+IF(MID($J$2,1,10)=MID($EE$2,1,10),0,1)</f>
        <v>0</v>
      </c>
    </row>
    <row r="3032" spans="76:135" x14ac:dyDescent="0.25">
      <c r="BX3032" s="78"/>
      <c r="BY3032" s="319">
        <v>219</v>
      </c>
      <c r="CA3032" s="78"/>
      <c r="EE3032" s="76">
        <f>+IF(MID($J$2,1,10)=MID($EE$2,1,10),1,2)</f>
        <v>1</v>
      </c>
    </row>
    <row r="3033" spans="76:135" x14ac:dyDescent="0.25">
      <c r="BX3033" s="78"/>
      <c r="BY3033" s="319">
        <v>206</v>
      </c>
      <c r="CA3033" s="78"/>
      <c r="EE3033" s="76">
        <f>+IF(MID($J$2,1,10)=MID($EE$2,1,10),1,2)</f>
        <v>1</v>
      </c>
    </row>
    <row r="3034" spans="76:135" x14ac:dyDescent="0.25">
      <c r="BX3034" s="78"/>
      <c r="BY3034" s="319">
        <v>132</v>
      </c>
      <c r="CA3034" s="78"/>
      <c r="EE3034" s="76">
        <f>+IF(MID($J$2,1,10)=MID($EE$2,1,10),3,1)</f>
        <v>3</v>
      </c>
    </row>
    <row r="3035" spans="76:135" x14ac:dyDescent="0.25">
      <c r="BX3035" s="78"/>
      <c r="BY3035" s="319">
        <v>146</v>
      </c>
      <c r="CA3035" s="78"/>
      <c r="EE3035" s="76">
        <f>+IF(MID($J$2,1,10)=MID($EE$2,1,10),3,1)</f>
        <v>3</v>
      </c>
    </row>
    <row r="3036" spans="76:135" x14ac:dyDescent="0.25">
      <c r="BX3036" s="78"/>
      <c r="BY3036" s="319">
        <v>134</v>
      </c>
      <c r="CA3036" s="78"/>
      <c r="EE3036" s="76">
        <f>+IF(MID($J$2,1,10)=MID($EE$2,1,10),3,1)</f>
        <v>3</v>
      </c>
    </row>
    <row r="3037" spans="76:135" x14ac:dyDescent="0.25">
      <c r="BX3037" s="78"/>
      <c r="BY3037" s="319">
        <v>169</v>
      </c>
      <c r="CA3037" s="78"/>
      <c r="EE3037" s="76">
        <f>+IF(MID($J$2,1,10)=MID($EE$2,1,10),0,1)</f>
        <v>0</v>
      </c>
    </row>
    <row r="3038" spans="76:135" x14ac:dyDescent="0.25">
      <c r="BX3038" s="78"/>
      <c r="BY3038" s="319">
        <v>144</v>
      </c>
      <c r="CA3038" s="78"/>
      <c r="EE3038" s="76">
        <f>+IF(MID($J$2,1,10)=MID($EE$2,1,10),1,2)</f>
        <v>1</v>
      </c>
    </row>
    <row r="3039" spans="76:135" x14ac:dyDescent="0.25">
      <c r="BX3039" s="78"/>
      <c r="BY3039" s="322">
        <v>10</v>
      </c>
      <c r="CA3039" s="78"/>
      <c r="EE3039" s="76">
        <f>+IF(MID($J$3,1,10)=MID($EE$3,1,10),0,1)</f>
        <v>0</v>
      </c>
    </row>
    <row r="3040" spans="76:135" x14ac:dyDescent="0.25">
      <c r="BX3040" s="78"/>
      <c r="BY3040" s="319">
        <v>144</v>
      </c>
      <c r="CA3040" s="78"/>
      <c r="EE3040" s="76">
        <f>+IF(MID($J$2,1,10)=MID($EE$2,1,10),3,1)</f>
        <v>3</v>
      </c>
    </row>
    <row r="3041" spans="76:135" x14ac:dyDescent="0.25">
      <c r="BX3041" s="79"/>
      <c r="BY3041" s="322">
        <v>10</v>
      </c>
      <c r="BZ3041" s="323"/>
      <c r="CA3041" s="79"/>
      <c r="EE3041" s="76">
        <f>+IF(MID($J$5,1,10)=MID($EE$5,1,10),0,1)</f>
        <v>0</v>
      </c>
    </row>
    <row r="3042" spans="76:135" x14ac:dyDescent="0.25">
      <c r="BX3042" s="78"/>
      <c r="BY3042" s="319">
        <v>102</v>
      </c>
      <c r="CA3042" s="78"/>
      <c r="EE3042" s="76">
        <f>+IF(MID($J$3,1,10)=MID($EE$3,1,10),2,1)</f>
        <v>2</v>
      </c>
    </row>
    <row r="3043" spans="76:135" x14ac:dyDescent="0.25">
      <c r="BX3043" s="78"/>
      <c r="BY3043" s="322">
        <v>18</v>
      </c>
      <c r="CA3043" s="78"/>
      <c r="EE3043" s="76">
        <f>+IF(MID($J$2,1,10)=MID($EE$2,1,10),2,1)</f>
        <v>2</v>
      </c>
    </row>
    <row r="3044" spans="76:135" x14ac:dyDescent="0.25">
      <c r="BX3044" s="78"/>
      <c r="BY3044" s="319">
        <v>185</v>
      </c>
      <c r="CA3044" s="78"/>
      <c r="EE3044" s="76">
        <f>+IF(MID($J$2,1,10)=MID($EE$2,1,10),0,1)</f>
        <v>0</v>
      </c>
    </row>
    <row r="3045" spans="76:135" x14ac:dyDescent="0.25">
      <c r="BX3045" s="78"/>
      <c r="BY3045" s="319">
        <v>129</v>
      </c>
      <c r="CA3045" s="78"/>
      <c r="EE3045" s="76">
        <f>+IF(MID($J$3,1,10)=MID($EE$3,1,10),2,1)</f>
        <v>2</v>
      </c>
    </row>
    <row r="3046" spans="76:135" x14ac:dyDescent="0.25">
      <c r="BX3046" s="78"/>
      <c r="BY3046" s="319">
        <v>174</v>
      </c>
      <c r="CA3046" s="78"/>
      <c r="EE3046" s="76">
        <f>+IF(MID($J$3,1,10)=MID($EE$3,1,10),2,1)</f>
        <v>2</v>
      </c>
    </row>
    <row r="3047" spans="76:135" x14ac:dyDescent="0.25">
      <c r="BX3047" s="78"/>
      <c r="BY3047" s="319">
        <v>137</v>
      </c>
      <c r="CA3047" s="78"/>
      <c r="EE3047" s="76">
        <f>+IF(MID($J$2,1,10)=MID($EE$2,1,10),4,1)</f>
        <v>4</v>
      </c>
    </row>
    <row r="3048" spans="76:135" x14ac:dyDescent="0.25">
      <c r="BX3048" s="78"/>
      <c r="BY3048" s="319">
        <v>129</v>
      </c>
      <c r="CA3048" s="78"/>
      <c r="EE3048" s="76">
        <f>+IF(MID($J$3,1,10)=MID($EE$3,1,10),2,1)</f>
        <v>2</v>
      </c>
    </row>
    <row r="3049" spans="76:135" x14ac:dyDescent="0.25">
      <c r="BX3049" s="78"/>
      <c r="BY3049" s="319">
        <v>156</v>
      </c>
      <c r="CA3049" s="78"/>
      <c r="EE3049" s="76">
        <f>+IF(MID($J$2,1,10)=MID($EE$2,1,10),4,1)</f>
        <v>4</v>
      </c>
    </row>
    <row r="3050" spans="76:135" x14ac:dyDescent="0.25">
      <c r="BX3050" s="78"/>
      <c r="BY3050" s="319">
        <v>189</v>
      </c>
      <c r="CA3050" s="78"/>
      <c r="EE3050" s="76">
        <f>+IF(MID($J$2,1,10)=MID($EE$2,1,10),1,2)</f>
        <v>1</v>
      </c>
    </row>
    <row r="3051" spans="76:135" x14ac:dyDescent="0.25">
      <c r="BX3051" s="78"/>
      <c r="BY3051" s="319">
        <v>130</v>
      </c>
      <c r="CA3051" s="78"/>
      <c r="EE3051" s="76">
        <f>+IF(MID($J$2,1,10)=MID($EE$2,1,10),3,1)</f>
        <v>3</v>
      </c>
    </row>
    <row r="3052" spans="76:135" x14ac:dyDescent="0.25">
      <c r="BX3052" s="78"/>
      <c r="BY3052" s="319">
        <v>139</v>
      </c>
      <c r="CA3052" s="78"/>
      <c r="EE3052" s="76">
        <f>+IF(MID($J$2,1,10)=MID($EE$2,1,10),1,2)</f>
        <v>1</v>
      </c>
    </row>
    <row r="3053" spans="76:135" x14ac:dyDescent="0.25">
      <c r="BX3053" s="78"/>
      <c r="BY3053" s="319">
        <v>109</v>
      </c>
      <c r="CA3053" s="78"/>
      <c r="EE3053" s="76">
        <f>+IF(MID($J$3,1,10)=MID($EE$3,1,10),2,1)</f>
        <v>2</v>
      </c>
    </row>
    <row r="3054" spans="76:135" x14ac:dyDescent="0.25">
      <c r="BX3054" s="78"/>
      <c r="BY3054" s="319">
        <v>116</v>
      </c>
      <c r="CA3054" s="78"/>
      <c r="EE3054" s="76">
        <f>+IF(MID($J$2,1,10)=MID($EE$2,1,10),1,2)</f>
        <v>1</v>
      </c>
    </row>
    <row r="3055" spans="76:135" x14ac:dyDescent="0.25">
      <c r="BX3055" s="78"/>
      <c r="BY3055" s="322">
        <v>7</v>
      </c>
      <c r="CA3055" s="78"/>
      <c r="EE3055" s="76">
        <f>+IF(MID($J$4,1,8)=MID($EE$4,1,8),3,1)</f>
        <v>3</v>
      </c>
    </row>
    <row r="3056" spans="76:135" x14ac:dyDescent="0.25">
      <c r="BX3056" s="78"/>
      <c r="BY3056" s="319">
        <v>168</v>
      </c>
      <c r="CA3056" s="78"/>
      <c r="EE3056" s="76">
        <f>+IF(MID($J$2,1,10)=MID($EE$2,1,10),0,1)</f>
        <v>0</v>
      </c>
    </row>
    <row r="3057" spans="76:135" x14ac:dyDescent="0.25">
      <c r="BX3057" s="78"/>
      <c r="BY3057" s="319">
        <v>127</v>
      </c>
      <c r="CA3057" s="78"/>
      <c r="EE3057" s="76">
        <f>+IF(MID($J$2,1,10)=MID($EE$2,1,10),0,1)</f>
        <v>0</v>
      </c>
    </row>
    <row r="3058" spans="76:135" x14ac:dyDescent="0.25">
      <c r="BX3058" s="78"/>
      <c r="BY3058" s="319">
        <v>186</v>
      </c>
      <c r="CA3058" s="78"/>
      <c r="EE3058" s="76">
        <f>+IF(MID($J$2,1,10)=MID($EE$2,1,10),1,2)</f>
        <v>1</v>
      </c>
    </row>
    <row r="3059" spans="76:135" x14ac:dyDescent="0.25">
      <c r="BX3059" s="78"/>
      <c r="BY3059" s="319">
        <v>122</v>
      </c>
      <c r="CA3059" s="78"/>
      <c r="EE3059" s="76">
        <f>+IF(MID($J$2,1,10)=MID($EE$2,1,10),1,2)</f>
        <v>1</v>
      </c>
    </row>
    <row r="3060" spans="76:135" x14ac:dyDescent="0.25">
      <c r="BX3060" s="78"/>
      <c r="BY3060" s="319">
        <v>184</v>
      </c>
      <c r="CA3060" s="78"/>
      <c r="EE3060" s="76">
        <f>+IF(MID($J$2,1,10)=MID($EE$2,1,10),3,1)</f>
        <v>3</v>
      </c>
    </row>
    <row r="3061" spans="76:135" x14ac:dyDescent="0.25">
      <c r="BX3061" s="78"/>
      <c r="BY3061" s="319">
        <v>187</v>
      </c>
      <c r="CA3061" s="78"/>
      <c r="EE3061" s="76">
        <f>+IF(MID($J$2,1,10)=MID($EE$2,1,10),3,1)</f>
        <v>3</v>
      </c>
    </row>
    <row r="3062" spans="76:135" x14ac:dyDescent="0.25">
      <c r="BX3062" s="78"/>
      <c r="BY3062" s="319">
        <v>146</v>
      </c>
      <c r="CA3062" s="78"/>
      <c r="EE3062" s="76">
        <f>+IF(MID($J$2,1,10)=MID($EE$2,1,10),3,1)</f>
        <v>3</v>
      </c>
    </row>
    <row r="3063" spans="76:135" x14ac:dyDescent="0.25">
      <c r="BX3063" s="78"/>
      <c r="BY3063" s="319">
        <v>124</v>
      </c>
      <c r="CA3063" s="78"/>
      <c r="EE3063" s="76">
        <f>+IF(MID($J$2,1,10)=MID($EE$2,1,10),0,1)</f>
        <v>0</v>
      </c>
    </row>
    <row r="3064" spans="76:135" x14ac:dyDescent="0.25">
      <c r="BX3064" s="78"/>
      <c r="BY3064" s="319">
        <v>136</v>
      </c>
      <c r="CA3064" s="78"/>
      <c r="EE3064" s="76">
        <f>+IF(MID($J$2,1,10)=MID($EE$2,1,10),1,2)</f>
        <v>1</v>
      </c>
    </row>
    <row r="3065" spans="76:135" x14ac:dyDescent="0.25">
      <c r="BX3065" s="78"/>
      <c r="BY3065" s="319">
        <v>177</v>
      </c>
      <c r="CA3065" s="78"/>
      <c r="EE3065" s="76">
        <f>+IF(MID($J$2,1,10)=MID($EE$2,1,10),3,1)</f>
        <v>3</v>
      </c>
    </row>
    <row r="3066" spans="76:135" x14ac:dyDescent="0.25">
      <c r="BX3066" s="78"/>
      <c r="BY3066" s="319">
        <v>188</v>
      </c>
      <c r="CA3066" s="78"/>
      <c r="EE3066" s="76">
        <f>+IF(MID($J$2,1,10)=MID($EE$2,1,10),3,1)</f>
        <v>3</v>
      </c>
    </row>
    <row r="3067" spans="76:135" x14ac:dyDescent="0.25">
      <c r="BX3067" s="78"/>
      <c r="BY3067" s="319">
        <v>8</v>
      </c>
      <c r="CA3067" s="78"/>
      <c r="EE3067" s="76">
        <f>+IF(MID($J$2,1,10)=MID($EE$2,1,10),0,1)</f>
        <v>0</v>
      </c>
    </row>
    <row r="3068" spans="76:135" x14ac:dyDescent="0.25">
      <c r="BX3068" s="78"/>
      <c r="BY3068" s="319">
        <v>141</v>
      </c>
      <c r="CA3068" s="78"/>
      <c r="EE3068" s="76">
        <f>+IF(MID($J$2,1,10)=MID($EE$2,1,10),3,1)</f>
        <v>3</v>
      </c>
    </row>
    <row r="3069" spans="76:135" x14ac:dyDescent="0.25">
      <c r="BX3069" s="78"/>
      <c r="BY3069" s="324">
        <v>5</v>
      </c>
      <c r="CA3069" s="78"/>
      <c r="EE3069" s="76">
        <f>+IF(MID($J$3,1,10)=MID($EE$3,1,10),1,2)</f>
        <v>1</v>
      </c>
    </row>
    <row r="3070" spans="76:135" x14ac:dyDescent="0.25">
      <c r="BX3070" s="78"/>
      <c r="BY3070" s="319">
        <v>156</v>
      </c>
      <c r="CA3070" s="78"/>
      <c r="EE3070" s="76">
        <f>+IF(MID($J$2,1,10)=MID($EE$2,1,10),3,1)</f>
        <v>3</v>
      </c>
    </row>
    <row r="3071" spans="76:135" x14ac:dyDescent="0.25">
      <c r="BX3071" s="78"/>
      <c r="BY3071" s="319">
        <v>136</v>
      </c>
      <c r="CA3071" s="78"/>
      <c r="EE3071" s="76">
        <f>+IF(MID($J$2,1,10)=MID($EE$2,1,10),1,2)</f>
        <v>1</v>
      </c>
    </row>
    <row r="3072" spans="76:135" x14ac:dyDescent="0.25">
      <c r="BX3072" s="78"/>
      <c r="BY3072" s="319">
        <v>148</v>
      </c>
      <c r="CA3072" s="78"/>
      <c r="EE3072" s="76">
        <f>+IF(MID($J$3,1,10)=MID($EE$3,1,10),2,1)</f>
        <v>2</v>
      </c>
    </row>
    <row r="3073" spans="76:135" x14ac:dyDescent="0.25">
      <c r="BX3073" s="78"/>
      <c r="BY3073" s="319">
        <v>133</v>
      </c>
      <c r="CA3073" s="78"/>
      <c r="EE3073" s="76">
        <f>+IF(MID($J$2,1,10)=MID($EE$2,1,10),4,1)</f>
        <v>4</v>
      </c>
    </row>
    <row r="3074" spans="76:135" x14ac:dyDescent="0.25">
      <c r="BX3074" s="78"/>
      <c r="BY3074" s="319">
        <v>193</v>
      </c>
      <c r="CA3074" s="78"/>
      <c r="EE3074" s="76">
        <f>+IF(MID($J$2,1,10)=MID($EE$2,1,10),0,1)</f>
        <v>0</v>
      </c>
    </row>
    <row r="3075" spans="76:135" x14ac:dyDescent="0.25">
      <c r="BX3075" s="78"/>
      <c r="BY3075" s="319">
        <v>139</v>
      </c>
      <c r="CA3075" s="78"/>
      <c r="EE3075" s="76">
        <f>+IF(MID($J$3,1,10)=MID($EE$3,1,10),2,1)</f>
        <v>2</v>
      </c>
    </row>
    <row r="3076" spans="76:135" x14ac:dyDescent="0.25">
      <c r="BX3076" s="78"/>
      <c r="BY3076" s="319">
        <v>142</v>
      </c>
      <c r="CA3076" s="78"/>
      <c r="EE3076" s="76">
        <f>+IF(MID($J$3,1,10)=MID($EE$3,1,10),2,1)</f>
        <v>2</v>
      </c>
    </row>
    <row r="3077" spans="76:135" x14ac:dyDescent="0.25">
      <c r="BX3077" s="78"/>
      <c r="BY3077" s="319">
        <v>187</v>
      </c>
      <c r="CA3077" s="78"/>
      <c r="EE3077" s="76">
        <f>+IF(MID($J$2,1,10)=MID($EE$2,1,10),4,1)</f>
        <v>4</v>
      </c>
    </row>
    <row r="3078" spans="76:135" x14ac:dyDescent="0.25">
      <c r="BX3078" s="78"/>
      <c r="BY3078" s="319">
        <v>139</v>
      </c>
      <c r="CA3078" s="78"/>
      <c r="EE3078" s="76">
        <f>+IF(MID($J$3,1,10)=MID($EE$3,1,10),2,1)</f>
        <v>2</v>
      </c>
    </row>
    <row r="3079" spans="76:135" x14ac:dyDescent="0.25">
      <c r="BX3079" s="78"/>
      <c r="BY3079" s="319">
        <v>168</v>
      </c>
      <c r="CA3079" s="78"/>
      <c r="EE3079" s="76">
        <f>+IF(MID($J$2,1,10)=MID($EE$2,1,10),4,1)</f>
        <v>4</v>
      </c>
    </row>
    <row r="3080" spans="76:135" x14ac:dyDescent="0.25">
      <c r="BX3080" s="78"/>
      <c r="BY3080" s="319">
        <v>94</v>
      </c>
      <c r="CA3080" s="78"/>
      <c r="EE3080" s="76">
        <f>+IF(MID($J$2,1,10)=MID($EE$2,1,10),1,2)</f>
        <v>1</v>
      </c>
    </row>
    <row r="3081" spans="76:135" x14ac:dyDescent="0.25">
      <c r="BX3081" s="78"/>
      <c r="BY3081" s="319">
        <v>131</v>
      </c>
      <c r="CA3081" s="78"/>
      <c r="EE3081" s="76">
        <f>+IF(MID($J$2,1,10)=MID($EE$2,1,10),3,1)</f>
        <v>3</v>
      </c>
    </row>
    <row r="3082" spans="76:135" x14ac:dyDescent="0.25">
      <c r="BX3082" s="78"/>
      <c r="BY3082" s="319">
        <v>188</v>
      </c>
      <c r="CA3082" s="78"/>
      <c r="EE3082" s="76">
        <f>+IF(MID($J$2,1,10)=MID($EE$2,1,10),1,2)</f>
        <v>1</v>
      </c>
    </row>
    <row r="3083" spans="76:135" x14ac:dyDescent="0.25">
      <c r="BX3083" s="78"/>
      <c r="BY3083" s="319">
        <v>122</v>
      </c>
      <c r="CA3083" s="78"/>
      <c r="EE3083" s="76">
        <f>+IF(MID($J$3,1,10)=MID($EE$3,1,10),2,1)</f>
        <v>2</v>
      </c>
    </row>
    <row r="3084" spans="76:135" x14ac:dyDescent="0.25">
      <c r="BX3084" s="78"/>
      <c r="BY3084" s="319">
        <v>145</v>
      </c>
      <c r="CA3084" s="78"/>
      <c r="EE3084" s="76">
        <f>+IF(MID($J$2,1,10)=MID($EE$2,1,10),1,2)</f>
        <v>1</v>
      </c>
    </row>
    <row r="3085" spans="76:135" x14ac:dyDescent="0.25">
      <c r="BX3085" s="79"/>
      <c r="BY3085" s="322">
        <v>20</v>
      </c>
      <c r="BZ3085" s="323"/>
      <c r="CA3085" s="79"/>
      <c r="EE3085" s="76">
        <f>+IF(MID($J$4,1,8)=MID($EE$4,1,8),0,1)</f>
        <v>0</v>
      </c>
    </row>
    <row r="3086" spans="76:135" x14ac:dyDescent="0.25">
      <c r="BX3086" s="78"/>
      <c r="BY3086" s="319">
        <v>116</v>
      </c>
      <c r="CA3086" s="78"/>
      <c r="EE3086" s="76">
        <f>+IF(MID($J$2,1,10)=MID($EE$2,1,10),0,1)</f>
        <v>0</v>
      </c>
    </row>
    <row r="3087" spans="76:135" x14ac:dyDescent="0.25">
      <c r="BX3087" s="78"/>
      <c r="BY3087" s="324">
        <v>5</v>
      </c>
      <c r="CA3087" s="78"/>
      <c r="EE3087" s="76">
        <f>+IF(MID($J$6,1,5)=MID($EE$11,1,5),1,2)</f>
        <v>1</v>
      </c>
    </row>
    <row r="3088" spans="76:135" x14ac:dyDescent="0.25">
      <c r="BX3088" s="78"/>
      <c r="BY3088" s="319">
        <v>143</v>
      </c>
      <c r="CA3088" s="78"/>
      <c r="EE3088" s="76">
        <f>+IF(MID($J$2,1,10)=MID($EE$2,1,10),1,2)</f>
        <v>1</v>
      </c>
    </row>
    <row r="3089" spans="76:135" x14ac:dyDescent="0.25">
      <c r="BX3089" s="78"/>
      <c r="BY3089" s="319">
        <v>192</v>
      </c>
      <c r="CA3089" s="78"/>
      <c r="EE3089" s="76">
        <f>+IF(MID($J$2,1,10)=MID($EE$2,1,10),1,2)</f>
        <v>1</v>
      </c>
    </row>
    <row r="3090" spans="76:135" x14ac:dyDescent="0.25">
      <c r="BX3090" s="78"/>
      <c r="BY3090" s="319">
        <v>150</v>
      </c>
      <c r="CA3090" s="78"/>
      <c r="EE3090" s="76">
        <f>+IF(MID($J$2,1,10)=MID($EE$2,1,10),3,1)</f>
        <v>3</v>
      </c>
    </row>
    <row r="3091" spans="76:135" x14ac:dyDescent="0.25">
      <c r="BX3091" s="78"/>
      <c r="BY3091" s="319">
        <v>147</v>
      </c>
      <c r="CA3091" s="78"/>
      <c r="EE3091" s="76">
        <f>+IF(MID($J$2,1,10)=MID($EE$2,1,10),3,1)</f>
        <v>3</v>
      </c>
    </row>
    <row r="3092" spans="76:135" x14ac:dyDescent="0.25">
      <c r="BX3092" s="78"/>
      <c r="BY3092" s="319">
        <v>115</v>
      </c>
      <c r="CA3092" s="78"/>
      <c r="EE3092" s="76">
        <f>+IF(MID($J$2,1,10)=MID($EE$2,1,10),3,1)</f>
        <v>3</v>
      </c>
    </row>
    <row r="3093" spans="76:135" x14ac:dyDescent="0.25">
      <c r="BX3093" s="78"/>
      <c r="BY3093" s="319">
        <v>137</v>
      </c>
      <c r="CA3093" s="78"/>
      <c r="EE3093" s="76">
        <f>+IF(MID($J$2,1,10)=MID($EE$2,1,10),0,1)</f>
        <v>0</v>
      </c>
    </row>
    <row r="3094" spans="76:135" x14ac:dyDescent="0.25">
      <c r="BX3094" s="78"/>
      <c r="BY3094" s="319">
        <v>182</v>
      </c>
      <c r="CA3094" s="78"/>
      <c r="EE3094" s="76">
        <f>+IF(MID($J$2,1,10)=MID($EE$2,1,10),1,2)</f>
        <v>1</v>
      </c>
    </row>
    <row r="3095" spans="76:135" x14ac:dyDescent="0.25">
      <c r="BX3095" s="78"/>
      <c r="BY3095" s="319">
        <v>114</v>
      </c>
      <c r="CA3095" s="78"/>
      <c r="EE3095" s="76">
        <f>+IF(MID($J$2,1,10)=MID($EE$2,1,10),3,1)</f>
        <v>3</v>
      </c>
    </row>
    <row r="3096" spans="76:135" x14ac:dyDescent="0.25">
      <c r="BX3096" s="78"/>
      <c r="BY3096" s="319">
        <v>187</v>
      </c>
      <c r="CA3096" s="78"/>
      <c r="EE3096" s="76">
        <f>+IF(MID($J$2,1,10)=MID($EE$2,1,10),3,1)</f>
        <v>3</v>
      </c>
    </row>
    <row r="3097" spans="76:135" x14ac:dyDescent="0.25">
      <c r="BX3097" s="78"/>
      <c r="BY3097" s="319">
        <v>149</v>
      </c>
      <c r="CA3097" s="78"/>
      <c r="EE3097" s="76">
        <f>+IF(MID($J$2,1,10)=MID($EE$2,1,10),0,1)</f>
        <v>0</v>
      </c>
    </row>
    <row r="3098" spans="76:135" x14ac:dyDescent="0.25">
      <c r="BX3098" s="78"/>
      <c r="BY3098" s="319">
        <v>141</v>
      </c>
      <c r="CA3098" s="78"/>
      <c r="EE3098" s="76">
        <f>+IF(MID($J$2,1,10)=MID($EE$2,1,10),3,1)</f>
        <v>3</v>
      </c>
    </row>
    <row r="3099" spans="76:135" x14ac:dyDescent="0.25">
      <c r="BX3099" s="79"/>
      <c r="BY3099" s="322">
        <v>10</v>
      </c>
      <c r="BZ3099" s="323"/>
      <c r="CA3099" s="79"/>
      <c r="EE3099" s="76">
        <f>+IF(MID($J$3,1,10)=MID($EE$3,1,10),0,1)</f>
        <v>0</v>
      </c>
    </row>
    <row r="3100" spans="76:135" x14ac:dyDescent="0.25">
      <c r="BX3100" s="78"/>
      <c r="BY3100" s="319">
        <v>125</v>
      </c>
      <c r="CA3100" s="78"/>
      <c r="EE3100" s="76">
        <f>+IF(MID($J$2,1,10)=MID($EE$2,1,10),3,1)</f>
        <v>3</v>
      </c>
    </row>
    <row r="3101" spans="76:135" x14ac:dyDescent="0.25">
      <c r="BX3101" s="78"/>
      <c r="BY3101" s="325">
        <v>15</v>
      </c>
      <c r="CA3101" s="78"/>
      <c r="EE3101" s="76">
        <f>+IF(MID($J$5,1,10)=MID($EE$5,1,10),2,1)</f>
        <v>2</v>
      </c>
    </row>
    <row r="3102" spans="76:135" x14ac:dyDescent="0.25">
      <c r="BX3102" s="78"/>
      <c r="BY3102" s="319">
        <v>121</v>
      </c>
      <c r="CA3102" s="78"/>
      <c r="EE3102" s="76">
        <f>+IF(MID($J$2,1,10)=MID($EE$2,1,10),3,1)</f>
        <v>3</v>
      </c>
    </row>
    <row r="3103" spans="76:135" x14ac:dyDescent="0.25">
      <c r="BX3103" s="78"/>
      <c r="BY3103" s="319">
        <v>146</v>
      </c>
      <c r="CA3103" s="78"/>
      <c r="EE3103" s="76">
        <f>+IF(MID($J$2,1,10)=MID($EE$2,1,10),0,1)</f>
        <v>0</v>
      </c>
    </row>
    <row r="3104" spans="76:135" x14ac:dyDescent="0.25">
      <c r="BX3104" s="78"/>
      <c r="BY3104" s="319">
        <v>3</v>
      </c>
      <c r="CA3104" s="78"/>
      <c r="EE3104" s="76">
        <f>+IF(MID($J$2,1,10)=MID($EE$2,1,10),3,1)</f>
        <v>3</v>
      </c>
    </row>
    <row r="3105" spans="76:135" x14ac:dyDescent="0.25">
      <c r="BX3105" s="78"/>
      <c r="BY3105" s="319">
        <v>186</v>
      </c>
      <c r="CA3105" s="78"/>
      <c r="EE3105" s="76">
        <f>+IF(MID($J$2,1,10)=MID($EE$2,1,10),3,1)</f>
        <v>3</v>
      </c>
    </row>
    <row r="3106" spans="76:135" x14ac:dyDescent="0.25">
      <c r="BX3106" s="78"/>
      <c r="BY3106" s="319">
        <v>170</v>
      </c>
      <c r="CA3106" s="78"/>
      <c r="EE3106" s="76">
        <f>+IF(MID($J$2,1,10)=MID($EE$2,1,10),3,1)</f>
        <v>3</v>
      </c>
    </row>
    <row r="3107" spans="76:135" x14ac:dyDescent="0.25">
      <c r="BX3107" s="78"/>
      <c r="BY3107" s="319">
        <v>428</v>
      </c>
      <c r="CA3107" s="78"/>
      <c r="EE3107" s="76">
        <f>+IF(MID($J$3,1,10)=MID($EE$3,1,10),2,1)</f>
        <v>2</v>
      </c>
    </row>
    <row r="3108" spans="76:135" x14ac:dyDescent="0.25">
      <c r="BX3108" s="78"/>
      <c r="BY3108" s="319">
        <v>131</v>
      </c>
      <c r="CA3108" s="78"/>
      <c r="EE3108" s="76">
        <f>+IF(MID($J$2,1,10)=MID($EE$2,1,10),4,1)</f>
        <v>4</v>
      </c>
    </row>
    <row r="3109" spans="76:135" x14ac:dyDescent="0.25">
      <c r="BX3109" s="78"/>
      <c r="BY3109" s="319">
        <v>114</v>
      </c>
      <c r="CA3109" s="78"/>
      <c r="EE3109" s="76">
        <f>+IF(MID($J$2,1,10)=MID($EE$2,1,10),0,1)</f>
        <v>0</v>
      </c>
    </row>
    <row r="3110" spans="76:135" x14ac:dyDescent="0.25">
      <c r="BX3110" s="78"/>
      <c r="BY3110" s="319">
        <v>153</v>
      </c>
      <c r="CA3110" s="78"/>
      <c r="EE3110" s="76">
        <f>+IF(MID($J$3,1,10)=MID($EE$3,1,10),2,1)</f>
        <v>2</v>
      </c>
    </row>
    <row r="3111" spans="76:135" x14ac:dyDescent="0.25">
      <c r="BX3111" s="78"/>
      <c r="BY3111" s="319">
        <v>154</v>
      </c>
      <c r="CA3111" s="78"/>
      <c r="EE3111" s="76">
        <f>+IF(MID($J$3,1,10)=MID($EE$3,1,10),2,1)</f>
        <v>2</v>
      </c>
    </row>
    <row r="3112" spans="76:135" x14ac:dyDescent="0.25">
      <c r="BX3112" s="78"/>
      <c r="BY3112" s="319">
        <v>108</v>
      </c>
      <c r="CA3112" s="78"/>
      <c r="EE3112" s="76">
        <f>+IF(MID($J$2,1,10)=MID($EE$2,1,10),4,1)</f>
        <v>4</v>
      </c>
    </row>
    <row r="3113" spans="76:135" x14ac:dyDescent="0.25">
      <c r="BX3113" s="78"/>
      <c r="BY3113" s="319">
        <v>101</v>
      </c>
      <c r="CA3113" s="78"/>
      <c r="EE3113" s="76">
        <f>+IF(MID($J$3,1,10)=MID($EE$3,1,10),2,1)</f>
        <v>2</v>
      </c>
    </row>
    <row r="3114" spans="76:135" x14ac:dyDescent="0.25">
      <c r="BX3114" s="78"/>
      <c r="BY3114" s="319">
        <v>105</v>
      </c>
      <c r="CA3114" s="78"/>
      <c r="EE3114" s="76">
        <f>+IF(MID($J$2,1,10)=MID($EE$2,1,10),4,1)</f>
        <v>4</v>
      </c>
    </row>
    <row r="3115" spans="76:135" x14ac:dyDescent="0.25">
      <c r="BX3115" s="78"/>
      <c r="BY3115" s="319">
        <v>856</v>
      </c>
      <c r="CA3115" s="78"/>
      <c r="EE3115" s="76">
        <f>+IF(MID($J$2,1,10)=MID($EE$2,1,10),1,2)</f>
        <v>1</v>
      </c>
    </row>
    <row r="3116" spans="76:135" x14ac:dyDescent="0.25">
      <c r="BX3116" s="78"/>
      <c r="BY3116" s="319">
        <v>113</v>
      </c>
      <c r="CA3116" s="78"/>
      <c r="EE3116" s="76">
        <f>+IF(MID($J$2,1,10)=MID($EE$2,1,10),3,1)</f>
        <v>3</v>
      </c>
    </row>
    <row r="3117" spans="76:135" x14ac:dyDescent="0.25">
      <c r="BX3117" s="78"/>
      <c r="BY3117" s="322">
        <v>28</v>
      </c>
      <c r="CA3117" s="78"/>
      <c r="EE3117" s="76">
        <f>+IF(MID($J$6,1,5)=MID($EE$11,1,5),0,1)</f>
        <v>0</v>
      </c>
    </row>
    <row r="3118" spans="76:135" x14ac:dyDescent="0.25">
      <c r="BX3118" s="78"/>
      <c r="BY3118" s="322">
        <v>10</v>
      </c>
      <c r="CA3118" s="78"/>
      <c r="EE3118" s="76">
        <f>+IF(MID($J$2,1,10)=MID($EE$2,1,10),0,1)</f>
        <v>0</v>
      </c>
    </row>
    <row r="3119" spans="76:135" x14ac:dyDescent="0.25">
      <c r="BX3119" s="78"/>
      <c r="BY3119" s="319">
        <v>419</v>
      </c>
      <c r="CA3119" s="78"/>
      <c r="EE3119" s="76">
        <f>+IF(MID($J$2,1,10)=MID($EE$2,1,10),1,2)</f>
        <v>1</v>
      </c>
    </row>
    <row r="3120" spans="76:135" x14ac:dyDescent="0.25">
      <c r="BX3120" s="78"/>
      <c r="BY3120" s="319">
        <v>894</v>
      </c>
      <c r="CA3120" s="78"/>
      <c r="EE3120" s="76">
        <f>+IF(MID($J$2,1,10)=MID($EE$2,1,10),0,1)</f>
        <v>0</v>
      </c>
    </row>
    <row r="3121" spans="76:135" x14ac:dyDescent="0.25">
      <c r="BX3121" s="78"/>
      <c r="BY3121" s="319">
        <v>108</v>
      </c>
      <c r="CA3121" s="78"/>
      <c r="EE3121" s="76">
        <f>+IF(MID($J$2,1,10)=MID($EE$2,1,10),0,1)</f>
        <v>0</v>
      </c>
    </row>
    <row r="3122" spans="76:135" x14ac:dyDescent="0.25">
      <c r="BX3122" s="78"/>
      <c r="BY3122" s="319">
        <v>544</v>
      </c>
      <c r="CA3122" s="78"/>
      <c r="EE3122" s="76">
        <f>+IF(MID($J$2,1,10)=MID($EE$2,1,10),0,1)</f>
        <v>0</v>
      </c>
    </row>
    <row r="3123" spans="76:135" x14ac:dyDescent="0.25">
      <c r="BX3123" s="78"/>
      <c r="BY3123" s="319">
        <v>154</v>
      </c>
      <c r="CA3123" s="78"/>
      <c r="EE3123" s="76">
        <f>+IF(MID($J$2,1,10)=MID($EE$2,1,10),1,2)</f>
        <v>1</v>
      </c>
    </row>
    <row r="3124" spans="76:135" x14ac:dyDescent="0.25">
      <c r="BX3124" s="78"/>
      <c r="BY3124" s="319">
        <v>575</v>
      </c>
      <c r="CA3124" s="78"/>
      <c r="EE3124" s="76">
        <f>+IF(MID($J$2,1,10)=MID($EE$2,1,10),1,2)</f>
        <v>1</v>
      </c>
    </row>
    <row r="3125" spans="76:135" x14ac:dyDescent="0.25">
      <c r="BX3125" s="78"/>
      <c r="BY3125" s="319">
        <v>184</v>
      </c>
      <c r="CA3125" s="78"/>
      <c r="EE3125" s="76">
        <f>+IF(MID($J$2,1,10)=MID($EE$2,1,10),3,1)</f>
        <v>3</v>
      </c>
    </row>
    <row r="3126" spans="76:135" x14ac:dyDescent="0.25">
      <c r="BX3126" s="78"/>
      <c r="BY3126" s="319">
        <v>646</v>
      </c>
      <c r="CA3126" s="78"/>
      <c r="EE3126" s="76">
        <f>+IF(MID($J$2,1,10)=MID($EE$2,1,10),3,1)</f>
        <v>3</v>
      </c>
    </row>
    <row r="3127" spans="76:135" x14ac:dyDescent="0.25">
      <c r="BX3127" s="78"/>
      <c r="BY3127" s="319">
        <v>102</v>
      </c>
      <c r="CA3127" s="78"/>
      <c r="EE3127" s="76">
        <f>+IF(MID($J$2,1,10)=MID($EE$2,1,10),3,1)</f>
        <v>3</v>
      </c>
    </row>
    <row r="3128" spans="76:135" x14ac:dyDescent="0.25">
      <c r="BX3128" s="78"/>
      <c r="BY3128" s="319">
        <v>96</v>
      </c>
      <c r="CA3128" s="78"/>
      <c r="EE3128" s="76">
        <f>+IF(MID($J$2,1,10)=MID($EE$2,1,10),0,1)</f>
        <v>0</v>
      </c>
    </row>
    <row r="3129" spans="76:135" x14ac:dyDescent="0.25">
      <c r="BX3129" s="78"/>
      <c r="BY3129" s="319">
        <v>94</v>
      </c>
      <c r="CA3129" s="78"/>
      <c r="EE3129" s="76">
        <f>+IF(MID($J$2,1,10)=MID($EE$2,1,10),1,2)</f>
        <v>1</v>
      </c>
    </row>
    <row r="3130" spans="76:135" x14ac:dyDescent="0.25">
      <c r="BX3130" s="78"/>
      <c r="BY3130" s="319">
        <v>126</v>
      </c>
      <c r="CA3130" s="78"/>
      <c r="EE3130" s="76">
        <f>+IF(MID($J$2,1,10)=MID($EE$2,1,10),3,1)</f>
        <v>3</v>
      </c>
    </row>
    <row r="3131" spans="76:135" x14ac:dyDescent="0.25">
      <c r="BX3131" s="78"/>
      <c r="BY3131" s="319">
        <v>110</v>
      </c>
      <c r="CA3131" s="78"/>
      <c r="EE3131" s="76">
        <f>+IF(MID($J$2,1,10)=MID($EE$2,1,10),3,1)</f>
        <v>3</v>
      </c>
    </row>
    <row r="3132" spans="76:135" x14ac:dyDescent="0.25">
      <c r="BX3132" s="78"/>
      <c r="BY3132" s="319">
        <v>108</v>
      </c>
      <c r="CA3132" s="78"/>
      <c r="EE3132" s="76">
        <f>+IF(MID($J$2,1,10)=MID($EE$2,1,10),0,1)</f>
        <v>0</v>
      </c>
    </row>
    <row r="3133" spans="76:135" x14ac:dyDescent="0.25">
      <c r="BX3133" s="78"/>
      <c r="BY3133" s="319">
        <v>142</v>
      </c>
      <c r="CA3133" s="78"/>
      <c r="EE3133" s="76">
        <f>+IF(MID($J$2,1,10)=MID($EE$2,1,10),3,1)</f>
        <v>3</v>
      </c>
    </row>
    <row r="3134" spans="76:135" x14ac:dyDescent="0.25">
      <c r="BX3134" s="78"/>
      <c r="BY3134" s="319">
        <v>370</v>
      </c>
      <c r="CA3134" s="78"/>
      <c r="EE3134" s="76">
        <f>+IF(MID($J$2,1,10)=MID($EE$2,1,10),3,1)</f>
        <v>3</v>
      </c>
    </row>
    <row r="3135" spans="76:135" x14ac:dyDescent="0.25">
      <c r="BX3135" s="78"/>
      <c r="BY3135" s="319">
        <v>158</v>
      </c>
      <c r="CA3135" s="78"/>
      <c r="EE3135" s="76">
        <f>+IF(MID($J$2,1,10)=MID($EE$2,1,10),3,1)</f>
        <v>3</v>
      </c>
    </row>
    <row r="3136" spans="76:135" x14ac:dyDescent="0.25">
      <c r="BX3136" s="78"/>
      <c r="BY3136" s="319">
        <v>342</v>
      </c>
      <c r="CA3136" s="78"/>
      <c r="EE3136" s="76">
        <f>+IF(MID($J$2,1,10)=MID($EE$2,1,10),1,2)</f>
        <v>1</v>
      </c>
    </row>
    <row r="3137" spans="76:135" x14ac:dyDescent="0.25">
      <c r="BX3137" s="78"/>
      <c r="BY3137" s="319">
        <v>188</v>
      </c>
      <c r="CA3137" s="78"/>
      <c r="EE3137" s="76">
        <f>+IF(MID($J$3,1,10)=MID($EE$3,1,10),2,1)</f>
        <v>2</v>
      </c>
    </row>
    <row r="3138" spans="76:135" x14ac:dyDescent="0.25">
      <c r="BX3138" s="78"/>
      <c r="BY3138" s="319">
        <v>1082</v>
      </c>
      <c r="CA3138" s="78"/>
      <c r="EE3138" s="76">
        <f>+IF(MID($J$2,1,10)=MID($EE$2,1,10),4,1)</f>
        <v>4</v>
      </c>
    </row>
    <row r="3139" spans="76:135" x14ac:dyDescent="0.25">
      <c r="BX3139" s="78"/>
      <c r="BY3139" s="319">
        <v>152</v>
      </c>
      <c r="CA3139" s="78"/>
      <c r="EE3139" s="76">
        <f>+IF(MID($J$2,1,10)=MID($EE$2,1,10),0,1)</f>
        <v>0</v>
      </c>
    </row>
    <row r="3140" spans="76:135" x14ac:dyDescent="0.25">
      <c r="BX3140" s="78"/>
      <c r="BY3140" s="322">
        <v>28</v>
      </c>
      <c r="CA3140" s="78"/>
      <c r="EE3140" s="76">
        <f>+IF(MID($J$4,1,8)=MID($EE$4,1,8),0,1)</f>
        <v>0</v>
      </c>
    </row>
    <row r="3141" spans="76:135" x14ac:dyDescent="0.25">
      <c r="BX3141" s="78"/>
      <c r="BY3141" s="319">
        <v>4</v>
      </c>
      <c r="CA3141" s="78"/>
      <c r="EE3141" s="76">
        <f>+IF(MID($J$3,1,10)=MID($EE$3,1,10),2,1)</f>
        <v>2</v>
      </c>
    </row>
    <row r="3142" spans="76:135" x14ac:dyDescent="0.25">
      <c r="BX3142" s="78"/>
      <c r="BY3142" s="322">
        <v>10</v>
      </c>
      <c r="CA3142" s="78"/>
      <c r="EE3142" s="76">
        <f>+IF(MID($J$6,1,5)=MID($EE$11,1,5),0,1)</f>
        <v>0</v>
      </c>
    </row>
    <row r="3143" spans="76:135" x14ac:dyDescent="0.25">
      <c r="BX3143" s="78"/>
      <c r="BY3143" s="319">
        <v>157</v>
      </c>
      <c r="CA3143" s="78"/>
      <c r="EE3143" s="76">
        <f>+IF(MID($J$3,1,10)=MID($EE$3,1,10),2,1)</f>
        <v>2</v>
      </c>
    </row>
    <row r="3144" spans="76:135" x14ac:dyDescent="0.25">
      <c r="BX3144" s="78"/>
      <c r="BY3144" s="319">
        <v>239</v>
      </c>
      <c r="CA3144" s="78"/>
      <c r="EE3144" s="76">
        <f>+IF(MID($J$2,1,10)=MID($EE$2,1,10),4,1)</f>
        <v>4</v>
      </c>
    </row>
    <row r="3145" spans="76:135" x14ac:dyDescent="0.25">
      <c r="BX3145" s="78"/>
      <c r="BY3145" s="319">
        <v>121</v>
      </c>
      <c r="CA3145" s="78"/>
      <c r="EE3145" s="76">
        <f>+IF(MID($J$2,1,10)=MID($EE$2,1,10),1,2)</f>
        <v>1</v>
      </c>
    </row>
    <row r="3146" spans="76:135" x14ac:dyDescent="0.25">
      <c r="BX3146" s="78"/>
      <c r="BY3146" s="319">
        <v>173</v>
      </c>
      <c r="CA3146" s="78"/>
      <c r="EE3146" s="76">
        <f>+IF(MID($J$2,1,10)=MID($EE$2,1,10),3,1)</f>
        <v>3</v>
      </c>
    </row>
    <row r="3147" spans="76:135" x14ac:dyDescent="0.25">
      <c r="BX3147" s="78"/>
      <c r="BY3147" s="319">
        <v>365</v>
      </c>
      <c r="CA3147" s="78"/>
      <c r="EE3147" s="76">
        <f>+IF(MID($J$2,1,10)=MID($EE$2,1,10),1,2)</f>
        <v>1</v>
      </c>
    </row>
    <row r="3148" spans="76:135" x14ac:dyDescent="0.25">
      <c r="BX3148" s="78"/>
      <c r="BY3148" s="319">
        <v>196</v>
      </c>
      <c r="CA3148" s="78"/>
      <c r="EE3148" s="76">
        <f>+IF(MID($J$3,1,10)=MID($EE$3,1,10),2,1)</f>
        <v>2</v>
      </c>
    </row>
    <row r="3149" spans="76:135" x14ac:dyDescent="0.25">
      <c r="BX3149" s="78"/>
      <c r="BY3149" s="319">
        <v>629</v>
      </c>
      <c r="CA3149" s="78"/>
      <c r="EE3149" s="76">
        <f>+IF(MID($J$2,1,10)=MID($EE$2,1,10),1,2)</f>
        <v>1</v>
      </c>
    </row>
    <row r="3150" spans="76:135" x14ac:dyDescent="0.25">
      <c r="BX3150" s="78"/>
      <c r="BY3150" s="319">
        <v>203</v>
      </c>
      <c r="CA3150" s="78"/>
      <c r="EE3150" s="76">
        <f>+IF(MID($J$2,1,10)=MID($EE$2,1,10),0,1)</f>
        <v>0</v>
      </c>
    </row>
    <row r="3151" spans="76:135" x14ac:dyDescent="0.25">
      <c r="BX3151" s="78"/>
      <c r="BY3151" s="319">
        <v>899</v>
      </c>
      <c r="CA3151" s="78"/>
      <c r="EE3151" s="76">
        <f>+IF(MID($J$2,1,10)=MID($EE$2,1,10),0,1)</f>
        <v>0</v>
      </c>
    </row>
    <row r="3152" spans="76:135" x14ac:dyDescent="0.25">
      <c r="BX3152" s="78"/>
      <c r="BY3152" s="319">
        <v>201</v>
      </c>
      <c r="CA3152" s="78"/>
      <c r="EE3152" s="76">
        <f>+IF(MID($J$3,1,10)=MID($EE$3,1,10),2,1)</f>
        <v>2</v>
      </c>
    </row>
    <row r="3153" spans="76:135" x14ac:dyDescent="0.25">
      <c r="BX3153" s="78"/>
      <c r="BY3153" s="319">
        <v>637</v>
      </c>
      <c r="CA3153" s="78"/>
      <c r="EE3153" s="76">
        <f>+IF(MID($J$2,1,10)=MID($EE$2,1,10),4,1)</f>
        <v>4</v>
      </c>
    </row>
    <row r="3154" spans="76:135" x14ac:dyDescent="0.25">
      <c r="BX3154" s="78"/>
      <c r="BY3154" s="319">
        <v>128</v>
      </c>
      <c r="CA3154" s="78"/>
      <c r="EE3154" s="76">
        <f>+IF(MID($J$2,1,10)=MID($EE$2,1,10),0,1)</f>
        <v>0</v>
      </c>
    </row>
    <row r="3155" spans="76:135" x14ac:dyDescent="0.25">
      <c r="BX3155" s="78"/>
      <c r="BY3155" s="319">
        <v>849</v>
      </c>
      <c r="CA3155" s="78"/>
      <c r="EE3155" s="76">
        <f>+IF(MID($J$3,1,10)=MID($EE$3,1,10),2,1)</f>
        <v>2</v>
      </c>
    </row>
    <row r="3156" spans="76:135" x14ac:dyDescent="0.25">
      <c r="BX3156" s="78"/>
      <c r="BY3156" s="319">
        <v>200</v>
      </c>
      <c r="CA3156" s="78"/>
      <c r="EE3156" s="76">
        <f>+IF(MID($J$3,1,10)=MID($EE$3,1,10),2,1)</f>
        <v>2</v>
      </c>
    </row>
    <row r="3157" spans="76:135" x14ac:dyDescent="0.25">
      <c r="BX3157" s="78"/>
      <c r="BY3157" s="319">
        <v>1181</v>
      </c>
      <c r="CA3157" s="78"/>
      <c r="EE3157" s="76">
        <f>+IF(MID($J$2,1,10)=MID($EE$2,1,10),4,1)</f>
        <v>4</v>
      </c>
    </row>
    <row r="3158" spans="76:135" x14ac:dyDescent="0.25">
      <c r="BX3158" s="78"/>
      <c r="BY3158" s="319">
        <v>177</v>
      </c>
      <c r="CA3158" s="78"/>
      <c r="EE3158" s="76">
        <f>+IF(MID($J$3,1,10)=MID($EE$3,1,10),2,1)</f>
        <v>2</v>
      </c>
    </row>
    <row r="3159" spans="76:135" x14ac:dyDescent="0.25">
      <c r="BX3159" s="78"/>
      <c r="BY3159" s="319">
        <v>590</v>
      </c>
      <c r="CA3159" s="78"/>
      <c r="EE3159" s="76">
        <f>+IF(MID($J$2,1,10)=MID($EE$2,1,10),4,1)</f>
        <v>4</v>
      </c>
    </row>
    <row r="3160" spans="76:135" x14ac:dyDescent="0.25">
      <c r="BX3160" s="78"/>
      <c r="BY3160" s="319">
        <v>230</v>
      </c>
      <c r="CA3160" s="78"/>
      <c r="EE3160" s="76">
        <f>+IF(MID($J$2,1,10)=MID($EE$2,1,10),1,2)</f>
        <v>1</v>
      </c>
    </row>
    <row r="3161" spans="76:135" x14ac:dyDescent="0.25">
      <c r="BX3161" s="78"/>
      <c r="BY3161" s="319">
        <v>143</v>
      </c>
      <c r="CA3161" s="78"/>
      <c r="EE3161" s="76">
        <f>+IF(MID($J$2,1,10)=MID($EE$2,1,10),3,1)</f>
        <v>3</v>
      </c>
    </row>
    <row r="3162" spans="76:135" x14ac:dyDescent="0.25">
      <c r="BX3162" s="78"/>
      <c r="BY3162" s="319">
        <v>161</v>
      </c>
      <c r="CA3162" s="78"/>
      <c r="EE3162" s="76">
        <f>+IF(MID($J$2,1,10)=MID($EE$2,1,10),1,2)</f>
        <v>1</v>
      </c>
    </row>
    <row r="3163" spans="76:135" x14ac:dyDescent="0.25">
      <c r="BX3163" s="78"/>
      <c r="BY3163" s="319">
        <v>179</v>
      </c>
      <c r="CA3163" s="78"/>
      <c r="EE3163" s="76">
        <f>+IF(MID($J$3,1,10)=MID($EE$3,1,10),2,1)</f>
        <v>2</v>
      </c>
    </row>
    <row r="3164" spans="76:135" x14ac:dyDescent="0.25">
      <c r="BX3164" s="78"/>
      <c r="BY3164" s="325">
        <v>15</v>
      </c>
      <c r="CA3164" s="78"/>
      <c r="EE3164" s="76">
        <f>+IF(MID($J$3,1,10)=MID($EE$3,1,10),2,1)</f>
        <v>2</v>
      </c>
    </row>
    <row r="3165" spans="76:135" x14ac:dyDescent="0.25">
      <c r="BX3165" s="78"/>
      <c r="BY3165" s="319">
        <v>168</v>
      </c>
      <c r="CA3165" s="78"/>
      <c r="EE3165" s="76">
        <f>+IF(MID($J$2,1,10)=MID($EE$2,1,10),0,1)</f>
        <v>0</v>
      </c>
    </row>
    <row r="3166" spans="76:135" x14ac:dyDescent="0.25">
      <c r="BX3166" s="78"/>
      <c r="BY3166" s="319">
        <v>947</v>
      </c>
      <c r="CA3166" s="78"/>
      <c r="EE3166" s="76">
        <f>+IF(MID($J$2,1,10)=MID($EE$2,1,10),0,1)</f>
        <v>0</v>
      </c>
    </row>
    <row r="3167" spans="76:135" x14ac:dyDescent="0.25">
      <c r="BX3167" s="78"/>
      <c r="BY3167" s="319">
        <v>202</v>
      </c>
      <c r="CA3167" s="78"/>
      <c r="EE3167" s="76">
        <f>+IF(MID($J$2,1,10)=MID($EE$2,1,10),0,1)</f>
        <v>0</v>
      </c>
    </row>
    <row r="3168" spans="76:135" x14ac:dyDescent="0.25">
      <c r="BX3168" s="78"/>
      <c r="BY3168" s="319">
        <v>635</v>
      </c>
      <c r="CA3168" s="78"/>
      <c r="EE3168" s="76">
        <f>+IF(MID($J$2,1,10)=MID($EE$2,1,10),1,2)</f>
        <v>1</v>
      </c>
    </row>
    <row r="3169" spans="76:135" x14ac:dyDescent="0.25">
      <c r="BX3169" s="78"/>
      <c r="BY3169" s="319">
        <v>185</v>
      </c>
      <c r="CA3169" s="78"/>
      <c r="EE3169" s="76">
        <f>+IF(MID($J$2,1,10)=MID($EE$2,1,10),1,2)</f>
        <v>1</v>
      </c>
    </row>
    <row r="3170" spans="76:135" x14ac:dyDescent="0.25">
      <c r="BX3170" s="78"/>
      <c r="BY3170" s="319">
        <v>829</v>
      </c>
      <c r="CA3170" s="78"/>
      <c r="EE3170" s="76">
        <f>+IF(MID($J$2,1,10)=MID($EE$2,1,10),3,1)</f>
        <v>3</v>
      </c>
    </row>
    <row r="3171" spans="76:135" x14ac:dyDescent="0.25">
      <c r="BX3171" s="78"/>
      <c r="BY3171" s="319">
        <v>176</v>
      </c>
      <c r="CA3171" s="78"/>
      <c r="EE3171" s="76">
        <f>+IF(MID($J$2,1,10)=MID($EE$2,1,10),3,1)</f>
        <v>3</v>
      </c>
    </row>
    <row r="3172" spans="76:135" x14ac:dyDescent="0.25">
      <c r="BX3172" s="78"/>
      <c r="BY3172" s="319">
        <v>126</v>
      </c>
      <c r="CA3172" s="78"/>
      <c r="EE3172" s="76">
        <f>+IF(MID($J$2,1,10)=MID($EE$2,1,10),3,1)</f>
        <v>3</v>
      </c>
    </row>
    <row r="3173" spans="76:135" x14ac:dyDescent="0.25">
      <c r="BX3173" s="79"/>
      <c r="BY3173" s="322">
        <v>10</v>
      </c>
      <c r="BZ3173" s="323"/>
      <c r="CA3173" s="79"/>
      <c r="EE3173" s="76">
        <f>+IF(MID($J$2,1,10)=MID($EE$2,1,10),0,1)</f>
        <v>0</v>
      </c>
    </row>
    <row r="3174" spans="76:135" x14ac:dyDescent="0.25">
      <c r="BX3174" s="78"/>
      <c r="BY3174" s="324">
        <v>5</v>
      </c>
      <c r="CA3174" s="78"/>
      <c r="EE3174" s="76">
        <f>+IF(MID($J$3,1,10)=MID($EE$3,1,10),0,1)</f>
        <v>0</v>
      </c>
    </row>
    <row r="3175" spans="76:135" x14ac:dyDescent="0.25">
      <c r="BX3175" s="78"/>
      <c r="BY3175" s="319">
        <v>192</v>
      </c>
      <c r="CA3175" s="78"/>
      <c r="EE3175" s="76">
        <f>+IF(MID($J$2,1,10)=MID($EE$2,1,10),3,1)</f>
        <v>3</v>
      </c>
    </row>
    <row r="3176" spans="76:135" x14ac:dyDescent="0.25">
      <c r="BX3176" s="78"/>
      <c r="BY3176" s="319">
        <v>455</v>
      </c>
      <c r="CA3176" s="78"/>
      <c r="EE3176" s="76">
        <f>+IF(MID($J$2,1,10)=MID($EE$2,1,10),3,1)</f>
        <v>3</v>
      </c>
    </row>
    <row r="3177" spans="76:135" x14ac:dyDescent="0.25">
      <c r="BX3177" s="78"/>
      <c r="BY3177" s="319">
        <v>185</v>
      </c>
      <c r="CA3177" s="78"/>
      <c r="EE3177" s="76">
        <f>+IF(MID($J$2,1,10)=MID($EE$2,1,10),0,1)</f>
        <v>0</v>
      </c>
    </row>
    <row r="3178" spans="76:135" x14ac:dyDescent="0.25">
      <c r="BX3178" s="78"/>
      <c r="BY3178" s="319">
        <v>7</v>
      </c>
      <c r="CA3178" s="78"/>
      <c r="EE3178" s="76">
        <f>+IF(MID($J$2,1,10)=MID($EE$2,1,10),3,1)</f>
        <v>3</v>
      </c>
    </row>
    <row r="3179" spans="76:135" x14ac:dyDescent="0.25">
      <c r="BX3179" s="78"/>
      <c r="BY3179" s="319">
        <v>147</v>
      </c>
      <c r="CA3179" s="78"/>
      <c r="EE3179" s="76">
        <f>+IF(MID($J$2,1,10)=MID($EE$2,1,10),3,1)</f>
        <v>3</v>
      </c>
    </row>
    <row r="3180" spans="76:135" x14ac:dyDescent="0.25">
      <c r="BX3180" s="78"/>
      <c r="BY3180" s="319">
        <v>316</v>
      </c>
      <c r="CA3180" s="78"/>
      <c r="EE3180" s="76">
        <f>+IF(MID($J$2,1,10)=MID($EE$2,1,10),3,1)</f>
        <v>3</v>
      </c>
    </row>
    <row r="3181" spans="76:135" x14ac:dyDescent="0.25">
      <c r="BX3181" s="78"/>
      <c r="BY3181" s="319">
        <v>434</v>
      </c>
      <c r="CA3181" s="78"/>
      <c r="EE3181" s="76">
        <f>+IF(MID($J$2,1,10)=MID($EE$2,1,10),1,2)</f>
        <v>1</v>
      </c>
    </row>
    <row r="3182" spans="76:135" x14ac:dyDescent="0.25">
      <c r="BX3182" s="79"/>
      <c r="BY3182" s="322">
        <v>20</v>
      </c>
      <c r="BZ3182" s="323"/>
      <c r="CA3182" s="79"/>
      <c r="EE3182" s="76">
        <f>+IF(MID($J$6,1,5)=MID($EE$11,1,5),0,1)</f>
        <v>0</v>
      </c>
    </row>
    <row r="3183" spans="76:135" x14ac:dyDescent="0.25">
      <c r="BX3183" s="78"/>
      <c r="BY3183" s="319">
        <v>501</v>
      </c>
      <c r="CA3183" s="78"/>
      <c r="EE3183" s="76">
        <f>+IF(MID($J$2,1,10)=MID($EE$2,1,10),4,1)</f>
        <v>4</v>
      </c>
    </row>
    <row r="3184" spans="76:135" x14ac:dyDescent="0.25">
      <c r="BX3184" s="78"/>
      <c r="BY3184" s="322">
        <v>10</v>
      </c>
      <c r="CA3184" s="78"/>
      <c r="EE3184" s="76">
        <f>+IF(MID($J$3,1,10)=MID($EE$3,1,10),1,2)</f>
        <v>1</v>
      </c>
    </row>
    <row r="3185" spans="76:135" x14ac:dyDescent="0.25">
      <c r="BX3185" s="78"/>
      <c r="BY3185" s="319">
        <v>874</v>
      </c>
      <c r="CA3185" s="78"/>
      <c r="EE3185" s="76">
        <f>+IF(MID($J$3,1,10)=MID($EE$3,1,10),2,1)</f>
        <v>2</v>
      </c>
    </row>
    <row r="3186" spans="76:135" x14ac:dyDescent="0.25">
      <c r="BX3186" s="78"/>
      <c r="BY3186" s="319">
        <v>177</v>
      </c>
      <c r="CA3186" s="78"/>
      <c r="EE3186" s="76">
        <f>+IF(MID($J$3,1,10)=MID($EE$3,1,10),2,1)</f>
        <v>2</v>
      </c>
    </row>
    <row r="3187" spans="76:135" x14ac:dyDescent="0.25">
      <c r="BX3187" s="78"/>
      <c r="BY3187" s="319">
        <v>545</v>
      </c>
      <c r="CA3187" s="78"/>
      <c r="EE3187" s="76">
        <f>+IF(MID($J$2,1,10)=MID($EE$2,1,10),4,1)</f>
        <v>4</v>
      </c>
    </row>
    <row r="3188" spans="76:135" x14ac:dyDescent="0.25">
      <c r="BX3188" s="78"/>
      <c r="BY3188" s="319">
        <v>124</v>
      </c>
      <c r="CA3188" s="78"/>
      <c r="EE3188" s="76">
        <f>+IF(MID($J$3,1,10)=MID($EE$3,1,10),2,1)</f>
        <v>2</v>
      </c>
    </row>
    <row r="3189" spans="76:135" x14ac:dyDescent="0.25">
      <c r="BX3189" s="78"/>
      <c r="BY3189" s="319">
        <v>423</v>
      </c>
      <c r="CA3189" s="78"/>
      <c r="EE3189" s="76">
        <f>+IF(MID($J$2,1,10)=MID($EE$2,1,10),4,1)</f>
        <v>4</v>
      </c>
    </row>
    <row r="3190" spans="76:135" x14ac:dyDescent="0.25">
      <c r="BX3190" s="78"/>
      <c r="BY3190" s="319">
        <v>155</v>
      </c>
      <c r="CA3190" s="78"/>
      <c r="EE3190" s="76">
        <f>+IF(MID($J$2,1,10)=MID($EE$2,1,10),1,2)</f>
        <v>1</v>
      </c>
    </row>
    <row r="3191" spans="76:135" x14ac:dyDescent="0.25">
      <c r="BX3191" s="78"/>
      <c r="BY3191" s="319">
        <v>955</v>
      </c>
      <c r="CA3191" s="78"/>
      <c r="EE3191" s="76">
        <f>+IF(MID($J$2,1,10)=MID($EE$2,1,10),3,1)</f>
        <v>3</v>
      </c>
    </row>
    <row r="3192" spans="76:135" x14ac:dyDescent="0.25">
      <c r="BX3192" s="78"/>
      <c r="BY3192" s="319">
        <v>159</v>
      </c>
      <c r="CA3192" s="78"/>
      <c r="EE3192" s="76">
        <f>+IF(MID($J$2,1,10)=MID($EE$2,1,10),1,2)</f>
        <v>1</v>
      </c>
    </row>
    <row r="3193" spans="76:135" x14ac:dyDescent="0.25">
      <c r="BX3193" s="78"/>
      <c r="BY3193" s="319">
        <v>208</v>
      </c>
      <c r="CA3193" s="78"/>
      <c r="EE3193" s="76">
        <f>+IF(MID($J$3,1,10)=MID($EE$3,1,10),2,1)</f>
        <v>2</v>
      </c>
    </row>
    <row r="3194" spans="76:135" x14ac:dyDescent="0.25">
      <c r="BX3194" s="78"/>
      <c r="BY3194" s="319">
        <v>748</v>
      </c>
      <c r="CA3194" s="78"/>
      <c r="EE3194" s="76">
        <f>+IF(MID($J$2,1,10)=MID($EE$2,1,10),1,2)</f>
        <v>1</v>
      </c>
    </row>
    <row r="3195" spans="76:135" x14ac:dyDescent="0.25">
      <c r="BX3195" s="78"/>
      <c r="BY3195" s="319">
        <v>207</v>
      </c>
      <c r="CA3195" s="78"/>
      <c r="EE3195" s="76">
        <f>+IF(MID($J$2,1,10)=MID($EE$2,1,10),0,1)</f>
        <v>0</v>
      </c>
    </row>
    <row r="3196" spans="76:135" x14ac:dyDescent="0.25">
      <c r="BX3196" s="78"/>
      <c r="BY3196" s="319">
        <v>707</v>
      </c>
      <c r="CA3196" s="78"/>
      <c r="EE3196" s="76">
        <f>+IF(MID($J$2,1,10)=MID($EE$2,1,10),0,1)</f>
        <v>0</v>
      </c>
    </row>
    <row r="3197" spans="76:135" x14ac:dyDescent="0.25">
      <c r="BX3197" s="78"/>
      <c r="BY3197" s="319">
        <v>183</v>
      </c>
      <c r="CA3197" s="78"/>
      <c r="EE3197" s="76">
        <f>+IF(MID($J$2,1,10)=MID($EE$2,1,10),0,1)</f>
        <v>0</v>
      </c>
    </row>
    <row r="3198" spans="76:135" x14ac:dyDescent="0.25">
      <c r="BX3198" s="78"/>
      <c r="BY3198" s="319">
        <v>1076</v>
      </c>
      <c r="CA3198" s="78"/>
      <c r="EE3198" s="76">
        <f>+IF(MID($J$2,1,10)=MID($EE$2,1,10),1,2)</f>
        <v>1</v>
      </c>
    </row>
    <row r="3199" spans="76:135" x14ac:dyDescent="0.25">
      <c r="BX3199" s="78"/>
      <c r="BY3199" s="319">
        <v>13</v>
      </c>
      <c r="CA3199" s="78"/>
      <c r="EE3199" s="76">
        <f>+IF(MID($J$3,1,10)=MID($EE$3,1,10),0,1)</f>
        <v>0</v>
      </c>
    </row>
    <row r="3200" spans="76:135" x14ac:dyDescent="0.25">
      <c r="BX3200" s="78"/>
      <c r="BY3200" s="319">
        <v>921</v>
      </c>
      <c r="CA3200" s="78"/>
      <c r="EE3200" s="76">
        <f>+IF(MID($J$2,1,10)=MID($EE$2,1,10),3,1)</f>
        <v>3</v>
      </c>
    </row>
    <row r="3201" spans="76:135" x14ac:dyDescent="0.25">
      <c r="BX3201" s="78"/>
      <c r="BY3201" s="319">
        <v>181</v>
      </c>
      <c r="CA3201" s="78"/>
      <c r="EE3201" s="76">
        <f>+IF(MID($J$2,1,10)=MID($EE$2,1,10),3,1)</f>
        <v>3</v>
      </c>
    </row>
    <row r="3202" spans="76:135" x14ac:dyDescent="0.25">
      <c r="BX3202" s="78"/>
      <c r="BY3202" s="319">
        <v>924</v>
      </c>
      <c r="CA3202" s="78"/>
      <c r="EE3202" s="76">
        <f>+IF(MID($J$2,1,10)=MID($EE$2,1,10),3,1)</f>
        <v>3</v>
      </c>
    </row>
    <row r="3203" spans="76:135" x14ac:dyDescent="0.25">
      <c r="BX3203" s="78"/>
      <c r="BY3203" s="319">
        <v>13</v>
      </c>
      <c r="CA3203" s="78"/>
      <c r="EE3203" s="76">
        <f>+IF(MID($J$2,1,10)=MID($EE$2,1,10),0,1)</f>
        <v>0</v>
      </c>
    </row>
    <row r="3204" spans="76:135" x14ac:dyDescent="0.25">
      <c r="BX3204" s="78"/>
      <c r="BY3204" s="319">
        <v>824</v>
      </c>
      <c r="CA3204" s="78"/>
      <c r="EE3204" s="76">
        <f>+IF(MID($J$2,1,10)=MID($EE$2,1,10),1,2)</f>
        <v>1</v>
      </c>
    </row>
    <row r="3205" spans="76:135" x14ac:dyDescent="0.25">
      <c r="BX3205" s="78"/>
      <c r="BY3205" s="319">
        <v>121</v>
      </c>
      <c r="CA3205" s="78"/>
      <c r="EE3205" s="76">
        <f>+IF(MID($J$2,1,10)=MID($EE$2,1,10),3,1)</f>
        <v>3</v>
      </c>
    </row>
    <row r="3206" spans="76:135" x14ac:dyDescent="0.25">
      <c r="BX3206" s="78"/>
      <c r="BY3206" s="319">
        <v>192</v>
      </c>
      <c r="CA3206" s="78"/>
      <c r="EE3206" s="76">
        <f>+IF(MID($J$2,1,10)=MID($EE$2,1,10),3,1)</f>
        <v>3</v>
      </c>
    </row>
    <row r="3207" spans="76:135" x14ac:dyDescent="0.25">
      <c r="BX3207" s="78"/>
      <c r="BY3207" s="319">
        <v>198</v>
      </c>
      <c r="CA3207" s="78"/>
      <c r="EE3207" s="76">
        <f>+IF(MID($J$2,1,10)=MID($EE$2,1,10),0,1)</f>
        <v>0</v>
      </c>
    </row>
    <row r="3208" spans="76:135" x14ac:dyDescent="0.25">
      <c r="BX3208" s="78"/>
      <c r="BY3208" s="319">
        <v>846</v>
      </c>
      <c r="CA3208" s="78"/>
      <c r="EE3208" s="76">
        <f>+IF(MID($J$2,1,10)=MID($EE$2,1,10),3,1)</f>
        <v>3</v>
      </c>
    </row>
    <row r="3209" spans="76:135" x14ac:dyDescent="0.25">
      <c r="BX3209" s="79"/>
      <c r="BY3209" s="322">
        <v>10</v>
      </c>
      <c r="BZ3209" s="323"/>
      <c r="CA3209" s="79"/>
      <c r="EE3209" s="76">
        <f>+IF(MID($J$3,1,10)=MID($EE$3,1,10),0,1)</f>
        <v>0</v>
      </c>
    </row>
    <row r="3210" spans="76:135" x14ac:dyDescent="0.25">
      <c r="BX3210" s="78"/>
      <c r="BY3210" s="322">
        <v>10</v>
      </c>
      <c r="CA3210" s="78"/>
      <c r="EE3210" s="76">
        <f>+IF(MID($J$4,1,8)=MID($EE$4,1,8),3,1)</f>
        <v>3</v>
      </c>
    </row>
    <row r="3211" spans="76:135" x14ac:dyDescent="0.25">
      <c r="BX3211" s="78"/>
      <c r="BY3211" s="319">
        <v>106</v>
      </c>
      <c r="CA3211" s="78"/>
      <c r="EE3211" s="76">
        <f>+IF(MID($J$2,1,10)=MID($EE$2,1,10),1,2)</f>
        <v>1</v>
      </c>
    </row>
    <row r="3212" spans="76:135" x14ac:dyDescent="0.25">
      <c r="BX3212" s="78"/>
      <c r="BY3212" s="319">
        <v>479</v>
      </c>
      <c r="CA3212" s="78"/>
      <c r="EE3212" s="76">
        <f>+IF(MID($J$3,1,10)=MID($EE$3,1,10),2,1)</f>
        <v>2</v>
      </c>
    </row>
    <row r="3213" spans="76:135" x14ac:dyDescent="0.25">
      <c r="BX3213" s="78"/>
      <c r="BY3213" s="319">
        <v>187</v>
      </c>
      <c r="CA3213" s="78"/>
      <c r="EE3213" s="76">
        <f>+IF(MID($J$2,1,10)=MID($EE$2,1,10),4,1)</f>
        <v>4</v>
      </c>
    </row>
    <row r="3214" spans="76:135" x14ac:dyDescent="0.25">
      <c r="BX3214" s="78"/>
      <c r="BY3214" s="319">
        <v>534</v>
      </c>
      <c r="CA3214" s="78"/>
      <c r="EE3214" s="76">
        <f>+IF(MID($J$2,1,10)=MID($EE$2,1,10),0,1)</f>
        <v>0</v>
      </c>
    </row>
    <row r="3215" spans="76:135" x14ac:dyDescent="0.25">
      <c r="BX3215" s="78"/>
      <c r="BY3215" s="319">
        <v>144</v>
      </c>
      <c r="CA3215" s="78"/>
      <c r="EE3215" s="76">
        <f>+IF(MID($J$3,1,10)=MID($EE$3,1,10),2,1)</f>
        <v>2</v>
      </c>
    </row>
    <row r="3216" spans="76:135" x14ac:dyDescent="0.25">
      <c r="BX3216" s="78"/>
      <c r="BY3216" s="319">
        <v>170</v>
      </c>
      <c r="CA3216" s="78"/>
      <c r="EE3216" s="76">
        <f>+IF(MID($J$3,1,10)=MID($EE$3,1,10),2,1)</f>
        <v>2</v>
      </c>
    </row>
    <row r="3217" spans="76:135" x14ac:dyDescent="0.25">
      <c r="BX3217" s="78"/>
      <c r="BY3217" s="319">
        <v>103</v>
      </c>
      <c r="CA3217" s="78"/>
      <c r="EE3217" s="76">
        <f>+IF(MID($J$2,1,10)=MID($EE$2,1,10),4,1)</f>
        <v>4</v>
      </c>
    </row>
    <row r="3218" spans="76:135" x14ac:dyDescent="0.25">
      <c r="BX3218" s="78"/>
      <c r="BY3218" s="319">
        <v>13</v>
      </c>
      <c r="CA3218" s="78"/>
      <c r="EE3218" s="76">
        <f>+IF(MID($J$3,1,10)=MID($EE$3,1,10),2,1)</f>
        <v>2</v>
      </c>
    </row>
    <row r="3219" spans="76:135" x14ac:dyDescent="0.25">
      <c r="BX3219" s="78"/>
      <c r="BY3219" s="319">
        <v>175</v>
      </c>
      <c r="CA3219" s="78"/>
      <c r="EE3219" s="76">
        <f>+IF(MID($J$2,1,10)=MID($EE$2,1,10),4,1)</f>
        <v>4</v>
      </c>
    </row>
    <row r="3220" spans="76:135" x14ac:dyDescent="0.25">
      <c r="BX3220" s="78"/>
      <c r="BY3220" s="319">
        <v>187</v>
      </c>
      <c r="CA3220" s="78"/>
      <c r="EE3220" s="76">
        <f>+IF(MID($J$2,1,10)=MID($EE$2,1,10),1,2)</f>
        <v>1</v>
      </c>
    </row>
    <row r="3221" spans="76:135" x14ac:dyDescent="0.25">
      <c r="BX3221" s="78"/>
      <c r="BY3221" s="319">
        <v>1119</v>
      </c>
      <c r="CA3221" s="78"/>
      <c r="EE3221" s="76">
        <f>+IF(MID($J$2,1,10)=MID($EE$2,1,10),3,1)</f>
        <v>3</v>
      </c>
    </row>
    <row r="3222" spans="76:135" x14ac:dyDescent="0.25">
      <c r="BX3222" s="78"/>
      <c r="BY3222" s="319">
        <v>196</v>
      </c>
      <c r="CA3222" s="78"/>
      <c r="EE3222" s="76">
        <f>+IF(MID($J$2,1,10)=MID($EE$2,1,10),1,2)</f>
        <v>1</v>
      </c>
    </row>
    <row r="3223" spans="76:135" x14ac:dyDescent="0.25">
      <c r="BX3223" s="78"/>
      <c r="BY3223" s="319">
        <v>542</v>
      </c>
      <c r="CA3223" s="78"/>
      <c r="EE3223" s="76">
        <f>+IF(MID($J$3,1,10)=MID($EE$3,1,10),2,1)</f>
        <v>2</v>
      </c>
    </row>
    <row r="3224" spans="76:135" x14ac:dyDescent="0.25">
      <c r="BX3224" s="78"/>
      <c r="BY3224" s="319">
        <v>125</v>
      </c>
      <c r="CA3224" s="78"/>
      <c r="EE3224" s="76">
        <f>+IF(MID($J$2,1,10)=MID($EE$2,1,10),1,2)</f>
        <v>1</v>
      </c>
    </row>
    <row r="3225" spans="76:135" x14ac:dyDescent="0.25">
      <c r="BX3225" s="78"/>
      <c r="BY3225" s="319">
        <v>585</v>
      </c>
      <c r="CA3225" s="78"/>
      <c r="EE3225" s="76">
        <f>+IF(MID($J$2,1,10)=MID($EE$2,1,10),0,1)</f>
        <v>0</v>
      </c>
    </row>
    <row r="3226" spans="76:135" x14ac:dyDescent="0.25">
      <c r="BX3226" s="78"/>
      <c r="BY3226" s="319">
        <v>133</v>
      </c>
      <c r="CA3226" s="78"/>
      <c r="EE3226" s="76">
        <f>+IF(MID($J$2,1,10)=MID($EE$2,1,10),0,1)</f>
        <v>0</v>
      </c>
    </row>
    <row r="3227" spans="76:135" x14ac:dyDescent="0.25">
      <c r="BX3227" s="78"/>
      <c r="BY3227" s="319">
        <v>516</v>
      </c>
      <c r="CA3227" s="78"/>
      <c r="EE3227" s="76">
        <f>+IF(MID($J$2,1,10)=MID($EE$2,1,10),0,1)</f>
        <v>0</v>
      </c>
    </row>
    <row r="3228" spans="76:135" x14ac:dyDescent="0.25">
      <c r="BX3228" s="78"/>
      <c r="BY3228" s="319">
        <v>173</v>
      </c>
      <c r="CA3228" s="78"/>
      <c r="EE3228" s="76">
        <f>+IF(MID($J$2,1,10)=MID($EE$2,1,10),1,2)</f>
        <v>1</v>
      </c>
    </row>
    <row r="3229" spans="76:135" x14ac:dyDescent="0.25">
      <c r="BX3229" s="78"/>
      <c r="BY3229" s="319">
        <v>740</v>
      </c>
      <c r="CA3229" s="78"/>
      <c r="EE3229" s="76">
        <f>+IF(MID($J$2,1,10)=MID($EE$2,1,10),1,2)</f>
        <v>1</v>
      </c>
    </row>
    <row r="3230" spans="76:135" x14ac:dyDescent="0.25">
      <c r="BX3230" s="78"/>
      <c r="BY3230" s="319">
        <v>168</v>
      </c>
      <c r="CA3230" s="78"/>
      <c r="EE3230" s="76">
        <f>+IF(MID($J$2,1,10)=MID($EE$2,1,10),3,1)</f>
        <v>3</v>
      </c>
    </row>
    <row r="3231" spans="76:135" x14ac:dyDescent="0.25">
      <c r="BX3231" s="78"/>
      <c r="BY3231" s="319">
        <v>976</v>
      </c>
      <c r="CA3231" s="78"/>
      <c r="EE3231" s="76">
        <f>+IF(MID($J$2,1,10)=MID($EE$2,1,10),3,1)</f>
        <v>3</v>
      </c>
    </row>
    <row r="3232" spans="76:135" x14ac:dyDescent="0.25">
      <c r="BX3232" s="78"/>
      <c r="BY3232" s="319">
        <v>173</v>
      </c>
      <c r="CA3232" s="78"/>
      <c r="EE3232" s="76">
        <f>+IF(MID($J$2,1,10)=MID($EE$2,1,10),3,1)</f>
        <v>3</v>
      </c>
    </row>
    <row r="3233" spans="76:135" x14ac:dyDescent="0.25">
      <c r="BX3233" s="78"/>
      <c r="BY3233" s="319">
        <v>815</v>
      </c>
      <c r="CA3233" s="78"/>
      <c r="EE3233" s="76">
        <f>+IF(MID($J$2,1,10)=MID($EE$2,1,10),0,1)</f>
        <v>0</v>
      </c>
    </row>
    <row r="3234" spans="76:135" x14ac:dyDescent="0.25">
      <c r="BX3234" s="78"/>
      <c r="BY3234" s="319">
        <v>486</v>
      </c>
      <c r="CA3234" s="78"/>
      <c r="EE3234" s="76">
        <f>+IF(MID($J$2,1,10)=MID($EE$2,1,10),1,2)</f>
        <v>1</v>
      </c>
    </row>
    <row r="3235" spans="76:135" x14ac:dyDescent="0.25">
      <c r="BX3235" s="78"/>
      <c r="BY3235" s="319">
        <v>119</v>
      </c>
      <c r="CA3235" s="78"/>
      <c r="EE3235" s="76">
        <f>+IF(MID($J$2,1,10)=MID($EE$2,1,10),3,1)</f>
        <v>3</v>
      </c>
    </row>
    <row r="3236" spans="76:135" x14ac:dyDescent="0.25">
      <c r="BX3236" s="78"/>
      <c r="BY3236" s="319">
        <v>967</v>
      </c>
      <c r="CA3236" s="78"/>
      <c r="EE3236" s="76">
        <f>+IF(MID($J$2,1,10)=MID($EE$2,1,10),3,1)</f>
        <v>3</v>
      </c>
    </row>
    <row r="3237" spans="76:135" x14ac:dyDescent="0.25">
      <c r="BX3237" s="78"/>
      <c r="BY3237" s="319">
        <v>117</v>
      </c>
      <c r="CA3237" s="78"/>
      <c r="EE3237" s="76">
        <f>+IF(MID($J$2,1,10)=MID($EE$2,1,10),0,1)</f>
        <v>0</v>
      </c>
    </row>
    <row r="3238" spans="76:135" x14ac:dyDescent="0.25">
      <c r="BX3238" s="78"/>
      <c r="BY3238" s="319">
        <v>848</v>
      </c>
      <c r="CA3238" s="78"/>
      <c r="EE3238" s="76">
        <f>+IF(MID($J$2,1,10)=MID($EE$2,1,10),3,1)</f>
        <v>3</v>
      </c>
    </row>
    <row r="3239" spans="76:135" x14ac:dyDescent="0.25">
      <c r="BX3239" s="78"/>
      <c r="BY3239" s="319">
        <v>146</v>
      </c>
      <c r="CA3239" s="78"/>
      <c r="EE3239" s="76">
        <f>+IF(MID($J$2,1,10)=MID($EE$2,1,10),3,1)</f>
        <v>3</v>
      </c>
    </row>
    <row r="3240" spans="76:135" x14ac:dyDescent="0.25">
      <c r="BX3240" s="78"/>
      <c r="BY3240" s="319">
        <v>131</v>
      </c>
      <c r="CA3240" s="78"/>
      <c r="EE3240" s="76">
        <f>+IF(MID($J$2,1,10)=MID($EE$2,1,10),3,1)</f>
        <v>3</v>
      </c>
    </row>
    <row r="3241" spans="76:135" x14ac:dyDescent="0.25">
      <c r="BX3241" s="78"/>
      <c r="BY3241" s="319">
        <v>167</v>
      </c>
      <c r="CA3241" s="78"/>
      <c r="EE3241" s="76">
        <f>+IF(MID($J$2,1,10)=MID($EE$2,1,10),1,2)</f>
        <v>1</v>
      </c>
    </row>
    <row r="3242" spans="76:135" x14ac:dyDescent="0.25">
      <c r="BX3242" s="78"/>
      <c r="BY3242" s="319">
        <v>719</v>
      </c>
      <c r="CA3242" s="78"/>
      <c r="EE3242" s="76">
        <f>+IF(MID($J$3,1,10)=MID($EE$3,1,10),2,1)</f>
        <v>2</v>
      </c>
    </row>
    <row r="3243" spans="76:135" x14ac:dyDescent="0.25">
      <c r="BX3243" s="78"/>
      <c r="BY3243" s="319">
        <v>194</v>
      </c>
      <c r="CA3243" s="78"/>
      <c r="EE3243" s="76">
        <f>+IF(MID($J$2,1,10)=MID($EE$2,1,10),4,1)</f>
        <v>4</v>
      </c>
    </row>
    <row r="3244" spans="76:135" x14ac:dyDescent="0.25">
      <c r="BX3244" s="78"/>
      <c r="BY3244" s="319">
        <v>469</v>
      </c>
      <c r="CA3244" s="78"/>
      <c r="EE3244" s="76">
        <f>+IF(MID($J$2,1,10)=MID($EE$2,1,10),0,1)</f>
        <v>0</v>
      </c>
    </row>
    <row r="3245" spans="76:135" x14ac:dyDescent="0.25">
      <c r="BX3245" s="78"/>
      <c r="BY3245" s="319">
        <v>195</v>
      </c>
      <c r="CA3245" s="78"/>
      <c r="EE3245" s="76">
        <f>+IF(MID($J$3,1,10)=MID($EE$3,1,10),2,1)</f>
        <v>2</v>
      </c>
    </row>
    <row r="3246" spans="76:135" x14ac:dyDescent="0.25">
      <c r="BX3246" s="78"/>
      <c r="BY3246" s="319">
        <v>169</v>
      </c>
      <c r="CA3246" s="78"/>
      <c r="EE3246" s="76">
        <f>+IF(MID($J$3,1,10)=MID($EE$3,1,10),2,1)</f>
        <v>2</v>
      </c>
    </row>
    <row r="3247" spans="76:135" x14ac:dyDescent="0.25">
      <c r="BX3247" s="78"/>
      <c r="BY3247" s="319">
        <v>188</v>
      </c>
      <c r="CA3247" s="78"/>
      <c r="EE3247" s="76">
        <f>+IF(MID($J$2,1,10)=MID($EE$2,1,10),4,1)</f>
        <v>4</v>
      </c>
    </row>
    <row r="3248" spans="76:135" x14ac:dyDescent="0.25">
      <c r="BX3248" s="78"/>
      <c r="BY3248" s="319">
        <v>629</v>
      </c>
      <c r="CA3248" s="78"/>
      <c r="EE3248" s="76">
        <f>+IF(MID($J$3,1,10)=MID($EE$3,1,10),2,1)</f>
        <v>2</v>
      </c>
    </row>
    <row r="3249" spans="76:135" x14ac:dyDescent="0.25">
      <c r="BX3249" s="78"/>
      <c r="BY3249" s="319">
        <v>204</v>
      </c>
      <c r="CA3249" s="78"/>
      <c r="EE3249" s="76">
        <f>+IF(MID($J$2,1,10)=MID($EE$2,1,10),4,1)</f>
        <v>4</v>
      </c>
    </row>
    <row r="3250" spans="76:135" x14ac:dyDescent="0.25">
      <c r="BX3250" s="78"/>
      <c r="BY3250" s="319">
        <v>1121</v>
      </c>
      <c r="CA3250" s="78"/>
      <c r="EE3250" s="76">
        <f>+IF(MID($J$2,1,10)=MID($EE$2,1,10),1,2)</f>
        <v>1</v>
      </c>
    </row>
    <row r="3251" spans="76:135" x14ac:dyDescent="0.25">
      <c r="BX3251" s="78"/>
      <c r="BY3251" s="319">
        <v>141</v>
      </c>
      <c r="CA3251" s="78"/>
      <c r="EE3251" s="76">
        <f>+IF(MID($J$2,1,10)=MID($EE$2,1,10),3,1)</f>
        <v>3</v>
      </c>
    </row>
    <row r="3252" spans="76:135" x14ac:dyDescent="0.25">
      <c r="BX3252" s="78"/>
      <c r="BY3252" s="319">
        <v>0</v>
      </c>
      <c r="CA3252" s="78"/>
      <c r="EE3252" s="76">
        <f>+IF(MID($J$2,1,10)=MID($EE$2,1,10),1,2)</f>
        <v>1</v>
      </c>
    </row>
    <row r="3253" spans="76:135" x14ac:dyDescent="0.25">
      <c r="BX3253" s="78"/>
      <c r="BY3253" s="319">
        <v>199</v>
      </c>
      <c r="CA3253" s="78"/>
      <c r="EE3253" s="76">
        <f>+IF(MID($J$3,1,10)=MID($EE$3,1,10),2,1)</f>
        <v>2</v>
      </c>
    </row>
    <row r="3254" spans="76:135" x14ac:dyDescent="0.25">
      <c r="BX3254" s="78"/>
      <c r="BY3254" s="319">
        <v>777</v>
      </c>
      <c r="CA3254" s="78"/>
      <c r="EE3254" s="76">
        <f>+IF(MID($J$2,1,10)=MID($EE$2,1,10),1,2)</f>
        <v>1</v>
      </c>
    </row>
    <row r="3255" spans="76:135" x14ac:dyDescent="0.25">
      <c r="BX3255" s="78"/>
      <c r="BY3255" s="319">
        <v>178</v>
      </c>
      <c r="CA3255" s="78"/>
      <c r="EE3255" s="76">
        <f>+IF(MID($J$2,1,10)=MID($EE$2,1,10),0,1)</f>
        <v>0</v>
      </c>
    </row>
    <row r="3256" spans="76:135" x14ac:dyDescent="0.25">
      <c r="BX3256" s="78"/>
      <c r="BY3256" s="325">
        <v>15</v>
      </c>
      <c r="CA3256" s="78"/>
      <c r="EE3256" s="76">
        <f>+IF(MID($J$5,1,10)=MID($EE$5,1,10),0,1)</f>
        <v>0</v>
      </c>
    </row>
    <row r="3257" spans="76:135" x14ac:dyDescent="0.25">
      <c r="BX3257" s="78"/>
      <c r="BY3257" s="324">
        <v>5</v>
      </c>
      <c r="CA3257" s="78"/>
      <c r="EE3257" s="76">
        <f>+IF(MID($J$6,1,5)=MID($EE$11,1,5),1,2)</f>
        <v>1</v>
      </c>
    </row>
    <row r="3258" spans="76:135" x14ac:dyDescent="0.25">
      <c r="BX3258" s="78"/>
      <c r="BY3258" s="319">
        <v>112</v>
      </c>
      <c r="CA3258" s="78"/>
      <c r="EE3258" s="76">
        <f>+IF(MID($J$2,1,10)=MID($EE$2,1,10),1,2)</f>
        <v>1</v>
      </c>
    </row>
    <row r="3259" spans="76:135" x14ac:dyDescent="0.25">
      <c r="BX3259" s="78"/>
      <c r="BY3259" s="319">
        <v>109</v>
      </c>
      <c r="CA3259" s="78"/>
      <c r="EE3259" s="76">
        <f>+IF(MID($J$3,1,10)=MID($EE$3,1,10),2,1)</f>
        <v>2</v>
      </c>
    </row>
    <row r="3260" spans="76:135" x14ac:dyDescent="0.25">
      <c r="BX3260" s="78"/>
      <c r="BY3260" s="319">
        <v>101</v>
      </c>
      <c r="CA3260" s="78"/>
      <c r="EE3260" s="76">
        <f>+IF(MID($J$2,1,10)=MID($EE$2,1,10),4,1)</f>
        <v>4</v>
      </c>
    </row>
    <row r="3261" spans="76:135" x14ac:dyDescent="0.25">
      <c r="BX3261" s="78"/>
      <c r="BY3261" s="319">
        <v>121</v>
      </c>
      <c r="CA3261" s="78"/>
      <c r="EE3261" s="76">
        <f>+IF(MID($J$2,1,10)=MID($EE$2,1,10),0,1)</f>
        <v>0</v>
      </c>
    </row>
    <row r="3262" spans="76:135" x14ac:dyDescent="0.25">
      <c r="BX3262" s="78"/>
      <c r="BY3262" s="319">
        <v>108</v>
      </c>
      <c r="CA3262" s="78"/>
      <c r="EE3262" s="76">
        <f>+IF(MID($J$3,1,10)=MID($EE$3,1,10),2,1)</f>
        <v>2</v>
      </c>
    </row>
    <row r="3263" spans="76:135" x14ac:dyDescent="0.25">
      <c r="BX3263" s="78"/>
      <c r="BY3263" s="319">
        <v>147</v>
      </c>
      <c r="CA3263" s="78"/>
      <c r="EE3263" s="76">
        <f>+IF(MID($J$3,1,10)=MID($EE$3,1,10),2,1)</f>
        <v>2</v>
      </c>
    </row>
    <row r="3264" spans="76:135" x14ac:dyDescent="0.25">
      <c r="BX3264" s="78"/>
      <c r="BY3264" s="319">
        <v>133</v>
      </c>
      <c r="CA3264" s="78"/>
      <c r="EE3264" s="76">
        <f>+IF(MID($J$2,1,10)=MID($EE$2,1,10),4,1)</f>
        <v>4</v>
      </c>
    </row>
    <row r="3265" spans="76:135" x14ac:dyDescent="0.25">
      <c r="BX3265" s="78"/>
      <c r="BY3265" s="319">
        <v>130</v>
      </c>
      <c r="CA3265" s="78"/>
      <c r="EE3265" s="76">
        <f>+IF(MID($J$3,1,10)=MID($EE$3,1,10),2,1)</f>
        <v>2</v>
      </c>
    </row>
    <row r="3266" spans="76:135" x14ac:dyDescent="0.25">
      <c r="BX3266" s="78"/>
      <c r="BY3266" s="319">
        <v>160</v>
      </c>
      <c r="CA3266" s="78"/>
      <c r="EE3266" s="76">
        <f>+IF(MID($J$2,1,10)=MID($EE$2,1,10),4,1)</f>
        <v>4</v>
      </c>
    </row>
    <row r="3267" spans="76:135" x14ac:dyDescent="0.25">
      <c r="BX3267" s="78"/>
      <c r="BY3267" s="319">
        <v>183</v>
      </c>
      <c r="CA3267" s="78"/>
      <c r="EE3267" s="76">
        <f>+IF(MID($J$2,1,10)=MID($EE$2,1,10),1,2)</f>
        <v>1</v>
      </c>
    </row>
    <row r="3268" spans="76:135" x14ac:dyDescent="0.25">
      <c r="BX3268" s="78"/>
      <c r="BY3268" s="319">
        <v>140</v>
      </c>
      <c r="CA3268" s="78"/>
      <c r="EE3268" s="76">
        <f>+IF(MID($J$2,1,10)=MID($EE$2,1,10),3,1)</f>
        <v>3</v>
      </c>
    </row>
    <row r="3269" spans="76:135" x14ac:dyDescent="0.25">
      <c r="BX3269" s="78"/>
      <c r="BY3269" s="319">
        <v>177</v>
      </c>
      <c r="CA3269" s="78"/>
      <c r="EE3269" s="76">
        <f>+IF(MID($J$2,1,10)=MID($EE$2,1,10),1,2)</f>
        <v>1</v>
      </c>
    </row>
    <row r="3270" spans="76:135" x14ac:dyDescent="0.25">
      <c r="BX3270" s="78"/>
      <c r="BY3270" s="319">
        <v>182</v>
      </c>
      <c r="CA3270" s="78"/>
      <c r="EE3270" s="76">
        <f>+IF(MID($J$3,1,10)=MID($EE$3,1,10),2,1)</f>
        <v>2</v>
      </c>
    </row>
    <row r="3271" spans="76:135" x14ac:dyDescent="0.25">
      <c r="BX3271" s="78"/>
      <c r="BY3271" s="319">
        <v>124</v>
      </c>
      <c r="CA3271" s="78"/>
      <c r="EE3271" s="76">
        <f>+IF(MID($J$2,1,10)=MID($EE$2,1,10),1,2)</f>
        <v>1</v>
      </c>
    </row>
    <row r="3272" spans="76:135" x14ac:dyDescent="0.25">
      <c r="BX3272" s="78"/>
      <c r="BY3272" s="319">
        <v>175</v>
      </c>
      <c r="CA3272" s="78"/>
      <c r="EE3272" s="76">
        <f>+IF(MID($J$2,1,10)=MID($EE$2,1,10),0,1)</f>
        <v>0</v>
      </c>
    </row>
    <row r="3273" spans="76:135" x14ac:dyDescent="0.25">
      <c r="BX3273" s="78"/>
      <c r="BY3273" s="319">
        <v>147</v>
      </c>
      <c r="CA3273" s="78"/>
      <c r="EE3273" s="76">
        <f>+IF(MID($J$2,1,10)=MID($EE$2,1,10),0,1)</f>
        <v>0</v>
      </c>
    </row>
    <row r="3274" spans="76:135" x14ac:dyDescent="0.25">
      <c r="BX3274" s="78"/>
      <c r="BY3274" s="319">
        <v>138</v>
      </c>
      <c r="CA3274" s="78"/>
      <c r="EE3274" s="76">
        <f>+IF(MID($J$2,1,10)=MID($EE$2,1,10),0,1)</f>
        <v>0</v>
      </c>
    </row>
    <row r="3275" spans="76:135" x14ac:dyDescent="0.25">
      <c r="BX3275" s="78"/>
      <c r="BY3275" s="319">
        <v>158</v>
      </c>
      <c r="CA3275" s="78"/>
      <c r="EE3275" s="76">
        <f>+IF(MID($J$2,1,10)=MID($EE$2,1,10),1,2)</f>
        <v>1</v>
      </c>
    </row>
    <row r="3276" spans="76:135" x14ac:dyDescent="0.25">
      <c r="BX3276" s="78"/>
      <c r="BY3276" s="319">
        <v>119</v>
      </c>
      <c r="CA3276" s="78"/>
      <c r="EE3276" s="76">
        <f>+IF(MID($J$2,1,10)=MID($EE$2,1,10),1,2)</f>
        <v>1</v>
      </c>
    </row>
    <row r="3277" spans="76:135" x14ac:dyDescent="0.25">
      <c r="BX3277" s="78"/>
      <c r="BY3277" s="319">
        <v>185</v>
      </c>
      <c r="CA3277" s="78"/>
      <c r="EE3277" s="76">
        <f>+IF(MID($J$2,1,10)=MID($EE$2,1,10),3,1)</f>
        <v>3</v>
      </c>
    </row>
    <row r="3278" spans="76:135" x14ac:dyDescent="0.25">
      <c r="BX3278" s="78"/>
      <c r="BY3278" s="319">
        <v>170</v>
      </c>
      <c r="CA3278" s="78"/>
      <c r="EE3278" s="76">
        <f>+IF(MID($J$2,1,10)=MID($EE$2,1,10),3,1)</f>
        <v>3</v>
      </c>
    </row>
    <row r="3279" spans="76:135" x14ac:dyDescent="0.25">
      <c r="BX3279" s="78"/>
      <c r="BY3279" s="319">
        <v>191</v>
      </c>
      <c r="CA3279" s="78"/>
      <c r="EE3279" s="76">
        <f>+IF(MID($J$2,1,10)=MID($EE$2,1,10),3,1)</f>
        <v>3</v>
      </c>
    </row>
    <row r="3280" spans="76:135" x14ac:dyDescent="0.25">
      <c r="BX3280" s="78"/>
      <c r="BY3280" s="322">
        <v>15</v>
      </c>
      <c r="CA3280" s="78"/>
      <c r="EE3280" s="76">
        <f>+IF(MID($J$4,1,8)=MID($EE$4,1,8),3,1)</f>
        <v>3</v>
      </c>
    </row>
    <row r="3281" spans="76:135" x14ac:dyDescent="0.25">
      <c r="BX3281" s="78"/>
      <c r="BY3281" s="319">
        <v>117</v>
      </c>
      <c r="CA3281" s="78"/>
      <c r="EE3281" s="76">
        <f>+IF(MID($J$2,1,10)=MID($EE$2,1,10),1,2)</f>
        <v>1</v>
      </c>
    </row>
    <row r="3282" spans="76:135" x14ac:dyDescent="0.25">
      <c r="BX3282" s="78"/>
      <c r="BY3282" s="319">
        <v>139</v>
      </c>
      <c r="CA3282" s="78"/>
      <c r="EE3282" s="76">
        <f>+IF(MID($J$2,1,10)=MID($EE$2,1,10),3,1)</f>
        <v>3</v>
      </c>
    </row>
    <row r="3283" spans="76:135" x14ac:dyDescent="0.25">
      <c r="BX3283" s="78"/>
      <c r="BY3283" s="319">
        <v>121</v>
      </c>
      <c r="CA3283" s="78"/>
      <c r="EE3283" s="76">
        <f>+IF(MID($J$2,1,10)=MID($EE$2,1,10),3,1)</f>
        <v>3</v>
      </c>
    </row>
    <row r="3284" spans="76:135" x14ac:dyDescent="0.25">
      <c r="BX3284" s="78"/>
      <c r="BY3284" s="319">
        <v>169</v>
      </c>
      <c r="CA3284" s="78"/>
      <c r="EE3284" s="76">
        <f>+IF(MID($J$2,1,10)=MID($EE$2,1,10),0,1)</f>
        <v>0</v>
      </c>
    </row>
    <row r="3285" spans="76:135" x14ac:dyDescent="0.25">
      <c r="BX3285" s="78"/>
      <c r="BY3285" s="319">
        <v>120</v>
      </c>
      <c r="CA3285" s="78"/>
      <c r="EE3285" s="76">
        <f>+IF(MID($J$2,1,10)=MID($EE$2,1,10),3,1)</f>
        <v>3</v>
      </c>
    </row>
    <row r="3286" spans="76:135" x14ac:dyDescent="0.25">
      <c r="BX3286" s="78"/>
      <c r="BY3286" s="319">
        <v>114</v>
      </c>
      <c r="CA3286" s="78"/>
      <c r="EE3286" s="76">
        <f>+IF(MID($J$2,1,10)=MID($EE$2,1,10),3,1)</f>
        <v>3</v>
      </c>
    </row>
    <row r="3287" spans="76:135" x14ac:dyDescent="0.25">
      <c r="BX3287" s="78"/>
      <c r="BY3287" s="319">
        <v>188</v>
      </c>
      <c r="CA3287" s="78"/>
      <c r="EE3287" s="76">
        <f>+IF(MID($J$2,1,10)=MID($EE$2,1,10),3,1)</f>
        <v>3</v>
      </c>
    </row>
    <row r="3288" spans="76:135" x14ac:dyDescent="0.25">
      <c r="BX3288" s="78"/>
      <c r="BY3288" s="319">
        <v>186</v>
      </c>
      <c r="CA3288" s="78"/>
      <c r="EE3288" s="76">
        <f>+IF(MID($J$2,1,10)=MID($EE$2,1,10),1,2)</f>
        <v>1</v>
      </c>
    </row>
    <row r="3289" spans="76:135" x14ac:dyDescent="0.25">
      <c r="BX3289" s="78"/>
      <c r="BY3289" s="319">
        <v>154</v>
      </c>
      <c r="CA3289" s="78"/>
      <c r="EE3289" s="76">
        <f>+IF(MID($J$3,1,10)=MID($EE$3,1,10),2,1)</f>
        <v>2</v>
      </c>
    </row>
    <row r="3290" spans="76:135" x14ac:dyDescent="0.25">
      <c r="BX3290" s="78"/>
      <c r="BY3290" s="319">
        <v>115</v>
      </c>
      <c r="CA3290" s="78"/>
      <c r="EE3290" s="76">
        <f>+IF(MID($J$2,1,10)=MID($EE$2,1,10),4,1)</f>
        <v>4</v>
      </c>
    </row>
    <row r="3291" spans="76:135" x14ac:dyDescent="0.25">
      <c r="BX3291" s="78"/>
      <c r="BY3291" s="319">
        <v>174</v>
      </c>
      <c r="CA3291" s="78"/>
      <c r="EE3291" s="76">
        <f>+IF(MID($J$2,1,10)=MID($EE$2,1,10),0,1)</f>
        <v>0</v>
      </c>
    </row>
    <row r="3292" spans="76:135" x14ac:dyDescent="0.25">
      <c r="BX3292" s="78"/>
      <c r="BY3292" s="319">
        <v>357</v>
      </c>
      <c r="CA3292" s="78"/>
      <c r="EE3292" s="76">
        <f>+IF(MID($J$3,1,10)=MID($EE$3,1,10),2,1)</f>
        <v>2</v>
      </c>
    </row>
    <row r="3293" spans="76:135" x14ac:dyDescent="0.25">
      <c r="BX3293" s="78"/>
      <c r="BY3293" s="319">
        <v>186</v>
      </c>
      <c r="CA3293" s="78"/>
      <c r="EE3293" s="76">
        <f>+IF(MID($J$3,1,10)=MID($EE$3,1,10),2,1)</f>
        <v>2</v>
      </c>
    </row>
    <row r="3294" spans="76:135" x14ac:dyDescent="0.25">
      <c r="BX3294" s="78"/>
      <c r="BY3294" s="319">
        <v>10</v>
      </c>
      <c r="CA3294" s="78"/>
      <c r="EE3294" s="76">
        <f>+IF(MID($J$2,1,10)=MID($EE$2,1,10),4,1)</f>
        <v>4</v>
      </c>
    </row>
    <row r="3295" spans="76:135" x14ac:dyDescent="0.25">
      <c r="BX3295" s="78"/>
      <c r="BY3295" s="319">
        <v>146</v>
      </c>
      <c r="CA3295" s="78"/>
      <c r="EE3295" s="76">
        <f>+IF(MID($J$3,1,10)=MID($EE$3,1,10),2,1)</f>
        <v>2</v>
      </c>
    </row>
    <row r="3296" spans="76:135" x14ac:dyDescent="0.25">
      <c r="BX3296" s="78"/>
      <c r="BY3296" s="319">
        <v>131</v>
      </c>
      <c r="CA3296" s="78"/>
      <c r="EE3296" s="76">
        <f>+IF(MID($J$2,1,10)=MID($EE$2,1,10),4,1)</f>
        <v>4</v>
      </c>
    </row>
    <row r="3297" spans="76:135" x14ac:dyDescent="0.25">
      <c r="BX3297" s="78"/>
      <c r="BY3297" s="319">
        <v>203</v>
      </c>
      <c r="CA3297" s="78"/>
      <c r="EE3297" s="76">
        <f>+IF(MID($J$2,1,10)=MID($EE$2,1,10),1,2)</f>
        <v>1</v>
      </c>
    </row>
    <row r="3298" spans="76:135" x14ac:dyDescent="0.25">
      <c r="BX3298" s="78"/>
      <c r="BY3298" s="319">
        <v>308</v>
      </c>
      <c r="CA3298" s="78"/>
      <c r="EE3298" s="76">
        <f>+IF(MID($J$2,1,10)=MID($EE$2,1,10),3,1)</f>
        <v>3</v>
      </c>
    </row>
    <row r="3299" spans="76:135" x14ac:dyDescent="0.25">
      <c r="BX3299" s="78"/>
      <c r="BY3299" s="319">
        <v>152</v>
      </c>
      <c r="CA3299" s="78"/>
      <c r="EE3299" s="76">
        <f>+IF(MID($J$2,1,10)=MID($EE$2,1,10),1,2)</f>
        <v>1</v>
      </c>
    </row>
    <row r="3300" spans="76:135" x14ac:dyDescent="0.25">
      <c r="BX3300" s="78"/>
      <c r="BY3300" s="319">
        <v>594</v>
      </c>
      <c r="CA3300" s="78"/>
      <c r="EE3300" s="76">
        <f>+IF(MID($J$3,1,10)=MID($EE$3,1,10),2,1)</f>
        <v>2</v>
      </c>
    </row>
    <row r="3301" spans="76:135" x14ac:dyDescent="0.25">
      <c r="BX3301" s="78"/>
      <c r="BY3301" s="319">
        <v>160</v>
      </c>
      <c r="CA3301" s="78"/>
      <c r="EE3301" s="76">
        <f>+IF(MID($J$2,1,10)=MID($EE$2,1,10),1,2)</f>
        <v>1</v>
      </c>
    </row>
    <row r="3302" spans="76:135" x14ac:dyDescent="0.25">
      <c r="BX3302" s="78"/>
      <c r="BY3302" s="319">
        <v>806</v>
      </c>
      <c r="CA3302" s="78"/>
      <c r="EE3302" s="76">
        <f>+IF(MID($J$2,1,10)=MID($EE$2,1,10),0,1)</f>
        <v>0</v>
      </c>
    </row>
    <row r="3303" spans="76:135" x14ac:dyDescent="0.25">
      <c r="BX3303" s="78"/>
      <c r="BY3303" s="319">
        <v>172</v>
      </c>
      <c r="CA3303" s="78"/>
      <c r="EE3303" s="76">
        <f>+IF(MID($J$2,1,10)=MID($EE$2,1,10),0,1)</f>
        <v>0</v>
      </c>
    </row>
    <row r="3304" spans="76:135" x14ac:dyDescent="0.25">
      <c r="BX3304" s="78"/>
      <c r="BY3304" s="319">
        <v>783</v>
      </c>
      <c r="CA3304" s="78"/>
      <c r="EE3304" s="76">
        <f>+IF(MID($J$2,1,10)=MID($EE$2,1,10),0,1)</f>
        <v>0</v>
      </c>
    </row>
    <row r="3305" spans="76:135" x14ac:dyDescent="0.25">
      <c r="BX3305" s="78"/>
      <c r="BY3305" s="319">
        <v>283</v>
      </c>
      <c r="CA3305" s="78"/>
      <c r="EE3305" s="76">
        <f>+IF(MID($J$2,1,10)=MID($EE$2,1,10),1,2)</f>
        <v>1</v>
      </c>
    </row>
    <row r="3306" spans="76:135" x14ac:dyDescent="0.25">
      <c r="BX3306" s="78"/>
      <c r="BY3306" s="319">
        <v>116</v>
      </c>
      <c r="CA3306" s="78"/>
      <c r="EE3306" s="76">
        <f>+IF(MID($J$2,1,10)=MID($EE$2,1,10),1,2)</f>
        <v>1</v>
      </c>
    </row>
    <row r="3307" spans="76:135" x14ac:dyDescent="0.25">
      <c r="BX3307" s="78"/>
      <c r="BY3307" s="319">
        <v>1069</v>
      </c>
      <c r="CA3307" s="78"/>
      <c r="EE3307" s="76">
        <f>+IF(MID($J$2,1,10)=MID($EE$2,1,10),3,1)</f>
        <v>3</v>
      </c>
    </row>
    <row r="3308" spans="76:135" x14ac:dyDescent="0.25">
      <c r="BX3308" s="78"/>
      <c r="BY3308" s="319">
        <v>201</v>
      </c>
      <c r="CA3308" s="78"/>
      <c r="EE3308" s="76">
        <f>+IF(MID($J$2,1,10)=MID($EE$2,1,10),3,1)</f>
        <v>3</v>
      </c>
    </row>
    <row r="3309" spans="76:135" x14ac:dyDescent="0.25">
      <c r="BX3309" s="78"/>
      <c r="BY3309" s="319">
        <v>1035</v>
      </c>
      <c r="CA3309" s="78"/>
      <c r="EE3309" s="76">
        <f>+IF(MID($J$2,1,10)=MID($EE$2,1,10),3,1)</f>
        <v>3</v>
      </c>
    </row>
    <row r="3310" spans="76:135" x14ac:dyDescent="0.25">
      <c r="BX3310" s="78"/>
      <c r="BY3310" s="325">
        <v>15</v>
      </c>
      <c r="CA3310" s="78"/>
      <c r="EE3310" s="76">
        <f>+IF(MID($J$4,1,8)=MID($EE$4,1,8),2,1)</f>
        <v>2</v>
      </c>
    </row>
    <row r="3311" spans="76:135" x14ac:dyDescent="0.25">
      <c r="BX3311" s="78"/>
      <c r="BY3311" s="319">
        <v>428</v>
      </c>
      <c r="CA3311" s="78"/>
      <c r="EE3311" s="76">
        <f>+IF(MID($J$2,1,10)=MID($EE$2,1,10),1,2)</f>
        <v>1</v>
      </c>
    </row>
    <row r="3312" spans="76:135" x14ac:dyDescent="0.25">
      <c r="BX3312" s="78"/>
      <c r="BY3312" s="319">
        <v>146</v>
      </c>
      <c r="CA3312" s="78"/>
      <c r="EE3312" s="76">
        <f>+IF(MID($J$2,1,10)=MID($EE$2,1,10),3,1)</f>
        <v>3</v>
      </c>
    </row>
    <row r="3313" spans="76:135" x14ac:dyDescent="0.25">
      <c r="BX3313" s="78"/>
      <c r="BY3313" s="319">
        <v>693</v>
      </c>
      <c r="CA3313" s="78"/>
      <c r="EE3313" s="76">
        <f>+IF(MID($J$2,1,10)=MID($EE$2,1,10),3,1)</f>
        <v>3</v>
      </c>
    </row>
    <row r="3314" spans="76:135" x14ac:dyDescent="0.25">
      <c r="BX3314" s="78"/>
      <c r="BY3314" s="319">
        <v>199</v>
      </c>
      <c r="CA3314" s="78"/>
      <c r="EE3314" s="76">
        <f>+IF(MID($J$2,1,10)=MID($EE$2,1,10),0,1)</f>
        <v>0</v>
      </c>
    </row>
    <row r="3315" spans="76:135" x14ac:dyDescent="0.25">
      <c r="BX3315" s="78"/>
      <c r="BY3315" s="319">
        <v>1025</v>
      </c>
      <c r="CA3315" s="78"/>
      <c r="EE3315" s="76">
        <f>+IF(MID($J$2,1,10)=MID($EE$2,1,10),3,1)</f>
        <v>3</v>
      </c>
    </row>
    <row r="3316" spans="76:135" x14ac:dyDescent="0.25">
      <c r="BX3316" s="78"/>
      <c r="BY3316" s="319">
        <v>195</v>
      </c>
      <c r="CA3316" s="78"/>
      <c r="EE3316" s="76">
        <f>+IF(MID($J$2,1,10)=MID($EE$2,1,10),3,1)</f>
        <v>3</v>
      </c>
    </row>
    <row r="3317" spans="76:135" x14ac:dyDescent="0.25">
      <c r="BX3317" s="78"/>
      <c r="BY3317" s="319">
        <v>144</v>
      </c>
      <c r="CA3317" s="78"/>
      <c r="EE3317" s="76">
        <f>+IF(MID($J$2,1,10)=MID($EE$2,1,10),3,1)</f>
        <v>3</v>
      </c>
    </row>
    <row r="3318" spans="76:135" x14ac:dyDescent="0.25">
      <c r="BX3318" s="78"/>
      <c r="BY3318" s="319">
        <v>132</v>
      </c>
      <c r="CA3318" s="78"/>
      <c r="EE3318" s="76">
        <f>+IF(MID($J$3,1,10)=MID($EE$3,1,10),2,1)</f>
        <v>2</v>
      </c>
    </row>
    <row r="3319" spans="76:135" x14ac:dyDescent="0.25">
      <c r="BX3319" s="78"/>
      <c r="BY3319" s="319">
        <v>150</v>
      </c>
      <c r="CA3319" s="78"/>
      <c r="EE3319" s="76">
        <f>+IF(MID($J$2,1,10)=MID($EE$2,1,10),4,1)</f>
        <v>4</v>
      </c>
    </row>
    <row r="3320" spans="76:135" x14ac:dyDescent="0.25">
      <c r="BX3320" s="78"/>
      <c r="BY3320" s="319">
        <v>137</v>
      </c>
      <c r="CA3320" s="78"/>
      <c r="EE3320" s="76">
        <f>+IF(MID($J$2,1,10)=MID($EE$2,1,10),0,1)</f>
        <v>0</v>
      </c>
    </row>
    <row r="3321" spans="76:135" x14ac:dyDescent="0.25">
      <c r="BX3321" s="78"/>
      <c r="BY3321" s="319">
        <v>136</v>
      </c>
      <c r="CA3321" s="78"/>
      <c r="EE3321" s="76">
        <f>+IF(MID($J$3,1,10)=MID($EE$3,1,10),2,1)</f>
        <v>2</v>
      </c>
    </row>
    <row r="3322" spans="76:135" x14ac:dyDescent="0.25">
      <c r="BX3322" s="78"/>
      <c r="BY3322" s="319">
        <v>146</v>
      </c>
      <c r="CA3322" s="78"/>
      <c r="EE3322" s="76">
        <f>+IF(MID($J$3,1,10)=MID($EE$3,1,10),2,1)</f>
        <v>2</v>
      </c>
    </row>
    <row r="3323" spans="76:135" x14ac:dyDescent="0.25">
      <c r="BX3323" s="78"/>
      <c r="BY3323" s="319">
        <v>891</v>
      </c>
      <c r="CA3323" s="78"/>
      <c r="EE3323" s="76">
        <f>+IF(MID($J$2,1,10)=MID($EE$2,1,10),4,1)</f>
        <v>4</v>
      </c>
    </row>
    <row r="3324" spans="76:135" x14ac:dyDescent="0.25">
      <c r="BX3324" s="78"/>
      <c r="BY3324" s="319">
        <v>124</v>
      </c>
      <c r="CA3324" s="78"/>
      <c r="EE3324" s="76">
        <f>+IF(MID($J$3,1,10)=MID($EE$3,1,10),2,1)</f>
        <v>2</v>
      </c>
    </row>
    <row r="3325" spans="76:135" x14ac:dyDescent="0.25">
      <c r="BX3325" s="78"/>
      <c r="BY3325" s="319">
        <v>175</v>
      </c>
      <c r="CA3325" s="78"/>
      <c r="EE3325" s="76">
        <f>+IF(MID($J$2,1,10)=MID($EE$2,1,10),4,1)</f>
        <v>4</v>
      </c>
    </row>
    <row r="3326" spans="76:135" x14ac:dyDescent="0.25">
      <c r="BX3326" s="78"/>
      <c r="BY3326" s="319">
        <v>4</v>
      </c>
      <c r="CA3326" s="78"/>
      <c r="EE3326" s="76">
        <f>+IF(MID($J$2,1,10)=MID($EE$2,1,10),1,2)</f>
        <v>1</v>
      </c>
    </row>
    <row r="3327" spans="76:135" x14ac:dyDescent="0.25">
      <c r="BX3327" s="78"/>
      <c r="BY3327" s="319">
        <v>634</v>
      </c>
      <c r="CA3327" s="78"/>
      <c r="EE3327" s="76">
        <f>+IF(MID($J$2,1,10)=MID($EE$2,1,10),3,1)</f>
        <v>3</v>
      </c>
    </row>
    <row r="3328" spans="76:135" x14ac:dyDescent="0.25">
      <c r="BX3328" s="78"/>
      <c r="BY3328" s="319">
        <v>179</v>
      </c>
      <c r="CA3328" s="78"/>
      <c r="EE3328" s="76">
        <f>+IF(MID($J$2,1,10)=MID($EE$2,1,10),1,2)</f>
        <v>1</v>
      </c>
    </row>
    <row r="3329" spans="76:135" x14ac:dyDescent="0.25">
      <c r="BX3329" s="78"/>
      <c r="BY3329" s="319">
        <v>122</v>
      </c>
      <c r="CA3329" s="78"/>
      <c r="EE3329" s="76">
        <f>+IF(MID($J$3,1,10)=MID($EE$3,1,10),2,1)</f>
        <v>2</v>
      </c>
    </row>
    <row r="3330" spans="76:135" x14ac:dyDescent="0.25">
      <c r="BX3330" s="78"/>
      <c r="BY3330" s="319">
        <v>181</v>
      </c>
      <c r="CA3330" s="78"/>
      <c r="EE3330" s="76">
        <f>+IF(MID($J$2,1,10)=MID($EE$2,1,10),1,2)</f>
        <v>1</v>
      </c>
    </row>
    <row r="3331" spans="76:135" x14ac:dyDescent="0.25">
      <c r="BX3331" s="78"/>
      <c r="BY3331" s="319">
        <v>125</v>
      </c>
      <c r="CA3331" s="78"/>
      <c r="EE3331" s="76">
        <f>+IF(MID($J$2,1,10)=MID($EE$2,1,10),0,1)</f>
        <v>0</v>
      </c>
    </row>
    <row r="3332" spans="76:135" x14ac:dyDescent="0.25">
      <c r="BX3332" s="78"/>
      <c r="BY3332" s="319">
        <v>1071</v>
      </c>
      <c r="CA3332" s="78"/>
      <c r="EE3332" s="76">
        <f>+IF(MID($J$2,1,10)=MID($EE$2,1,10),0,1)</f>
        <v>0</v>
      </c>
    </row>
    <row r="3333" spans="76:135" x14ac:dyDescent="0.25">
      <c r="BX3333" s="78"/>
      <c r="BY3333" s="319">
        <v>179</v>
      </c>
      <c r="CA3333" s="78"/>
      <c r="EE3333" s="76">
        <f>+IF(MID($J$2,1,10)=MID($EE$2,1,10),0,1)</f>
        <v>0</v>
      </c>
    </row>
    <row r="3334" spans="76:135" x14ac:dyDescent="0.25">
      <c r="BX3334" s="78"/>
      <c r="BY3334" s="319">
        <v>305</v>
      </c>
      <c r="CA3334" s="78"/>
      <c r="EE3334" s="76">
        <f>+IF(MID($J$2,1,10)=MID($EE$2,1,10),1,2)</f>
        <v>1</v>
      </c>
    </row>
    <row r="3335" spans="76:135" x14ac:dyDescent="0.25">
      <c r="BX3335" s="78"/>
      <c r="BY3335" s="319">
        <v>158</v>
      </c>
      <c r="CA3335" s="78"/>
      <c r="EE3335" s="76">
        <f>+IF(MID($J$2,1,10)=MID($EE$2,1,10),1,2)</f>
        <v>1</v>
      </c>
    </row>
    <row r="3336" spans="76:135" x14ac:dyDescent="0.25">
      <c r="BX3336" s="78"/>
      <c r="BY3336" s="319">
        <v>866</v>
      </c>
      <c r="CA3336" s="78"/>
      <c r="EE3336" s="76">
        <f>+IF(MID($J$2,1,10)=MID($EE$2,1,10),3,1)</f>
        <v>3</v>
      </c>
    </row>
    <row r="3337" spans="76:135" x14ac:dyDescent="0.25">
      <c r="BX3337" s="78"/>
      <c r="BY3337" s="319">
        <v>187</v>
      </c>
      <c r="CA3337" s="78"/>
      <c r="EE3337" s="76">
        <f>+IF(MID($J$2,1,10)=MID($EE$2,1,10),3,1)</f>
        <v>3</v>
      </c>
    </row>
    <row r="3338" spans="76:135" x14ac:dyDescent="0.25">
      <c r="BX3338" s="78"/>
      <c r="BY3338" s="319">
        <v>776</v>
      </c>
      <c r="CA3338" s="78"/>
      <c r="EE3338" s="76">
        <f>+IF(MID($J$2,1,10)=MID($EE$2,1,10),3,1)</f>
        <v>3</v>
      </c>
    </row>
    <row r="3339" spans="76:135" x14ac:dyDescent="0.25">
      <c r="BX3339" s="78"/>
      <c r="BY3339" s="319">
        <v>157</v>
      </c>
      <c r="CA3339" s="78"/>
      <c r="EE3339" s="76">
        <f>+IF(MID($J$2,1,10)=MID($EE$2,1,10),0,1)</f>
        <v>0</v>
      </c>
    </row>
    <row r="3340" spans="76:135" x14ac:dyDescent="0.25">
      <c r="BX3340" s="78"/>
      <c r="BY3340" s="319">
        <v>900</v>
      </c>
      <c r="CA3340" s="78"/>
      <c r="EE3340" s="76">
        <f>+IF(MID($J$2,1,10)=MID($EE$2,1,10),1,2)</f>
        <v>1</v>
      </c>
    </row>
    <row r="3341" spans="76:135" x14ac:dyDescent="0.25">
      <c r="BX3341" s="78"/>
      <c r="BY3341" s="319">
        <v>193</v>
      </c>
      <c r="CA3341" s="78"/>
      <c r="EE3341" s="76">
        <f>+IF(MID($J$2,1,10)=MID($EE$2,1,10),3,1)</f>
        <v>3</v>
      </c>
    </row>
    <row r="3342" spans="76:135" x14ac:dyDescent="0.25">
      <c r="BX3342" s="78"/>
      <c r="BY3342" s="322">
        <v>10</v>
      </c>
      <c r="CA3342" s="78"/>
      <c r="EE3342" s="76">
        <f>+IF(MID($J$6,1,5)=MID($EE$11,1,5),4,1)</f>
        <v>4</v>
      </c>
    </row>
    <row r="3343" spans="76:135" x14ac:dyDescent="0.25">
      <c r="BX3343" s="79"/>
      <c r="BY3343" s="322">
        <v>10</v>
      </c>
      <c r="BZ3343" s="323"/>
      <c r="CA3343" s="79"/>
      <c r="EE3343" s="76">
        <f>+IF(MID($J$2,1,10)=MID($EE$2,1,10),0,1)</f>
        <v>0</v>
      </c>
    </row>
    <row r="3344" spans="76:135" x14ac:dyDescent="0.25">
      <c r="BX3344" s="78"/>
      <c r="BY3344" s="319">
        <v>774</v>
      </c>
      <c r="CA3344" s="78"/>
      <c r="EE3344" s="76">
        <f>+IF(MID($J$2,1,10)=MID($EE$2,1,10),3,1)</f>
        <v>3</v>
      </c>
    </row>
    <row r="3345" spans="76:135" x14ac:dyDescent="0.25">
      <c r="BX3345" s="78"/>
      <c r="BY3345" s="319">
        <v>398</v>
      </c>
      <c r="CA3345" s="78"/>
      <c r="EE3345" s="76">
        <f>+IF(MID($J$2,1,10)=MID($EE$2,1,10),3,1)</f>
        <v>3</v>
      </c>
    </row>
    <row r="3346" spans="76:135" x14ac:dyDescent="0.25">
      <c r="BX3346" s="78"/>
      <c r="BY3346" s="319">
        <v>103</v>
      </c>
      <c r="CA3346" s="78"/>
      <c r="EE3346" s="76">
        <f>+IF(MID($J$2,1,10)=MID($EE$2,1,10),3,1)</f>
        <v>3</v>
      </c>
    </row>
    <row r="3347" spans="76:135" x14ac:dyDescent="0.25">
      <c r="BX3347" s="78"/>
      <c r="BY3347" s="319">
        <v>323</v>
      </c>
      <c r="CA3347" s="78"/>
      <c r="EE3347" s="76">
        <f>+IF(MID($J$2,1,10)=MID($EE$2,1,10),1,2)</f>
        <v>1</v>
      </c>
    </row>
    <row r="3348" spans="76:135" x14ac:dyDescent="0.25">
      <c r="BX3348" s="78"/>
      <c r="BY3348" s="319">
        <v>110</v>
      </c>
      <c r="CA3348" s="78"/>
      <c r="EE3348" s="76">
        <f>+IF(MID($J$3,1,10)=MID($EE$3,1,10),2,1)</f>
        <v>2</v>
      </c>
    </row>
    <row r="3349" spans="76:135" x14ac:dyDescent="0.25">
      <c r="BX3349" s="78"/>
      <c r="BY3349" s="319">
        <v>274</v>
      </c>
      <c r="CA3349" s="78"/>
      <c r="EE3349" s="76">
        <f>+IF(MID($J$2,1,10)=MID($EE$2,1,10),4,1)</f>
        <v>4</v>
      </c>
    </row>
    <row r="3350" spans="76:135" x14ac:dyDescent="0.25">
      <c r="BX3350" s="78"/>
      <c r="BY3350" s="319">
        <v>108</v>
      </c>
      <c r="CA3350" s="78"/>
      <c r="EE3350" s="76">
        <f>+IF(MID($J$2,1,10)=MID($EE$2,1,10),0,1)</f>
        <v>0</v>
      </c>
    </row>
    <row r="3351" spans="76:135" x14ac:dyDescent="0.25">
      <c r="BX3351" s="78"/>
      <c r="BY3351" s="319">
        <v>503</v>
      </c>
      <c r="CA3351" s="78"/>
      <c r="EE3351" s="76">
        <f>+IF(MID($J$3,1,10)=MID($EE$3,1,10),2,1)</f>
        <v>2</v>
      </c>
    </row>
    <row r="3352" spans="76:135" x14ac:dyDescent="0.25">
      <c r="BX3352" s="78"/>
      <c r="BY3352" s="319">
        <v>145</v>
      </c>
      <c r="CA3352" s="78"/>
      <c r="EE3352" s="76">
        <f>+IF(MID($J$3,1,10)=MID($EE$3,1,10),2,1)</f>
        <v>2</v>
      </c>
    </row>
    <row r="3353" spans="76:135" x14ac:dyDescent="0.25">
      <c r="BX3353" s="78"/>
      <c r="BY3353" s="319">
        <v>644</v>
      </c>
      <c r="CA3353" s="78"/>
      <c r="EE3353" s="76">
        <f>+IF(MID($J$2,1,10)=MID($EE$2,1,10),4,1)</f>
        <v>4</v>
      </c>
    </row>
    <row r="3354" spans="76:135" x14ac:dyDescent="0.25">
      <c r="BX3354" s="78"/>
      <c r="BY3354" s="319">
        <v>134</v>
      </c>
      <c r="CA3354" s="78"/>
      <c r="EE3354" s="76">
        <f>+IF(MID($J$3,1,10)=MID($EE$3,1,10),2,1)</f>
        <v>2</v>
      </c>
    </row>
    <row r="3355" spans="76:135" x14ac:dyDescent="0.25">
      <c r="BX3355" s="78"/>
      <c r="BY3355" s="319">
        <v>944</v>
      </c>
      <c r="CA3355" s="78"/>
      <c r="EE3355" s="76">
        <f>+IF(MID($J$2,1,10)=MID($EE$2,1,10),4,1)</f>
        <v>4</v>
      </c>
    </row>
    <row r="3356" spans="76:135" x14ac:dyDescent="0.25">
      <c r="BX3356" s="78"/>
      <c r="BY3356" s="319">
        <v>118</v>
      </c>
      <c r="CA3356" s="78"/>
      <c r="EE3356" s="76">
        <f>+IF(MID($J$2,1,10)=MID($EE$2,1,10),1,2)</f>
        <v>1</v>
      </c>
    </row>
    <row r="3357" spans="76:135" x14ac:dyDescent="0.25">
      <c r="BX3357" s="78"/>
      <c r="BY3357" s="319">
        <v>175</v>
      </c>
      <c r="CA3357" s="78"/>
      <c r="EE3357" s="76">
        <f>+IF(MID($J$2,1,10)=MID($EE$2,1,10),3,1)</f>
        <v>3</v>
      </c>
    </row>
    <row r="3358" spans="76:135" x14ac:dyDescent="0.25">
      <c r="BX3358" s="78"/>
      <c r="BY3358" s="319">
        <v>162</v>
      </c>
      <c r="CA3358" s="78"/>
      <c r="EE3358" s="76">
        <f>+IF(MID($J$2,1,10)=MID($EE$2,1,10),1,2)</f>
        <v>1</v>
      </c>
    </row>
    <row r="3359" spans="76:135" x14ac:dyDescent="0.25">
      <c r="BX3359" s="78"/>
      <c r="BY3359" s="319">
        <v>931</v>
      </c>
      <c r="CA3359" s="78"/>
      <c r="EE3359" s="76">
        <f>+IF(MID($J$3,1,10)=MID($EE$3,1,10),2,1)</f>
        <v>2</v>
      </c>
    </row>
    <row r="3360" spans="76:135" x14ac:dyDescent="0.25">
      <c r="BX3360" s="78"/>
      <c r="BY3360" s="319">
        <v>177</v>
      </c>
      <c r="CA3360" s="78"/>
      <c r="EE3360" s="76">
        <f>+IF(MID($J$2,1,10)=MID($EE$2,1,10),1,2)</f>
        <v>1</v>
      </c>
    </row>
    <row r="3361" spans="76:135" x14ac:dyDescent="0.25">
      <c r="BX3361" s="78"/>
      <c r="BY3361" s="319">
        <v>263</v>
      </c>
      <c r="CA3361" s="78"/>
      <c r="EE3361" s="76">
        <f>+IF(MID($J$2,1,10)=MID($EE$2,1,10),0,1)</f>
        <v>0</v>
      </c>
    </row>
    <row r="3362" spans="76:135" x14ac:dyDescent="0.25">
      <c r="BX3362" s="78"/>
      <c r="BY3362" s="319">
        <v>140</v>
      </c>
      <c r="CA3362" s="78"/>
      <c r="EE3362" s="76">
        <f>+IF(MID($J$2,1,10)=MID($EE$2,1,10),0,1)</f>
        <v>0</v>
      </c>
    </row>
    <row r="3363" spans="76:135" x14ac:dyDescent="0.25">
      <c r="BX3363" s="78"/>
      <c r="BY3363" s="319">
        <v>369</v>
      </c>
      <c r="CA3363" s="78"/>
      <c r="EE3363" s="76">
        <f>+IF(MID($J$2,1,10)=MID($EE$2,1,10),0,1)</f>
        <v>0</v>
      </c>
    </row>
    <row r="3364" spans="76:135" x14ac:dyDescent="0.25">
      <c r="BX3364" s="78"/>
      <c r="BY3364" s="319">
        <v>166</v>
      </c>
      <c r="CA3364" s="78"/>
      <c r="EE3364" s="76">
        <f>+IF(MID($J$2,1,10)=MID($EE$2,1,10),1,2)</f>
        <v>1</v>
      </c>
    </row>
    <row r="3365" spans="76:135" x14ac:dyDescent="0.25">
      <c r="BX3365" s="78"/>
      <c r="BY3365" s="319">
        <v>1161</v>
      </c>
      <c r="CA3365" s="78"/>
      <c r="EE3365" s="76">
        <f>+IF(MID($J$2,1,10)=MID($EE$2,1,10),1,2)</f>
        <v>1</v>
      </c>
    </row>
    <row r="3366" spans="76:135" x14ac:dyDescent="0.25">
      <c r="BX3366" s="78"/>
      <c r="BY3366" s="319">
        <v>163</v>
      </c>
      <c r="CA3366" s="78"/>
      <c r="EE3366" s="76">
        <f>+IF(MID($J$2,1,10)=MID($EE$2,1,10),3,1)</f>
        <v>3</v>
      </c>
    </row>
    <row r="3367" spans="76:135" x14ac:dyDescent="0.25">
      <c r="BX3367" s="78"/>
      <c r="BY3367" s="319">
        <v>186</v>
      </c>
      <c r="CA3367" s="78"/>
      <c r="EE3367" s="76">
        <f>+IF(MID($J$2,1,10)=MID($EE$2,1,10),3,1)</f>
        <v>3</v>
      </c>
    </row>
    <row r="3368" spans="76:135" x14ac:dyDescent="0.25">
      <c r="BX3368" s="79"/>
      <c r="BY3368" s="322">
        <v>10</v>
      </c>
      <c r="BZ3368" s="323"/>
      <c r="CA3368" s="79"/>
      <c r="EE3368" s="76">
        <f>+IF(MID($J$2,1,10)=MID($EE$2,1,10),0,1)</f>
        <v>0</v>
      </c>
    </row>
    <row r="3369" spans="76:135" x14ac:dyDescent="0.25">
      <c r="BX3369" s="78"/>
      <c r="BY3369" s="319">
        <v>134</v>
      </c>
      <c r="CA3369" s="78"/>
      <c r="EE3369" s="76">
        <f>+IF(MID($J$2,1,10)=MID($EE$2,1,10),0,1)</f>
        <v>0</v>
      </c>
    </row>
    <row r="3370" spans="76:135" x14ac:dyDescent="0.25">
      <c r="BX3370" s="78"/>
      <c r="BY3370" s="319">
        <v>151</v>
      </c>
      <c r="CA3370" s="78"/>
      <c r="EE3370" s="76">
        <f>+IF(MID($J$2,1,10)=MID($EE$2,1,10),1,2)</f>
        <v>1</v>
      </c>
    </row>
    <row r="3371" spans="76:135" x14ac:dyDescent="0.25">
      <c r="BX3371" s="78"/>
      <c r="BY3371" s="319">
        <v>128</v>
      </c>
      <c r="CA3371" s="78"/>
      <c r="EE3371" s="76">
        <f>+IF(MID($J$2,1,10)=MID($EE$2,1,10),3,1)</f>
        <v>3</v>
      </c>
    </row>
    <row r="3372" spans="76:135" x14ac:dyDescent="0.25">
      <c r="BX3372" s="78"/>
      <c r="BY3372" s="319">
        <v>196</v>
      </c>
      <c r="CA3372" s="78"/>
      <c r="EE3372" s="76">
        <f>+IF(MID($J$2,1,10)=MID($EE$2,1,10),3,1)</f>
        <v>3</v>
      </c>
    </row>
    <row r="3373" spans="76:135" x14ac:dyDescent="0.25">
      <c r="BX3373" s="78"/>
      <c r="BY3373" s="319">
        <v>157</v>
      </c>
      <c r="CA3373" s="78"/>
      <c r="EE3373" s="76">
        <f>+IF(MID($J$2,1,10)=MID($EE$2,1,10),0,1)</f>
        <v>0</v>
      </c>
    </row>
    <row r="3374" spans="76:135" x14ac:dyDescent="0.25">
      <c r="BX3374" s="78"/>
      <c r="BY3374" s="319">
        <v>119</v>
      </c>
      <c r="BZ3374" s="321">
        <v>15</v>
      </c>
      <c r="CA3374" s="78"/>
      <c r="EE3374" s="76">
        <f>+IF(MID($J$2,1,10)=MID($EE$2,1,10),3,1)</f>
        <v>3</v>
      </c>
    </row>
    <row r="3375" spans="76:135" x14ac:dyDescent="0.25">
      <c r="BX3375" s="78"/>
      <c r="BY3375" s="319">
        <v>196</v>
      </c>
      <c r="BZ3375" s="321">
        <v>15</v>
      </c>
      <c r="CA3375" s="78"/>
      <c r="EE3375" s="76">
        <f>+IF(MID($J$2,1,10)=MID($EE$2,1,10),3,1)</f>
        <v>3</v>
      </c>
    </row>
    <row r="3376" spans="76:135" x14ac:dyDescent="0.25">
      <c r="BX3376" s="78"/>
      <c r="BY3376" s="319">
        <v>131</v>
      </c>
      <c r="BZ3376" s="321">
        <v>15</v>
      </c>
      <c r="CA3376" s="78"/>
      <c r="EE3376" s="76">
        <f>+IF(MID($J$3,1,10)=MID($EE$3,1,10),2,1)</f>
        <v>2</v>
      </c>
    </row>
    <row r="3377" spans="76:135" x14ac:dyDescent="0.25">
      <c r="BX3377" s="78"/>
      <c r="BY3377" s="319">
        <v>169</v>
      </c>
      <c r="BZ3377" s="321">
        <v>15</v>
      </c>
      <c r="CA3377" s="78"/>
      <c r="EE3377" s="76">
        <f>+IF(MID($J$2,1,10)=MID($EE$2,1,10),4,1)</f>
        <v>4</v>
      </c>
    </row>
    <row r="3378" spans="76:135" x14ac:dyDescent="0.25">
      <c r="BX3378" s="78"/>
      <c r="BY3378" s="319">
        <v>175</v>
      </c>
      <c r="BZ3378" s="321">
        <v>15</v>
      </c>
      <c r="CA3378" s="78"/>
      <c r="EE3378" s="76">
        <f>+IF(MID($J$2,1,10)=MID($EE$2,1,10),0,1)</f>
        <v>0</v>
      </c>
    </row>
    <row r="3379" spans="76:135" x14ac:dyDescent="0.25">
      <c r="BX3379" s="78"/>
      <c r="BY3379" s="319">
        <v>180</v>
      </c>
      <c r="BZ3379" s="321">
        <v>15</v>
      </c>
      <c r="CA3379" s="78"/>
      <c r="EE3379" s="76">
        <f>+IF(MID($J$3,1,10)=MID($EE$3,1,10),2,1)</f>
        <v>2</v>
      </c>
    </row>
    <row r="3380" spans="76:135" x14ac:dyDescent="0.25">
      <c r="BX3380" s="78"/>
      <c r="BY3380" s="319">
        <v>158</v>
      </c>
      <c r="BZ3380" s="321">
        <v>15</v>
      </c>
      <c r="CA3380" s="78"/>
      <c r="EE3380" s="76">
        <f>+IF(MID($J$3,1,10)=MID($EE$3,1,10),2,1)</f>
        <v>2</v>
      </c>
    </row>
    <row r="3381" spans="76:135" x14ac:dyDescent="0.25">
      <c r="BX3381" s="78"/>
      <c r="BY3381" s="319">
        <v>199</v>
      </c>
      <c r="BZ3381" s="321">
        <v>15</v>
      </c>
      <c r="CA3381" s="78"/>
      <c r="EE3381" s="76">
        <f>+IF(MID($J$2,1,10)=MID($EE$2,1,10),4,1)</f>
        <v>4</v>
      </c>
    </row>
    <row r="3382" spans="76:135" x14ac:dyDescent="0.25">
      <c r="BX3382" s="78"/>
      <c r="BY3382" s="319">
        <v>167</v>
      </c>
      <c r="BZ3382" s="321">
        <v>15</v>
      </c>
      <c r="CA3382" s="78"/>
      <c r="EE3382" s="76">
        <f>+IF(MID($J$3,1,10)=MID($EE$3,1,10),2,1)</f>
        <v>2</v>
      </c>
    </row>
    <row r="3383" spans="76:135" x14ac:dyDescent="0.25">
      <c r="BX3383" s="78"/>
      <c r="BY3383" s="319">
        <v>180</v>
      </c>
      <c r="BZ3383" s="321">
        <v>15</v>
      </c>
      <c r="CA3383" s="78"/>
      <c r="EE3383" s="76">
        <f>+IF(MID($J$2,1,10)=MID($EE$2,1,10),4,1)</f>
        <v>4</v>
      </c>
    </row>
    <row r="3384" spans="76:135" x14ac:dyDescent="0.25">
      <c r="BX3384" s="78"/>
      <c r="BY3384" s="319">
        <v>202</v>
      </c>
      <c r="BZ3384" s="321">
        <v>15</v>
      </c>
      <c r="CA3384" s="78"/>
      <c r="EE3384" s="76">
        <f>+IF(MID($J$2,1,10)=MID($EE$2,1,10),1,2)</f>
        <v>1</v>
      </c>
    </row>
    <row r="3385" spans="76:135" x14ac:dyDescent="0.25">
      <c r="BX3385" s="78"/>
      <c r="BY3385" s="319">
        <v>171</v>
      </c>
      <c r="BZ3385" s="321">
        <v>15</v>
      </c>
      <c r="CA3385" s="78"/>
      <c r="EE3385" s="76">
        <f>+IF(MID($J$2,1,10)=MID($EE$2,1,10),3,1)</f>
        <v>3</v>
      </c>
    </row>
    <row r="3386" spans="76:135" x14ac:dyDescent="0.25">
      <c r="BX3386" s="78"/>
      <c r="BY3386" s="319">
        <v>133</v>
      </c>
      <c r="BZ3386" s="321">
        <v>15</v>
      </c>
      <c r="CA3386" s="78"/>
      <c r="EE3386" s="76">
        <f>+IF(MID($J$2,1,10)=MID($EE$2,1,10),1,2)</f>
        <v>1</v>
      </c>
    </row>
    <row r="3387" spans="76:135" x14ac:dyDescent="0.25">
      <c r="BX3387" s="78"/>
      <c r="BY3387" s="319">
        <v>129</v>
      </c>
      <c r="BZ3387" s="321">
        <v>15</v>
      </c>
      <c r="CA3387" s="78"/>
      <c r="EE3387" s="76">
        <f>+IF(MID($J$3,1,10)=MID($EE$3,1,10),2,1)</f>
        <v>2</v>
      </c>
    </row>
    <row r="3388" spans="76:135" x14ac:dyDescent="0.25">
      <c r="BX3388" s="78"/>
      <c r="BY3388" s="319">
        <v>150</v>
      </c>
      <c r="BZ3388" s="321">
        <v>15</v>
      </c>
      <c r="CA3388" s="78"/>
      <c r="EE3388" s="76">
        <f>+IF(MID($J$2,1,10)=MID($EE$2,1,10),1,2)</f>
        <v>1</v>
      </c>
    </row>
    <row r="3389" spans="76:135" x14ac:dyDescent="0.25">
      <c r="BX3389" s="78"/>
      <c r="BY3389" s="319">
        <v>124</v>
      </c>
      <c r="BZ3389" s="321">
        <v>15</v>
      </c>
      <c r="CA3389" s="78"/>
      <c r="EE3389" s="76">
        <f>+IF(MID($J$2,1,10)=MID($EE$2,1,10),0,1)</f>
        <v>0</v>
      </c>
    </row>
    <row r="3390" spans="76:135" x14ac:dyDescent="0.25">
      <c r="BX3390" s="78"/>
      <c r="BY3390" s="319">
        <v>120</v>
      </c>
      <c r="BZ3390" s="321">
        <v>15</v>
      </c>
      <c r="CA3390" s="78"/>
      <c r="EE3390" s="76">
        <f>+IF(MID($J$2,1,10)=MID($EE$2,1,10),0,1)</f>
        <v>0</v>
      </c>
    </row>
    <row r="3391" spans="76:135" x14ac:dyDescent="0.25">
      <c r="BX3391" s="78"/>
      <c r="BY3391" s="319">
        <v>113</v>
      </c>
      <c r="BZ3391" s="321">
        <v>15</v>
      </c>
      <c r="CA3391" s="78"/>
      <c r="EE3391" s="76">
        <f>+IF(MID($J$2,1,10)=MID($EE$2,1,10),0,1)</f>
        <v>0</v>
      </c>
    </row>
    <row r="3392" spans="76:135" x14ac:dyDescent="0.25">
      <c r="BX3392" s="78"/>
      <c r="BY3392" s="319">
        <v>146</v>
      </c>
      <c r="BZ3392" s="321">
        <v>15</v>
      </c>
      <c r="CA3392" s="78"/>
      <c r="EE3392" s="76">
        <f>+IF(MID($J$2,1,10)=MID($EE$2,1,10),1,2)</f>
        <v>1</v>
      </c>
    </row>
    <row r="3393" spans="76:135" x14ac:dyDescent="0.25">
      <c r="BX3393" s="78"/>
      <c r="BY3393" s="319">
        <v>141</v>
      </c>
      <c r="CA3393" s="78"/>
      <c r="EE3393" s="76">
        <f>+IF(MID($J$2,1,10)=MID($EE$2,1,10),1,2)</f>
        <v>1</v>
      </c>
    </row>
    <row r="3394" spans="76:135" x14ac:dyDescent="0.25">
      <c r="BX3394" s="78"/>
      <c r="BY3394" s="319">
        <v>140</v>
      </c>
      <c r="CA3394" s="78"/>
      <c r="EE3394" s="76">
        <f>+IF(MID($J$2,1,10)=MID($EE$2,1,10),3,1)</f>
        <v>3</v>
      </c>
    </row>
    <row r="3395" spans="76:135" x14ac:dyDescent="0.25">
      <c r="BX3395" s="78"/>
      <c r="BY3395" s="325">
        <v>15</v>
      </c>
      <c r="CA3395" s="78"/>
      <c r="EE3395" s="76">
        <f>+IF(MID($J$4,1,8)=MID($EE$4,1,8),3,1)</f>
        <v>3</v>
      </c>
    </row>
    <row r="3396" spans="76:135" x14ac:dyDescent="0.25">
      <c r="BX3396" s="79"/>
      <c r="BY3396" s="322">
        <v>10</v>
      </c>
      <c r="BZ3396" s="323"/>
      <c r="CA3396" s="79"/>
      <c r="EE3396" s="76">
        <f>+IF(MID($J$5,1,10)=MID($EE$5,1,10),0,1)</f>
        <v>0</v>
      </c>
    </row>
    <row r="3397" spans="76:135" x14ac:dyDescent="0.25">
      <c r="BX3397" s="78"/>
      <c r="BY3397" s="319">
        <v>141</v>
      </c>
      <c r="CA3397" s="78"/>
      <c r="EE3397" s="76">
        <f>+IF(MID($J$2,1,10)=MID($EE$2,1,10),0,1)</f>
        <v>0</v>
      </c>
    </row>
    <row r="3398" spans="76:135" x14ac:dyDescent="0.25">
      <c r="BX3398" s="78"/>
      <c r="BY3398" s="319">
        <v>132</v>
      </c>
      <c r="CA3398" s="78"/>
      <c r="EE3398" s="76">
        <f>+IF(MID($J$2,1,10)=MID($EE$2,1,10),1,2)</f>
        <v>1</v>
      </c>
    </row>
    <row r="3399" spans="76:135" x14ac:dyDescent="0.25">
      <c r="BX3399" s="78"/>
      <c r="BY3399" s="319">
        <v>157</v>
      </c>
      <c r="CA3399" s="78"/>
      <c r="EE3399" s="76">
        <f>+IF(MID($J$2,1,10)=MID($EE$2,1,10),3,1)</f>
        <v>3</v>
      </c>
    </row>
    <row r="3400" spans="76:135" x14ac:dyDescent="0.25">
      <c r="BX3400" s="78"/>
      <c r="BY3400" s="319">
        <v>0</v>
      </c>
      <c r="CA3400" s="78"/>
      <c r="EE3400" s="76">
        <f>+IF(MID($J$2,1,10)=MID($EE$2,1,10),3,1)</f>
        <v>3</v>
      </c>
    </row>
    <row r="3401" spans="76:135" x14ac:dyDescent="0.25">
      <c r="BX3401" s="78"/>
      <c r="BY3401" s="319">
        <v>153</v>
      </c>
      <c r="CA3401" s="78"/>
      <c r="EE3401" s="76">
        <f>+IF(MID($J$2,1,10)=MID($EE$2,1,10),0,1)</f>
        <v>0</v>
      </c>
    </row>
    <row r="3402" spans="76:135" x14ac:dyDescent="0.25">
      <c r="BX3402" s="78"/>
      <c r="BY3402" s="319">
        <v>117</v>
      </c>
      <c r="BZ3402" s="321">
        <v>15</v>
      </c>
      <c r="CA3402" s="78"/>
      <c r="EE3402" s="76">
        <f>+IF(MID($J$2,1,10)=MID($EE$2,1,10),3,1)</f>
        <v>3</v>
      </c>
    </row>
    <row r="3403" spans="76:135" x14ac:dyDescent="0.25">
      <c r="BX3403" s="78"/>
      <c r="BY3403" s="319">
        <v>178</v>
      </c>
      <c r="BZ3403" s="321">
        <v>15</v>
      </c>
      <c r="CA3403" s="78"/>
      <c r="EE3403" s="76">
        <f>+IF(MID($J$2,1,10)=MID($EE$2,1,10),3,1)</f>
        <v>3</v>
      </c>
    </row>
    <row r="3404" spans="76:135" x14ac:dyDescent="0.25">
      <c r="BX3404" s="78"/>
      <c r="BY3404" s="319">
        <v>160</v>
      </c>
      <c r="BZ3404" s="321">
        <v>15</v>
      </c>
      <c r="CA3404" s="78"/>
      <c r="EE3404" s="76">
        <f>+IF(MID($J$2,1,10)=MID($EE$2,1,10),3,1)</f>
        <v>3</v>
      </c>
    </row>
    <row r="3405" spans="76:135" x14ac:dyDescent="0.25">
      <c r="BX3405" s="78"/>
      <c r="BY3405" s="319">
        <v>155</v>
      </c>
      <c r="BZ3405" s="321">
        <v>15</v>
      </c>
      <c r="CA3405" s="78"/>
      <c r="EE3405" s="76">
        <f>+IF(MID($J$2,1,10)=MID($EE$2,1,10),1,2)</f>
        <v>1</v>
      </c>
    </row>
    <row r="3406" spans="76:135" x14ac:dyDescent="0.25">
      <c r="BX3406" s="78"/>
      <c r="BY3406" s="319">
        <v>119</v>
      </c>
      <c r="BZ3406" s="321">
        <v>15</v>
      </c>
      <c r="CA3406" s="78"/>
      <c r="EE3406" s="76">
        <f>+IF(MID($J$3,1,10)=MID($EE$3,1,10),2,1)</f>
        <v>2</v>
      </c>
    </row>
    <row r="3407" spans="76:135" x14ac:dyDescent="0.25">
      <c r="BX3407" s="78"/>
      <c r="BY3407" s="319">
        <v>150</v>
      </c>
      <c r="BZ3407" s="321">
        <v>15</v>
      </c>
      <c r="CA3407" s="78"/>
      <c r="EE3407" s="76">
        <f>+IF(MID($J$2,1,10)=MID($EE$2,1,10),4,1)</f>
        <v>4</v>
      </c>
    </row>
    <row r="3408" spans="76:135" x14ac:dyDescent="0.25">
      <c r="BX3408" s="78"/>
      <c r="BY3408" s="319">
        <v>188</v>
      </c>
      <c r="BZ3408" s="321">
        <v>15</v>
      </c>
      <c r="CA3408" s="78"/>
      <c r="EE3408" s="76">
        <f>+IF(MID($J$2,1,10)=MID($EE$2,1,10),0,1)</f>
        <v>0</v>
      </c>
    </row>
    <row r="3409" spans="76:135" x14ac:dyDescent="0.25">
      <c r="BX3409" s="78"/>
      <c r="BY3409" s="319">
        <v>132</v>
      </c>
      <c r="BZ3409" s="321">
        <v>15</v>
      </c>
      <c r="CA3409" s="78"/>
      <c r="EE3409" s="76">
        <f>+IF(MID($J$3,1,10)=MID($EE$3,1,10),2,1)</f>
        <v>2</v>
      </c>
    </row>
    <row r="3410" spans="76:135" x14ac:dyDescent="0.25">
      <c r="BX3410" s="78"/>
      <c r="BY3410" s="319">
        <v>180</v>
      </c>
      <c r="BZ3410" s="321">
        <v>15</v>
      </c>
      <c r="CA3410" s="78"/>
      <c r="EE3410" s="76">
        <f>+IF(MID($J$3,1,10)=MID($EE$3,1,10),2,1)</f>
        <v>2</v>
      </c>
    </row>
    <row r="3411" spans="76:135" x14ac:dyDescent="0.25">
      <c r="BX3411" s="78"/>
      <c r="BY3411" s="319">
        <v>171</v>
      </c>
      <c r="BZ3411" s="321">
        <v>15</v>
      </c>
      <c r="CA3411" s="78"/>
      <c r="EE3411" s="76">
        <f>+IF(MID($J$2,1,10)=MID($EE$2,1,10),4,1)</f>
        <v>4</v>
      </c>
    </row>
    <row r="3412" spans="76:135" x14ac:dyDescent="0.25">
      <c r="BX3412" s="78"/>
      <c r="BY3412" s="319">
        <v>163</v>
      </c>
      <c r="BZ3412" s="321">
        <v>15</v>
      </c>
      <c r="CA3412" s="78"/>
      <c r="EE3412" s="76">
        <f>+IF(MID($J$3,1,10)=MID($EE$3,1,10),2,1)</f>
        <v>2</v>
      </c>
    </row>
    <row r="3413" spans="76:135" x14ac:dyDescent="0.25">
      <c r="BX3413" s="78"/>
      <c r="BY3413" s="319">
        <v>199</v>
      </c>
      <c r="BZ3413" s="321">
        <v>15</v>
      </c>
      <c r="CA3413" s="78"/>
      <c r="EE3413" s="76">
        <f>+IF(MID($J$2,1,10)=MID($EE$2,1,10),4,1)</f>
        <v>4</v>
      </c>
    </row>
    <row r="3414" spans="76:135" x14ac:dyDescent="0.25">
      <c r="BX3414" s="78"/>
      <c r="BY3414" s="319">
        <v>128</v>
      </c>
      <c r="BZ3414" s="321">
        <v>15</v>
      </c>
      <c r="CA3414" s="78"/>
      <c r="EE3414" s="76">
        <f>+IF(MID($J$2,1,10)=MID($EE$2,1,10),1,2)</f>
        <v>1</v>
      </c>
    </row>
    <row r="3415" spans="76:135" x14ac:dyDescent="0.25">
      <c r="BX3415" s="78"/>
      <c r="BY3415" s="319">
        <v>146</v>
      </c>
      <c r="BZ3415" s="321">
        <v>15</v>
      </c>
      <c r="CA3415" s="78"/>
      <c r="EE3415" s="76">
        <f>+IF(MID($J$2,1,10)=MID($EE$2,1,10),3,1)</f>
        <v>3</v>
      </c>
    </row>
    <row r="3416" spans="76:135" x14ac:dyDescent="0.25">
      <c r="BX3416" s="78"/>
      <c r="BY3416" s="319">
        <v>120</v>
      </c>
      <c r="BZ3416" s="321">
        <v>15</v>
      </c>
      <c r="CA3416" s="78"/>
      <c r="EE3416" s="76">
        <f>+IF(MID($J$2,1,10)=MID($EE$2,1,10),1,2)</f>
        <v>1</v>
      </c>
    </row>
    <row r="3417" spans="76:135" x14ac:dyDescent="0.25">
      <c r="BX3417" s="78"/>
      <c r="BY3417" s="319">
        <v>195</v>
      </c>
      <c r="BZ3417" s="321">
        <v>15</v>
      </c>
      <c r="CA3417" s="78"/>
      <c r="EE3417" s="76">
        <f>+IF(MID($J$3,1,10)=MID($EE$3,1,10),2,1)</f>
        <v>2</v>
      </c>
    </row>
    <row r="3418" spans="76:135" x14ac:dyDescent="0.25">
      <c r="BX3418" s="78"/>
      <c r="BY3418" s="319">
        <v>205</v>
      </c>
      <c r="BZ3418" s="321">
        <v>15</v>
      </c>
      <c r="CA3418" s="78"/>
      <c r="EE3418" s="76">
        <f>+IF(MID($J$2,1,10)=MID($EE$2,1,10),1,2)</f>
        <v>1</v>
      </c>
    </row>
    <row r="3419" spans="76:135" x14ac:dyDescent="0.25">
      <c r="BX3419" s="78"/>
      <c r="BY3419" s="319">
        <v>177</v>
      </c>
      <c r="BZ3419" s="321">
        <v>15</v>
      </c>
      <c r="CA3419" s="78"/>
      <c r="EE3419" s="76">
        <f>+IF(MID($J$2,1,10)=MID($EE$2,1,10),0,1)</f>
        <v>0</v>
      </c>
    </row>
    <row r="3420" spans="76:135" x14ac:dyDescent="0.25">
      <c r="BX3420" s="78"/>
      <c r="BY3420" s="319">
        <v>181</v>
      </c>
      <c r="BZ3420" s="321">
        <v>15</v>
      </c>
      <c r="CA3420" s="78"/>
      <c r="EE3420" s="76">
        <f>+IF(MID($J$2,1,10)=MID($EE$2,1,10),0,1)</f>
        <v>0</v>
      </c>
    </row>
    <row r="3421" spans="76:135" x14ac:dyDescent="0.25">
      <c r="BX3421" s="78"/>
      <c r="BY3421" s="319">
        <v>121</v>
      </c>
      <c r="CA3421" s="78"/>
      <c r="EE3421" s="76">
        <f>+IF(MID($J$2,1,10)=MID($EE$2,1,10),0,1)</f>
        <v>0</v>
      </c>
    </row>
    <row r="3422" spans="76:135" x14ac:dyDescent="0.25">
      <c r="BX3422" s="78"/>
      <c r="BY3422" s="319">
        <v>161</v>
      </c>
      <c r="CA3422" s="78"/>
      <c r="EE3422" s="76">
        <f>+IF(MID($J$2,1,10)=MID($EE$2,1,10),1,2)</f>
        <v>1</v>
      </c>
    </row>
    <row r="3423" spans="76:135" x14ac:dyDescent="0.25">
      <c r="BX3423" s="78"/>
      <c r="BY3423" s="319">
        <v>159</v>
      </c>
      <c r="CA3423" s="78"/>
      <c r="EE3423" s="76">
        <f>+IF(MID($J$2,1,10)=MID($EE$2,1,10),1,2)</f>
        <v>1</v>
      </c>
    </row>
    <row r="3424" spans="76:135" x14ac:dyDescent="0.25">
      <c r="BX3424" s="78"/>
      <c r="BY3424" s="319">
        <v>206</v>
      </c>
      <c r="CA3424" s="78"/>
      <c r="EE3424" s="76">
        <f>+IF(MID($J$2,1,10)=MID($EE$2,1,10),3,1)</f>
        <v>3</v>
      </c>
    </row>
    <row r="3425" spans="76:135" x14ac:dyDescent="0.25">
      <c r="BX3425" s="78"/>
      <c r="BY3425" s="319">
        <v>178</v>
      </c>
      <c r="CA3425" s="78"/>
      <c r="EE3425" s="76">
        <f>+IF(MID($J$2,1,10)=MID($EE$2,1,10),3,1)</f>
        <v>3</v>
      </c>
    </row>
    <row r="3426" spans="76:135" x14ac:dyDescent="0.25">
      <c r="BX3426" s="78"/>
      <c r="BY3426" s="319">
        <v>143</v>
      </c>
      <c r="CA3426" s="78"/>
      <c r="EE3426" s="76">
        <f>+IF(MID($J$2,1,10)=MID($EE$2,1,10),3,1)</f>
        <v>3</v>
      </c>
    </row>
    <row r="3427" spans="76:135" x14ac:dyDescent="0.25">
      <c r="BX3427" s="78"/>
      <c r="BY3427" s="319">
        <v>167</v>
      </c>
      <c r="CA3427" s="78"/>
      <c r="EE3427" s="76">
        <f>+IF(MID($J$2,1,10)=MID($EE$2,1,10),0,1)</f>
        <v>0</v>
      </c>
    </row>
    <row r="3428" spans="76:135" x14ac:dyDescent="0.25">
      <c r="BX3428" s="78"/>
      <c r="BY3428" s="319">
        <v>115</v>
      </c>
      <c r="CA3428" s="78"/>
      <c r="EE3428" s="76">
        <f>+IF(MID($J$2,1,10)=MID($EE$2,1,10),1,2)</f>
        <v>1</v>
      </c>
    </row>
    <row r="3429" spans="76:135" x14ac:dyDescent="0.25">
      <c r="BX3429" s="78"/>
      <c r="BY3429" s="319">
        <v>116</v>
      </c>
      <c r="CA3429" s="78"/>
      <c r="EE3429" s="76">
        <f>+IF(MID($J$2,1,10)=MID($EE$2,1,10),3,1)</f>
        <v>3</v>
      </c>
    </row>
    <row r="3430" spans="76:135" x14ac:dyDescent="0.25">
      <c r="BX3430" s="78"/>
      <c r="BY3430" s="319">
        <v>181</v>
      </c>
      <c r="CA3430" s="78"/>
      <c r="EE3430" s="76">
        <f>+IF(MID($J$2,1,10)=MID($EE$2,1,10),3,1)</f>
        <v>3</v>
      </c>
    </row>
    <row r="3431" spans="76:135" x14ac:dyDescent="0.25">
      <c r="BX3431" s="78"/>
      <c r="BY3431" s="319">
        <v>160</v>
      </c>
      <c r="CA3431" s="78"/>
      <c r="EE3431" s="76">
        <f>+IF(MID($J$2,1,10)=MID($EE$2,1,10),0,1)</f>
        <v>0</v>
      </c>
    </row>
    <row r="3432" spans="76:135" x14ac:dyDescent="0.25">
      <c r="BX3432" s="78"/>
      <c r="BY3432" s="319">
        <v>197</v>
      </c>
      <c r="CA3432" s="78"/>
      <c r="EE3432" s="76">
        <f>+IF(MID($J$2,1,10)=MID($EE$2,1,10),3,1)</f>
        <v>3</v>
      </c>
    </row>
    <row r="3433" spans="76:135" x14ac:dyDescent="0.25">
      <c r="BX3433" s="78"/>
      <c r="BY3433" s="319">
        <v>139</v>
      </c>
      <c r="CA3433" s="78"/>
      <c r="EE3433" s="76">
        <f>+IF(MID($J$2,1,10)=MID($EE$2,1,10),3,1)</f>
        <v>3</v>
      </c>
    </row>
    <row r="3434" spans="76:135" x14ac:dyDescent="0.25">
      <c r="BX3434" s="78"/>
      <c r="BY3434" s="319">
        <v>115</v>
      </c>
      <c r="CA3434" s="78"/>
      <c r="EE3434" s="76">
        <f>+IF(MID($J$2,1,10)=MID($EE$2,1,10),3,1)</f>
        <v>3</v>
      </c>
    </row>
    <row r="3435" spans="76:135" x14ac:dyDescent="0.25">
      <c r="BX3435" s="78"/>
      <c r="BY3435" s="319">
        <v>169</v>
      </c>
      <c r="CA3435" s="78"/>
      <c r="EE3435" s="76">
        <f>+IF(MID($J$2,1,10)=MID($EE$2,1,10),1,2)</f>
        <v>1</v>
      </c>
    </row>
    <row r="3436" spans="76:135" x14ac:dyDescent="0.25">
      <c r="BX3436" s="78"/>
      <c r="BY3436" s="319">
        <v>200</v>
      </c>
      <c r="CA3436" s="78"/>
      <c r="EE3436" s="76">
        <f>+IF(MID($J$3,1,10)=MID($EE$3,1,10),2,1)</f>
        <v>2</v>
      </c>
    </row>
    <row r="3437" spans="76:135" x14ac:dyDescent="0.25">
      <c r="BX3437" s="78"/>
      <c r="BY3437" s="319">
        <v>182</v>
      </c>
      <c r="CA3437" s="78"/>
      <c r="EE3437" s="76">
        <f>+IF(MID($J$2,1,10)=MID($EE$2,1,10),4,1)</f>
        <v>4</v>
      </c>
    </row>
    <row r="3438" spans="76:135" x14ac:dyDescent="0.25">
      <c r="BX3438" s="78"/>
      <c r="BY3438" s="319">
        <v>187</v>
      </c>
      <c r="CA3438" s="78"/>
      <c r="EE3438" s="76">
        <f>+IF(MID($J$2,1,10)=MID($EE$2,1,10),0,1)</f>
        <v>0</v>
      </c>
    </row>
    <row r="3439" spans="76:135" x14ac:dyDescent="0.25">
      <c r="BX3439" s="78"/>
      <c r="BY3439" s="319">
        <v>132</v>
      </c>
      <c r="CA3439" s="78"/>
      <c r="EE3439" s="76">
        <f>+IF(MID($J$3,1,10)=MID($EE$3,1,10),2,1)</f>
        <v>2</v>
      </c>
    </row>
    <row r="3440" spans="76:135" x14ac:dyDescent="0.25">
      <c r="BX3440" s="78"/>
      <c r="BY3440" s="319">
        <v>611</v>
      </c>
      <c r="CA3440" s="78"/>
      <c r="EE3440" s="76">
        <f>+IF(MID($J$3,1,10)=MID($EE$3,1,10),2,1)</f>
        <v>2</v>
      </c>
    </row>
    <row r="3441" spans="76:135" x14ac:dyDescent="0.25">
      <c r="BX3441" s="78"/>
      <c r="BY3441" s="319">
        <v>176</v>
      </c>
      <c r="CA3441" s="78"/>
      <c r="EE3441" s="76">
        <f>+IF(MID($J$2,1,10)=MID($EE$2,1,10),4,1)</f>
        <v>4</v>
      </c>
    </row>
    <row r="3442" spans="76:135" x14ac:dyDescent="0.25">
      <c r="BX3442" s="78"/>
      <c r="BY3442" s="319">
        <v>485</v>
      </c>
      <c r="CA3442" s="78"/>
      <c r="EE3442" s="76">
        <f>+IF(MID($J$3,1,10)=MID($EE$3,1,10),2,1)</f>
        <v>2</v>
      </c>
    </row>
    <row r="3443" spans="76:135" x14ac:dyDescent="0.25">
      <c r="BX3443" s="78"/>
      <c r="BY3443" s="319">
        <v>189</v>
      </c>
      <c r="CA3443" s="78"/>
      <c r="EE3443" s="76">
        <f>+IF(MID($J$2,1,10)=MID($EE$2,1,10),4,1)</f>
        <v>4</v>
      </c>
    </row>
    <row r="3444" spans="76:135" x14ac:dyDescent="0.25">
      <c r="BX3444" s="78"/>
      <c r="BY3444" s="319">
        <v>188</v>
      </c>
      <c r="CA3444" s="78"/>
      <c r="EE3444" s="76">
        <f>+IF(MID($J$2,1,10)=MID($EE$2,1,10),1,2)</f>
        <v>1</v>
      </c>
    </row>
    <row r="3445" spans="76:135" x14ac:dyDescent="0.25">
      <c r="BX3445" s="78"/>
      <c r="BY3445" s="322">
        <v>10</v>
      </c>
      <c r="CA3445" s="78"/>
      <c r="EE3445" s="76">
        <f>+IF(MID($J$4,1,8)=MID($EE$4,1,8),2,1)</f>
        <v>2</v>
      </c>
    </row>
    <row r="3446" spans="76:135" x14ac:dyDescent="0.25">
      <c r="BX3446" s="78"/>
      <c r="BY3446" s="319">
        <v>187</v>
      </c>
      <c r="CA3446" s="78"/>
      <c r="EE3446" s="76">
        <f>+IF(MID($J$2,1,10)=MID($EE$2,1,10),1,2)</f>
        <v>1</v>
      </c>
    </row>
    <row r="3447" spans="76:135" x14ac:dyDescent="0.25">
      <c r="BX3447" s="78"/>
      <c r="BY3447" s="319">
        <v>158</v>
      </c>
      <c r="CA3447" s="78"/>
      <c r="EE3447" s="76">
        <f>+IF(MID($J$3,1,10)=MID($EE$3,1,10),2,1)</f>
        <v>2</v>
      </c>
    </row>
    <row r="3448" spans="76:135" x14ac:dyDescent="0.25">
      <c r="BX3448" s="79"/>
      <c r="BY3448" s="322">
        <v>10</v>
      </c>
      <c r="BZ3448" s="323"/>
      <c r="CA3448" s="79"/>
      <c r="EE3448" s="76">
        <f>+IF(MID($J$2,1,10)=MID($EE$2,1,10),0,1)</f>
        <v>0</v>
      </c>
    </row>
    <row r="3449" spans="76:135" x14ac:dyDescent="0.25">
      <c r="BX3449" s="78"/>
      <c r="BY3449" s="319">
        <v>176</v>
      </c>
      <c r="CA3449" s="78"/>
      <c r="EE3449" s="76">
        <f>+IF(MID($J$2,1,10)=MID($EE$2,1,10),0,1)</f>
        <v>0</v>
      </c>
    </row>
    <row r="3450" spans="76:135" x14ac:dyDescent="0.25">
      <c r="BX3450" s="78"/>
      <c r="BY3450" s="319">
        <v>343</v>
      </c>
      <c r="CA3450" s="78"/>
      <c r="EE3450" s="76">
        <f>+IF(MID($J$2,1,10)=MID($EE$2,1,10),0,1)</f>
        <v>0</v>
      </c>
    </row>
    <row r="3451" spans="76:135" x14ac:dyDescent="0.25">
      <c r="BX3451" s="78"/>
      <c r="BY3451" s="319">
        <v>148</v>
      </c>
      <c r="CA3451" s="78"/>
      <c r="EE3451" s="76">
        <f>+IF(MID($J$2,1,10)=MID($EE$2,1,10),0,1)</f>
        <v>0</v>
      </c>
    </row>
    <row r="3452" spans="76:135" x14ac:dyDescent="0.25">
      <c r="BX3452" s="78"/>
      <c r="BY3452" s="319">
        <v>464</v>
      </c>
      <c r="CA3452" s="78"/>
      <c r="EE3452" s="76">
        <f>+IF(MID($J$2,1,10)=MID($EE$2,1,10),1,2)</f>
        <v>1</v>
      </c>
    </row>
    <row r="3453" spans="76:135" x14ac:dyDescent="0.25">
      <c r="BX3453" s="78"/>
      <c r="BY3453" s="319">
        <v>1103</v>
      </c>
      <c r="CA3453" s="78"/>
      <c r="EE3453" s="76">
        <f>+IF(MID($J$2,1,10)=MID($EE$2,1,10),1,2)</f>
        <v>1</v>
      </c>
    </row>
    <row r="3454" spans="76:135" x14ac:dyDescent="0.25">
      <c r="BX3454" s="78"/>
      <c r="BY3454" s="319">
        <v>108</v>
      </c>
      <c r="CA3454" s="78"/>
      <c r="EE3454" s="76">
        <f>+IF(MID($J$2,1,10)=MID($EE$2,1,10),3,1)</f>
        <v>3</v>
      </c>
    </row>
    <row r="3455" spans="76:135" x14ac:dyDescent="0.25">
      <c r="BX3455" s="78"/>
      <c r="BY3455" s="319">
        <v>221</v>
      </c>
      <c r="CA3455" s="78"/>
      <c r="EE3455" s="76">
        <f>+IF(MID($J$2,1,10)=MID($EE$2,1,10),3,1)</f>
        <v>3</v>
      </c>
    </row>
    <row r="3456" spans="76:135" x14ac:dyDescent="0.25">
      <c r="BX3456" s="78"/>
      <c r="BY3456" s="319">
        <v>177</v>
      </c>
      <c r="CA3456" s="78"/>
      <c r="EE3456" s="76">
        <f>+IF(MID($J$2,1,10)=MID($EE$2,1,10),3,1)</f>
        <v>3</v>
      </c>
    </row>
    <row r="3457" spans="76:135" x14ac:dyDescent="0.25">
      <c r="BX3457" s="78"/>
      <c r="BY3457" s="319">
        <v>884</v>
      </c>
      <c r="CA3457" s="78"/>
      <c r="EE3457" s="76">
        <f>+IF(MID($J$2,1,10)=MID($EE$2,1,10),0,1)</f>
        <v>0</v>
      </c>
    </row>
    <row r="3458" spans="76:135" x14ac:dyDescent="0.25">
      <c r="BX3458" s="78"/>
      <c r="BY3458" s="319">
        <v>151</v>
      </c>
      <c r="CA3458" s="78"/>
      <c r="EE3458" s="76">
        <f>+IF(MID($J$2,1,10)=MID($EE$2,1,10),1,2)</f>
        <v>1</v>
      </c>
    </row>
    <row r="3459" spans="76:135" x14ac:dyDescent="0.25">
      <c r="BX3459" s="78"/>
      <c r="BY3459" s="319">
        <v>155</v>
      </c>
      <c r="CA3459" s="78"/>
      <c r="EE3459" s="76">
        <f>+IF(MID($J$2,1,10)=MID($EE$2,1,10),3,1)</f>
        <v>3</v>
      </c>
    </row>
    <row r="3460" spans="76:135" x14ac:dyDescent="0.25">
      <c r="BX3460" s="78"/>
      <c r="BY3460" s="319">
        <v>117</v>
      </c>
      <c r="CA3460" s="78"/>
      <c r="EE3460" s="76">
        <f>+IF(MID($J$2,1,10)=MID($EE$2,1,10),3,1)</f>
        <v>3</v>
      </c>
    </row>
    <row r="3461" spans="76:135" x14ac:dyDescent="0.25">
      <c r="BX3461" s="78"/>
      <c r="BY3461" s="319">
        <v>887</v>
      </c>
      <c r="CA3461" s="78"/>
      <c r="EE3461" s="76">
        <f>+IF(MID($J$2,1,10)=MID($EE$2,1,10),0,1)</f>
        <v>0</v>
      </c>
    </row>
    <row r="3462" spans="76:135" x14ac:dyDescent="0.25">
      <c r="BX3462" s="78"/>
      <c r="BY3462" s="319">
        <v>139</v>
      </c>
      <c r="CA3462" s="78"/>
      <c r="EE3462" s="76">
        <f>+IF(MID($J$2,1,10)=MID($EE$2,1,10),3,1)</f>
        <v>3</v>
      </c>
    </row>
    <row r="3463" spans="76:135" x14ac:dyDescent="0.25">
      <c r="BX3463" s="78"/>
      <c r="BY3463" s="319">
        <v>679</v>
      </c>
      <c r="CA3463" s="78"/>
      <c r="EE3463" s="76">
        <f>+IF(MID($J$2,1,10)=MID($EE$2,1,10),3,1)</f>
        <v>3</v>
      </c>
    </row>
    <row r="3464" spans="76:135" x14ac:dyDescent="0.25">
      <c r="BX3464" s="78"/>
      <c r="BY3464" s="319">
        <v>187</v>
      </c>
      <c r="CA3464" s="78"/>
      <c r="EE3464" s="76">
        <f>+IF(MID($J$2,1,10)=MID($EE$2,1,10),3,1)</f>
        <v>3</v>
      </c>
    </row>
    <row r="3465" spans="76:135" x14ac:dyDescent="0.25">
      <c r="BX3465" s="78"/>
      <c r="BY3465" s="319">
        <v>119</v>
      </c>
      <c r="CA3465" s="78"/>
      <c r="EE3465" s="76">
        <f>+IF(MID($J$2,1,10)=MID($EE$2,1,10),1,2)</f>
        <v>1</v>
      </c>
    </row>
    <row r="3466" spans="76:135" x14ac:dyDescent="0.25">
      <c r="BX3466" s="78"/>
      <c r="BY3466" s="319">
        <v>102</v>
      </c>
      <c r="CA3466" s="78"/>
      <c r="EE3466" s="76">
        <f>+IF(MID($J$3,1,10)=MID($EE$3,1,10),2,1)</f>
        <v>2</v>
      </c>
    </row>
    <row r="3467" spans="76:135" x14ac:dyDescent="0.25">
      <c r="BX3467" s="78"/>
      <c r="BY3467" s="319">
        <v>904</v>
      </c>
      <c r="CA3467" s="78"/>
      <c r="EE3467" s="76">
        <f>+IF(MID($J$2,1,10)=MID($EE$2,1,10),4,1)</f>
        <v>4</v>
      </c>
    </row>
    <row r="3468" spans="76:135" x14ac:dyDescent="0.25">
      <c r="BX3468" s="78"/>
      <c r="BY3468" s="319">
        <v>193</v>
      </c>
      <c r="CA3468" s="78"/>
      <c r="EE3468" s="76">
        <f>+IF(MID($J$2,1,10)=MID($EE$2,1,10),0,1)</f>
        <v>0</v>
      </c>
    </row>
    <row r="3469" spans="76:135" x14ac:dyDescent="0.25">
      <c r="BX3469" s="78"/>
      <c r="BY3469" s="319">
        <v>762</v>
      </c>
      <c r="CA3469" s="78"/>
      <c r="EE3469" s="76">
        <f>+IF(MID($J$3,1,10)=MID($EE$3,1,10),2,1)</f>
        <v>2</v>
      </c>
    </row>
    <row r="3470" spans="76:135" x14ac:dyDescent="0.25">
      <c r="BX3470" s="78"/>
      <c r="BY3470" s="319">
        <v>132</v>
      </c>
      <c r="CA3470" s="78"/>
      <c r="EE3470" s="76">
        <f>+IF(MID($J$3,1,10)=MID($EE$3,1,10),2,1)</f>
        <v>2</v>
      </c>
    </row>
    <row r="3471" spans="76:135" x14ac:dyDescent="0.25">
      <c r="BX3471" s="78"/>
      <c r="BY3471" s="319">
        <v>924</v>
      </c>
      <c r="CA3471" s="78"/>
      <c r="EE3471" s="76">
        <f>+IF(MID($J$2,1,10)=MID($EE$2,1,10),4,1)</f>
        <v>4</v>
      </c>
    </row>
    <row r="3472" spans="76:135" x14ac:dyDescent="0.25">
      <c r="BX3472" s="78"/>
      <c r="BY3472" s="319">
        <v>165</v>
      </c>
      <c r="CA3472" s="78"/>
      <c r="EE3472" s="76">
        <f>+IF(MID($J$3,1,10)=MID($EE$3,1,10),2,1)</f>
        <v>2</v>
      </c>
    </row>
    <row r="3473" spans="76:135" x14ac:dyDescent="0.25">
      <c r="BX3473" s="78"/>
      <c r="BY3473" s="319">
        <v>728</v>
      </c>
      <c r="CA3473" s="78"/>
      <c r="EE3473" s="76">
        <f>+IF(MID($J$2,1,10)=MID($EE$2,1,10),4,1)</f>
        <v>4</v>
      </c>
    </row>
    <row r="3474" spans="76:135" x14ac:dyDescent="0.25">
      <c r="BX3474" s="78"/>
      <c r="BY3474" s="319">
        <v>1</v>
      </c>
      <c r="CA3474" s="78"/>
      <c r="EE3474" s="76">
        <f>+IF(MID($J$2,1,10)=MID($EE$2,1,10),1,2)</f>
        <v>1</v>
      </c>
    </row>
    <row r="3475" spans="76:135" x14ac:dyDescent="0.25">
      <c r="BX3475" s="78"/>
      <c r="BY3475" s="319">
        <v>929</v>
      </c>
      <c r="CA3475" s="78"/>
      <c r="EE3475" s="76">
        <f>+IF(MID($J$2,1,10)=MID($EE$2,1,10),3,1)</f>
        <v>3</v>
      </c>
    </row>
    <row r="3476" spans="76:135" x14ac:dyDescent="0.25">
      <c r="BX3476" s="78"/>
      <c r="BY3476" s="319">
        <v>197</v>
      </c>
      <c r="CA3476" s="78"/>
      <c r="EE3476" s="76">
        <f>+IF(MID($J$2,1,10)=MID($EE$2,1,10),1,2)</f>
        <v>1</v>
      </c>
    </row>
    <row r="3477" spans="76:135" x14ac:dyDescent="0.25">
      <c r="BX3477" s="78"/>
      <c r="BY3477" s="319">
        <v>178</v>
      </c>
      <c r="CA3477" s="78"/>
      <c r="EE3477" s="76">
        <f>+IF(MID($J$3,1,10)=MID($EE$3,1,10),2,1)</f>
        <v>2</v>
      </c>
    </row>
    <row r="3478" spans="76:135" x14ac:dyDescent="0.25">
      <c r="BX3478" s="78"/>
      <c r="BY3478" s="319">
        <v>179</v>
      </c>
      <c r="CA3478" s="78"/>
      <c r="EE3478" s="76">
        <f>+IF(MID($J$2,1,10)=MID($EE$2,1,10),1,2)</f>
        <v>1</v>
      </c>
    </row>
    <row r="3479" spans="76:135" x14ac:dyDescent="0.25">
      <c r="BX3479" s="78"/>
      <c r="BY3479" s="319">
        <v>151</v>
      </c>
      <c r="CA3479" s="78"/>
      <c r="EE3479" s="76">
        <f>+IF(MID($J$2,1,10)=MID($EE$2,1,10),0,1)</f>
        <v>0</v>
      </c>
    </row>
    <row r="3480" spans="76:135" x14ac:dyDescent="0.25">
      <c r="BX3480" s="78"/>
      <c r="BY3480" s="319">
        <v>344</v>
      </c>
      <c r="CA3480" s="78"/>
      <c r="EE3480" s="76">
        <f>+IF(MID($J$2,1,10)=MID($EE$2,1,10),0,1)</f>
        <v>0</v>
      </c>
    </row>
    <row r="3481" spans="76:135" x14ac:dyDescent="0.25">
      <c r="BX3481" s="78"/>
      <c r="BY3481" s="319">
        <v>169</v>
      </c>
      <c r="CA3481" s="78"/>
      <c r="EE3481" s="76">
        <f>+IF(MID($J$2,1,10)=MID($EE$2,1,10),0,1)</f>
        <v>0</v>
      </c>
    </row>
    <row r="3482" spans="76:135" x14ac:dyDescent="0.25">
      <c r="BX3482" s="78"/>
      <c r="BY3482" s="319">
        <v>858</v>
      </c>
      <c r="CA3482" s="78"/>
      <c r="EE3482" s="76">
        <f>+IF(MID($J$2,1,10)=MID($EE$2,1,10),1,2)</f>
        <v>1</v>
      </c>
    </row>
    <row r="3483" spans="76:135" x14ac:dyDescent="0.25">
      <c r="BX3483" s="78"/>
      <c r="BY3483" s="319">
        <v>133</v>
      </c>
      <c r="CA3483" s="78"/>
      <c r="EE3483" s="76">
        <f>+IF(MID($J$2,1,10)=MID($EE$2,1,10),1,2)</f>
        <v>1</v>
      </c>
    </row>
    <row r="3484" spans="76:135" x14ac:dyDescent="0.25">
      <c r="BX3484" s="78"/>
      <c r="BY3484" s="319">
        <v>279</v>
      </c>
      <c r="CA3484" s="78"/>
      <c r="EE3484" s="76">
        <f>+IF(MID($J$2,1,10)=MID($EE$2,1,10),3,1)</f>
        <v>3</v>
      </c>
    </row>
    <row r="3485" spans="76:135" x14ac:dyDescent="0.25">
      <c r="BX3485" s="78"/>
      <c r="BY3485" s="319">
        <v>112</v>
      </c>
      <c r="CA3485" s="78"/>
      <c r="EE3485" s="76">
        <f>+IF(MID($J$2,1,10)=MID($EE$2,1,10),3,1)</f>
        <v>3</v>
      </c>
    </row>
    <row r="3486" spans="76:135" x14ac:dyDescent="0.25">
      <c r="BX3486" s="78"/>
      <c r="BY3486" s="319">
        <v>874</v>
      </c>
      <c r="CA3486" s="78"/>
      <c r="EE3486" s="76">
        <f>+IF(MID($J$2,1,10)=MID($EE$2,1,10),3,1)</f>
        <v>3</v>
      </c>
    </row>
    <row r="3487" spans="76:135" x14ac:dyDescent="0.25">
      <c r="BX3487" s="78"/>
      <c r="BY3487" s="319">
        <v>126</v>
      </c>
      <c r="CA3487" s="78"/>
      <c r="EE3487" s="76">
        <f>+IF(MID($J$2,1,10)=MID($EE$2,1,10),0,1)</f>
        <v>0</v>
      </c>
    </row>
    <row r="3488" spans="76:135" x14ac:dyDescent="0.25">
      <c r="BX3488" s="78"/>
      <c r="BY3488" s="319">
        <v>531</v>
      </c>
      <c r="CA3488" s="78"/>
      <c r="EE3488" s="76">
        <f>+IF(MID($J$2,1,10)=MID($EE$2,1,10),1,2)</f>
        <v>1</v>
      </c>
    </row>
    <row r="3489" spans="76:135" x14ac:dyDescent="0.25">
      <c r="BX3489" s="78"/>
      <c r="BY3489" s="319">
        <v>116</v>
      </c>
      <c r="CA3489" s="78"/>
      <c r="EE3489" s="76">
        <f>+IF(MID($J$2,1,10)=MID($EE$2,1,10),3,1)</f>
        <v>3</v>
      </c>
    </row>
    <row r="3490" spans="76:135" x14ac:dyDescent="0.25">
      <c r="BX3490" s="78"/>
      <c r="BY3490" s="319">
        <v>814</v>
      </c>
      <c r="CA3490" s="78"/>
      <c r="EE3490" s="76">
        <f>+IF(MID($J$2,1,10)=MID($EE$2,1,10),3,1)</f>
        <v>3</v>
      </c>
    </row>
    <row r="3491" spans="76:135" x14ac:dyDescent="0.25">
      <c r="BX3491" s="78"/>
      <c r="BY3491" s="319">
        <v>128</v>
      </c>
      <c r="CA3491" s="78"/>
      <c r="EE3491" s="76">
        <f>+IF(MID($J$2,1,10)=MID($EE$2,1,10),0,1)</f>
        <v>0</v>
      </c>
    </row>
    <row r="3492" spans="76:135" x14ac:dyDescent="0.25">
      <c r="BX3492" s="78"/>
      <c r="BY3492" s="319">
        <v>98</v>
      </c>
      <c r="CA3492" s="78"/>
      <c r="EE3492" s="76">
        <f>+IF(MID($J$3,1,10)=MID($EE$3,1,10),2,1)</f>
        <v>2</v>
      </c>
    </row>
    <row r="3493" spans="76:135" x14ac:dyDescent="0.25">
      <c r="BX3493" s="78"/>
      <c r="BY3493" s="319">
        <v>184</v>
      </c>
      <c r="CA3493" s="78"/>
      <c r="EE3493" s="76">
        <f>+IF(MID($J$2,1,10)=MID($EE$2,1,10),4,1)</f>
        <v>4</v>
      </c>
    </row>
    <row r="3494" spans="76:135" x14ac:dyDescent="0.25">
      <c r="BX3494" s="78"/>
      <c r="BY3494" s="319">
        <v>155</v>
      </c>
      <c r="CA3494" s="78"/>
      <c r="EE3494" s="76">
        <f>+IF(MID($J$2,1,10)=MID($EE$2,1,10),0,1)</f>
        <v>0</v>
      </c>
    </row>
    <row r="3495" spans="76:135" x14ac:dyDescent="0.25">
      <c r="BX3495" s="78"/>
      <c r="BY3495" s="319">
        <v>721</v>
      </c>
      <c r="CA3495" s="78"/>
      <c r="EE3495" s="76">
        <f>+IF(MID($J$3,1,10)=MID($EE$3,1,10),2,1)</f>
        <v>2</v>
      </c>
    </row>
    <row r="3496" spans="76:135" x14ac:dyDescent="0.25">
      <c r="BX3496" s="78"/>
      <c r="BY3496" s="319">
        <v>138</v>
      </c>
      <c r="CA3496" s="78"/>
      <c r="EE3496" s="76">
        <f>+IF(MID($J$3,1,10)=MID($EE$3,1,10),2,1)</f>
        <v>2</v>
      </c>
    </row>
    <row r="3497" spans="76:135" x14ac:dyDescent="0.25">
      <c r="BX3497" s="78"/>
      <c r="BY3497" s="319">
        <v>345</v>
      </c>
      <c r="CA3497" s="78"/>
      <c r="EE3497" s="76">
        <f>+IF(MID($J$2,1,10)=MID($EE$2,1,10),4,1)</f>
        <v>4</v>
      </c>
    </row>
    <row r="3498" spans="76:135" x14ac:dyDescent="0.25">
      <c r="BX3498" s="78"/>
      <c r="BY3498" s="319">
        <v>205</v>
      </c>
      <c r="CA3498" s="78"/>
      <c r="EE3498" s="76">
        <f>+IF(MID($J$3,1,10)=MID($EE$3,1,10),2,1)</f>
        <v>2</v>
      </c>
    </row>
    <row r="3499" spans="76:135" x14ac:dyDescent="0.25">
      <c r="BX3499" s="78"/>
      <c r="BY3499" s="319">
        <v>458</v>
      </c>
      <c r="CA3499" s="78"/>
      <c r="EE3499" s="76">
        <f>+IF(MID($J$2,1,10)=MID($EE$2,1,10),4,1)</f>
        <v>4</v>
      </c>
    </row>
    <row r="3500" spans="76:135" x14ac:dyDescent="0.25">
      <c r="BX3500" s="78"/>
      <c r="BY3500" s="319">
        <v>119</v>
      </c>
      <c r="CA3500" s="78"/>
      <c r="EE3500" s="76">
        <f>+IF(MID($J$2,1,10)=MID($EE$2,1,10),1,2)</f>
        <v>1</v>
      </c>
    </row>
    <row r="3501" spans="76:135" x14ac:dyDescent="0.25">
      <c r="BX3501" s="78"/>
      <c r="BY3501" s="319">
        <v>203</v>
      </c>
      <c r="CA3501" s="78"/>
      <c r="EE3501" s="76">
        <f>+IF(MID($J$2,1,10)=MID($EE$2,1,10),3,1)</f>
        <v>3</v>
      </c>
    </row>
    <row r="3502" spans="76:135" x14ac:dyDescent="0.25">
      <c r="BX3502" s="78"/>
      <c r="BY3502" s="319">
        <v>148</v>
      </c>
      <c r="CA3502" s="78"/>
      <c r="EE3502" s="76">
        <f>+IF(MID($J$2,1,10)=MID($EE$2,1,10),1,2)</f>
        <v>1</v>
      </c>
    </row>
    <row r="3503" spans="76:135" x14ac:dyDescent="0.25">
      <c r="BX3503" s="78"/>
      <c r="BY3503" s="319">
        <v>591</v>
      </c>
      <c r="CA3503" s="78"/>
      <c r="EE3503" s="76">
        <f>+IF(MID($J$3,1,10)=MID($EE$3,1,10),2,1)</f>
        <v>2</v>
      </c>
    </row>
    <row r="3504" spans="76:135" x14ac:dyDescent="0.25">
      <c r="BX3504" s="78"/>
      <c r="BY3504" s="319">
        <v>138</v>
      </c>
      <c r="CA3504" s="78"/>
      <c r="EE3504" s="76">
        <f>+IF(MID($J$2,1,10)=MID($EE$2,1,10),1,2)</f>
        <v>1</v>
      </c>
    </row>
    <row r="3505" spans="76:135" x14ac:dyDescent="0.25">
      <c r="BX3505" s="78"/>
      <c r="BY3505" s="319">
        <v>110</v>
      </c>
      <c r="CA3505" s="78"/>
      <c r="EE3505" s="76">
        <f>+IF(MID($J$2,1,10)=MID($EE$2,1,10),0,1)</f>
        <v>0</v>
      </c>
    </row>
    <row r="3506" spans="76:135" x14ac:dyDescent="0.25">
      <c r="BX3506" s="78"/>
      <c r="BY3506" s="319">
        <v>178</v>
      </c>
      <c r="CA3506" s="78"/>
      <c r="EE3506" s="76">
        <f>+IF(MID($J$2,1,10)=MID($EE$2,1,10),0,1)</f>
        <v>0</v>
      </c>
    </row>
    <row r="3507" spans="76:135" x14ac:dyDescent="0.25">
      <c r="BX3507" s="78"/>
      <c r="BY3507" s="319">
        <v>1061</v>
      </c>
      <c r="CA3507" s="78"/>
      <c r="EE3507" s="76">
        <f>+IF(MID($J$2,1,10)=MID($EE$2,1,10),0,1)</f>
        <v>0</v>
      </c>
    </row>
    <row r="3508" spans="76:135" x14ac:dyDescent="0.25">
      <c r="BX3508" s="78"/>
      <c r="BY3508" s="319">
        <v>134</v>
      </c>
      <c r="CA3508" s="78"/>
      <c r="EE3508" s="76">
        <f>+IF(MID($J$2,1,10)=MID($EE$2,1,10),1,2)</f>
        <v>1</v>
      </c>
    </row>
    <row r="3509" spans="76:135" x14ac:dyDescent="0.25">
      <c r="BX3509" s="78"/>
      <c r="BY3509" s="319">
        <v>780</v>
      </c>
      <c r="CA3509" s="78"/>
      <c r="EE3509" s="76">
        <f>+IF(MID($J$2,1,10)=MID($EE$2,1,10),1,2)</f>
        <v>1</v>
      </c>
    </row>
    <row r="3510" spans="76:135" x14ac:dyDescent="0.25">
      <c r="BX3510" s="78"/>
      <c r="BY3510" s="319">
        <v>165</v>
      </c>
      <c r="CA3510" s="78"/>
      <c r="EE3510" s="76">
        <f>+IF(MID($J$2,1,10)=MID($EE$2,1,10),3,1)</f>
        <v>3</v>
      </c>
    </row>
    <row r="3511" spans="76:135" x14ac:dyDescent="0.25">
      <c r="BX3511" s="78"/>
      <c r="BY3511" s="319">
        <v>746</v>
      </c>
      <c r="CA3511" s="78"/>
      <c r="EE3511" s="76">
        <f>+IF(MID($J$2,1,10)=MID($EE$2,1,10),3,1)</f>
        <v>3</v>
      </c>
    </row>
    <row r="3512" spans="76:135" x14ac:dyDescent="0.25">
      <c r="BX3512" s="78"/>
      <c r="BY3512" s="319">
        <v>112</v>
      </c>
      <c r="CA3512" s="78"/>
      <c r="EE3512" s="76">
        <f>+IF(MID($J$2,1,10)=MID($EE$2,1,10),3,1)</f>
        <v>3</v>
      </c>
    </row>
    <row r="3513" spans="76:135" x14ac:dyDescent="0.25">
      <c r="BX3513" s="78"/>
      <c r="BY3513" s="319">
        <v>277</v>
      </c>
      <c r="CA3513" s="78"/>
      <c r="EE3513" s="76">
        <f>+IF(MID($J$2,1,10)=MID($EE$2,1,10),0,1)</f>
        <v>0</v>
      </c>
    </row>
    <row r="3514" spans="76:135" x14ac:dyDescent="0.25">
      <c r="BX3514" s="78"/>
      <c r="BY3514" s="319">
        <v>301</v>
      </c>
      <c r="CA3514" s="78"/>
      <c r="EE3514" s="76">
        <f>+IF(MID($J$2,1,10)=MID($EE$2,1,10),1,2)</f>
        <v>1</v>
      </c>
    </row>
    <row r="3515" spans="76:135" x14ac:dyDescent="0.25">
      <c r="BX3515" s="78"/>
      <c r="BY3515" s="319">
        <v>143</v>
      </c>
      <c r="CA3515" s="78"/>
      <c r="EE3515" s="76">
        <f>+IF(MID($J$2,1,10)=MID($EE$2,1,10),3,1)</f>
        <v>3</v>
      </c>
    </row>
    <row r="3516" spans="76:135" x14ac:dyDescent="0.25">
      <c r="BX3516" s="78"/>
      <c r="BY3516" s="319">
        <v>690</v>
      </c>
      <c r="CA3516" s="78"/>
      <c r="EE3516" s="76">
        <f>+IF(MID($J$2,1,10)=MID($EE$2,1,10),3,1)</f>
        <v>3</v>
      </c>
    </row>
    <row r="3517" spans="76:135" x14ac:dyDescent="0.25">
      <c r="BX3517" s="78"/>
      <c r="BY3517" s="319">
        <v>180</v>
      </c>
      <c r="CA3517" s="78"/>
      <c r="EE3517" s="76">
        <f>+IF(MID($J$2,1,10)=MID($EE$2,1,10),0,1)</f>
        <v>0</v>
      </c>
    </row>
    <row r="3518" spans="76:135" x14ac:dyDescent="0.25">
      <c r="BX3518" s="78"/>
      <c r="BY3518" s="319">
        <v>948</v>
      </c>
      <c r="CA3518" s="78"/>
      <c r="EE3518" s="76">
        <f>+IF(MID($J$2,1,10)=MID($EE$2,1,10),3,1)</f>
        <v>3</v>
      </c>
    </row>
    <row r="3519" spans="76:135" x14ac:dyDescent="0.25">
      <c r="BX3519" s="78"/>
      <c r="BY3519" s="319">
        <v>160</v>
      </c>
      <c r="CA3519" s="78"/>
      <c r="EE3519" s="76">
        <f>+IF(MID($J$2,1,10)=MID($EE$2,1,10),3,1)</f>
        <v>3</v>
      </c>
    </row>
    <row r="3520" spans="76:135" x14ac:dyDescent="0.25">
      <c r="BX3520" s="78"/>
      <c r="BY3520" s="319">
        <v>183</v>
      </c>
      <c r="CA3520" s="78"/>
      <c r="EE3520" s="76">
        <f>+IF(MID($J$2,1,10)=MID($EE$2,1,10),3,1)</f>
        <v>3</v>
      </c>
    </row>
    <row r="3521" spans="76:135" x14ac:dyDescent="0.25">
      <c r="BX3521" s="78"/>
      <c r="BY3521" s="319">
        <v>117</v>
      </c>
      <c r="CA3521" s="78"/>
      <c r="EE3521" s="76">
        <f>+IF(MID($J$2,1,10)=MID($EE$2,1,10),1,2)</f>
        <v>1</v>
      </c>
    </row>
    <row r="3522" spans="76:135" x14ac:dyDescent="0.25">
      <c r="BX3522" s="78"/>
      <c r="BY3522" s="319">
        <v>116</v>
      </c>
      <c r="CA3522" s="78"/>
      <c r="EE3522" s="76">
        <f>+IF(MID($J$3,1,10)=MID($EE$3,1,10),2,1)</f>
        <v>2</v>
      </c>
    </row>
    <row r="3523" spans="76:135" x14ac:dyDescent="0.25">
      <c r="BX3523" s="78"/>
      <c r="BY3523" s="319">
        <v>126</v>
      </c>
      <c r="CA3523" s="78"/>
      <c r="EE3523" s="76">
        <f>+IF(MID($J$2,1,10)=MID($EE$2,1,10),4,1)</f>
        <v>4</v>
      </c>
    </row>
    <row r="3524" spans="76:135" x14ac:dyDescent="0.25">
      <c r="BX3524" s="78"/>
      <c r="BY3524" s="319">
        <v>985</v>
      </c>
      <c r="CA3524" s="78"/>
      <c r="EE3524" s="76">
        <f>+IF(MID($J$2,1,10)=MID($EE$2,1,10),0,1)</f>
        <v>0</v>
      </c>
    </row>
    <row r="3525" spans="76:135" x14ac:dyDescent="0.25">
      <c r="BX3525" s="78"/>
      <c r="BY3525" s="319">
        <v>150</v>
      </c>
      <c r="CA3525" s="78"/>
      <c r="EE3525" s="76">
        <f>+IF(MID($J$3,1,10)=MID($EE$3,1,10),2,1)</f>
        <v>2</v>
      </c>
    </row>
    <row r="3526" spans="76:135" x14ac:dyDescent="0.25">
      <c r="BX3526" s="78"/>
      <c r="BY3526" s="319">
        <v>318</v>
      </c>
      <c r="CA3526" s="78"/>
      <c r="EE3526" s="76">
        <f>+IF(MID($J$3,1,10)=MID($EE$3,1,10),2,1)</f>
        <v>2</v>
      </c>
    </row>
    <row r="3527" spans="76:135" x14ac:dyDescent="0.25">
      <c r="BX3527" s="78"/>
      <c r="BY3527" s="319">
        <v>894</v>
      </c>
      <c r="CA3527" s="78"/>
      <c r="EE3527" s="76">
        <f>+IF(MID($J$2,1,10)=MID($EE$2,1,10),4,1)</f>
        <v>4</v>
      </c>
    </row>
    <row r="3528" spans="76:135" x14ac:dyDescent="0.25">
      <c r="BX3528" s="78"/>
      <c r="BY3528" s="319">
        <v>192</v>
      </c>
      <c r="CA3528" s="78"/>
      <c r="EE3528" s="76">
        <f>+IF(MID($J$3,1,10)=MID($EE$3,1,10),2,1)</f>
        <v>2</v>
      </c>
    </row>
    <row r="3529" spans="76:135" x14ac:dyDescent="0.25">
      <c r="BX3529" s="78"/>
      <c r="BY3529" s="319">
        <v>539</v>
      </c>
      <c r="CA3529" s="78"/>
      <c r="EE3529" s="76">
        <f>+IF(MID($J$2,1,10)=MID($EE$2,1,10),4,1)</f>
        <v>4</v>
      </c>
    </row>
    <row r="3530" spans="76:135" x14ac:dyDescent="0.25">
      <c r="BX3530" s="78"/>
      <c r="BY3530" s="319">
        <v>159</v>
      </c>
      <c r="CA3530" s="78"/>
      <c r="EE3530" s="76">
        <f>+IF(MID($J$2,1,10)=MID($EE$2,1,10),1,2)</f>
        <v>1</v>
      </c>
    </row>
    <row r="3531" spans="76:135" x14ac:dyDescent="0.25">
      <c r="BX3531" s="78"/>
      <c r="BY3531" s="319">
        <v>718</v>
      </c>
      <c r="CA3531" s="78"/>
      <c r="EE3531" s="76">
        <f>+IF(MID($J$2,1,10)=MID($EE$2,1,10),3,1)</f>
        <v>3</v>
      </c>
    </row>
    <row r="3532" spans="76:135" x14ac:dyDescent="0.25">
      <c r="BX3532" s="78"/>
      <c r="BY3532" s="319">
        <v>147</v>
      </c>
      <c r="CA3532" s="78"/>
      <c r="EE3532" s="76">
        <f>+IF(MID($J$2,1,10)=MID($EE$2,1,10),1,2)</f>
        <v>1</v>
      </c>
    </row>
    <row r="3533" spans="76:135" x14ac:dyDescent="0.25">
      <c r="BX3533" s="78"/>
      <c r="BY3533" s="319">
        <v>838</v>
      </c>
      <c r="CA3533" s="78"/>
      <c r="EE3533" s="76">
        <f>+IF(MID($J$3,1,10)=MID($EE$3,1,10),2,1)</f>
        <v>2</v>
      </c>
    </row>
    <row r="3534" spans="76:135" x14ac:dyDescent="0.25">
      <c r="BX3534" s="78"/>
      <c r="BY3534" s="319">
        <v>140</v>
      </c>
      <c r="CA3534" s="78"/>
      <c r="EE3534" s="76">
        <f>+IF(MID($J$2,1,10)=MID($EE$2,1,10),1,2)</f>
        <v>1</v>
      </c>
    </row>
    <row r="3535" spans="76:135" x14ac:dyDescent="0.25">
      <c r="BX3535" s="78"/>
      <c r="BY3535" s="319">
        <v>998</v>
      </c>
      <c r="CA3535" s="78"/>
      <c r="EE3535" s="76">
        <f>+IF(MID($J$2,1,10)=MID($EE$2,1,10),0,1)</f>
        <v>0</v>
      </c>
    </row>
    <row r="3536" spans="76:135" x14ac:dyDescent="0.25">
      <c r="BX3536" s="78"/>
      <c r="BY3536" s="319">
        <v>143</v>
      </c>
      <c r="CA3536" s="78"/>
      <c r="EE3536" s="76">
        <f>+IF(MID($J$2,1,10)=MID($EE$2,1,10),0,1)</f>
        <v>0</v>
      </c>
    </row>
    <row r="3537" spans="76:135" x14ac:dyDescent="0.25">
      <c r="BX3537" s="78"/>
      <c r="BY3537" s="319">
        <v>262</v>
      </c>
      <c r="CA3537" s="78"/>
      <c r="EE3537" s="76">
        <f>+IF(MID($J$2,1,10)=MID($EE$2,1,10),0,1)</f>
        <v>0</v>
      </c>
    </row>
    <row r="3538" spans="76:135" x14ac:dyDescent="0.25">
      <c r="BX3538" s="78"/>
      <c r="BY3538" s="319">
        <v>193</v>
      </c>
      <c r="CA3538" s="78"/>
      <c r="EE3538" s="76">
        <f>+IF(MID($J$2,1,10)=MID($EE$2,1,10),1,2)</f>
        <v>1</v>
      </c>
    </row>
    <row r="3539" spans="76:135" x14ac:dyDescent="0.25">
      <c r="BX3539" s="78"/>
      <c r="BY3539" s="319">
        <v>152</v>
      </c>
      <c r="CA3539" s="78"/>
      <c r="EE3539" s="76">
        <f>+IF(MID($J$2,1,10)=MID($EE$2,1,10),1,2)</f>
        <v>1</v>
      </c>
    </row>
    <row r="3540" spans="76:135" x14ac:dyDescent="0.25">
      <c r="BX3540" s="78"/>
      <c r="BY3540" s="319">
        <v>106</v>
      </c>
      <c r="CA3540" s="78"/>
      <c r="EE3540" s="76">
        <f>+IF(MID($J$2,1,10)=MID($EE$2,1,10),3,1)</f>
        <v>3</v>
      </c>
    </row>
    <row r="3541" spans="76:135" x14ac:dyDescent="0.25">
      <c r="BX3541" s="78"/>
      <c r="BY3541" s="319">
        <v>138</v>
      </c>
      <c r="CA3541" s="78"/>
      <c r="EE3541" s="76">
        <f>+IF(MID($J$2,1,10)=MID($EE$2,1,10),3,1)</f>
        <v>3</v>
      </c>
    </row>
    <row r="3542" spans="76:135" x14ac:dyDescent="0.25">
      <c r="BX3542" s="78"/>
      <c r="BY3542" s="319">
        <v>166</v>
      </c>
      <c r="CA3542" s="78"/>
      <c r="EE3542" s="76">
        <f>+IF(MID($J$2,1,10)=MID($EE$2,1,10),3,1)</f>
        <v>3</v>
      </c>
    </row>
    <row r="3543" spans="76:135" x14ac:dyDescent="0.25">
      <c r="BX3543" s="78"/>
      <c r="BY3543" s="319">
        <v>145</v>
      </c>
      <c r="CA3543" s="78"/>
      <c r="EE3543" s="76">
        <f>+IF(MID($J$2,1,10)=MID($EE$2,1,10),0,1)</f>
        <v>0</v>
      </c>
    </row>
    <row r="3544" spans="76:135" x14ac:dyDescent="0.25">
      <c r="BX3544" s="78"/>
      <c r="BY3544" s="319">
        <v>165</v>
      </c>
      <c r="CA3544" s="78"/>
      <c r="EE3544" s="76">
        <f>+IF(MID($J$2,1,10)=MID($EE$2,1,10),1,2)</f>
        <v>1</v>
      </c>
    </row>
    <row r="3545" spans="76:135" x14ac:dyDescent="0.25">
      <c r="BX3545" s="78"/>
      <c r="BY3545" s="319">
        <v>828</v>
      </c>
      <c r="CA3545" s="78"/>
      <c r="EE3545" s="76">
        <f>+IF(MID($J$2,1,10)=MID($EE$2,1,10),3,1)</f>
        <v>3</v>
      </c>
    </row>
    <row r="3546" spans="76:135" x14ac:dyDescent="0.25">
      <c r="BX3546" s="78"/>
      <c r="BY3546" s="319">
        <v>105</v>
      </c>
      <c r="CA3546" s="78"/>
      <c r="EE3546" s="76">
        <f>+IF(MID($J$2,1,10)=MID($EE$2,1,10),3,1)</f>
        <v>3</v>
      </c>
    </row>
    <row r="3547" spans="76:135" x14ac:dyDescent="0.25">
      <c r="BX3547" s="78"/>
      <c r="BY3547" s="319">
        <v>857</v>
      </c>
      <c r="CA3547" s="78"/>
      <c r="EE3547" s="76">
        <f>+IF(MID($J$2,1,10)=MID($EE$2,1,10),0,1)</f>
        <v>0</v>
      </c>
    </row>
    <row r="3548" spans="76:135" x14ac:dyDescent="0.25">
      <c r="BX3548" s="78"/>
      <c r="BY3548" s="319">
        <v>6</v>
      </c>
      <c r="CA3548" s="78"/>
      <c r="EE3548" s="76">
        <f>+IF(MID($J$2,1,10)=MID($EE$2,1,10),3,1)</f>
        <v>3</v>
      </c>
    </row>
    <row r="3549" spans="76:135" x14ac:dyDescent="0.25">
      <c r="BX3549" s="78"/>
      <c r="BY3549" s="319">
        <v>824</v>
      </c>
      <c r="CA3549" s="78"/>
      <c r="EE3549" s="76">
        <f>+IF(MID($J$2,1,10)=MID($EE$2,1,10),3,1)</f>
        <v>3</v>
      </c>
    </row>
    <row r="3550" spans="76:135" x14ac:dyDescent="0.25">
      <c r="BX3550" s="78"/>
      <c r="BY3550" s="319">
        <v>166</v>
      </c>
      <c r="CA3550" s="78"/>
      <c r="EE3550" s="76">
        <f>+IF(MID($J$2,1,10)=MID($EE$2,1,10),3,1)</f>
        <v>3</v>
      </c>
    </row>
    <row r="3551" spans="76:135" x14ac:dyDescent="0.25">
      <c r="BX3551" s="78"/>
      <c r="BY3551" s="319">
        <v>846</v>
      </c>
      <c r="CA3551" s="78"/>
      <c r="EE3551" s="76">
        <f>+IF(MID($J$2,1,10)=MID($EE$2,1,10),1,2)</f>
        <v>1</v>
      </c>
    </row>
    <row r="3552" spans="76:135" x14ac:dyDescent="0.25">
      <c r="BX3552" s="78"/>
      <c r="BY3552" s="319">
        <v>203</v>
      </c>
      <c r="CA3552" s="78"/>
      <c r="EE3552" s="76">
        <f>+IF(MID($J$2,1,10)=MID($EE$2,1,10),3,1)</f>
        <v>3</v>
      </c>
    </row>
    <row r="3553" spans="76:135" x14ac:dyDescent="0.25">
      <c r="BX3553" s="78"/>
      <c r="BY3553" s="319">
        <v>147</v>
      </c>
      <c r="CA3553" s="78"/>
      <c r="EE3553" s="76">
        <f>+IF(MID($J$2,1,10)=MID($EE$2,1,10),0,1)</f>
        <v>0</v>
      </c>
    </row>
    <row r="3554" spans="76:135" x14ac:dyDescent="0.25">
      <c r="BX3554" s="78"/>
      <c r="BY3554" s="319">
        <v>701</v>
      </c>
      <c r="CA3554" s="78"/>
      <c r="EE3554" s="76">
        <f>+IF(MID($J$2,1,10)=MID($EE$2,1,10),3,1)</f>
        <v>3</v>
      </c>
    </row>
    <row r="3555" spans="76:135" x14ac:dyDescent="0.25">
      <c r="BX3555" s="78"/>
      <c r="BY3555" s="319">
        <v>163</v>
      </c>
      <c r="CA3555" s="78"/>
      <c r="EE3555" s="76">
        <f>+IF(MID($J$2,1,10)=MID($EE$2,1,10),3,1)</f>
        <v>3</v>
      </c>
    </row>
    <row r="3556" spans="76:135" x14ac:dyDescent="0.25">
      <c r="BX3556" s="78"/>
      <c r="BY3556" s="319">
        <v>232</v>
      </c>
      <c r="CA3556" s="78"/>
      <c r="EE3556" s="76">
        <f>+IF(MID($J$2,1,10)=MID($EE$2,1,10),3,1)</f>
        <v>3</v>
      </c>
    </row>
    <row r="3557" spans="76:135" x14ac:dyDescent="0.25">
      <c r="BX3557" s="78"/>
      <c r="BY3557" s="319">
        <v>171</v>
      </c>
      <c r="CA3557" s="78"/>
      <c r="EE3557" s="76">
        <f>+IF(MID($J$3,1,10)=MID($EE$3,1,10),2,1)</f>
        <v>2</v>
      </c>
    </row>
    <row r="3558" spans="76:135" x14ac:dyDescent="0.25">
      <c r="BX3558" s="78"/>
      <c r="BY3558" s="319">
        <v>144</v>
      </c>
      <c r="CA3558" s="78"/>
      <c r="EE3558" s="76">
        <f>+IF(MID($J$2,1,10)=MID($EE$2,1,10),4,1)</f>
        <v>4</v>
      </c>
    </row>
    <row r="3559" spans="76:135" x14ac:dyDescent="0.25">
      <c r="BX3559" s="78"/>
      <c r="BY3559" s="319">
        <v>153</v>
      </c>
      <c r="CA3559" s="78"/>
      <c r="EE3559" s="76">
        <f>+IF(MID($J$2,1,10)=MID($EE$2,1,10),0,1)</f>
        <v>0</v>
      </c>
    </row>
    <row r="3560" spans="76:135" x14ac:dyDescent="0.25">
      <c r="BX3560" s="78"/>
      <c r="BY3560" s="319">
        <v>148</v>
      </c>
      <c r="CA3560" s="78"/>
      <c r="EE3560" s="76">
        <f>+IF(MID($J$3,1,10)=MID($EE$3,1,10),2,1)</f>
        <v>2</v>
      </c>
    </row>
    <row r="3561" spans="76:135" x14ac:dyDescent="0.25">
      <c r="BX3561" s="78"/>
      <c r="BY3561" s="319">
        <v>144</v>
      </c>
      <c r="CA3561" s="78"/>
      <c r="EE3561" s="76">
        <f>+IF(MID($J$3,1,10)=MID($EE$3,1,10),2,1)</f>
        <v>2</v>
      </c>
    </row>
    <row r="3562" spans="76:135" x14ac:dyDescent="0.25">
      <c r="BX3562" s="78"/>
      <c r="BY3562" s="319">
        <v>743</v>
      </c>
      <c r="CA3562" s="78"/>
      <c r="EE3562" s="76">
        <f>+IF(MID($J$2,1,10)=MID($EE$2,1,10),4,1)</f>
        <v>4</v>
      </c>
    </row>
    <row r="3563" spans="76:135" x14ac:dyDescent="0.25">
      <c r="BX3563" s="78"/>
      <c r="BY3563" s="319">
        <v>148</v>
      </c>
      <c r="CA3563" s="78"/>
      <c r="EE3563" s="76">
        <f>+IF(MID($J$3,1,10)=MID($EE$3,1,10),2,1)</f>
        <v>2</v>
      </c>
    </row>
    <row r="3564" spans="76:135" x14ac:dyDescent="0.25">
      <c r="BX3564" s="78"/>
      <c r="BY3564" s="319">
        <v>274</v>
      </c>
      <c r="CA3564" s="78"/>
      <c r="EE3564" s="76">
        <f>+IF(MID($J$2,1,10)=MID($EE$2,1,10),4,1)</f>
        <v>4</v>
      </c>
    </row>
    <row r="3565" spans="76:135" x14ac:dyDescent="0.25">
      <c r="BX3565" s="78"/>
      <c r="BY3565" s="319">
        <v>186</v>
      </c>
      <c r="CA3565" s="78"/>
      <c r="EE3565" s="76">
        <f>+IF(MID($J$2,1,10)=MID($EE$2,1,10),1,2)</f>
        <v>1</v>
      </c>
    </row>
    <row r="3566" spans="76:135" x14ac:dyDescent="0.25">
      <c r="BX3566" s="78"/>
      <c r="BY3566" s="319">
        <v>1001</v>
      </c>
      <c r="CA3566" s="78"/>
      <c r="EE3566" s="76">
        <f>+IF(MID($J$2,1,10)=MID($EE$2,1,10),3,1)</f>
        <v>3</v>
      </c>
    </row>
    <row r="3567" spans="76:135" x14ac:dyDescent="0.25">
      <c r="BX3567" s="78"/>
      <c r="BY3567" s="319">
        <v>296</v>
      </c>
      <c r="CA3567" s="78"/>
      <c r="EE3567" s="76">
        <f>+IF(MID($J$2,1,10)=MID($EE$2,1,10),1,2)</f>
        <v>1</v>
      </c>
    </row>
    <row r="3568" spans="76:135" x14ac:dyDescent="0.25">
      <c r="BX3568" s="78"/>
      <c r="BY3568" s="319">
        <v>190</v>
      </c>
      <c r="CA3568" s="78"/>
      <c r="EE3568" s="76">
        <f>+IF(MID($J$3,1,10)=MID($EE$3,1,10),2,1)</f>
        <v>2</v>
      </c>
    </row>
    <row r="3569" spans="76:135" x14ac:dyDescent="0.25">
      <c r="BX3569" s="78"/>
      <c r="BY3569" s="319">
        <v>1044</v>
      </c>
      <c r="CA3569" s="78"/>
      <c r="EE3569" s="76">
        <f>+IF(MID($J$2,1,10)=MID($EE$2,1,10),1,2)</f>
        <v>1</v>
      </c>
    </row>
    <row r="3570" spans="76:135" x14ac:dyDescent="0.25">
      <c r="BX3570" s="78"/>
      <c r="BY3570" s="319">
        <v>131</v>
      </c>
      <c r="CA3570" s="78"/>
      <c r="EE3570" s="76">
        <f>+IF(MID($J$2,1,10)=MID($EE$2,1,10),0,1)</f>
        <v>0</v>
      </c>
    </row>
    <row r="3571" spans="76:135" x14ac:dyDescent="0.25">
      <c r="BX3571" s="78"/>
      <c r="BY3571" s="319">
        <v>353</v>
      </c>
      <c r="CA3571" s="78"/>
      <c r="EE3571" s="76">
        <f>+IF(MID($J$2,1,10)=MID($EE$2,1,10),0,1)</f>
        <v>0</v>
      </c>
    </row>
    <row r="3572" spans="76:135" x14ac:dyDescent="0.25">
      <c r="BX3572" s="78"/>
      <c r="BY3572" s="319">
        <v>107</v>
      </c>
      <c r="CA3572" s="78"/>
      <c r="EE3572" s="76">
        <f>+IF(MID($J$2,1,10)=MID($EE$2,1,10),0,1)</f>
        <v>0</v>
      </c>
    </row>
    <row r="3573" spans="76:135" x14ac:dyDescent="0.25">
      <c r="BX3573" s="78"/>
      <c r="BY3573" s="319">
        <v>302</v>
      </c>
      <c r="CA3573" s="78"/>
      <c r="EE3573" s="76">
        <f>+IF(MID($J$2,1,10)=MID($EE$2,1,10),1,2)</f>
        <v>1</v>
      </c>
    </row>
    <row r="3574" spans="76:135" x14ac:dyDescent="0.25">
      <c r="BX3574" s="78"/>
      <c r="BY3574" s="319">
        <v>153</v>
      </c>
      <c r="CA3574" s="78"/>
      <c r="EE3574" s="76">
        <f>+IF(MID($J$2,1,10)=MID($EE$2,1,10),1,2)</f>
        <v>1</v>
      </c>
    </row>
    <row r="3575" spans="76:135" x14ac:dyDescent="0.25">
      <c r="BX3575" s="78"/>
      <c r="BY3575" s="319">
        <v>995</v>
      </c>
      <c r="CA3575" s="78"/>
      <c r="EE3575" s="76">
        <f>+IF(MID($J$2,1,10)=MID($EE$2,1,10),3,1)</f>
        <v>3</v>
      </c>
    </row>
    <row r="3576" spans="76:135" x14ac:dyDescent="0.25">
      <c r="BX3576" s="78"/>
      <c r="BY3576" s="319">
        <v>188</v>
      </c>
      <c r="CA3576" s="78"/>
      <c r="EE3576" s="76">
        <f>+IF(MID($J$2,1,10)=MID($EE$2,1,10),3,1)</f>
        <v>3</v>
      </c>
    </row>
    <row r="3577" spans="76:135" x14ac:dyDescent="0.25">
      <c r="BX3577" s="78"/>
      <c r="BY3577" s="319">
        <v>458</v>
      </c>
      <c r="CA3577" s="78"/>
      <c r="EE3577" s="76">
        <f>+IF(MID($J$2,1,10)=MID($EE$2,1,10),3,1)</f>
        <v>3</v>
      </c>
    </row>
    <row r="3578" spans="76:135" x14ac:dyDescent="0.25">
      <c r="BX3578" s="78"/>
      <c r="BY3578" s="319">
        <v>125</v>
      </c>
      <c r="CA3578" s="78"/>
      <c r="EE3578" s="76">
        <f>+IF(MID($J$2,1,10)=MID($EE$2,1,10),0,1)</f>
        <v>0</v>
      </c>
    </row>
    <row r="3579" spans="76:135" x14ac:dyDescent="0.25">
      <c r="BX3579" s="78"/>
      <c r="BY3579" s="319">
        <v>112</v>
      </c>
      <c r="CA3579" s="78"/>
      <c r="EE3579" s="76">
        <f>+IF(MID($J$2,1,10)=MID($EE$2,1,10),1,2)</f>
        <v>1</v>
      </c>
    </row>
    <row r="3580" spans="76:135" x14ac:dyDescent="0.25">
      <c r="BX3580" s="78"/>
      <c r="BY3580" s="319">
        <v>114</v>
      </c>
      <c r="CA3580" s="78"/>
      <c r="EE3580" s="76">
        <f>+IF(MID($J$2,1,10)=MID($EE$2,1,10),3,1)</f>
        <v>3</v>
      </c>
    </row>
    <row r="3581" spans="76:135" x14ac:dyDescent="0.25">
      <c r="BX3581" s="78"/>
      <c r="BY3581" s="319">
        <v>390</v>
      </c>
      <c r="CA3581" s="78"/>
      <c r="EE3581" s="76">
        <f>+IF(MID($J$2,1,10)=MID($EE$2,1,10),3,1)</f>
        <v>3</v>
      </c>
    </row>
    <row r="3582" spans="76:135" x14ac:dyDescent="0.25">
      <c r="BX3582" s="78"/>
      <c r="BY3582" s="319">
        <v>131</v>
      </c>
      <c r="CA3582" s="78"/>
      <c r="EE3582" s="76">
        <f>+IF(MID($J$2,1,10)=MID($EE$2,1,10),0,1)</f>
        <v>0</v>
      </c>
    </row>
    <row r="3583" spans="76:135" x14ac:dyDescent="0.25">
      <c r="BX3583" s="78"/>
      <c r="BY3583" s="319">
        <v>331</v>
      </c>
      <c r="CA3583" s="78"/>
      <c r="EE3583" s="76">
        <f>+IF(MID($J$2,1,10)=MID($EE$2,1,10),3,1)</f>
        <v>3</v>
      </c>
    </row>
    <row r="3584" spans="76:135" x14ac:dyDescent="0.25">
      <c r="BX3584" s="78"/>
      <c r="BY3584" s="319">
        <v>166</v>
      </c>
      <c r="CA3584" s="78"/>
      <c r="EE3584" s="76">
        <f>+IF(MID($J$2,1,10)=MID($EE$2,1,10),3,1)</f>
        <v>3</v>
      </c>
    </row>
    <row r="3585" spans="76:135" x14ac:dyDescent="0.25">
      <c r="BX3585" s="78"/>
      <c r="BY3585" s="319">
        <v>164</v>
      </c>
      <c r="CA3585" s="78"/>
      <c r="EE3585" s="76">
        <f>+IF(MID($J$2,1,10)=MID($EE$2,1,10),3,1)</f>
        <v>3</v>
      </c>
    </row>
    <row r="3586" spans="76:135" x14ac:dyDescent="0.25">
      <c r="BX3586" s="78"/>
      <c r="BY3586" s="319">
        <v>159</v>
      </c>
      <c r="CA3586" s="78"/>
      <c r="EE3586" s="76">
        <f>+IF(MID($J$2,1,10)=MID($EE$2,1,10),1,2)</f>
        <v>1</v>
      </c>
    </row>
    <row r="3587" spans="76:135" x14ac:dyDescent="0.25">
      <c r="BX3587" s="78"/>
      <c r="BY3587" s="319">
        <v>205</v>
      </c>
      <c r="CA3587" s="78"/>
      <c r="EE3587" s="76">
        <f>+IF(MID($J$3,1,10)=MID($EE$3,1,10),2,1)</f>
        <v>2</v>
      </c>
    </row>
    <row r="3588" spans="76:135" x14ac:dyDescent="0.25">
      <c r="BX3588" s="78"/>
      <c r="BY3588" s="319">
        <v>139</v>
      </c>
      <c r="CA3588" s="78"/>
      <c r="EE3588" s="76">
        <f>+IF(MID($J$2,1,10)=MID($EE$2,1,10),4,1)</f>
        <v>4</v>
      </c>
    </row>
    <row r="3589" spans="76:135" x14ac:dyDescent="0.25">
      <c r="BX3589" s="78"/>
      <c r="BY3589" s="319">
        <v>157</v>
      </c>
      <c r="CA3589" s="78"/>
      <c r="EE3589" s="76">
        <f>+IF(MID($J$2,1,10)=MID($EE$2,1,10),0,1)</f>
        <v>0</v>
      </c>
    </row>
    <row r="3590" spans="76:135" x14ac:dyDescent="0.25">
      <c r="BX3590" s="78"/>
      <c r="BY3590" s="319">
        <v>154</v>
      </c>
      <c r="CA3590" s="78"/>
      <c r="EE3590" s="76">
        <f>+IF(MID($J$3,1,10)=MID($EE$3,1,10),2,1)</f>
        <v>2</v>
      </c>
    </row>
    <row r="3591" spans="76:135" x14ac:dyDescent="0.25">
      <c r="BX3591" s="78"/>
      <c r="BY3591" s="319">
        <v>196</v>
      </c>
      <c r="CA3591" s="78"/>
      <c r="EE3591" s="76">
        <f>+IF(MID($J$3,1,10)=MID($EE$3,1,10),2,1)</f>
        <v>2</v>
      </c>
    </row>
    <row r="3592" spans="76:135" x14ac:dyDescent="0.25">
      <c r="BX3592" s="78"/>
      <c r="BY3592" s="319">
        <v>111</v>
      </c>
      <c r="CA3592" s="78"/>
      <c r="EE3592" s="76">
        <f>+IF(MID($J$2,1,10)=MID($EE$2,1,10),4,1)</f>
        <v>4</v>
      </c>
    </row>
    <row r="3593" spans="76:135" x14ac:dyDescent="0.25">
      <c r="BX3593" s="78"/>
      <c r="BY3593" s="319">
        <v>118</v>
      </c>
      <c r="CA3593" s="78"/>
      <c r="EE3593" s="76">
        <f>+IF(MID($J$3,1,10)=MID($EE$3,1,10),2,1)</f>
        <v>2</v>
      </c>
    </row>
    <row r="3594" spans="76:135" x14ac:dyDescent="0.25">
      <c r="BX3594" s="78"/>
      <c r="BY3594" s="319">
        <v>195</v>
      </c>
      <c r="CA3594" s="78"/>
      <c r="EE3594" s="76">
        <f>+IF(MID($J$2,1,10)=MID($EE$2,1,10),4,1)</f>
        <v>4</v>
      </c>
    </row>
    <row r="3595" spans="76:135" x14ac:dyDescent="0.25">
      <c r="BX3595" s="78"/>
      <c r="BY3595" s="319">
        <v>184</v>
      </c>
      <c r="CA3595" s="78"/>
      <c r="EE3595" s="76">
        <f>+IF(MID($J$2,1,10)=MID($EE$2,1,10),1,2)</f>
        <v>1</v>
      </c>
    </row>
    <row r="3596" spans="76:135" x14ac:dyDescent="0.25">
      <c r="BX3596" s="78"/>
      <c r="BY3596" s="319">
        <v>137</v>
      </c>
      <c r="CA3596" s="78"/>
      <c r="EE3596" s="76">
        <f>+IF(MID($J$2,1,10)=MID($EE$2,1,10),3,1)</f>
        <v>3</v>
      </c>
    </row>
    <row r="3597" spans="76:135" x14ac:dyDescent="0.25">
      <c r="BX3597" s="78"/>
      <c r="BY3597" s="319">
        <v>190</v>
      </c>
      <c r="CA3597" s="78"/>
      <c r="EE3597" s="76">
        <f>+IF(MID($J$2,1,10)=MID($EE$2,1,10),1,2)</f>
        <v>1</v>
      </c>
    </row>
    <row r="3598" spans="76:135" x14ac:dyDescent="0.25">
      <c r="BX3598" s="78"/>
      <c r="BY3598" s="319">
        <v>126</v>
      </c>
      <c r="CA3598" s="78"/>
      <c r="EE3598" s="76">
        <f>+IF(MID($J$3,1,10)=MID($EE$3,1,10),2,1)</f>
        <v>2</v>
      </c>
    </row>
    <row r="3599" spans="76:135" x14ac:dyDescent="0.25">
      <c r="BX3599" s="78"/>
      <c r="BY3599" s="319">
        <v>107</v>
      </c>
      <c r="CA3599" s="78"/>
      <c r="EE3599" s="76">
        <f>+IF(MID($J$2,1,10)=MID($EE$2,1,10),1,2)</f>
        <v>1</v>
      </c>
    </row>
    <row r="3600" spans="76:135" x14ac:dyDescent="0.25">
      <c r="BX3600" s="78"/>
      <c r="BY3600" s="319">
        <v>119</v>
      </c>
      <c r="CA3600" s="78"/>
      <c r="EE3600" s="76">
        <f>+IF(MID($J$2,1,10)=MID($EE$2,1,10),0,1)</f>
        <v>0</v>
      </c>
    </row>
    <row r="3601" spans="76:135" x14ac:dyDescent="0.25">
      <c r="BX3601" s="78"/>
      <c r="BY3601" s="319">
        <v>122</v>
      </c>
      <c r="CA3601" s="78"/>
      <c r="EE3601" s="76">
        <f>+IF(MID($J$2,1,10)=MID($EE$2,1,10),0,1)</f>
        <v>0</v>
      </c>
    </row>
    <row r="3602" spans="76:135" x14ac:dyDescent="0.25">
      <c r="BX3602" s="78"/>
      <c r="BY3602" s="319">
        <v>132</v>
      </c>
      <c r="CA3602" s="78"/>
      <c r="EE3602" s="76">
        <f>+IF(MID($J$3,1,10)=MID($EE$3,1,10),2,1)</f>
        <v>2</v>
      </c>
    </row>
    <row r="3603" spans="76:135" x14ac:dyDescent="0.25">
      <c r="BX3603" s="78"/>
      <c r="BY3603" s="319">
        <v>132</v>
      </c>
      <c r="CA3603" s="78"/>
      <c r="EE3603" s="76">
        <f>+IF(MID($J$2,1,10)=MID($EE$2,1,10),4,1)</f>
        <v>4</v>
      </c>
    </row>
    <row r="3604" spans="76:135" x14ac:dyDescent="0.25">
      <c r="BX3604" s="78"/>
      <c r="BY3604" s="319">
        <v>123</v>
      </c>
      <c r="CA3604" s="78"/>
      <c r="EE3604" s="76">
        <f>+IF(MID($J$2,1,10)=MID($EE$2,1,10),0,1)</f>
        <v>0</v>
      </c>
    </row>
    <row r="3605" spans="76:135" x14ac:dyDescent="0.25">
      <c r="BX3605" s="78"/>
      <c r="BY3605" s="319">
        <v>153</v>
      </c>
      <c r="CA3605" s="78"/>
      <c r="EE3605" s="76">
        <f>+IF(MID($J$3,1,10)=MID($EE$3,1,10),2,1)</f>
        <v>2</v>
      </c>
    </row>
    <row r="3606" spans="76:135" x14ac:dyDescent="0.25">
      <c r="BX3606" s="78"/>
      <c r="BY3606" s="319">
        <v>158</v>
      </c>
      <c r="CA3606" s="78"/>
      <c r="EE3606" s="76">
        <f>+IF(MID($J$3,1,10)=MID($EE$3,1,10),2,1)</f>
        <v>2</v>
      </c>
    </row>
    <row r="3607" spans="76:135" x14ac:dyDescent="0.25">
      <c r="BX3607" s="78"/>
      <c r="BY3607" s="319">
        <v>116</v>
      </c>
      <c r="CA3607" s="78"/>
      <c r="EE3607" s="76">
        <f>+IF(MID($J$2,1,10)=MID($EE$2,1,10),4,1)</f>
        <v>4</v>
      </c>
    </row>
    <row r="3608" spans="76:135" x14ac:dyDescent="0.25">
      <c r="BX3608" s="78"/>
      <c r="BY3608" s="319">
        <v>185</v>
      </c>
      <c r="CA3608" s="78"/>
      <c r="EE3608" s="76">
        <f>+IF(MID($J$3,1,10)=MID($EE$3,1,10),2,1)</f>
        <v>2</v>
      </c>
    </row>
    <row r="3609" spans="76:135" x14ac:dyDescent="0.25">
      <c r="BX3609" s="78"/>
      <c r="BY3609" s="319">
        <v>144</v>
      </c>
      <c r="CA3609" s="78"/>
      <c r="EE3609" s="76">
        <f>+IF(MID($J$2,1,10)=MID($EE$2,1,10),4,1)</f>
        <v>4</v>
      </c>
    </row>
    <row r="3610" spans="76:135" x14ac:dyDescent="0.25">
      <c r="BX3610" s="78"/>
      <c r="BY3610" s="319">
        <v>120</v>
      </c>
      <c r="CA3610" s="78"/>
      <c r="EE3610" s="76">
        <f>+IF(MID($J$2,1,10)=MID($EE$2,1,10),1,2)</f>
        <v>1</v>
      </c>
    </row>
    <row r="3611" spans="76:135" x14ac:dyDescent="0.25">
      <c r="BX3611" s="78"/>
      <c r="BY3611" s="319">
        <v>110</v>
      </c>
      <c r="CA3611" s="78"/>
      <c r="EE3611" s="76">
        <f>+IF(MID($J$2,1,10)=MID($EE$2,1,10),3,1)</f>
        <v>3</v>
      </c>
    </row>
    <row r="3612" spans="76:135" x14ac:dyDescent="0.25">
      <c r="BX3612" s="78"/>
      <c r="BY3612" s="319">
        <v>190</v>
      </c>
      <c r="CA3612" s="78"/>
      <c r="EE3612" s="76">
        <f>+IF(MID($J$2,1,10)=MID($EE$2,1,10),1,2)</f>
        <v>1</v>
      </c>
    </row>
    <row r="3613" spans="76:135" x14ac:dyDescent="0.25">
      <c r="BX3613" s="78"/>
      <c r="BY3613" s="319">
        <v>103</v>
      </c>
      <c r="CA3613" s="78"/>
      <c r="EE3613" s="76">
        <f>+IF(MID($J$3,1,10)=MID($EE$3,1,10),2,1)</f>
        <v>2</v>
      </c>
    </row>
    <row r="3614" spans="76:135" x14ac:dyDescent="0.25">
      <c r="BX3614" s="78"/>
      <c r="BY3614" s="319">
        <v>167</v>
      </c>
      <c r="CA3614" s="78"/>
      <c r="EE3614" s="76">
        <f>+IF(MID($J$2,1,10)=MID($EE$2,1,10),1,2)</f>
        <v>1</v>
      </c>
    </row>
    <row r="3615" spans="76:135" x14ac:dyDescent="0.25">
      <c r="BX3615" s="78"/>
      <c r="BY3615" s="319">
        <v>173</v>
      </c>
      <c r="CA3615" s="78"/>
      <c r="EE3615" s="76">
        <f>+IF(MID($J$2,1,10)=MID($EE$2,1,10),0,1)</f>
        <v>0</v>
      </c>
    </row>
    <row r="3616" spans="76:135" x14ac:dyDescent="0.25">
      <c r="BX3616" s="78"/>
      <c r="BY3616" s="319">
        <v>156</v>
      </c>
      <c r="CA3616" s="78"/>
      <c r="EE3616" s="76">
        <f>+IF(MID($J$2,1,10)=MID($EE$2,1,10),0,1)</f>
        <v>0</v>
      </c>
    </row>
    <row r="3617" spans="76:135" x14ac:dyDescent="0.25">
      <c r="BX3617" s="78"/>
      <c r="BY3617" s="319">
        <v>196</v>
      </c>
      <c r="CA3617" s="78"/>
      <c r="EE3617" s="76">
        <f>+IF(MID($J$2,1,10)=MID($EE$2,1,10),0,1)</f>
        <v>0</v>
      </c>
    </row>
    <row r="3618" spans="76:135" x14ac:dyDescent="0.25">
      <c r="BX3618" s="78"/>
      <c r="BY3618" s="319">
        <v>136</v>
      </c>
      <c r="CA3618" s="78"/>
      <c r="EE3618" s="76">
        <f>+IF(MID($J$2,1,10)=MID($EE$2,1,10),1,2)</f>
        <v>1</v>
      </c>
    </row>
    <row r="3619" spans="76:135" x14ac:dyDescent="0.25">
      <c r="BX3619" s="78"/>
      <c r="BY3619" s="319">
        <v>137</v>
      </c>
      <c r="CA3619" s="78"/>
      <c r="EE3619" s="76">
        <f>+IF(MID($J$2,1,10)=MID($EE$2,1,10),1,2)</f>
        <v>1</v>
      </c>
    </row>
    <row r="3620" spans="76:135" x14ac:dyDescent="0.25">
      <c r="BX3620" s="78"/>
      <c r="BY3620" s="319">
        <v>146</v>
      </c>
      <c r="CA3620" s="78"/>
      <c r="EE3620" s="76">
        <f>+IF(MID($J$2,1,10)=MID($EE$2,1,10),3,1)</f>
        <v>3</v>
      </c>
    </row>
    <row r="3621" spans="76:135" x14ac:dyDescent="0.25">
      <c r="BX3621" s="78"/>
      <c r="BY3621" s="319">
        <v>147</v>
      </c>
      <c r="CA3621" s="78"/>
      <c r="EE3621" s="76">
        <f>+IF(MID($J$2,1,10)=MID($EE$2,1,10),3,1)</f>
        <v>3</v>
      </c>
    </row>
    <row r="3622" spans="76:135" x14ac:dyDescent="0.25">
      <c r="BX3622" s="78"/>
      <c r="BY3622" s="319">
        <v>1</v>
      </c>
      <c r="CA3622" s="78"/>
      <c r="EE3622" s="76">
        <f>+IF(MID($J$2,1,10)=MID($EE$2,1,10),3,1)</f>
        <v>3</v>
      </c>
    </row>
    <row r="3623" spans="76:135" x14ac:dyDescent="0.25">
      <c r="BX3623" s="78"/>
      <c r="BY3623" s="319">
        <v>124</v>
      </c>
      <c r="CA3623" s="78"/>
    </row>
    <row r="3624" spans="76:135" x14ac:dyDescent="0.25">
      <c r="BX3624" s="78"/>
      <c r="BY3624" s="319">
        <v>175</v>
      </c>
      <c r="CA3624" s="78"/>
    </row>
    <row r="3625" spans="76:135" x14ac:dyDescent="0.25">
      <c r="BX3625" s="78"/>
      <c r="BY3625" s="319">
        <v>172</v>
      </c>
      <c r="CA3625" s="78"/>
    </row>
    <row r="3626" spans="76:135" x14ac:dyDescent="0.25">
      <c r="BX3626" s="78"/>
      <c r="BY3626" s="319">
        <v>165</v>
      </c>
      <c r="CA3626" s="78"/>
    </row>
    <row r="3627" spans="76:135" x14ac:dyDescent="0.25">
      <c r="BX3627" s="78"/>
      <c r="BY3627" s="319">
        <v>189</v>
      </c>
      <c r="CA3627" s="78"/>
    </row>
    <row r="3628" spans="76:135" x14ac:dyDescent="0.25">
      <c r="BX3628" s="78"/>
      <c r="BY3628" s="319">
        <v>142</v>
      </c>
      <c r="CA3628" s="78"/>
    </row>
    <row r="3629" spans="76:135" x14ac:dyDescent="0.25">
      <c r="BX3629" s="78"/>
      <c r="BY3629" s="319">
        <v>198</v>
      </c>
      <c r="CA3629" s="78"/>
    </row>
    <row r="3630" spans="76:135" x14ac:dyDescent="0.25">
      <c r="BX3630" s="78"/>
      <c r="BY3630" s="319">
        <v>175</v>
      </c>
      <c r="CA3630" s="78"/>
    </row>
    <row r="3631" spans="76:135" x14ac:dyDescent="0.25">
      <c r="BX3631" s="78"/>
      <c r="BY3631" s="319">
        <v>197</v>
      </c>
      <c r="CA3631" s="78"/>
    </row>
    <row r="3632" spans="76:135" x14ac:dyDescent="0.25">
      <c r="BX3632" s="78"/>
      <c r="BY3632" s="319">
        <v>195</v>
      </c>
      <c r="CA3632" s="78"/>
    </row>
    <row r="3633" spans="76:135" x14ac:dyDescent="0.25">
      <c r="BX3633" s="78"/>
      <c r="BY3633" s="319">
        <v>203</v>
      </c>
      <c r="CA3633" s="78"/>
    </row>
    <row r="3634" spans="76:135" x14ac:dyDescent="0.25">
      <c r="BX3634" s="78"/>
      <c r="BY3634" s="319">
        <v>138</v>
      </c>
      <c r="CA3634" s="78"/>
    </row>
    <row r="3635" spans="76:135" x14ac:dyDescent="0.25">
      <c r="BX3635" s="78"/>
      <c r="BY3635" s="319">
        <v>201</v>
      </c>
      <c r="CA3635" s="78"/>
      <c r="EE3635" s="76">
        <f>+IF(MID($J$2,1,10)=MID($EE$2,1,10),0,1)</f>
        <v>0</v>
      </c>
    </row>
    <row r="3636" spans="76:135" x14ac:dyDescent="0.25">
      <c r="BX3636" s="78"/>
      <c r="BY3636" s="319">
        <v>118</v>
      </c>
      <c r="CA3636" s="78"/>
      <c r="EE3636" s="76">
        <f>+IF(MID($J$2,1,10)=MID($EE$2,1,10),1,2)</f>
        <v>1</v>
      </c>
    </row>
    <row r="3637" spans="76:135" x14ac:dyDescent="0.25">
      <c r="BX3637" s="78"/>
      <c r="BY3637" s="322">
        <v>10</v>
      </c>
      <c r="CA3637" s="78"/>
      <c r="EE3637" s="76">
        <f>+IF(MID($J$4,1,8)=MID($EE$4,1,8),0,1)</f>
        <v>0</v>
      </c>
    </row>
    <row r="3638" spans="76:135" x14ac:dyDescent="0.25">
      <c r="BX3638" s="78"/>
      <c r="BY3638" s="319">
        <v>106</v>
      </c>
      <c r="CA3638" s="78"/>
      <c r="EE3638" s="76">
        <f>+IF(MID($J$2,1,10)=MID($EE$2,1,10),3,1)</f>
        <v>3</v>
      </c>
    </row>
    <row r="3639" spans="76:135" x14ac:dyDescent="0.25">
      <c r="BX3639" s="78"/>
      <c r="BY3639" s="319">
        <v>318</v>
      </c>
      <c r="CA3639" s="78"/>
      <c r="EE3639" s="76">
        <f>+IF(MID($J$2,1,10)=MID($EE$2,1,10),0,1)</f>
        <v>0</v>
      </c>
    </row>
    <row r="3640" spans="76:135" x14ac:dyDescent="0.25">
      <c r="BX3640" s="78"/>
      <c r="BY3640" s="319">
        <v>168</v>
      </c>
      <c r="CA3640" s="78"/>
      <c r="EE3640" s="76">
        <f>+IF(MID($J$2,1,10)=MID($EE$2,1,10),3,1)</f>
        <v>3</v>
      </c>
    </row>
    <row r="3641" spans="76:135" x14ac:dyDescent="0.25">
      <c r="BX3641" s="79"/>
      <c r="BY3641" s="322">
        <v>10</v>
      </c>
      <c r="BZ3641" s="323"/>
      <c r="CA3641" s="79"/>
      <c r="EE3641" s="76">
        <f>+IF(MID($J$3,1,10)=MID($EE$3,1,10),0,1)</f>
        <v>0</v>
      </c>
    </row>
    <row r="3642" spans="76:135" x14ac:dyDescent="0.25">
      <c r="BX3642" s="78"/>
      <c r="BY3642" s="319">
        <v>109</v>
      </c>
      <c r="CA3642" s="78"/>
      <c r="EE3642" s="76">
        <f>+IF(MID($J$2,1,10)=MID($EE$2,1,10),3,1)</f>
        <v>3</v>
      </c>
    </row>
    <row r="3643" spans="76:135" x14ac:dyDescent="0.25">
      <c r="BX3643" s="78"/>
      <c r="BY3643" s="319">
        <v>182</v>
      </c>
      <c r="CA3643" s="78"/>
      <c r="EE3643" s="76">
        <f>+IF(MID($J$2,1,10)=MID($EE$2,1,10),1,2)</f>
        <v>1</v>
      </c>
    </row>
    <row r="3644" spans="76:135" x14ac:dyDescent="0.25">
      <c r="BX3644" s="78"/>
      <c r="BY3644" s="319">
        <v>168</v>
      </c>
      <c r="CA3644" s="78"/>
      <c r="EE3644" s="76">
        <f>+IF(MID($J$3,1,10)=MID($EE$3,1,10),2,1)</f>
        <v>2</v>
      </c>
    </row>
    <row r="3645" spans="76:135" x14ac:dyDescent="0.25">
      <c r="BX3645" s="78"/>
      <c r="BY3645" s="319">
        <v>638</v>
      </c>
      <c r="CA3645" s="78"/>
      <c r="EE3645" s="76">
        <f>+IF(MID($J$2,1,10)=MID($EE$2,1,10),4,1)</f>
        <v>4</v>
      </c>
    </row>
    <row r="3646" spans="76:135" x14ac:dyDescent="0.25">
      <c r="BX3646" s="78"/>
      <c r="BY3646" s="319">
        <v>13</v>
      </c>
      <c r="CA3646" s="78"/>
      <c r="EE3646" s="76">
        <f>+IF(MID($J$2,1,10)=MID($EE$2,1,10),0,1)</f>
        <v>0</v>
      </c>
    </row>
    <row r="3647" spans="76:135" x14ac:dyDescent="0.25">
      <c r="BX3647" s="78"/>
      <c r="BY3647" s="319">
        <v>287</v>
      </c>
      <c r="CA3647" s="78"/>
      <c r="EE3647" s="76">
        <f>+IF(MID($J$3,1,10)=MID($EE$3,1,10),2,1)</f>
        <v>2</v>
      </c>
    </row>
    <row r="3648" spans="76:135" x14ac:dyDescent="0.25">
      <c r="BX3648" s="78"/>
      <c r="BY3648" s="319">
        <v>159</v>
      </c>
      <c r="CA3648" s="78"/>
      <c r="EE3648" s="76">
        <f>+IF(MID($J$3,1,10)=MID($EE$3,1,10),2,1)</f>
        <v>2</v>
      </c>
    </row>
    <row r="3649" spans="76:135" x14ac:dyDescent="0.25">
      <c r="BX3649" s="78"/>
      <c r="BY3649" s="324">
        <v>5</v>
      </c>
      <c r="CA3649" s="78"/>
      <c r="EE3649" s="76">
        <f>+IF(MID($J$6,1,5)=MID($EE$11,1,5),1,1)</f>
        <v>1</v>
      </c>
    </row>
    <row r="3650" spans="76:135" x14ac:dyDescent="0.25">
      <c r="BX3650" s="78"/>
      <c r="BY3650" s="319">
        <v>707</v>
      </c>
      <c r="CA3650" s="78"/>
      <c r="EE3650" s="76">
        <f>+IF(MID($J$3,1,10)=MID($EE$3,1,10),2,1)</f>
        <v>2</v>
      </c>
    </row>
    <row r="3651" spans="76:135" x14ac:dyDescent="0.25">
      <c r="BX3651" s="78"/>
      <c r="BY3651" s="319">
        <v>182</v>
      </c>
      <c r="CA3651" s="78"/>
      <c r="EE3651" s="76">
        <f>+IF(MID($J$2,1,10)=MID($EE$2,1,10),4,1)</f>
        <v>4</v>
      </c>
    </row>
    <row r="3652" spans="76:135" x14ac:dyDescent="0.25">
      <c r="BX3652" s="78"/>
      <c r="BY3652" s="319">
        <v>1114</v>
      </c>
      <c r="CA3652" s="78"/>
      <c r="EE3652" s="76">
        <f>+IF(MID($J$2,1,10)=MID($EE$2,1,10),1,2)</f>
        <v>1</v>
      </c>
    </row>
    <row r="3653" spans="76:135" x14ac:dyDescent="0.25">
      <c r="BX3653" s="78"/>
      <c r="BY3653" s="319">
        <v>163</v>
      </c>
      <c r="CA3653" s="78"/>
      <c r="EE3653" s="76">
        <f>+IF(MID($J$2,1,10)=MID($EE$2,1,10),3,1)</f>
        <v>3</v>
      </c>
    </row>
    <row r="3654" spans="76:135" x14ac:dyDescent="0.25">
      <c r="BX3654" s="78"/>
      <c r="BY3654" s="319">
        <v>423</v>
      </c>
      <c r="CA3654" s="78"/>
      <c r="EE3654" s="76">
        <f>+IF(MID($J$2,1,10)=MID($EE$2,1,10),1,2)</f>
        <v>1</v>
      </c>
    </row>
    <row r="3655" spans="76:135" x14ac:dyDescent="0.25">
      <c r="BX3655" s="78"/>
      <c r="BY3655" s="319">
        <v>167</v>
      </c>
      <c r="CA3655" s="78"/>
      <c r="EE3655" s="76">
        <f>+IF(MID($J$3,1,10)=MID($EE$3,1,10),2,1)</f>
        <v>2</v>
      </c>
    </row>
    <row r="3656" spans="76:135" x14ac:dyDescent="0.25">
      <c r="BX3656" s="78"/>
      <c r="BY3656" s="319">
        <v>873</v>
      </c>
      <c r="CA3656" s="78"/>
      <c r="EE3656" s="76">
        <f>+IF(MID($J$2,1,10)=MID($EE$2,1,10),1,2)</f>
        <v>1</v>
      </c>
    </row>
    <row r="3657" spans="76:135" x14ac:dyDescent="0.25">
      <c r="BX3657" s="78"/>
      <c r="BY3657" s="319">
        <v>153</v>
      </c>
      <c r="CA3657" s="78"/>
      <c r="EE3657" s="76">
        <f>+IF(MID($J$2,1,10)=MID($EE$2,1,10),0,1)</f>
        <v>0</v>
      </c>
    </row>
    <row r="3658" spans="76:135" x14ac:dyDescent="0.25">
      <c r="BX3658" s="78"/>
      <c r="BY3658" s="319">
        <v>475</v>
      </c>
      <c r="CA3658" s="78"/>
      <c r="EE3658" s="76">
        <f>+IF(MID($J$2,1,10)=MID($EE$2,1,10),0,1)</f>
        <v>0</v>
      </c>
    </row>
    <row r="3659" spans="76:135" x14ac:dyDescent="0.25">
      <c r="BX3659" s="78"/>
      <c r="BY3659" s="319">
        <v>173</v>
      </c>
      <c r="CA3659" s="78"/>
      <c r="EE3659" s="76">
        <f>+IF(MID($J$2,1,10)=MID($EE$2,1,10),0,1)</f>
        <v>0</v>
      </c>
    </row>
    <row r="3660" spans="76:135" x14ac:dyDescent="0.25">
      <c r="BX3660" s="78"/>
      <c r="BY3660" s="319">
        <v>607</v>
      </c>
      <c r="CA3660" s="78"/>
      <c r="EE3660" s="76">
        <f>+IF(MID($J$2,1,10)=MID($EE$2,1,10),1,2)</f>
        <v>1</v>
      </c>
    </row>
    <row r="3661" spans="76:135" x14ac:dyDescent="0.25">
      <c r="BX3661" s="78"/>
      <c r="BY3661" s="319">
        <v>221</v>
      </c>
      <c r="CA3661" s="78"/>
      <c r="EE3661" s="76">
        <f>+IF(MID($J$2,1,10)=MID($EE$2,1,10),1,2)</f>
        <v>1</v>
      </c>
    </row>
    <row r="3662" spans="76:135" x14ac:dyDescent="0.25">
      <c r="BX3662" s="78"/>
      <c r="BY3662" s="319">
        <v>165</v>
      </c>
      <c r="CA3662" s="78"/>
      <c r="EE3662" s="76">
        <f>+IF(MID($J$2,1,10)=MID($EE$2,1,10),3,1)</f>
        <v>3</v>
      </c>
    </row>
    <row r="3663" spans="76:135" x14ac:dyDescent="0.25">
      <c r="BX3663" s="78"/>
      <c r="BY3663" s="319">
        <v>193</v>
      </c>
      <c r="CA3663" s="78"/>
      <c r="EE3663" s="76">
        <f>+IF(MID($J$2,1,10)=MID($EE$2,1,10),3,1)</f>
        <v>3</v>
      </c>
    </row>
    <row r="3664" spans="76:135" x14ac:dyDescent="0.25">
      <c r="BX3664" s="78"/>
      <c r="BY3664" s="319">
        <v>706</v>
      </c>
      <c r="CA3664" s="78"/>
      <c r="EE3664" s="76">
        <f>+IF(MID($J$2,1,10)=MID($EE$2,1,10),3,1)</f>
        <v>3</v>
      </c>
    </row>
    <row r="3665" spans="76:135" x14ac:dyDescent="0.25">
      <c r="BX3665" s="78"/>
      <c r="BY3665" s="325">
        <v>15</v>
      </c>
      <c r="CA3665" s="78"/>
      <c r="EE3665" s="76">
        <f>+IF(MID($J$2,1,10)=MID($EE$2,1,10),2,1)</f>
        <v>2</v>
      </c>
    </row>
    <row r="3666" spans="76:135" x14ac:dyDescent="0.25">
      <c r="BX3666" s="78"/>
      <c r="BY3666" s="319">
        <v>836</v>
      </c>
      <c r="CA3666" s="78"/>
      <c r="EE3666" s="76">
        <f>+IF(MID($J$2,1,10)=MID($EE$2,1,10),1,2)</f>
        <v>1</v>
      </c>
    </row>
    <row r="3667" spans="76:135" x14ac:dyDescent="0.25">
      <c r="BX3667" s="78"/>
      <c r="BY3667" s="319">
        <v>201</v>
      </c>
      <c r="CA3667" s="78"/>
      <c r="EE3667" s="76">
        <f>+IF(MID($J$2,1,10)=MID($EE$2,1,10),3,1)</f>
        <v>3</v>
      </c>
    </row>
    <row r="3668" spans="76:135" x14ac:dyDescent="0.25">
      <c r="BX3668" s="78"/>
      <c r="BY3668" s="319">
        <v>863</v>
      </c>
      <c r="CA3668" s="78"/>
      <c r="EE3668" s="76">
        <f>+IF(MID($J$2,1,10)=MID($EE$2,1,10),3,1)</f>
        <v>3</v>
      </c>
    </row>
    <row r="3669" spans="76:135" x14ac:dyDescent="0.25">
      <c r="BX3669" s="78"/>
      <c r="BY3669" s="319">
        <v>195</v>
      </c>
      <c r="CA3669" s="78"/>
      <c r="EE3669" s="76">
        <f>+IF(MID($J$2,1,10)=MID($EE$2,1,10),0,1)</f>
        <v>0</v>
      </c>
    </row>
    <row r="3670" spans="76:135" x14ac:dyDescent="0.25">
      <c r="BX3670" s="78"/>
      <c r="BY3670" s="319">
        <v>926</v>
      </c>
      <c r="CA3670" s="78"/>
      <c r="EE3670" s="76">
        <f>+IF(MID($J$2,1,10)=MID($EE$2,1,10),3,1)</f>
        <v>3</v>
      </c>
    </row>
    <row r="3671" spans="76:135" x14ac:dyDescent="0.25">
      <c r="BX3671" s="78"/>
      <c r="BY3671" s="319">
        <v>144</v>
      </c>
      <c r="CA3671" s="78"/>
      <c r="EE3671" s="76">
        <f>+IF(MID($J$2,1,10)=MID($EE$2,1,10),3,1)</f>
        <v>3</v>
      </c>
    </row>
    <row r="3672" spans="76:135" x14ac:dyDescent="0.25">
      <c r="BX3672" s="78"/>
      <c r="BY3672" s="319">
        <v>760</v>
      </c>
      <c r="CA3672" s="78"/>
      <c r="EE3672" s="76">
        <f>+IF(MID($J$2,1,10)=MID($EE$2,1,10),3,1)</f>
        <v>3</v>
      </c>
    </row>
    <row r="3673" spans="76:135" x14ac:dyDescent="0.25">
      <c r="BX3673" s="78"/>
      <c r="BY3673" s="319">
        <v>154</v>
      </c>
      <c r="CA3673" s="78"/>
      <c r="EE3673" s="76">
        <f>+IF(MID($J$2,1,10)=MID($EE$2,1,10),1,2)</f>
        <v>1</v>
      </c>
    </row>
    <row r="3674" spans="76:135" x14ac:dyDescent="0.25">
      <c r="BX3674" s="78"/>
      <c r="BY3674" s="319">
        <v>984</v>
      </c>
      <c r="CA3674" s="78"/>
      <c r="EE3674" s="76">
        <f>+IF(MID($J$3,1,10)=MID($EE$3,1,10),2,1)</f>
        <v>2</v>
      </c>
    </row>
    <row r="3675" spans="76:135" x14ac:dyDescent="0.25">
      <c r="BX3675" s="78"/>
      <c r="BY3675" s="319">
        <v>150</v>
      </c>
      <c r="CA3675" s="78"/>
      <c r="EE3675" s="76">
        <f>+IF(MID($J$2,1,10)=MID($EE$2,1,10),4,1)</f>
        <v>4</v>
      </c>
    </row>
    <row r="3676" spans="76:135" x14ac:dyDescent="0.25">
      <c r="BX3676" s="78"/>
      <c r="BY3676" s="319">
        <v>133</v>
      </c>
      <c r="CA3676" s="78"/>
      <c r="EE3676" s="76">
        <f>+IF(MID($J$2,1,10)=MID($EE$2,1,10),0,1)</f>
        <v>0</v>
      </c>
    </row>
    <row r="3677" spans="76:135" x14ac:dyDescent="0.25">
      <c r="BX3677" s="78"/>
      <c r="BY3677" s="319">
        <v>726</v>
      </c>
      <c r="CA3677" s="78"/>
      <c r="EE3677" s="76">
        <f>+IF(MID($J$3,1,10)=MID($EE$3,1,10),2,1)</f>
        <v>2</v>
      </c>
    </row>
    <row r="3678" spans="76:135" x14ac:dyDescent="0.25">
      <c r="BX3678" s="78"/>
      <c r="BY3678" s="319">
        <v>153</v>
      </c>
      <c r="CA3678" s="78"/>
      <c r="EE3678" s="76">
        <f>+IF(MID($J$3,1,10)=MID($EE$3,1,10),2,1)</f>
        <v>2</v>
      </c>
    </row>
    <row r="3679" spans="76:135" x14ac:dyDescent="0.25">
      <c r="BX3679" s="78"/>
      <c r="BY3679" s="319">
        <v>285</v>
      </c>
      <c r="CA3679" s="78"/>
      <c r="EE3679" s="76">
        <f>+IF(MID($J$2,1,10)=MID($EE$2,1,10),4,1)</f>
        <v>4</v>
      </c>
    </row>
    <row r="3680" spans="76:135" x14ac:dyDescent="0.25">
      <c r="BX3680" s="78"/>
      <c r="BY3680" s="319">
        <v>172</v>
      </c>
      <c r="CA3680" s="78"/>
      <c r="EE3680" s="76">
        <f>+IF(MID($J$3,1,10)=MID($EE$3,1,10),2,1)</f>
        <v>2</v>
      </c>
    </row>
    <row r="3681" spans="76:135" x14ac:dyDescent="0.25">
      <c r="BX3681" s="78"/>
      <c r="BY3681" s="319">
        <v>1114</v>
      </c>
      <c r="CA3681" s="78"/>
      <c r="EE3681" s="76">
        <f>+IF(MID($J$2,1,10)=MID($EE$2,1,10),4,1)</f>
        <v>4</v>
      </c>
    </row>
    <row r="3682" spans="76:135" x14ac:dyDescent="0.25">
      <c r="BX3682" s="78"/>
      <c r="BY3682" s="319">
        <v>183</v>
      </c>
      <c r="CA3682" s="78"/>
      <c r="EE3682" s="76">
        <f>+IF(MID($J$2,1,10)=MID($EE$2,1,10),1,2)</f>
        <v>1</v>
      </c>
    </row>
    <row r="3683" spans="76:135" x14ac:dyDescent="0.25">
      <c r="BX3683" s="78"/>
      <c r="BY3683" s="319">
        <v>377</v>
      </c>
      <c r="CA3683" s="78"/>
      <c r="EE3683" s="76">
        <f>+IF(MID($J$2,1,10)=MID($EE$2,1,10),3,1)</f>
        <v>3</v>
      </c>
    </row>
    <row r="3684" spans="76:135" x14ac:dyDescent="0.25">
      <c r="BX3684" s="78"/>
      <c r="BY3684" s="322">
        <v>10</v>
      </c>
      <c r="CA3684" s="78"/>
      <c r="EE3684" s="76">
        <f>+IF(MID($J$6,1,5)=MID($EE$11,1,5),2,1)</f>
        <v>2</v>
      </c>
    </row>
    <row r="3685" spans="76:135" x14ac:dyDescent="0.25">
      <c r="BX3685" s="78"/>
      <c r="BY3685" s="319">
        <v>1040</v>
      </c>
      <c r="CA3685" s="78"/>
      <c r="EE3685" s="76">
        <f>+IF(MID($J$3,1,10)=MID($EE$3,1,10),2,1)</f>
        <v>2</v>
      </c>
    </row>
    <row r="3686" spans="76:135" x14ac:dyDescent="0.25">
      <c r="BX3686" s="78"/>
      <c r="BY3686" s="319">
        <v>109</v>
      </c>
      <c r="CA3686" s="78"/>
      <c r="EE3686" s="76">
        <f>+IF(MID($J$2,1,10)=MID($EE$2,1,10),1,2)</f>
        <v>1</v>
      </c>
    </row>
    <row r="3687" spans="76:135" x14ac:dyDescent="0.25">
      <c r="BX3687" s="78"/>
      <c r="BY3687" s="319">
        <v>528</v>
      </c>
      <c r="CA3687" s="78"/>
      <c r="EE3687" s="76">
        <f>+IF(MID($J$2,1,10)=MID($EE$2,1,10),0,1)</f>
        <v>0</v>
      </c>
    </row>
    <row r="3688" spans="76:135" x14ac:dyDescent="0.25">
      <c r="BX3688" s="78"/>
      <c r="BY3688" s="319">
        <v>159</v>
      </c>
      <c r="CA3688" s="78"/>
      <c r="EE3688" s="76">
        <f>+IF(MID($J$2,1,10)=MID($EE$2,1,10),0,1)</f>
        <v>0</v>
      </c>
    </row>
    <row r="3689" spans="76:135" x14ac:dyDescent="0.25">
      <c r="BX3689" s="78"/>
      <c r="BY3689" s="319">
        <v>932</v>
      </c>
      <c r="CA3689" s="78"/>
      <c r="EE3689" s="76">
        <f>+IF(MID($J$2,1,10)=MID($EE$2,1,10),0,1)</f>
        <v>0</v>
      </c>
    </row>
    <row r="3690" spans="76:135" x14ac:dyDescent="0.25">
      <c r="BX3690" s="78"/>
      <c r="BY3690" s="319">
        <v>777</v>
      </c>
      <c r="CA3690" s="78"/>
      <c r="EE3690" s="76">
        <f>+IF(MID($J$2,1,10)=MID($EE$2,1,10),1,2)</f>
        <v>1</v>
      </c>
    </row>
    <row r="3691" spans="76:135" x14ac:dyDescent="0.25">
      <c r="BX3691" s="78"/>
      <c r="BY3691" s="319">
        <v>133</v>
      </c>
      <c r="CA3691" s="78"/>
      <c r="EE3691" s="76">
        <f>+IF(MID($J$2,1,10)=MID($EE$2,1,10),1,2)</f>
        <v>1</v>
      </c>
    </row>
    <row r="3692" spans="76:135" x14ac:dyDescent="0.25">
      <c r="BX3692" s="78"/>
      <c r="BY3692" s="319">
        <v>218</v>
      </c>
      <c r="CA3692" s="78"/>
      <c r="EE3692" s="76">
        <f>+IF(MID($J$2,1,10)=MID($EE$2,1,10),3,1)</f>
        <v>3</v>
      </c>
    </row>
    <row r="3693" spans="76:135" x14ac:dyDescent="0.25">
      <c r="BX3693" s="78"/>
      <c r="BY3693" s="319">
        <v>138</v>
      </c>
      <c r="CA3693" s="78"/>
      <c r="EE3693" s="76">
        <f>+IF(MID($J$2,1,10)=MID($EE$2,1,10),3,1)</f>
        <v>3</v>
      </c>
    </row>
    <row r="3694" spans="76:135" x14ac:dyDescent="0.25">
      <c r="BX3694" s="78"/>
      <c r="BY3694" s="319">
        <v>1029</v>
      </c>
      <c r="CA3694" s="78"/>
      <c r="EE3694" s="76">
        <f>+IF(MID($J$2,1,10)=MID($EE$2,1,10),3,1)</f>
        <v>3</v>
      </c>
    </row>
    <row r="3695" spans="76:135" x14ac:dyDescent="0.25">
      <c r="BX3695" s="78"/>
      <c r="BY3695" s="319">
        <v>135</v>
      </c>
      <c r="CA3695" s="78"/>
      <c r="EE3695" s="76">
        <f>+IF(MID($J$2,1,10)=MID($EE$2,1,10),0,1)</f>
        <v>0</v>
      </c>
    </row>
    <row r="3696" spans="76:135" x14ac:dyDescent="0.25">
      <c r="BX3696" s="78"/>
      <c r="BY3696" s="324">
        <v>5</v>
      </c>
      <c r="CA3696" s="78"/>
      <c r="EE3696" s="76">
        <f>+IF(MID($J$3,1,10)=MID($EE$3,1,10),4,1)</f>
        <v>4</v>
      </c>
    </row>
    <row r="3697" spans="76:135" x14ac:dyDescent="0.25">
      <c r="BX3697" s="78"/>
      <c r="BY3697" s="319">
        <v>157</v>
      </c>
      <c r="CA3697" s="78"/>
      <c r="EE3697" s="76">
        <f>+IF(MID($J$2,1,10)=MID($EE$2,1,10),3,1)</f>
        <v>3</v>
      </c>
    </row>
    <row r="3698" spans="76:135" x14ac:dyDescent="0.25">
      <c r="BX3698" s="78"/>
      <c r="BY3698" s="319">
        <v>162</v>
      </c>
      <c r="CA3698" s="78"/>
      <c r="EE3698" s="76">
        <f>+IF(MID($J$2,1,10)=MID($EE$2,1,10),3,1)</f>
        <v>3</v>
      </c>
    </row>
    <row r="3699" spans="76:135" x14ac:dyDescent="0.25">
      <c r="BX3699" s="78"/>
      <c r="BY3699" s="319">
        <v>112</v>
      </c>
      <c r="CA3699" s="78"/>
      <c r="EE3699" s="76">
        <f>+IF(MID($J$2,1,10)=MID($EE$2,1,10),0,1)</f>
        <v>0</v>
      </c>
    </row>
    <row r="3700" spans="76:135" x14ac:dyDescent="0.25">
      <c r="BX3700" s="78"/>
      <c r="BY3700" s="319">
        <v>162</v>
      </c>
      <c r="CA3700" s="78"/>
      <c r="EE3700" s="76">
        <f>+IF(MID($J$2,1,10)=MID($EE$2,1,10),3,1)</f>
        <v>3</v>
      </c>
    </row>
    <row r="3701" spans="76:135" x14ac:dyDescent="0.25">
      <c r="BX3701" s="78"/>
      <c r="BY3701" s="319">
        <v>119</v>
      </c>
      <c r="CA3701" s="78"/>
      <c r="EE3701" s="76">
        <f>+IF(MID($J$2,1,10)=MID($EE$2,1,10),3,1)</f>
        <v>3</v>
      </c>
    </row>
    <row r="3702" spans="76:135" x14ac:dyDescent="0.25">
      <c r="BX3702" s="78"/>
      <c r="BY3702" s="319">
        <v>126</v>
      </c>
      <c r="CA3702" s="78"/>
      <c r="EE3702" s="76">
        <f>+IF(MID($J$2,1,10)=MID($EE$2,1,10),3,1)</f>
        <v>3</v>
      </c>
    </row>
    <row r="3703" spans="76:135" x14ac:dyDescent="0.25">
      <c r="BX3703" s="78"/>
      <c r="BY3703" s="319">
        <v>181</v>
      </c>
      <c r="CA3703" s="78"/>
      <c r="EE3703" s="76">
        <f>+IF(MID($J$2,1,10)=MID($EE$2,1,10),1,2)</f>
        <v>1</v>
      </c>
    </row>
    <row r="3704" spans="76:135" x14ac:dyDescent="0.25">
      <c r="BX3704" s="78"/>
      <c r="BY3704" s="319">
        <v>849</v>
      </c>
      <c r="CA3704" s="78"/>
      <c r="EE3704" s="76">
        <f>+IF(MID($J$3,1,10)=MID($EE$3,1,10),2,1)</f>
        <v>2</v>
      </c>
    </row>
    <row r="3705" spans="76:135" x14ac:dyDescent="0.25">
      <c r="BX3705" s="78"/>
      <c r="BY3705" s="319">
        <v>187</v>
      </c>
      <c r="CA3705" s="78"/>
      <c r="EE3705" s="76">
        <f>+IF(MID($J$2,1,10)=MID($EE$2,1,10),4,1)</f>
        <v>4</v>
      </c>
    </row>
    <row r="3706" spans="76:135" x14ac:dyDescent="0.25">
      <c r="BX3706" s="78"/>
      <c r="BY3706" s="319">
        <v>1025</v>
      </c>
      <c r="CA3706" s="78"/>
      <c r="EE3706" s="76">
        <f>+IF(MID($J$2,1,10)=MID($EE$2,1,10),0,1)</f>
        <v>0</v>
      </c>
    </row>
    <row r="3707" spans="76:135" x14ac:dyDescent="0.25">
      <c r="BX3707" s="78"/>
      <c r="BY3707" s="319">
        <v>118</v>
      </c>
      <c r="CA3707" s="78"/>
      <c r="EE3707" s="76">
        <f>+IF(MID($J$3,1,10)=MID($EE$3,1,10),2,1)</f>
        <v>2</v>
      </c>
    </row>
    <row r="3708" spans="76:135" x14ac:dyDescent="0.25">
      <c r="BX3708" s="78"/>
      <c r="BY3708" s="319">
        <v>2</v>
      </c>
      <c r="CA3708" s="78"/>
      <c r="EE3708" s="76">
        <f>+IF(MID($J$3,1,10)=MID($EE$3,1,10),2,1)</f>
        <v>2</v>
      </c>
    </row>
    <row r="3709" spans="76:135" x14ac:dyDescent="0.25">
      <c r="BX3709" s="78"/>
      <c r="BY3709" s="319">
        <v>189</v>
      </c>
      <c r="CA3709" s="78"/>
      <c r="EE3709" s="76">
        <f>+IF(MID($J$2,1,10)=MID($EE$2,1,10),4,1)</f>
        <v>4</v>
      </c>
    </row>
    <row r="3710" spans="76:135" x14ac:dyDescent="0.25">
      <c r="BX3710" s="78"/>
      <c r="BY3710" s="319">
        <v>902</v>
      </c>
      <c r="CA3710" s="78"/>
      <c r="EE3710" s="76">
        <f>+IF(MID($J$3,1,10)=MID($EE$3,1,10),2,1)</f>
        <v>2</v>
      </c>
    </row>
    <row r="3711" spans="76:135" x14ac:dyDescent="0.25">
      <c r="BX3711" s="78"/>
      <c r="BY3711" s="319">
        <v>132</v>
      </c>
      <c r="CA3711" s="78"/>
      <c r="EE3711" s="76">
        <f>+IF(MID($J$2,1,10)=MID($EE$2,1,10),4,1)</f>
        <v>4</v>
      </c>
    </row>
  </sheetData>
  <sheetProtection password="DAA7" sheet="1" selectLockedCells="1"/>
  <mergeCells count="6">
    <mergeCell ref="J9:J21"/>
    <mergeCell ref="B6:H6"/>
    <mergeCell ref="B5:H5"/>
    <mergeCell ref="B2:H2"/>
    <mergeCell ref="B3:H3"/>
    <mergeCell ref="B4:H4"/>
  </mergeCells>
  <conditionalFormatting sqref="BY1:BZ3711">
    <cfRule type="notContainsBlanks" dxfId="39" priority="1" stopIfTrue="1">
      <formula>LEN(TRIM(BY1))&gt;0</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filterMode="1"/>
  <dimension ref="A1:EB4208"/>
  <sheetViews>
    <sheetView tabSelected="1" zoomScaleNormal="100" workbookViewId="0">
      <pane xSplit="79" ySplit="1" topLeftCell="CB608" activePane="bottomRight" state="frozen"/>
      <selection pane="topRight" activeCell="AO1" sqref="AO1"/>
      <selection pane="bottomLeft" activeCell="A2" sqref="A2"/>
      <selection pane="bottomRight" activeCell="J3209" sqref="J3209:R3209"/>
    </sheetView>
  </sheetViews>
  <sheetFormatPr defaultColWidth="2.875" defaultRowHeight="14.3" x14ac:dyDescent="0.25"/>
  <cols>
    <col min="1" max="1" width="1.5" style="137" customWidth="1"/>
    <col min="2" max="2" width="1" style="137" customWidth="1"/>
    <col min="3" max="3" width="1.875" style="137" customWidth="1"/>
    <col min="4" max="4" width="0.5" style="137" customWidth="1"/>
    <col min="5" max="5" width="1.875" style="137" customWidth="1"/>
    <col min="6" max="6" width="0.5" style="137" customWidth="1"/>
    <col min="7" max="7" width="2" style="137" customWidth="1"/>
    <col min="8" max="8" width="0.5" style="137" customWidth="1"/>
    <col min="9" max="9" width="1.875" style="137" customWidth="1"/>
    <col min="10" max="10" width="0.5" style="137" customWidth="1"/>
    <col min="11" max="11" width="1.875" style="137" customWidth="1"/>
    <col min="12" max="12" width="0.5" style="137" customWidth="1"/>
    <col min="13" max="13" width="2" style="137" customWidth="1"/>
    <col min="14" max="14" width="0.5" style="137" customWidth="1"/>
    <col min="15" max="15" width="2" style="137" customWidth="1"/>
    <col min="16" max="16" width="0.5" style="137" customWidth="1"/>
    <col min="17" max="17" width="1.875" style="137" customWidth="1"/>
    <col min="18" max="18" width="0.5" style="137" customWidth="1"/>
    <col min="19" max="19" width="1.875" style="137" customWidth="1"/>
    <col min="20" max="20" width="0.5" style="137" customWidth="1"/>
    <col min="21" max="21" width="2" style="137" customWidth="1"/>
    <col min="22" max="22" width="0.5" style="137" customWidth="1"/>
    <col min="23" max="23" width="2" style="137" customWidth="1"/>
    <col min="24" max="24" width="0.5" style="137" customWidth="1"/>
    <col min="25" max="25" width="1.875" style="137" customWidth="1"/>
    <col min="26" max="26" width="0.5" style="137" customWidth="1"/>
    <col min="27" max="27" width="1.875" style="137" customWidth="1"/>
    <col min="28" max="28" width="0.5" style="137" customWidth="1"/>
    <col min="29" max="29" width="2" style="137" customWidth="1"/>
    <col min="30" max="30" width="0.5" style="137" customWidth="1"/>
    <col min="31" max="31" width="1.875" style="137" customWidth="1"/>
    <col min="32" max="32" width="0.5" style="137" customWidth="1"/>
    <col min="33" max="33" width="1.875" style="137" customWidth="1"/>
    <col min="34" max="34" width="0.5" style="137" customWidth="1"/>
    <col min="35" max="35" width="2" style="137" customWidth="1"/>
    <col min="36" max="36" width="0.5" style="137" customWidth="1"/>
    <col min="37" max="37" width="1.875" style="137" customWidth="1"/>
    <col min="38" max="38" width="0.5" style="137" customWidth="1"/>
    <col min="39" max="39" width="1.875" style="137" customWidth="1"/>
    <col min="40" max="41" width="0.375" style="137" customWidth="1"/>
    <col min="42" max="42" width="2" style="137" customWidth="1"/>
    <col min="43" max="43" width="0.5" style="137" customWidth="1"/>
    <col min="44" max="44" width="2" style="137" customWidth="1"/>
    <col min="45" max="45" width="0.5" style="137" customWidth="1"/>
    <col min="46" max="46" width="1.875" style="137" customWidth="1"/>
    <col min="47" max="47" width="0.5" style="137" customWidth="1"/>
    <col min="48" max="48" width="1.875" style="137" customWidth="1"/>
    <col min="49" max="49" width="0.5" style="137" customWidth="1"/>
    <col min="50" max="50" width="2" style="137" customWidth="1"/>
    <col min="51" max="51" width="0.5" style="137" customWidth="1"/>
    <col min="52" max="52" width="1.875" style="137" customWidth="1"/>
    <col min="53" max="53" width="0.5" style="137" customWidth="1"/>
    <col min="54" max="54" width="1.875" style="137" customWidth="1"/>
    <col min="55" max="55" width="0.5" style="137" customWidth="1"/>
    <col min="56" max="56" width="2" style="137" customWidth="1"/>
    <col min="57" max="57" width="0.5" style="137" customWidth="1"/>
    <col min="58" max="58" width="1.875" style="137" customWidth="1"/>
    <col min="59" max="60" width="0.375" style="137" customWidth="1"/>
    <col min="61" max="61" width="1.875" style="137" customWidth="1"/>
    <col min="62" max="62" width="0.5" style="137" customWidth="1"/>
    <col min="63" max="63" width="2" style="137" customWidth="1"/>
    <col min="64" max="64" width="0.5" style="137" customWidth="1"/>
    <col min="65" max="65" width="1.875" style="137" customWidth="1"/>
    <col min="66" max="66" width="0.5" style="137" customWidth="1"/>
    <col min="67" max="67" width="2" style="137" customWidth="1"/>
    <col min="68" max="68" width="0.5" style="137" customWidth="1"/>
    <col min="69" max="69" width="1.875" style="137" customWidth="1"/>
    <col min="70" max="70" width="0.5" style="137" customWidth="1"/>
    <col min="71" max="71" width="1.875" style="137" customWidth="1"/>
    <col min="72" max="72" width="0.5" style="137" customWidth="1"/>
    <col min="73" max="73" width="2" style="137" customWidth="1"/>
    <col min="74" max="74" width="0.5" style="137" customWidth="1"/>
    <col min="75" max="75" width="2" style="137" customWidth="1"/>
    <col min="76" max="76" width="0.5" style="137" customWidth="1"/>
    <col min="77" max="77" width="1.875" style="137" customWidth="1"/>
    <col min="78" max="78" width="0.875" style="137" customWidth="1"/>
    <col min="79" max="79" width="1.5" style="316" customWidth="1"/>
    <col min="80" max="80" width="18.5" style="137" bestFit="1" customWidth="1"/>
    <col min="81" max="81" width="25.875" style="137" bestFit="1" customWidth="1"/>
    <col min="82" max="83" width="15.625" style="2" customWidth="1"/>
    <col min="84" max="96" width="2.875" style="2"/>
    <col min="97" max="100" width="2.875" style="2" customWidth="1"/>
    <col min="101" max="101" width="2" style="35" hidden="1" customWidth="1"/>
    <col min="102" max="103" width="2" style="30" hidden="1" customWidth="1"/>
    <col min="104" max="104" width="6.625" style="30" hidden="1" customWidth="1"/>
    <col min="105" max="105" width="1.875" style="30" hidden="1" customWidth="1"/>
    <col min="106" max="121" width="2.875" style="2" hidden="1" customWidth="1"/>
    <col min="122" max="122" width="2.875" style="76" hidden="1" customWidth="1"/>
    <col min="123" max="123" width="5" style="130" hidden="1" customWidth="1"/>
    <col min="124" max="128" width="2.875" style="130" hidden="1" customWidth="1"/>
    <col min="129" max="129" width="3.5" style="130" hidden="1" customWidth="1"/>
    <col min="130" max="130" width="19.125" style="132" hidden="1" customWidth="1"/>
    <col min="131" max="132" width="3.5" style="76" customWidth="1"/>
    <col min="133" max="133" width="3.5" style="2" customWidth="1"/>
    <col min="134" max="154" width="2.875" style="2" customWidth="1"/>
    <col min="155" max="16384" width="2.875" style="2"/>
  </cols>
  <sheetData>
    <row r="1" spans="1:130" ht="12.75" customHeight="1" x14ac:dyDescent="0.25">
      <c r="A1" s="141"/>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c r="AX1" s="141"/>
      <c r="AY1" s="141"/>
      <c r="AZ1" s="141"/>
      <c r="BA1" s="141"/>
      <c r="BB1" s="141"/>
      <c r="BC1" s="141"/>
      <c r="BD1" s="141"/>
      <c r="BE1" s="141"/>
      <c r="BF1" s="141"/>
      <c r="BG1" s="141"/>
      <c r="BH1" s="141"/>
      <c r="BI1" s="141"/>
      <c r="BJ1" s="141"/>
      <c r="BK1" s="141"/>
      <c r="BL1" s="141"/>
      <c r="BM1" s="141"/>
      <c r="BN1" s="141"/>
      <c r="BO1" s="141"/>
      <c r="BP1" s="141"/>
      <c r="BQ1" s="141"/>
      <c r="BR1" s="141"/>
      <c r="BS1" s="141"/>
      <c r="BT1" s="141"/>
      <c r="BU1" s="141"/>
      <c r="BV1" s="141"/>
      <c r="BW1" s="141"/>
      <c r="BX1" s="141"/>
      <c r="BY1" s="141"/>
      <c r="BZ1" s="141"/>
      <c r="CA1" s="142"/>
      <c r="CB1" s="143" t="s">
        <v>834</v>
      </c>
      <c r="CC1" s="144" t="s">
        <v>1052</v>
      </c>
      <c r="CD1" s="317" t="s">
        <v>1051</v>
      </c>
      <c r="DS1" s="130">
        <f>SI!BY1</f>
        <v>997</v>
      </c>
      <c r="DZ1" s="131" t="str">
        <f>SI!BZ1</f>
        <v>Resumo s.r.o.</v>
      </c>
    </row>
    <row r="2" spans="1:130" ht="8.35" hidden="1" customHeight="1" x14ac:dyDescent="0.25">
      <c r="A2" s="141"/>
      <c r="B2" s="94"/>
      <c r="C2" s="91"/>
      <c r="AA2" s="940" t="s">
        <v>25</v>
      </c>
      <c r="AB2" s="940"/>
      <c r="AC2" s="940"/>
      <c r="AD2" s="940"/>
      <c r="AE2" s="940"/>
      <c r="AF2" s="940"/>
      <c r="AG2" s="940"/>
      <c r="AH2" s="940"/>
      <c r="AI2" s="940"/>
      <c r="AJ2" s="940"/>
      <c r="AK2" s="940"/>
      <c r="AL2" s="940"/>
      <c r="AM2" s="940"/>
      <c r="AN2" s="940"/>
      <c r="AO2" s="940"/>
      <c r="AP2" s="940"/>
      <c r="AQ2" s="940"/>
      <c r="AR2" s="940"/>
      <c r="AS2" s="940"/>
      <c r="AT2" s="940"/>
      <c r="AU2" s="940"/>
      <c r="AV2" s="940"/>
      <c r="AW2" s="940"/>
      <c r="AX2" s="940"/>
      <c r="AY2" s="940"/>
      <c r="AZ2" s="940"/>
      <c r="BA2" s="940"/>
      <c r="BX2" s="91"/>
      <c r="BY2" s="91"/>
      <c r="BZ2" s="92"/>
      <c r="CA2" s="142"/>
      <c r="CB2" s="145" t="str">
        <f>+IF($CC$1="Skryť prvú stranu.","Riadok bude skrytý.","Riadok bude vidieť.")</f>
        <v>Riadok bude skrytý.</v>
      </c>
      <c r="CC2" s="2030" t="s">
        <v>997</v>
      </c>
      <c r="CD2" s="1524"/>
      <c r="CE2" s="1524"/>
      <c r="CF2" s="1524"/>
      <c r="CG2" s="1524"/>
      <c r="CH2" s="1524"/>
      <c r="CI2" s="1524"/>
      <c r="CJ2" s="1524"/>
      <c r="CK2" s="1524"/>
      <c r="CL2" s="1524"/>
      <c r="CM2" s="1524"/>
      <c r="CN2" s="1524"/>
      <c r="CO2" s="1524"/>
      <c r="CP2" s="1524"/>
      <c r="CQ2" s="1524"/>
      <c r="CR2" s="1524"/>
      <c r="CS2" s="1524"/>
      <c r="CT2" s="1524"/>
      <c r="CU2" s="1524"/>
      <c r="CV2" s="1524"/>
      <c r="CW2" s="34"/>
      <c r="CX2" s="106"/>
      <c r="CY2" s="106"/>
      <c r="CZ2" s="106"/>
      <c r="DA2" s="106"/>
      <c r="DS2" s="130">
        <f>SI!BY2</f>
        <v>182</v>
      </c>
      <c r="DZ2" s="131" t="str">
        <f>SI!BZ2</f>
        <v>Dolná</v>
      </c>
    </row>
    <row r="3" spans="1:130" ht="14.95" hidden="1" customHeight="1" x14ac:dyDescent="0.25">
      <c r="A3" s="141"/>
      <c r="B3" s="57"/>
      <c r="D3" s="946" t="str">
        <f>+IF(AA35="","Poznámky Úč POD 3-01","Poznámky POD  PÚZ 3-04")</f>
        <v>Poznámky Úč POD 3-01</v>
      </c>
      <c r="E3" s="947"/>
      <c r="F3" s="947"/>
      <c r="G3" s="947"/>
      <c r="H3" s="947"/>
      <c r="I3" s="947"/>
      <c r="J3" s="947"/>
      <c r="K3" s="947"/>
      <c r="L3" s="947"/>
      <c r="M3" s="947"/>
      <c r="N3" s="947"/>
      <c r="O3" s="947"/>
      <c r="P3" s="947"/>
      <c r="Q3" s="947"/>
      <c r="R3" s="947"/>
      <c r="S3" s="947"/>
      <c r="T3" s="948"/>
      <c r="AA3" s="940"/>
      <c r="AB3" s="940"/>
      <c r="AC3" s="940"/>
      <c r="AD3" s="940"/>
      <c r="AE3" s="940"/>
      <c r="AF3" s="940"/>
      <c r="AG3" s="940"/>
      <c r="AH3" s="940"/>
      <c r="AI3" s="940"/>
      <c r="AJ3" s="940"/>
      <c r="AK3" s="940"/>
      <c r="AL3" s="940"/>
      <c r="AM3" s="940"/>
      <c r="AN3" s="940"/>
      <c r="AO3" s="940"/>
      <c r="AP3" s="940"/>
      <c r="AQ3" s="940"/>
      <c r="AR3" s="940"/>
      <c r="AS3" s="940"/>
      <c r="AT3" s="940"/>
      <c r="AU3" s="940"/>
      <c r="AV3" s="940"/>
      <c r="AW3" s="940"/>
      <c r="AX3" s="940"/>
      <c r="AY3" s="940"/>
      <c r="AZ3" s="940"/>
      <c r="BA3" s="940"/>
      <c r="BB3" s="99"/>
      <c r="BZ3" s="93"/>
      <c r="CA3" s="142"/>
      <c r="CB3" s="145" t="str">
        <f t="shared" ref="CB3:CB66" si="0">+IF($CC$1="Skryť prvú stranu.","Riadok bude skrytý.","Riadok bude vidieť.")</f>
        <v>Riadok bude skrytý.</v>
      </c>
      <c r="CC3" s="2030"/>
      <c r="CD3" s="1524"/>
      <c r="CE3" s="1524"/>
      <c r="CF3" s="1524"/>
      <c r="CG3" s="1524"/>
      <c r="CH3" s="1524"/>
      <c r="CI3" s="1524"/>
      <c r="CJ3" s="1524"/>
      <c r="CK3" s="1524"/>
      <c r="CL3" s="1524"/>
      <c r="CM3" s="1524"/>
      <c r="CN3" s="1524"/>
      <c r="CO3" s="1524"/>
      <c r="CP3" s="1524"/>
      <c r="CQ3" s="1524"/>
      <c r="CR3" s="1524"/>
      <c r="CS3" s="1524"/>
      <c r="CT3" s="1524"/>
      <c r="CU3" s="1524"/>
      <c r="CV3" s="1524"/>
      <c r="CW3" s="34"/>
      <c r="CX3" s="106"/>
      <c r="CY3" s="106"/>
      <c r="CZ3" s="106"/>
      <c r="DA3" s="106"/>
      <c r="DC3" s="381" t="str">
        <f>+AK7&amp;AM7</f>
        <v>31</v>
      </c>
      <c r="DD3" s="383"/>
      <c r="DE3" s="382"/>
      <c r="DF3" s="381" t="str">
        <f>+AP7&amp;AR7</f>
        <v>12</v>
      </c>
      <c r="DG3" s="383"/>
      <c r="DH3" s="382"/>
      <c r="DI3" s="381" t="str">
        <f>+AT7&amp;AV7&amp;AX7&amp;AZ7</f>
        <v>2021</v>
      </c>
      <c r="DJ3" s="383"/>
      <c r="DK3" s="382"/>
      <c r="DS3" s="130">
        <f>SI!BY3</f>
        <v>658</v>
      </c>
      <c r="DZ3" s="131" t="str">
        <f>SI!BZ3</f>
        <v>19</v>
      </c>
    </row>
    <row r="4" spans="1:130" ht="7.5" hidden="1" customHeight="1" x14ac:dyDescent="0.45">
      <c r="A4" s="141"/>
      <c r="C4" s="95"/>
      <c r="D4" s="95"/>
      <c r="E4" s="95"/>
      <c r="F4" s="95"/>
      <c r="G4" s="95"/>
      <c r="H4" s="95"/>
      <c r="I4" s="95"/>
      <c r="J4" s="95"/>
      <c r="K4" s="95"/>
      <c r="L4" s="95"/>
      <c r="M4" s="95"/>
      <c r="N4" s="95"/>
      <c r="O4" s="95"/>
      <c r="P4" s="95"/>
      <c r="Q4" s="95"/>
      <c r="R4" s="95"/>
      <c r="S4" s="95"/>
      <c r="T4" s="95"/>
      <c r="U4" s="95"/>
      <c r="V4" s="95"/>
      <c r="W4" s="95"/>
      <c r="X4" s="95"/>
      <c r="Y4" s="941" t="s">
        <v>23</v>
      </c>
      <c r="Z4" s="941"/>
      <c r="AA4" s="941"/>
      <c r="AB4" s="941"/>
      <c r="AC4" s="941"/>
      <c r="AD4" s="941"/>
      <c r="AE4" s="941"/>
      <c r="AF4" s="941"/>
      <c r="AG4" s="941"/>
      <c r="AH4" s="941"/>
      <c r="AI4" s="941"/>
      <c r="AJ4" s="941"/>
      <c r="AK4" s="941"/>
      <c r="AL4" s="941"/>
      <c r="AM4" s="941"/>
      <c r="AN4" s="941"/>
      <c r="AO4" s="941"/>
      <c r="AP4" s="941"/>
      <c r="AQ4" s="941"/>
      <c r="AR4" s="941"/>
      <c r="AS4" s="941"/>
      <c r="AT4" s="941"/>
      <c r="AU4" s="941"/>
      <c r="AV4" s="941"/>
      <c r="AW4" s="941"/>
      <c r="AX4" s="941"/>
      <c r="AY4" s="941"/>
      <c r="AZ4" s="941"/>
      <c r="BA4" s="941"/>
      <c r="BB4" s="941"/>
      <c r="BC4" s="95"/>
      <c r="BD4" s="95"/>
      <c r="BE4" s="95"/>
      <c r="BF4" s="95"/>
      <c r="BG4" s="95"/>
      <c r="BH4" s="95"/>
      <c r="BI4" s="95"/>
      <c r="BJ4" s="95"/>
      <c r="BK4" s="95"/>
      <c r="BL4" s="95"/>
      <c r="BM4" s="95"/>
      <c r="BN4" s="95"/>
      <c r="BO4" s="95"/>
      <c r="BP4" s="95"/>
      <c r="BQ4" s="95"/>
      <c r="BR4" s="95"/>
      <c r="BS4" s="95"/>
      <c r="BT4" s="95"/>
      <c r="BU4" s="95"/>
      <c r="BV4" s="95"/>
      <c r="BW4" s="95"/>
      <c r="BX4" s="95"/>
      <c r="BY4" s="95"/>
      <c r="BZ4" s="95"/>
      <c r="CA4" s="142"/>
      <c r="CB4" s="145" t="str">
        <f t="shared" si="0"/>
        <v>Riadok bude skrytý.</v>
      </c>
      <c r="CC4" s="147"/>
      <c r="CD4" s="113"/>
      <c r="CE4" s="113"/>
      <c r="CF4" s="113"/>
      <c r="CG4" s="113"/>
      <c r="CH4" s="113"/>
      <c r="CI4" s="113"/>
      <c r="CJ4" s="113"/>
      <c r="CK4" s="113"/>
      <c r="CL4" s="113"/>
      <c r="CM4" s="113"/>
      <c r="CN4" s="113"/>
      <c r="CO4" s="113"/>
      <c r="CP4" s="113"/>
      <c r="CQ4" s="113"/>
      <c r="CR4" s="113"/>
      <c r="CS4" s="113"/>
      <c r="CT4" s="113"/>
      <c r="CU4" s="113"/>
      <c r="CV4" s="113"/>
      <c r="CW4" s="34"/>
      <c r="CX4" s="106"/>
      <c r="CY4" s="106"/>
      <c r="CZ4" s="106"/>
      <c r="DA4" s="106"/>
      <c r="DC4" s="1783">
        <f>DATE(DI3,DF3,DC3)</f>
        <v>44561</v>
      </c>
      <c r="DD4" s="1783"/>
      <c r="DE4" s="1783"/>
      <c r="DF4" s="1783"/>
      <c r="DG4" s="1783"/>
      <c r="DH4" s="1783"/>
      <c r="DI4" s="1783"/>
      <c r="DJ4" s="1783"/>
      <c r="DK4" s="1783"/>
      <c r="DL4" s="1783"/>
      <c r="DM4" s="1783"/>
      <c r="DS4" s="130">
        <f>SI!BY4</f>
        <v>201</v>
      </c>
      <c r="DZ4" s="131" t="str">
        <f>SI!BZ4</f>
        <v>Banská Bystrica</v>
      </c>
    </row>
    <row r="5" spans="1:130" ht="7.5" hidden="1" customHeight="1" x14ac:dyDescent="0.25">
      <c r="A5" s="141"/>
      <c r="C5" s="148"/>
      <c r="D5" s="148"/>
      <c r="E5" s="148"/>
      <c r="F5" s="148"/>
      <c r="G5" s="148"/>
      <c r="H5" s="148"/>
      <c r="I5" s="148"/>
      <c r="J5" s="148"/>
      <c r="K5" s="148"/>
      <c r="L5" s="148"/>
      <c r="M5" s="148"/>
      <c r="N5" s="148"/>
      <c r="O5" s="148"/>
      <c r="P5" s="148"/>
      <c r="Q5" s="148"/>
      <c r="R5" s="148"/>
      <c r="S5" s="148"/>
      <c r="T5" s="148"/>
      <c r="U5" s="148"/>
      <c r="V5" s="148"/>
      <c r="W5" s="148"/>
      <c r="X5" s="148"/>
      <c r="Y5" s="942"/>
      <c r="Z5" s="942"/>
      <c r="AA5" s="942"/>
      <c r="AB5" s="942"/>
      <c r="AC5" s="942"/>
      <c r="AD5" s="942"/>
      <c r="AE5" s="942"/>
      <c r="AF5" s="942"/>
      <c r="AG5" s="942"/>
      <c r="AH5" s="942"/>
      <c r="AI5" s="942"/>
      <c r="AJ5" s="942"/>
      <c r="AK5" s="942"/>
      <c r="AL5" s="942"/>
      <c r="AM5" s="942"/>
      <c r="AN5" s="942"/>
      <c r="AO5" s="942"/>
      <c r="AP5" s="942"/>
      <c r="AQ5" s="942"/>
      <c r="AR5" s="942"/>
      <c r="AS5" s="942"/>
      <c r="AT5" s="942"/>
      <c r="AU5" s="942"/>
      <c r="AV5" s="942"/>
      <c r="AW5" s="942"/>
      <c r="AX5" s="942"/>
      <c r="AY5" s="942"/>
      <c r="AZ5" s="942"/>
      <c r="BA5" s="942"/>
      <c r="BB5" s="942"/>
      <c r="BC5" s="148"/>
      <c r="BD5" s="148"/>
      <c r="BE5" s="148"/>
      <c r="BF5" s="148"/>
      <c r="BG5" s="148"/>
      <c r="BH5" s="148"/>
      <c r="BI5" s="148"/>
      <c r="BJ5" s="148"/>
      <c r="BK5" s="148"/>
      <c r="BL5" s="148"/>
      <c r="BM5" s="148"/>
      <c r="BN5" s="148"/>
      <c r="BO5" s="148"/>
      <c r="BP5" s="148"/>
      <c r="BQ5" s="148"/>
      <c r="BR5" s="148"/>
      <c r="BS5" s="148"/>
      <c r="BT5" s="148"/>
      <c r="BU5" s="148"/>
      <c r="BV5" s="148"/>
      <c r="BW5" s="148"/>
      <c r="BX5" s="148"/>
      <c r="BY5" s="148"/>
      <c r="BZ5" s="148"/>
      <c r="CA5" s="142"/>
      <c r="CB5" s="145" t="str">
        <f t="shared" si="0"/>
        <v>Riadok bude skrytý.</v>
      </c>
      <c r="CC5" s="147"/>
      <c r="CD5" s="113"/>
      <c r="CE5" s="113"/>
      <c r="CF5" s="113"/>
      <c r="CG5" s="113"/>
      <c r="CH5" s="113"/>
      <c r="CI5" s="113"/>
      <c r="CJ5" s="113"/>
      <c r="CK5" s="113"/>
      <c r="CL5" s="113"/>
      <c r="CM5" s="113"/>
      <c r="CN5" s="113"/>
      <c r="CO5" s="113"/>
      <c r="CP5" s="113"/>
      <c r="CQ5" s="113"/>
      <c r="CR5" s="113"/>
      <c r="CS5" s="113"/>
      <c r="CT5" s="113"/>
      <c r="CU5" s="113"/>
      <c r="CV5" s="113"/>
      <c r="CW5" s="34"/>
      <c r="CX5" s="106"/>
      <c r="CY5" s="106"/>
      <c r="CZ5" s="106"/>
      <c r="DA5" s="106"/>
      <c r="DS5" s="130">
        <f>SI!BY5</f>
        <v>522</v>
      </c>
      <c r="DZ5" s="131" t="str">
        <f>SI!BZ5</f>
        <v>97401</v>
      </c>
    </row>
    <row r="6" spans="1:130" ht="5.95" hidden="1" customHeight="1" x14ac:dyDescent="0.25">
      <c r="A6" s="141"/>
      <c r="B6" s="146"/>
      <c r="C6" s="146"/>
      <c r="D6" s="146"/>
      <c r="E6" s="146"/>
      <c r="F6" s="146"/>
      <c r="G6" s="146"/>
      <c r="H6" s="146"/>
      <c r="I6" s="146"/>
      <c r="J6" s="146"/>
      <c r="K6" s="146"/>
      <c r="L6" s="146"/>
      <c r="M6" s="146"/>
      <c r="N6" s="146"/>
      <c r="O6" s="146"/>
      <c r="P6" s="146"/>
      <c r="Q6" s="146"/>
      <c r="R6" s="146"/>
      <c r="S6" s="146"/>
      <c r="T6" s="146"/>
      <c r="U6" s="146"/>
      <c r="V6" s="146"/>
      <c r="W6" s="146"/>
      <c r="X6" s="146"/>
      <c r="Y6" s="149"/>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1"/>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2"/>
      <c r="CB6" s="145" t="str">
        <f t="shared" si="0"/>
        <v>Riadok bude skrytý.</v>
      </c>
      <c r="CC6" s="1526" t="s">
        <v>998</v>
      </c>
      <c r="CD6" s="113"/>
      <c r="CE6" s="113"/>
      <c r="CF6" s="113"/>
      <c r="CG6" s="113"/>
      <c r="CH6" s="113"/>
      <c r="CI6" s="113"/>
      <c r="CJ6" s="113"/>
      <c r="CK6" s="113"/>
      <c r="CL6" s="113"/>
      <c r="CM6" s="113"/>
      <c r="CN6" s="113"/>
      <c r="CO6" s="113"/>
      <c r="CP6" s="113"/>
      <c r="CQ6" s="113"/>
      <c r="CR6" s="113"/>
      <c r="CS6" s="113"/>
      <c r="CT6" s="113"/>
      <c r="CU6" s="113"/>
      <c r="CV6" s="113"/>
      <c r="CW6" s="34"/>
      <c r="CX6" s="106"/>
      <c r="CY6" s="106"/>
      <c r="CZ6" s="106"/>
      <c r="DA6" s="106"/>
      <c r="DS6" s="130">
        <f>SI!BY6</f>
        <v>224</v>
      </c>
      <c r="DZ6" s="131">
        <f>SI!BZ6</f>
        <v>0</v>
      </c>
    </row>
    <row r="7" spans="1:130" ht="3.75" hidden="1" customHeight="1" x14ac:dyDescent="0.25">
      <c r="A7" s="141"/>
      <c r="B7" s="146"/>
      <c r="C7" s="146"/>
      <c r="D7" s="146"/>
      <c r="E7" s="146"/>
      <c r="F7" s="146"/>
      <c r="G7" s="146"/>
      <c r="H7" s="146"/>
      <c r="I7" s="146"/>
      <c r="J7" s="146"/>
      <c r="K7" s="146"/>
      <c r="L7" s="146"/>
      <c r="M7" s="146"/>
      <c r="N7" s="146"/>
      <c r="O7" s="146"/>
      <c r="P7" s="146"/>
      <c r="Q7" s="146"/>
      <c r="R7" s="146"/>
      <c r="S7" s="146"/>
      <c r="T7" s="146"/>
      <c r="U7" s="146"/>
      <c r="V7" s="146"/>
      <c r="W7" s="146"/>
      <c r="X7" s="146"/>
      <c r="Y7" s="2023" t="s">
        <v>24</v>
      </c>
      <c r="Z7" s="2024"/>
      <c r="AA7" s="2024"/>
      <c r="AB7" s="2024"/>
      <c r="AC7" s="2024"/>
      <c r="AD7" s="2024"/>
      <c r="AE7" s="2024"/>
      <c r="AF7" s="2024"/>
      <c r="AG7" s="2024"/>
      <c r="AH7" s="2024"/>
      <c r="AI7" s="2024"/>
      <c r="AJ7" s="152"/>
      <c r="AK7" s="949">
        <v>3</v>
      </c>
      <c r="AL7" s="153"/>
      <c r="AM7" s="949">
        <v>1</v>
      </c>
      <c r="AN7" s="2028" t="s">
        <v>20</v>
      </c>
      <c r="AO7" s="154"/>
      <c r="AP7" s="949">
        <v>1</v>
      </c>
      <c r="AQ7" s="153"/>
      <c r="AR7" s="949">
        <v>2</v>
      </c>
      <c r="AS7" s="2028" t="s">
        <v>20</v>
      </c>
      <c r="AT7" s="949">
        <v>2</v>
      </c>
      <c r="AU7" s="153"/>
      <c r="AV7" s="949">
        <v>0</v>
      </c>
      <c r="AW7" s="153"/>
      <c r="AX7" s="949">
        <v>2</v>
      </c>
      <c r="AY7" s="153"/>
      <c r="AZ7" s="949">
        <v>1</v>
      </c>
      <c r="BA7" s="155"/>
      <c r="BB7" s="15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2"/>
      <c r="CB7" s="145" t="str">
        <f t="shared" si="0"/>
        <v>Riadok bude skrytý.</v>
      </c>
      <c r="CC7" s="1527"/>
      <c r="CW7" s="34"/>
      <c r="CX7" s="106"/>
      <c r="CY7" s="106"/>
      <c r="CZ7" s="106"/>
      <c r="DA7" s="106"/>
      <c r="DS7" s="130">
        <f>SI!BY7</f>
        <v>463</v>
      </c>
      <c r="DZ7" s="131">
        <f>SI!BZ7</f>
        <v>0</v>
      </c>
    </row>
    <row r="8" spans="1:130" ht="4.5999999999999996" hidden="1" customHeight="1" x14ac:dyDescent="0.25">
      <c r="A8" s="141"/>
      <c r="B8" s="146"/>
      <c r="C8" s="146"/>
      <c r="D8" s="146"/>
      <c r="E8" s="146"/>
      <c r="F8" s="146"/>
      <c r="G8" s="146"/>
      <c r="H8" s="146"/>
      <c r="I8" s="146"/>
      <c r="J8" s="146"/>
      <c r="K8" s="146"/>
      <c r="L8" s="146"/>
      <c r="M8" s="146"/>
      <c r="N8" s="146"/>
      <c r="O8" s="146"/>
      <c r="P8" s="146"/>
      <c r="Q8" s="146"/>
      <c r="R8" s="146"/>
      <c r="S8" s="146"/>
      <c r="T8" s="146"/>
      <c r="U8" s="146"/>
      <c r="V8" s="146"/>
      <c r="W8" s="146"/>
      <c r="X8" s="146"/>
      <c r="Y8" s="2023"/>
      <c r="Z8" s="2024"/>
      <c r="AA8" s="2024"/>
      <c r="AB8" s="2024"/>
      <c r="AC8" s="2024"/>
      <c r="AD8" s="2024"/>
      <c r="AE8" s="2024"/>
      <c r="AF8" s="2024"/>
      <c r="AG8" s="2024"/>
      <c r="AH8" s="2024"/>
      <c r="AI8" s="2024"/>
      <c r="AJ8" s="152"/>
      <c r="AK8" s="949"/>
      <c r="AL8" s="155"/>
      <c r="AM8" s="949"/>
      <c r="AN8" s="2028"/>
      <c r="AO8" s="154"/>
      <c r="AP8" s="949"/>
      <c r="AQ8" s="155"/>
      <c r="AR8" s="949"/>
      <c r="AS8" s="2028"/>
      <c r="AT8" s="949"/>
      <c r="AU8" s="155"/>
      <c r="AV8" s="949"/>
      <c r="AW8" s="155"/>
      <c r="AX8" s="949"/>
      <c r="AY8" s="155"/>
      <c r="AZ8" s="949"/>
      <c r="BA8" s="155"/>
      <c r="BB8" s="15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2"/>
      <c r="CB8" s="145" t="str">
        <f t="shared" si="0"/>
        <v>Riadok bude skrytý.</v>
      </c>
      <c r="CC8" s="1527"/>
      <c r="CW8" s="34"/>
      <c r="CX8" s="106"/>
      <c r="CY8" s="106"/>
      <c r="CZ8" s="106"/>
      <c r="DA8" s="106"/>
      <c r="DS8" s="130">
        <f>SI!BY8</f>
        <v>1082</v>
      </c>
      <c r="DZ8" s="131">
        <f>SI!BZ8</f>
        <v>0</v>
      </c>
    </row>
    <row r="9" spans="1:130" ht="4.5999999999999996" hidden="1" customHeight="1" x14ac:dyDescent="0.25">
      <c r="A9" s="141"/>
      <c r="B9" s="146"/>
      <c r="C9" s="146"/>
      <c r="D9" s="146"/>
      <c r="E9" s="146"/>
      <c r="F9" s="146"/>
      <c r="G9" s="146"/>
      <c r="H9" s="146"/>
      <c r="I9" s="146"/>
      <c r="J9" s="146"/>
      <c r="K9" s="146"/>
      <c r="L9" s="146"/>
      <c r="M9" s="146"/>
      <c r="N9" s="146"/>
      <c r="O9" s="146"/>
      <c r="P9" s="146"/>
      <c r="Q9" s="146"/>
      <c r="R9" s="146"/>
      <c r="S9" s="146"/>
      <c r="T9" s="146"/>
      <c r="U9" s="146"/>
      <c r="V9" s="146"/>
      <c r="W9" s="146"/>
      <c r="X9" s="146"/>
      <c r="Y9" s="2023"/>
      <c r="Z9" s="2024"/>
      <c r="AA9" s="2024"/>
      <c r="AB9" s="2024"/>
      <c r="AC9" s="2024"/>
      <c r="AD9" s="2024"/>
      <c r="AE9" s="2024"/>
      <c r="AF9" s="2024"/>
      <c r="AG9" s="2024"/>
      <c r="AH9" s="2024"/>
      <c r="AI9" s="2024"/>
      <c r="AJ9" s="152"/>
      <c r="AK9" s="949"/>
      <c r="AL9" s="155"/>
      <c r="AM9" s="949"/>
      <c r="AN9" s="2028"/>
      <c r="AO9" s="154"/>
      <c r="AP9" s="949"/>
      <c r="AQ9" s="155"/>
      <c r="AR9" s="949"/>
      <c r="AS9" s="2028"/>
      <c r="AT9" s="949"/>
      <c r="AU9" s="155"/>
      <c r="AV9" s="949"/>
      <c r="AW9" s="155"/>
      <c r="AX9" s="949"/>
      <c r="AY9" s="155"/>
      <c r="AZ9" s="949"/>
      <c r="BA9" s="155"/>
      <c r="BB9" s="15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42"/>
      <c r="CB9" s="145" t="str">
        <f t="shared" si="0"/>
        <v>Riadok bude skrytý.</v>
      </c>
      <c r="CC9" s="1527"/>
      <c r="CW9" s="34"/>
      <c r="CX9" s="106"/>
      <c r="CY9" s="106"/>
      <c r="CZ9" s="106"/>
      <c r="DA9" s="106"/>
      <c r="DS9" s="130">
        <f>SI!BY9</f>
        <v>572</v>
      </c>
      <c r="DZ9" s="131">
        <f>SI!BZ9</f>
        <v>0</v>
      </c>
    </row>
    <row r="10" spans="1:130" ht="4.5999999999999996" hidden="1" customHeight="1" x14ac:dyDescent="0.25">
      <c r="A10" s="141"/>
      <c r="B10" s="146"/>
      <c r="C10" s="146"/>
      <c r="D10" s="146"/>
      <c r="E10" s="146"/>
      <c r="F10" s="146"/>
      <c r="G10" s="146"/>
      <c r="H10" s="146"/>
      <c r="I10" s="146"/>
      <c r="J10" s="146"/>
      <c r="K10" s="146"/>
      <c r="L10" s="146"/>
      <c r="M10" s="146"/>
      <c r="N10" s="146"/>
      <c r="O10" s="146"/>
      <c r="P10" s="146"/>
      <c r="Q10" s="146"/>
      <c r="R10" s="146"/>
      <c r="S10" s="146"/>
      <c r="T10" s="146"/>
      <c r="U10" s="146"/>
      <c r="V10" s="146"/>
      <c r="W10" s="146"/>
      <c r="X10" s="146"/>
      <c r="Y10" s="2023"/>
      <c r="Z10" s="2024"/>
      <c r="AA10" s="2024"/>
      <c r="AB10" s="2024"/>
      <c r="AC10" s="2024"/>
      <c r="AD10" s="2024"/>
      <c r="AE10" s="2024"/>
      <c r="AF10" s="2024"/>
      <c r="AG10" s="2024"/>
      <c r="AH10" s="2024"/>
      <c r="AI10" s="2024"/>
      <c r="AJ10" s="152"/>
      <c r="AK10" s="949"/>
      <c r="AL10" s="155"/>
      <c r="AM10" s="949"/>
      <c r="AN10" s="2028"/>
      <c r="AO10" s="154"/>
      <c r="AP10" s="949"/>
      <c r="AQ10" s="155"/>
      <c r="AR10" s="949"/>
      <c r="AS10" s="2028"/>
      <c r="AT10" s="949"/>
      <c r="AU10" s="155"/>
      <c r="AV10" s="949"/>
      <c r="AW10" s="155"/>
      <c r="AX10" s="949"/>
      <c r="AY10" s="155"/>
      <c r="AZ10" s="949"/>
      <c r="BA10" s="155"/>
      <c r="BB10" s="15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42"/>
      <c r="CB10" s="145" t="str">
        <f t="shared" si="0"/>
        <v>Riadok bude skrytý.</v>
      </c>
      <c r="CC10" s="1527"/>
      <c r="CW10" s="34"/>
      <c r="CX10" s="106"/>
      <c r="CY10" s="106"/>
      <c r="CZ10" s="106"/>
      <c r="DA10" s="106"/>
      <c r="DS10" s="130">
        <f>SI!BY10</f>
        <v>415</v>
      </c>
      <c r="DZ10" s="131">
        <f>SI!BZ10</f>
        <v>0</v>
      </c>
    </row>
    <row r="11" spans="1:130" ht="5.95" hidden="1" customHeight="1" x14ac:dyDescent="0.25">
      <c r="A11" s="141"/>
      <c r="B11" s="3"/>
      <c r="C11" s="3"/>
      <c r="D11" s="3"/>
      <c r="E11" s="3"/>
      <c r="F11" s="3"/>
      <c r="G11" s="3"/>
      <c r="H11" s="3"/>
      <c r="I11" s="3"/>
      <c r="J11" s="3"/>
      <c r="K11" s="3"/>
      <c r="L11" s="3"/>
      <c r="M11" s="3"/>
      <c r="N11" s="3"/>
      <c r="O11" s="3"/>
      <c r="P11" s="3"/>
      <c r="Q11" s="3"/>
      <c r="R11" s="3"/>
      <c r="S11" s="3"/>
      <c r="T11" s="3"/>
      <c r="U11" s="3"/>
      <c r="V11" s="3"/>
      <c r="W11" s="3"/>
      <c r="X11" s="3"/>
      <c r="Y11" s="157"/>
      <c r="Z11" s="158"/>
      <c r="AA11" s="158"/>
      <c r="AB11" s="158"/>
      <c r="AC11" s="158"/>
      <c r="AD11" s="158"/>
      <c r="AE11" s="158"/>
      <c r="AF11" s="158"/>
      <c r="AG11" s="159"/>
      <c r="AH11" s="159"/>
      <c r="AI11" s="159"/>
      <c r="AJ11" s="159"/>
      <c r="AK11" s="159"/>
      <c r="AL11" s="159"/>
      <c r="AM11" s="159"/>
      <c r="AN11" s="2029"/>
      <c r="AO11" s="160"/>
      <c r="AP11" s="159"/>
      <c r="AQ11" s="161"/>
      <c r="AR11" s="161"/>
      <c r="AS11" s="2029"/>
      <c r="AT11" s="162"/>
      <c r="AU11" s="162"/>
      <c r="AV11" s="162"/>
      <c r="AW11" s="162"/>
      <c r="AX11" s="162"/>
      <c r="AY11" s="162"/>
      <c r="AZ11" s="162"/>
      <c r="BA11" s="162"/>
      <c r="BB11" s="163"/>
      <c r="BE11" s="146"/>
      <c r="BF11" s="3"/>
      <c r="BG11" s="3"/>
      <c r="BH11" s="3"/>
      <c r="BI11" s="3"/>
      <c r="BJ11" s="3"/>
      <c r="BK11" s="3"/>
      <c r="BL11" s="3"/>
      <c r="BM11" s="3"/>
      <c r="BN11" s="3"/>
      <c r="BO11" s="3"/>
      <c r="BP11" s="3"/>
      <c r="BQ11" s="3"/>
      <c r="BR11" s="3"/>
      <c r="BS11" s="3"/>
      <c r="BT11" s="3"/>
      <c r="BU11" s="3"/>
      <c r="BV11" s="3"/>
      <c r="BW11" s="3"/>
      <c r="BX11" s="3"/>
      <c r="BY11" s="3"/>
      <c r="CA11" s="142"/>
      <c r="CB11" s="145" t="str">
        <f t="shared" si="0"/>
        <v>Riadok bude skrytý.</v>
      </c>
      <c r="CC11" s="1528"/>
      <c r="CW11" s="34"/>
      <c r="CX11" s="106"/>
      <c r="CY11" s="106"/>
      <c r="CZ11" s="106"/>
      <c r="DA11" s="106"/>
      <c r="DS11" s="130">
        <f>SI!BY11</f>
        <v>137</v>
      </c>
      <c r="DZ11" s="131">
        <f>SI!BZ11</f>
        <v>0</v>
      </c>
    </row>
    <row r="12" spans="1:130" ht="7.5" hidden="1" customHeight="1" x14ac:dyDescent="0.25">
      <c r="A12" s="141"/>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CA12" s="142"/>
      <c r="CB12" s="145" t="str">
        <f t="shared" si="0"/>
        <v>Riadok bude skrytý.</v>
      </c>
      <c r="CW12" s="34"/>
      <c r="CX12" s="106"/>
      <c r="CY12" s="106"/>
      <c r="CZ12" s="106"/>
      <c r="DA12" s="106"/>
      <c r="DS12" s="130">
        <f>SI!BY12</f>
        <v>190</v>
      </c>
      <c r="DZ12" s="131">
        <f>SI!BZ12</f>
        <v>0</v>
      </c>
    </row>
    <row r="13" spans="1:130" ht="14.3" hidden="1" customHeight="1" x14ac:dyDescent="0.25">
      <c r="A13" s="141"/>
      <c r="B13" s="2025" t="s">
        <v>877</v>
      </c>
      <c r="C13" s="2026"/>
      <c r="D13" s="2026"/>
      <c r="E13" s="2026"/>
      <c r="F13" s="2026"/>
      <c r="G13" s="2026"/>
      <c r="H13" s="2026"/>
      <c r="I13" s="2026"/>
      <c r="J13" s="2026"/>
      <c r="K13" s="2026"/>
      <c r="L13" s="2026"/>
      <c r="M13" s="2026"/>
      <c r="N13" s="2026"/>
      <c r="O13" s="2026"/>
      <c r="P13" s="2026"/>
      <c r="Q13" s="2026"/>
      <c r="R13" s="2026"/>
      <c r="S13" s="2026"/>
      <c r="T13" s="2026"/>
      <c r="U13" s="2026"/>
      <c r="V13" s="2026"/>
      <c r="W13" s="2026"/>
      <c r="X13" s="2026"/>
      <c r="Y13" s="2026"/>
      <c r="Z13" s="2026"/>
      <c r="AA13" s="2026"/>
      <c r="AB13" s="2026"/>
      <c r="AC13" s="2026"/>
      <c r="AD13" s="2026"/>
      <c r="AE13" s="2026"/>
      <c r="AF13" s="2026"/>
      <c r="AG13" s="2026"/>
      <c r="AH13" s="2026"/>
      <c r="AI13" s="2026"/>
      <c r="AJ13" s="2026"/>
      <c r="AK13" s="2026"/>
      <c r="AL13" s="2026"/>
      <c r="AM13" s="2026"/>
      <c r="AN13" s="2026"/>
      <c r="AO13" s="2026"/>
      <c r="AP13" s="2026"/>
      <c r="AQ13" s="2026"/>
      <c r="AR13" s="2026"/>
      <c r="AS13" s="2026"/>
      <c r="AT13" s="2026"/>
      <c r="AU13" s="2026"/>
      <c r="AV13" s="2026"/>
      <c r="AW13" s="2026"/>
      <c r="AX13" s="2026"/>
      <c r="AY13" s="2026"/>
      <c r="AZ13" s="2026"/>
      <c r="BA13" s="2026"/>
      <c r="BB13" s="2026"/>
      <c r="BC13" s="2026"/>
      <c r="BD13" s="2026"/>
      <c r="BE13" s="2026"/>
      <c r="BF13" s="2026"/>
      <c r="BG13" s="2026"/>
      <c r="BH13" s="2026"/>
      <c r="BI13" s="2026"/>
      <c r="BJ13" s="2026"/>
      <c r="BK13" s="2026"/>
      <c r="BL13" s="2026"/>
      <c r="BM13" s="2026"/>
      <c r="BN13" s="2026"/>
      <c r="BO13" s="2026"/>
      <c r="BP13" s="2026"/>
      <c r="BQ13" s="2026"/>
      <c r="BR13" s="2026"/>
      <c r="BS13" s="2026"/>
      <c r="BT13" s="2026"/>
      <c r="BU13" s="2026"/>
      <c r="BV13" s="2026"/>
      <c r="BW13" s="2026"/>
      <c r="BX13" s="2026"/>
      <c r="BY13" s="2026"/>
      <c r="BZ13" s="2027"/>
      <c r="CA13" s="142"/>
      <c r="CB13" s="145" t="str">
        <f t="shared" si="0"/>
        <v>Riadok bude skrytý.</v>
      </c>
      <c r="CW13" s="34"/>
      <c r="CX13" s="106"/>
      <c r="CY13" s="106"/>
      <c r="CZ13" s="106"/>
      <c r="DA13" s="106"/>
      <c r="DS13" s="130">
        <f>SI!BY13</f>
        <v>130</v>
      </c>
      <c r="DZ13" s="131">
        <f>SI!BZ13</f>
        <v>0</v>
      </c>
    </row>
    <row r="14" spans="1:130" ht="9.6999999999999993" hidden="1" customHeight="1" x14ac:dyDescent="0.25">
      <c r="A14" s="141"/>
      <c r="B14" s="164" t="s">
        <v>878</v>
      </c>
      <c r="C14" s="165"/>
      <c r="D14" s="165"/>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6"/>
      <c r="CA14" s="142"/>
      <c r="CB14" s="145" t="str">
        <f t="shared" si="0"/>
        <v>Riadok bude skrytý.</v>
      </c>
      <c r="CW14" s="34"/>
      <c r="CX14" s="106"/>
      <c r="CY14" s="106"/>
      <c r="CZ14" s="106"/>
      <c r="DA14" s="106"/>
      <c r="DS14" s="130">
        <f>SI!BY14</f>
        <v>546</v>
      </c>
      <c r="DZ14" s="131">
        <f>SI!BZ14</f>
        <v>0</v>
      </c>
    </row>
    <row r="15" spans="1:130" ht="3.75" hidden="1" customHeight="1" x14ac:dyDescent="0.25">
      <c r="A15" s="141"/>
      <c r="B15" s="167"/>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6"/>
      <c r="CA15" s="142"/>
      <c r="CB15" s="145" t="str">
        <f t="shared" si="0"/>
        <v>Riadok bude skrytý.</v>
      </c>
      <c r="CW15" s="34"/>
      <c r="CX15" s="106"/>
      <c r="CY15" s="106"/>
      <c r="CZ15" s="106"/>
      <c r="DA15" s="106"/>
      <c r="DS15" s="130">
        <f>SI!BY15</f>
        <v>141</v>
      </c>
      <c r="DZ15" s="131">
        <f>SI!BZ15</f>
        <v>0</v>
      </c>
    </row>
    <row r="16" spans="1:130" ht="3.75" hidden="1" customHeight="1" x14ac:dyDescent="0.25">
      <c r="A16" s="141"/>
      <c r="B16" s="167"/>
      <c r="C16" s="950" t="s">
        <v>879</v>
      </c>
      <c r="D16" s="168"/>
      <c r="E16" s="950" t="s">
        <v>880</v>
      </c>
      <c r="F16" s="168"/>
      <c r="G16" s="950" t="s">
        <v>881</v>
      </c>
      <c r="H16" s="168"/>
      <c r="I16" s="950" t="s">
        <v>882</v>
      </c>
      <c r="J16" s="168"/>
      <c r="K16" s="950" t="s">
        <v>883</v>
      </c>
      <c r="L16" s="168"/>
      <c r="M16" s="950" t="s">
        <v>884</v>
      </c>
      <c r="N16" s="168"/>
      <c r="O16" s="950" t="s">
        <v>885</v>
      </c>
      <c r="P16" s="168"/>
      <c r="Q16" s="950" t="s">
        <v>886</v>
      </c>
      <c r="R16" s="168"/>
      <c r="S16" s="950" t="s">
        <v>887</v>
      </c>
      <c r="T16" s="168"/>
      <c r="U16" s="950" t="s">
        <v>888</v>
      </c>
      <c r="V16" s="168"/>
      <c r="W16" s="950" t="s">
        <v>889</v>
      </c>
      <c r="X16" s="168"/>
      <c r="Y16" s="950" t="s">
        <v>890</v>
      </c>
      <c r="Z16" s="168"/>
      <c r="AA16" s="950" t="s">
        <v>891</v>
      </c>
      <c r="AB16" s="168"/>
      <c r="AC16" s="950" t="s">
        <v>892</v>
      </c>
      <c r="AD16" s="168"/>
      <c r="AE16" s="950" t="s">
        <v>893</v>
      </c>
      <c r="AF16" s="168"/>
      <c r="AG16" s="950" t="s">
        <v>894</v>
      </c>
      <c r="AH16" s="168"/>
      <c r="AI16" s="950" t="s">
        <v>895</v>
      </c>
      <c r="AJ16" s="168"/>
      <c r="AK16" s="950" t="s">
        <v>896</v>
      </c>
      <c r="AL16" s="168"/>
      <c r="AM16" s="950" t="s">
        <v>897</v>
      </c>
      <c r="AN16" s="168"/>
      <c r="AO16" s="168"/>
      <c r="AP16" s="950" t="s">
        <v>898</v>
      </c>
      <c r="AQ16" s="168"/>
      <c r="AR16" s="950" t="s">
        <v>899</v>
      </c>
      <c r="AS16" s="168"/>
      <c r="AT16" s="950" t="s">
        <v>900</v>
      </c>
      <c r="AU16" s="168"/>
      <c r="AV16" s="950" t="s">
        <v>901</v>
      </c>
      <c r="AW16" s="168"/>
      <c r="AX16" s="950" t="s">
        <v>26</v>
      </c>
      <c r="AY16" s="168"/>
      <c r="AZ16" s="950" t="s">
        <v>902</v>
      </c>
      <c r="BA16" s="168"/>
      <c r="BB16" s="950" t="s">
        <v>903</v>
      </c>
      <c r="BC16" s="168"/>
      <c r="BD16" s="950"/>
      <c r="BE16" s="168"/>
      <c r="BF16" s="950">
        <v>0</v>
      </c>
      <c r="BG16" s="168"/>
      <c r="BH16" s="168"/>
      <c r="BI16" s="950">
        <v>1</v>
      </c>
      <c r="BJ16" s="168"/>
      <c r="BK16" s="950">
        <v>2</v>
      </c>
      <c r="BL16" s="168"/>
      <c r="BM16" s="950">
        <v>3</v>
      </c>
      <c r="BN16" s="168"/>
      <c r="BO16" s="950">
        <v>4</v>
      </c>
      <c r="BP16" s="168"/>
      <c r="BQ16" s="950">
        <v>5</v>
      </c>
      <c r="BR16" s="168"/>
      <c r="BS16" s="950">
        <v>6</v>
      </c>
      <c r="BT16" s="168"/>
      <c r="BU16" s="950">
        <v>7</v>
      </c>
      <c r="BV16" s="168"/>
      <c r="BW16" s="950">
        <v>8</v>
      </c>
      <c r="BX16" s="168"/>
      <c r="BY16" s="950">
        <v>9</v>
      </c>
      <c r="BZ16" s="166"/>
      <c r="CA16" s="142"/>
      <c r="CB16" s="145" t="str">
        <f t="shared" si="0"/>
        <v>Riadok bude skrytý.</v>
      </c>
      <c r="CW16" s="34"/>
      <c r="CX16" s="106"/>
      <c r="CY16" s="106"/>
      <c r="CZ16" s="106"/>
      <c r="DA16" s="106"/>
      <c r="DS16" s="130">
        <f>SI!BY16</f>
        <v>136</v>
      </c>
      <c r="DZ16" s="131">
        <f>SI!BZ16</f>
        <v>0</v>
      </c>
    </row>
    <row r="17" spans="1:130" ht="4.5999999999999996" hidden="1" customHeight="1" x14ac:dyDescent="0.25">
      <c r="A17" s="141"/>
      <c r="B17" s="167"/>
      <c r="C17" s="950"/>
      <c r="D17" s="154"/>
      <c r="E17" s="950"/>
      <c r="F17" s="154"/>
      <c r="G17" s="950"/>
      <c r="H17" s="154"/>
      <c r="I17" s="950"/>
      <c r="J17" s="154"/>
      <c r="K17" s="950"/>
      <c r="L17" s="154"/>
      <c r="M17" s="950"/>
      <c r="N17" s="154"/>
      <c r="O17" s="950"/>
      <c r="P17" s="154"/>
      <c r="Q17" s="950"/>
      <c r="R17" s="154"/>
      <c r="S17" s="950"/>
      <c r="T17" s="154"/>
      <c r="U17" s="950"/>
      <c r="V17" s="154"/>
      <c r="W17" s="950"/>
      <c r="X17" s="154"/>
      <c r="Y17" s="950"/>
      <c r="Z17" s="154"/>
      <c r="AA17" s="950"/>
      <c r="AB17" s="154"/>
      <c r="AC17" s="950"/>
      <c r="AD17" s="154"/>
      <c r="AE17" s="950"/>
      <c r="AF17" s="154"/>
      <c r="AG17" s="950"/>
      <c r="AH17" s="154"/>
      <c r="AI17" s="950"/>
      <c r="AJ17" s="154"/>
      <c r="AK17" s="950"/>
      <c r="AL17" s="154"/>
      <c r="AM17" s="950"/>
      <c r="AN17" s="154"/>
      <c r="AO17" s="154"/>
      <c r="AP17" s="950"/>
      <c r="AQ17" s="154"/>
      <c r="AR17" s="950"/>
      <c r="AS17" s="154"/>
      <c r="AT17" s="950"/>
      <c r="AU17" s="154"/>
      <c r="AV17" s="950"/>
      <c r="AW17" s="154"/>
      <c r="AX17" s="950"/>
      <c r="AY17" s="154"/>
      <c r="AZ17" s="950"/>
      <c r="BA17" s="154"/>
      <c r="BB17" s="950"/>
      <c r="BC17" s="154"/>
      <c r="BD17" s="950"/>
      <c r="BE17" s="154"/>
      <c r="BF17" s="950"/>
      <c r="BG17" s="154"/>
      <c r="BH17" s="154"/>
      <c r="BI17" s="950"/>
      <c r="BJ17" s="154"/>
      <c r="BK17" s="950"/>
      <c r="BL17" s="154"/>
      <c r="BM17" s="950"/>
      <c r="BN17" s="154"/>
      <c r="BO17" s="950"/>
      <c r="BP17" s="154"/>
      <c r="BQ17" s="950"/>
      <c r="BR17" s="154"/>
      <c r="BS17" s="950"/>
      <c r="BT17" s="154"/>
      <c r="BU17" s="950"/>
      <c r="BV17" s="154"/>
      <c r="BW17" s="950"/>
      <c r="BX17" s="154"/>
      <c r="BY17" s="950"/>
      <c r="BZ17" s="166"/>
      <c r="CA17" s="142"/>
      <c r="CB17" s="145" t="str">
        <f t="shared" si="0"/>
        <v>Riadok bude skrytý.</v>
      </c>
      <c r="CW17" s="34"/>
      <c r="CX17" s="106"/>
      <c r="CY17" s="106"/>
      <c r="CZ17" s="106"/>
      <c r="DA17" s="106"/>
      <c r="DS17" s="130">
        <f>SI!BY17</f>
        <v>130</v>
      </c>
      <c r="DZ17" s="131">
        <f>SI!BZ17</f>
        <v>0</v>
      </c>
    </row>
    <row r="18" spans="1:130" ht="3.75" hidden="1" customHeight="1" x14ac:dyDescent="0.25">
      <c r="A18" s="141"/>
      <c r="B18" s="167"/>
      <c r="C18" s="950"/>
      <c r="D18" s="154"/>
      <c r="E18" s="950"/>
      <c r="F18" s="154"/>
      <c r="G18" s="950"/>
      <c r="H18" s="154"/>
      <c r="I18" s="950"/>
      <c r="J18" s="154"/>
      <c r="K18" s="950"/>
      <c r="L18" s="154"/>
      <c r="M18" s="950"/>
      <c r="N18" s="154"/>
      <c r="O18" s="950"/>
      <c r="P18" s="154"/>
      <c r="Q18" s="950"/>
      <c r="R18" s="154"/>
      <c r="S18" s="950"/>
      <c r="T18" s="154"/>
      <c r="U18" s="950"/>
      <c r="V18" s="154"/>
      <c r="W18" s="950"/>
      <c r="X18" s="154"/>
      <c r="Y18" s="950"/>
      <c r="Z18" s="154"/>
      <c r="AA18" s="950"/>
      <c r="AB18" s="154"/>
      <c r="AC18" s="950"/>
      <c r="AD18" s="154"/>
      <c r="AE18" s="950"/>
      <c r="AF18" s="154"/>
      <c r="AG18" s="950"/>
      <c r="AH18" s="154"/>
      <c r="AI18" s="950"/>
      <c r="AJ18" s="154"/>
      <c r="AK18" s="950"/>
      <c r="AL18" s="154"/>
      <c r="AM18" s="950"/>
      <c r="AN18" s="154"/>
      <c r="AO18" s="154"/>
      <c r="AP18" s="950"/>
      <c r="AQ18" s="154"/>
      <c r="AR18" s="950"/>
      <c r="AS18" s="154"/>
      <c r="AT18" s="950"/>
      <c r="AU18" s="154"/>
      <c r="AV18" s="950"/>
      <c r="AW18" s="154"/>
      <c r="AX18" s="950"/>
      <c r="AY18" s="154"/>
      <c r="AZ18" s="950"/>
      <c r="BA18" s="154"/>
      <c r="BB18" s="950"/>
      <c r="BC18" s="154"/>
      <c r="BD18" s="950"/>
      <c r="BE18" s="154"/>
      <c r="BF18" s="950"/>
      <c r="BG18" s="154"/>
      <c r="BH18" s="154"/>
      <c r="BI18" s="950"/>
      <c r="BJ18" s="154"/>
      <c r="BK18" s="950"/>
      <c r="BL18" s="154"/>
      <c r="BM18" s="950"/>
      <c r="BN18" s="154"/>
      <c r="BO18" s="950"/>
      <c r="BP18" s="154"/>
      <c r="BQ18" s="950"/>
      <c r="BR18" s="154"/>
      <c r="BS18" s="950"/>
      <c r="BT18" s="154"/>
      <c r="BU18" s="950"/>
      <c r="BV18" s="154"/>
      <c r="BW18" s="950"/>
      <c r="BX18" s="154"/>
      <c r="BY18" s="950"/>
      <c r="BZ18" s="166"/>
      <c r="CA18" s="142"/>
      <c r="CB18" s="145" t="str">
        <f t="shared" si="0"/>
        <v>Riadok bude skrytý.</v>
      </c>
      <c r="CW18" s="34"/>
      <c r="CX18" s="106"/>
      <c r="CY18" s="106"/>
      <c r="CZ18" s="106"/>
      <c r="DA18" s="106"/>
      <c r="DS18" s="130">
        <f>SI!BY18</f>
        <v>164</v>
      </c>
      <c r="DZ18" s="131">
        <f>SI!BZ18</f>
        <v>0</v>
      </c>
    </row>
    <row r="19" spans="1:130" ht="3.75" hidden="1" customHeight="1" x14ac:dyDescent="0.25">
      <c r="A19" s="141"/>
      <c r="B19" s="167"/>
      <c r="C19" s="950"/>
      <c r="D19" s="154"/>
      <c r="E19" s="950"/>
      <c r="F19" s="154"/>
      <c r="G19" s="950"/>
      <c r="H19" s="154"/>
      <c r="I19" s="950"/>
      <c r="J19" s="154"/>
      <c r="K19" s="950"/>
      <c r="L19" s="154"/>
      <c r="M19" s="950"/>
      <c r="N19" s="154"/>
      <c r="O19" s="950"/>
      <c r="P19" s="154"/>
      <c r="Q19" s="950"/>
      <c r="R19" s="154"/>
      <c r="S19" s="950"/>
      <c r="T19" s="154"/>
      <c r="U19" s="950"/>
      <c r="V19" s="154"/>
      <c r="W19" s="950"/>
      <c r="X19" s="154"/>
      <c r="Y19" s="950"/>
      <c r="Z19" s="154"/>
      <c r="AA19" s="950"/>
      <c r="AB19" s="154"/>
      <c r="AC19" s="950"/>
      <c r="AD19" s="154"/>
      <c r="AE19" s="950"/>
      <c r="AF19" s="154"/>
      <c r="AG19" s="950"/>
      <c r="AH19" s="154"/>
      <c r="AI19" s="950"/>
      <c r="AJ19" s="154"/>
      <c r="AK19" s="950"/>
      <c r="AL19" s="154"/>
      <c r="AM19" s="950"/>
      <c r="AN19" s="154"/>
      <c r="AO19" s="154"/>
      <c r="AP19" s="950"/>
      <c r="AQ19" s="154"/>
      <c r="AR19" s="950"/>
      <c r="AS19" s="154"/>
      <c r="AT19" s="950"/>
      <c r="AU19" s="154"/>
      <c r="AV19" s="950"/>
      <c r="AW19" s="154"/>
      <c r="AX19" s="950"/>
      <c r="AY19" s="154"/>
      <c r="AZ19" s="950"/>
      <c r="BA19" s="154"/>
      <c r="BB19" s="950"/>
      <c r="BC19" s="154"/>
      <c r="BD19" s="950"/>
      <c r="BE19" s="154"/>
      <c r="BF19" s="950"/>
      <c r="BG19" s="154"/>
      <c r="BH19" s="154"/>
      <c r="BI19" s="950"/>
      <c r="BJ19" s="154"/>
      <c r="BK19" s="950"/>
      <c r="BL19" s="154"/>
      <c r="BM19" s="950"/>
      <c r="BN19" s="154"/>
      <c r="BO19" s="950"/>
      <c r="BP19" s="154"/>
      <c r="BQ19" s="950"/>
      <c r="BR19" s="154"/>
      <c r="BS19" s="950"/>
      <c r="BT19" s="154"/>
      <c r="BU19" s="950"/>
      <c r="BV19" s="154"/>
      <c r="BW19" s="950"/>
      <c r="BX19" s="154"/>
      <c r="BY19" s="950"/>
      <c r="BZ19" s="166"/>
      <c r="CA19" s="142"/>
      <c r="CB19" s="145" t="str">
        <f t="shared" si="0"/>
        <v>Riadok bude skrytý.</v>
      </c>
      <c r="CW19" s="34"/>
      <c r="CX19" s="106"/>
      <c r="CY19" s="106"/>
      <c r="CZ19" s="106"/>
      <c r="DA19" s="106"/>
      <c r="DS19" s="130">
        <f>SI!BY19</f>
        <v>134</v>
      </c>
      <c r="DZ19" s="131">
        <f>SI!BZ19</f>
        <v>0</v>
      </c>
    </row>
    <row r="20" spans="1:130" ht="3.75" hidden="1" customHeight="1" x14ac:dyDescent="0.25">
      <c r="A20" s="141"/>
      <c r="B20" s="157"/>
      <c r="C20" s="158"/>
      <c r="D20" s="158"/>
      <c r="E20" s="158"/>
      <c r="F20" s="158"/>
      <c r="G20" s="158"/>
      <c r="H20" s="158"/>
      <c r="I20" s="158"/>
      <c r="J20" s="158"/>
      <c r="K20" s="158"/>
      <c r="L20" s="158"/>
      <c r="M20" s="158"/>
      <c r="N20" s="158"/>
      <c r="O20" s="158"/>
      <c r="P20" s="158"/>
      <c r="Q20" s="158"/>
      <c r="R20" s="158"/>
      <c r="S20" s="169"/>
      <c r="T20" s="169"/>
      <c r="U20" s="158"/>
      <c r="V20" s="158"/>
      <c r="W20" s="158"/>
      <c r="X20" s="158"/>
      <c r="Y20" s="158"/>
      <c r="Z20" s="158"/>
      <c r="AA20" s="158"/>
      <c r="AB20" s="158"/>
      <c r="AC20" s="158"/>
      <c r="AD20" s="158"/>
      <c r="AE20" s="158"/>
      <c r="AF20" s="158"/>
      <c r="AG20" s="158"/>
      <c r="AH20" s="158"/>
      <c r="AI20" s="158"/>
      <c r="AJ20" s="158"/>
      <c r="AK20" s="169"/>
      <c r="AL20" s="169"/>
      <c r="AM20" s="158"/>
      <c r="AN20" s="158"/>
      <c r="AO20" s="158"/>
      <c r="AP20" s="158"/>
      <c r="AQ20" s="158"/>
      <c r="AR20" s="158"/>
      <c r="AS20" s="158"/>
      <c r="AT20" s="169"/>
      <c r="AU20" s="169"/>
      <c r="AV20" s="158"/>
      <c r="AW20" s="158"/>
      <c r="AX20" s="158"/>
      <c r="AY20" s="158"/>
      <c r="AZ20" s="158"/>
      <c r="BA20" s="158"/>
      <c r="BB20" s="158"/>
      <c r="BC20" s="158"/>
      <c r="BD20" s="158"/>
      <c r="BE20" s="158"/>
      <c r="BF20" s="158"/>
      <c r="BG20" s="158"/>
      <c r="BH20" s="158"/>
      <c r="BI20" s="158"/>
      <c r="BJ20" s="158"/>
      <c r="BK20" s="169"/>
      <c r="BL20" s="169"/>
      <c r="BM20" s="158"/>
      <c r="BN20" s="158"/>
      <c r="BO20" s="158"/>
      <c r="BP20" s="158"/>
      <c r="BQ20" s="169"/>
      <c r="BR20" s="169"/>
      <c r="BS20" s="158"/>
      <c r="BT20" s="158"/>
      <c r="BU20" s="158"/>
      <c r="BV20" s="158"/>
      <c r="BW20" s="158"/>
      <c r="BX20" s="158"/>
      <c r="BY20" s="158"/>
      <c r="BZ20" s="163"/>
      <c r="CA20" s="142"/>
      <c r="CB20" s="145" t="str">
        <f t="shared" si="0"/>
        <v>Riadok bude skrytý.</v>
      </c>
      <c r="CW20" s="34"/>
      <c r="CX20" s="106"/>
      <c r="CY20" s="106"/>
      <c r="CZ20" s="106"/>
      <c r="DA20" s="106"/>
      <c r="DS20" s="130">
        <f>SI!BY20</f>
        <v>1097</v>
      </c>
      <c r="DZ20" s="131">
        <f>SI!BZ20</f>
        <v>0</v>
      </c>
    </row>
    <row r="21" spans="1:130" ht="3.1" hidden="1" customHeight="1" x14ac:dyDescent="0.25">
      <c r="A21" s="14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142"/>
      <c r="CB21" s="145" t="str">
        <f t="shared" si="0"/>
        <v>Riadok bude skrytý.</v>
      </c>
      <c r="CW21" s="34"/>
      <c r="CX21" s="106"/>
      <c r="CY21" s="106"/>
      <c r="CZ21" s="106"/>
      <c r="DA21" s="106"/>
      <c r="DS21" s="130">
        <f>SI!BY21</f>
        <v>156</v>
      </c>
      <c r="DZ21" s="131">
        <f>SI!BZ21</f>
        <v>0</v>
      </c>
    </row>
    <row r="22" spans="1:130" ht="14.95" hidden="1" customHeight="1" x14ac:dyDescent="0.25">
      <c r="A22" s="141"/>
      <c r="B22" s="170"/>
      <c r="C22" s="2031" t="s">
        <v>904</v>
      </c>
      <c r="D22" s="2031"/>
      <c r="E22" s="2031"/>
      <c r="F22" s="2031"/>
      <c r="G22" s="2031"/>
      <c r="H22" s="2031"/>
      <c r="I22" s="2031"/>
      <c r="J22" s="2031"/>
      <c r="K22" s="2031"/>
      <c r="L22" s="2031"/>
      <c r="M22" s="2031"/>
      <c r="N22" s="2031"/>
      <c r="O22" s="2031"/>
      <c r="P22" s="2031"/>
      <c r="Q22" s="2031"/>
      <c r="R22" s="2031"/>
      <c r="S22" s="2031"/>
      <c r="T22" s="2031"/>
      <c r="U22" s="2031"/>
      <c r="V22" s="2031"/>
      <c r="W22" s="2031"/>
      <c r="X22" s="171"/>
      <c r="Y22" s="2032" t="s">
        <v>905</v>
      </c>
      <c r="Z22" s="2032"/>
      <c r="AA22" s="2032"/>
      <c r="AB22" s="2032"/>
      <c r="AC22" s="2032"/>
      <c r="AD22" s="2032"/>
      <c r="AE22" s="2032"/>
      <c r="AF22" s="2032"/>
      <c r="AG22" s="2032"/>
      <c r="AH22" s="2032"/>
      <c r="AI22" s="2032"/>
      <c r="AJ22" s="172"/>
      <c r="AK22" s="2033" t="s">
        <v>905</v>
      </c>
      <c r="AL22" s="2033"/>
      <c r="AM22" s="2033"/>
      <c r="AN22" s="2033"/>
      <c r="AO22" s="2033"/>
      <c r="AP22" s="2033"/>
      <c r="AQ22" s="2033"/>
      <c r="AR22" s="2033"/>
      <c r="AS22" s="2033"/>
      <c r="AT22" s="2033"/>
      <c r="AU22" s="2033"/>
      <c r="AV22" s="2034"/>
      <c r="AW22" s="171"/>
      <c r="AX22" s="172"/>
      <c r="AY22" s="172"/>
      <c r="AZ22" s="172"/>
      <c r="BA22" s="172"/>
      <c r="BB22" s="172"/>
      <c r="BC22" s="172"/>
      <c r="BD22" s="172"/>
      <c r="BE22" s="172"/>
      <c r="BF22" s="172"/>
      <c r="BG22" s="172"/>
      <c r="BH22" s="172"/>
      <c r="BI22" s="172"/>
      <c r="BJ22" s="172"/>
      <c r="BK22" s="172"/>
      <c r="BL22" s="173" t="s">
        <v>914</v>
      </c>
      <c r="BM22" s="174"/>
      <c r="BN22" s="174"/>
      <c r="BO22" s="174"/>
      <c r="BP22" s="174"/>
      <c r="BQ22" s="174"/>
      <c r="BR22" s="172"/>
      <c r="BS22" s="2031" t="s">
        <v>915</v>
      </c>
      <c r="BT22" s="2031"/>
      <c r="BU22" s="2031"/>
      <c r="BV22" s="2031"/>
      <c r="BW22" s="2031"/>
      <c r="BX22" s="2031"/>
      <c r="BY22" s="2031"/>
      <c r="BZ22" s="175"/>
      <c r="CA22" s="142"/>
      <c r="CB22" s="145" t="str">
        <f t="shared" si="0"/>
        <v>Riadok bude skrytý.</v>
      </c>
      <c r="CC22" s="1526" t="s">
        <v>998</v>
      </c>
      <c r="CW22" s="34"/>
      <c r="CX22" s="106"/>
      <c r="CY22" s="106"/>
      <c r="CZ22" s="106"/>
      <c r="DA22" s="106"/>
      <c r="DS22" s="130">
        <f>SI!BY22</f>
        <v>870</v>
      </c>
      <c r="DZ22" s="131">
        <f>SI!BZ22</f>
        <v>0</v>
      </c>
    </row>
    <row r="23" spans="1:130" ht="3.75" hidden="1" customHeight="1" x14ac:dyDescent="0.25">
      <c r="A23" s="141"/>
      <c r="B23" s="167"/>
      <c r="C23" s="165"/>
      <c r="D23" s="165"/>
      <c r="E23" s="165"/>
      <c r="F23" s="165"/>
      <c r="G23" s="165"/>
      <c r="H23" s="165"/>
      <c r="I23" s="165"/>
      <c r="J23" s="165"/>
      <c r="K23" s="165"/>
      <c r="L23" s="165"/>
      <c r="M23" s="165"/>
      <c r="N23" s="165"/>
      <c r="O23" s="165"/>
      <c r="P23" s="165"/>
      <c r="Q23" s="165"/>
      <c r="R23" s="165"/>
      <c r="S23" s="165"/>
      <c r="T23" s="165"/>
      <c r="U23" s="165"/>
      <c r="V23" s="165"/>
      <c r="W23" s="165"/>
      <c r="X23" s="176"/>
      <c r="Y23" s="165"/>
      <c r="Z23" s="15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77"/>
      <c r="AW23" s="176"/>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78"/>
      <c r="CA23" s="142"/>
      <c r="CB23" s="145" t="str">
        <f t="shared" si="0"/>
        <v>Riadok bude skrytý.</v>
      </c>
      <c r="CC23" s="1527"/>
      <c r="CW23" s="34"/>
      <c r="CX23" s="106"/>
      <c r="CY23" s="106"/>
      <c r="CZ23" s="106"/>
      <c r="DA23" s="106"/>
      <c r="DS23" s="130">
        <f>SI!BY23</f>
        <v>371</v>
      </c>
      <c r="DZ23" s="131">
        <f>SI!BZ23</f>
        <v>0</v>
      </c>
    </row>
    <row r="24" spans="1:130" ht="4.5999999999999996" hidden="1" customHeight="1" x14ac:dyDescent="0.25">
      <c r="A24" s="141"/>
      <c r="B24" s="167"/>
      <c r="C24" s="949">
        <v>2</v>
      </c>
      <c r="D24" s="168"/>
      <c r="E24" s="949">
        <v>1</v>
      </c>
      <c r="F24" s="168"/>
      <c r="G24" s="949">
        <v>2</v>
      </c>
      <c r="H24" s="168"/>
      <c r="I24" s="949">
        <v>0</v>
      </c>
      <c r="J24" s="168"/>
      <c r="K24" s="949">
        <v>3</v>
      </c>
      <c r="L24" s="168"/>
      <c r="M24" s="949">
        <v>3</v>
      </c>
      <c r="N24" s="168"/>
      <c r="O24" s="949">
        <v>9</v>
      </c>
      <c r="P24" s="168"/>
      <c r="Q24" s="949">
        <v>0</v>
      </c>
      <c r="R24" s="168"/>
      <c r="S24" s="949">
        <v>3</v>
      </c>
      <c r="T24" s="168"/>
      <c r="U24" s="949">
        <v>4</v>
      </c>
      <c r="V24" s="165"/>
      <c r="W24" s="165"/>
      <c r="X24" s="176"/>
      <c r="Y24" s="165"/>
      <c r="Z24" s="155"/>
      <c r="AA24" s="152"/>
      <c r="AB24" s="152"/>
      <c r="AC24" s="165"/>
      <c r="AD24" s="165"/>
      <c r="AE24" s="165"/>
      <c r="AF24" s="165"/>
      <c r="AG24" s="165"/>
      <c r="AH24" s="165"/>
      <c r="AI24" s="165"/>
      <c r="AJ24" s="165"/>
      <c r="AK24" s="165"/>
      <c r="AL24" s="165"/>
      <c r="AM24" s="165"/>
      <c r="AN24" s="165"/>
      <c r="AO24" s="165"/>
      <c r="AP24" s="165"/>
      <c r="AQ24" s="165"/>
      <c r="AR24" s="165"/>
      <c r="AS24" s="165"/>
      <c r="AT24" s="165"/>
      <c r="AU24" s="165"/>
      <c r="AV24" s="177"/>
      <c r="AW24" s="176"/>
      <c r="AX24" s="165"/>
      <c r="AY24" s="165"/>
      <c r="AZ24" s="165"/>
      <c r="BA24" s="165"/>
      <c r="BB24" s="165"/>
      <c r="BC24" s="165"/>
      <c r="BD24" s="165"/>
      <c r="BE24" s="165"/>
      <c r="BF24" s="165"/>
      <c r="BG24" s="165"/>
      <c r="BH24" s="165"/>
      <c r="BI24" s="165"/>
      <c r="BJ24" s="2038" t="s">
        <v>22</v>
      </c>
      <c r="BK24" s="2038"/>
      <c r="BL24" s="155"/>
      <c r="BM24" s="949">
        <v>0</v>
      </c>
      <c r="BN24" s="168"/>
      <c r="BO24" s="949">
        <v>1</v>
      </c>
      <c r="BP24" s="165"/>
      <c r="BQ24" s="165"/>
      <c r="BR24" s="165"/>
      <c r="BS24" s="949">
        <v>2</v>
      </c>
      <c r="BT24" s="168"/>
      <c r="BU24" s="949">
        <v>0</v>
      </c>
      <c r="BV24" s="168"/>
      <c r="BW24" s="949">
        <v>2</v>
      </c>
      <c r="BX24" s="168"/>
      <c r="BY24" s="949">
        <v>1</v>
      </c>
      <c r="BZ24" s="166"/>
      <c r="CA24" s="142"/>
      <c r="CB24" s="145" t="str">
        <f t="shared" si="0"/>
        <v>Riadok bude skrytý.</v>
      </c>
      <c r="CC24" s="1527"/>
      <c r="CW24" s="34"/>
      <c r="CX24" s="106"/>
      <c r="CY24" s="106"/>
      <c r="CZ24" s="106"/>
      <c r="DA24" s="106"/>
      <c r="DS24" s="130">
        <f>SI!BY24</f>
        <v>985</v>
      </c>
      <c r="DZ24" s="131">
        <f>SI!BZ24</f>
        <v>0</v>
      </c>
    </row>
    <row r="25" spans="1:130" ht="3.75" hidden="1" customHeight="1" x14ac:dyDescent="0.25">
      <c r="A25" s="141"/>
      <c r="B25" s="167"/>
      <c r="C25" s="949"/>
      <c r="D25" s="154"/>
      <c r="E25" s="949"/>
      <c r="F25" s="154"/>
      <c r="G25" s="949"/>
      <c r="H25" s="154"/>
      <c r="I25" s="949"/>
      <c r="J25" s="154"/>
      <c r="K25" s="949"/>
      <c r="L25" s="154"/>
      <c r="M25" s="949"/>
      <c r="N25" s="154"/>
      <c r="O25" s="949"/>
      <c r="P25" s="154"/>
      <c r="Q25" s="949"/>
      <c r="R25" s="154"/>
      <c r="S25" s="949"/>
      <c r="T25" s="154"/>
      <c r="U25" s="949"/>
      <c r="V25" s="165"/>
      <c r="W25" s="165"/>
      <c r="X25" s="176"/>
      <c r="Y25" s="165"/>
      <c r="Z25" s="155"/>
      <c r="AA25" s="2035" t="s">
        <v>26</v>
      </c>
      <c r="AB25" s="155"/>
      <c r="AC25" s="165"/>
      <c r="AD25" s="2037" t="s">
        <v>777</v>
      </c>
      <c r="AE25" s="2037"/>
      <c r="AF25" s="2037"/>
      <c r="AG25" s="2037"/>
      <c r="AH25" s="2037"/>
      <c r="AI25" s="2037"/>
      <c r="AJ25" s="2037"/>
      <c r="AK25" s="2037"/>
      <c r="AL25" s="165"/>
      <c r="AM25" s="2036" t="s">
        <v>26</v>
      </c>
      <c r="AN25" s="165"/>
      <c r="AO25" s="165"/>
      <c r="AP25" s="2039" t="s">
        <v>906</v>
      </c>
      <c r="AQ25" s="2039"/>
      <c r="AR25" s="2039"/>
      <c r="AS25" s="2039"/>
      <c r="AT25" s="2039"/>
      <c r="AU25" s="2039"/>
      <c r="AV25" s="2040"/>
      <c r="AW25" s="179"/>
      <c r="AX25" s="165"/>
      <c r="AY25" s="165"/>
      <c r="AZ25" s="165"/>
      <c r="BA25" s="165"/>
      <c r="BB25" s="165"/>
      <c r="BC25" s="165"/>
      <c r="BD25" s="165"/>
      <c r="BE25" s="165"/>
      <c r="BF25" s="165"/>
      <c r="BG25" s="165"/>
      <c r="BH25" s="165"/>
      <c r="BI25" s="165"/>
      <c r="BJ25" s="2038"/>
      <c r="BK25" s="2038"/>
      <c r="BL25" s="155"/>
      <c r="BM25" s="949"/>
      <c r="BN25" s="154"/>
      <c r="BO25" s="949"/>
      <c r="BP25" s="165"/>
      <c r="BQ25" s="165"/>
      <c r="BR25" s="165"/>
      <c r="BS25" s="949"/>
      <c r="BT25" s="154"/>
      <c r="BU25" s="949"/>
      <c r="BV25" s="154"/>
      <c r="BW25" s="949"/>
      <c r="BX25" s="154"/>
      <c r="BY25" s="949"/>
      <c r="BZ25" s="166"/>
      <c r="CA25" s="142"/>
      <c r="CB25" s="145" t="str">
        <f t="shared" si="0"/>
        <v>Riadok bude skrytý.</v>
      </c>
      <c r="CC25" s="1527"/>
      <c r="CW25" s="34"/>
      <c r="CX25" s="106"/>
      <c r="CY25" s="106"/>
      <c r="CZ25" s="106"/>
      <c r="DA25" s="106"/>
      <c r="DS25" s="130">
        <f>SI!BY25</f>
        <v>387</v>
      </c>
      <c r="DZ25" s="131">
        <f>SI!BZ25</f>
        <v>0</v>
      </c>
    </row>
    <row r="26" spans="1:130" ht="4.5999999999999996" hidden="1" customHeight="1" x14ac:dyDescent="0.25">
      <c r="A26" s="141"/>
      <c r="B26" s="167"/>
      <c r="C26" s="949"/>
      <c r="D26" s="154"/>
      <c r="E26" s="949"/>
      <c r="F26" s="154"/>
      <c r="G26" s="949"/>
      <c r="H26" s="154"/>
      <c r="I26" s="949"/>
      <c r="J26" s="154"/>
      <c r="K26" s="949"/>
      <c r="L26" s="154"/>
      <c r="M26" s="949"/>
      <c r="N26" s="154"/>
      <c r="O26" s="949"/>
      <c r="P26" s="154"/>
      <c r="Q26" s="949"/>
      <c r="R26" s="154"/>
      <c r="S26" s="949"/>
      <c r="T26" s="154"/>
      <c r="U26" s="949"/>
      <c r="V26" s="165"/>
      <c r="W26" s="165"/>
      <c r="X26" s="176"/>
      <c r="Y26" s="165"/>
      <c r="Z26" s="155"/>
      <c r="AA26" s="2035"/>
      <c r="AB26" s="155"/>
      <c r="AC26" s="165"/>
      <c r="AD26" s="2037"/>
      <c r="AE26" s="2037"/>
      <c r="AF26" s="2037"/>
      <c r="AG26" s="2037"/>
      <c r="AH26" s="2037"/>
      <c r="AI26" s="2037"/>
      <c r="AJ26" s="2037"/>
      <c r="AK26" s="2037"/>
      <c r="AL26" s="165"/>
      <c r="AM26" s="2036"/>
      <c r="AN26" s="165"/>
      <c r="AO26" s="165"/>
      <c r="AP26" s="2039"/>
      <c r="AQ26" s="2039"/>
      <c r="AR26" s="2039"/>
      <c r="AS26" s="2039"/>
      <c r="AT26" s="2039"/>
      <c r="AU26" s="2039"/>
      <c r="AV26" s="2040"/>
      <c r="AW26" s="179"/>
      <c r="AX26" s="2047" t="s">
        <v>916</v>
      </c>
      <c r="AY26" s="2047"/>
      <c r="AZ26" s="2047"/>
      <c r="BA26" s="2047"/>
      <c r="BB26" s="2047"/>
      <c r="BC26" s="2047"/>
      <c r="BD26" s="2047"/>
      <c r="BE26" s="2047"/>
      <c r="BF26" s="2047"/>
      <c r="BG26" s="2047"/>
      <c r="BH26" s="2047"/>
      <c r="BI26" s="2047"/>
      <c r="BJ26" s="2038"/>
      <c r="BK26" s="2038"/>
      <c r="BL26" s="155"/>
      <c r="BM26" s="949"/>
      <c r="BN26" s="154"/>
      <c r="BO26" s="949"/>
      <c r="BP26" s="165"/>
      <c r="BQ26" s="165"/>
      <c r="BR26" s="165"/>
      <c r="BS26" s="949"/>
      <c r="BT26" s="154"/>
      <c r="BU26" s="949"/>
      <c r="BV26" s="154"/>
      <c r="BW26" s="949"/>
      <c r="BX26" s="154"/>
      <c r="BY26" s="949"/>
      <c r="BZ26" s="166"/>
      <c r="CA26" s="142"/>
      <c r="CB26" s="145" t="str">
        <f t="shared" si="0"/>
        <v>Riadok bude skrytý.</v>
      </c>
      <c r="CC26" s="1527"/>
      <c r="CW26" s="34"/>
      <c r="CX26" s="106"/>
      <c r="CY26" s="106"/>
      <c r="CZ26" s="106"/>
      <c r="DA26" s="106"/>
      <c r="DS26" s="130">
        <f>SI!BY26</f>
        <v>848</v>
      </c>
      <c r="DZ26" s="131">
        <f>SI!BZ26</f>
        <v>0</v>
      </c>
    </row>
    <row r="27" spans="1:130" ht="4.5999999999999996" hidden="1" customHeight="1" x14ac:dyDescent="0.25">
      <c r="A27" s="141"/>
      <c r="B27" s="167"/>
      <c r="C27" s="949"/>
      <c r="D27" s="154"/>
      <c r="E27" s="949"/>
      <c r="F27" s="154"/>
      <c r="G27" s="949"/>
      <c r="H27" s="154"/>
      <c r="I27" s="949"/>
      <c r="J27" s="154"/>
      <c r="K27" s="949"/>
      <c r="L27" s="154"/>
      <c r="M27" s="949"/>
      <c r="N27" s="154"/>
      <c r="O27" s="949"/>
      <c r="P27" s="154"/>
      <c r="Q27" s="949"/>
      <c r="R27" s="154"/>
      <c r="S27" s="949"/>
      <c r="T27" s="154"/>
      <c r="U27" s="949"/>
      <c r="V27" s="165"/>
      <c r="W27" s="165"/>
      <c r="X27" s="176"/>
      <c r="Y27" s="165"/>
      <c r="Z27" s="155"/>
      <c r="AA27" s="2035"/>
      <c r="AB27" s="155"/>
      <c r="AC27" s="165"/>
      <c r="AD27" s="2037"/>
      <c r="AE27" s="2037"/>
      <c r="AF27" s="2037"/>
      <c r="AG27" s="2037"/>
      <c r="AH27" s="2037"/>
      <c r="AI27" s="2037"/>
      <c r="AJ27" s="2037"/>
      <c r="AK27" s="2037"/>
      <c r="AL27" s="165"/>
      <c r="AM27" s="2036"/>
      <c r="AN27" s="165"/>
      <c r="AO27" s="165"/>
      <c r="AP27" s="2039"/>
      <c r="AQ27" s="2039"/>
      <c r="AR27" s="2039"/>
      <c r="AS27" s="2039"/>
      <c r="AT27" s="2039"/>
      <c r="AU27" s="2039"/>
      <c r="AV27" s="2040"/>
      <c r="AW27" s="179"/>
      <c r="AX27" s="2047"/>
      <c r="AY27" s="2047"/>
      <c r="AZ27" s="2047"/>
      <c r="BA27" s="2047"/>
      <c r="BB27" s="2047"/>
      <c r="BC27" s="2047"/>
      <c r="BD27" s="2047"/>
      <c r="BE27" s="2047"/>
      <c r="BF27" s="2047"/>
      <c r="BG27" s="2047"/>
      <c r="BH27" s="2047"/>
      <c r="BI27" s="2047"/>
      <c r="BJ27" s="2038"/>
      <c r="BK27" s="2038"/>
      <c r="BL27" s="155"/>
      <c r="BM27" s="949"/>
      <c r="BN27" s="154"/>
      <c r="BO27" s="949"/>
      <c r="BP27" s="165"/>
      <c r="BQ27" s="165"/>
      <c r="BR27" s="165"/>
      <c r="BS27" s="949"/>
      <c r="BT27" s="154"/>
      <c r="BU27" s="949"/>
      <c r="BV27" s="154"/>
      <c r="BW27" s="949"/>
      <c r="BX27" s="154"/>
      <c r="BY27" s="949"/>
      <c r="BZ27" s="166"/>
      <c r="CA27" s="142"/>
      <c r="CB27" s="145" t="str">
        <f t="shared" si="0"/>
        <v>Riadok bude skrytý.</v>
      </c>
      <c r="CC27" s="1527"/>
      <c r="CW27" s="34"/>
      <c r="CX27" s="106"/>
      <c r="CY27" s="106"/>
      <c r="CZ27" s="106"/>
      <c r="DA27" s="106"/>
      <c r="DS27" s="130">
        <f>SI!BY27</f>
        <v>186</v>
      </c>
      <c r="DZ27" s="131">
        <f>SI!BZ27</f>
        <v>0</v>
      </c>
    </row>
    <row r="28" spans="1:130" ht="3.1" hidden="1" customHeight="1" x14ac:dyDescent="0.25">
      <c r="A28" s="141"/>
      <c r="B28" s="167"/>
      <c r="C28" s="165"/>
      <c r="D28" s="165"/>
      <c r="E28" s="165"/>
      <c r="F28" s="165"/>
      <c r="G28" s="165"/>
      <c r="H28" s="165"/>
      <c r="I28" s="165"/>
      <c r="J28" s="165"/>
      <c r="K28" s="165"/>
      <c r="L28" s="165"/>
      <c r="M28" s="165"/>
      <c r="N28" s="165"/>
      <c r="O28" s="165"/>
      <c r="P28" s="165"/>
      <c r="Q28" s="165"/>
      <c r="R28" s="165"/>
      <c r="S28" s="165"/>
      <c r="T28" s="165"/>
      <c r="U28" s="165"/>
      <c r="V28" s="165"/>
      <c r="W28" s="165"/>
      <c r="X28" s="176"/>
      <c r="Y28" s="165"/>
      <c r="Z28" s="165"/>
      <c r="AA28" s="165"/>
      <c r="AB28" s="165"/>
      <c r="AC28" s="165"/>
      <c r="AD28" s="165"/>
      <c r="AE28" s="165"/>
      <c r="AF28" s="165"/>
      <c r="AG28" s="165"/>
      <c r="AH28" s="165"/>
      <c r="AI28" s="165"/>
      <c r="AJ28" s="165"/>
      <c r="AK28" s="165"/>
      <c r="AL28" s="165"/>
      <c r="AM28" s="165"/>
      <c r="AN28" s="165"/>
      <c r="AO28" s="165"/>
      <c r="AP28" s="180"/>
      <c r="AQ28" s="180"/>
      <c r="AR28" s="180"/>
      <c r="AS28" s="180"/>
      <c r="AT28" s="180"/>
      <c r="AU28" s="180"/>
      <c r="AV28" s="181"/>
      <c r="AW28" s="182"/>
      <c r="AX28" s="2047"/>
      <c r="AY28" s="2047"/>
      <c r="AZ28" s="2047"/>
      <c r="BA28" s="2047"/>
      <c r="BB28" s="2047"/>
      <c r="BC28" s="2047"/>
      <c r="BD28" s="2047"/>
      <c r="BE28" s="2047"/>
      <c r="BF28" s="2047"/>
      <c r="BG28" s="2047"/>
      <c r="BH28" s="2047"/>
      <c r="BI28" s="2047"/>
      <c r="BJ28" s="165"/>
      <c r="BK28" s="165"/>
      <c r="BL28" s="165"/>
      <c r="BM28" s="165"/>
      <c r="BN28" s="165"/>
      <c r="BO28" s="165"/>
      <c r="BP28" s="165"/>
      <c r="BQ28" s="165"/>
      <c r="BR28" s="165"/>
      <c r="BS28" s="165"/>
      <c r="BT28" s="165"/>
      <c r="BU28" s="165"/>
      <c r="BV28" s="165"/>
      <c r="BW28" s="165"/>
      <c r="BX28" s="165"/>
      <c r="BY28" s="165"/>
      <c r="BZ28" s="178"/>
      <c r="CA28" s="142"/>
      <c r="CB28" s="145" t="str">
        <f t="shared" si="0"/>
        <v>Riadok bude skrytý.</v>
      </c>
      <c r="CC28" s="1527"/>
      <c r="CW28" s="34"/>
      <c r="CX28" s="106"/>
      <c r="CY28" s="106"/>
      <c r="CZ28" s="106"/>
      <c r="DA28" s="106"/>
      <c r="DS28" s="130">
        <f>SI!BY28</f>
        <v>944</v>
      </c>
      <c r="DZ28" s="131">
        <f>SI!BZ28</f>
        <v>0</v>
      </c>
    </row>
    <row r="29" spans="1:130" ht="3.75" hidden="1" customHeight="1" x14ac:dyDescent="0.25">
      <c r="A29" s="141"/>
      <c r="B29" s="167"/>
      <c r="C29" s="2041" t="s">
        <v>19</v>
      </c>
      <c r="D29" s="2041"/>
      <c r="E29" s="2041"/>
      <c r="F29" s="2041"/>
      <c r="G29" s="2041"/>
      <c r="H29" s="2041"/>
      <c r="I29" s="2041"/>
      <c r="J29" s="2041"/>
      <c r="K29" s="2041"/>
      <c r="L29" s="2041"/>
      <c r="M29" s="2041"/>
      <c r="N29" s="2041"/>
      <c r="O29" s="2041"/>
      <c r="P29" s="2041"/>
      <c r="Q29" s="2041"/>
      <c r="R29" s="2041"/>
      <c r="S29" s="2041"/>
      <c r="T29" s="165"/>
      <c r="U29" s="165"/>
      <c r="V29" s="165"/>
      <c r="W29" s="165"/>
      <c r="X29" s="176"/>
      <c r="Y29" s="165"/>
      <c r="Z29" s="165"/>
      <c r="AA29" s="165"/>
      <c r="AB29" s="165"/>
      <c r="AC29" s="165"/>
      <c r="AD29" s="165"/>
      <c r="AE29" s="165"/>
      <c r="AF29" s="165"/>
      <c r="AG29" s="165"/>
      <c r="AH29" s="165"/>
      <c r="AI29" s="165"/>
      <c r="AJ29" s="165"/>
      <c r="AK29" s="165"/>
      <c r="AL29" s="165"/>
      <c r="AM29" s="165"/>
      <c r="AN29" s="165"/>
      <c r="AO29" s="165"/>
      <c r="AP29" s="180"/>
      <c r="AQ29" s="180"/>
      <c r="AR29" s="180"/>
      <c r="AS29" s="180"/>
      <c r="AT29" s="180"/>
      <c r="AU29" s="180"/>
      <c r="AV29" s="181"/>
      <c r="AW29" s="182"/>
      <c r="AX29" s="2047"/>
      <c r="AY29" s="2047"/>
      <c r="AZ29" s="2047"/>
      <c r="BA29" s="2047"/>
      <c r="BB29" s="2047"/>
      <c r="BC29" s="2047"/>
      <c r="BD29" s="2047"/>
      <c r="BE29" s="2047"/>
      <c r="BF29" s="2047"/>
      <c r="BG29" s="2047"/>
      <c r="BH29" s="2047"/>
      <c r="BI29" s="2047"/>
      <c r="BJ29" s="165"/>
      <c r="BK29" s="165"/>
      <c r="BL29" s="165"/>
      <c r="BM29" s="165"/>
      <c r="BN29" s="165"/>
      <c r="BO29" s="165"/>
      <c r="BP29" s="165"/>
      <c r="BQ29" s="165"/>
      <c r="BR29" s="165"/>
      <c r="BS29" s="165"/>
      <c r="BT29" s="165"/>
      <c r="BU29" s="165"/>
      <c r="BV29" s="165"/>
      <c r="BW29" s="165"/>
      <c r="BX29" s="165"/>
      <c r="BY29" s="165"/>
      <c r="BZ29" s="178"/>
      <c r="CA29" s="142"/>
      <c r="CB29" s="145" t="str">
        <f t="shared" si="0"/>
        <v>Riadok bude skrytý.</v>
      </c>
      <c r="CC29" s="1527"/>
      <c r="CW29" s="34"/>
      <c r="CX29" s="106"/>
      <c r="CY29" s="106"/>
      <c r="CZ29" s="106"/>
      <c r="DA29" s="106"/>
      <c r="DS29" s="130">
        <f>SI!BY29</f>
        <v>120</v>
      </c>
      <c r="DZ29" s="131">
        <f>SI!BZ29</f>
        <v>0</v>
      </c>
    </row>
    <row r="30" spans="1:130" ht="3.75" hidden="1" customHeight="1" x14ac:dyDescent="0.25">
      <c r="A30" s="141"/>
      <c r="B30" s="167"/>
      <c r="C30" s="2041"/>
      <c r="D30" s="2041"/>
      <c r="E30" s="2041"/>
      <c r="F30" s="2041"/>
      <c r="G30" s="2041"/>
      <c r="H30" s="2041"/>
      <c r="I30" s="2041"/>
      <c r="J30" s="2041"/>
      <c r="K30" s="2041"/>
      <c r="L30" s="2041"/>
      <c r="M30" s="2041"/>
      <c r="N30" s="2041"/>
      <c r="O30" s="2041"/>
      <c r="P30" s="2041"/>
      <c r="Q30" s="2041"/>
      <c r="R30" s="2041"/>
      <c r="S30" s="2041"/>
      <c r="T30" s="165"/>
      <c r="U30" s="165"/>
      <c r="V30" s="165"/>
      <c r="W30" s="165"/>
      <c r="X30" s="176"/>
      <c r="Y30" s="165"/>
      <c r="Z30" s="165"/>
      <c r="AA30" s="2035"/>
      <c r="AB30" s="155"/>
      <c r="AC30" s="165"/>
      <c r="AD30" s="2043" t="s">
        <v>907</v>
      </c>
      <c r="AE30" s="2043"/>
      <c r="AF30" s="2043"/>
      <c r="AG30" s="2043"/>
      <c r="AH30" s="2043"/>
      <c r="AI30" s="2043"/>
      <c r="AJ30" s="2043"/>
      <c r="AK30" s="2043"/>
      <c r="AL30" s="165"/>
      <c r="AM30" s="2036"/>
      <c r="AN30" s="165"/>
      <c r="AO30" s="165"/>
      <c r="AP30" s="2039" t="s">
        <v>909</v>
      </c>
      <c r="AQ30" s="2039"/>
      <c r="AR30" s="2039"/>
      <c r="AS30" s="2039"/>
      <c r="AT30" s="2039"/>
      <c r="AU30" s="2039"/>
      <c r="AV30" s="2040"/>
      <c r="AW30" s="179"/>
      <c r="AX30" s="2047"/>
      <c r="AY30" s="2047"/>
      <c r="AZ30" s="2047"/>
      <c r="BA30" s="2047"/>
      <c r="BB30" s="2047"/>
      <c r="BC30" s="2047"/>
      <c r="BD30" s="2047"/>
      <c r="BE30" s="2047"/>
      <c r="BF30" s="2047"/>
      <c r="BG30" s="2047"/>
      <c r="BH30" s="2047"/>
      <c r="BI30" s="2047"/>
      <c r="BJ30" s="165"/>
      <c r="BK30" s="165"/>
      <c r="BL30" s="165"/>
      <c r="BM30" s="165"/>
      <c r="BN30" s="165"/>
      <c r="BO30" s="165"/>
      <c r="BP30" s="165"/>
      <c r="BQ30" s="165"/>
      <c r="BR30" s="165"/>
      <c r="BS30" s="165"/>
      <c r="BT30" s="165"/>
      <c r="BU30" s="165"/>
      <c r="BV30" s="165"/>
      <c r="BW30" s="165"/>
      <c r="BX30" s="165"/>
      <c r="BY30" s="165"/>
      <c r="BZ30" s="178"/>
      <c r="CA30" s="142"/>
      <c r="CB30" s="145" t="str">
        <f t="shared" si="0"/>
        <v>Riadok bude skrytý.</v>
      </c>
      <c r="CC30" s="1527"/>
      <c r="CE30" s="111"/>
      <c r="CF30" s="111"/>
      <c r="CG30" s="111"/>
      <c r="CH30" s="111"/>
      <c r="CI30" s="111"/>
      <c r="CJ30" s="111"/>
      <c r="CK30" s="111"/>
      <c r="CL30" s="111"/>
      <c r="CM30" s="111"/>
      <c r="CN30" s="111"/>
      <c r="CO30" s="111"/>
      <c r="CP30" s="111"/>
      <c r="CQ30" s="111"/>
      <c r="CR30" s="111"/>
      <c r="CS30" s="111"/>
      <c r="CT30" s="111"/>
      <c r="CU30" s="111"/>
      <c r="CV30" s="111"/>
      <c r="CW30" s="34"/>
      <c r="CX30" s="106"/>
      <c r="CY30" s="106"/>
      <c r="CZ30" s="106"/>
      <c r="DA30" s="106"/>
      <c r="DS30" s="130">
        <f>SI!BY30</f>
        <v>176</v>
      </c>
      <c r="DZ30" s="131">
        <f>SI!BZ30</f>
        <v>0</v>
      </c>
    </row>
    <row r="31" spans="1:130" ht="3.75" hidden="1" customHeight="1" x14ac:dyDescent="0.25">
      <c r="A31" s="141"/>
      <c r="B31" s="167"/>
      <c r="C31" s="2041"/>
      <c r="D31" s="2041"/>
      <c r="E31" s="2041"/>
      <c r="F31" s="2041"/>
      <c r="G31" s="2041"/>
      <c r="H31" s="2041"/>
      <c r="I31" s="2041"/>
      <c r="J31" s="2041"/>
      <c r="K31" s="2041"/>
      <c r="L31" s="2041"/>
      <c r="M31" s="2041"/>
      <c r="N31" s="2041"/>
      <c r="O31" s="2041"/>
      <c r="P31" s="2041"/>
      <c r="Q31" s="2041"/>
      <c r="R31" s="2041"/>
      <c r="S31" s="2041"/>
      <c r="T31" s="165"/>
      <c r="U31" s="165"/>
      <c r="V31" s="165"/>
      <c r="W31" s="165"/>
      <c r="X31" s="176"/>
      <c r="Y31" s="165"/>
      <c r="Z31" s="165"/>
      <c r="AA31" s="2035"/>
      <c r="AB31" s="155"/>
      <c r="AC31" s="165"/>
      <c r="AD31" s="2043"/>
      <c r="AE31" s="2043"/>
      <c r="AF31" s="2043"/>
      <c r="AG31" s="2043"/>
      <c r="AH31" s="2043"/>
      <c r="AI31" s="2043"/>
      <c r="AJ31" s="2043"/>
      <c r="AK31" s="2043"/>
      <c r="AL31" s="165"/>
      <c r="AM31" s="2036"/>
      <c r="AN31" s="165"/>
      <c r="AO31" s="165"/>
      <c r="AP31" s="2039"/>
      <c r="AQ31" s="2039"/>
      <c r="AR31" s="2039"/>
      <c r="AS31" s="2039"/>
      <c r="AT31" s="2039"/>
      <c r="AU31" s="2039"/>
      <c r="AV31" s="2040"/>
      <c r="AW31" s="179"/>
      <c r="AX31" s="2047"/>
      <c r="AY31" s="2047"/>
      <c r="AZ31" s="2047"/>
      <c r="BA31" s="2047"/>
      <c r="BB31" s="2047"/>
      <c r="BC31" s="2047"/>
      <c r="BD31" s="2047"/>
      <c r="BE31" s="2047"/>
      <c r="BF31" s="2047"/>
      <c r="BG31" s="2047"/>
      <c r="BH31" s="2047"/>
      <c r="BI31" s="2047"/>
      <c r="BJ31" s="2038" t="s">
        <v>21</v>
      </c>
      <c r="BK31" s="2038"/>
      <c r="BL31" s="165"/>
      <c r="BM31" s="949">
        <v>1</v>
      </c>
      <c r="BN31" s="168"/>
      <c r="BO31" s="949">
        <v>2</v>
      </c>
      <c r="BP31" s="165"/>
      <c r="BQ31" s="165"/>
      <c r="BR31" s="165"/>
      <c r="BS31" s="949">
        <v>2</v>
      </c>
      <c r="BT31" s="168"/>
      <c r="BU31" s="949">
        <v>0</v>
      </c>
      <c r="BV31" s="168"/>
      <c r="BW31" s="949">
        <v>2</v>
      </c>
      <c r="BX31" s="168"/>
      <c r="BY31" s="949">
        <v>1</v>
      </c>
      <c r="BZ31" s="178"/>
      <c r="CA31" s="142"/>
      <c r="CB31" s="145" t="str">
        <f t="shared" si="0"/>
        <v>Riadok bude skrytý.</v>
      </c>
      <c r="CC31" s="1527"/>
      <c r="CD31" s="111"/>
      <c r="CE31" s="111"/>
      <c r="CF31" s="111"/>
      <c r="CG31" s="111"/>
      <c r="CH31" s="111"/>
      <c r="CI31" s="111"/>
      <c r="CJ31" s="111"/>
      <c r="CK31" s="111"/>
      <c r="CL31" s="111"/>
      <c r="CM31" s="111"/>
      <c r="CN31" s="111"/>
      <c r="CO31" s="111"/>
      <c r="CP31" s="111"/>
      <c r="CQ31" s="111"/>
      <c r="CR31" s="111"/>
      <c r="CS31" s="111"/>
      <c r="CT31" s="111"/>
      <c r="CU31" s="111"/>
      <c r="CV31" s="111"/>
      <c r="CW31" s="34"/>
      <c r="CX31" s="106"/>
      <c r="CY31" s="106"/>
      <c r="CZ31" s="106"/>
      <c r="DA31" s="106"/>
      <c r="DS31" s="130">
        <f>SI!BY31</f>
        <v>115</v>
      </c>
      <c r="DZ31" s="131">
        <f>SI!BZ31</f>
        <v>0</v>
      </c>
    </row>
    <row r="32" spans="1:130" ht="3.75" hidden="1" customHeight="1" x14ac:dyDescent="0.25">
      <c r="A32" s="141"/>
      <c r="B32" s="183"/>
      <c r="C32" s="2041"/>
      <c r="D32" s="2041"/>
      <c r="E32" s="2041"/>
      <c r="F32" s="2041"/>
      <c r="G32" s="2041"/>
      <c r="H32" s="2041"/>
      <c r="I32" s="2041"/>
      <c r="J32" s="2041"/>
      <c r="K32" s="2041"/>
      <c r="L32" s="2041"/>
      <c r="M32" s="2041"/>
      <c r="N32" s="2041"/>
      <c r="O32" s="2041"/>
      <c r="P32" s="2041"/>
      <c r="Q32" s="2041"/>
      <c r="R32" s="2041"/>
      <c r="S32" s="2041"/>
      <c r="T32" s="184"/>
      <c r="U32" s="184"/>
      <c r="V32" s="184"/>
      <c r="W32" s="184"/>
      <c r="X32" s="176"/>
      <c r="Y32" s="165"/>
      <c r="Z32" s="165"/>
      <c r="AA32" s="2035"/>
      <c r="AB32" s="155"/>
      <c r="AC32" s="165"/>
      <c r="AD32" s="2043"/>
      <c r="AE32" s="2043"/>
      <c r="AF32" s="2043"/>
      <c r="AG32" s="2043"/>
      <c r="AH32" s="2043"/>
      <c r="AI32" s="2043"/>
      <c r="AJ32" s="2043"/>
      <c r="AK32" s="2043"/>
      <c r="AL32" s="165"/>
      <c r="AM32" s="2036"/>
      <c r="AN32" s="165"/>
      <c r="AO32" s="165"/>
      <c r="AP32" s="2039"/>
      <c r="AQ32" s="2039"/>
      <c r="AR32" s="2039"/>
      <c r="AS32" s="2039"/>
      <c r="AT32" s="2039"/>
      <c r="AU32" s="2039"/>
      <c r="AV32" s="2040"/>
      <c r="AW32" s="179"/>
      <c r="AX32" s="2047"/>
      <c r="AY32" s="2047"/>
      <c r="AZ32" s="2047"/>
      <c r="BA32" s="2047"/>
      <c r="BB32" s="2047"/>
      <c r="BC32" s="2047"/>
      <c r="BD32" s="2047"/>
      <c r="BE32" s="2047"/>
      <c r="BF32" s="2047"/>
      <c r="BG32" s="2047"/>
      <c r="BH32" s="2047"/>
      <c r="BI32" s="2047"/>
      <c r="BJ32" s="2038"/>
      <c r="BK32" s="2038"/>
      <c r="BL32" s="165"/>
      <c r="BM32" s="949"/>
      <c r="BN32" s="154"/>
      <c r="BO32" s="949"/>
      <c r="BP32" s="165"/>
      <c r="BQ32" s="165"/>
      <c r="BR32" s="165"/>
      <c r="BS32" s="949"/>
      <c r="BT32" s="154"/>
      <c r="BU32" s="949"/>
      <c r="BV32" s="154"/>
      <c r="BW32" s="949"/>
      <c r="BX32" s="154"/>
      <c r="BY32" s="949"/>
      <c r="BZ32" s="166"/>
      <c r="CA32" s="142"/>
      <c r="CB32" s="145" t="str">
        <f t="shared" si="0"/>
        <v>Riadok bude skrytý.</v>
      </c>
      <c r="CC32" s="1527"/>
      <c r="CD32" s="111"/>
      <c r="CE32" s="111"/>
      <c r="CF32" s="111"/>
      <c r="CG32" s="111"/>
      <c r="CH32" s="111"/>
      <c r="CI32" s="111"/>
      <c r="CJ32" s="111"/>
      <c r="CK32" s="111"/>
      <c r="CL32" s="111"/>
      <c r="CM32" s="111"/>
      <c r="CN32" s="111"/>
      <c r="CO32" s="111"/>
      <c r="CP32" s="111"/>
      <c r="CQ32" s="111"/>
      <c r="CR32" s="111"/>
      <c r="CS32" s="111"/>
      <c r="CT32" s="111"/>
      <c r="CU32" s="111"/>
      <c r="CV32" s="111"/>
      <c r="CW32" s="34"/>
      <c r="CX32" s="106"/>
      <c r="CY32" s="106"/>
      <c r="CZ32" s="106"/>
      <c r="DA32" s="106"/>
      <c r="DS32" s="130">
        <f>SI!BY32</f>
        <v>105</v>
      </c>
      <c r="DZ32" s="131">
        <f>SI!BZ32</f>
        <v>0</v>
      </c>
    </row>
    <row r="33" spans="1:130" ht="3.75" hidden="1" customHeight="1" x14ac:dyDescent="0.25">
      <c r="A33" s="141"/>
      <c r="B33" s="167"/>
      <c r="C33" s="165"/>
      <c r="D33" s="165"/>
      <c r="E33" s="165"/>
      <c r="F33" s="165"/>
      <c r="G33" s="165"/>
      <c r="H33" s="165"/>
      <c r="I33" s="165"/>
      <c r="J33" s="165"/>
      <c r="K33" s="165"/>
      <c r="L33" s="165"/>
      <c r="M33" s="165"/>
      <c r="N33" s="165"/>
      <c r="O33" s="165"/>
      <c r="P33" s="165"/>
      <c r="Q33" s="165"/>
      <c r="R33" s="165"/>
      <c r="S33" s="165"/>
      <c r="T33" s="165"/>
      <c r="U33" s="165"/>
      <c r="V33" s="165"/>
      <c r="W33" s="165"/>
      <c r="X33" s="176"/>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77"/>
      <c r="AW33" s="176"/>
      <c r="AX33" s="165"/>
      <c r="AY33" s="165"/>
      <c r="AZ33" s="185"/>
      <c r="BA33" s="185"/>
      <c r="BB33" s="185"/>
      <c r="BC33" s="185"/>
      <c r="BD33" s="185"/>
      <c r="BE33" s="185"/>
      <c r="BF33" s="185"/>
      <c r="BG33" s="185"/>
      <c r="BH33" s="185"/>
      <c r="BI33" s="185"/>
      <c r="BJ33" s="2038"/>
      <c r="BK33" s="2038"/>
      <c r="BL33" s="165"/>
      <c r="BM33" s="949"/>
      <c r="BN33" s="154"/>
      <c r="BO33" s="949"/>
      <c r="BP33" s="165"/>
      <c r="BQ33" s="165"/>
      <c r="BR33" s="165"/>
      <c r="BS33" s="949"/>
      <c r="BT33" s="154"/>
      <c r="BU33" s="949"/>
      <c r="BV33" s="154"/>
      <c r="BW33" s="949"/>
      <c r="BX33" s="154"/>
      <c r="BY33" s="949"/>
      <c r="BZ33" s="166"/>
      <c r="CA33" s="142"/>
      <c r="CB33" s="145" t="str">
        <f t="shared" si="0"/>
        <v>Riadok bude skrytý.</v>
      </c>
      <c r="CC33" s="1527"/>
      <c r="CD33" s="111"/>
      <c r="CE33" s="111"/>
      <c r="CF33" s="111"/>
      <c r="CG33" s="111"/>
      <c r="CH33" s="111"/>
      <c r="CI33" s="111"/>
      <c r="CJ33" s="111"/>
      <c r="CK33" s="111"/>
      <c r="CL33" s="111"/>
      <c r="CM33" s="111"/>
      <c r="CN33" s="111"/>
      <c r="CO33" s="111"/>
      <c r="CP33" s="111"/>
      <c r="CQ33" s="111"/>
      <c r="CR33" s="111"/>
      <c r="CS33" s="111"/>
      <c r="CT33" s="111"/>
      <c r="CU33" s="111"/>
      <c r="CV33" s="111"/>
      <c r="CW33" s="34"/>
      <c r="CX33" s="106"/>
      <c r="CY33" s="106"/>
      <c r="CZ33" s="106"/>
      <c r="DA33" s="106"/>
      <c r="DS33" s="130">
        <f>SI!BY33</f>
        <v>120</v>
      </c>
      <c r="DZ33" s="131">
        <f>SI!BZ33</f>
        <v>0</v>
      </c>
    </row>
    <row r="34" spans="1:130" ht="4.5999999999999996" hidden="1" customHeight="1" x14ac:dyDescent="0.25">
      <c r="A34" s="141"/>
      <c r="B34" s="167"/>
      <c r="C34" s="949">
        <v>5</v>
      </c>
      <c r="D34" s="168"/>
      <c r="E34" s="949">
        <v>0</v>
      </c>
      <c r="F34" s="168"/>
      <c r="G34" s="949">
        <v>4</v>
      </c>
      <c r="H34" s="168"/>
      <c r="I34" s="949">
        <v>5</v>
      </c>
      <c r="J34" s="168"/>
      <c r="K34" s="949">
        <v>8</v>
      </c>
      <c r="L34" s="168"/>
      <c r="M34" s="949">
        <v>2</v>
      </c>
      <c r="N34" s="168"/>
      <c r="O34" s="949">
        <v>7</v>
      </c>
      <c r="P34" s="168"/>
      <c r="Q34" s="949">
        <v>2</v>
      </c>
      <c r="R34" s="165"/>
      <c r="S34" s="165"/>
      <c r="T34" s="165"/>
      <c r="U34" s="165"/>
      <c r="V34" s="165"/>
      <c r="W34" s="165"/>
      <c r="X34" s="176"/>
      <c r="Y34" s="165"/>
      <c r="Z34" s="165"/>
      <c r="AA34" s="165"/>
      <c r="AB34" s="165"/>
      <c r="AC34" s="165"/>
      <c r="AD34" s="165"/>
      <c r="AE34" s="165"/>
      <c r="AF34" s="165"/>
      <c r="AG34" s="165"/>
      <c r="AH34" s="165"/>
      <c r="AI34" s="165"/>
      <c r="AJ34" s="165"/>
      <c r="AK34" s="165"/>
      <c r="AL34" s="165"/>
      <c r="AM34" s="165"/>
      <c r="AN34" s="2044" t="s">
        <v>910</v>
      </c>
      <c r="AO34" s="2044"/>
      <c r="AP34" s="2044"/>
      <c r="AQ34" s="2044"/>
      <c r="AR34" s="2044"/>
      <c r="AS34" s="2044"/>
      <c r="AT34" s="2044"/>
      <c r="AU34" s="2044"/>
      <c r="AV34" s="2045"/>
      <c r="AW34" s="186"/>
      <c r="AX34" s="165"/>
      <c r="AY34" s="165"/>
      <c r="AZ34" s="165"/>
      <c r="BA34" s="165"/>
      <c r="BB34" s="165"/>
      <c r="BC34" s="165"/>
      <c r="BD34" s="165"/>
      <c r="BE34" s="165"/>
      <c r="BF34" s="165"/>
      <c r="BG34" s="165"/>
      <c r="BH34" s="165"/>
      <c r="BI34" s="165"/>
      <c r="BJ34" s="2038"/>
      <c r="BK34" s="2038"/>
      <c r="BL34" s="165"/>
      <c r="BM34" s="949"/>
      <c r="BN34" s="154"/>
      <c r="BO34" s="949"/>
      <c r="BP34" s="165"/>
      <c r="BQ34" s="165"/>
      <c r="BR34" s="165"/>
      <c r="BS34" s="949"/>
      <c r="BT34" s="154"/>
      <c r="BU34" s="949"/>
      <c r="BV34" s="154"/>
      <c r="BW34" s="949"/>
      <c r="BX34" s="154"/>
      <c r="BY34" s="949"/>
      <c r="BZ34" s="166"/>
      <c r="CA34" s="142"/>
      <c r="CB34" s="145" t="str">
        <f t="shared" si="0"/>
        <v>Riadok bude skrytý.</v>
      </c>
      <c r="CC34" s="1527"/>
      <c r="CD34" s="111"/>
      <c r="CE34" s="111"/>
      <c r="CF34" s="111"/>
      <c r="CG34" s="111"/>
      <c r="CH34" s="111"/>
      <c r="CI34" s="111"/>
      <c r="CJ34" s="111"/>
      <c r="CK34" s="111"/>
      <c r="CL34" s="111"/>
      <c r="CM34" s="111"/>
      <c r="CN34" s="111"/>
      <c r="CO34" s="111"/>
      <c r="CP34" s="111"/>
      <c r="CQ34" s="111"/>
      <c r="CR34" s="111"/>
      <c r="CS34" s="111"/>
      <c r="CT34" s="111"/>
      <c r="CU34" s="111"/>
      <c r="CV34" s="111"/>
      <c r="CW34" s="34"/>
      <c r="CX34" s="106"/>
      <c r="CY34" s="106"/>
      <c r="CZ34" s="106"/>
      <c r="DA34" s="106"/>
      <c r="DS34" s="130">
        <f>SI!BY34</f>
        <v>101</v>
      </c>
      <c r="DZ34" s="131">
        <f>SI!BZ34</f>
        <v>0</v>
      </c>
    </row>
    <row r="35" spans="1:130" ht="3.75" hidden="1" customHeight="1" x14ac:dyDescent="0.25">
      <c r="A35" s="141"/>
      <c r="B35" s="167"/>
      <c r="C35" s="949"/>
      <c r="D35" s="154"/>
      <c r="E35" s="949"/>
      <c r="F35" s="154"/>
      <c r="G35" s="949"/>
      <c r="H35" s="154"/>
      <c r="I35" s="949"/>
      <c r="J35" s="154"/>
      <c r="K35" s="949"/>
      <c r="L35" s="154"/>
      <c r="M35" s="949"/>
      <c r="N35" s="154"/>
      <c r="O35" s="949"/>
      <c r="P35" s="154"/>
      <c r="Q35" s="949"/>
      <c r="R35" s="165"/>
      <c r="S35" s="165"/>
      <c r="T35" s="165"/>
      <c r="U35" s="165"/>
      <c r="V35" s="165"/>
      <c r="W35" s="165"/>
      <c r="X35" s="176"/>
      <c r="Y35" s="165"/>
      <c r="Z35" s="165"/>
      <c r="AA35" s="2035"/>
      <c r="AB35" s="155"/>
      <c r="AC35" s="165"/>
      <c r="AD35" s="2037" t="s">
        <v>908</v>
      </c>
      <c r="AE35" s="2037"/>
      <c r="AF35" s="2037"/>
      <c r="AG35" s="2037"/>
      <c r="AH35" s="2037"/>
      <c r="AI35" s="2037"/>
      <c r="AJ35" s="2037"/>
      <c r="AK35" s="2037"/>
      <c r="AL35" s="165"/>
      <c r="AM35" s="165"/>
      <c r="AN35" s="2044"/>
      <c r="AO35" s="2044"/>
      <c r="AP35" s="2044"/>
      <c r="AQ35" s="2044"/>
      <c r="AR35" s="2044"/>
      <c r="AS35" s="2044"/>
      <c r="AT35" s="2044"/>
      <c r="AU35" s="2044"/>
      <c r="AV35" s="2045"/>
      <c r="AW35" s="186"/>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6"/>
      <c r="CA35" s="142"/>
      <c r="CB35" s="145" t="str">
        <f t="shared" si="0"/>
        <v>Riadok bude skrytý.</v>
      </c>
      <c r="CC35" s="1527"/>
      <c r="CD35" s="87"/>
      <c r="CE35" s="87"/>
      <c r="CF35" s="87"/>
      <c r="CG35" s="87"/>
      <c r="CH35" s="87"/>
      <c r="CI35" s="87"/>
      <c r="CJ35" s="87"/>
      <c r="CK35" s="87"/>
      <c r="CL35" s="87"/>
      <c r="CM35" s="87"/>
      <c r="CN35" s="87"/>
      <c r="CO35" s="87"/>
      <c r="CP35" s="87"/>
      <c r="CQ35" s="87"/>
      <c r="CR35" s="87"/>
      <c r="CS35" s="87"/>
      <c r="CT35" s="87"/>
      <c r="CU35" s="87"/>
      <c r="CV35" s="87"/>
      <c r="CW35" s="34"/>
      <c r="CX35" s="106"/>
      <c r="CY35" s="106"/>
      <c r="CZ35" s="106"/>
      <c r="DA35" s="106"/>
      <c r="DS35" s="130">
        <f>SI!BY35</f>
        <v>102</v>
      </c>
      <c r="DZ35" s="131">
        <f>SI!BZ35</f>
        <v>0</v>
      </c>
    </row>
    <row r="36" spans="1:130" ht="4.5999999999999996" hidden="1" customHeight="1" x14ac:dyDescent="0.25">
      <c r="A36" s="141"/>
      <c r="B36" s="167"/>
      <c r="C36" s="949"/>
      <c r="D36" s="154"/>
      <c r="E36" s="949"/>
      <c r="F36" s="154"/>
      <c r="G36" s="949"/>
      <c r="H36" s="187"/>
      <c r="I36" s="949"/>
      <c r="J36" s="154"/>
      <c r="K36" s="949"/>
      <c r="L36" s="154"/>
      <c r="M36" s="949"/>
      <c r="N36" s="154"/>
      <c r="O36" s="949"/>
      <c r="P36" s="154"/>
      <c r="Q36" s="949"/>
      <c r="R36" s="165"/>
      <c r="S36" s="165"/>
      <c r="T36" s="165"/>
      <c r="U36" s="165"/>
      <c r="V36" s="165"/>
      <c r="W36" s="165"/>
      <c r="X36" s="176"/>
      <c r="Y36" s="165"/>
      <c r="Z36" s="165"/>
      <c r="AA36" s="2035"/>
      <c r="AB36" s="155"/>
      <c r="AC36" s="165"/>
      <c r="AD36" s="2037"/>
      <c r="AE36" s="2037"/>
      <c r="AF36" s="2037"/>
      <c r="AG36" s="2037"/>
      <c r="AH36" s="2037"/>
      <c r="AI36" s="2037"/>
      <c r="AJ36" s="2037"/>
      <c r="AK36" s="2037"/>
      <c r="AL36" s="165"/>
      <c r="AM36" s="165"/>
      <c r="AN36" s="2044"/>
      <c r="AO36" s="2044"/>
      <c r="AP36" s="2044"/>
      <c r="AQ36" s="2044"/>
      <c r="AR36" s="2044"/>
      <c r="AS36" s="2044"/>
      <c r="AT36" s="2044"/>
      <c r="AU36" s="2044"/>
      <c r="AV36" s="2045"/>
      <c r="AW36" s="188"/>
      <c r="AX36" s="189"/>
      <c r="AY36" s="189"/>
      <c r="AZ36" s="189"/>
      <c r="BA36" s="189"/>
      <c r="BB36" s="189"/>
      <c r="BC36" s="189"/>
      <c r="BD36" s="189"/>
      <c r="BE36" s="189"/>
      <c r="BF36" s="189"/>
      <c r="BG36" s="189"/>
      <c r="BH36" s="189"/>
      <c r="BI36" s="189"/>
      <c r="BJ36" s="189"/>
      <c r="BK36" s="189"/>
      <c r="BL36" s="189"/>
      <c r="BM36" s="189"/>
      <c r="BN36" s="189"/>
      <c r="BO36" s="189"/>
      <c r="BP36" s="189"/>
      <c r="BQ36" s="189"/>
      <c r="BR36" s="189"/>
      <c r="BS36" s="189"/>
      <c r="BT36" s="189"/>
      <c r="BU36" s="189"/>
      <c r="BV36" s="189"/>
      <c r="BW36" s="189"/>
      <c r="BX36" s="189"/>
      <c r="BY36" s="189"/>
      <c r="BZ36" s="190"/>
      <c r="CA36" s="142"/>
      <c r="CB36" s="145" t="str">
        <f t="shared" si="0"/>
        <v>Riadok bude skrytý.</v>
      </c>
      <c r="CC36" s="1527"/>
      <c r="CE36" s="111"/>
      <c r="CF36" s="111"/>
      <c r="CG36" s="111"/>
      <c r="CH36" s="111"/>
      <c r="CI36" s="111"/>
      <c r="CJ36" s="111"/>
      <c r="CK36" s="111"/>
      <c r="CL36" s="111"/>
      <c r="CM36" s="111"/>
      <c r="CN36" s="111"/>
      <c r="CO36" s="111"/>
      <c r="CP36" s="111"/>
      <c r="CQ36" s="111"/>
      <c r="CR36" s="111"/>
      <c r="CS36" s="111"/>
      <c r="CT36" s="111"/>
      <c r="CU36" s="111"/>
      <c r="CV36" s="111"/>
      <c r="CW36" s="34"/>
      <c r="CX36" s="106"/>
      <c r="CY36" s="106"/>
      <c r="CZ36" s="106"/>
      <c r="DA36" s="106"/>
      <c r="DS36" s="130">
        <f>SI!BY36</f>
        <v>184</v>
      </c>
      <c r="DZ36" s="131">
        <f>SI!BZ36</f>
        <v>0</v>
      </c>
    </row>
    <row r="37" spans="1:130" ht="4.5999999999999996" hidden="1" customHeight="1" x14ac:dyDescent="0.25">
      <c r="A37" s="141"/>
      <c r="B37" s="167"/>
      <c r="C37" s="949"/>
      <c r="D37" s="154"/>
      <c r="E37" s="949"/>
      <c r="F37" s="154"/>
      <c r="G37" s="949"/>
      <c r="H37" s="154"/>
      <c r="I37" s="949"/>
      <c r="J37" s="154"/>
      <c r="K37" s="949"/>
      <c r="L37" s="154"/>
      <c r="M37" s="949"/>
      <c r="N37" s="154"/>
      <c r="O37" s="949"/>
      <c r="P37" s="154"/>
      <c r="Q37" s="949"/>
      <c r="R37" s="165"/>
      <c r="S37" s="165"/>
      <c r="T37" s="165"/>
      <c r="U37" s="165"/>
      <c r="V37" s="165"/>
      <c r="W37" s="165"/>
      <c r="X37" s="176"/>
      <c r="Y37" s="165"/>
      <c r="Z37" s="165"/>
      <c r="AA37" s="2035"/>
      <c r="AB37" s="155"/>
      <c r="AC37" s="165"/>
      <c r="AD37" s="2037"/>
      <c r="AE37" s="2037"/>
      <c r="AF37" s="2037"/>
      <c r="AG37" s="2037"/>
      <c r="AH37" s="2037"/>
      <c r="AI37" s="2037"/>
      <c r="AJ37" s="2037"/>
      <c r="AK37" s="2037"/>
      <c r="AL37" s="165"/>
      <c r="AM37" s="165"/>
      <c r="AN37" s="2044"/>
      <c r="AO37" s="2044"/>
      <c r="AP37" s="2044"/>
      <c r="AQ37" s="2044"/>
      <c r="AR37" s="2044"/>
      <c r="AS37" s="2044"/>
      <c r="AT37" s="2044"/>
      <c r="AU37" s="2044"/>
      <c r="AV37" s="2045"/>
      <c r="AW37" s="191"/>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3"/>
      <c r="CA37" s="142"/>
      <c r="CB37" s="145" t="str">
        <f t="shared" si="0"/>
        <v>Riadok bude skrytý.</v>
      </c>
      <c r="CC37" s="1527"/>
      <c r="CD37" s="111"/>
      <c r="CE37" s="111"/>
      <c r="CF37" s="111"/>
      <c r="CG37" s="111"/>
      <c r="CH37" s="111"/>
      <c r="CI37" s="111"/>
      <c r="CJ37" s="111"/>
      <c r="CK37" s="111"/>
      <c r="CL37" s="111"/>
      <c r="CM37" s="111"/>
      <c r="CN37" s="111"/>
      <c r="CO37" s="111"/>
      <c r="CP37" s="111"/>
      <c r="CQ37" s="111"/>
      <c r="CR37" s="111"/>
      <c r="CS37" s="111"/>
      <c r="CT37" s="111"/>
      <c r="CU37" s="111"/>
      <c r="CV37" s="111"/>
      <c r="CW37" s="34"/>
      <c r="CX37" s="106"/>
      <c r="CY37" s="106"/>
      <c r="CZ37" s="106"/>
      <c r="DA37" s="106"/>
      <c r="DS37" s="130">
        <f>SI!BY37</f>
        <v>167</v>
      </c>
      <c r="DZ37" s="131">
        <f>SI!BZ37</f>
        <v>0</v>
      </c>
    </row>
    <row r="38" spans="1:130" ht="3.75" hidden="1" customHeight="1" x14ac:dyDescent="0.25">
      <c r="A38" s="141"/>
      <c r="B38" s="167"/>
      <c r="C38" s="165"/>
      <c r="D38" s="165"/>
      <c r="E38" s="165"/>
      <c r="F38" s="165"/>
      <c r="G38" s="165"/>
      <c r="H38" s="165"/>
      <c r="I38" s="165"/>
      <c r="J38" s="165"/>
      <c r="K38" s="165"/>
      <c r="L38" s="165"/>
      <c r="M38" s="165"/>
      <c r="N38" s="165"/>
      <c r="O38" s="165"/>
      <c r="P38" s="165"/>
      <c r="Q38" s="165"/>
      <c r="R38" s="165"/>
      <c r="S38" s="165"/>
      <c r="T38" s="165"/>
      <c r="U38" s="165"/>
      <c r="V38" s="165"/>
      <c r="W38" s="165"/>
      <c r="X38" s="176"/>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77"/>
      <c r="AW38" s="176"/>
      <c r="AX38" s="2046" t="s">
        <v>917</v>
      </c>
      <c r="AY38" s="2046"/>
      <c r="AZ38" s="2046"/>
      <c r="BA38" s="2046"/>
      <c r="BB38" s="2046"/>
      <c r="BC38" s="2046"/>
      <c r="BD38" s="2046"/>
      <c r="BE38" s="2046"/>
      <c r="BF38" s="2046"/>
      <c r="BG38" s="2046"/>
      <c r="BH38" s="2046"/>
      <c r="BI38" s="2046"/>
      <c r="BJ38" s="194"/>
      <c r="BK38" s="194"/>
      <c r="BL38" s="194"/>
      <c r="BM38" s="194"/>
      <c r="BN38" s="194"/>
      <c r="BO38" s="194"/>
      <c r="BP38" s="194"/>
      <c r="BQ38" s="194"/>
      <c r="BR38" s="194"/>
      <c r="BS38" s="194"/>
      <c r="BT38" s="194"/>
      <c r="BU38" s="194"/>
      <c r="BV38" s="194"/>
      <c r="BW38" s="194"/>
      <c r="BX38" s="194"/>
      <c r="BY38" s="194"/>
      <c r="BZ38" s="166"/>
      <c r="CA38" s="142"/>
      <c r="CB38" s="145" t="str">
        <f t="shared" si="0"/>
        <v>Riadok bude skrytý.</v>
      </c>
      <c r="CC38" s="1527"/>
      <c r="CD38" s="111"/>
      <c r="CE38" s="111"/>
      <c r="CF38" s="111"/>
      <c r="CG38" s="111"/>
      <c r="CH38" s="111"/>
      <c r="CI38" s="111"/>
      <c r="CJ38" s="111"/>
      <c r="CK38" s="111"/>
      <c r="CL38" s="111"/>
      <c r="CM38" s="111"/>
      <c r="CN38" s="111"/>
      <c r="CO38" s="111"/>
      <c r="CP38" s="111"/>
      <c r="CQ38" s="111"/>
      <c r="CR38" s="111"/>
      <c r="CS38" s="111"/>
      <c r="CT38" s="111"/>
      <c r="CU38" s="111"/>
      <c r="CV38" s="111"/>
      <c r="CW38" s="34"/>
      <c r="CX38" s="107"/>
      <c r="CY38" s="108"/>
      <c r="CZ38" s="106"/>
      <c r="DA38" s="106"/>
      <c r="DS38" s="130">
        <f>SI!BY38</f>
        <v>701</v>
      </c>
      <c r="DZ38" s="131">
        <f>SI!BZ38</f>
        <v>0</v>
      </c>
    </row>
    <row r="39" spans="1:130" ht="4.5999999999999996" hidden="1" customHeight="1" x14ac:dyDescent="0.25">
      <c r="A39" s="141"/>
      <c r="B39" s="167"/>
      <c r="C39" s="2041" t="s">
        <v>911</v>
      </c>
      <c r="D39" s="2041"/>
      <c r="E39" s="2041"/>
      <c r="F39" s="2041"/>
      <c r="G39" s="2041"/>
      <c r="H39" s="2041"/>
      <c r="I39" s="2041"/>
      <c r="J39" s="2041"/>
      <c r="K39" s="2041"/>
      <c r="L39" s="2041"/>
      <c r="M39" s="2041"/>
      <c r="N39" s="2041"/>
      <c r="O39" s="2041"/>
      <c r="P39" s="2041"/>
      <c r="Q39" s="2041"/>
      <c r="R39" s="2041"/>
      <c r="S39" s="2041"/>
      <c r="T39" s="165"/>
      <c r="U39" s="165"/>
      <c r="V39" s="165"/>
      <c r="W39" s="165"/>
      <c r="X39" s="195"/>
      <c r="Y39" s="189"/>
      <c r="Z39" s="189"/>
      <c r="AA39" s="189"/>
      <c r="AB39" s="189"/>
      <c r="AC39" s="189"/>
      <c r="AD39" s="189"/>
      <c r="AE39" s="189"/>
      <c r="AF39" s="189"/>
      <c r="AG39" s="189"/>
      <c r="AH39" s="189"/>
      <c r="AI39" s="189"/>
      <c r="AJ39" s="189"/>
      <c r="AK39" s="189"/>
      <c r="AL39" s="189"/>
      <c r="AM39" s="189"/>
      <c r="AN39" s="189"/>
      <c r="AO39" s="189"/>
      <c r="AP39" s="189"/>
      <c r="AQ39" s="189"/>
      <c r="AR39" s="189"/>
      <c r="AS39" s="189"/>
      <c r="AT39" s="189"/>
      <c r="AU39" s="189"/>
      <c r="AV39" s="196"/>
      <c r="AW39" s="176"/>
      <c r="AX39" s="2046"/>
      <c r="AY39" s="2046"/>
      <c r="AZ39" s="2046"/>
      <c r="BA39" s="2046"/>
      <c r="BB39" s="2046"/>
      <c r="BC39" s="2046"/>
      <c r="BD39" s="2046"/>
      <c r="BE39" s="2046"/>
      <c r="BF39" s="2046"/>
      <c r="BG39" s="2046"/>
      <c r="BH39" s="2046"/>
      <c r="BI39" s="2046"/>
      <c r="BJ39" s="2038" t="s">
        <v>22</v>
      </c>
      <c r="BK39" s="2038"/>
      <c r="BL39" s="165"/>
      <c r="BM39" s="949">
        <v>0</v>
      </c>
      <c r="BN39" s="168"/>
      <c r="BO39" s="949">
        <v>1</v>
      </c>
      <c r="BP39" s="194"/>
      <c r="BQ39" s="197"/>
      <c r="BR39" s="197"/>
      <c r="BS39" s="949">
        <v>2</v>
      </c>
      <c r="BT39" s="168"/>
      <c r="BU39" s="949">
        <v>0</v>
      </c>
      <c r="BV39" s="168"/>
      <c r="BW39" s="949">
        <v>2</v>
      </c>
      <c r="BX39" s="168"/>
      <c r="BY39" s="949">
        <v>0</v>
      </c>
      <c r="BZ39" s="166"/>
      <c r="CA39" s="142"/>
      <c r="CB39" s="145" t="str">
        <f t="shared" si="0"/>
        <v>Riadok bude skrytý.</v>
      </c>
      <c r="CC39" s="1527"/>
      <c r="CD39" s="111"/>
      <c r="CE39" s="111"/>
      <c r="CF39" s="111"/>
      <c r="CG39" s="111"/>
      <c r="CH39" s="111"/>
      <c r="CI39" s="111"/>
      <c r="CJ39" s="111"/>
      <c r="CK39" s="111"/>
      <c r="CL39" s="111"/>
      <c r="CM39" s="111"/>
      <c r="CN39" s="111"/>
      <c r="CO39" s="111"/>
      <c r="CP39" s="111"/>
      <c r="CQ39" s="111"/>
      <c r="CR39" s="111"/>
      <c r="CS39" s="111"/>
      <c r="CT39" s="111"/>
      <c r="CU39" s="111"/>
      <c r="CV39" s="111"/>
      <c r="CW39" s="34"/>
      <c r="CX39" s="107"/>
      <c r="CY39" s="108"/>
      <c r="CZ39" s="106"/>
      <c r="DA39" s="106"/>
      <c r="DS39" s="130">
        <f>SI!BY39</f>
        <v>435</v>
      </c>
      <c r="DZ39" s="131">
        <f>SI!BZ39</f>
        <v>0</v>
      </c>
    </row>
    <row r="40" spans="1:130" ht="4.5999999999999996" hidden="1" customHeight="1" x14ac:dyDescent="0.25">
      <c r="A40" s="141"/>
      <c r="B40" s="167"/>
      <c r="C40" s="2041"/>
      <c r="D40" s="2041"/>
      <c r="E40" s="2041"/>
      <c r="F40" s="2041"/>
      <c r="G40" s="2041"/>
      <c r="H40" s="2041"/>
      <c r="I40" s="2041"/>
      <c r="J40" s="2041"/>
      <c r="K40" s="2041"/>
      <c r="L40" s="2041"/>
      <c r="M40" s="2041"/>
      <c r="N40" s="2041"/>
      <c r="O40" s="2041"/>
      <c r="P40" s="2041"/>
      <c r="Q40" s="2041"/>
      <c r="R40" s="2041"/>
      <c r="S40" s="2041"/>
      <c r="T40" s="165"/>
      <c r="U40" s="165"/>
      <c r="V40" s="165"/>
      <c r="W40" s="165"/>
      <c r="X40" s="198"/>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9"/>
      <c r="AW40" s="176"/>
      <c r="AX40" s="2046"/>
      <c r="AY40" s="2046"/>
      <c r="AZ40" s="2046"/>
      <c r="BA40" s="2046"/>
      <c r="BB40" s="2046"/>
      <c r="BC40" s="2046"/>
      <c r="BD40" s="2046"/>
      <c r="BE40" s="2046"/>
      <c r="BF40" s="2046"/>
      <c r="BG40" s="2046"/>
      <c r="BH40" s="2046"/>
      <c r="BI40" s="2046"/>
      <c r="BJ40" s="2038"/>
      <c r="BK40" s="2038"/>
      <c r="BL40" s="165"/>
      <c r="BM40" s="949"/>
      <c r="BN40" s="154"/>
      <c r="BO40" s="949"/>
      <c r="BP40" s="194"/>
      <c r="BQ40" s="197"/>
      <c r="BR40" s="197"/>
      <c r="BS40" s="949"/>
      <c r="BT40" s="154"/>
      <c r="BU40" s="949"/>
      <c r="BV40" s="154"/>
      <c r="BW40" s="949"/>
      <c r="BX40" s="154"/>
      <c r="BY40" s="949"/>
      <c r="BZ40" s="166"/>
      <c r="CA40" s="142"/>
      <c r="CB40" s="145" t="str">
        <f t="shared" si="0"/>
        <v>Riadok bude skrytý.</v>
      </c>
      <c r="CC40" s="1527"/>
      <c r="CD40" s="111"/>
      <c r="CE40" s="111"/>
      <c r="CF40" s="111"/>
      <c r="CG40" s="111"/>
      <c r="CH40" s="111"/>
      <c r="CI40" s="111"/>
      <c r="CJ40" s="111"/>
      <c r="CK40" s="111"/>
      <c r="CL40" s="111"/>
      <c r="CM40" s="111"/>
      <c r="CN40" s="111"/>
      <c r="CO40" s="111"/>
      <c r="CP40" s="111"/>
      <c r="CQ40" s="111"/>
      <c r="CR40" s="111"/>
      <c r="CS40" s="111"/>
      <c r="CT40" s="111"/>
      <c r="CU40" s="111"/>
      <c r="CV40" s="111"/>
      <c r="CW40" s="34"/>
      <c r="CX40" s="107"/>
      <c r="CY40" s="108"/>
      <c r="CZ40" s="106"/>
      <c r="DA40" s="106"/>
      <c r="DS40" s="130">
        <f>SI!BY40</f>
        <v>219</v>
      </c>
      <c r="DZ40" s="131">
        <f>SI!BZ40</f>
        <v>0</v>
      </c>
    </row>
    <row r="41" spans="1:130" ht="3.75" hidden="1" customHeight="1" x14ac:dyDescent="0.25">
      <c r="A41" s="141"/>
      <c r="B41" s="167"/>
      <c r="C41" s="2041"/>
      <c r="D41" s="2041"/>
      <c r="E41" s="2041"/>
      <c r="F41" s="2041"/>
      <c r="G41" s="2041"/>
      <c r="H41" s="2041"/>
      <c r="I41" s="2041"/>
      <c r="J41" s="2041"/>
      <c r="K41" s="2041"/>
      <c r="L41" s="2041"/>
      <c r="M41" s="2041"/>
      <c r="N41" s="2041"/>
      <c r="O41" s="2041"/>
      <c r="P41" s="2041"/>
      <c r="Q41" s="2041"/>
      <c r="R41" s="2041"/>
      <c r="S41" s="2041"/>
      <c r="T41" s="165"/>
      <c r="U41" s="165"/>
      <c r="V41" s="165"/>
      <c r="W41" s="165"/>
      <c r="X41" s="176"/>
      <c r="Y41" s="165"/>
      <c r="Z41" s="165"/>
      <c r="AA41" s="2035"/>
      <c r="AB41" s="155"/>
      <c r="AC41" s="165"/>
      <c r="AD41" s="2042" t="s">
        <v>912</v>
      </c>
      <c r="AE41" s="2042"/>
      <c r="AF41" s="2042"/>
      <c r="AG41" s="2042"/>
      <c r="AH41" s="2042"/>
      <c r="AI41" s="2042"/>
      <c r="AJ41" s="2042"/>
      <c r="AK41" s="2042"/>
      <c r="AL41" s="2042"/>
      <c r="AM41" s="2042"/>
      <c r="AN41" s="200"/>
      <c r="AO41" s="200"/>
      <c r="AP41" s="200"/>
      <c r="AQ41" s="200"/>
      <c r="AR41" s="200"/>
      <c r="AS41" s="200"/>
      <c r="AT41" s="200"/>
      <c r="AU41" s="200"/>
      <c r="AV41" s="201"/>
      <c r="AW41" s="179"/>
      <c r="AX41" s="2046"/>
      <c r="AY41" s="2046"/>
      <c r="AZ41" s="2046"/>
      <c r="BA41" s="2046"/>
      <c r="BB41" s="2046"/>
      <c r="BC41" s="2046"/>
      <c r="BD41" s="2046"/>
      <c r="BE41" s="2046"/>
      <c r="BF41" s="2046"/>
      <c r="BG41" s="2046"/>
      <c r="BH41" s="2046"/>
      <c r="BI41" s="2046"/>
      <c r="BJ41" s="2038"/>
      <c r="BK41" s="2038"/>
      <c r="BL41" s="165"/>
      <c r="BM41" s="949"/>
      <c r="BN41" s="154"/>
      <c r="BO41" s="949"/>
      <c r="BP41" s="194"/>
      <c r="BQ41" s="197"/>
      <c r="BR41" s="197"/>
      <c r="BS41" s="949"/>
      <c r="BT41" s="154"/>
      <c r="BU41" s="949"/>
      <c r="BV41" s="154"/>
      <c r="BW41" s="949"/>
      <c r="BX41" s="154"/>
      <c r="BY41" s="949"/>
      <c r="BZ41" s="166"/>
      <c r="CA41" s="142"/>
      <c r="CB41" s="145" t="str">
        <f t="shared" si="0"/>
        <v>Riadok bude skrytý.</v>
      </c>
      <c r="CC41" s="1527"/>
      <c r="CE41" s="111"/>
      <c r="CF41" s="111"/>
      <c r="CG41" s="111"/>
      <c r="CH41" s="111"/>
      <c r="CI41" s="111"/>
      <c r="CJ41" s="111"/>
      <c r="CK41" s="111"/>
      <c r="CL41" s="111"/>
      <c r="CM41" s="111"/>
      <c r="CN41" s="111"/>
      <c r="CO41" s="111"/>
      <c r="CP41" s="111"/>
      <c r="CQ41" s="111"/>
      <c r="CR41" s="111"/>
      <c r="CS41" s="111"/>
      <c r="CT41" s="111"/>
      <c r="CU41" s="111"/>
      <c r="CV41" s="111"/>
      <c r="CW41" s="34"/>
      <c r="CX41" s="107"/>
      <c r="CY41" s="108"/>
      <c r="CZ41" s="106"/>
      <c r="DA41" s="106"/>
      <c r="DS41" s="130">
        <f>SI!BY41</f>
        <v>348</v>
      </c>
      <c r="DZ41" s="131">
        <f>SI!BZ41</f>
        <v>0</v>
      </c>
    </row>
    <row r="42" spans="1:130" ht="3.75" hidden="1" customHeight="1" x14ac:dyDescent="0.25">
      <c r="A42" s="141"/>
      <c r="B42" s="167"/>
      <c r="C42" s="2041"/>
      <c r="D42" s="2041"/>
      <c r="E42" s="2041"/>
      <c r="F42" s="2041"/>
      <c r="G42" s="2041"/>
      <c r="H42" s="2041"/>
      <c r="I42" s="2041"/>
      <c r="J42" s="2041"/>
      <c r="K42" s="2041"/>
      <c r="L42" s="2041"/>
      <c r="M42" s="2041"/>
      <c r="N42" s="2041"/>
      <c r="O42" s="2041"/>
      <c r="P42" s="2041"/>
      <c r="Q42" s="2041"/>
      <c r="R42" s="2041"/>
      <c r="S42" s="2041"/>
      <c r="T42" s="165"/>
      <c r="U42" s="165"/>
      <c r="V42" s="165"/>
      <c r="W42" s="165"/>
      <c r="X42" s="176"/>
      <c r="Y42" s="165"/>
      <c r="Z42" s="165"/>
      <c r="AA42" s="2035"/>
      <c r="AB42" s="155"/>
      <c r="AC42" s="165"/>
      <c r="AD42" s="2042"/>
      <c r="AE42" s="2042"/>
      <c r="AF42" s="2042"/>
      <c r="AG42" s="2042"/>
      <c r="AH42" s="2042"/>
      <c r="AI42" s="2042"/>
      <c r="AJ42" s="2042"/>
      <c r="AK42" s="2042"/>
      <c r="AL42" s="2042"/>
      <c r="AM42" s="2042"/>
      <c r="AN42" s="200"/>
      <c r="AO42" s="200"/>
      <c r="AP42" s="200"/>
      <c r="AQ42" s="200"/>
      <c r="AR42" s="200"/>
      <c r="AS42" s="200"/>
      <c r="AT42" s="200"/>
      <c r="AU42" s="200"/>
      <c r="AV42" s="201"/>
      <c r="AW42" s="179"/>
      <c r="AX42" s="2046"/>
      <c r="AY42" s="2046"/>
      <c r="AZ42" s="2046"/>
      <c r="BA42" s="2046"/>
      <c r="BB42" s="2046"/>
      <c r="BC42" s="2046"/>
      <c r="BD42" s="2046"/>
      <c r="BE42" s="2046"/>
      <c r="BF42" s="2046"/>
      <c r="BG42" s="2046"/>
      <c r="BH42" s="2046"/>
      <c r="BI42" s="2046"/>
      <c r="BJ42" s="2038"/>
      <c r="BK42" s="2038"/>
      <c r="BL42" s="165"/>
      <c r="BM42" s="949"/>
      <c r="BN42" s="154"/>
      <c r="BO42" s="949"/>
      <c r="BP42" s="194"/>
      <c r="BQ42" s="197"/>
      <c r="BR42" s="197"/>
      <c r="BS42" s="949"/>
      <c r="BT42" s="154"/>
      <c r="BU42" s="949"/>
      <c r="BV42" s="154"/>
      <c r="BW42" s="949"/>
      <c r="BX42" s="154"/>
      <c r="BY42" s="949"/>
      <c r="BZ42" s="166"/>
      <c r="CA42" s="142"/>
      <c r="CB42" s="145" t="str">
        <f t="shared" si="0"/>
        <v>Riadok bude skrytý.</v>
      </c>
      <c r="CC42" s="1527"/>
      <c r="CD42" s="111"/>
      <c r="CE42" s="111"/>
      <c r="CF42" s="111"/>
      <c r="CG42" s="111"/>
      <c r="CH42" s="111"/>
      <c r="CI42" s="111"/>
      <c r="CJ42" s="111"/>
      <c r="CK42" s="111"/>
      <c r="CL42" s="111"/>
      <c r="CM42" s="111"/>
      <c r="CN42" s="111"/>
      <c r="CO42" s="111"/>
      <c r="CP42" s="111"/>
      <c r="CQ42" s="111"/>
      <c r="CR42" s="111"/>
      <c r="CS42" s="111"/>
      <c r="CT42" s="111"/>
      <c r="CU42" s="111"/>
      <c r="CV42" s="111"/>
      <c r="CW42" s="34"/>
      <c r="CX42" s="107"/>
      <c r="CY42" s="108"/>
      <c r="CZ42" s="106"/>
      <c r="DA42" s="106"/>
      <c r="DS42" s="130">
        <f>SI!BY42</f>
        <v>1043</v>
      </c>
      <c r="DZ42" s="131">
        <f>SI!BZ42</f>
        <v>0</v>
      </c>
    </row>
    <row r="43" spans="1:130" ht="3.75" hidden="1" customHeight="1" x14ac:dyDescent="0.25">
      <c r="A43" s="141"/>
      <c r="B43" s="183"/>
      <c r="C43" s="184"/>
      <c r="D43" s="184"/>
      <c r="E43" s="184"/>
      <c r="F43" s="184"/>
      <c r="G43" s="184"/>
      <c r="H43" s="184"/>
      <c r="I43" s="184"/>
      <c r="J43" s="184"/>
      <c r="K43" s="184"/>
      <c r="L43" s="184"/>
      <c r="M43" s="184"/>
      <c r="N43" s="184"/>
      <c r="O43" s="184"/>
      <c r="P43" s="184"/>
      <c r="Q43" s="184"/>
      <c r="R43" s="184"/>
      <c r="S43" s="184"/>
      <c r="T43" s="184"/>
      <c r="U43" s="184"/>
      <c r="V43" s="184"/>
      <c r="W43" s="184"/>
      <c r="X43" s="176"/>
      <c r="Y43" s="165"/>
      <c r="Z43" s="165"/>
      <c r="AA43" s="2035"/>
      <c r="AB43" s="155"/>
      <c r="AC43" s="165"/>
      <c r="AD43" s="2042"/>
      <c r="AE43" s="2042"/>
      <c r="AF43" s="2042"/>
      <c r="AG43" s="2042"/>
      <c r="AH43" s="2042"/>
      <c r="AI43" s="2042"/>
      <c r="AJ43" s="2042"/>
      <c r="AK43" s="2042"/>
      <c r="AL43" s="2042"/>
      <c r="AM43" s="2042"/>
      <c r="AN43" s="200"/>
      <c r="AO43" s="200"/>
      <c r="AP43" s="200"/>
      <c r="AQ43" s="200"/>
      <c r="AR43" s="200"/>
      <c r="AS43" s="200"/>
      <c r="AT43" s="200"/>
      <c r="AU43" s="200"/>
      <c r="AV43" s="201"/>
      <c r="AW43" s="179"/>
      <c r="AX43" s="2046"/>
      <c r="AY43" s="2046"/>
      <c r="AZ43" s="2046"/>
      <c r="BA43" s="2046"/>
      <c r="BB43" s="2046"/>
      <c r="BC43" s="2046"/>
      <c r="BD43" s="2046"/>
      <c r="BE43" s="2046"/>
      <c r="BF43" s="2046"/>
      <c r="BG43" s="2046"/>
      <c r="BH43" s="2046"/>
      <c r="BI43" s="2046"/>
      <c r="BJ43" s="194"/>
      <c r="BK43" s="194"/>
      <c r="BL43" s="165"/>
      <c r="BM43" s="165"/>
      <c r="BN43" s="165"/>
      <c r="BO43" s="165"/>
      <c r="BP43" s="194"/>
      <c r="BQ43" s="165"/>
      <c r="BR43" s="165"/>
      <c r="BS43" s="165"/>
      <c r="BT43" s="165"/>
      <c r="BU43" s="165"/>
      <c r="BV43" s="165"/>
      <c r="BW43" s="165"/>
      <c r="BX43" s="165"/>
      <c r="BY43" s="165"/>
      <c r="BZ43" s="166"/>
      <c r="CA43" s="142"/>
      <c r="CB43" s="145" t="str">
        <f t="shared" si="0"/>
        <v>Riadok bude skrytý.</v>
      </c>
      <c r="CC43" s="1527"/>
      <c r="CD43" s="111"/>
      <c r="CE43" s="111"/>
      <c r="CF43" s="111"/>
      <c r="CG43" s="111"/>
      <c r="CH43" s="111"/>
      <c r="CI43" s="111"/>
      <c r="CJ43" s="111"/>
      <c r="CK43" s="111"/>
      <c r="CL43" s="111"/>
      <c r="CM43" s="111"/>
      <c r="CN43" s="111"/>
      <c r="CO43" s="111"/>
      <c r="CP43" s="111"/>
      <c r="CQ43" s="111"/>
      <c r="CR43" s="111"/>
      <c r="CS43" s="111"/>
      <c r="CT43" s="111"/>
      <c r="CU43" s="111"/>
      <c r="CV43" s="111"/>
      <c r="CW43" s="34"/>
      <c r="CX43" s="107"/>
      <c r="CY43" s="107"/>
      <c r="CZ43" s="106"/>
      <c r="DA43" s="106"/>
      <c r="DS43" s="130">
        <f>SI!BY43</f>
        <v>196</v>
      </c>
      <c r="DZ43" s="131">
        <f>SI!BZ43</f>
        <v>0</v>
      </c>
    </row>
    <row r="44" spans="1:130" ht="4.5999999999999996" hidden="1" customHeight="1" x14ac:dyDescent="0.25">
      <c r="A44" s="141"/>
      <c r="B44" s="167"/>
      <c r="C44" s="949">
        <v>2</v>
      </c>
      <c r="D44" s="168"/>
      <c r="E44" s="949">
        <v>2</v>
      </c>
      <c r="F44" s="2028" t="s">
        <v>20</v>
      </c>
      <c r="G44" s="949">
        <v>1</v>
      </c>
      <c r="H44" s="153"/>
      <c r="I44" s="949">
        <v>9</v>
      </c>
      <c r="J44" s="2028" t="s">
        <v>20</v>
      </c>
      <c r="K44" s="949">
        <v>0</v>
      </c>
      <c r="L44" s="165"/>
      <c r="M44" s="165"/>
      <c r="N44" s="165"/>
      <c r="O44" s="165"/>
      <c r="P44" s="165"/>
      <c r="Q44" s="165"/>
      <c r="R44" s="165"/>
      <c r="S44" s="165"/>
      <c r="T44" s="165"/>
      <c r="U44" s="165"/>
      <c r="V44" s="165"/>
      <c r="W44" s="165"/>
      <c r="X44" s="176"/>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77"/>
      <c r="AW44" s="176"/>
      <c r="AX44" s="2046"/>
      <c r="AY44" s="2046"/>
      <c r="AZ44" s="2046"/>
      <c r="BA44" s="2046"/>
      <c r="BB44" s="2046"/>
      <c r="BC44" s="2046"/>
      <c r="BD44" s="2046"/>
      <c r="BE44" s="2046"/>
      <c r="BF44" s="2046"/>
      <c r="BG44" s="2046"/>
      <c r="BH44" s="2046"/>
      <c r="BI44" s="2046"/>
      <c r="BJ44" s="194"/>
      <c r="BK44" s="194"/>
      <c r="BL44" s="165"/>
      <c r="BM44" s="165"/>
      <c r="BN44" s="165"/>
      <c r="BO44" s="165"/>
      <c r="BP44" s="194"/>
      <c r="BQ44" s="165"/>
      <c r="BR44" s="165"/>
      <c r="BS44" s="165"/>
      <c r="BT44" s="165"/>
      <c r="BU44" s="165"/>
      <c r="BV44" s="165"/>
      <c r="BW44" s="165"/>
      <c r="BX44" s="165"/>
      <c r="BY44" s="165"/>
      <c r="BZ44" s="166"/>
      <c r="CA44" s="142"/>
      <c r="CB44" s="145" t="str">
        <f t="shared" si="0"/>
        <v>Riadok bude skrytý.</v>
      </c>
      <c r="CC44" s="1527"/>
      <c r="CD44" s="111"/>
      <c r="CE44" s="111"/>
      <c r="CF44" s="111"/>
      <c r="CG44" s="111"/>
      <c r="CH44" s="111"/>
      <c r="CI44" s="111"/>
      <c r="CJ44" s="111"/>
      <c r="CK44" s="111"/>
      <c r="CL44" s="111"/>
      <c r="CM44" s="111"/>
      <c r="CN44" s="111"/>
      <c r="CO44" s="111"/>
      <c r="CP44" s="111"/>
      <c r="CQ44" s="111"/>
      <c r="CR44" s="111"/>
      <c r="CS44" s="111"/>
      <c r="CT44" s="111"/>
      <c r="CU44" s="111"/>
      <c r="CV44" s="111"/>
      <c r="CW44" s="34"/>
      <c r="CX44" s="107"/>
      <c r="CY44" s="107"/>
      <c r="CZ44" s="106"/>
      <c r="DA44" s="106"/>
      <c r="DS44" s="130">
        <f>SI!BY44</f>
        <v>473</v>
      </c>
      <c r="DZ44" s="131">
        <f>SI!BZ44</f>
        <v>0</v>
      </c>
    </row>
    <row r="45" spans="1:130" ht="3.75" hidden="1" customHeight="1" x14ac:dyDescent="0.25">
      <c r="A45" s="141"/>
      <c r="B45" s="167"/>
      <c r="C45" s="949"/>
      <c r="D45" s="154"/>
      <c r="E45" s="949"/>
      <c r="F45" s="2028"/>
      <c r="G45" s="949"/>
      <c r="H45" s="155"/>
      <c r="I45" s="949"/>
      <c r="J45" s="2028"/>
      <c r="K45" s="949"/>
      <c r="L45" s="165"/>
      <c r="M45" s="165"/>
      <c r="N45" s="165"/>
      <c r="O45" s="165"/>
      <c r="P45" s="165"/>
      <c r="Q45" s="165"/>
      <c r="R45" s="165"/>
      <c r="S45" s="165"/>
      <c r="T45" s="165"/>
      <c r="U45" s="165"/>
      <c r="V45" s="165"/>
      <c r="W45" s="165"/>
      <c r="X45" s="176"/>
      <c r="Y45" s="165"/>
      <c r="Z45" s="165"/>
      <c r="AA45" s="165"/>
      <c r="AB45" s="165"/>
      <c r="AC45" s="165"/>
      <c r="AD45" s="165"/>
      <c r="AE45" s="165"/>
      <c r="AF45" s="165"/>
      <c r="AG45" s="165"/>
      <c r="AH45" s="165"/>
      <c r="AI45" s="165"/>
      <c r="AJ45" s="165"/>
      <c r="AK45" s="165"/>
      <c r="AL45" s="165"/>
      <c r="AM45" s="165"/>
      <c r="AN45" s="2044" t="s">
        <v>910</v>
      </c>
      <c r="AO45" s="2044"/>
      <c r="AP45" s="2044"/>
      <c r="AQ45" s="2044"/>
      <c r="AR45" s="2044"/>
      <c r="AS45" s="2044"/>
      <c r="AT45" s="2044"/>
      <c r="AU45" s="2044"/>
      <c r="AV45" s="2045"/>
      <c r="AW45" s="186"/>
      <c r="AX45" s="2046"/>
      <c r="AY45" s="2046"/>
      <c r="AZ45" s="2046"/>
      <c r="BA45" s="2046"/>
      <c r="BB45" s="2046"/>
      <c r="BC45" s="2046"/>
      <c r="BD45" s="2046"/>
      <c r="BE45" s="2046"/>
      <c r="BF45" s="2046"/>
      <c r="BG45" s="2046"/>
      <c r="BH45" s="2046"/>
      <c r="BI45" s="2046"/>
      <c r="BJ45" s="2038" t="s">
        <v>21</v>
      </c>
      <c r="BK45" s="2038"/>
      <c r="BL45" s="165"/>
      <c r="BM45" s="949">
        <v>1</v>
      </c>
      <c r="BN45" s="168"/>
      <c r="BO45" s="949">
        <v>2</v>
      </c>
      <c r="BP45" s="194"/>
      <c r="BQ45" s="197"/>
      <c r="BR45" s="197"/>
      <c r="BS45" s="949">
        <v>2</v>
      </c>
      <c r="BT45" s="168"/>
      <c r="BU45" s="949">
        <v>0</v>
      </c>
      <c r="BV45" s="168"/>
      <c r="BW45" s="949">
        <v>2</v>
      </c>
      <c r="BX45" s="168"/>
      <c r="BY45" s="949">
        <v>0</v>
      </c>
      <c r="BZ45" s="166"/>
      <c r="CA45" s="142"/>
      <c r="CB45" s="145" t="str">
        <f t="shared" si="0"/>
        <v>Riadok bude skrytý.</v>
      </c>
      <c r="CC45" s="1527"/>
      <c r="CD45" s="111"/>
      <c r="CE45" s="111"/>
      <c r="CF45" s="111"/>
      <c r="CG45" s="111"/>
      <c r="CH45" s="111"/>
      <c r="CI45" s="111"/>
      <c r="CJ45" s="111"/>
      <c r="CK45" s="111"/>
      <c r="CL45" s="111"/>
      <c r="CM45" s="111"/>
      <c r="CN45" s="111"/>
      <c r="CO45" s="111"/>
      <c r="CP45" s="111"/>
      <c r="CQ45" s="111"/>
      <c r="CR45" s="111"/>
      <c r="CS45" s="111"/>
      <c r="CT45" s="111"/>
      <c r="CU45" s="111"/>
      <c r="CV45" s="111"/>
      <c r="CW45" s="34"/>
      <c r="CX45" s="107"/>
      <c r="CY45" s="107"/>
      <c r="CZ45" s="106"/>
      <c r="DA45" s="106"/>
      <c r="DS45" s="130">
        <f>SI!BY45</f>
        <v>162</v>
      </c>
      <c r="DZ45" s="131">
        <f>SI!BZ45</f>
        <v>0</v>
      </c>
    </row>
    <row r="46" spans="1:130" ht="4.5999999999999996" hidden="1" customHeight="1" x14ac:dyDescent="0.25">
      <c r="A46" s="141"/>
      <c r="B46" s="167"/>
      <c r="C46" s="949"/>
      <c r="D46" s="154"/>
      <c r="E46" s="949"/>
      <c r="F46" s="2028"/>
      <c r="G46" s="949"/>
      <c r="H46" s="155"/>
      <c r="I46" s="949"/>
      <c r="J46" s="2028"/>
      <c r="K46" s="949"/>
      <c r="L46" s="165"/>
      <c r="M46" s="165"/>
      <c r="N46" s="165"/>
      <c r="O46" s="165"/>
      <c r="P46" s="165"/>
      <c r="Q46" s="165"/>
      <c r="R46" s="165"/>
      <c r="S46" s="165"/>
      <c r="T46" s="165"/>
      <c r="U46" s="165"/>
      <c r="V46" s="165"/>
      <c r="W46" s="165"/>
      <c r="X46" s="176"/>
      <c r="Y46" s="165"/>
      <c r="Z46" s="165"/>
      <c r="AA46" s="2035" t="s">
        <v>26</v>
      </c>
      <c r="AB46" s="155"/>
      <c r="AC46" s="165"/>
      <c r="AD46" s="2037" t="s">
        <v>913</v>
      </c>
      <c r="AE46" s="2037"/>
      <c r="AF46" s="2037"/>
      <c r="AG46" s="2037"/>
      <c r="AH46" s="2037"/>
      <c r="AI46" s="2037"/>
      <c r="AJ46" s="2037"/>
      <c r="AK46" s="2037"/>
      <c r="AL46" s="2037"/>
      <c r="AM46" s="2037"/>
      <c r="AN46" s="2044"/>
      <c r="AO46" s="2044"/>
      <c r="AP46" s="2044"/>
      <c r="AQ46" s="2044"/>
      <c r="AR46" s="2044"/>
      <c r="AS46" s="2044"/>
      <c r="AT46" s="2044"/>
      <c r="AU46" s="2044"/>
      <c r="AV46" s="2045"/>
      <c r="AW46" s="186"/>
      <c r="AX46" s="2046"/>
      <c r="AY46" s="2046"/>
      <c r="AZ46" s="2046"/>
      <c r="BA46" s="2046"/>
      <c r="BB46" s="2046"/>
      <c r="BC46" s="2046"/>
      <c r="BD46" s="2046"/>
      <c r="BE46" s="2046"/>
      <c r="BF46" s="2046"/>
      <c r="BG46" s="2046"/>
      <c r="BH46" s="2046"/>
      <c r="BI46" s="2046"/>
      <c r="BJ46" s="2038"/>
      <c r="BK46" s="2038"/>
      <c r="BL46" s="165"/>
      <c r="BM46" s="949"/>
      <c r="BN46" s="154"/>
      <c r="BO46" s="949"/>
      <c r="BP46" s="194"/>
      <c r="BQ46" s="197"/>
      <c r="BR46" s="197"/>
      <c r="BS46" s="949"/>
      <c r="BT46" s="154"/>
      <c r="BU46" s="949"/>
      <c r="BV46" s="154"/>
      <c r="BW46" s="949"/>
      <c r="BX46" s="154"/>
      <c r="BY46" s="949"/>
      <c r="BZ46" s="166"/>
      <c r="CA46" s="142"/>
      <c r="CB46" s="145" t="str">
        <f t="shared" si="0"/>
        <v>Riadok bude skrytý.</v>
      </c>
      <c r="CC46" s="1527"/>
      <c r="CE46" s="87"/>
      <c r="CF46" s="87"/>
      <c r="CG46" s="87"/>
      <c r="CH46" s="87"/>
      <c r="CI46" s="87"/>
      <c r="CJ46" s="87"/>
      <c r="CK46" s="87"/>
      <c r="CL46" s="87"/>
      <c r="CM46" s="87"/>
      <c r="CN46" s="87"/>
      <c r="CO46" s="87"/>
      <c r="CP46" s="87"/>
      <c r="CQ46" s="87"/>
      <c r="CR46" s="87"/>
      <c r="CS46" s="87"/>
      <c r="CT46" s="87"/>
      <c r="CU46" s="87"/>
      <c r="CV46" s="87"/>
      <c r="CW46" s="34"/>
      <c r="CX46" s="107"/>
      <c r="CY46" s="107"/>
      <c r="CZ46" s="106"/>
      <c r="DA46" s="106"/>
      <c r="DS46" s="130">
        <f>SI!BY46</f>
        <v>1105</v>
      </c>
      <c r="DZ46" s="131">
        <f>SI!BZ46</f>
        <v>0</v>
      </c>
    </row>
    <row r="47" spans="1:130" ht="3.75" hidden="1" customHeight="1" x14ac:dyDescent="0.25">
      <c r="A47" s="141"/>
      <c r="B47" s="167"/>
      <c r="C47" s="949"/>
      <c r="D47" s="154"/>
      <c r="E47" s="949"/>
      <c r="F47" s="2028"/>
      <c r="G47" s="949"/>
      <c r="H47" s="155"/>
      <c r="I47" s="949"/>
      <c r="J47" s="2028"/>
      <c r="K47" s="949"/>
      <c r="L47" s="165"/>
      <c r="M47" s="165"/>
      <c r="N47" s="165"/>
      <c r="O47" s="165"/>
      <c r="P47" s="165"/>
      <c r="Q47" s="165"/>
      <c r="R47" s="165"/>
      <c r="S47" s="165"/>
      <c r="T47" s="165"/>
      <c r="U47" s="165"/>
      <c r="V47" s="165"/>
      <c r="W47" s="165"/>
      <c r="X47" s="176"/>
      <c r="Y47" s="165"/>
      <c r="Z47" s="165"/>
      <c r="AA47" s="2035"/>
      <c r="AB47" s="155"/>
      <c r="AC47" s="165"/>
      <c r="AD47" s="2037"/>
      <c r="AE47" s="2037"/>
      <c r="AF47" s="2037"/>
      <c r="AG47" s="2037"/>
      <c r="AH47" s="2037"/>
      <c r="AI47" s="2037"/>
      <c r="AJ47" s="2037"/>
      <c r="AK47" s="2037"/>
      <c r="AL47" s="2037"/>
      <c r="AM47" s="2037"/>
      <c r="AN47" s="2044"/>
      <c r="AO47" s="2044"/>
      <c r="AP47" s="2044"/>
      <c r="AQ47" s="2044"/>
      <c r="AR47" s="2044"/>
      <c r="AS47" s="2044"/>
      <c r="AT47" s="2044"/>
      <c r="AU47" s="2044"/>
      <c r="AV47" s="2045"/>
      <c r="AW47" s="186"/>
      <c r="AX47" s="2046"/>
      <c r="AY47" s="2046"/>
      <c r="AZ47" s="2046"/>
      <c r="BA47" s="2046"/>
      <c r="BB47" s="2046"/>
      <c r="BC47" s="2046"/>
      <c r="BD47" s="2046"/>
      <c r="BE47" s="2046"/>
      <c r="BF47" s="2046"/>
      <c r="BG47" s="2046"/>
      <c r="BH47" s="2046"/>
      <c r="BI47" s="2046"/>
      <c r="BJ47" s="2038"/>
      <c r="BK47" s="2038"/>
      <c r="BL47" s="165"/>
      <c r="BM47" s="949"/>
      <c r="BN47" s="154"/>
      <c r="BO47" s="949"/>
      <c r="BP47" s="194"/>
      <c r="BQ47" s="197"/>
      <c r="BR47" s="197"/>
      <c r="BS47" s="949"/>
      <c r="BT47" s="154"/>
      <c r="BU47" s="949"/>
      <c r="BV47" s="154"/>
      <c r="BW47" s="949"/>
      <c r="BX47" s="154"/>
      <c r="BY47" s="949"/>
      <c r="BZ47" s="166"/>
      <c r="CA47" s="142"/>
      <c r="CB47" s="145" t="str">
        <f t="shared" si="0"/>
        <v>Riadok bude skrytý.</v>
      </c>
      <c r="CC47" s="1527"/>
      <c r="CE47" s="87"/>
      <c r="CF47" s="87"/>
      <c r="CG47" s="87"/>
      <c r="CH47" s="87"/>
      <c r="CI47" s="87"/>
      <c r="CJ47" s="87"/>
      <c r="CK47" s="87"/>
      <c r="CL47" s="87"/>
      <c r="CM47" s="87"/>
      <c r="CN47" s="87"/>
      <c r="CO47" s="87"/>
      <c r="CP47" s="87"/>
      <c r="CQ47" s="87"/>
      <c r="CR47" s="87"/>
      <c r="CS47" s="87"/>
      <c r="CT47" s="87"/>
      <c r="CU47" s="87"/>
      <c r="CV47" s="87"/>
      <c r="CW47" s="34"/>
      <c r="CX47" s="107"/>
      <c r="CY47" s="107"/>
      <c r="CZ47" s="106"/>
      <c r="DA47" s="106"/>
      <c r="DS47" s="130">
        <f>SI!BY47</f>
        <v>156</v>
      </c>
      <c r="DZ47" s="131">
        <f>SI!BZ47</f>
        <v>0</v>
      </c>
    </row>
    <row r="48" spans="1:130" ht="3.75" hidden="1" customHeight="1" x14ac:dyDescent="0.25">
      <c r="A48" s="141"/>
      <c r="B48" s="167"/>
      <c r="C48" s="202"/>
      <c r="D48" s="202"/>
      <c r="E48" s="202"/>
      <c r="F48" s="2028"/>
      <c r="G48" s="202"/>
      <c r="H48" s="203"/>
      <c r="I48" s="203"/>
      <c r="J48" s="2028"/>
      <c r="K48" s="194"/>
      <c r="L48" s="165"/>
      <c r="M48" s="165"/>
      <c r="N48" s="165"/>
      <c r="O48" s="165"/>
      <c r="P48" s="165"/>
      <c r="Q48" s="165"/>
      <c r="R48" s="165"/>
      <c r="S48" s="165"/>
      <c r="T48" s="165"/>
      <c r="U48" s="165"/>
      <c r="V48" s="165"/>
      <c r="W48" s="165"/>
      <c r="X48" s="176"/>
      <c r="Y48" s="165"/>
      <c r="Z48" s="165"/>
      <c r="AA48" s="2035"/>
      <c r="AB48" s="155"/>
      <c r="AC48" s="165"/>
      <c r="AD48" s="2037"/>
      <c r="AE48" s="2037"/>
      <c r="AF48" s="2037"/>
      <c r="AG48" s="2037"/>
      <c r="AH48" s="2037"/>
      <c r="AI48" s="2037"/>
      <c r="AJ48" s="2037"/>
      <c r="AK48" s="2037"/>
      <c r="AL48" s="2037"/>
      <c r="AM48" s="2037"/>
      <c r="AN48" s="2044"/>
      <c r="AO48" s="2044"/>
      <c r="AP48" s="2044"/>
      <c r="AQ48" s="2044"/>
      <c r="AR48" s="2044"/>
      <c r="AS48" s="2044"/>
      <c r="AT48" s="2044"/>
      <c r="AU48" s="2044"/>
      <c r="AV48" s="2045"/>
      <c r="AW48" s="186"/>
      <c r="AX48" s="2046"/>
      <c r="AY48" s="2046"/>
      <c r="AZ48" s="2046"/>
      <c r="BA48" s="2046"/>
      <c r="BB48" s="2046"/>
      <c r="BC48" s="2046"/>
      <c r="BD48" s="2046"/>
      <c r="BE48" s="2046"/>
      <c r="BF48" s="2046"/>
      <c r="BG48" s="2046"/>
      <c r="BH48" s="2046"/>
      <c r="BI48" s="2046"/>
      <c r="BJ48" s="2038"/>
      <c r="BK48" s="2038"/>
      <c r="BL48" s="165"/>
      <c r="BM48" s="949"/>
      <c r="BN48" s="154"/>
      <c r="BO48" s="949"/>
      <c r="BP48" s="194"/>
      <c r="BQ48" s="197"/>
      <c r="BR48" s="197"/>
      <c r="BS48" s="949"/>
      <c r="BT48" s="154"/>
      <c r="BU48" s="949"/>
      <c r="BV48" s="154"/>
      <c r="BW48" s="949"/>
      <c r="BX48" s="154"/>
      <c r="BY48" s="949"/>
      <c r="BZ48" s="166"/>
      <c r="CA48" s="142"/>
      <c r="CB48" s="145" t="str">
        <f t="shared" si="0"/>
        <v>Riadok bude skrytý.</v>
      </c>
      <c r="CC48" s="1527"/>
      <c r="CE48" s="87"/>
      <c r="CF48" s="87"/>
      <c r="CG48" s="87"/>
      <c r="CH48" s="87"/>
      <c r="CI48" s="87"/>
      <c r="CJ48" s="87"/>
      <c r="CK48" s="87"/>
      <c r="CL48" s="87"/>
      <c r="CM48" s="87"/>
      <c r="CN48" s="87"/>
      <c r="CO48" s="87"/>
      <c r="CP48" s="87"/>
      <c r="CQ48" s="87"/>
      <c r="CR48" s="87"/>
      <c r="CS48" s="87"/>
      <c r="CT48" s="87"/>
      <c r="CU48" s="87"/>
      <c r="CV48" s="87"/>
      <c r="CW48" s="34"/>
      <c r="CX48" s="107"/>
      <c r="CY48" s="107"/>
      <c r="CZ48" s="106"/>
      <c r="DA48" s="106"/>
      <c r="DS48" s="130">
        <f>SI!BY48</f>
        <v>1168</v>
      </c>
      <c r="DZ48" s="131">
        <f>SI!BZ48</f>
        <v>0</v>
      </c>
    </row>
    <row r="49" spans="1:130" ht="3.75" hidden="1" customHeight="1" x14ac:dyDescent="0.25">
      <c r="A49" s="141"/>
      <c r="B49" s="157"/>
      <c r="C49" s="158"/>
      <c r="D49" s="158"/>
      <c r="E49" s="158"/>
      <c r="F49" s="158"/>
      <c r="G49" s="158"/>
      <c r="H49" s="158"/>
      <c r="I49" s="158"/>
      <c r="J49" s="158"/>
      <c r="K49" s="158"/>
      <c r="L49" s="158"/>
      <c r="M49" s="158"/>
      <c r="N49" s="158"/>
      <c r="O49" s="158"/>
      <c r="P49" s="158"/>
      <c r="Q49" s="158"/>
      <c r="R49" s="158"/>
      <c r="S49" s="158"/>
      <c r="T49" s="158"/>
      <c r="U49" s="158"/>
      <c r="V49" s="158"/>
      <c r="W49" s="158"/>
      <c r="X49" s="204"/>
      <c r="Y49" s="158"/>
      <c r="Z49" s="158"/>
      <c r="AA49" s="158"/>
      <c r="AB49" s="158"/>
      <c r="AC49" s="158"/>
      <c r="AD49" s="158"/>
      <c r="AE49" s="158"/>
      <c r="AF49" s="158"/>
      <c r="AG49" s="158"/>
      <c r="AH49" s="158"/>
      <c r="AI49" s="158"/>
      <c r="AJ49" s="158"/>
      <c r="AK49" s="158"/>
      <c r="AL49" s="158"/>
      <c r="AM49" s="158"/>
      <c r="AN49" s="158"/>
      <c r="AO49" s="158"/>
      <c r="AP49" s="158"/>
      <c r="AQ49" s="158"/>
      <c r="AR49" s="158"/>
      <c r="AS49" s="158"/>
      <c r="AT49" s="158"/>
      <c r="AU49" s="158"/>
      <c r="AV49" s="205"/>
      <c r="AW49" s="204"/>
      <c r="AX49" s="158"/>
      <c r="AY49" s="206"/>
      <c r="AZ49" s="206"/>
      <c r="BA49" s="206"/>
      <c r="BB49" s="206"/>
      <c r="BC49" s="206"/>
      <c r="BD49" s="206"/>
      <c r="BE49" s="206"/>
      <c r="BF49" s="206"/>
      <c r="BG49" s="206"/>
      <c r="BH49" s="206"/>
      <c r="BI49" s="206"/>
      <c r="BJ49" s="158"/>
      <c r="BK49" s="158"/>
      <c r="BL49" s="158"/>
      <c r="BM49" s="158"/>
      <c r="BN49" s="158"/>
      <c r="BO49" s="158"/>
      <c r="BP49" s="158"/>
      <c r="BQ49" s="158"/>
      <c r="BR49" s="158"/>
      <c r="BS49" s="158"/>
      <c r="BT49" s="158"/>
      <c r="BU49" s="158"/>
      <c r="BV49" s="158"/>
      <c r="BW49" s="158"/>
      <c r="BX49" s="158"/>
      <c r="BY49" s="158"/>
      <c r="BZ49" s="207"/>
      <c r="CA49" s="142"/>
      <c r="CB49" s="145" t="str">
        <f t="shared" si="0"/>
        <v>Riadok bude skrytý.</v>
      </c>
      <c r="CC49" s="1528"/>
      <c r="CE49" s="87"/>
      <c r="CF49" s="87"/>
      <c r="CG49" s="87"/>
      <c r="CH49" s="87"/>
      <c r="CI49" s="87"/>
      <c r="CJ49" s="87"/>
      <c r="CK49" s="87"/>
      <c r="CL49" s="87"/>
      <c r="CM49" s="87"/>
      <c r="CN49" s="87"/>
      <c r="CO49" s="87"/>
      <c r="CP49" s="87"/>
      <c r="CQ49" s="87"/>
      <c r="CR49" s="87"/>
      <c r="CS49" s="87"/>
      <c r="CT49" s="87"/>
      <c r="CU49" s="87"/>
      <c r="CV49" s="87"/>
      <c r="CW49" s="34"/>
      <c r="CX49" s="107"/>
      <c r="CY49" s="107"/>
      <c r="CZ49" s="106"/>
      <c r="DA49" s="106"/>
      <c r="DS49" s="130">
        <f>SI!BY49</f>
        <v>199</v>
      </c>
      <c r="DZ49" s="131">
        <f>SI!BZ49</f>
        <v>0</v>
      </c>
    </row>
    <row r="50" spans="1:130" ht="3.75" hidden="1" customHeight="1" x14ac:dyDescent="0.25">
      <c r="A50" s="141"/>
      <c r="B50" s="96"/>
      <c r="C50" s="96"/>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96"/>
      <c r="AO50" s="96"/>
      <c r="AP50" s="96"/>
      <c r="AQ50" s="96"/>
      <c r="AR50" s="96"/>
      <c r="AS50" s="96"/>
      <c r="AT50" s="96"/>
      <c r="AU50" s="96"/>
      <c r="AV50" s="96"/>
      <c r="AW50" s="96"/>
      <c r="AX50" s="96"/>
      <c r="AY50" s="208"/>
      <c r="AZ50" s="208"/>
      <c r="BA50" s="208"/>
      <c r="BB50" s="208"/>
      <c r="BC50" s="208"/>
      <c r="BD50" s="208"/>
      <c r="BE50" s="208"/>
      <c r="BF50" s="208"/>
      <c r="BG50" s="208"/>
      <c r="BH50" s="208"/>
      <c r="BI50" s="208"/>
      <c r="BJ50" s="96"/>
      <c r="BK50" s="96"/>
      <c r="BL50" s="96"/>
      <c r="BM50" s="96"/>
      <c r="BN50" s="96"/>
      <c r="BO50" s="96"/>
      <c r="BP50" s="96"/>
      <c r="BQ50" s="96"/>
      <c r="BR50" s="96"/>
      <c r="BS50" s="96"/>
      <c r="BT50" s="96"/>
      <c r="BU50" s="96"/>
      <c r="BV50" s="96"/>
      <c r="BW50" s="96"/>
      <c r="BX50" s="96"/>
      <c r="BY50" s="96"/>
      <c r="BZ50" s="96"/>
      <c r="CA50" s="142"/>
      <c r="CB50" s="145" t="str">
        <f t="shared" si="0"/>
        <v>Riadok bude skrytý.</v>
      </c>
      <c r="CE50" s="87"/>
      <c r="CF50" s="87"/>
      <c r="CG50" s="87"/>
      <c r="CH50" s="87"/>
      <c r="CI50" s="87"/>
      <c r="CJ50" s="87"/>
      <c r="CK50" s="87"/>
      <c r="CL50" s="87"/>
      <c r="CM50" s="87"/>
      <c r="CN50" s="87"/>
      <c r="CO50" s="87"/>
      <c r="CP50" s="87"/>
      <c r="CQ50" s="87"/>
      <c r="CR50" s="87"/>
      <c r="CS50" s="87"/>
      <c r="CT50" s="87"/>
      <c r="CU50" s="87"/>
      <c r="CV50" s="87"/>
      <c r="CW50" s="34"/>
      <c r="CX50" s="107"/>
      <c r="CY50" s="107"/>
      <c r="CZ50" s="106"/>
      <c r="DA50" s="106"/>
      <c r="DS50" s="130">
        <f>SI!BY50</f>
        <v>112</v>
      </c>
      <c r="DZ50" s="131">
        <f>SI!BZ50</f>
        <v>0</v>
      </c>
    </row>
    <row r="51" spans="1:130" ht="16.5" hidden="1" customHeight="1" x14ac:dyDescent="0.25">
      <c r="A51" s="141"/>
      <c r="B51" s="209"/>
      <c r="C51" s="943" t="s">
        <v>18</v>
      </c>
      <c r="D51" s="943"/>
      <c r="E51" s="943"/>
      <c r="F51" s="943"/>
      <c r="G51" s="943"/>
      <c r="H51" s="943"/>
      <c r="I51" s="943"/>
      <c r="J51" s="943"/>
      <c r="K51" s="943"/>
      <c r="L51" s="943"/>
      <c r="M51" s="943"/>
      <c r="N51" s="943"/>
      <c r="O51" s="943"/>
      <c r="P51" s="943"/>
      <c r="Q51" s="943"/>
      <c r="R51" s="943"/>
      <c r="S51" s="943"/>
      <c r="T51" s="943"/>
      <c r="U51" s="943"/>
      <c r="V51" s="943"/>
      <c r="W51" s="943"/>
      <c r="X51" s="943"/>
      <c r="Y51" s="943"/>
      <c r="Z51" s="943"/>
      <c r="AA51" s="943"/>
      <c r="AB51" s="943"/>
      <c r="AC51" s="943"/>
      <c r="AD51" s="943"/>
      <c r="AE51" s="943"/>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1"/>
      <c r="BP51" s="211"/>
      <c r="BQ51" s="211"/>
      <c r="BR51" s="211"/>
      <c r="BS51" s="211"/>
      <c r="BT51" s="211"/>
      <c r="BU51" s="211"/>
      <c r="BV51" s="211"/>
      <c r="BW51" s="211"/>
      <c r="BX51" s="211"/>
      <c r="BY51" s="211"/>
      <c r="BZ51" s="212"/>
      <c r="CA51" s="142"/>
      <c r="CB51" s="145" t="str">
        <f t="shared" si="0"/>
        <v>Riadok bude skrytý.</v>
      </c>
      <c r="CC51" s="1529" t="s">
        <v>999</v>
      </c>
      <c r="CE51" s="87"/>
      <c r="CF51" s="87"/>
      <c r="CG51" s="87"/>
      <c r="CH51" s="87"/>
      <c r="CI51" s="87"/>
      <c r="CJ51" s="87"/>
      <c r="CK51" s="87"/>
      <c r="CL51" s="87"/>
      <c r="CM51" s="87"/>
      <c r="CN51" s="87"/>
      <c r="CO51" s="87"/>
      <c r="CP51" s="87"/>
      <c r="CQ51" s="87"/>
      <c r="CR51" s="87"/>
      <c r="CS51" s="87"/>
      <c r="CT51" s="87"/>
      <c r="CU51" s="87"/>
      <c r="CV51" s="87"/>
      <c r="CW51" s="34"/>
      <c r="CX51" s="107"/>
      <c r="CY51" s="107"/>
      <c r="CZ51" s="106"/>
      <c r="DA51" s="106"/>
      <c r="DS51" s="130">
        <f>SI!BY51</f>
        <v>150</v>
      </c>
      <c r="DZ51" s="131">
        <f>SI!BZ51</f>
        <v>0</v>
      </c>
    </row>
    <row r="52" spans="1:130" ht="5.3" hidden="1" customHeight="1" x14ac:dyDescent="0.25">
      <c r="A52" s="141"/>
      <c r="B52" s="167"/>
      <c r="C52" s="950" t="str">
        <f>+SI!M4</f>
        <v>R</v>
      </c>
      <c r="D52" s="168"/>
      <c r="E52" s="950" t="str">
        <f>SI!N4</f>
        <v>e</v>
      </c>
      <c r="F52" s="168"/>
      <c r="G52" s="950" t="str">
        <f>SI!O4</f>
        <v>s</v>
      </c>
      <c r="H52" s="168"/>
      <c r="I52" s="950" t="str">
        <f>SI!P4</f>
        <v>u</v>
      </c>
      <c r="J52" s="168"/>
      <c r="K52" s="950" t="str">
        <f>SI!Q4</f>
        <v>m</v>
      </c>
      <c r="L52" s="168"/>
      <c r="M52" s="950" t="str">
        <f>SI!R4</f>
        <v>o</v>
      </c>
      <c r="N52" s="168"/>
      <c r="O52" s="950" t="str">
        <f>SI!S4</f>
        <v xml:space="preserve"> </v>
      </c>
      <c r="P52" s="168"/>
      <c r="Q52" s="950" t="str">
        <f>SI!T4</f>
        <v>s</v>
      </c>
      <c r="R52" s="168"/>
      <c r="S52" s="950" t="str">
        <f>SI!U4</f>
        <v>.</v>
      </c>
      <c r="T52" s="168"/>
      <c r="U52" s="950" t="str">
        <f>SI!V4</f>
        <v>r</v>
      </c>
      <c r="V52" s="168"/>
      <c r="W52" s="950" t="str">
        <f>SI!W4</f>
        <v>.</v>
      </c>
      <c r="X52" s="168"/>
      <c r="Y52" s="950" t="str">
        <f>SI!X4</f>
        <v>o</v>
      </c>
      <c r="Z52" s="168"/>
      <c r="AA52" s="950" t="str">
        <f>SI!Y4</f>
        <v>.</v>
      </c>
      <c r="AB52" s="168"/>
      <c r="AC52" s="950" t="str">
        <f>SI!Z4</f>
        <v/>
      </c>
      <c r="AD52" s="168"/>
      <c r="AE52" s="950" t="str">
        <f>SI!AA4</f>
        <v/>
      </c>
      <c r="AF52" s="168"/>
      <c r="AG52" s="950" t="str">
        <f>SI!AB4</f>
        <v/>
      </c>
      <c r="AH52" s="168"/>
      <c r="AI52" s="950" t="str">
        <f>SI!AC4</f>
        <v/>
      </c>
      <c r="AJ52" s="168"/>
      <c r="AK52" s="950" t="str">
        <f>SI!AD4</f>
        <v/>
      </c>
      <c r="AL52" s="168"/>
      <c r="AM52" s="950" t="str">
        <f>SI!AE4</f>
        <v/>
      </c>
      <c r="AN52" s="168"/>
      <c r="AO52" s="168"/>
      <c r="AP52" s="950" t="str">
        <f>SI!AF4</f>
        <v/>
      </c>
      <c r="AQ52" s="168"/>
      <c r="AR52" s="950" t="str">
        <f>SI!AG4</f>
        <v/>
      </c>
      <c r="AS52" s="168"/>
      <c r="AT52" s="950" t="str">
        <f>SI!AH4</f>
        <v/>
      </c>
      <c r="AU52" s="168"/>
      <c r="AV52" s="950" t="str">
        <f>SI!AI4</f>
        <v/>
      </c>
      <c r="AW52" s="168"/>
      <c r="AX52" s="950" t="str">
        <f>SI!AJ4</f>
        <v/>
      </c>
      <c r="AY52" s="168"/>
      <c r="AZ52" s="950" t="str">
        <f>SI!AK4</f>
        <v/>
      </c>
      <c r="BA52" s="168"/>
      <c r="BB52" s="950" t="str">
        <f>SI!AL4</f>
        <v/>
      </c>
      <c r="BC52" s="168"/>
      <c r="BD52" s="950" t="str">
        <f>SI!AM4</f>
        <v/>
      </c>
      <c r="BE52" s="168"/>
      <c r="BF52" s="950" t="str">
        <f>SI!AN4</f>
        <v/>
      </c>
      <c r="BG52" s="168"/>
      <c r="BH52" s="168"/>
      <c r="BI52" s="950" t="str">
        <f>SI!AO4</f>
        <v/>
      </c>
      <c r="BJ52" s="168"/>
      <c r="BK52" s="950" t="str">
        <f>SI!AP4</f>
        <v/>
      </c>
      <c r="BL52" s="168"/>
      <c r="BM52" s="950" t="str">
        <f>+SI!AQ4</f>
        <v/>
      </c>
      <c r="BN52" s="168"/>
      <c r="BO52" s="950" t="str">
        <f>+SI!AR4</f>
        <v/>
      </c>
      <c r="BP52" s="168"/>
      <c r="BQ52" s="950" t="str">
        <f>+SI!AS4</f>
        <v/>
      </c>
      <c r="BR52" s="168"/>
      <c r="BS52" s="950" t="str">
        <f>+SI!AT4</f>
        <v/>
      </c>
      <c r="BT52" s="168"/>
      <c r="BU52" s="950" t="str">
        <f>+SI!AU4</f>
        <v/>
      </c>
      <c r="BV52" s="168"/>
      <c r="BW52" s="950" t="str">
        <f>+SI!AV4</f>
        <v/>
      </c>
      <c r="BX52" s="168"/>
      <c r="BY52" s="950" t="str">
        <f>+SI!AW4</f>
        <v/>
      </c>
      <c r="BZ52" s="166"/>
      <c r="CA52" s="142"/>
      <c r="CB52" s="145" t="str">
        <f t="shared" si="0"/>
        <v>Riadok bude skrytý.</v>
      </c>
      <c r="CC52" s="1530"/>
      <c r="CD52" s="1525" t="str">
        <f>+IF(C52="",SI!B23&amp;SI!B24&amp;SI!B25&amp;SI!B26,"")</f>
        <v/>
      </c>
      <c r="CE52" s="1525"/>
      <c r="CF52" s="1525"/>
      <c r="CW52" s="34"/>
      <c r="CX52" s="107"/>
      <c r="CY52" s="107"/>
      <c r="CZ52" s="106"/>
      <c r="DA52" s="106"/>
      <c r="DS52" s="130">
        <f>SI!BY52</f>
        <v>161</v>
      </c>
      <c r="DZ52" s="131">
        <f>SI!BZ52</f>
        <v>0</v>
      </c>
    </row>
    <row r="53" spans="1:130" ht="4.5999999999999996" hidden="1" customHeight="1" x14ac:dyDescent="0.25">
      <c r="A53" s="141"/>
      <c r="B53" s="167"/>
      <c r="C53" s="950"/>
      <c r="D53" s="154"/>
      <c r="E53" s="950"/>
      <c r="F53" s="154"/>
      <c r="G53" s="950"/>
      <c r="H53" s="154"/>
      <c r="I53" s="950"/>
      <c r="J53" s="154"/>
      <c r="K53" s="950"/>
      <c r="L53" s="154"/>
      <c r="M53" s="950"/>
      <c r="N53" s="154"/>
      <c r="O53" s="950"/>
      <c r="P53" s="154"/>
      <c r="Q53" s="950"/>
      <c r="R53" s="154"/>
      <c r="S53" s="950"/>
      <c r="T53" s="154"/>
      <c r="U53" s="950"/>
      <c r="V53" s="154"/>
      <c r="W53" s="950"/>
      <c r="X53" s="154"/>
      <c r="Y53" s="950"/>
      <c r="Z53" s="154"/>
      <c r="AA53" s="950"/>
      <c r="AB53" s="154"/>
      <c r="AC53" s="950"/>
      <c r="AD53" s="154"/>
      <c r="AE53" s="950"/>
      <c r="AF53" s="154"/>
      <c r="AG53" s="950"/>
      <c r="AH53" s="154"/>
      <c r="AI53" s="950"/>
      <c r="AJ53" s="154"/>
      <c r="AK53" s="950"/>
      <c r="AL53" s="154"/>
      <c r="AM53" s="950"/>
      <c r="AN53" s="154"/>
      <c r="AO53" s="154"/>
      <c r="AP53" s="950"/>
      <c r="AQ53" s="154"/>
      <c r="AR53" s="950"/>
      <c r="AS53" s="154"/>
      <c r="AT53" s="950"/>
      <c r="AU53" s="154"/>
      <c r="AV53" s="950"/>
      <c r="AW53" s="154"/>
      <c r="AX53" s="950"/>
      <c r="AY53" s="154"/>
      <c r="AZ53" s="950"/>
      <c r="BA53" s="154"/>
      <c r="BB53" s="950"/>
      <c r="BC53" s="154"/>
      <c r="BD53" s="950"/>
      <c r="BE53" s="154"/>
      <c r="BF53" s="950"/>
      <c r="BG53" s="154"/>
      <c r="BH53" s="154"/>
      <c r="BI53" s="950"/>
      <c r="BJ53" s="154"/>
      <c r="BK53" s="950"/>
      <c r="BL53" s="154"/>
      <c r="BM53" s="950"/>
      <c r="BN53" s="154"/>
      <c r="BO53" s="950"/>
      <c r="BP53" s="154"/>
      <c r="BQ53" s="950"/>
      <c r="BR53" s="154"/>
      <c r="BS53" s="950"/>
      <c r="BT53" s="154"/>
      <c r="BU53" s="950"/>
      <c r="BV53" s="154"/>
      <c r="BW53" s="950"/>
      <c r="BX53" s="154"/>
      <c r="BY53" s="950"/>
      <c r="BZ53" s="166"/>
      <c r="CA53" s="142"/>
      <c r="CB53" s="145" t="str">
        <f t="shared" si="0"/>
        <v>Riadok bude skrytý.</v>
      </c>
      <c r="CC53" s="1530"/>
      <c r="CD53" s="1525"/>
      <c r="CE53" s="1525"/>
      <c r="CF53" s="1525"/>
      <c r="CW53" s="34"/>
      <c r="CX53" s="107"/>
      <c r="CY53" s="107"/>
      <c r="CZ53" s="106"/>
      <c r="DA53" s="106"/>
      <c r="DS53" s="130">
        <f>SI!BY53</f>
        <v>128</v>
      </c>
      <c r="DZ53" s="131">
        <f>SI!BZ53</f>
        <v>0</v>
      </c>
    </row>
    <row r="54" spans="1:130" ht="4.5999999999999996" hidden="1" customHeight="1" x14ac:dyDescent="0.25">
      <c r="A54" s="141"/>
      <c r="B54" s="167"/>
      <c r="C54" s="950"/>
      <c r="D54" s="154"/>
      <c r="E54" s="950"/>
      <c r="F54" s="154"/>
      <c r="G54" s="950"/>
      <c r="H54" s="154"/>
      <c r="I54" s="950"/>
      <c r="J54" s="154"/>
      <c r="K54" s="950"/>
      <c r="L54" s="154"/>
      <c r="M54" s="950"/>
      <c r="N54" s="154"/>
      <c r="O54" s="950"/>
      <c r="P54" s="154"/>
      <c r="Q54" s="950"/>
      <c r="R54" s="154"/>
      <c r="S54" s="950"/>
      <c r="T54" s="154"/>
      <c r="U54" s="950"/>
      <c r="V54" s="154"/>
      <c r="W54" s="950"/>
      <c r="X54" s="154"/>
      <c r="Y54" s="950"/>
      <c r="Z54" s="154"/>
      <c r="AA54" s="950"/>
      <c r="AB54" s="154"/>
      <c r="AC54" s="950"/>
      <c r="AD54" s="154"/>
      <c r="AE54" s="950"/>
      <c r="AF54" s="154"/>
      <c r="AG54" s="950"/>
      <c r="AH54" s="154"/>
      <c r="AI54" s="950"/>
      <c r="AJ54" s="154"/>
      <c r="AK54" s="950"/>
      <c r="AL54" s="154"/>
      <c r="AM54" s="950"/>
      <c r="AN54" s="154"/>
      <c r="AO54" s="154"/>
      <c r="AP54" s="950"/>
      <c r="AQ54" s="154"/>
      <c r="AR54" s="950"/>
      <c r="AS54" s="154"/>
      <c r="AT54" s="950"/>
      <c r="AU54" s="154"/>
      <c r="AV54" s="950"/>
      <c r="AW54" s="154"/>
      <c r="AX54" s="950"/>
      <c r="AY54" s="154"/>
      <c r="AZ54" s="950"/>
      <c r="BA54" s="154"/>
      <c r="BB54" s="950"/>
      <c r="BC54" s="154"/>
      <c r="BD54" s="950"/>
      <c r="BE54" s="154"/>
      <c r="BF54" s="950"/>
      <c r="BG54" s="154"/>
      <c r="BH54" s="154"/>
      <c r="BI54" s="950"/>
      <c r="BJ54" s="154"/>
      <c r="BK54" s="950"/>
      <c r="BL54" s="154"/>
      <c r="BM54" s="950"/>
      <c r="BN54" s="154"/>
      <c r="BO54" s="950"/>
      <c r="BP54" s="154"/>
      <c r="BQ54" s="950"/>
      <c r="BR54" s="154"/>
      <c r="BS54" s="950"/>
      <c r="BT54" s="154"/>
      <c r="BU54" s="950"/>
      <c r="BV54" s="154"/>
      <c r="BW54" s="950"/>
      <c r="BX54" s="154"/>
      <c r="BY54" s="950"/>
      <c r="BZ54" s="166"/>
      <c r="CA54" s="142"/>
      <c r="CB54" s="145" t="str">
        <f t="shared" si="0"/>
        <v>Riadok bude skrytý.</v>
      </c>
      <c r="CC54" s="1530"/>
      <c r="CD54" s="1525"/>
      <c r="CE54" s="1525"/>
      <c r="CF54" s="1525"/>
      <c r="CW54" s="34"/>
      <c r="CX54" s="107"/>
      <c r="CY54" s="107"/>
      <c r="CZ54" s="106"/>
      <c r="DA54" s="106"/>
      <c r="DS54" s="130">
        <f>SI!BY54</f>
        <v>136</v>
      </c>
      <c r="DZ54" s="131">
        <f>SI!BZ54</f>
        <v>0</v>
      </c>
    </row>
    <row r="55" spans="1:130" ht="4.5999999999999996" hidden="1" customHeight="1" x14ac:dyDescent="0.25">
      <c r="A55" s="141"/>
      <c r="B55" s="167"/>
      <c r="C55" s="950"/>
      <c r="D55" s="154"/>
      <c r="E55" s="950"/>
      <c r="F55" s="154"/>
      <c r="G55" s="950"/>
      <c r="H55" s="154"/>
      <c r="I55" s="950"/>
      <c r="J55" s="154"/>
      <c r="K55" s="950"/>
      <c r="L55" s="154"/>
      <c r="M55" s="950"/>
      <c r="N55" s="154"/>
      <c r="O55" s="950"/>
      <c r="P55" s="154"/>
      <c r="Q55" s="950"/>
      <c r="R55" s="154"/>
      <c r="S55" s="950"/>
      <c r="T55" s="154"/>
      <c r="U55" s="950"/>
      <c r="V55" s="154"/>
      <c r="W55" s="950"/>
      <c r="X55" s="154"/>
      <c r="Y55" s="950"/>
      <c r="Z55" s="154"/>
      <c r="AA55" s="950"/>
      <c r="AB55" s="154"/>
      <c r="AC55" s="950"/>
      <c r="AD55" s="154"/>
      <c r="AE55" s="950"/>
      <c r="AF55" s="154"/>
      <c r="AG55" s="950"/>
      <c r="AH55" s="154"/>
      <c r="AI55" s="950"/>
      <c r="AJ55" s="154"/>
      <c r="AK55" s="950"/>
      <c r="AL55" s="154"/>
      <c r="AM55" s="950"/>
      <c r="AN55" s="154"/>
      <c r="AO55" s="154"/>
      <c r="AP55" s="950"/>
      <c r="AQ55" s="154"/>
      <c r="AR55" s="950"/>
      <c r="AS55" s="154"/>
      <c r="AT55" s="950"/>
      <c r="AU55" s="154"/>
      <c r="AV55" s="950"/>
      <c r="AW55" s="154"/>
      <c r="AX55" s="950"/>
      <c r="AY55" s="154"/>
      <c r="AZ55" s="950"/>
      <c r="BA55" s="154"/>
      <c r="BB55" s="950"/>
      <c r="BC55" s="154"/>
      <c r="BD55" s="950"/>
      <c r="BE55" s="154"/>
      <c r="BF55" s="950"/>
      <c r="BG55" s="154"/>
      <c r="BH55" s="154"/>
      <c r="BI55" s="950"/>
      <c r="BJ55" s="154"/>
      <c r="BK55" s="950"/>
      <c r="BL55" s="154"/>
      <c r="BM55" s="950"/>
      <c r="BN55" s="154"/>
      <c r="BO55" s="950"/>
      <c r="BP55" s="154"/>
      <c r="BQ55" s="950"/>
      <c r="BR55" s="154"/>
      <c r="BS55" s="950"/>
      <c r="BT55" s="154"/>
      <c r="BU55" s="950"/>
      <c r="BV55" s="154"/>
      <c r="BW55" s="950"/>
      <c r="BX55" s="154"/>
      <c r="BY55" s="950"/>
      <c r="BZ55" s="166"/>
      <c r="CA55" s="142"/>
      <c r="CB55" s="145" t="str">
        <f t="shared" si="0"/>
        <v>Riadok bude skrytý.</v>
      </c>
      <c r="CC55" s="1530"/>
      <c r="CD55" s="1525"/>
      <c r="CE55" s="1525"/>
      <c r="CF55" s="1525"/>
      <c r="CW55" s="34"/>
      <c r="CX55" s="107"/>
      <c r="CY55" s="107"/>
      <c r="CZ55" s="106"/>
      <c r="DA55" s="106"/>
      <c r="DS55" s="130">
        <f>SI!BY55</f>
        <v>129</v>
      </c>
      <c r="DZ55" s="131">
        <f>SI!BZ55</f>
        <v>0</v>
      </c>
    </row>
    <row r="56" spans="1:130" ht="5.3" hidden="1" customHeight="1" x14ac:dyDescent="0.25">
      <c r="A56" s="141"/>
      <c r="B56" s="167"/>
      <c r="C56" s="213"/>
      <c r="D56" s="213"/>
      <c r="E56" s="213"/>
      <c r="F56" s="213"/>
      <c r="G56" s="213"/>
      <c r="H56" s="213"/>
      <c r="I56" s="213"/>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166"/>
      <c r="CA56" s="142"/>
      <c r="CB56" s="145" t="str">
        <f t="shared" si="0"/>
        <v>Riadok bude skrytý.</v>
      </c>
      <c r="CC56" s="1530"/>
      <c r="CD56" s="1525"/>
      <c r="CE56" s="1525"/>
      <c r="CF56" s="1525"/>
      <c r="CW56" s="34"/>
      <c r="CX56" s="107"/>
      <c r="CY56" s="107"/>
      <c r="CZ56" s="106"/>
      <c r="DA56" s="106"/>
      <c r="DS56" s="130">
        <f>SI!BY56</f>
        <v>123</v>
      </c>
      <c r="DZ56" s="131">
        <f>SI!BZ56</f>
        <v>0</v>
      </c>
    </row>
    <row r="57" spans="1:130" ht="3.75" hidden="1" customHeight="1" x14ac:dyDescent="0.25">
      <c r="A57" s="141"/>
      <c r="B57" s="167"/>
      <c r="C57" s="950" t="str">
        <f>SI!M5</f>
        <v/>
      </c>
      <c r="D57" s="168"/>
      <c r="E57" s="950" t="str">
        <f>SI!N5</f>
        <v/>
      </c>
      <c r="F57" s="168"/>
      <c r="G57" s="950" t="str">
        <f>SI!O5</f>
        <v/>
      </c>
      <c r="H57" s="168"/>
      <c r="I57" s="950" t="str">
        <f>SI!P5</f>
        <v/>
      </c>
      <c r="J57" s="168"/>
      <c r="K57" s="950" t="str">
        <f>SI!Q5</f>
        <v/>
      </c>
      <c r="L57" s="168"/>
      <c r="M57" s="950" t="str">
        <f>SI!R5</f>
        <v/>
      </c>
      <c r="N57" s="168"/>
      <c r="O57" s="950" t="str">
        <f>SI!S5</f>
        <v/>
      </c>
      <c r="P57" s="168"/>
      <c r="Q57" s="950" t="str">
        <f>SI!T5</f>
        <v/>
      </c>
      <c r="R57" s="168"/>
      <c r="S57" s="950" t="str">
        <f>SI!U5</f>
        <v/>
      </c>
      <c r="T57" s="168"/>
      <c r="U57" s="950" t="str">
        <f>SI!V5</f>
        <v/>
      </c>
      <c r="V57" s="168"/>
      <c r="W57" s="950" t="str">
        <f>SI!W5</f>
        <v/>
      </c>
      <c r="X57" s="168"/>
      <c r="Y57" s="950" t="str">
        <f>SI!X5</f>
        <v/>
      </c>
      <c r="Z57" s="168"/>
      <c r="AA57" s="950" t="str">
        <f>SI!Y5</f>
        <v/>
      </c>
      <c r="AB57" s="168"/>
      <c r="AC57" s="950" t="str">
        <f>SI!Z5</f>
        <v/>
      </c>
      <c r="AD57" s="168"/>
      <c r="AE57" s="950" t="str">
        <f>SI!AA5</f>
        <v/>
      </c>
      <c r="AF57" s="168"/>
      <c r="AG57" s="950" t="str">
        <f>SI!AB5</f>
        <v/>
      </c>
      <c r="AH57" s="168"/>
      <c r="AI57" s="950" t="str">
        <f>SI!AC5</f>
        <v/>
      </c>
      <c r="AJ57" s="168"/>
      <c r="AK57" s="950" t="str">
        <f>SI!AD5</f>
        <v/>
      </c>
      <c r="AL57" s="168"/>
      <c r="AM57" s="950" t="str">
        <f>SI!AE5</f>
        <v/>
      </c>
      <c r="AN57" s="168"/>
      <c r="AO57" s="168"/>
      <c r="AP57" s="950" t="str">
        <f>SI!AF5</f>
        <v/>
      </c>
      <c r="AQ57" s="168"/>
      <c r="AR57" s="950" t="str">
        <f>SI!AG5</f>
        <v/>
      </c>
      <c r="AS57" s="168"/>
      <c r="AT57" s="950" t="str">
        <f>SI!AH5</f>
        <v/>
      </c>
      <c r="AU57" s="168"/>
      <c r="AV57" s="950" t="str">
        <f>SI!AI5</f>
        <v/>
      </c>
      <c r="AW57" s="168"/>
      <c r="AX57" s="950" t="str">
        <f>SI!AJ5</f>
        <v/>
      </c>
      <c r="AY57" s="168"/>
      <c r="AZ57" s="950" t="str">
        <f>SI!AK5</f>
        <v/>
      </c>
      <c r="BA57" s="168"/>
      <c r="BB57" s="950" t="str">
        <f>SI!AL5</f>
        <v/>
      </c>
      <c r="BC57" s="168"/>
      <c r="BD57" s="950" t="str">
        <f>SI!AM5</f>
        <v/>
      </c>
      <c r="BE57" s="168"/>
      <c r="BF57" s="950" t="str">
        <f>SI!AN5</f>
        <v/>
      </c>
      <c r="BG57" s="168"/>
      <c r="BH57" s="168"/>
      <c r="BI57" s="950" t="str">
        <f>SI!AO5</f>
        <v/>
      </c>
      <c r="BJ57" s="168"/>
      <c r="BK57" s="950" t="str">
        <f>SI!AP5</f>
        <v/>
      </c>
      <c r="BL57" s="168"/>
      <c r="BM57" s="950" t="str">
        <f>SI!AQ5</f>
        <v/>
      </c>
      <c r="BN57" s="168"/>
      <c r="BO57" s="950" t="str">
        <f>+SI!AR5</f>
        <v/>
      </c>
      <c r="BP57" s="168"/>
      <c r="BQ57" s="950" t="str">
        <f>+SI!AS5</f>
        <v/>
      </c>
      <c r="BR57" s="168"/>
      <c r="BS57" s="950" t="str">
        <f>+SI!AT5</f>
        <v/>
      </c>
      <c r="BT57" s="168"/>
      <c r="BU57" s="950" t="str">
        <f>+SI!AU5</f>
        <v/>
      </c>
      <c r="BV57" s="168"/>
      <c r="BW57" s="950" t="str">
        <f>+SI!AV5</f>
        <v/>
      </c>
      <c r="BX57" s="168"/>
      <c r="BY57" s="950" t="str">
        <f>+SI!AW5</f>
        <v/>
      </c>
      <c r="BZ57" s="166"/>
      <c r="CA57" s="142"/>
      <c r="CB57" s="145" t="str">
        <f t="shared" si="0"/>
        <v>Riadok bude skrytý.</v>
      </c>
      <c r="CC57" s="1530"/>
      <c r="CD57" s="1525"/>
      <c r="CE57" s="1525"/>
      <c r="CF57" s="1525"/>
      <c r="CW57" s="34"/>
      <c r="CX57" s="107"/>
      <c r="CY57" s="107"/>
      <c r="CZ57" s="106"/>
      <c r="DA57" s="106"/>
      <c r="DS57" s="130">
        <f>SI!BY57</f>
        <v>490</v>
      </c>
      <c r="DZ57" s="131">
        <f>SI!BZ57</f>
        <v>0</v>
      </c>
    </row>
    <row r="58" spans="1:130" ht="4.5999999999999996" hidden="1" customHeight="1" x14ac:dyDescent="0.25">
      <c r="A58" s="141"/>
      <c r="B58" s="167"/>
      <c r="C58" s="950"/>
      <c r="D58" s="154"/>
      <c r="E58" s="950"/>
      <c r="F58" s="154"/>
      <c r="G58" s="950"/>
      <c r="H58" s="154"/>
      <c r="I58" s="950"/>
      <c r="J58" s="154"/>
      <c r="K58" s="950"/>
      <c r="L58" s="154"/>
      <c r="M58" s="950"/>
      <c r="N58" s="154"/>
      <c r="O58" s="950"/>
      <c r="P58" s="154"/>
      <c r="Q58" s="950"/>
      <c r="R58" s="154"/>
      <c r="S58" s="950"/>
      <c r="T58" s="154"/>
      <c r="U58" s="950"/>
      <c r="V58" s="154"/>
      <c r="W58" s="950"/>
      <c r="X58" s="154"/>
      <c r="Y58" s="950"/>
      <c r="Z58" s="154"/>
      <c r="AA58" s="950"/>
      <c r="AB58" s="154"/>
      <c r="AC58" s="950"/>
      <c r="AD58" s="154"/>
      <c r="AE58" s="950"/>
      <c r="AF58" s="154"/>
      <c r="AG58" s="950"/>
      <c r="AH58" s="154"/>
      <c r="AI58" s="950"/>
      <c r="AJ58" s="154"/>
      <c r="AK58" s="950"/>
      <c r="AL58" s="154"/>
      <c r="AM58" s="950"/>
      <c r="AN58" s="154"/>
      <c r="AO58" s="154"/>
      <c r="AP58" s="950"/>
      <c r="AQ58" s="154"/>
      <c r="AR58" s="950"/>
      <c r="AS58" s="154"/>
      <c r="AT58" s="950"/>
      <c r="AU58" s="154"/>
      <c r="AV58" s="950"/>
      <c r="AW58" s="154"/>
      <c r="AX58" s="950"/>
      <c r="AY58" s="154"/>
      <c r="AZ58" s="950"/>
      <c r="BA58" s="154"/>
      <c r="BB58" s="950"/>
      <c r="BC58" s="154"/>
      <c r="BD58" s="950"/>
      <c r="BE58" s="154"/>
      <c r="BF58" s="950"/>
      <c r="BG58" s="154"/>
      <c r="BH58" s="154"/>
      <c r="BI58" s="950"/>
      <c r="BJ58" s="154"/>
      <c r="BK58" s="950"/>
      <c r="BL58" s="154"/>
      <c r="BM58" s="950"/>
      <c r="BN58" s="154"/>
      <c r="BO58" s="950"/>
      <c r="BP58" s="154"/>
      <c r="BQ58" s="950"/>
      <c r="BR58" s="154"/>
      <c r="BS58" s="950"/>
      <c r="BT58" s="154"/>
      <c r="BU58" s="950"/>
      <c r="BV58" s="154"/>
      <c r="BW58" s="950"/>
      <c r="BX58" s="154"/>
      <c r="BY58" s="950"/>
      <c r="BZ58" s="166"/>
      <c r="CA58" s="142"/>
      <c r="CB58" s="145" t="str">
        <f t="shared" si="0"/>
        <v>Riadok bude skrytý.</v>
      </c>
      <c r="CC58" s="1530"/>
      <c r="CD58" s="1525"/>
      <c r="CE58" s="1525"/>
      <c r="CF58" s="1525"/>
      <c r="CW58" s="34"/>
      <c r="CX58" s="107"/>
      <c r="CY58" s="107"/>
      <c r="CZ58" s="106"/>
      <c r="DA58" s="106"/>
      <c r="DS58" s="130">
        <f>SI!BY58</f>
        <v>967</v>
      </c>
      <c r="DZ58" s="131">
        <f>SI!BZ58</f>
        <v>0</v>
      </c>
    </row>
    <row r="59" spans="1:130" ht="4.5999999999999996" hidden="1" customHeight="1" x14ac:dyDescent="0.25">
      <c r="A59" s="141"/>
      <c r="B59" s="167"/>
      <c r="C59" s="950"/>
      <c r="D59" s="154"/>
      <c r="E59" s="950"/>
      <c r="F59" s="154"/>
      <c r="G59" s="950"/>
      <c r="H59" s="154"/>
      <c r="I59" s="950"/>
      <c r="J59" s="154"/>
      <c r="K59" s="950"/>
      <c r="L59" s="154"/>
      <c r="M59" s="950"/>
      <c r="N59" s="154"/>
      <c r="O59" s="950"/>
      <c r="P59" s="154"/>
      <c r="Q59" s="950"/>
      <c r="R59" s="154"/>
      <c r="S59" s="950"/>
      <c r="T59" s="154"/>
      <c r="U59" s="950"/>
      <c r="V59" s="154"/>
      <c r="W59" s="950"/>
      <c r="X59" s="154"/>
      <c r="Y59" s="950"/>
      <c r="Z59" s="154"/>
      <c r="AA59" s="950"/>
      <c r="AB59" s="154"/>
      <c r="AC59" s="950"/>
      <c r="AD59" s="154"/>
      <c r="AE59" s="950"/>
      <c r="AF59" s="154"/>
      <c r="AG59" s="950"/>
      <c r="AH59" s="154"/>
      <c r="AI59" s="950"/>
      <c r="AJ59" s="154"/>
      <c r="AK59" s="950"/>
      <c r="AL59" s="154"/>
      <c r="AM59" s="950"/>
      <c r="AN59" s="154"/>
      <c r="AO59" s="154"/>
      <c r="AP59" s="950"/>
      <c r="AQ59" s="154"/>
      <c r="AR59" s="950"/>
      <c r="AS59" s="154"/>
      <c r="AT59" s="950"/>
      <c r="AU59" s="154"/>
      <c r="AV59" s="950"/>
      <c r="AW59" s="154"/>
      <c r="AX59" s="950"/>
      <c r="AY59" s="154"/>
      <c r="AZ59" s="950"/>
      <c r="BA59" s="154"/>
      <c r="BB59" s="950"/>
      <c r="BC59" s="154"/>
      <c r="BD59" s="950"/>
      <c r="BE59" s="154"/>
      <c r="BF59" s="950"/>
      <c r="BG59" s="154"/>
      <c r="BH59" s="154"/>
      <c r="BI59" s="950"/>
      <c r="BJ59" s="154"/>
      <c r="BK59" s="950"/>
      <c r="BL59" s="154"/>
      <c r="BM59" s="950"/>
      <c r="BN59" s="154"/>
      <c r="BO59" s="950"/>
      <c r="BP59" s="154"/>
      <c r="BQ59" s="950"/>
      <c r="BR59" s="154"/>
      <c r="BS59" s="950"/>
      <c r="BT59" s="154"/>
      <c r="BU59" s="950"/>
      <c r="BV59" s="154"/>
      <c r="BW59" s="950"/>
      <c r="BX59" s="154"/>
      <c r="BY59" s="950"/>
      <c r="BZ59" s="166"/>
      <c r="CA59" s="142"/>
      <c r="CB59" s="145" t="str">
        <f t="shared" si="0"/>
        <v>Riadok bude skrytý.</v>
      </c>
      <c r="CC59" s="1530"/>
      <c r="CD59" s="1525"/>
      <c r="CE59" s="1525"/>
      <c r="CF59" s="1525"/>
      <c r="CW59" s="34"/>
      <c r="CX59" s="107"/>
      <c r="CY59" s="107"/>
      <c r="CZ59" s="106"/>
      <c r="DA59" s="106"/>
      <c r="DS59" s="130">
        <f>SI!BY59</f>
        <v>504</v>
      </c>
      <c r="DZ59" s="131">
        <f>SI!BZ59</f>
        <v>0</v>
      </c>
    </row>
    <row r="60" spans="1:130" ht="4.5999999999999996" hidden="1" customHeight="1" x14ac:dyDescent="0.25">
      <c r="A60" s="141"/>
      <c r="B60" s="167"/>
      <c r="C60" s="950"/>
      <c r="D60" s="154"/>
      <c r="E60" s="950"/>
      <c r="F60" s="154"/>
      <c r="G60" s="950"/>
      <c r="H60" s="154"/>
      <c r="I60" s="950"/>
      <c r="J60" s="154"/>
      <c r="K60" s="950"/>
      <c r="L60" s="154"/>
      <c r="M60" s="950"/>
      <c r="N60" s="154"/>
      <c r="O60" s="950"/>
      <c r="P60" s="154"/>
      <c r="Q60" s="950"/>
      <c r="R60" s="154"/>
      <c r="S60" s="950"/>
      <c r="T60" s="154"/>
      <c r="U60" s="950"/>
      <c r="V60" s="154"/>
      <c r="W60" s="950"/>
      <c r="X60" s="154"/>
      <c r="Y60" s="950"/>
      <c r="Z60" s="154"/>
      <c r="AA60" s="950"/>
      <c r="AB60" s="154"/>
      <c r="AC60" s="950"/>
      <c r="AD60" s="154"/>
      <c r="AE60" s="950"/>
      <c r="AF60" s="154"/>
      <c r="AG60" s="950"/>
      <c r="AH60" s="154"/>
      <c r="AI60" s="950"/>
      <c r="AJ60" s="154"/>
      <c r="AK60" s="950"/>
      <c r="AL60" s="154"/>
      <c r="AM60" s="950"/>
      <c r="AN60" s="154"/>
      <c r="AO60" s="154"/>
      <c r="AP60" s="950"/>
      <c r="AQ60" s="154"/>
      <c r="AR60" s="950"/>
      <c r="AS60" s="154"/>
      <c r="AT60" s="950"/>
      <c r="AU60" s="154"/>
      <c r="AV60" s="950"/>
      <c r="AW60" s="154"/>
      <c r="AX60" s="950"/>
      <c r="AY60" s="154"/>
      <c r="AZ60" s="950"/>
      <c r="BA60" s="154"/>
      <c r="BB60" s="950"/>
      <c r="BC60" s="154"/>
      <c r="BD60" s="950"/>
      <c r="BE60" s="154"/>
      <c r="BF60" s="950"/>
      <c r="BG60" s="154"/>
      <c r="BH60" s="154"/>
      <c r="BI60" s="950"/>
      <c r="BJ60" s="154"/>
      <c r="BK60" s="950"/>
      <c r="BL60" s="154"/>
      <c r="BM60" s="950"/>
      <c r="BN60" s="154"/>
      <c r="BO60" s="950"/>
      <c r="BP60" s="154"/>
      <c r="BQ60" s="950"/>
      <c r="BR60" s="154"/>
      <c r="BS60" s="950"/>
      <c r="BT60" s="154"/>
      <c r="BU60" s="950"/>
      <c r="BV60" s="154"/>
      <c r="BW60" s="950"/>
      <c r="BX60" s="154"/>
      <c r="BY60" s="950"/>
      <c r="BZ60" s="166"/>
      <c r="CA60" s="142"/>
      <c r="CB60" s="145" t="str">
        <f t="shared" si="0"/>
        <v>Riadok bude skrytý.</v>
      </c>
      <c r="CC60" s="1530"/>
      <c r="CD60" s="1525"/>
      <c r="CE60" s="1525"/>
      <c r="CF60" s="1525"/>
      <c r="CW60" s="34"/>
      <c r="CX60" s="107"/>
      <c r="CY60" s="107"/>
      <c r="CZ60" s="106"/>
      <c r="DA60" s="106"/>
      <c r="DS60" s="130">
        <f>SI!BY60</f>
        <v>651</v>
      </c>
      <c r="DZ60" s="131">
        <f>SI!BZ60</f>
        <v>0</v>
      </c>
    </row>
    <row r="61" spans="1:130" ht="5.3" hidden="1" customHeight="1" x14ac:dyDescent="0.25">
      <c r="A61" s="141"/>
      <c r="B61" s="167"/>
      <c r="C61" s="165"/>
      <c r="D61" s="165"/>
      <c r="E61" s="165"/>
      <c r="F61" s="165"/>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c r="AD61" s="165"/>
      <c r="AE61" s="165"/>
      <c r="AF61" s="165"/>
      <c r="AG61" s="165"/>
      <c r="AH61" s="165"/>
      <c r="AI61" s="165"/>
      <c r="AJ61" s="165"/>
      <c r="AK61" s="165"/>
      <c r="AL61" s="165"/>
      <c r="AM61" s="165"/>
      <c r="AN61" s="165"/>
      <c r="AO61" s="165"/>
      <c r="AP61" s="165"/>
      <c r="AQ61" s="165"/>
      <c r="AR61" s="165"/>
      <c r="AS61" s="165"/>
      <c r="AT61" s="165"/>
      <c r="AU61" s="165"/>
      <c r="AV61" s="165"/>
      <c r="AW61" s="165"/>
      <c r="AX61" s="165"/>
      <c r="AY61" s="165"/>
      <c r="AZ61" s="165"/>
      <c r="BA61" s="165"/>
      <c r="BB61" s="165"/>
      <c r="BC61" s="165"/>
      <c r="BD61" s="165"/>
      <c r="BE61" s="165"/>
      <c r="BF61" s="165"/>
      <c r="BG61" s="165"/>
      <c r="BH61" s="165"/>
      <c r="BI61" s="165"/>
      <c r="BJ61" s="165"/>
      <c r="BK61" s="165"/>
      <c r="BL61" s="165"/>
      <c r="BM61" s="165"/>
      <c r="BN61" s="165"/>
      <c r="BO61" s="214"/>
      <c r="BP61" s="214"/>
      <c r="BQ61" s="214"/>
      <c r="BR61" s="214"/>
      <c r="BS61" s="214"/>
      <c r="BT61" s="214"/>
      <c r="BU61" s="214"/>
      <c r="BV61" s="214"/>
      <c r="BW61" s="214"/>
      <c r="BX61" s="214"/>
      <c r="BY61" s="214"/>
      <c r="BZ61" s="166"/>
      <c r="CA61" s="142"/>
      <c r="CB61" s="145" t="str">
        <f t="shared" si="0"/>
        <v>Riadok bude skrytý.</v>
      </c>
      <c r="CC61" s="1530"/>
      <c r="CD61" s="1525"/>
      <c r="CE61" s="1525"/>
      <c r="CF61" s="1525"/>
      <c r="CW61" s="34"/>
      <c r="CX61" s="107"/>
      <c r="CY61" s="107"/>
      <c r="CZ61" s="106"/>
      <c r="DA61" s="106"/>
      <c r="DS61" s="130">
        <f>SI!BY61</f>
        <v>154</v>
      </c>
      <c r="DZ61" s="131">
        <f>SI!BZ61</f>
        <v>0</v>
      </c>
    </row>
    <row r="62" spans="1:130" hidden="1" x14ac:dyDescent="0.25">
      <c r="A62" s="141"/>
      <c r="B62" s="215"/>
      <c r="C62" s="216" t="s">
        <v>17</v>
      </c>
      <c r="D62" s="217"/>
      <c r="E62" s="217"/>
      <c r="F62" s="217"/>
      <c r="G62" s="218"/>
      <c r="H62" s="218"/>
      <c r="I62" s="218"/>
      <c r="J62" s="218"/>
      <c r="K62" s="218"/>
      <c r="L62" s="218"/>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18"/>
      <c r="AN62" s="218"/>
      <c r="AO62" s="218"/>
      <c r="AP62" s="218"/>
      <c r="AQ62" s="218"/>
      <c r="AR62" s="218"/>
      <c r="AS62" s="218"/>
      <c r="AT62" s="218"/>
      <c r="AU62" s="218"/>
      <c r="AV62" s="218"/>
      <c r="AW62" s="218"/>
      <c r="AX62" s="218"/>
      <c r="AY62" s="218"/>
      <c r="AZ62" s="218"/>
      <c r="BA62" s="218"/>
      <c r="BB62" s="218"/>
      <c r="BC62" s="218"/>
      <c r="BD62" s="218"/>
      <c r="BE62" s="218"/>
      <c r="BF62" s="218"/>
      <c r="BG62" s="218"/>
      <c r="BH62" s="218"/>
      <c r="BI62" s="218"/>
      <c r="BJ62" s="218"/>
      <c r="BK62" s="218"/>
      <c r="BL62" s="218"/>
      <c r="BM62" s="218"/>
      <c r="BN62" s="218"/>
      <c r="BO62" s="219"/>
      <c r="BP62" s="219"/>
      <c r="BQ62" s="219"/>
      <c r="BR62" s="219"/>
      <c r="BS62" s="219"/>
      <c r="BT62" s="219"/>
      <c r="BU62" s="219"/>
      <c r="BV62" s="219"/>
      <c r="BW62" s="219"/>
      <c r="BX62" s="219"/>
      <c r="BY62" s="219"/>
      <c r="BZ62" s="220"/>
      <c r="CA62" s="142"/>
      <c r="CB62" s="145" t="str">
        <f t="shared" si="0"/>
        <v>Riadok bude skrytý.</v>
      </c>
      <c r="CC62" s="1530"/>
      <c r="CD62" s="1525"/>
      <c r="CE62" s="1525"/>
      <c r="CF62" s="1525"/>
      <c r="CW62" s="34"/>
      <c r="CX62" s="107"/>
      <c r="CY62" s="107"/>
      <c r="CZ62" s="106"/>
      <c r="DA62" s="106"/>
      <c r="DS62" s="130">
        <f>SI!BY62</f>
        <v>406</v>
      </c>
      <c r="DZ62" s="131">
        <f>SI!BZ62</f>
        <v>0</v>
      </c>
    </row>
    <row r="63" spans="1:130" ht="16.5" hidden="1" customHeight="1" x14ac:dyDescent="0.25">
      <c r="A63" s="141"/>
      <c r="B63" s="167"/>
      <c r="C63" s="944" t="s">
        <v>16</v>
      </c>
      <c r="D63" s="944"/>
      <c r="E63" s="944"/>
      <c r="F63" s="944"/>
      <c r="G63" s="944"/>
      <c r="H63" s="944"/>
      <c r="I63" s="944"/>
      <c r="J63" s="944"/>
      <c r="K63" s="944"/>
      <c r="L63" s="944"/>
      <c r="M63" s="944"/>
      <c r="N63" s="944"/>
      <c r="O63" s="944"/>
      <c r="P63" s="944"/>
      <c r="Q63" s="944"/>
      <c r="R63" s="944"/>
      <c r="S63" s="944"/>
      <c r="T63" s="944"/>
      <c r="U63" s="944"/>
      <c r="V63" s="944"/>
      <c r="W63" s="944"/>
      <c r="X63" s="944"/>
      <c r="Y63" s="944"/>
      <c r="Z63" s="944"/>
      <c r="AA63" s="944"/>
      <c r="AB63" s="944"/>
      <c r="AC63" s="944"/>
      <c r="AD63" s="165"/>
      <c r="AE63" s="165"/>
      <c r="AF63" s="165"/>
      <c r="AG63" s="165"/>
      <c r="AH63" s="165"/>
      <c r="AI63" s="165"/>
      <c r="AJ63" s="165"/>
      <c r="AK63" s="165"/>
      <c r="AL63" s="165"/>
      <c r="AM63" s="165"/>
      <c r="AN63" s="165"/>
      <c r="AO63" s="165"/>
      <c r="AP63" s="165"/>
      <c r="AQ63" s="165"/>
      <c r="AR63" s="165"/>
      <c r="AS63" s="165"/>
      <c r="AT63" s="165"/>
      <c r="AU63" s="165"/>
      <c r="AV63" s="214"/>
      <c r="AW63" s="214"/>
      <c r="AX63" s="214"/>
      <c r="AY63" s="214"/>
      <c r="AZ63" s="214"/>
      <c r="BA63" s="214"/>
      <c r="BB63" s="214"/>
      <c r="BC63" s="214"/>
      <c r="BD63" s="214"/>
      <c r="BE63" s="214"/>
      <c r="BF63" s="214"/>
      <c r="BG63" s="165"/>
      <c r="BH63" s="165"/>
      <c r="BI63" s="165"/>
      <c r="BJ63" s="165"/>
      <c r="BK63" s="944" t="s">
        <v>7</v>
      </c>
      <c r="BL63" s="944"/>
      <c r="BM63" s="944"/>
      <c r="BN63" s="944"/>
      <c r="BO63" s="944"/>
      <c r="BP63" s="944"/>
      <c r="BQ63" s="944"/>
      <c r="BR63" s="944"/>
      <c r="BS63" s="944"/>
      <c r="BT63" s="165"/>
      <c r="BU63" s="165"/>
      <c r="BV63" s="165"/>
      <c r="BW63" s="165"/>
      <c r="BX63" s="165"/>
      <c r="BY63" s="165"/>
      <c r="BZ63" s="166"/>
      <c r="CA63" s="142"/>
      <c r="CB63" s="145" t="str">
        <f t="shared" si="0"/>
        <v>Riadok bude skrytý.</v>
      </c>
      <c r="CC63" s="1530"/>
      <c r="CD63" s="1525"/>
      <c r="CE63" s="1525"/>
      <c r="CF63" s="1525"/>
      <c r="CW63" s="34"/>
      <c r="CX63" s="107"/>
      <c r="CY63" s="107"/>
      <c r="CZ63" s="106"/>
      <c r="DA63" s="106"/>
      <c r="DS63" s="130">
        <f>SI!BY63</f>
        <v>206</v>
      </c>
      <c r="DZ63" s="131">
        <f>SI!BZ63</f>
        <v>0</v>
      </c>
    </row>
    <row r="64" spans="1:130" ht="4.5999999999999996" hidden="1" customHeight="1" x14ac:dyDescent="0.25">
      <c r="A64" s="141"/>
      <c r="B64" s="167"/>
      <c r="C64" s="950" t="str">
        <f>SI!M6</f>
        <v>D</v>
      </c>
      <c r="D64" s="168"/>
      <c r="E64" s="950" t="str">
        <f>SI!N6</f>
        <v>o</v>
      </c>
      <c r="F64" s="168"/>
      <c r="G64" s="950" t="str">
        <f>SI!O6</f>
        <v>l</v>
      </c>
      <c r="H64" s="168"/>
      <c r="I64" s="950" t="str">
        <f>SI!P6</f>
        <v>n</v>
      </c>
      <c r="J64" s="168"/>
      <c r="K64" s="950" t="str">
        <f>SI!Q6</f>
        <v>á</v>
      </c>
      <c r="L64" s="168"/>
      <c r="M64" s="950" t="str">
        <f>SI!R6</f>
        <v/>
      </c>
      <c r="N64" s="168"/>
      <c r="O64" s="950" t="str">
        <f>SI!S6</f>
        <v/>
      </c>
      <c r="P64" s="168"/>
      <c r="Q64" s="950" t="str">
        <f>SI!T6</f>
        <v/>
      </c>
      <c r="R64" s="168"/>
      <c r="S64" s="950" t="str">
        <f>SI!U6</f>
        <v/>
      </c>
      <c r="T64" s="168"/>
      <c r="U64" s="950" t="str">
        <f>SI!V6</f>
        <v/>
      </c>
      <c r="V64" s="168"/>
      <c r="W64" s="950" t="str">
        <f>SI!W6</f>
        <v/>
      </c>
      <c r="X64" s="168"/>
      <c r="Y64" s="950" t="str">
        <f>SI!X6</f>
        <v/>
      </c>
      <c r="Z64" s="168"/>
      <c r="AA64" s="950" t="str">
        <f>SI!Y6</f>
        <v/>
      </c>
      <c r="AB64" s="168"/>
      <c r="AC64" s="950" t="str">
        <f>SI!Z6</f>
        <v/>
      </c>
      <c r="AD64" s="168"/>
      <c r="AE64" s="950" t="str">
        <f>SI!AA6</f>
        <v/>
      </c>
      <c r="AF64" s="168"/>
      <c r="AG64" s="950" t="str">
        <f>SI!AB6</f>
        <v/>
      </c>
      <c r="AH64" s="168"/>
      <c r="AI64" s="950" t="str">
        <f>SI!AC6</f>
        <v/>
      </c>
      <c r="AJ64" s="168"/>
      <c r="AK64" s="950" t="str">
        <f>SI!AD6</f>
        <v/>
      </c>
      <c r="AL64" s="168"/>
      <c r="AM64" s="950" t="str">
        <f>SI!AE6</f>
        <v/>
      </c>
      <c r="AN64" s="168"/>
      <c r="AO64" s="168"/>
      <c r="AP64" s="950" t="str">
        <f>SI!AF6</f>
        <v/>
      </c>
      <c r="AQ64" s="168"/>
      <c r="AR64" s="950" t="str">
        <f>SI!AG6</f>
        <v/>
      </c>
      <c r="AS64" s="168"/>
      <c r="AT64" s="950" t="str">
        <f>SI!AH6</f>
        <v/>
      </c>
      <c r="AU64" s="168"/>
      <c r="AV64" s="950" t="str">
        <f>+SI!AI6</f>
        <v/>
      </c>
      <c r="AW64" s="168"/>
      <c r="AX64" s="950" t="str">
        <f>+SI!AJ6</f>
        <v/>
      </c>
      <c r="AY64" s="168"/>
      <c r="AZ64" s="950" t="str">
        <f>+SI!AK6</f>
        <v/>
      </c>
      <c r="BA64" s="168"/>
      <c r="BB64" s="950" t="str">
        <f>+SI!AL6</f>
        <v/>
      </c>
      <c r="BC64" s="168"/>
      <c r="BD64" s="950" t="str">
        <f>+SI!AM6</f>
        <v/>
      </c>
      <c r="BE64" s="168"/>
      <c r="BF64" s="950" t="str">
        <f>+SI!AN6</f>
        <v/>
      </c>
      <c r="BG64" s="165"/>
      <c r="BH64" s="165"/>
      <c r="BI64" s="165"/>
      <c r="BJ64" s="165"/>
      <c r="BK64" s="950" t="str">
        <f>SI!M7</f>
        <v>1</v>
      </c>
      <c r="BL64" s="168"/>
      <c r="BM64" s="950" t="str">
        <f>SI!N7</f>
        <v>9</v>
      </c>
      <c r="BN64" s="168"/>
      <c r="BO64" s="950" t="str">
        <f>SI!O7</f>
        <v/>
      </c>
      <c r="BP64" s="168"/>
      <c r="BQ64" s="950" t="str">
        <f>SI!P7</f>
        <v/>
      </c>
      <c r="BR64" s="168"/>
      <c r="BS64" s="950" t="str">
        <f>SI!Q7</f>
        <v/>
      </c>
      <c r="BT64" s="168"/>
      <c r="BU64" s="950" t="str">
        <f>SI!R7</f>
        <v/>
      </c>
      <c r="BV64" s="168"/>
      <c r="BW64" s="950" t="str">
        <f>SI!S7</f>
        <v/>
      </c>
      <c r="BX64" s="168"/>
      <c r="BY64" s="950" t="str">
        <f>SI!T7</f>
        <v/>
      </c>
      <c r="BZ64" s="166"/>
      <c r="CA64" s="142"/>
      <c r="CB64" s="145" t="str">
        <f t="shared" si="0"/>
        <v>Riadok bude skrytý.</v>
      </c>
      <c r="CC64" s="1530"/>
      <c r="CD64" s="1525"/>
      <c r="CE64" s="1525"/>
      <c r="CF64" s="1525"/>
      <c r="CW64" s="34"/>
      <c r="CX64" s="107"/>
      <c r="CY64" s="107"/>
      <c r="CZ64" s="106"/>
      <c r="DA64" s="106"/>
      <c r="DS64" s="130">
        <f>SI!BY64</f>
        <v>7</v>
      </c>
      <c r="DZ64" s="131">
        <f>SI!BZ64</f>
        <v>0</v>
      </c>
    </row>
    <row r="65" spans="1:132" ht="4.5999999999999996" hidden="1" customHeight="1" x14ac:dyDescent="0.25">
      <c r="A65" s="141"/>
      <c r="B65" s="167"/>
      <c r="C65" s="950"/>
      <c r="D65" s="154"/>
      <c r="E65" s="950"/>
      <c r="F65" s="154"/>
      <c r="G65" s="950"/>
      <c r="H65" s="154"/>
      <c r="I65" s="950"/>
      <c r="J65" s="154"/>
      <c r="K65" s="950"/>
      <c r="L65" s="154"/>
      <c r="M65" s="950"/>
      <c r="N65" s="154"/>
      <c r="O65" s="950"/>
      <c r="P65" s="154"/>
      <c r="Q65" s="950"/>
      <c r="R65" s="154"/>
      <c r="S65" s="950"/>
      <c r="T65" s="154"/>
      <c r="U65" s="950"/>
      <c r="V65" s="154"/>
      <c r="W65" s="950"/>
      <c r="X65" s="154"/>
      <c r="Y65" s="950"/>
      <c r="Z65" s="154"/>
      <c r="AA65" s="950"/>
      <c r="AB65" s="154"/>
      <c r="AC65" s="950"/>
      <c r="AD65" s="154"/>
      <c r="AE65" s="950"/>
      <c r="AF65" s="154"/>
      <c r="AG65" s="950"/>
      <c r="AH65" s="154"/>
      <c r="AI65" s="950"/>
      <c r="AJ65" s="154"/>
      <c r="AK65" s="950"/>
      <c r="AL65" s="154"/>
      <c r="AM65" s="950"/>
      <c r="AN65" s="154"/>
      <c r="AO65" s="154"/>
      <c r="AP65" s="950"/>
      <c r="AQ65" s="154"/>
      <c r="AR65" s="950"/>
      <c r="AS65" s="154"/>
      <c r="AT65" s="950"/>
      <c r="AU65" s="154"/>
      <c r="AV65" s="950"/>
      <c r="AW65" s="154"/>
      <c r="AX65" s="950"/>
      <c r="AY65" s="154"/>
      <c r="AZ65" s="950"/>
      <c r="BA65" s="154"/>
      <c r="BB65" s="950"/>
      <c r="BC65" s="154"/>
      <c r="BD65" s="950"/>
      <c r="BE65" s="154"/>
      <c r="BF65" s="950"/>
      <c r="BG65" s="165"/>
      <c r="BH65" s="165"/>
      <c r="BI65" s="165"/>
      <c r="BJ65" s="165"/>
      <c r="BK65" s="950"/>
      <c r="BL65" s="154"/>
      <c r="BM65" s="950"/>
      <c r="BN65" s="154"/>
      <c r="BO65" s="950"/>
      <c r="BP65" s="154"/>
      <c r="BQ65" s="950"/>
      <c r="BR65" s="154"/>
      <c r="BS65" s="950"/>
      <c r="BT65" s="154"/>
      <c r="BU65" s="950"/>
      <c r="BV65" s="154"/>
      <c r="BW65" s="950"/>
      <c r="BX65" s="154"/>
      <c r="BY65" s="950"/>
      <c r="BZ65" s="166"/>
      <c r="CA65" s="142"/>
      <c r="CB65" s="145" t="str">
        <f t="shared" si="0"/>
        <v>Riadok bude skrytý.</v>
      </c>
      <c r="CC65" s="1530"/>
      <c r="CD65" s="1525"/>
      <c r="CE65" s="1525"/>
      <c r="CF65" s="1525"/>
      <c r="CW65" s="34"/>
      <c r="CX65" s="107"/>
      <c r="CY65" s="107"/>
      <c r="CZ65" s="106"/>
      <c r="DA65" s="106"/>
      <c r="DS65" s="130">
        <f>SI!BY65</f>
        <v>6</v>
      </c>
      <c r="DZ65" s="131">
        <f>SI!BZ65</f>
        <v>0</v>
      </c>
    </row>
    <row r="66" spans="1:132" ht="4.5999999999999996" hidden="1" customHeight="1" x14ac:dyDescent="0.25">
      <c r="A66" s="141"/>
      <c r="B66" s="167"/>
      <c r="C66" s="950"/>
      <c r="D66" s="154"/>
      <c r="E66" s="950"/>
      <c r="F66" s="154"/>
      <c r="G66" s="950"/>
      <c r="H66" s="154"/>
      <c r="I66" s="950"/>
      <c r="J66" s="154"/>
      <c r="K66" s="950"/>
      <c r="L66" s="154"/>
      <c r="M66" s="950"/>
      <c r="N66" s="154"/>
      <c r="O66" s="950"/>
      <c r="P66" s="154"/>
      <c r="Q66" s="950"/>
      <c r="R66" s="154"/>
      <c r="S66" s="950"/>
      <c r="T66" s="154"/>
      <c r="U66" s="950"/>
      <c r="V66" s="154"/>
      <c r="W66" s="950"/>
      <c r="X66" s="154"/>
      <c r="Y66" s="950"/>
      <c r="Z66" s="154"/>
      <c r="AA66" s="950"/>
      <c r="AB66" s="154"/>
      <c r="AC66" s="950"/>
      <c r="AD66" s="154"/>
      <c r="AE66" s="950"/>
      <c r="AF66" s="154"/>
      <c r="AG66" s="950"/>
      <c r="AH66" s="154"/>
      <c r="AI66" s="950"/>
      <c r="AJ66" s="154"/>
      <c r="AK66" s="950"/>
      <c r="AL66" s="154"/>
      <c r="AM66" s="950"/>
      <c r="AN66" s="154"/>
      <c r="AO66" s="154"/>
      <c r="AP66" s="950"/>
      <c r="AQ66" s="154"/>
      <c r="AR66" s="950"/>
      <c r="AS66" s="154"/>
      <c r="AT66" s="950"/>
      <c r="AU66" s="154"/>
      <c r="AV66" s="950"/>
      <c r="AW66" s="154"/>
      <c r="AX66" s="950"/>
      <c r="AY66" s="154"/>
      <c r="AZ66" s="950"/>
      <c r="BA66" s="154"/>
      <c r="BB66" s="950"/>
      <c r="BC66" s="154"/>
      <c r="BD66" s="950"/>
      <c r="BE66" s="154"/>
      <c r="BF66" s="950"/>
      <c r="BG66" s="165"/>
      <c r="BH66" s="165"/>
      <c r="BI66" s="165"/>
      <c r="BJ66" s="165"/>
      <c r="BK66" s="950"/>
      <c r="BL66" s="154"/>
      <c r="BM66" s="950"/>
      <c r="BN66" s="154"/>
      <c r="BO66" s="950"/>
      <c r="BP66" s="154"/>
      <c r="BQ66" s="950"/>
      <c r="BR66" s="154"/>
      <c r="BS66" s="950"/>
      <c r="BT66" s="154"/>
      <c r="BU66" s="950"/>
      <c r="BV66" s="154"/>
      <c r="BW66" s="950"/>
      <c r="BX66" s="154"/>
      <c r="BY66" s="950"/>
      <c r="BZ66" s="166"/>
      <c r="CA66" s="142"/>
      <c r="CB66" s="145" t="str">
        <f t="shared" si="0"/>
        <v>Riadok bude skrytý.</v>
      </c>
      <c r="CC66" s="1530"/>
      <c r="CD66" s="1525"/>
      <c r="CE66" s="1525"/>
      <c r="CF66" s="1525"/>
      <c r="CW66" s="34"/>
      <c r="CX66" s="107"/>
      <c r="CY66" s="107"/>
      <c r="CZ66" s="106"/>
      <c r="DA66" s="106"/>
      <c r="DS66" s="130">
        <f>SI!BY66</f>
        <v>6</v>
      </c>
      <c r="DZ66" s="131">
        <f>SI!BZ66</f>
        <v>0</v>
      </c>
    </row>
    <row r="67" spans="1:132" ht="3.75" hidden="1" customHeight="1" x14ac:dyDescent="0.25">
      <c r="A67" s="141"/>
      <c r="B67" s="167"/>
      <c r="C67" s="950"/>
      <c r="D67" s="154"/>
      <c r="E67" s="950"/>
      <c r="F67" s="154"/>
      <c r="G67" s="950"/>
      <c r="H67" s="154"/>
      <c r="I67" s="950"/>
      <c r="J67" s="154"/>
      <c r="K67" s="950"/>
      <c r="L67" s="154"/>
      <c r="M67" s="950"/>
      <c r="N67" s="154"/>
      <c r="O67" s="950"/>
      <c r="P67" s="154"/>
      <c r="Q67" s="950"/>
      <c r="R67" s="154"/>
      <c r="S67" s="950"/>
      <c r="T67" s="154"/>
      <c r="U67" s="950"/>
      <c r="V67" s="154"/>
      <c r="W67" s="950"/>
      <c r="X67" s="154"/>
      <c r="Y67" s="950"/>
      <c r="Z67" s="154"/>
      <c r="AA67" s="950"/>
      <c r="AB67" s="154"/>
      <c r="AC67" s="950"/>
      <c r="AD67" s="154"/>
      <c r="AE67" s="950"/>
      <c r="AF67" s="154"/>
      <c r="AG67" s="950"/>
      <c r="AH67" s="154"/>
      <c r="AI67" s="950"/>
      <c r="AJ67" s="154"/>
      <c r="AK67" s="950"/>
      <c r="AL67" s="154"/>
      <c r="AM67" s="950"/>
      <c r="AN67" s="154"/>
      <c r="AO67" s="154"/>
      <c r="AP67" s="950"/>
      <c r="AQ67" s="154"/>
      <c r="AR67" s="950"/>
      <c r="AS67" s="154"/>
      <c r="AT67" s="950"/>
      <c r="AU67" s="154"/>
      <c r="AV67" s="950"/>
      <c r="AW67" s="154"/>
      <c r="AX67" s="950"/>
      <c r="AY67" s="154"/>
      <c r="AZ67" s="950"/>
      <c r="BA67" s="154"/>
      <c r="BB67" s="950"/>
      <c r="BC67" s="154"/>
      <c r="BD67" s="950"/>
      <c r="BE67" s="154"/>
      <c r="BF67" s="950"/>
      <c r="BG67" s="165"/>
      <c r="BH67" s="165"/>
      <c r="BI67" s="165"/>
      <c r="BJ67" s="165"/>
      <c r="BK67" s="950"/>
      <c r="BL67" s="154"/>
      <c r="BM67" s="950"/>
      <c r="BN67" s="154"/>
      <c r="BO67" s="950"/>
      <c r="BP67" s="154"/>
      <c r="BQ67" s="950"/>
      <c r="BR67" s="154"/>
      <c r="BS67" s="950"/>
      <c r="BT67" s="154"/>
      <c r="BU67" s="950"/>
      <c r="BV67" s="154"/>
      <c r="BW67" s="950"/>
      <c r="BX67" s="154"/>
      <c r="BY67" s="950"/>
      <c r="BZ67" s="166"/>
      <c r="CA67" s="142"/>
      <c r="CB67" s="145" t="str">
        <f t="shared" ref="CB67:CB110" si="1">+IF($CC$1="Skryť prvú stranu.","Riadok bude skrytý.","Riadok bude vidieť.")</f>
        <v>Riadok bude skrytý.</v>
      </c>
      <c r="CC67" s="1530"/>
      <c r="CD67" s="1525"/>
      <c r="CE67" s="1525"/>
      <c r="CF67" s="1525"/>
      <c r="CW67" s="34"/>
      <c r="CX67" s="107"/>
      <c r="CY67" s="107"/>
      <c r="CZ67" s="106"/>
      <c r="DA67" s="106"/>
      <c r="DS67" s="130">
        <f>SI!BY67</f>
        <v>127</v>
      </c>
      <c r="DZ67" s="131">
        <f>SI!BZ67</f>
        <v>0</v>
      </c>
    </row>
    <row r="68" spans="1:132" ht="16.5" hidden="1" customHeight="1" x14ac:dyDescent="0.25">
      <c r="A68" s="141"/>
      <c r="B68" s="221"/>
      <c r="C68" s="945" t="s">
        <v>14</v>
      </c>
      <c r="D68" s="945"/>
      <c r="E68" s="945"/>
      <c r="F68" s="945"/>
      <c r="G68" s="945"/>
      <c r="H68" s="945"/>
      <c r="I68" s="945"/>
      <c r="J68" s="945"/>
      <c r="K68" s="945"/>
      <c r="L68" s="222"/>
      <c r="M68" s="222"/>
      <c r="N68" s="155"/>
      <c r="O68" s="945" t="s">
        <v>15</v>
      </c>
      <c r="P68" s="945"/>
      <c r="Q68" s="945"/>
      <c r="R68" s="945"/>
      <c r="S68" s="945"/>
      <c r="T68" s="945"/>
      <c r="U68" s="945"/>
      <c r="V68" s="945"/>
      <c r="W68" s="945"/>
      <c r="X68" s="945"/>
      <c r="Y68" s="945"/>
      <c r="Z68" s="945"/>
      <c r="AA68" s="945"/>
      <c r="AB68" s="945"/>
      <c r="AC68" s="945"/>
      <c r="AD68" s="945"/>
      <c r="AE68" s="945"/>
      <c r="AF68" s="222"/>
      <c r="AG68" s="222"/>
      <c r="AH68" s="222"/>
      <c r="AI68" s="222"/>
      <c r="AJ68" s="222"/>
      <c r="AK68" s="222"/>
      <c r="AL68" s="222"/>
      <c r="AM68" s="222"/>
      <c r="AN68" s="222"/>
      <c r="AO68" s="222"/>
      <c r="AP68" s="222"/>
      <c r="AQ68" s="222"/>
      <c r="AR68" s="222"/>
      <c r="AS68" s="222"/>
      <c r="AT68" s="222"/>
      <c r="AU68" s="222"/>
      <c r="AV68" s="223"/>
      <c r="AW68" s="223"/>
      <c r="AX68" s="223"/>
      <c r="AY68" s="223"/>
      <c r="AZ68" s="223"/>
      <c r="BA68" s="223"/>
      <c r="BB68" s="223"/>
      <c r="BC68" s="223"/>
      <c r="BD68" s="223"/>
      <c r="BE68" s="223"/>
      <c r="BF68" s="223"/>
      <c r="BG68" s="222"/>
      <c r="BH68" s="222"/>
      <c r="BI68" s="222"/>
      <c r="BJ68" s="165"/>
      <c r="BK68" s="222"/>
      <c r="BL68" s="222"/>
      <c r="BM68" s="222"/>
      <c r="BN68" s="222"/>
      <c r="BO68" s="223"/>
      <c r="BP68" s="223"/>
      <c r="BQ68" s="223"/>
      <c r="BR68" s="223"/>
      <c r="BS68" s="223"/>
      <c r="BT68" s="223"/>
      <c r="BU68" s="223"/>
      <c r="BV68" s="223"/>
      <c r="BW68" s="223"/>
      <c r="BX68" s="223"/>
      <c r="BY68" s="223"/>
      <c r="BZ68" s="224"/>
      <c r="CA68" s="142"/>
      <c r="CB68" s="145" t="str">
        <f t="shared" si="1"/>
        <v>Riadok bude skrytý.</v>
      </c>
      <c r="CC68" s="1530"/>
      <c r="CD68" s="1525"/>
      <c r="CE68" s="1525"/>
      <c r="CF68" s="1525"/>
      <c r="CW68" s="34"/>
      <c r="CX68" s="107"/>
      <c r="CY68" s="108"/>
      <c r="CZ68" s="106"/>
      <c r="DA68" s="106"/>
      <c r="DS68" s="130">
        <f>SI!BY68</f>
        <v>998</v>
      </c>
      <c r="DZ68" s="131">
        <f>SI!BZ68</f>
        <v>0</v>
      </c>
    </row>
    <row r="69" spans="1:132" ht="4.5999999999999996" hidden="1" customHeight="1" x14ac:dyDescent="0.25">
      <c r="A69" s="141"/>
      <c r="B69" s="221"/>
      <c r="C69" s="2048" t="str">
        <f>+SI!M8</f>
        <v>9</v>
      </c>
      <c r="D69" s="168"/>
      <c r="E69" s="2048" t="str">
        <f>+SI!N8</f>
        <v>7</v>
      </c>
      <c r="F69" s="168"/>
      <c r="G69" s="2048" t="str">
        <f>+SI!O8</f>
        <v>4</v>
      </c>
      <c r="H69" s="168"/>
      <c r="I69" s="2048" t="str">
        <f>+SI!P8</f>
        <v>0</v>
      </c>
      <c r="J69" s="168"/>
      <c r="K69" s="2048" t="str">
        <f>+SI!Q8</f>
        <v>1</v>
      </c>
      <c r="L69" s="222"/>
      <c r="M69" s="222"/>
      <c r="N69" s="155"/>
      <c r="O69" s="950" t="str">
        <f>+SI!M9</f>
        <v>B</v>
      </c>
      <c r="P69" s="168"/>
      <c r="Q69" s="950" t="str">
        <f>+SI!N9</f>
        <v>a</v>
      </c>
      <c r="R69" s="168"/>
      <c r="S69" s="950" t="str">
        <f>+SI!O9</f>
        <v>n</v>
      </c>
      <c r="T69" s="168"/>
      <c r="U69" s="950" t="str">
        <f>+SI!P9</f>
        <v>s</v>
      </c>
      <c r="V69" s="168"/>
      <c r="W69" s="950" t="str">
        <f>+SI!Q9</f>
        <v>k</v>
      </c>
      <c r="X69" s="168"/>
      <c r="Y69" s="950" t="str">
        <f>+SI!R9</f>
        <v>á</v>
      </c>
      <c r="Z69" s="168"/>
      <c r="AA69" s="950" t="str">
        <f>+SI!S9</f>
        <v xml:space="preserve"> </v>
      </c>
      <c r="AB69" s="168"/>
      <c r="AC69" s="950" t="str">
        <f>+SI!T9</f>
        <v>B</v>
      </c>
      <c r="AD69" s="168"/>
      <c r="AE69" s="950" t="str">
        <f>+SI!U9</f>
        <v>y</v>
      </c>
      <c r="AF69" s="168"/>
      <c r="AG69" s="950" t="str">
        <f>+SI!V9</f>
        <v>s</v>
      </c>
      <c r="AH69" s="168"/>
      <c r="AI69" s="950" t="str">
        <f>+SI!W9</f>
        <v>t</v>
      </c>
      <c r="AJ69" s="168"/>
      <c r="AK69" s="950" t="str">
        <f>+SI!X9</f>
        <v>r</v>
      </c>
      <c r="AL69" s="168"/>
      <c r="AM69" s="950" t="str">
        <f>+SI!Y9</f>
        <v>i</v>
      </c>
      <c r="AN69" s="168"/>
      <c r="AO69" s="168"/>
      <c r="AP69" s="950" t="str">
        <f>+SI!Z9</f>
        <v>c</v>
      </c>
      <c r="AQ69" s="168"/>
      <c r="AR69" s="950" t="str">
        <f>+SI!AA9</f>
        <v>a</v>
      </c>
      <c r="AS69" s="168"/>
      <c r="AT69" s="950" t="str">
        <f>+SI!AB9</f>
        <v/>
      </c>
      <c r="AU69" s="168"/>
      <c r="AV69" s="950" t="str">
        <f>+SI!AC9</f>
        <v/>
      </c>
      <c r="AW69" s="168"/>
      <c r="AX69" s="950" t="str">
        <f>+SI!AD9</f>
        <v/>
      </c>
      <c r="AY69" s="168"/>
      <c r="AZ69" s="950" t="str">
        <f>+SI!AE9</f>
        <v/>
      </c>
      <c r="BA69" s="168"/>
      <c r="BB69" s="950" t="str">
        <f>+SI!AF9</f>
        <v/>
      </c>
      <c r="BC69" s="168"/>
      <c r="BD69" s="950" t="str">
        <f>+SI!AG9</f>
        <v/>
      </c>
      <c r="BE69" s="168"/>
      <c r="BF69" s="950" t="str">
        <f>+SI!AH9</f>
        <v/>
      </c>
      <c r="BG69" s="168"/>
      <c r="BH69" s="168"/>
      <c r="BI69" s="950" t="str">
        <f>+SI!AI9</f>
        <v/>
      </c>
      <c r="BJ69" s="168"/>
      <c r="BK69" s="950" t="str">
        <f>+SI!AJ9</f>
        <v/>
      </c>
      <c r="BL69" s="168"/>
      <c r="BM69" s="950" t="str">
        <f>+SI!AK9</f>
        <v/>
      </c>
      <c r="BN69" s="168"/>
      <c r="BO69" s="950" t="str">
        <f>+SI!AL9</f>
        <v/>
      </c>
      <c r="BP69" s="168"/>
      <c r="BQ69" s="950" t="str">
        <f>+SI!AM9</f>
        <v/>
      </c>
      <c r="BR69" s="168"/>
      <c r="BS69" s="950" t="str">
        <f>+SI!AN9</f>
        <v/>
      </c>
      <c r="BT69" s="168"/>
      <c r="BU69" s="950" t="str">
        <f>+SI!AO9</f>
        <v/>
      </c>
      <c r="BV69" s="168"/>
      <c r="BW69" s="950" t="str">
        <f>+SI!AP9</f>
        <v/>
      </c>
      <c r="BX69" s="168"/>
      <c r="BY69" s="950" t="str">
        <f>+SI!AQ9</f>
        <v/>
      </c>
      <c r="BZ69" s="224"/>
      <c r="CA69" s="142"/>
      <c r="CB69" s="145" t="str">
        <f t="shared" si="1"/>
        <v>Riadok bude skrytý.</v>
      </c>
      <c r="CC69" s="1530"/>
      <c r="CD69" s="1525"/>
      <c r="CE69" s="1525"/>
      <c r="CF69" s="1525"/>
      <c r="CG69" s="30"/>
      <c r="CH69" s="30"/>
      <c r="CI69" s="30"/>
      <c r="CJ69" s="30"/>
      <c r="CW69" s="34"/>
      <c r="CX69" s="109"/>
      <c r="CY69" s="109"/>
      <c r="CZ69" s="106"/>
      <c r="DA69" s="106"/>
      <c r="DS69" s="130">
        <f>SI!BY69</f>
        <v>8</v>
      </c>
      <c r="DZ69" s="131">
        <f>SI!BZ69</f>
        <v>0</v>
      </c>
    </row>
    <row r="70" spans="1:132" ht="4.5999999999999996" hidden="1" customHeight="1" x14ac:dyDescent="0.25">
      <c r="A70" s="141"/>
      <c r="B70" s="221"/>
      <c r="C70" s="2048"/>
      <c r="D70" s="154"/>
      <c r="E70" s="2048"/>
      <c r="F70" s="154"/>
      <c r="G70" s="2048"/>
      <c r="H70" s="154"/>
      <c r="I70" s="2048"/>
      <c r="J70" s="154"/>
      <c r="K70" s="2048"/>
      <c r="L70" s="222"/>
      <c r="M70" s="222"/>
      <c r="N70" s="155"/>
      <c r="O70" s="950"/>
      <c r="P70" s="154"/>
      <c r="Q70" s="950"/>
      <c r="R70" s="154"/>
      <c r="S70" s="950"/>
      <c r="T70" s="154"/>
      <c r="U70" s="950"/>
      <c r="V70" s="154"/>
      <c r="W70" s="950"/>
      <c r="X70" s="154"/>
      <c r="Y70" s="950"/>
      <c r="Z70" s="154"/>
      <c r="AA70" s="950"/>
      <c r="AB70" s="154"/>
      <c r="AC70" s="950"/>
      <c r="AD70" s="154"/>
      <c r="AE70" s="950"/>
      <c r="AF70" s="154"/>
      <c r="AG70" s="950"/>
      <c r="AH70" s="154"/>
      <c r="AI70" s="950"/>
      <c r="AJ70" s="154"/>
      <c r="AK70" s="950"/>
      <c r="AL70" s="154"/>
      <c r="AM70" s="950"/>
      <c r="AN70" s="154"/>
      <c r="AO70" s="154"/>
      <c r="AP70" s="950"/>
      <c r="AQ70" s="154"/>
      <c r="AR70" s="950"/>
      <c r="AS70" s="154"/>
      <c r="AT70" s="950"/>
      <c r="AU70" s="154"/>
      <c r="AV70" s="950"/>
      <c r="AW70" s="154"/>
      <c r="AX70" s="950"/>
      <c r="AY70" s="154"/>
      <c r="AZ70" s="950"/>
      <c r="BA70" s="154"/>
      <c r="BB70" s="950"/>
      <c r="BC70" s="154"/>
      <c r="BD70" s="950"/>
      <c r="BE70" s="154"/>
      <c r="BF70" s="950"/>
      <c r="BG70" s="154"/>
      <c r="BH70" s="154"/>
      <c r="BI70" s="950"/>
      <c r="BJ70" s="154"/>
      <c r="BK70" s="950"/>
      <c r="BL70" s="154"/>
      <c r="BM70" s="950"/>
      <c r="BN70" s="154"/>
      <c r="BO70" s="950"/>
      <c r="BP70" s="154"/>
      <c r="BQ70" s="950"/>
      <c r="BR70" s="154"/>
      <c r="BS70" s="950"/>
      <c r="BT70" s="154"/>
      <c r="BU70" s="950"/>
      <c r="BV70" s="154"/>
      <c r="BW70" s="950"/>
      <c r="BX70" s="154"/>
      <c r="BY70" s="950"/>
      <c r="BZ70" s="224"/>
      <c r="CA70" s="142"/>
      <c r="CB70" s="145" t="str">
        <f t="shared" si="1"/>
        <v>Riadok bude skrytý.</v>
      </c>
      <c r="CC70" s="1530"/>
      <c r="CD70" s="1525"/>
      <c r="CE70" s="1525"/>
      <c r="CF70" s="1525"/>
      <c r="CG70" s="30"/>
      <c r="CH70" s="30"/>
      <c r="CI70" s="30"/>
      <c r="CJ70" s="30"/>
      <c r="CW70" s="34"/>
      <c r="CX70" s="109"/>
      <c r="CY70" s="109"/>
      <c r="CZ70" s="106"/>
      <c r="DA70" s="106"/>
      <c r="DS70" s="130">
        <f>SI!BY70</f>
        <v>1083</v>
      </c>
      <c r="DZ70" s="131">
        <f>SI!BZ70</f>
        <v>0</v>
      </c>
    </row>
    <row r="71" spans="1:132" ht="4.5999999999999996" hidden="1" customHeight="1" x14ac:dyDescent="0.25">
      <c r="A71" s="141"/>
      <c r="B71" s="221"/>
      <c r="C71" s="2048"/>
      <c r="D71" s="154"/>
      <c r="E71" s="2048"/>
      <c r="F71" s="154"/>
      <c r="G71" s="2048"/>
      <c r="H71" s="154"/>
      <c r="I71" s="2048"/>
      <c r="J71" s="154"/>
      <c r="K71" s="2048"/>
      <c r="L71" s="222"/>
      <c r="M71" s="222"/>
      <c r="N71" s="155"/>
      <c r="O71" s="950"/>
      <c r="P71" s="154"/>
      <c r="Q71" s="950"/>
      <c r="R71" s="154"/>
      <c r="S71" s="950"/>
      <c r="T71" s="154"/>
      <c r="U71" s="950"/>
      <c r="V71" s="154"/>
      <c r="W71" s="950"/>
      <c r="X71" s="154"/>
      <c r="Y71" s="950"/>
      <c r="Z71" s="154"/>
      <c r="AA71" s="950"/>
      <c r="AB71" s="154"/>
      <c r="AC71" s="950"/>
      <c r="AD71" s="154"/>
      <c r="AE71" s="950"/>
      <c r="AF71" s="154"/>
      <c r="AG71" s="950"/>
      <c r="AH71" s="154"/>
      <c r="AI71" s="950"/>
      <c r="AJ71" s="154"/>
      <c r="AK71" s="950"/>
      <c r="AL71" s="154"/>
      <c r="AM71" s="950"/>
      <c r="AN71" s="154"/>
      <c r="AO71" s="154"/>
      <c r="AP71" s="950"/>
      <c r="AQ71" s="154"/>
      <c r="AR71" s="950"/>
      <c r="AS71" s="154"/>
      <c r="AT71" s="950"/>
      <c r="AU71" s="154"/>
      <c r="AV71" s="950"/>
      <c r="AW71" s="154"/>
      <c r="AX71" s="950"/>
      <c r="AY71" s="154"/>
      <c r="AZ71" s="950"/>
      <c r="BA71" s="154"/>
      <c r="BB71" s="950"/>
      <c r="BC71" s="154"/>
      <c r="BD71" s="950"/>
      <c r="BE71" s="154"/>
      <c r="BF71" s="950"/>
      <c r="BG71" s="154"/>
      <c r="BH71" s="154"/>
      <c r="BI71" s="950"/>
      <c r="BJ71" s="154"/>
      <c r="BK71" s="950"/>
      <c r="BL71" s="154"/>
      <c r="BM71" s="950"/>
      <c r="BN71" s="154"/>
      <c r="BO71" s="950"/>
      <c r="BP71" s="154"/>
      <c r="BQ71" s="950"/>
      <c r="BR71" s="154"/>
      <c r="BS71" s="950"/>
      <c r="BT71" s="154"/>
      <c r="BU71" s="950"/>
      <c r="BV71" s="154"/>
      <c r="BW71" s="950"/>
      <c r="BX71" s="154"/>
      <c r="BY71" s="950"/>
      <c r="BZ71" s="224"/>
      <c r="CA71" s="142"/>
      <c r="CB71" s="145" t="str">
        <f t="shared" si="1"/>
        <v>Riadok bude skrytý.</v>
      </c>
      <c r="CC71" s="1530"/>
      <c r="CD71" s="1525"/>
      <c r="CE71" s="1525"/>
      <c r="CF71" s="1525"/>
      <c r="CG71" s="30"/>
      <c r="CH71" s="30"/>
      <c r="CI71" s="30"/>
      <c r="CJ71" s="30"/>
      <c r="CW71" s="34"/>
      <c r="CX71" s="109"/>
      <c r="CY71" s="109"/>
      <c r="CZ71" s="106"/>
      <c r="DA71" s="106"/>
      <c r="DS71" s="130">
        <f>SI!BY71</f>
        <v>577</v>
      </c>
      <c r="DZ71" s="131">
        <f>SI!BZ71</f>
        <v>0</v>
      </c>
    </row>
    <row r="72" spans="1:132" ht="4.5999999999999996" hidden="1" customHeight="1" x14ac:dyDescent="0.25">
      <c r="A72" s="141"/>
      <c r="B72" s="221"/>
      <c r="C72" s="2048"/>
      <c r="D72" s="154"/>
      <c r="E72" s="2048"/>
      <c r="F72" s="154"/>
      <c r="G72" s="2048"/>
      <c r="H72" s="154"/>
      <c r="I72" s="2048"/>
      <c r="J72" s="154"/>
      <c r="K72" s="2048"/>
      <c r="L72" s="222"/>
      <c r="M72" s="222"/>
      <c r="N72" s="155"/>
      <c r="O72" s="950"/>
      <c r="P72" s="154"/>
      <c r="Q72" s="950"/>
      <c r="R72" s="154"/>
      <c r="S72" s="950"/>
      <c r="T72" s="154"/>
      <c r="U72" s="950"/>
      <c r="V72" s="154"/>
      <c r="W72" s="950"/>
      <c r="X72" s="154"/>
      <c r="Y72" s="950"/>
      <c r="Z72" s="154"/>
      <c r="AA72" s="950"/>
      <c r="AB72" s="154"/>
      <c r="AC72" s="950"/>
      <c r="AD72" s="154"/>
      <c r="AE72" s="950"/>
      <c r="AF72" s="154"/>
      <c r="AG72" s="950"/>
      <c r="AH72" s="154"/>
      <c r="AI72" s="950"/>
      <c r="AJ72" s="154"/>
      <c r="AK72" s="950"/>
      <c r="AL72" s="154"/>
      <c r="AM72" s="950"/>
      <c r="AN72" s="154"/>
      <c r="AO72" s="154"/>
      <c r="AP72" s="950"/>
      <c r="AQ72" s="154"/>
      <c r="AR72" s="950"/>
      <c r="AS72" s="154"/>
      <c r="AT72" s="950"/>
      <c r="AU72" s="154"/>
      <c r="AV72" s="950"/>
      <c r="AW72" s="154"/>
      <c r="AX72" s="950"/>
      <c r="AY72" s="154"/>
      <c r="AZ72" s="950"/>
      <c r="BA72" s="154"/>
      <c r="BB72" s="950"/>
      <c r="BC72" s="154"/>
      <c r="BD72" s="950"/>
      <c r="BE72" s="154"/>
      <c r="BF72" s="950"/>
      <c r="BG72" s="154"/>
      <c r="BH72" s="154"/>
      <c r="BI72" s="950"/>
      <c r="BJ72" s="154"/>
      <c r="BK72" s="950"/>
      <c r="BL72" s="154"/>
      <c r="BM72" s="950"/>
      <c r="BN72" s="154"/>
      <c r="BO72" s="950"/>
      <c r="BP72" s="154"/>
      <c r="BQ72" s="950"/>
      <c r="BR72" s="154"/>
      <c r="BS72" s="950"/>
      <c r="BT72" s="154"/>
      <c r="BU72" s="950"/>
      <c r="BV72" s="154"/>
      <c r="BW72" s="950"/>
      <c r="BX72" s="154"/>
      <c r="BY72" s="950"/>
      <c r="BZ72" s="224"/>
      <c r="CA72" s="142"/>
      <c r="CB72" s="145" t="str">
        <f t="shared" si="1"/>
        <v>Riadok bude skrytý.</v>
      </c>
      <c r="CC72" s="1531"/>
      <c r="CD72" s="1525"/>
      <c r="CE72" s="1525"/>
      <c r="CF72" s="1525"/>
      <c r="CW72" s="34"/>
      <c r="CX72" s="106"/>
      <c r="CY72" s="106"/>
      <c r="CZ72" s="106"/>
      <c r="DA72" s="106"/>
      <c r="DS72" s="130">
        <f>SI!BY72</f>
        <v>1123</v>
      </c>
      <c r="DZ72" s="131">
        <f>SI!BZ72</f>
        <v>0</v>
      </c>
    </row>
    <row r="73" spans="1:132" ht="16.5" hidden="1" customHeight="1" x14ac:dyDescent="0.25">
      <c r="A73" s="141"/>
      <c r="B73" s="221"/>
      <c r="C73" s="945" t="s">
        <v>12</v>
      </c>
      <c r="D73" s="945"/>
      <c r="E73" s="945"/>
      <c r="F73" s="945"/>
      <c r="G73" s="945"/>
      <c r="H73" s="945"/>
      <c r="I73" s="945"/>
      <c r="J73" s="222"/>
      <c r="K73" s="222"/>
      <c r="L73" s="222"/>
      <c r="M73" s="222"/>
      <c r="N73" s="222"/>
      <c r="O73" s="222"/>
      <c r="P73" s="222"/>
      <c r="Q73" s="222"/>
      <c r="R73" s="222"/>
      <c r="S73" s="222"/>
      <c r="T73" s="222"/>
      <c r="U73" s="222"/>
      <c r="V73" s="222"/>
      <c r="W73" s="222"/>
      <c r="X73" s="222"/>
      <c r="Y73" s="222"/>
      <c r="Z73" s="222"/>
      <c r="AA73" s="222"/>
      <c r="AB73" s="222"/>
      <c r="AC73" s="222"/>
      <c r="AD73" s="222"/>
      <c r="AE73" s="945" t="s">
        <v>11</v>
      </c>
      <c r="AF73" s="945"/>
      <c r="AG73" s="945"/>
      <c r="AH73" s="945"/>
      <c r="AI73" s="945"/>
      <c r="AJ73" s="945"/>
      <c r="AK73" s="945"/>
      <c r="AL73" s="222"/>
      <c r="AM73" s="222"/>
      <c r="AN73" s="222"/>
      <c r="AO73" s="222"/>
      <c r="AP73" s="222"/>
      <c r="AQ73" s="222"/>
      <c r="AR73" s="222"/>
      <c r="AS73" s="222"/>
      <c r="AT73" s="222"/>
      <c r="AU73" s="222"/>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3"/>
      <c r="BS73" s="223"/>
      <c r="BT73" s="223"/>
      <c r="BU73" s="223"/>
      <c r="BV73" s="223"/>
      <c r="BW73" s="223"/>
      <c r="BX73" s="223"/>
      <c r="BY73" s="223"/>
      <c r="BZ73" s="225"/>
      <c r="CA73" s="142"/>
      <c r="CB73" s="145" t="str">
        <f t="shared" si="1"/>
        <v>Riadok bude skrytý.</v>
      </c>
      <c r="CD73" s="1525"/>
      <c r="CE73" s="1525"/>
      <c r="CF73" s="1525"/>
      <c r="CW73" s="34"/>
      <c r="CX73" s="106"/>
      <c r="CY73" s="106"/>
      <c r="CZ73" s="106"/>
      <c r="DA73" s="106"/>
      <c r="DS73" s="130">
        <f>SI!BY73</f>
        <v>140</v>
      </c>
      <c r="DZ73" s="131">
        <f>SI!BZ73</f>
        <v>0</v>
      </c>
    </row>
    <row r="74" spans="1:132" ht="4.5999999999999996" hidden="1" customHeight="1" x14ac:dyDescent="0.25">
      <c r="A74" s="141"/>
      <c r="B74" s="167"/>
      <c r="C74" s="2048">
        <v>0</v>
      </c>
      <c r="D74" s="168"/>
      <c r="E74" s="949"/>
      <c r="F74" s="168"/>
      <c r="G74" s="949"/>
      <c r="H74" s="168"/>
      <c r="I74" s="949"/>
      <c r="J74" s="222"/>
      <c r="K74" s="2049" t="s">
        <v>13</v>
      </c>
      <c r="L74" s="222"/>
      <c r="M74" s="949"/>
      <c r="N74" s="168"/>
      <c r="O74" s="949"/>
      <c r="P74" s="168"/>
      <c r="Q74" s="949"/>
      <c r="R74" s="168"/>
      <c r="S74" s="949"/>
      <c r="T74" s="168"/>
      <c r="U74" s="949"/>
      <c r="V74" s="168"/>
      <c r="W74" s="949"/>
      <c r="X74" s="168"/>
      <c r="Y74" s="949"/>
      <c r="Z74" s="168"/>
      <c r="AA74" s="949"/>
      <c r="AB74" s="222"/>
      <c r="AC74" s="222"/>
      <c r="AD74" s="222"/>
      <c r="AE74" s="2048">
        <v>0</v>
      </c>
      <c r="AF74" s="168"/>
      <c r="AG74" s="949"/>
      <c r="AH74" s="168"/>
      <c r="AI74" s="949"/>
      <c r="AJ74" s="168"/>
      <c r="AK74" s="949"/>
      <c r="AL74" s="200"/>
      <c r="AM74" s="2049" t="s">
        <v>13</v>
      </c>
      <c r="AN74" s="222"/>
      <c r="AO74" s="222"/>
      <c r="AP74" s="949"/>
      <c r="AQ74" s="168"/>
      <c r="AR74" s="949"/>
      <c r="AS74" s="168"/>
      <c r="AT74" s="949"/>
      <c r="AU74" s="168"/>
      <c r="AV74" s="949"/>
      <c r="AW74" s="168"/>
      <c r="AX74" s="949"/>
      <c r="AY74" s="168"/>
      <c r="AZ74" s="949"/>
      <c r="BA74" s="168"/>
      <c r="BB74" s="949"/>
      <c r="BC74" s="168"/>
      <c r="BD74" s="949"/>
      <c r="BE74" s="223"/>
      <c r="BF74" s="223"/>
      <c r="BG74" s="223"/>
      <c r="BH74" s="223"/>
      <c r="BI74" s="223"/>
      <c r="BJ74" s="223"/>
      <c r="BK74" s="223"/>
      <c r="BL74" s="223"/>
      <c r="BM74" s="223"/>
      <c r="BN74" s="223"/>
      <c r="BO74" s="223"/>
      <c r="BP74" s="223"/>
      <c r="BQ74" s="223"/>
      <c r="BR74" s="223"/>
      <c r="BS74" s="223"/>
      <c r="BT74" s="223"/>
      <c r="BU74" s="223"/>
      <c r="BV74" s="223"/>
      <c r="BW74" s="223"/>
      <c r="BX74" s="223"/>
      <c r="BY74" s="223"/>
      <c r="BZ74" s="225"/>
      <c r="CA74" s="142"/>
      <c r="CB74" s="145" t="str">
        <f t="shared" si="1"/>
        <v>Riadok bude skrytý.</v>
      </c>
      <c r="CC74" s="1526" t="s">
        <v>998</v>
      </c>
      <c r="CW74" s="34"/>
      <c r="CX74" s="106"/>
      <c r="CY74" s="106"/>
      <c r="CZ74" s="106"/>
      <c r="DA74" s="106"/>
      <c r="DS74" s="130">
        <f>SI!BY74</f>
        <v>120</v>
      </c>
      <c r="DZ74" s="131">
        <f>SI!BZ74</f>
        <v>0</v>
      </c>
    </row>
    <row r="75" spans="1:132" ht="4.5999999999999996" hidden="1" customHeight="1" x14ac:dyDescent="0.25">
      <c r="A75" s="141"/>
      <c r="B75" s="167"/>
      <c r="C75" s="2048"/>
      <c r="D75" s="154"/>
      <c r="E75" s="949"/>
      <c r="F75" s="154"/>
      <c r="G75" s="949"/>
      <c r="H75" s="154"/>
      <c r="I75" s="949"/>
      <c r="J75" s="222"/>
      <c r="K75" s="2049"/>
      <c r="L75" s="222"/>
      <c r="M75" s="949"/>
      <c r="N75" s="154"/>
      <c r="O75" s="949"/>
      <c r="P75" s="154"/>
      <c r="Q75" s="949"/>
      <c r="R75" s="154"/>
      <c r="S75" s="949"/>
      <c r="T75" s="154"/>
      <c r="U75" s="949"/>
      <c r="V75" s="154"/>
      <c r="W75" s="949"/>
      <c r="X75" s="154"/>
      <c r="Y75" s="949"/>
      <c r="Z75" s="154"/>
      <c r="AA75" s="949"/>
      <c r="AB75" s="222"/>
      <c r="AC75" s="222"/>
      <c r="AD75" s="222"/>
      <c r="AE75" s="2048"/>
      <c r="AF75" s="154"/>
      <c r="AG75" s="949"/>
      <c r="AH75" s="154"/>
      <c r="AI75" s="949"/>
      <c r="AJ75" s="154"/>
      <c r="AK75" s="949"/>
      <c r="AL75" s="200"/>
      <c r="AM75" s="2049"/>
      <c r="AN75" s="222"/>
      <c r="AO75" s="222"/>
      <c r="AP75" s="949"/>
      <c r="AQ75" s="154"/>
      <c r="AR75" s="949"/>
      <c r="AS75" s="154"/>
      <c r="AT75" s="949"/>
      <c r="AU75" s="154"/>
      <c r="AV75" s="949"/>
      <c r="AW75" s="154"/>
      <c r="AX75" s="949"/>
      <c r="AY75" s="154"/>
      <c r="AZ75" s="949"/>
      <c r="BA75" s="154"/>
      <c r="BB75" s="949"/>
      <c r="BC75" s="154"/>
      <c r="BD75" s="949"/>
      <c r="BE75" s="223"/>
      <c r="BF75" s="223"/>
      <c r="BG75" s="223"/>
      <c r="BH75" s="223"/>
      <c r="BI75" s="223"/>
      <c r="BJ75" s="223"/>
      <c r="BK75" s="223"/>
      <c r="BL75" s="223"/>
      <c r="BM75" s="223"/>
      <c r="BN75" s="223"/>
      <c r="BO75" s="223"/>
      <c r="BP75" s="223"/>
      <c r="BQ75" s="223"/>
      <c r="BR75" s="223"/>
      <c r="BS75" s="223"/>
      <c r="BT75" s="223"/>
      <c r="BU75" s="223"/>
      <c r="BV75" s="223"/>
      <c r="BW75" s="223"/>
      <c r="BX75" s="223"/>
      <c r="BY75" s="223"/>
      <c r="BZ75" s="225"/>
      <c r="CA75" s="142"/>
      <c r="CB75" s="145" t="str">
        <f t="shared" si="1"/>
        <v>Riadok bude skrytý.</v>
      </c>
      <c r="CC75" s="1527"/>
      <c r="CW75" s="34"/>
      <c r="CX75" s="106"/>
      <c r="CY75" s="106"/>
      <c r="CZ75" s="106"/>
      <c r="DA75" s="106"/>
      <c r="DS75" s="130">
        <f>SI!BY75</f>
        <v>145</v>
      </c>
      <c r="DZ75" s="131">
        <f>SI!BZ75</f>
        <v>0</v>
      </c>
    </row>
    <row r="76" spans="1:132" ht="4.5999999999999996" hidden="1" customHeight="1" x14ac:dyDescent="0.25">
      <c r="A76" s="141"/>
      <c r="B76" s="167"/>
      <c r="C76" s="2048"/>
      <c r="D76" s="154"/>
      <c r="E76" s="949"/>
      <c r="F76" s="154"/>
      <c r="G76" s="949"/>
      <c r="H76" s="154"/>
      <c r="I76" s="949"/>
      <c r="J76" s="222"/>
      <c r="K76" s="2049"/>
      <c r="L76" s="222"/>
      <c r="M76" s="949"/>
      <c r="N76" s="154"/>
      <c r="O76" s="949"/>
      <c r="P76" s="154"/>
      <c r="Q76" s="949"/>
      <c r="R76" s="154"/>
      <c r="S76" s="949"/>
      <c r="T76" s="154"/>
      <c r="U76" s="949"/>
      <c r="V76" s="154"/>
      <c r="W76" s="949"/>
      <c r="X76" s="154"/>
      <c r="Y76" s="949"/>
      <c r="Z76" s="154"/>
      <c r="AA76" s="949"/>
      <c r="AB76" s="222"/>
      <c r="AC76" s="222"/>
      <c r="AD76" s="222"/>
      <c r="AE76" s="2048"/>
      <c r="AF76" s="154"/>
      <c r="AG76" s="949"/>
      <c r="AH76" s="154"/>
      <c r="AI76" s="949"/>
      <c r="AJ76" s="154"/>
      <c r="AK76" s="949"/>
      <c r="AL76" s="200"/>
      <c r="AM76" s="2049"/>
      <c r="AN76" s="222"/>
      <c r="AO76" s="222"/>
      <c r="AP76" s="949"/>
      <c r="AQ76" s="154"/>
      <c r="AR76" s="949"/>
      <c r="AS76" s="154"/>
      <c r="AT76" s="949"/>
      <c r="AU76" s="154"/>
      <c r="AV76" s="949"/>
      <c r="AW76" s="154"/>
      <c r="AX76" s="949"/>
      <c r="AY76" s="154"/>
      <c r="AZ76" s="949"/>
      <c r="BA76" s="154"/>
      <c r="BB76" s="949"/>
      <c r="BC76" s="154"/>
      <c r="BD76" s="949"/>
      <c r="BE76" s="223"/>
      <c r="BF76" s="223"/>
      <c r="BG76" s="223"/>
      <c r="BH76" s="223"/>
      <c r="BI76" s="223"/>
      <c r="BJ76" s="223"/>
      <c r="BK76" s="223"/>
      <c r="BL76" s="223"/>
      <c r="BM76" s="223"/>
      <c r="BN76" s="223"/>
      <c r="BO76" s="223"/>
      <c r="BP76" s="223"/>
      <c r="BQ76" s="223"/>
      <c r="BR76" s="223"/>
      <c r="BS76" s="223"/>
      <c r="BT76" s="223"/>
      <c r="BU76" s="223"/>
      <c r="BV76" s="223"/>
      <c r="BW76" s="223"/>
      <c r="BX76" s="223"/>
      <c r="BY76" s="223"/>
      <c r="BZ76" s="225"/>
      <c r="CA76" s="142"/>
      <c r="CB76" s="145" t="str">
        <f t="shared" si="1"/>
        <v>Riadok bude skrytý.</v>
      </c>
      <c r="CC76" s="1527"/>
      <c r="CW76" s="34"/>
      <c r="CX76" s="106"/>
      <c r="CY76" s="106"/>
      <c r="CZ76" s="106"/>
      <c r="DA76" s="106"/>
      <c r="DS76" s="130">
        <f>SI!BY76</f>
        <v>116</v>
      </c>
      <c r="DZ76" s="131">
        <f>SI!BZ76</f>
        <v>0</v>
      </c>
    </row>
    <row r="77" spans="1:132" ht="3.75" hidden="1" customHeight="1" x14ac:dyDescent="0.25">
      <c r="A77" s="141"/>
      <c r="B77" s="167"/>
      <c r="C77" s="2048"/>
      <c r="D77" s="154"/>
      <c r="E77" s="949"/>
      <c r="F77" s="154"/>
      <c r="G77" s="949"/>
      <c r="H77" s="154"/>
      <c r="I77" s="949"/>
      <c r="J77" s="222"/>
      <c r="K77" s="2049"/>
      <c r="L77" s="222"/>
      <c r="M77" s="949"/>
      <c r="N77" s="154"/>
      <c r="O77" s="949"/>
      <c r="P77" s="154"/>
      <c r="Q77" s="949"/>
      <c r="R77" s="154"/>
      <c r="S77" s="949"/>
      <c r="T77" s="154"/>
      <c r="U77" s="949"/>
      <c r="V77" s="154"/>
      <c r="W77" s="949"/>
      <c r="X77" s="154"/>
      <c r="Y77" s="949"/>
      <c r="Z77" s="154"/>
      <c r="AA77" s="949"/>
      <c r="AB77" s="222"/>
      <c r="AC77" s="222"/>
      <c r="AD77" s="222"/>
      <c r="AE77" s="2048"/>
      <c r="AF77" s="154"/>
      <c r="AG77" s="949"/>
      <c r="AH77" s="154"/>
      <c r="AI77" s="949"/>
      <c r="AJ77" s="154"/>
      <c r="AK77" s="949"/>
      <c r="AL77" s="200"/>
      <c r="AM77" s="2049"/>
      <c r="AN77" s="222"/>
      <c r="AO77" s="222"/>
      <c r="AP77" s="949"/>
      <c r="AQ77" s="154"/>
      <c r="AR77" s="949"/>
      <c r="AS77" s="154"/>
      <c r="AT77" s="949"/>
      <c r="AU77" s="154"/>
      <c r="AV77" s="949"/>
      <c r="AW77" s="154"/>
      <c r="AX77" s="949"/>
      <c r="AY77" s="154"/>
      <c r="AZ77" s="949"/>
      <c r="BA77" s="154"/>
      <c r="BB77" s="949"/>
      <c r="BC77" s="154"/>
      <c r="BD77" s="949"/>
      <c r="BE77" s="223"/>
      <c r="BF77" s="223"/>
      <c r="BG77" s="223"/>
      <c r="BH77" s="223"/>
      <c r="BI77" s="223"/>
      <c r="BJ77" s="223"/>
      <c r="BK77" s="223"/>
      <c r="BL77" s="223"/>
      <c r="BM77" s="223"/>
      <c r="BN77" s="223"/>
      <c r="BO77" s="223"/>
      <c r="BP77" s="223"/>
      <c r="BQ77" s="223"/>
      <c r="BR77" s="223"/>
      <c r="BS77" s="223"/>
      <c r="BT77" s="223"/>
      <c r="BU77" s="223"/>
      <c r="BV77" s="223"/>
      <c r="BW77" s="223"/>
      <c r="BX77" s="223"/>
      <c r="BY77" s="223"/>
      <c r="BZ77" s="225"/>
      <c r="CA77" s="142"/>
      <c r="CB77" s="145" t="str">
        <f t="shared" si="1"/>
        <v>Riadok bude skrytý.</v>
      </c>
      <c r="CC77" s="1527"/>
      <c r="CW77" s="34"/>
      <c r="CX77" s="106"/>
      <c r="CY77" s="106"/>
      <c r="CZ77" s="106"/>
      <c r="DA77" s="106"/>
      <c r="DS77" s="130">
        <f>SI!BY77</f>
        <v>117</v>
      </c>
      <c r="DZ77" s="131">
        <f>SI!BZ77</f>
        <v>0</v>
      </c>
    </row>
    <row r="78" spans="1:132" s="6" customFormat="1" ht="16.5" hidden="1" customHeight="1" x14ac:dyDescent="0.25">
      <c r="A78" s="226"/>
      <c r="B78" s="221"/>
      <c r="C78" s="945" t="s">
        <v>10</v>
      </c>
      <c r="D78" s="945"/>
      <c r="E78" s="945"/>
      <c r="F78" s="945"/>
      <c r="G78" s="945"/>
      <c r="H78" s="945"/>
      <c r="I78" s="945"/>
      <c r="J78" s="945"/>
      <c r="K78" s="945"/>
      <c r="L78" s="945"/>
      <c r="M78" s="945"/>
      <c r="N78" s="945"/>
      <c r="O78" s="945"/>
      <c r="P78" s="945"/>
      <c r="Q78" s="945"/>
      <c r="R78" s="945"/>
      <c r="S78" s="945"/>
      <c r="T78" s="222"/>
      <c r="U78" s="222"/>
      <c r="V78" s="222"/>
      <c r="W78" s="222"/>
      <c r="X78" s="222"/>
      <c r="Y78" s="222"/>
      <c r="Z78" s="222"/>
      <c r="AA78" s="222"/>
      <c r="AB78" s="222"/>
      <c r="AC78" s="222"/>
      <c r="AD78" s="222"/>
      <c r="AE78" s="222"/>
      <c r="AF78" s="222"/>
      <c r="AG78" s="222"/>
      <c r="AH78" s="222"/>
      <c r="AI78" s="222"/>
      <c r="AJ78" s="222"/>
      <c r="AK78" s="222"/>
      <c r="AL78" s="222"/>
      <c r="AM78" s="222"/>
      <c r="AN78" s="222"/>
      <c r="AO78" s="222"/>
      <c r="AP78" s="222"/>
      <c r="AQ78" s="222"/>
      <c r="AR78" s="222"/>
      <c r="AS78" s="222"/>
      <c r="AT78" s="222"/>
      <c r="AU78" s="222"/>
      <c r="AV78" s="222"/>
      <c r="AW78" s="222"/>
      <c r="AX78" s="222"/>
      <c r="AY78" s="222"/>
      <c r="AZ78" s="222"/>
      <c r="BA78" s="222"/>
      <c r="BB78" s="222"/>
      <c r="BC78" s="222"/>
      <c r="BD78" s="222"/>
      <c r="BE78" s="222"/>
      <c r="BF78" s="222"/>
      <c r="BG78" s="222"/>
      <c r="BH78" s="222"/>
      <c r="BI78" s="222"/>
      <c r="BJ78" s="222"/>
      <c r="BK78" s="222"/>
      <c r="BL78" s="222"/>
      <c r="BM78" s="222"/>
      <c r="BN78" s="222"/>
      <c r="BO78" s="222"/>
      <c r="BP78" s="222"/>
      <c r="BQ78" s="222"/>
      <c r="BR78" s="222"/>
      <c r="BS78" s="222"/>
      <c r="BT78" s="222"/>
      <c r="BU78" s="222"/>
      <c r="BV78" s="222"/>
      <c r="BW78" s="222"/>
      <c r="BX78" s="222"/>
      <c r="BY78" s="222"/>
      <c r="BZ78" s="224"/>
      <c r="CA78" s="142"/>
      <c r="CB78" s="145" t="str">
        <f t="shared" si="1"/>
        <v>Riadok bude skrytý.</v>
      </c>
      <c r="CC78" s="1527"/>
      <c r="CW78" s="34"/>
      <c r="CX78" s="110"/>
      <c r="CY78" s="18"/>
      <c r="CZ78" s="106"/>
      <c r="DA78" s="106"/>
      <c r="DR78" s="82"/>
      <c r="DS78" s="130">
        <f>SI!BY78</f>
        <v>135</v>
      </c>
      <c r="DT78" s="130"/>
      <c r="DU78" s="130"/>
      <c r="DV78" s="130"/>
      <c r="DW78" s="130"/>
      <c r="DX78" s="130"/>
      <c r="DY78" s="130"/>
      <c r="DZ78" s="131">
        <f>SI!BZ78</f>
        <v>0</v>
      </c>
      <c r="EA78" s="82"/>
      <c r="EB78" s="82"/>
    </row>
    <row r="79" spans="1:132" ht="4.5999999999999996" hidden="1" customHeight="1" x14ac:dyDescent="0.25">
      <c r="A79" s="141"/>
      <c r="B79" s="167"/>
      <c r="C79" s="949"/>
      <c r="D79" s="168"/>
      <c r="E79" s="949"/>
      <c r="F79" s="168"/>
      <c r="G79" s="949"/>
      <c r="H79" s="168"/>
      <c r="I79" s="949"/>
      <c r="J79" s="168"/>
      <c r="K79" s="949"/>
      <c r="L79" s="168"/>
      <c r="M79" s="949"/>
      <c r="N79" s="168"/>
      <c r="O79" s="949"/>
      <c r="P79" s="168"/>
      <c r="Q79" s="949"/>
      <c r="R79" s="168"/>
      <c r="S79" s="949"/>
      <c r="T79" s="168"/>
      <c r="U79" s="949"/>
      <c r="V79" s="168"/>
      <c r="W79" s="949"/>
      <c r="X79" s="168"/>
      <c r="Y79" s="949"/>
      <c r="Z79" s="168"/>
      <c r="AA79" s="949"/>
      <c r="AB79" s="168"/>
      <c r="AC79" s="949"/>
      <c r="AD79" s="168"/>
      <c r="AE79" s="949"/>
      <c r="AF79" s="168"/>
      <c r="AG79" s="949"/>
      <c r="AH79" s="168"/>
      <c r="AI79" s="949"/>
      <c r="AJ79" s="168"/>
      <c r="AK79" s="949"/>
      <c r="AL79" s="168"/>
      <c r="AM79" s="949"/>
      <c r="AN79" s="168"/>
      <c r="AO79" s="168"/>
      <c r="AP79" s="949"/>
      <c r="AQ79" s="168"/>
      <c r="AR79" s="949"/>
      <c r="AS79" s="168"/>
      <c r="AT79" s="949"/>
      <c r="AU79" s="168"/>
      <c r="AV79" s="949"/>
      <c r="AW79" s="168"/>
      <c r="AX79" s="949"/>
      <c r="AY79" s="168"/>
      <c r="AZ79" s="949"/>
      <c r="BA79" s="168"/>
      <c r="BB79" s="949"/>
      <c r="BC79" s="168"/>
      <c r="BD79" s="949"/>
      <c r="BE79" s="168"/>
      <c r="BF79" s="949"/>
      <c r="BG79" s="168"/>
      <c r="BH79" s="168"/>
      <c r="BI79" s="949"/>
      <c r="BJ79" s="168"/>
      <c r="BK79" s="949"/>
      <c r="BL79" s="168"/>
      <c r="BM79" s="949"/>
      <c r="BN79" s="168"/>
      <c r="BO79" s="949"/>
      <c r="BP79" s="168"/>
      <c r="BQ79" s="949"/>
      <c r="BR79" s="168"/>
      <c r="BS79" s="949"/>
      <c r="BT79" s="168"/>
      <c r="BU79" s="949"/>
      <c r="BV79" s="168"/>
      <c r="BW79" s="949"/>
      <c r="BX79" s="168"/>
      <c r="BY79" s="949"/>
      <c r="BZ79" s="166"/>
      <c r="CA79" s="142"/>
      <c r="CB79" s="145" t="str">
        <f t="shared" si="1"/>
        <v>Riadok bude skrytý.</v>
      </c>
      <c r="CC79" s="1527"/>
      <c r="CW79" s="34"/>
      <c r="CX79" s="106"/>
      <c r="CY79" s="106"/>
      <c r="CZ79" s="106"/>
      <c r="DA79" s="106"/>
      <c r="DS79" s="130">
        <f>SI!BY79</f>
        <v>778</v>
      </c>
      <c r="DZ79" s="131">
        <f>SI!BZ79</f>
        <v>0</v>
      </c>
    </row>
    <row r="80" spans="1:132" ht="4.5999999999999996" hidden="1" customHeight="1" x14ac:dyDescent="0.25">
      <c r="A80" s="141"/>
      <c r="B80" s="167"/>
      <c r="C80" s="949"/>
      <c r="D80" s="154"/>
      <c r="E80" s="949"/>
      <c r="F80" s="154"/>
      <c r="G80" s="949"/>
      <c r="H80" s="154"/>
      <c r="I80" s="949"/>
      <c r="J80" s="154"/>
      <c r="K80" s="949"/>
      <c r="L80" s="154"/>
      <c r="M80" s="949"/>
      <c r="N80" s="154"/>
      <c r="O80" s="949"/>
      <c r="P80" s="154"/>
      <c r="Q80" s="949"/>
      <c r="R80" s="154"/>
      <c r="S80" s="949"/>
      <c r="T80" s="154"/>
      <c r="U80" s="949"/>
      <c r="V80" s="154"/>
      <c r="W80" s="949"/>
      <c r="X80" s="154"/>
      <c r="Y80" s="949"/>
      <c r="Z80" s="154"/>
      <c r="AA80" s="949"/>
      <c r="AB80" s="154"/>
      <c r="AC80" s="949"/>
      <c r="AD80" s="154"/>
      <c r="AE80" s="949"/>
      <c r="AF80" s="154"/>
      <c r="AG80" s="949"/>
      <c r="AH80" s="154"/>
      <c r="AI80" s="949"/>
      <c r="AJ80" s="154"/>
      <c r="AK80" s="949"/>
      <c r="AL80" s="154"/>
      <c r="AM80" s="949"/>
      <c r="AN80" s="154"/>
      <c r="AO80" s="154"/>
      <c r="AP80" s="949"/>
      <c r="AQ80" s="154"/>
      <c r="AR80" s="949"/>
      <c r="AS80" s="154"/>
      <c r="AT80" s="949"/>
      <c r="AU80" s="154"/>
      <c r="AV80" s="949"/>
      <c r="AW80" s="154"/>
      <c r="AX80" s="949"/>
      <c r="AY80" s="154"/>
      <c r="AZ80" s="949"/>
      <c r="BA80" s="154"/>
      <c r="BB80" s="949"/>
      <c r="BC80" s="154"/>
      <c r="BD80" s="949"/>
      <c r="BE80" s="154"/>
      <c r="BF80" s="949"/>
      <c r="BG80" s="154"/>
      <c r="BH80" s="154"/>
      <c r="BI80" s="949"/>
      <c r="BJ80" s="154"/>
      <c r="BK80" s="949"/>
      <c r="BL80" s="154"/>
      <c r="BM80" s="949"/>
      <c r="BN80" s="154"/>
      <c r="BO80" s="949"/>
      <c r="BP80" s="154"/>
      <c r="BQ80" s="949"/>
      <c r="BR80" s="154"/>
      <c r="BS80" s="949"/>
      <c r="BT80" s="154"/>
      <c r="BU80" s="949"/>
      <c r="BV80" s="154"/>
      <c r="BW80" s="949"/>
      <c r="BX80" s="154"/>
      <c r="BY80" s="949"/>
      <c r="BZ80" s="166"/>
      <c r="CA80" s="142"/>
      <c r="CB80" s="145" t="str">
        <f t="shared" si="1"/>
        <v>Riadok bude skrytý.</v>
      </c>
      <c r="CC80" s="1527"/>
      <c r="CW80" s="34"/>
      <c r="CX80" s="106"/>
      <c r="CY80" s="106"/>
      <c r="CZ80" s="106"/>
      <c r="DA80" s="106"/>
      <c r="DS80" s="130">
        <f>SI!BY80</f>
        <v>976</v>
      </c>
      <c r="DZ80" s="131">
        <f>SI!BZ80</f>
        <v>0</v>
      </c>
    </row>
    <row r="81" spans="1:130" ht="4.5999999999999996" hidden="1" customHeight="1" x14ac:dyDescent="0.25">
      <c r="A81" s="141"/>
      <c r="B81" s="167"/>
      <c r="C81" s="949"/>
      <c r="D81" s="154"/>
      <c r="E81" s="949"/>
      <c r="F81" s="154"/>
      <c r="G81" s="949"/>
      <c r="H81" s="154"/>
      <c r="I81" s="949"/>
      <c r="J81" s="154"/>
      <c r="K81" s="949"/>
      <c r="L81" s="154"/>
      <c r="M81" s="949"/>
      <c r="N81" s="154"/>
      <c r="O81" s="949"/>
      <c r="P81" s="154"/>
      <c r="Q81" s="949"/>
      <c r="R81" s="154"/>
      <c r="S81" s="949"/>
      <c r="T81" s="154"/>
      <c r="U81" s="949"/>
      <c r="V81" s="154"/>
      <c r="W81" s="949"/>
      <c r="X81" s="154"/>
      <c r="Y81" s="949"/>
      <c r="Z81" s="154"/>
      <c r="AA81" s="949"/>
      <c r="AB81" s="154"/>
      <c r="AC81" s="949"/>
      <c r="AD81" s="154"/>
      <c r="AE81" s="949"/>
      <c r="AF81" s="154"/>
      <c r="AG81" s="949"/>
      <c r="AH81" s="154"/>
      <c r="AI81" s="949"/>
      <c r="AJ81" s="154"/>
      <c r="AK81" s="949"/>
      <c r="AL81" s="154"/>
      <c r="AM81" s="949"/>
      <c r="AN81" s="154"/>
      <c r="AO81" s="154"/>
      <c r="AP81" s="949"/>
      <c r="AQ81" s="154"/>
      <c r="AR81" s="949"/>
      <c r="AS81" s="154"/>
      <c r="AT81" s="949"/>
      <c r="AU81" s="154"/>
      <c r="AV81" s="949"/>
      <c r="AW81" s="154"/>
      <c r="AX81" s="949"/>
      <c r="AY81" s="154"/>
      <c r="AZ81" s="949"/>
      <c r="BA81" s="154"/>
      <c r="BB81" s="949"/>
      <c r="BC81" s="154"/>
      <c r="BD81" s="949"/>
      <c r="BE81" s="154"/>
      <c r="BF81" s="949"/>
      <c r="BG81" s="154"/>
      <c r="BH81" s="154"/>
      <c r="BI81" s="949"/>
      <c r="BJ81" s="154"/>
      <c r="BK81" s="949"/>
      <c r="BL81" s="154"/>
      <c r="BM81" s="949"/>
      <c r="BN81" s="154"/>
      <c r="BO81" s="949"/>
      <c r="BP81" s="154"/>
      <c r="BQ81" s="949"/>
      <c r="BR81" s="154"/>
      <c r="BS81" s="949"/>
      <c r="BT81" s="154"/>
      <c r="BU81" s="949"/>
      <c r="BV81" s="154"/>
      <c r="BW81" s="949"/>
      <c r="BX81" s="154"/>
      <c r="BY81" s="949"/>
      <c r="BZ81" s="166"/>
      <c r="CA81" s="142"/>
      <c r="CB81" s="145" t="str">
        <f t="shared" si="1"/>
        <v>Riadok bude skrytý.</v>
      </c>
      <c r="CC81" s="1527"/>
      <c r="CW81" s="34"/>
      <c r="CX81" s="106"/>
      <c r="CY81" s="106"/>
      <c r="CZ81" s="106"/>
      <c r="DA81" s="106"/>
      <c r="DS81" s="130">
        <f>SI!BY81</f>
        <v>759</v>
      </c>
      <c r="DZ81" s="131">
        <f>SI!BZ81</f>
        <v>0</v>
      </c>
    </row>
    <row r="82" spans="1:130" ht="4.5999999999999996" hidden="1" customHeight="1" x14ac:dyDescent="0.25">
      <c r="A82" s="141"/>
      <c r="B82" s="167"/>
      <c r="C82" s="949"/>
      <c r="D82" s="154"/>
      <c r="E82" s="949"/>
      <c r="F82" s="154"/>
      <c r="G82" s="949"/>
      <c r="H82" s="154"/>
      <c r="I82" s="949"/>
      <c r="J82" s="154"/>
      <c r="K82" s="949"/>
      <c r="L82" s="154"/>
      <c r="M82" s="949"/>
      <c r="N82" s="154"/>
      <c r="O82" s="949"/>
      <c r="P82" s="154"/>
      <c r="Q82" s="949"/>
      <c r="R82" s="154"/>
      <c r="S82" s="949"/>
      <c r="T82" s="154"/>
      <c r="U82" s="949"/>
      <c r="V82" s="154"/>
      <c r="W82" s="949"/>
      <c r="X82" s="154"/>
      <c r="Y82" s="949"/>
      <c r="Z82" s="154"/>
      <c r="AA82" s="949"/>
      <c r="AB82" s="154"/>
      <c r="AC82" s="949"/>
      <c r="AD82" s="154"/>
      <c r="AE82" s="949"/>
      <c r="AF82" s="154"/>
      <c r="AG82" s="949"/>
      <c r="AH82" s="154"/>
      <c r="AI82" s="949"/>
      <c r="AJ82" s="154"/>
      <c r="AK82" s="949"/>
      <c r="AL82" s="154"/>
      <c r="AM82" s="949"/>
      <c r="AN82" s="154"/>
      <c r="AO82" s="154"/>
      <c r="AP82" s="949"/>
      <c r="AQ82" s="154"/>
      <c r="AR82" s="949"/>
      <c r="AS82" s="154"/>
      <c r="AT82" s="949"/>
      <c r="AU82" s="154"/>
      <c r="AV82" s="949"/>
      <c r="AW82" s="154"/>
      <c r="AX82" s="949"/>
      <c r="AY82" s="154"/>
      <c r="AZ82" s="949"/>
      <c r="BA82" s="154"/>
      <c r="BB82" s="949"/>
      <c r="BC82" s="154"/>
      <c r="BD82" s="949"/>
      <c r="BE82" s="154"/>
      <c r="BF82" s="949"/>
      <c r="BG82" s="154"/>
      <c r="BH82" s="154"/>
      <c r="BI82" s="949"/>
      <c r="BJ82" s="154"/>
      <c r="BK82" s="949"/>
      <c r="BL82" s="154"/>
      <c r="BM82" s="949"/>
      <c r="BN82" s="154"/>
      <c r="BO82" s="949"/>
      <c r="BP82" s="154"/>
      <c r="BQ82" s="949"/>
      <c r="BR82" s="154"/>
      <c r="BS82" s="949"/>
      <c r="BT82" s="154"/>
      <c r="BU82" s="949"/>
      <c r="BV82" s="154"/>
      <c r="BW82" s="949"/>
      <c r="BX82" s="154"/>
      <c r="BY82" s="949"/>
      <c r="BZ82" s="166"/>
      <c r="CA82" s="142"/>
      <c r="CB82" s="145" t="str">
        <f t="shared" si="1"/>
        <v>Riadok bude skrytý.</v>
      </c>
      <c r="CC82" s="1527"/>
      <c r="CW82" s="34"/>
      <c r="CX82" s="106"/>
      <c r="CY82" s="106"/>
      <c r="CZ82" s="106"/>
      <c r="DA82" s="106"/>
      <c r="DS82" s="130">
        <f>SI!BY82</f>
        <v>595</v>
      </c>
      <c r="DZ82" s="131">
        <f>SI!BZ82</f>
        <v>0</v>
      </c>
    </row>
    <row r="83" spans="1:130" ht="5.3" hidden="1" customHeight="1" x14ac:dyDescent="0.25">
      <c r="A83" s="141"/>
      <c r="B83" s="157"/>
      <c r="C83" s="158"/>
      <c r="D83" s="158"/>
      <c r="E83" s="158"/>
      <c r="F83" s="158"/>
      <c r="G83" s="158"/>
      <c r="H83" s="158"/>
      <c r="I83" s="158"/>
      <c r="J83" s="158"/>
      <c r="K83" s="158"/>
      <c r="L83" s="158"/>
      <c r="M83" s="158"/>
      <c r="N83" s="158"/>
      <c r="O83" s="158"/>
      <c r="P83" s="158"/>
      <c r="Q83" s="158"/>
      <c r="R83" s="158"/>
      <c r="S83" s="158"/>
      <c r="T83" s="158"/>
      <c r="U83" s="158"/>
      <c r="V83" s="158"/>
      <c r="W83" s="158"/>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63"/>
      <c r="CA83" s="142"/>
      <c r="CB83" s="145" t="str">
        <f t="shared" si="1"/>
        <v>Riadok bude skrytý.</v>
      </c>
      <c r="CC83" s="1528"/>
      <c r="CW83" s="34"/>
      <c r="CX83" s="106"/>
      <c r="CY83" s="106"/>
      <c r="CZ83" s="106"/>
      <c r="DA83" s="106"/>
      <c r="DS83" s="130">
        <f>SI!BY83</f>
        <v>196</v>
      </c>
      <c r="DZ83" s="131">
        <f>SI!BZ83</f>
        <v>0</v>
      </c>
    </row>
    <row r="84" spans="1:130" ht="5.3" hidden="1" customHeight="1" x14ac:dyDescent="0.25">
      <c r="A84" s="14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CA84" s="142"/>
      <c r="CB84" s="145" t="str">
        <f t="shared" si="1"/>
        <v>Riadok bude skrytý.</v>
      </c>
      <c r="CW84" s="34"/>
      <c r="CX84" s="106"/>
      <c r="CY84" s="106"/>
      <c r="CZ84" s="106"/>
      <c r="DA84" s="106"/>
      <c r="DS84" s="130">
        <f>SI!BY84</f>
        <v>752</v>
      </c>
      <c r="DZ84" s="131">
        <f>SI!BZ84</f>
        <v>0</v>
      </c>
    </row>
    <row r="85" spans="1:130" ht="20.25" hidden="1" customHeight="1" x14ac:dyDescent="0.25">
      <c r="A85" s="141"/>
      <c r="B85" s="227"/>
      <c r="C85" s="2050" t="s">
        <v>8</v>
      </c>
      <c r="D85" s="2050"/>
      <c r="E85" s="2050"/>
      <c r="F85" s="2050"/>
      <c r="G85" s="2050"/>
      <c r="H85" s="2050"/>
      <c r="I85" s="2050"/>
      <c r="J85" s="2050"/>
      <c r="K85" s="2050"/>
      <c r="L85" s="2050"/>
      <c r="M85" s="2050"/>
      <c r="N85" s="2050"/>
      <c r="O85" s="2050"/>
      <c r="P85" s="2050"/>
      <c r="Q85" s="2050"/>
      <c r="R85" s="228"/>
      <c r="S85" s="228"/>
      <c r="T85" s="229"/>
      <c r="U85" s="2055" t="s">
        <v>918</v>
      </c>
      <c r="V85" s="2055"/>
      <c r="W85" s="2055"/>
      <c r="X85" s="2055"/>
      <c r="Y85" s="2055"/>
      <c r="Z85" s="2055"/>
      <c r="AA85" s="2055"/>
      <c r="AB85" s="2055"/>
      <c r="AC85" s="2055"/>
      <c r="AD85" s="2055"/>
      <c r="AE85" s="2055"/>
      <c r="AF85" s="2055"/>
      <c r="AG85" s="2055"/>
      <c r="AH85" s="2055"/>
      <c r="AI85" s="2055"/>
      <c r="AJ85" s="2055"/>
      <c r="AK85" s="230"/>
      <c r="AL85" s="230"/>
      <c r="AM85" s="230"/>
      <c r="AN85" s="231"/>
      <c r="AO85" s="229"/>
      <c r="AP85" s="2055" t="s">
        <v>919</v>
      </c>
      <c r="AQ85" s="2055"/>
      <c r="AR85" s="2055"/>
      <c r="AS85" s="2055"/>
      <c r="AT85" s="2055"/>
      <c r="AU85" s="2055"/>
      <c r="AV85" s="2055"/>
      <c r="AW85" s="2055"/>
      <c r="AX85" s="2055"/>
      <c r="AY85" s="2055"/>
      <c r="AZ85" s="2055"/>
      <c r="BA85" s="2055"/>
      <c r="BB85" s="2055"/>
      <c r="BC85" s="2055"/>
      <c r="BD85" s="2055"/>
      <c r="BE85" s="2055"/>
      <c r="BF85" s="2055"/>
      <c r="BG85" s="231"/>
      <c r="BH85" s="228"/>
      <c r="BI85" s="2053" t="s">
        <v>920</v>
      </c>
      <c r="BJ85" s="2053"/>
      <c r="BK85" s="2053"/>
      <c r="BL85" s="2053"/>
      <c r="BM85" s="2053"/>
      <c r="BN85" s="2053"/>
      <c r="BO85" s="2053"/>
      <c r="BP85" s="2053"/>
      <c r="BQ85" s="2053"/>
      <c r="BR85" s="2053"/>
      <c r="BS85" s="2053"/>
      <c r="BT85" s="2053"/>
      <c r="BU85" s="2053"/>
      <c r="BV85" s="2053"/>
      <c r="BW85" s="2053"/>
      <c r="BX85" s="2053"/>
      <c r="BY85" s="2053"/>
      <c r="BZ85" s="232"/>
      <c r="CA85" s="142"/>
      <c r="CB85" s="145" t="str">
        <f t="shared" si="1"/>
        <v>Riadok bude skrytý.</v>
      </c>
      <c r="CW85" s="34"/>
      <c r="CX85" s="106"/>
      <c r="CY85" s="106"/>
      <c r="CZ85" s="106"/>
      <c r="DA85" s="106"/>
      <c r="DS85" s="130">
        <f>SI!BY85</f>
        <v>7</v>
      </c>
      <c r="DZ85" s="131">
        <f>SI!BZ85</f>
        <v>0</v>
      </c>
    </row>
    <row r="86" spans="1:130" ht="4.5999999999999996" hidden="1" customHeight="1" x14ac:dyDescent="0.25">
      <c r="A86" s="141"/>
      <c r="B86" s="233"/>
      <c r="C86" s="949">
        <v>3</v>
      </c>
      <c r="D86" s="153"/>
      <c r="E86" s="949">
        <v>0</v>
      </c>
      <c r="F86" s="2028" t="s">
        <v>20</v>
      </c>
      <c r="G86" s="949">
        <v>0</v>
      </c>
      <c r="H86" s="153"/>
      <c r="I86" s="949">
        <v>6</v>
      </c>
      <c r="J86" s="2028" t="s">
        <v>20</v>
      </c>
      <c r="K86" s="949">
        <v>2</v>
      </c>
      <c r="L86" s="153"/>
      <c r="M86" s="949">
        <v>0</v>
      </c>
      <c r="N86" s="153"/>
      <c r="O86" s="949">
        <v>2</v>
      </c>
      <c r="P86" s="153"/>
      <c r="Q86" s="949">
        <v>2</v>
      </c>
      <c r="R86" s="155"/>
      <c r="S86" s="234"/>
      <c r="T86" s="235"/>
      <c r="U86" s="2056"/>
      <c r="V86" s="2056"/>
      <c r="W86" s="2056"/>
      <c r="X86" s="2056"/>
      <c r="Y86" s="2056"/>
      <c r="Z86" s="2056"/>
      <c r="AA86" s="2056"/>
      <c r="AB86" s="2056"/>
      <c r="AC86" s="2056"/>
      <c r="AD86" s="2056"/>
      <c r="AE86" s="2056"/>
      <c r="AF86" s="2056"/>
      <c r="AG86" s="2056"/>
      <c r="AH86" s="2056"/>
      <c r="AI86" s="2056"/>
      <c r="AJ86" s="2056"/>
      <c r="AK86" s="236"/>
      <c r="AL86" s="236"/>
      <c r="AM86" s="236"/>
      <c r="AN86" s="237"/>
      <c r="AO86" s="235"/>
      <c r="AP86" s="2056"/>
      <c r="AQ86" s="2056"/>
      <c r="AR86" s="2056"/>
      <c r="AS86" s="2056"/>
      <c r="AT86" s="2056"/>
      <c r="AU86" s="2056"/>
      <c r="AV86" s="2056"/>
      <c r="AW86" s="2056"/>
      <c r="AX86" s="2056"/>
      <c r="AY86" s="2056"/>
      <c r="AZ86" s="2056"/>
      <c r="BA86" s="2056"/>
      <c r="BB86" s="2056"/>
      <c r="BC86" s="2056"/>
      <c r="BD86" s="2056"/>
      <c r="BE86" s="2056"/>
      <c r="BF86" s="2056"/>
      <c r="BG86" s="237"/>
      <c r="BH86" s="222"/>
      <c r="BI86" s="2054"/>
      <c r="BJ86" s="2054"/>
      <c r="BK86" s="2054"/>
      <c r="BL86" s="2054"/>
      <c r="BM86" s="2054"/>
      <c r="BN86" s="2054"/>
      <c r="BO86" s="2054"/>
      <c r="BP86" s="2054"/>
      <c r="BQ86" s="2054"/>
      <c r="BR86" s="2054"/>
      <c r="BS86" s="2054"/>
      <c r="BT86" s="2054"/>
      <c r="BU86" s="2054"/>
      <c r="BV86" s="2054"/>
      <c r="BW86" s="2054"/>
      <c r="BX86" s="2054"/>
      <c r="BY86" s="2054"/>
      <c r="BZ86" s="166"/>
      <c r="CA86" s="142"/>
      <c r="CB86" s="145" t="str">
        <f t="shared" si="1"/>
        <v>Riadok bude skrytý.</v>
      </c>
      <c r="CC86" s="1526" t="s">
        <v>998</v>
      </c>
      <c r="CW86" s="34"/>
      <c r="CX86" s="106"/>
      <c r="CY86" s="106"/>
      <c r="CZ86" s="106"/>
      <c r="DA86" s="106"/>
      <c r="DS86" s="130">
        <f>SI!BY86</f>
        <v>146</v>
      </c>
      <c r="DZ86" s="131">
        <f>SI!BZ86</f>
        <v>0</v>
      </c>
    </row>
    <row r="87" spans="1:130" ht="4.5999999999999996" hidden="1" customHeight="1" x14ac:dyDescent="0.25">
      <c r="A87" s="141"/>
      <c r="B87" s="233"/>
      <c r="C87" s="949"/>
      <c r="D87" s="155"/>
      <c r="E87" s="949"/>
      <c r="F87" s="2028"/>
      <c r="G87" s="949"/>
      <c r="H87" s="155"/>
      <c r="I87" s="949"/>
      <c r="J87" s="2028"/>
      <c r="K87" s="949"/>
      <c r="L87" s="155"/>
      <c r="M87" s="949"/>
      <c r="N87" s="155"/>
      <c r="O87" s="949"/>
      <c r="P87" s="155"/>
      <c r="Q87" s="949"/>
      <c r="R87" s="155"/>
      <c r="S87" s="234"/>
      <c r="T87" s="235"/>
      <c r="U87" s="2056"/>
      <c r="V87" s="2056"/>
      <c r="W87" s="2056"/>
      <c r="X87" s="2056"/>
      <c r="Y87" s="2056"/>
      <c r="Z87" s="2056"/>
      <c r="AA87" s="2056"/>
      <c r="AB87" s="2056"/>
      <c r="AC87" s="2056"/>
      <c r="AD87" s="2056"/>
      <c r="AE87" s="2056"/>
      <c r="AF87" s="2056"/>
      <c r="AG87" s="2056"/>
      <c r="AH87" s="2056"/>
      <c r="AI87" s="2056"/>
      <c r="AJ87" s="2056"/>
      <c r="AK87" s="236"/>
      <c r="AL87" s="236"/>
      <c r="AM87" s="236"/>
      <c r="AN87" s="237"/>
      <c r="AO87" s="235"/>
      <c r="AP87" s="2056"/>
      <c r="AQ87" s="2056"/>
      <c r="AR87" s="2056"/>
      <c r="AS87" s="2056"/>
      <c r="AT87" s="2056"/>
      <c r="AU87" s="2056"/>
      <c r="AV87" s="2056"/>
      <c r="AW87" s="2056"/>
      <c r="AX87" s="2056"/>
      <c r="AY87" s="2056"/>
      <c r="AZ87" s="2056"/>
      <c r="BA87" s="2056"/>
      <c r="BB87" s="2056"/>
      <c r="BC87" s="2056"/>
      <c r="BD87" s="2056"/>
      <c r="BE87" s="2056"/>
      <c r="BF87" s="2056"/>
      <c r="BG87" s="237"/>
      <c r="BH87" s="222"/>
      <c r="BI87" s="2054"/>
      <c r="BJ87" s="2054"/>
      <c r="BK87" s="2054"/>
      <c r="BL87" s="2054"/>
      <c r="BM87" s="2054"/>
      <c r="BN87" s="2054"/>
      <c r="BO87" s="2054"/>
      <c r="BP87" s="2054"/>
      <c r="BQ87" s="2054"/>
      <c r="BR87" s="2054"/>
      <c r="BS87" s="2054"/>
      <c r="BT87" s="2054"/>
      <c r="BU87" s="2054"/>
      <c r="BV87" s="2054"/>
      <c r="BW87" s="2054"/>
      <c r="BX87" s="2054"/>
      <c r="BY87" s="2054"/>
      <c r="BZ87" s="166"/>
      <c r="CA87" s="142"/>
      <c r="CB87" s="145" t="str">
        <f t="shared" si="1"/>
        <v>Riadok bude skrytý.</v>
      </c>
      <c r="CC87" s="1527"/>
      <c r="CW87" s="34"/>
      <c r="CX87" s="106"/>
      <c r="CY87" s="106"/>
      <c r="CZ87" s="106"/>
      <c r="DA87" s="106"/>
      <c r="DS87" s="130">
        <f>SI!BY87</f>
        <v>407</v>
      </c>
      <c r="DZ87" s="131">
        <f>SI!BZ87</f>
        <v>0</v>
      </c>
    </row>
    <row r="88" spans="1:130" ht="4.5999999999999996" hidden="1" customHeight="1" x14ac:dyDescent="0.25">
      <c r="A88" s="141"/>
      <c r="B88" s="233"/>
      <c r="C88" s="949"/>
      <c r="D88" s="155"/>
      <c r="E88" s="949"/>
      <c r="F88" s="2028"/>
      <c r="G88" s="949"/>
      <c r="H88" s="155"/>
      <c r="I88" s="949"/>
      <c r="J88" s="2028"/>
      <c r="K88" s="949"/>
      <c r="L88" s="155"/>
      <c r="M88" s="949"/>
      <c r="N88" s="155"/>
      <c r="O88" s="949"/>
      <c r="P88" s="155"/>
      <c r="Q88" s="949"/>
      <c r="R88" s="155"/>
      <c r="S88" s="234"/>
      <c r="T88" s="235"/>
      <c r="U88" s="2056"/>
      <c r="V88" s="2056"/>
      <c r="W88" s="2056"/>
      <c r="X88" s="2056"/>
      <c r="Y88" s="2056"/>
      <c r="Z88" s="2056"/>
      <c r="AA88" s="2056"/>
      <c r="AB88" s="2056"/>
      <c r="AC88" s="2056"/>
      <c r="AD88" s="2056"/>
      <c r="AE88" s="2056"/>
      <c r="AF88" s="2056"/>
      <c r="AG88" s="2056"/>
      <c r="AH88" s="2056"/>
      <c r="AI88" s="2056"/>
      <c r="AJ88" s="2056"/>
      <c r="AK88" s="236"/>
      <c r="AL88" s="236"/>
      <c r="AM88" s="236"/>
      <c r="AN88" s="237"/>
      <c r="AO88" s="235"/>
      <c r="AP88" s="2056"/>
      <c r="AQ88" s="2056"/>
      <c r="AR88" s="2056"/>
      <c r="AS88" s="2056"/>
      <c r="AT88" s="2056"/>
      <c r="AU88" s="2056"/>
      <c r="AV88" s="2056"/>
      <c r="AW88" s="2056"/>
      <c r="AX88" s="2056"/>
      <c r="AY88" s="2056"/>
      <c r="AZ88" s="2056"/>
      <c r="BA88" s="2056"/>
      <c r="BB88" s="2056"/>
      <c r="BC88" s="2056"/>
      <c r="BD88" s="2056"/>
      <c r="BE88" s="2056"/>
      <c r="BF88" s="2056"/>
      <c r="BG88" s="237"/>
      <c r="BH88" s="222"/>
      <c r="BI88" s="2054"/>
      <c r="BJ88" s="2054"/>
      <c r="BK88" s="2054"/>
      <c r="BL88" s="2054"/>
      <c r="BM88" s="2054"/>
      <c r="BN88" s="2054"/>
      <c r="BO88" s="2054"/>
      <c r="BP88" s="2054"/>
      <c r="BQ88" s="2054"/>
      <c r="BR88" s="2054"/>
      <c r="BS88" s="2054"/>
      <c r="BT88" s="2054"/>
      <c r="BU88" s="2054"/>
      <c r="BV88" s="2054"/>
      <c r="BW88" s="2054"/>
      <c r="BX88" s="2054"/>
      <c r="BY88" s="2054"/>
      <c r="BZ88" s="166"/>
      <c r="CA88" s="142"/>
      <c r="CB88" s="145" t="str">
        <f t="shared" si="1"/>
        <v>Riadok bude skrytý.</v>
      </c>
      <c r="CC88" s="1527"/>
      <c r="CW88" s="34"/>
      <c r="CX88" s="106"/>
      <c r="CY88" s="106"/>
      <c r="CZ88" s="106"/>
      <c r="DA88" s="106"/>
      <c r="DS88" s="130">
        <f>SI!BY88</f>
        <v>907</v>
      </c>
      <c r="DZ88" s="131">
        <f>SI!BZ88</f>
        <v>0</v>
      </c>
    </row>
    <row r="89" spans="1:130" ht="4.5999999999999996" hidden="1" customHeight="1" x14ac:dyDescent="0.25">
      <c r="A89" s="141"/>
      <c r="B89" s="233"/>
      <c r="C89" s="949"/>
      <c r="D89" s="155"/>
      <c r="E89" s="949"/>
      <c r="F89" s="2028"/>
      <c r="G89" s="949"/>
      <c r="H89" s="155"/>
      <c r="I89" s="949"/>
      <c r="J89" s="2028"/>
      <c r="K89" s="949"/>
      <c r="L89" s="155"/>
      <c r="M89" s="949"/>
      <c r="N89" s="155"/>
      <c r="O89" s="949"/>
      <c r="P89" s="155"/>
      <c r="Q89" s="949"/>
      <c r="R89" s="155"/>
      <c r="S89" s="234"/>
      <c r="T89" s="235"/>
      <c r="U89" s="2056"/>
      <c r="V89" s="2056"/>
      <c r="W89" s="2056"/>
      <c r="X89" s="2056"/>
      <c r="Y89" s="2056"/>
      <c r="Z89" s="2056"/>
      <c r="AA89" s="2056"/>
      <c r="AB89" s="2056"/>
      <c r="AC89" s="2056"/>
      <c r="AD89" s="2056"/>
      <c r="AE89" s="2056"/>
      <c r="AF89" s="2056"/>
      <c r="AG89" s="2056"/>
      <c r="AH89" s="2056"/>
      <c r="AI89" s="2056"/>
      <c r="AJ89" s="2056"/>
      <c r="AK89" s="236"/>
      <c r="AL89" s="236"/>
      <c r="AM89" s="236"/>
      <c r="AN89" s="237"/>
      <c r="AO89" s="235"/>
      <c r="AP89" s="2056"/>
      <c r="AQ89" s="2056"/>
      <c r="AR89" s="2056"/>
      <c r="AS89" s="2056"/>
      <c r="AT89" s="2056"/>
      <c r="AU89" s="2056"/>
      <c r="AV89" s="2056"/>
      <c r="AW89" s="2056"/>
      <c r="AX89" s="2056"/>
      <c r="AY89" s="2056"/>
      <c r="AZ89" s="2056"/>
      <c r="BA89" s="2056"/>
      <c r="BB89" s="2056"/>
      <c r="BC89" s="2056"/>
      <c r="BD89" s="2056"/>
      <c r="BE89" s="2056"/>
      <c r="BF89" s="2056"/>
      <c r="BG89" s="237"/>
      <c r="BH89" s="222"/>
      <c r="BI89" s="2054"/>
      <c r="BJ89" s="2054"/>
      <c r="BK89" s="2054"/>
      <c r="BL89" s="2054"/>
      <c r="BM89" s="2054"/>
      <c r="BN89" s="2054"/>
      <c r="BO89" s="2054"/>
      <c r="BP89" s="2054"/>
      <c r="BQ89" s="2054"/>
      <c r="BR89" s="2054"/>
      <c r="BS89" s="2054"/>
      <c r="BT89" s="2054"/>
      <c r="BU89" s="2054"/>
      <c r="BV89" s="2054"/>
      <c r="BW89" s="2054"/>
      <c r="BX89" s="2054"/>
      <c r="BY89" s="2054"/>
      <c r="BZ89" s="166"/>
      <c r="CA89" s="142"/>
      <c r="CB89" s="145" t="str">
        <f t="shared" si="1"/>
        <v>Riadok bude skrytý.</v>
      </c>
      <c r="CC89" s="1527"/>
      <c r="CW89" s="34"/>
      <c r="CX89" s="106"/>
      <c r="CY89" s="106"/>
      <c r="CZ89" s="106"/>
      <c r="DA89" s="106"/>
      <c r="DS89" s="130">
        <f>SI!BY89</f>
        <v>363</v>
      </c>
      <c r="DZ89" s="131">
        <f>SI!BZ89</f>
        <v>0</v>
      </c>
    </row>
    <row r="90" spans="1:130" ht="7.5" hidden="1" customHeight="1" x14ac:dyDescent="0.25">
      <c r="A90" s="141"/>
      <c r="B90" s="238"/>
      <c r="C90" s="239"/>
      <c r="D90" s="239"/>
      <c r="E90" s="239"/>
      <c r="F90" s="2051"/>
      <c r="G90" s="239"/>
      <c r="H90" s="240"/>
      <c r="I90" s="240"/>
      <c r="J90" s="2051"/>
      <c r="K90" s="241"/>
      <c r="L90" s="241"/>
      <c r="M90" s="241"/>
      <c r="N90" s="241"/>
      <c r="O90" s="241"/>
      <c r="P90" s="241"/>
      <c r="Q90" s="241"/>
      <c r="R90" s="241"/>
      <c r="S90" s="242"/>
      <c r="T90" s="235"/>
      <c r="U90" s="2056"/>
      <c r="V90" s="2056"/>
      <c r="W90" s="2056"/>
      <c r="X90" s="2056"/>
      <c r="Y90" s="2056"/>
      <c r="Z90" s="2056"/>
      <c r="AA90" s="2056"/>
      <c r="AB90" s="2056"/>
      <c r="AC90" s="2056"/>
      <c r="AD90" s="2056"/>
      <c r="AE90" s="2056"/>
      <c r="AF90" s="2056"/>
      <c r="AG90" s="2056"/>
      <c r="AH90" s="2056"/>
      <c r="AI90" s="2056"/>
      <c r="AJ90" s="2056"/>
      <c r="AK90" s="236"/>
      <c r="AL90" s="236"/>
      <c r="AM90" s="236"/>
      <c r="AN90" s="237"/>
      <c r="AO90" s="235"/>
      <c r="AP90" s="2056"/>
      <c r="AQ90" s="2056"/>
      <c r="AR90" s="2056"/>
      <c r="AS90" s="2056"/>
      <c r="AT90" s="2056"/>
      <c r="AU90" s="2056"/>
      <c r="AV90" s="2056"/>
      <c r="AW90" s="2056"/>
      <c r="AX90" s="2056"/>
      <c r="AY90" s="2056"/>
      <c r="AZ90" s="2056"/>
      <c r="BA90" s="2056"/>
      <c r="BB90" s="2056"/>
      <c r="BC90" s="2056"/>
      <c r="BD90" s="2056"/>
      <c r="BE90" s="2056"/>
      <c r="BF90" s="2056"/>
      <c r="BG90" s="237"/>
      <c r="BH90" s="222"/>
      <c r="BI90" s="2054"/>
      <c r="BJ90" s="2054"/>
      <c r="BK90" s="2054"/>
      <c r="BL90" s="2054"/>
      <c r="BM90" s="2054"/>
      <c r="BN90" s="2054"/>
      <c r="BO90" s="2054"/>
      <c r="BP90" s="2054"/>
      <c r="BQ90" s="2054"/>
      <c r="BR90" s="2054"/>
      <c r="BS90" s="2054"/>
      <c r="BT90" s="2054"/>
      <c r="BU90" s="2054"/>
      <c r="BV90" s="2054"/>
      <c r="BW90" s="2054"/>
      <c r="BX90" s="2054"/>
      <c r="BY90" s="2054"/>
      <c r="BZ90" s="166"/>
      <c r="CA90" s="142"/>
      <c r="CB90" s="145" t="str">
        <f t="shared" si="1"/>
        <v>Riadok bude skrytý.</v>
      </c>
      <c r="CC90" s="1527"/>
      <c r="CW90" s="34"/>
      <c r="CX90" s="106"/>
      <c r="CY90" s="106"/>
      <c r="CZ90" s="106"/>
      <c r="DA90" s="106"/>
      <c r="DS90" s="130">
        <f>SI!BY90</f>
        <v>299</v>
      </c>
      <c r="DZ90" s="131">
        <f>SI!BZ90</f>
        <v>0</v>
      </c>
    </row>
    <row r="91" spans="1:130" ht="20.25" hidden="1" customHeight="1" x14ac:dyDescent="0.25">
      <c r="A91" s="141"/>
      <c r="B91" s="221"/>
      <c r="C91" s="944" t="s">
        <v>9</v>
      </c>
      <c r="D91" s="944"/>
      <c r="E91" s="944"/>
      <c r="F91" s="944"/>
      <c r="G91" s="944"/>
      <c r="H91" s="944"/>
      <c r="I91" s="944"/>
      <c r="J91" s="944"/>
      <c r="K91" s="944"/>
      <c r="L91" s="944"/>
      <c r="M91" s="944"/>
      <c r="N91" s="944"/>
      <c r="O91" s="944"/>
      <c r="P91" s="944"/>
      <c r="Q91" s="944"/>
      <c r="R91" s="222"/>
      <c r="S91" s="222"/>
      <c r="T91" s="235"/>
      <c r="U91" s="2052"/>
      <c r="V91" s="2052"/>
      <c r="W91" s="2052"/>
      <c r="X91" s="2052"/>
      <c r="Y91" s="2052"/>
      <c r="Z91" s="2052"/>
      <c r="AA91" s="2052"/>
      <c r="AB91" s="2052"/>
      <c r="AC91" s="2052"/>
      <c r="AD91" s="2052"/>
      <c r="AE91" s="2052"/>
      <c r="AF91" s="2052"/>
      <c r="AG91" s="2052"/>
      <c r="AH91" s="2052"/>
      <c r="AI91" s="2052"/>
      <c r="AJ91" s="2052"/>
      <c r="AK91" s="2052"/>
      <c r="AL91" s="2052"/>
      <c r="AM91" s="2052"/>
      <c r="AN91" s="237"/>
      <c r="AO91" s="235"/>
      <c r="AP91" s="2052"/>
      <c r="AQ91" s="2052"/>
      <c r="AR91" s="2052"/>
      <c r="AS91" s="2052"/>
      <c r="AT91" s="2052"/>
      <c r="AU91" s="2052"/>
      <c r="AV91" s="2052"/>
      <c r="AW91" s="2052"/>
      <c r="AX91" s="2052"/>
      <c r="AY91" s="2052"/>
      <c r="AZ91" s="2052"/>
      <c r="BA91" s="2052"/>
      <c r="BB91" s="2052"/>
      <c r="BC91" s="2052"/>
      <c r="BD91" s="2052"/>
      <c r="BE91" s="2052"/>
      <c r="BF91" s="2052"/>
      <c r="BG91" s="237"/>
      <c r="BH91" s="222"/>
      <c r="BI91" s="2052"/>
      <c r="BJ91" s="2052"/>
      <c r="BK91" s="2052"/>
      <c r="BL91" s="2052"/>
      <c r="BM91" s="2052"/>
      <c r="BN91" s="2052"/>
      <c r="BO91" s="2052"/>
      <c r="BP91" s="2052"/>
      <c r="BQ91" s="2052"/>
      <c r="BR91" s="2052"/>
      <c r="BS91" s="2052"/>
      <c r="BT91" s="2052"/>
      <c r="BU91" s="2052"/>
      <c r="BV91" s="2052"/>
      <c r="BW91" s="2052"/>
      <c r="BX91" s="2052"/>
      <c r="BY91" s="2052"/>
      <c r="BZ91" s="166"/>
      <c r="CA91" s="142"/>
      <c r="CB91" s="145" t="str">
        <f t="shared" si="1"/>
        <v>Riadok bude skrytý.</v>
      </c>
      <c r="CC91" s="1527"/>
      <c r="CW91" s="34"/>
      <c r="CX91" s="106"/>
      <c r="CY91" s="106"/>
      <c r="CZ91" s="106"/>
      <c r="DA91" s="106"/>
      <c r="DS91" s="130">
        <f>SI!BY91</f>
        <v>120</v>
      </c>
      <c r="DZ91" s="131">
        <f>SI!BZ91</f>
        <v>0</v>
      </c>
    </row>
    <row r="92" spans="1:130" ht="4.5999999999999996" hidden="1" customHeight="1" x14ac:dyDescent="0.25">
      <c r="A92" s="141"/>
      <c r="B92" s="233"/>
      <c r="C92" s="949"/>
      <c r="D92" s="153"/>
      <c r="E92" s="949"/>
      <c r="F92" s="2028" t="s">
        <v>20</v>
      </c>
      <c r="G92" s="949"/>
      <c r="H92" s="153"/>
      <c r="I92" s="949"/>
      <c r="J92" s="2028" t="s">
        <v>20</v>
      </c>
      <c r="K92" s="949"/>
      <c r="L92" s="153"/>
      <c r="M92" s="949"/>
      <c r="N92" s="153"/>
      <c r="O92" s="949"/>
      <c r="P92" s="153"/>
      <c r="Q92" s="949"/>
      <c r="R92" s="222"/>
      <c r="S92" s="234"/>
      <c r="T92" s="235"/>
      <c r="U92" s="2052"/>
      <c r="V92" s="2052"/>
      <c r="W92" s="2052"/>
      <c r="X92" s="2052"/>
      <c r="Y92" s="2052"/>
      <c r="Z92" s="2052"/>
      <c r="AA92" s="2052"/>
      <c r="AB92" s="2052"/>
      <c r="AC92" s="2052"/>
      <c r="AD92" s="2052"/>
      <c r="AE92" s="2052"/>
      <c r="AF92" s="2052"/>
      <c r="AG92" s="2052"/>
      <c r="AH92" s="2052"/>
      <c r="AI92" s="2052"/>
      <c r="AJ92" s="2052"/>
      <c r="AK92" s="2052"/>
      <c r="AL92" s="2052"/>
      <c r="AM92" s="2052"/>
      <c r="AN92" s="237"/>
      <c r="AO92" s="235"/>
      <c r="AP92" s="2052"/>
      <c r="AQ92" s="2052"/>
      <c r="AR92" s="2052"/>
      <c r="AS92" s="2052"/>
      <c r="AT92" s="2052"/>
      <c r="AU92" s="2052"/>
      <c r="AV92" s="2052"/>
      <c r="AW92" s="2052"/>
      <c r="AX92" s="2052"/>
      <c r="AY92" s="2052"/>
      <c r="AZ92" s="2052"/>
      <c r="BA92" s="2052"/>
      <c r="BB92" s="2052"/>
      <c r="BC92" s="2052"/>
      <c r="BD92" s="2052"/>
      <c r="BE92" s="2052"/>
      <c r="BF92" s="2052"/>
      <c r="BG92" s="237"/>
      <c r="BH92" s="222"/>
      <c r="BI92" s="2052"/>
      <c r="BJ92" s="2052"/>
      <c r="BK92" s="2052"/>
      <c r="BL92" s="2052"/>
      <c r="BM92" s="2052"/>
      <c r="BN92" s="2052"/>
      <c r="BO92" s="2052"/>
      <c r="BP92" s="2052"/>
      <c r="BQ92" s="2052"/>
      <c r="BR92" s="2052"/>
      <c r="BS92" s="2052"/>
      <c r="BT92" s="2052"/>
      <c r="BU92" s="2052"/>
      <c r="BV92" s="2052"/>
      <c r="BW92" s="2052"/>
      <c r="BX92" s="2052"/>
      <c r="BY92" s="2052"/>
      <c r="BZ92" s="166"/>
      <c r="CA92" s="142"/>
      <c r="CB92" s="145" t="str">
        <f t="shared" si="1"/>
        <v>Riadok bude skrytý.</v>
      </c>
      <c r="CC92" s="1527"/>
      <c r="CW92" s="34"/>
      <c r="CX92" s="106"/>
      <c r="CY92" s="106"/>
      <c r="CZ92" s="106"/>
      <c r="DA92" s="106"/>
      <c r="DS92" s="130">
        <f>SI!BY92</f>
        <v>417</v>
      </c>
      <c r="DZ92" s="131">
        <f>SI!BZ92</f>
        <v>0</v>
      </c>
    </row>
    <row r="93" spans="1:130" ht="4.5999999999999996" hidden="1" customHeight="1" x14ac:dyDescent="0.25">
      <c r="A93" s="141"/>
      <c r="B93" s="233"/>
      <c r="C93" s="949"/>
      <c r="D93" s="155"/>
      <c r="E93" s="949"/>
      <c r="F93" s="2028"/>
      <c r="G93" s="949"/>
      <c r="H93" s="155"/>
      <c r="I93" s="949"/>
      <c r="J93" s="2028"/>
      <c r="K93" s="949"/>
      <c r="L93" s="155"/>
      <c r="M93" s="949"/>
      <c r="N93" s="155"/>
      <c r="O93" s="949"/>
      <c r="P93" s="155"/>
      <c r="Q93" s="949"/>
      <c r="R93" s="222"/>
      <c r="S93" s="234"/>
      <c r="T93" s="235"/>
      <c r="U93" s="2052"/>
      <c r="V93" s="2052"/>
      <c r="W93" s="2052"/>
      <c r="X93" s="2052"/>
      <c r="Y93" s="2052"/>
      <c r="Z93" s="2052"/>
      <c r="AA93" s="2052"/>
      <c r="AB93" s="2052"/>
      <c r="AC93" s="2052"/>
      <c r="AD93" s="2052"/>
      <c r="AE93" s="2052"/>
      <c r="AF93" s="2052"/>
      <c r="AG93" s="2052"/>
      <c r="AH93" s="2052"/>
      <c r="AI93" s="2052"/>
      <c r="AJ93" s="2052"/>
      <c r="AK93" s="2052"/>
      <c r="AL93" s="2052"/>
      <c r="AM93" s="2052"/>
      <c r="AN93" s="237"/>
      <c r="AO93" s="235"/>
      <c r="AP93" s="2052"/>
      <c r="AQ93" s="2052"/>
      <c r="AR93" s="2052"/>
      <c r="AS93" s="2052"/>
      <c r="AT93" s="2052"/>
      <c r="AU93" s="2052"/>
      <c r="AV93" s="2052"/>
      <c r="AW93" s="2052"/>
      <c r="AX93" s="2052"/>
      <c r="AY93" s="2052"/>
      <c r="AZ93" s="2052"/>
      <c r="BA93" s="2052"/>
      <c r="BB93" s="2052"/>
      <c r="BC93" s="2052"/>
      <c r="BD93" s="2052"/>
      <c r="BE93" s="2052"/>
      <c r="BF93" s="2052"/>
      <c r="BG93" s="237"/>
      <c r="BH93" s="222"/>
      <c r="BI93" s="2052"/>
      <c r="BJ93" s="2052"/>
      <c r="BK93" s="2052"/>
      <c r="BL93" s="2052"/>
      <c r="BM93" s="2052"/>
      <c r="BN93" s="2052"/>
      <c r="BO93" s="2052"/>
      <c r="BP93" s="2052"/>
      <c r="BQ93" s="2052"/>
      <c r="BR93" s="2052"/>
      <c r="BS93" s="2052"/>
      <c r="BT93" s="2052"/>
      <c r="BU93" s="2052"/>
      <c r="BV93" s="2052"/>
      <c r="BW93" s="2052"/>
      <c r="BX93" s="2052"/>
      <c r="BY93" s="2052"/>
      <c r="BZ93" s="166"/>
      <c r="CA93" s="142"/>
      <c r="CB93" s="145" t="str">
        <f t="shared" si="1"/>
        <v>Riadok bude skrytý.</v>
      </c>
      <c r="CC93" s="1527"/>
      <c r="CW93" s="34"/>
      <c r="CX93" s="106"/>
      <c r="CY93" s="106"/>
      <c r="CZ93" s="106"/>
      <c r="DA93" s="106"/>
      <c r="DS93" s="130">
        <f>SI!BY93</f>
        <v>1031</v>
      </c>
      <c r="DZ93" s="131">
        <f>SI!BZ93</f>
        <v>0</v>
      </c>
    </row>
    <row r="94" spans="1:130" ht="4.5999999999999996" hidden="1" customHeight="1" x14ac:dyDescent="0.25">
      <c r="A94" s="141"/>
      <c r="B94" s="233"/>
      <c r="C94" s="949"/>
      <c r="D94" s="155"/>
      <c r="E94" s="949"/>
      <c r="F94" s="2028"/>
      <c r="G94" s="949"/>
      <c r="H94" s="155"/>
      <c r="I94" s="949"/>
      <c r="J94" s="2028"/>
      <c r="K94" s="949"/>
      <c r="L94" s="155"/>
      <c r="M94" s="949"/>
      <c r="N94" s="155"/>
      <c r="O94" s="949"/>
      <c r="P94" s="155"/>
      <c r="Q94" s="949"/>
      <c r="R94" s="222"/>
      <c r="S94" s="234"/>
      <c r="T94" s="235"/>
      <c r="U94" s="2052"/>
      <c r="V94" s="2052"/>
      <c r="W94" s="2052"/>
      <c r="X94" s="2052"/>
      <c r="Y94" s="2052"/>
      <c r="Z94" s="2052"/>
      <c r="AA94" s="2052"/>
      <c r="AB94" s="2052"/>
      <c r="AC94" s="2052"/>
      <c r="AD94" s="2052"/>
      <c r="AE94" s="2052"/>
      <c r="AF94" s="2052"/>
      <c r="AG94" s="2052"/>
      <c r="AH94" s="2052"/>
      <c r="AI94" s="2052"/>
      <c r="AJ94" s="2052"/>
      <c r="AK94" s="2052"/>
      <c r="AL94" s="2052"/>
      <c r="AM94" s="2052"/>
      <c r="AN94" s="237"/>
      <c r="AO94" s="235"/>
      <c r="AP94" s="2052"/>
      <c r="AQ94" s="2052"/>
      <c r="AR94" s="2052"/>
      <c r="AS94" s="2052"/>
      <c r="AT94" s="2052"/>
      <c r="AU94" s="2052"/>
      <c r="AV94" s="2052"/>
      <c r="AW94" s="2052"/>
      <c r="AX94" s="2052"/>
      <c r="AY94" s="2052"/>
      <c r="AZ94" s="2052"/>
      <c r="BA94" s="2052"/>
      <c r="BB94" s="2052"/>
      <c r="BC94" s="2052"/>
      <c r="BD94" s="2052"/>
      <c r="BE94" s="2052"/>
      <c r="BF94" s="2052"/>
      <c r="BG94" s="237"/>
      <c r="BH94" s="222"/>
      <c r="BI94" s="2052"/>
      <c r="BJ94" s="2052"/>
      <c r="BK94" s="2052"/>
      <c r="BL94" s="2052"/>
      <c r="BM94" s="2052"/>
      <c r="BN94" s="2052"/>
      <c r="BO94" s="2052"/>
      <c r="BP94" s="2052"/>
      <c r="BQ94" s="2052"/>
      <c r="BR94" s="2052"/>
      <c r="BS94" s="2052"/>
      <c r="BT94" s="2052"/>
      <c r="BU94" s="2052"/>
      <c r="BV94" s="2052"/>
      <c r="BW94" s="2052"/>
      <c r="BX94" s="2052"/>
      <c r="BY94" s="2052"/>
      <c r="BZ94" s="166"/>
      <c r="CA94" s="142"/>
      <c r="CB94" s="145" t="str">
        <f t="shared" si="1"/>
        <v>Riadok bude skrytý.</v>
      </c>
      <c r="CC94" s="1527"/>
      <c r="CW94" s="34"/>
      <c r="CX94" s="106"/>
      <c r="CY94" s="106"/>
      <c r="CZ94" s="106"/>
      <c r="DA94" s="106"/>
      <c r="DS94" s="130">
        <f>SI!BY94</f>
        <v>935</v>
      </c>
      <c r="DZ94" s="131">
        <f>SI!BZ94</f>
        <v>0</v>
      </c>
    </row>
    <row r="95" spans="1:130" ht="4.5999999999999996" hidden="1" customHeight="1" x14ac:dyDescent="0.25">
      <c r="A95" s="141"/>
      <c r="B95" s="233"/>
      <c r="C95" s="949"/>
      <c r="D95" s="155"/>
      <c r="E95" s="949"/>
      <c r="F95" s="2028"/>
      <c r="G95" s="949"/>
      <c r="H95" s="155"/>
      <c r="I95" s="949"/>
      <c r="J95" s="2028"/>
      <c r="K95" s="949"/>
      <c r="L95" s="155"/>
      <c r="M95" s="949"/>
      <c r="N95" s="155"/>
      <c r="O95" s="949"/>
      <c r="P95" s="155"/>
      <c r="Q95" s="949"/>
      <c r="R95" s="222"/>
      <c r="S95" s="234"/>
      <c r="T95" s="235"/>
      <c r="U95" s="2052"/>
      <c r="V95" s="2052"/>
      <c r="W95" s="2052"/>
      <c r="X95" s="2052"/>
      <c r="Y95" s="2052"/>
      <c r="Z95" s="2052"/>
      <c r="AA95" s="2052"/>
      <c r="AB95" s="2052"/>
      <c r="AC95" s="2052"/>
      <c r="AD95" s="2052"/>
      <c r="AE95" s="2052"/>
      <c r="AF95" s="2052"/>
      <c r="AG95" s="2052"/>
      <c r="AH95" s="2052"/>
      <c r="AI95" s="2052"/>
      <c r="AJ95" s="2052"/>
      <c r="AK95" s="2052"/>
      <c r="AL95" s="2052"/>
      <c r="AM95" s="2052"/>
      <c r="AN95" s="237"/>
      <c r="AO95" s="235"/>
      <c r="AP95" s="2052"/>
      <c r="AQ95" s="2052"/>
      <c r="AR95" s="2052"/>
      <c r="AS95" s="2052"/>
      <c r="AT95" s="2052"/>
      <c r="AU95" s="2052"/>
      <c r="AV95" s="2052"/>
      <c r="AW95" s="2052"/>
      <c r="AX95" s="2052"/>
      <c r="AY95" s="2052"/>
      <c r="AZ95" s="2052"/>
      <c r="BA95" s="2052"/>
      <c r="BB95" s="2052"/>
      <c r="BC95" s="2052"/>
      <c r="BD95" s="2052"/>
      <c r="BE95" s="2052"/>
      <c r="BF95" s="2052"/>
      <c r="BG95" s="237"/>
      <c r="BH95" s="222"/>
      <c r="BI95" s="2052"/>
      <c r="BJ95" s="2052"/>
      <c r="BK95" s="2052"/>
      <c r="BL95" s="2052"/>
      <c r="BM95" s="2052"/>
      <c r="BN95" s="2052"/>
      <c r="BO95" s="2052"/>
      <c r="BP95" s="2052"/>
      <c r="BQ95" s="2052"/>
      <c r="BR95" s="2052"/>
      <c r="BS95" s="2052"/>
      <c r="BT95" s="2052"/>
      <c r="BU95" s="2052"/>
      <c r="BV95" s="2052"/>
      <c r="BW95" s="2052"/>
      <c r="BX95" s="2052"/>
      <c r="BY95" s="2052"/>
      <c r="BZ95" s="166"/>
      <c r="CA95" s="142"/>
      <c r="CB95" s="145" t="str">
        <f t="shared" si="1"/>
        <v>Riadok bude skrytý.</v>
      </c>
      <c r="CC95" s="1528"/>
      <c r="CW95" s="34"/>
      <c r="CX95" s="106"/>
      <c r="CY95" s="106"/>
      <c r="CZ95" s="106"/>
      <c r="DA95" s="106"/>
      <c r="DS95" s="130">
        <f>SI!BY95</f>
        <v>245</v>
      </c>
      <c r="DZ95" s="131">
        <f>SI!BZ95</f>
        <v>0</v>
      </c>
    </row>
    <row r="96" spans="1:130" ht="7.5" hidden="1" customHeight="1" x14ac:dyDescent="0.25">
      <c r="A96" s="141"/>
      <c r="B96" s="243"/>
      <c r="C96" s="159"/>
      <c r="D96" s="159"/>
      <c r="E96" s="159"/>
      <c r="F96" s="2029"/>
      <c r="G96" s="159"/>
      <c r="H96" s="161"/>
      <c r="I96" s="161"/>
      <c r="J96" s="2029"/>
      <c r="K96" s="162"/>
      <c r="L96" s="162"/>
      <c r="M96" s="162"/>
      <c r="N96" s="162"/>
      <c r="O96" s="162"/>
      <c r="P96" s="162"/>
      <c r="Q96" s="162"/>
      <c r="R96" s="244"/>
      <c r="S96" s="245"/>
      <c r="T96" s="246"/>
      <c r="U96" s="247"/>
      <c r="V96" s="247"/>
      <c r="W96" s="247"/>
      <c r="X96" s="247"/>
      <c r="Y96" s="247"/>
      <c r="Z96" s="247"/>
      <c r="AA96" s="247"/>
      <c r="AB96" s="247"/>
      <c r="AC96" s="247"/>
      <c r="AD96" s="247"/>
      <c r="AE96" s="247"/>
      <c r="AF96" s="247"/>
      <c r="AG96" s="247"/>
      <c r="AH96" s="247"/>
      <c r="AI96" s="247"/>
      <c r="AJ96" s="247"/>
      <c r="AK96" s="247"/>
      <c r="AL96" s="247"/>
      <c r="AM96" s="247"/>
      <c r="AN96" s="248"/>
      <c r="AO96" s="249"/>
      <c r="AP96" s="247"/>
      <c r="AQ96" s="247"/>
      <c r="AR96" s="247"/>
      <c r="AS96" s="247"/>
      <c r="AT96" s="247"/>
      <c r="AU96" s="247"/>
      <c r="AV96" s="247"/>
      <c r="AW96" s="247"/>
      <c r="AX96" s="247"/>
      <c r="AY96" s="247"/>
      <c r="AZ96" s="247"/>
      <c r="BA96" s="247"/>
      <c r="BB96" s="247"/>
      <c r="BC96" s="247"/>
      <c r="BD96" s="247"/>
      <c r="BE96" s="247"/>
      <c r="BF96" s="247"/>
      <c r="BG96" s="250"/>
      <c r="BH96" s="247"/>
      <c r="BI96" s="247"/>
      <c r="BJ96" s="251"/>
      <c r="BK96" s="247"/>
      <c r="BL96" s="247"/>
      <c r="BM96" s="247"/>
      <c r="BN96" s="247"/>
      <c r="BO96" s="247"/>
      <c r="BP96" s="247"/>
      <c r="BQ96" s="247"/>
      <c r="BR96" s="247"/>
      <c r="BS96" s="247"/>
      <c r="BT96" s="247"/>
      <c r="BU96" s="247"/>
      <c r="BV96" s="247"/>
      <c r="BW96" s="247"/>
      <c r="BX96" s="247"/>
      <c r="BY96" s="247"/>
      <c r="BZ96" s="163"/>
      <c r="CA96" s="142"/>
      <c r="CB96" s="145" t="str">
        <f t="shared" si="1"/>
        <v>Riadok bude skrytý.</v>
      </c>
      <c r="CW96" s="34"/>
      <c r="CX96" s="106"/>
      <c r="CY96" s="106"/>
      <c r="CZ96" s="106"/>
      <c r="DA96" s="106"/>
      <c r="DS96" s="130">
        <f>SI!BY96</f>
        <v>122</v>
      </c>
      <c r="DZ96" s="131">
        <f>SI!BZ96</f>
        <v>0</v>
      </c>
    </row>
    <row r="97" spans="1:130" hidden="1" x14ac:dyDescent="0.25">
      <c r="A97" s="14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CA97" s="142"/>
      <c r="CB97" s="145" t="str">
        <f t="shared" si="1"/>
        <v>Riadok bude skrytý.</v>
      </c>
      <c r="CW97" s="34"/>
      <c r="CX97" s="106"/>
      <c r="CY97" s="106"/>
      <c r="CZ97" s="106"/>
      <c r="DA97" s="106"/>
      <c r="DS97" s="130">
        <f>SI!BY97</f>
        <v>553</v>
      </c>
      <c r="DZ97" s="131">
        <f>SI!BZ97</f>
        <v>0</v>
      </c>
    </row>
    <row r="98" spans="1:130" ht="16.3" hidden="1" x14ac:dyDescent="0.3">
      <c r="A98" s="141"/>
      <c r="B98" s="97"/>
      <c r="C98" s="58"/>
      <c r="D98" s="58"/>
      <c r="E98" s="58"/>
      <c r="F98" s="58"/>
      <c r="G98" s="58"/>
      <c r="H98" s="58"/>
      <c r="I98" s="58"/>
      <c r="J98" s="58"/>
      <c r="K98" s="58"/>
      <c r="L98" s="58"/>
      <c r="M98" s="58"/>
      <c r="N98" s="58"/>
      <c r="O98" s="58"/>
      <c r="P98" s="58"/>
      <c r="Q98" s="58"/>
      <c r="R98" s="58"/>
      <c r="S98" s="90"/>
      <c r="T98" s="90"/>
      <c r="U98" s="58"/>
      <c r="V98" s="58"/>
      <c r="W98" s="58"/>
      <c r="CA98" s="142"/>
      <c r="CB98" s="145" t="str">
        <f t="shared" si="1"/>
        <v>Riadok bude skrytý.</v>
      </c>
      <c r="CW98" s="34"/>
      <c r="CX98" s="106"/>
      <c r="CY98" s="106"/>
      <c r="CZ98" s="106"/>
      <c r="DA98" s="106"/>
      <c r="DS98" s="130">
        <f>SI!BY98</f>
        <v>177</v>
      </c>
      <c r="DZ98" s="131">
        <f>SI!BZ98</f>
        <v>0</v>
      </c>
    </row>
    <row r="99" spans="1:130" hidden="1" x14ac:dyDescent="0.25">
      <c r="A99" s="141"/>
      <c r="BA99" s="36"/>
      <c r="BB99" s="36"/>
      <c r="BC99" s="36"/>
      <c r="CA99" s="142"/>
      <c r="CB99" s="145" t="str">
        <f t="shared" si="1"/>
        <v>Riadok bude skrytý.</v>
      </c>
      <c r="CW99" s="34"/>
      <c r="CX99" s="106"/>
      <c r="CY99" s="106"/>
      <c r="CZ99" s="106"/>
      <c r="DA99" s="106"/>
      <c r="DS99" s="130">
        <f>SI!BY99</f>
        <v>191</v>
      </c>
      <c r="DZ99" s="131">
        <f>SI!BZ99</f>
        <v>0</v>
      </c>
    </row>
    <row r="100" spans="1:130" ht="9.6999999999999993" hidden="1" customHeight="1" x14ac:dyDescent="0.25">
      <c r="A100" s="141"/>
      <c r="AZ100" s="36"/>
      <c r="BA100" s="36"/>
      <c r="BB100" s="36"/>
      <c r="BC100" s="36"/>
      <c r="CA100" s="142"/>
      <c r="CB100" s="145" t="str">
        <f t="shared" si="1"/>
        <v>Riadok bude skrytý.</v>
      </c>
      <c r="CW100" s="34"/>
      <c r="CX100" s="106"/>
      <c r="CY100" s="106"/>
      <c r="CZ100" s="106"/>
      <c r="DA100" s="106"/>
      <c r="DS100" s="130">
        <f>SI!BY100</f>
        <v>339</v>
      </c>
      <c r="DZ100" s="131">
        <f>SI!BZ100</f>
        <v>0</v>
      </c>
    </row>
    <row r="101" spans="1:130" hidden="1" x14ac:dyDescent="0.25">
      <c r="A101" s="141"/>
      <c r="E101" s="252"/>
      <c r="F101" s="253"/>
      <c r="G101" s="254" t="s">
        <v>921</v>
      </c>
      <c r="H101" s="253"/>
      <c r="I101" s="253"/>
      <c r="J101" s="253"/>
      <c r="K101" s="253"/>
      <c r="L101" s="253"/>
      <c r="M101" s="253"/>
      <c r="N101" s="253"/>
      <c r="O101" s="253"/>
      <c r="P101" s="253"/>
      <c r="Q101" s="253"/>
      <c r="R101" s="253"/>
      <c r="S101" s="253"/>
      <c r="T101" s="253"/>
      <c r="U101" s="253"/>
      <c r="V101" s="253"/>
      <c r="W101" s="253"/>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5"/>
      <c r="BB101" s="255"/>
      <c r="BC101" s="255"/>
      <c r="BD101" s="255"/>
      <c r="BE101" s="253"/>
      <c r="BF101" s="253"/>
      <c r="BG101" s="253"/>
      <c r="BH101" s="253"/>
      <c r="BI101" s="253"/>
      <c r="BJ101" s="253"/>
      <c r="BK101" s="253"/>
      <c r="BL101" s="253"/>
      <c r="BM101" s="253"/>
      <c r="BN101" s="253"/>
      <c r="BO101" s="253"/>
      <c r="BP101" s="253"/>
      <c r="BQ101" s="253"/>
      <c r="BR101" s="253"/>
      <c r="BS101" s="253"/>
      <c r="BT101" s="253"/>
      <c r="BU101" s="253"/>
      <c r="BV101" s="253"/>
      <c r="BW101" s="232"/>
      <c r="CA101" s="142"/>
      <c r="CB101" s="145" t="str">
        <f t="shared" si="1"/>
        <v>Riadok bude skrytý.</v>
      </c>
      <c r="CW101" s="34"/>
      <c r="CX101" s="106"/>
      <c r="CY101" s="106"/>
      <c r="CZ101" s="106"/>
      <c r="DA101" s="106"/>
      <c r="DS101" s="130">
        <f>SI!BY101</f>
        <v>767</v>
      </c>
      <c r="DZ101" s="131">
        <f>SI!BZ101</f>
        <v>0</v>
      </c>
    </row>
    <row r="102" spans="1:130" ht="18.7" hidden="1" customHeight="1" x14ac:dyDescent="0.25">
      <c r="A102" s="141"/>
      <c r="E102" s="256"/>
      <c r="F102" s="194"/>
      <c r="G102" s="2057"/>
      <c r="H102" s="2057"/>
      <c r="I102" s="2057"/>
      <c r="J102" s="2057"/>
      <c r="K102" s="2057"/>
      <c r="L102" s="2057"/>
      <c r="M102" s="2057"/>
      <c r="N102" s="2057"/>
      <c r="O102" s="2057"/>
      <c r="P102" s="2057"/>
      <c r="Q102" s="2057"/>
      <c r="R102" s="2057"/>
      <c r="S102" s="2057"/>
      <c r="T102" s="2057"/>
      <c r="U102" s="2057"/>
      <c r="V102" s="2057"/>
      <c r="W102" s="2057"/>
      <c r="X102" s="2057"/>
      <c r="Y102" s="2057"/>
      <c r="Z102" s="2057"/>
      <c r="AA102" s="2057"/>
      <c r="AB102" s="2057"/>
      <c r="AC102" s="2057"/>
      <c r="AD102" s="2057"/>
      <c r="AE102" s="2057"/>
      <c r="AF102" s="2057"/>
      <c r="AG102" s="2057"/>
      <c r="AH102" s="2057"/>
      <c r="AI102" s="2057"/>
      <c r="AJ102" s="2057"/>
      <c r="AK102" s="2057"/>
      <c r="AL102" s="194"/>
      <c r="AM102" s="194"/>
      <c r="AN102" s="194"/>
      <c r="AO102" s="257"/>
      <c r="AP102" s="2057"/>
      <c r="AQ102" s="2057"/>
      <c r="AR102" s="2057"/>
      <c r="AS102" s="2057"/>
      <c r="AT102" s="2057"/>
      <c r="AU102" s="2057"/>
      <c r="AV102" s="2057"/>
      <c r="AW102" s="2057"/>
      <c r="AX102" s="2057"/>
      <c r="AY102" s="2057"/>
      <c r="AZ102" s="2057"/>
      <c r="BA102" s="2057"/>
      <c r="BB102" s="2057"/>
      <c r="BC102" s="2057"/>
      <c r="BD102" s="2057"/>
      <c r="BE102" s="2057"/>
      <c r="BF102" s="2057"/>
      <c r="BG102" s="2057"/>
      <c r="BH102" s="2057"/>
      <c r="BI102" s="2057"/>
      <c r="BJ102" s="2057"/>
      <c r="BK102" s="2057"/>
      <c r="BL102" s="2057"/>
      <c r="BM102" s="2057"/>
      <c r="BN102" s="2057"/>
      <c r="BO102" s="2057"/>
      <c r="BP102" s="2057"/>
      <c r="BQ102" s="2057"/>
      <c r="BR102" s="2057"/>
      <c r="BS102" s="2057"/>
      <c r="BT102" s="2057"/>
      <c r="BU102" s="2057"/>
      <c r="BV102" s="194"/>
      <c r="BW102" s="166"/>
      <c r="CA102" s="142"/>
      <c r="CB102" s="145" t="str">
        <f t="shared" si="1"/>
        <v>Riadok bude skrytý.</v>
      </c>
      <c r="CW102" s="34"/>
      <c r="CX102" s="106"/>
      <c r="CY102" s="106"/>
      <c r="CZ102" s="106"/>
      <c r="DA102" s="106"/>
      <c r="DS102" s="130">
        <f>SI!BY102</f>
        <v>941</v>
      </c>
      <c r="DZ102" s="131">
        <f>SI!BZ102</f>
        <v>0</v>
      </c>
    </row>
    <row r="103" spans="1:130" ht="18.7" hidden="1" customHeight="1" x14ac:dyDescent="0.25">
      <c r="A103" s="141"/>
      <c r="E103" s="256"/>
      <c r="F103" s="194"/>
      <c r="G103" s="2057"/>
      <c r="H103" s="2057"/>
      <c r="I103" s="2057"/>
      <c r="J103" s="2057"/>
      <c r="K103" s="2057"/>
      <c r="L103" s="2057"/>
      <c r="M103" s="2057"/>
      <c r="N103" s="2057"/>
      <c r="O103" s="2057"/>
      <c r="P103" s="2057"/>
      <c r="Q103" s="2057"/>
      <c r="R103" s="2057"/>
      <c r="S103" s="2057"/>
      <c r="T103" s="2057"/>
      <c r="U103" s="2057"/>
      <c r="V103" s="2057"/>
      <c r="W103" s="2057"/>
      <c r="X103" s="2057"/>
      <c r="Y103" s="2057"/>
      <c r="Z103" s="2057"/>
      <c r="AA103" s="2057"/>
      <c r="AB103" s="2057"/>
      <c r="AC103" s="2057"/>
      <c r="AD103" s="2057"/>
      <c r="AE103" s="2057"/>
      <c r="AF103" s="2057"/>
      <c r="AG103" s="2057"/>
      <c r="AH103" s="2057"/>
      <c r="AI103" s="2057"/>
      <c r="AJ103" s="2057"/>
      <c r="AK103" s="2057"/>
      <c r="AL103" s="194"/>
      <c r="AM103" s="194"/>
      <c r="AN103" s="194"/>
      <c r="AO103" s="257"/>
      <c r="AP103" s="2057"/>
      <c r="AQ103" s="2057"/>
      <c r="AR103" s="2057"/>
      <c r="AS103" s="2057"/>
      <c r="AT103" s="2057"/>
      <c r="AU103" s="2057"/>
      <c r="AV103" s="2057"/>
      <c r="AW103" s="2057"/>
      <c r="AX103" s="2057"/>
      <c r="AY103" s="2057"/>
      <c r="AZ103" s="2057"/>
      <c r="BA103" s="2057"/>
      <c r="BB103" s="2057"/>
      <c r="BC103" s="2057"/>
      <c r="BD103" s="2057"/>
      <c r="BE103" s="2057"/>
      <c r="BF103" s="2057"/>
      <c r="BG103" s="2057"/>
      <c r="BH103" s="2057"/>
      <c r="BI103" s="2057"/>
      <c r="BJ103" s="2057"/>
      <c r="BK103" s="2057"/>
      <c r="BL103" s="2057"/>
      <c r="BM103" s="2057"/>
      <c r="BN103" s="2057"/>
      <c r="BO103" s="2057"/>
      <c r="BP103" s="2057"/>
      <c r="BQ103" s="2057"/>
      <c r="BR103" s="2057"/>
      <c r="BS103" s="2057"/>
      <c r="BT103" s="2057"/>
      <c r="BU103" s="2057"/>
      <c r="BV103" s="194"/>
      <c r="BW103" s="166"/>
      <c r="CA103" s="142"/>
      <c r="CB103" s="145" t="str">
        <f t="shared" si="1"/>
        <v>Riadok bude skrytý.</v>
      </c>
      <c r="CW103" s="34"/>
      <c r="CX103" s="106"/>
      <c r="CY103" s="106"/>
      <c r="CZ103" s="106"/>
      <c r="DA103" s="106"/>
      <c r="DS103" s="130">
        <f>SI!BY103</f>
        <v>1102</v>
      </c>
      <c r="DZ103" s="131">
        <f>SI!BZ103</f>
        <v>0</v>
      </c>
    </row>
    <row r="104" spans="1:130" ht="18.7" hidden="1" customHeight="1" x14ac:dyDescent="0.25">
      <c r="A104" s="141"/>
      <c r="E104" s="256"/>
      <c r="F104" s="194"/>
      <c r="G104" s="2057"/>
      <c r="H104" s="2057"/>
      <c r="I104" s="2057"/>
      <c r="J104" s="2057"/>
      <c r="K104" s="2057"/>
      <c r="L104" s="2057"/>
      <c r="M104" s="2057"/>
      <c r="N104" s="2057"/>
      <c r="O104" s="2057"/>
      <c r="P104" s="2057"/>
      <c r="Q104" s="2057"/>
      <c r="R104" s="2057"/>
      <c r="S104" s="2057"/>
      <c r="T104" s="2057"/>
      <c r="U104" s="2057"/>
      <c r="V104" s="2057"/>
      <c r="W104" s="2057"/>
      <c r="X104" s="2057"/>
      <c r="Y104" s="2057"/>
      <c r="Z104" s="2057"/>
      <c r="AA104" s="2057"/>
      <c r="AB104" s="2057"/>
      <c r="AC104" s="2057"/>
      <c r="AD104" s="2057"/>
      <c r="AE104" s="2057"/>
      <c r="AF104" s="2057"/>
      <c r="AG104" s="2057"/>
      <c r="AH104" s="2057"/>
      <c r="AI104" s="2057"/>
      <c r="AJ104" s="2057"/>
      <c r="AK104" s="2057"/>
      <c r="AL104" s="194"/>
      <c r="AM104" s="194"/>
      <c r="AN104" s="194"/>
      <c r="AO104" s="257"/>
      <c r="AP104" s="2057"/>
      <c r="AQ104" s="2057"/>
      <c r="AR104" s="2057"/>
      <c r="AS104" s="2057"/>
      <c r="AT104" s="2057"/>
      <c r="AU104" s="2057"/>
      <c r="AV104" s="2057"/>
      <c r="AW104" s="2057"/>
      <c r="AX104" s="2057"/>
      <c r="AY104" s="2057"/>
      <c r="AZ104" s="2057"/>
      <c r="BA104" s="2057"/>
      <c r="BB104" s="2057"/>
      <c r="BC104" s="2057"/>
      <c r="BD104" s="2057"/>
      <c r="BE104" s="2057"/>
      <c r="BF104" s="2057"/>
      <c r="BG104" s="2057"/>
      <c r="BH104" s="2057"/>
      <c r="BI104" s="2057"/>
      <c r="BJ104" s="2057"/>
      <c r="BK104" s="2057"/>
      <c r="BL104" s="2057"/>
      <c r="BM104" s="2057"/>
      <c r="BN104" s="2057"/>
      <c r="BO104" s="2057"/>
      <c r="BP104" s="2057"/>
      <c r="BQ104" s="2057"/>
      <c r="BR104" s="2057"/>
      <c r="BS104" s="2057"/>
      <c r="BT104" s="2057"/>
      <c r="BU104" s="2057"/>
      <c r="BV104" s="194"/>
      <c r="BW104" s="166"/>
      <c r="CA104" s="142"/>
      <c r="CB104" s="145" t="str">
        <f t="shared" si="1"/>
        <v>Riadok bude skrytý.</v>
      </c>
      <c r="CC104" s="258" t="s">
        <v>698</v>
      </c>
      <c r="CD104" s="87" t="s">
        <v>743</v>
      </c>
      <c r="CW104" s="34"/>
      <c r="CX104" s="106"/>
      <c r="CY104" s="106"/>
      <c r="CZ104" s="106"/>
      <c r="DA104" s="106"/>
      <c r="DS104" s="130">
        <f>SI!BY104</f>
        <v>314</v>
      </c>
      <c r="DZ104" s="131">
        <f>SI!BZ104</f>
        <v>0</v>
      </c>
    </row>
    <row r="105" spans="1:130" ht="18.7" hidden="1" customHeight="1" x14ac:dyDescent="0.25">
      <c r="A105" s="141"/>
      <c r="E105" s="256"/>
      <c r="F105" s="194"/>
      <c r="G105" s="2057"/>
      <c r="H105" s="2057"/>
      <c r="I105" s="2057"/>
      <c r="J105" s="2057"/>
      <c r="K105" s="2057"/>
      <c r="L105" s="2057"/>
      <c r="M105" s="2057"/>
      <c r="N105" s="2057"/>
      <c r="O105" s="2057"/>
      <c r="P105" s="2057"/>
      <c r="Q105" s="2057"/>
      <c r="R105" s="2057"/>
      <c r="S105" s="2057"/>
      <c r="T105" s="2057"/>
      <c r="U105" s="2057"/>
      <c r="V105" s="2057"/>
      <c r="W105" s="2057"/>
      <c r="X105" s="2057"/>
      <c r="Y105" s="2057"/>
      <c r="Z105" s="2057"/>
      <c r="AA105" s="2057"/>
      <c r="AB105" s="2057"/>
      <c r="AC105" s="2057"/>
      <c r="AD105" s="2057"/>
      <c r="AE105" s="2057"/>
      <c r="AF105" s="2057"/>
      <c r="AG105" s="2057"/>
      <c r="AH105" s="2057"/>
      <c r="AI105" s="2057"/>
      <c r="AJ105" s="2057"/>
      <c r="AK105" s="2057"/>
      <c r="AL105" s="194"/>
      <c r="AM105" s="194"/>
      <c r="AN105" s="194"/>
      <c r="AO105" s="257"/>
      <c r="AP105" s="2057"/>
      <c r="AQ105" s="2057"/>
      <c r="AR105" s="2057"/>
      <c r="AS105" s="2057"/>
      <c r="AT105" s="2057"/>
      <c r="AU105" s="2057"/>
      <c r="AV105" s="2057"/>
      <c r="AW105" s="2057"/>
      <c r="AX105" s="2057"/>
      <c r="AY105" s="2057"/>
      <c r="AZ105" s="2057"/>
      <c r="BA105" s="2057"/>
      <c r="BB105" s="2057"/>
      <c r="BC105" s="2057"/>
      <c r="BD105" s="2057"/>
      <c r="BE105" s="2057"/>
      <c r="BF105" s="2057"/>
      <c r="BG105" s="2057"/>
      <c r="BH105" s="2057"/>
      <c r="BI105" s="2057"/>
      <c r="BJ105" s="2057"/>
      <c r="BK105" s="2057"/>
      <c r="BL105" s="2057"/>
      <c r="BM105" s="2057"/>
      <c r="BN105" s="2057"/>
      <c r="BO105" s="2057"/>
      <c r="BP105" s="2057"/>
      <c r="BQ105" s="2057"/>
      <c r="BR105" s="2057"/>
      <c r="BS105" s="2057"/>
      <c r="BT105" s="2057"/>
      <c r="BU105" s="2057"/>
      <c r="BV105" s="194"/>
      <c r="BW105" s="166"/>
      <c r="CA105" s="142"/>
      <c r="CB105" s="145" t="str">
        <f t="shared" si="1"/>
        <v>Riadok bude skrytý.</v>
      </c>
      <c r="CC105" s="259" t="s">
        <v>699</v>
      </c>
      <c r="CD105" s="87" t="s">
        <v>996</v>
      </c>
      <c r="CW105" s="34"/>
      <c r="CX105" s="106"/>
      <c r="CY105" s="106"/>
      <c r="CZ105" s="106"/>
      <c r="DA105" s="106"/>
      <c r="DS105" s="130">
        <f>SI!BY105</f>
        <v>738</v>
      </c>
      <c r="DZ105" s="131">
        <f>SI!BZ105</f>
        <v>0</v>
      </c>
    </row>
    <row r="106" spans="1:130" ht="18.7" hidden="1" customHeight="1" x14ac:dyDescent="0.25">
      <c r="A106" s="141"/>
      <c r="E106" s="256"/>
      <c r="F106" s="194"/>
      <c r="G106" s="2057"/>
      <c r="H106" s="2057"/>
      <c r="I106" s="2057"/>
      <c r="J106" s="2057"/>
      <c r="K106" s="2057"/>
      <c r="L106" s="2057"/>
      <c r="M106" s="2057"/>
      <c r="N106" s="2057"/>
      <c r="O106" s="2057"/>
      <c r="P106" s="2057"/>
      <c r="Q106" s="2057"/>
      <c r="R106" s="2057"/>
      <c r="S106" s="2057"/>
      <c r="T106" s="2057"/>
      <c r="U106" s="2057"/>
      <c r="V106" s="2057"/>
      <c r="W106" s="2057"/>
      <c r="X106" s="2057"/>
      <c r="Y106" s="2057"/>
      <c r="Z106" s="2057"/>
      <c r="AA106" s="2057"/>
      <c r="AB106" s="2057"/>
      <c r="AC106" s="2057"/>
      <c r="AD106" s="2057"/>
      <c r="AE106" s="2057"/>
      <c r="AF106" s="2057"/>
      <c r="AG106" s="2057"/>
      <c r="AH106" s="2057"/>
      <c r="AI106" s="2057"/>
      <c r="AJ106" s="2057"/>
      <c r="AK106" s="2057"/>
      <c r="AL106" s="194"/>
      <c r="AM106" s="194"/>
      <c r="AN106" s="194"/>
      <c r="AO106" s="257"/>
      <c r="AP106" s="2057"/>
      <c r="AQ106" s="2057"/>
      <c r="AR106" s="2057"/>
      <c r="AS106" s="2057"/>
      <c r="AT106" s="2057"/>
      <c r="AU106" s="2057"/>
      <c r="AV106" s="2057"/>
      <c r="AW106" s="2057"/>
      <c r="AX106" s="2057"/>
      <c r="AY106" s="2057"/>
      <c r="AZ106" s="2057"/>
      <c r="BA106" s="2057"/>
      <c r="BB106" s="2057"/>
      <c r="BC106" s="2057"/>
      <c r="BD106" s="2057"/>
      <c r="BE106" s="2057"/>
      <c r="BF106" s="2057"/>
      <c r="BG106" s="2057"/>
      <c r="BH106" s="2057"/>
      <c r="BI106" s="2057"/>
      <c r="BJ106" s="2057"/>
      <c r="BK106" s="2057"/>
      <c r="BL106" s="2057"/>
      <c r="BM106" s="2057"/>
      <c r="BN106" s="2057"/>
      <c r="BO106" s="2057"/>
      <c r="BP106" s="2057"/>
      <c r="BQ106" s="2057"/>
      <c r="BR106" s="2057"/>
      <c r="BS106" s="2057"/>
      <c r="BT106" s="2057"/>
      <c r="BU106" s="2057"/>
      <c r="BV106" s="194"/>
      <c r="BW106" s="166"/>
      <c r="CA106" s="142"/>
      <c r="CB106" s="145" t="str">
        <f t="shared" si="1"/>
        <v>Riadok bude skrytý.</v>
      </c>
      <c r="CC106" s="260" t="s">
        <v>698</v>
      </c>
      <c r="CD106" s="87" t="s">
        <v>769</v>
      </c>
      <c r="CW106" s="34"/>
      <c r="CX106" s="106"/>
      <c r="CY106" s="106"/>
      <c r="CZ106" s="106"/>
      <c r="DA106" s="106"/>
      <c r="DS106" s="130">
        <f>SI!BY106</f>
        <v>596</v>
      </c>
      <c r="DZ106" s="131">
        <f>SI!BZ106</f>
        <v>0</v>
      </c>
    </row>
    <row r="107" spans="1:130" ht="18.7" hidden="1" customHeight="1" x14ac:dyDescent="0.25">
      <c r="A107" s="141"/>
      <c r="E107" s="256"/>
      <c r="F107" s="194"/>
      <c r="G107" s="2057"/>
      <c r="H107" s="2057"/>
      <c r="I107" s="2057"/>
      <c r="J107" s="2057"/>
      <c r="K107" s="2057"/>
      <c r="L107" s="2057"/>
      <c r="M107" s="2057"/>
      <c r="N107" s="2057"/>
      <c r="O107" s="2057"/>
      <c r="P107" s="2057"/>
      <c r="Q107" s="2057"/>
      <c r="R107" s="2057"/>
      <c r="S107" s="2057"/>
      <c r="T107" s="2057"/>
      <c r="U107" s="2057"/>
      <c r="V107" s="2057"/>
      <c r="W107" s="2057"/>
      <c r="X107" s="2057"/>
      <c r="Y107" s="2057"/>
      <c r="Z107" s="2057"/>
      <c r="AA107" s="2057"/>
      <c r="AB107" s="2057"/>
      <c r="AC107" s="2057"/>
      <c r="AD107" s="2057"/>
      <c r="AE107" s="2057"/>
      <c r="AF107" s="2057"/>
      <c r="AG107" s="2057"/>
      <c r="AH107" s="2057"/>
      <c r="AI107" s="2057"/>
      <c r="AJ107" s="2057"/>
      <c r="AK107" s="2057"/>
      <c r="AL107" s="194"/>
      <c r="AM107" s="194"/>
      <c r="AN107" s="194"/>
      <c r="AO107" s="257"/>
      <c r="AP107" s="2057"/>
      <c r="AQ107" s="2057"/>
      <c r="AR107" s="2057"/>
      <c r="AS107" s="2057"/>
      <c r="AT107" s="2057"/>
      <c r="AU107" s="2057"/>
      <c r="AV107" s="2057"/>
      <c r="AW107" s="2057"/>
      <c r="AX107" s="2057"/>
      <c r="AY107" s="2057"/>
      <c r="AZ107" s="2057"/>
      <c r="BA107" s="2057"/>
      <c r="BB107" s="2057"/>
      <c r="BC107" s="2057"/>
      <c r="BD107" s="2057"/>
      <c r="BE107" s="2057"/>
      <c r="BF107" s="2057"/>
      <c r="BG107" s="2057"/>
      <c r="BH107" s="2057"/>
      <c r="BI107" s="2057"/>
      <c r="BJ107" s="2057"/>
      <c r="BK107" s="2057"/>
      <c r="BL107" s="2057"/>
      <c r="BM107" s="2057"/>
      <c r="BN107" s="2057"/>
      <c r="BO107" s="2057"/>
      <c r="BP107" s="2057"/>
      <c r="BQ107" s="2057"/>
      <c r="BR107" s="2057"/>
      <c r="BS107" s="2057"/>
      <c r="BT107" s="2057"/>
      <c r="BU107" s="2057"/>
      <c r="BV107" s="194"/>
      <c r="BW107" s="166"/>
      <c r="CA107" s="142"/>
      <c r="CB107" s="145" t="str">
        <f t="shared" si="1"/>
        <v>Riadok bude skrytý.</v>
      </c>
      <c r="CC107" s="112" t="s">
        <v>735</v>
      </c>
      <c r="CD107" s="87" t="s">
        <v>1001</v>
      </c>
      <c r="CW107" s="34"/>
      <c r="CX107" s="106"/>
      <c r="CY107" s="106"/>
      <c r="CZ107" s="106"/>
      <c r="DA107" s="106"/>
      <c r="DS107" s="130">
        <f>SI!BY107</f>
        <v>1115</v>
      </c>
      <c r="DZ107" s="131">
        <f>SI!BZ107</f>
        <v>0</v>
      </c>
    </row>
    <row r="108" spans="1:130" hidden="1" x14ac:dyDescent="0.25">
      <c r="A108" s="141"/>
      <c r="B108" s="57"/>
      <c r="E108" s="261"/>
      <c r="F108" s="162"/>
      <c r="G108" s="961" t="s">
        <v>922</v>
      </c>
      <c r="H108" s="961"/>
      <c r="I108" s="961"/>
      <c r="J108" s="961"/>
      <c r="K108" s="961"/>
      <c r="L108" s="961"/>
      <c r="M108" s="961"/>
      <c r="N108" s="961"/>
      <c r="O108" s="961"/>
      <c r="P108" s="961"/>
      <c r="Q108" s="961"/>
      <c r="R108" s="961"/>
      <c r="S108" s="961"/>
      <c r="T108" s="961"/>
      <c r="U108" s="961"/>
      <c r="V108" s="961"/>
      <c r="W108" s="961"/>
      <c r="X108" s="961"/>
      <c r="Y108" s="961"/>
      <c r="Z108" s="961"/>
      <c r="AA108" s="961"/>
      <c r="AB108" s="961"/>
      <c r="AC108" s="961"/>
      <c r="AD108" s="961"/>
      <c r="AE108" s="961"/>
      <c r="AF108" s="961"/>
      <c r="AG108" s="961"/>
      <c r="AH108" s="961"/>
      <c r="AI108" s="961"/>
      <c r="AJ108" s="961"/>
      <c r="AK108" s="961"/>
      <c r="AL108" s="262"/>
      <c r="AM108" s="262"/>
      <c r="AN108" s="262"/>
      <c r="AO108" s="262"/>
      <c r="AP108" s="961" t="s">
        <v>923</v>
      </c>
      <c r="AQ108" s="961"/>
      <c r="AR108" s="961"/>
      <c r="AS108" s="961"/>
      <c r="AT108" s="961"/>
      <c r="AU108" s="961"/>
      <c r="AV108" s="961"/>
      <c r="AW108" s="961"/>
      <c r="AX108" s="961"/>
      <c r="AY108" s="961"/>
      <c r="AZ108" s="961"/>
      <c r="BA108" s="961"/>
      <c r="BB108" s="961"/>
      <c r="BC108" s="961"/>
      <c r="BD108" s="961"/>
      <c r="BE108" s="961"/>
      <c r="BF108" s="961"/>
      <c r="BG108" s="961"/>
      <c r="BH108" s="961"/>
      <c r="BI108" s="961"/>
      <c r="BJ108" s="961"/>
      <c r="BK108" s="961"/>
      <c r="BL108" s="961"/>
      <c r="BM108" s="961"/>
      <c r="BN108" s="961"/>
      <c r="BO108" s="961"/>
      <c r="BP108" s="961"/>
      <c r="BQ108" s="961"/>
      <c r="BR108" s="961"/>
      <c r="BS108" s="961"/>
      <c r="BT108" s="961"/>
      <c r="BU108" s="961"/>
      <c r="BV108" s="162"/>
      <c r="BW108" s="163"/>
      <c r="BZ108" s="93"/>
      <c r="CA108" s="142"/>
      <c r="CB108" s="145" t="str">
        <f t="shared" si="1"/>
        <v>Riadok bude skrytý.</v>
      </c>
      <c r="CC108" s="263" t="s">
        <v>773</v>
      </c>
      <c r="CD108" s="87" t="s">
        <v>765</v>
      </c>
      <c r="CW108" s="34"/>
      <c r="CX108" s="106"/>
      <c r="CY108" s="106"/>
      <c r="CZ108" s="106"/>
      <c r="DA108" s="106"/>
      <c r="DS108" s="130">
        <f>SI!BY108</f>
        <v>483</v>
      </c>
      <c r="DZ108" s="131">
        <f>SI!BZ108</f>
        <v>0</v>
      </c>
    </row>
    <row r="109" spans="1:130" ht="4.5999999999999996" hidden="1" customHeight="1" x14ac:dyDescent="0.25">
      <c r="A109" s="141"/>
      <c r="B109" s="60"/>
      <c r="C109" s="61"/>
      <c r="D109" s="61"/>
      <c r="E109" s="58"/>
      <c r="F109" s="58"/>
      <c r="G109" s="264"/>
      <c r="H109" s="264"/>
      <c r="I109" s="264"/>
      <c r="J109" s="264"/>
      <c r="K109" s="264"/>
      <c r="L109" s="264"/>
      <c r="M109" s="264"/>
      <c r="N109" s="264"/>
      <c r="O109" s="264"/>
      <c r="P109" s="264"/>
      <c r="Q109" s="264"/>
      <c r="R109" s="264"/>
      <c r="S109" s="264"/>
      <c r="T109" s="264"/>
      <c r="U109" s="264"/>
      <c r="V109" s="264"/>
      <c r="W109" s="264"/>
      <c r="X109" s="264"/>
      <c r="Y109" s="264"/>
      <c r="Z109" s="264"/>
      <c r="AA109" s="264"/>
      <c r="AB109" s="264"/>
      <c r="AC109" s="264"/>
      <c r="AD109" s="264"/>
      <c r="AE109" s="264"/>
      <c r="AF109" s="264"/>
      <c r="AG109" s="264"/>
      <c r="AH109" s="264"/>
      <c r="AI109" s="264"/>
      <c r="AJ109" s="264"/>
      <c r="AK109" s="264"/>
      <c r="AL109" s="264"/>
      <c r="AM109" s="264"/>
      <c r="AN109" s="264"/>
      <c r="AO109" s="264"/>
      <c r="AP109" s="264"/>
      <c r="AQ109" s="264"/>
      <c r="AR109" s="264"/>
      <c r="AS109" s="264"/>
      <c r="AT109" s="264"/>
      <c r="AU109" s="264"/>
      <c r="AV109" s="264"/>
      <c r="AW109" s="264"/>
      <c r="AX109" s="264"/>
      <c r="AY109" s="264"/>
      <c r="AZ109" s="264"/>
      <c r="BA109" s="264"/>
      <c r="BB109" s="264"/>
      <c r="BC109" s="264"/>
      <c r="BD109" s="264"/>
      <c r="BE109" s="264"/>
      <c r="BF109" s="264"/>
      <c r="BG109" s="264"/>
      <c r="BH109" s="264"/>
      <c r="BI109" s="264"/>
      <c r="BJ109" s="264"/>
      <c r="BK109" s="264"/>
      <c r="BL109" s="264"/>
      <c r="BM109" s="264"/>
      <c r="BN109" s="264"/>
      <c r="BO109" s="264"/>
      <c r="BP109" s="264"/>
      <c r="BQ109" s="264"/>
      <c r="BR109" s="264"/>
      <c r="BS109" s="264"/>
      <c r="BT109" s="264"/>
      <c r="BU109" s="58"/>
      <c r="BV109" s="58"/>
      <c r="BW109" s="58"/>
      <c r="BX109" s="61"/>
      <c r="BY109" s="61"/>
      <c r="BZ109" s="98"/>
      <c r="CA109" s="142"/>
      <c r="CB109" s="145" t="str">
        <f t="shared" si="1"/>
        <v>Riadok bude skrytý.</v>
      </c>
      <c r="CW109" s="34"/>
      <c r="CX109" s="106"/>
      <c r="CY109" s="106"/>
      <c r="CZ109" s="106"/>
      <c r="DA109" s="106"/>
      <c r="DS109" s="130">
        <f>SI!BY109</f>
        <v>589</v>
      </c>
      <c r="DZ109" s="131">
        <f>SI!BZ109</f>
        <v>0</v>
      </c>
    </row>
    <row r="110" spans="1:130" ht="13.6" hidden="1" customHeight="1" x14ac:dyDescent="0.25">
      <c r="A110" s="141"/>
      <c r="AV110" s="36" t="s">
        <v>1020</v>
      </c>
      <c r="AZ110" s="36"/>
      <c r="BA110" s="36"/>
      <c r="BB110" s="36"/>
      <c r="BC110" s="36"/>
      <c r="CA110" s="265"/>
      <c r="CB110" s="145" t="str">
        <f t="shared" si="1"/>
        <v>Riadok bude skrytý.</v>
      </c>
      <c r="CW110" s="34"/>
      <c r="CX110" s="106"/>
      <c r="CY110" s="106"/>
      <c r="CZ110" s="106"/>
      <c r="DA110" s="106"/>
      <c r="DS110" s="130">
        <f>SI!BY110</f>
        <v>788</v>
      </c>
      <c r="DZ110" s="131">
        <f>SI!BZ110</f>
        <v>0</v>
      </c>
    </row>
    <row r="111" spans="1:130" ht="13.6" customHeight="1" x14ac:dyDescent="0.25">
      <c r="A111" s="141"/>
      <c r="D111" s="946" t="str">
        <f>+IF(AA35="","Poznámky Úč POD 3-01","Poznámky POD  PÚZ 3-04")</f>
        <v>Poznámky Úč POD 3-01</v>
      </c>
      <c r="E111" s="947"/>
      <c r="F111" s="947"/>
      <c r="G111" s="947"/>
      <c r="H111" s="947"/>
      <c r="I111" s="947"/>
      <c r="J111" s="947"/>
      <c r="K111" s="947"/>
      <c r="L111" s="947"/>
      <c r="M111" s="947"/>
      <c r="N111" s="947"/>
      <c r="O111" s="947"/>
      <c r="P111" s="947"/>
      <c r="Q111" s="947"/>
      <c r="R111" s="947"/>
      <c r="S111" s="947"/>
      <c r="T111" s="948"/>
      <c r="X111" s="137" t="s">
        <v>19</v>
      </c>
      <c r="AB111" s="381">
        <f>+IF(C34="","",C34)</f>
        <v>5</v>
      </c>
      <c r="AC111" s="382"/>
      <c r="AD111" s="381">
        <f>+IF(E34="","",E34)</f>
        <v>0</v>
      </c>
      <c r="AE111" s="382"/>
      <c r="AF111" s="381">
        <f>+IF(G34="","",G34)</f>
        <v>4</v>
      </c>
      <c r="AG111" s="382"/>
      <c r="AH111" s="381">
        <f>+IF(I34="","",I34)</f>
        <v>5</v>
      </c>
      <c r="AI111" s="382"/>
      <c r="AJ111" s="381">
        <f>+IF(K34="","",K34)</f>
        <v>8</v>
      </c>
      <c r="AK111" s="382"/>
      <c r="AL111" s="381">
        <f>+IF(M34="","",M34)</f>
        <v>2</v>
      </c>
      <c r="AM111" s="382"/>
      <c r="AN111" s="381">
        <f>+IF(O34="","",O34)</f>
        <v>7</v>
      </c>
      <c r="AO111" s="383"/>
      <c r="AP111" s="382"/>
      <c r="AQ111" s="381">
        <f>+IF(Q34="","",Q34)</f>
        <v>2</v>
      </c>
      <c r="AR111" s="382"/>
      <c r="AW111" s="36"/>
      <c r="AX111" s="137" t="s">
        <v>936</v>
      </c>
      <c r="AZ111" s="36"/>
      <c r="BA111" s="36"/>
      <c r="BB111" s="381">
        <f>+IF(C24="","",C24)</f>
        <v>2</v>
      </c>
      <c r="BC111" s="382"/>
      <c r="BD111" s="381">
        <f>+IF(E24="","",E24)</f>
        <v>1</v>
      </c>
      <c r="BE111" s="382"/>
      <c r="BF111" s="381">
        <f>+IF(G24="","",G24)</f>
        <v>2</v>
      </c>
      <c r="BG111" s="383"/>
      <c r="BH111" s="382"/>
      <c r="BI111" s="381">
        <f>+IF(I24="","",I24)</f>
        <v>0</v>
      </c>
      <c r="BJ111" s="382"/>
      <c r="BK111" s="381">
        <f>+IF(K24="","",K24)</f>
        <v>3</v>
      </c>
      <c r="BL111" s="382"/>
      <c r="BM111" s="381">
        <f>+IF(M24="","",M24)</f>
        <v>3</v>
      </c>
      <c r="BN111" s="382"/>
      <c r="BO111" s="381">
        <f>+IF(O24="","",O24)</f>
        <v>9</v>
      </c>
      <c r="BP111" s="382"/>
      <c r="BQ111" s="381">
        <f>+IF(Q24="","",Q24)</f>
        <v>0</v>
      </c>
      <c r="BR111" s="382"/>
      <c r="BS111" s="381">
        <f>+IF(S24="","",S24)</f>
        <v>3</v>
      </c>
      <c r="BT111" s="382"/>
      <c r="BU111" s="381">
        <f>+IF(U24="","",U24)</f>
        <v>4</v>
      </c>
      <c r="BV111" s="382"/>
      <c r="CA111" s="265" t="s">
        <v>773</v>
      </c>
      <c r="CB111" s="145" t="s">
        <v>995</v>
      </c>
      <c r="CW111" s="34"/>
      <c r="CX111" s="106"/>
      <c r="CY111" s="106"/>
      <c r="CZ111" s="106"/>
      <c r="DA111" s="106"/>
      <c r="DS111" s="130">
        <f>SI!BY111</f>
        <v>355</v>
      </c>
      <c r="DZ111" s="131">
        <f>SI!BZ111</f>
        <v>0</v>
      </c>
    </row>
    <row r="112" spans="1:130" ht="13.6" customHeight="1" x14ac:dyDescent="0.25">
      <c r="A112" s="266"/>
      <c r="B112" s="58"/>
      <c r="C112" s="58"/>
      <c r="D112" s="102"/>
      <c r="E112" s="102"/>
      <c r="F112" s="102"/>
      <c r="G112" s="102"/>
      <c r="H112" s="102"/>
      <c r="I112" s="102"/>
      <c r="J112" s="102"/>
      <c r="K112" s="102"/>
      <c r="L112" s="102"/>
      <c r="M112" s="102"/>
      <c r="N112" s="102"/>
      <c r="O112" s="102"/>
      <c r="P112" s="102"/>
      <c r="Q112" s="102"/>
      <c r="R112" s="102"/>
      <c r="S112" s="102"/>
      <c r="T112" s="102"/>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104"/>
      <c r="AX112" s="58"/>
      <c r="AY112" s="58"/>
      <c r="AZ112" s="104"/>
      <c r="BA112" s="104"/>
      <c r="BB112" s="103"/>
      <c r="BC112" s="103"/>
      <c r="BD112" s="103"/>
      <c r="BE112" s="103"/>
      <c r="BF112" s="103"/>
      <c r="BG112" s="103"/>
      <c r="BH112" s="103"/>
      <c r="BI112" s="103"/>
      <c r="BJ112" s="103"/>
      <c r="BK112" s="103"/>
      <c r="BL112" s="103"/>
      <c r="BM112" s="103"/>
      <c r="BN112" s="103"/>
      <c r="BO112" s="103"/>
      <c r="BP112" s="103"/>
      <c r="BQ112" s="103"/>
      <c r="BR112" s="103"/>
      <c r="BS112" s="103"/>
      <c r="BT112" s="103"/>
      <c r="BU112" s="103"/>
      <c r="BV112" s="103"/>
      <c r="BW112" s="58"/>
      <c r="BX112" s="58"/>
      <c r="BY112" s="58"/>
      <c r="BZ112" s="58"/>
      <c r="CA112" s="142"/>
      <c r="CB112" s="145" t="s">
        <v>995</v>
      </c>
      <c r="CW112" s="34"/>
      <c r="CX112" s="106"/>
      <c r="CY112" s="106"/>
      <c r="CZ112" s="106"/>
      <c r="DA112" s="106"/>
      <c r="DS112" s="130">
        <f>SI!BY112</f>
        <v>432</v>
      </c>
      <c r="DZ112" s="131">
        <f>SI!BZ112</f>
        <v>0</v>
      </c>
    </row>
    <row r="113" spans="1:130" ht="3.75" customHeight="1" thickBot="1" x14ac:dyDescent="0.3">
      <c r="A113" s="266"/>
      <c r="B113" s="58"/>
      <c r="C113" s="58"/>
      <c r="D113" s="102"/>
      <c r="E113" s="102"/>
      <c r="F113" s="102"/>
      <c r="G113" s="102"/>
      <c r="H113" s="102"/>
      <c r="I113" s="102"/>
      <c r="J113" s="102"/>
      <c r="K113" s="102"/>
      <c r="L113" s="102"/>
      <c r="M113" s="102"/>
      <c r="N113" s="102"/>
      <c r="O113" s="102"/>
      <c r="P113" s="102"/>
      <c r="Q113" s="102"/>
      <c r="R113" s="102"/>
      <c r="S113" s="102"/>
      <c r="T113" s="102"/>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104"/>
      <c r="AX113" s="58"/>
      <c r="AY113" s="58"/>
      <c r="AZ113" s="104"/>
      <c r="BA113" s="104"/>
      <c r="BB113" s="103"/>
      <c r="BC113" s="103"/>
      <c r="BD113" s="103"/>
      <c r="BE113" s="103"/>
      <c r="BF113" s="103"/>
      <c r="BG113" s="103"/>
      <c r="BH113" s="103"/>
      <c r="BI113" s="103"/>
      <c r="BJ113" s="103"/>
      <c r="BK113" s="103"/>
      <c r="BL113" s="103"/>
      <c r="BM113" s="103"/>
      <c r="BN113" s="103"/>
      <c r="BO113" s="103"/>
      <c r="BP113" s="103"/>
      <c r="BQ113" s="103"/>
      <c r="BR113" s="103"/>
      <c r="BS113" s="103"/>
      <c r="BT113" s="103"/>
      <c r="BU113" s="103"/>
      <c r="BV113" s="103"/>
      <c r="BW113" s="58"/>
      <c r="BX113" s="58"/>
      <c r="BY113" s="58"/>
      <c r="BZ113" s="58"/>
      <c r="CA113" s="142"/>
      <c r="CB113" s="267" t="s">
        <v>995</v>
      </c>
      <c r="CW113" s="34"/>
      <c r="CX113" s="106"/>
      <c r="CY113" s="106"/>
      <c r="CZ113" s="106"/>
      <c r="DA113" s="106"/>
      <c r="DS113" s="130">
        <f>SI!BY113</f>
        <v>834</v>
      </c>
      <c r="DZ113" s="131"/>
    </row>
    <row r="114" spans="1:130" ht="17" thickBot="1" x14ac:dyDescent="0.35">
      <c r="A114" s="141"/>
      <c r="B114" s="21"/>
      <c r="C114" s="268"/>
      <c r="D114" s="268"/>
      <c r="E114" s="22" t="s">
        <v>30</v>
      </c>
      <c r="F114" s="268"/>
      <c r="G114" s="125"/>
      <c r="H114" s="22"/>
      <c r="I114" s="268"/>
      <c r="J114" s="268"/>
      <c r="K114" s="268"/>
      <c r="L114" s="268"/>
      <c r="M114" s="268"/>
      <c r="N114" s="268"/>
      <c r="O114" s="268"/>
      <c r="P114" s="268"/>
      <c r="Q114" s="268"/>
      <c r="R114" s="268"/>
      <c r="S114" s="268"/>
      <c r="T114" s="268"/>
      <c r="U114" s="268"/>
      <c r="V114" s="268"/>
      <c r="W114" s="268"/>
      <c r="X114" s="268"/>
      <c r="Y114" s="268"/>
      <c r="Z114" s="268"/>
      <c r="AA114" s="268"/>
      <c r="AB114" s="268"/>
      <c r="AC114" s="268"/>
      <c r="AD114" s="268"/>
      <c r="AE114" s="268"/>
      <c r="AF114" s="268"/>
      <c r="AG114" s="268"/>
      <c r="AH114" s="268"/>
      <c r="AI114" s="268"/>
      <c r="AJ114" s="268"/>
      <c r="AK114" s="932" t="str">
        <f>+SI!J2</f>
        <v>Resumo s.r.o.</v>
      </c>
      <c r="AL114" s="932"/>
      <c r="AM114" s="932"/>
      <c r="AN114" s="932"/>
      <c r="AO114" s="932"/>
      <c r="AP114" s="932"/>
      <c r="AQ114" s="932"/>
      <c r="AR114" s="932"/>
      <c r="AS114" s="932"/>
      <c r="AT114" s="932"/>
      <c r="AU114" s="932"/>
      <c r="AV114" s="932"/>
      <c r="AW114" s="932"/>
      <c r="AX114" s="932"/>
      <c r="AY114" s="932"/>
      <c r="AZ114" s="932"/>
      <c r="BA114" s="932"/>
      <c r="BB114" s="932"/>
      <c r="BC114" s="932"/>
      <c r="BD114" s="932"/>
      <c r="BE114" s="932"/>
      <c r="BF114" s="932"/>
      <c r="BG114" s="932"/>
      <c r="BH114" s="932"/>
      <c r="BI114" s="932"/>
      <c r="BJ114" s="126"/>
      <c r="BK114" s="268" t="s">
        <v>768</v>
      </c>
      <c r="BL114" s="125"/>
      <c r="BM114" s="126"/>
      <c r="BN114" s="129"/>
      <c r="BO114" s="125"/>
      <c r="BP114" s="268"/>
      <c r="BQ114" s="268"/>
      <c r="BR114" s="268"/>
      <c r="BS114" s="268"/>
      <c r="BT114" s="268"/>
      <c r="BU114" s="268"/>
      <c r="BV114" s="268"/>
      <c r="BW114" s="268"/>
      <c r="BX114" s="268"/>
      <c r="BY114" s="268"/>
      <c r="BZ114" s="269"/>
      <c r="CA114" s="265"/>
      <c r="CB114" s="3" t="str">
        <f>+IF(DB114=0,"Riadok bude skrytý.","Riadok bude vidieť.")</f>
        <v>Riadok bude vidieť.</v>
      </c>
      <c r="CW114" s="51">
        <v>1</v>
      </c>
      <c r="CZ114" s="30">
        <f t="shared" ref="CZ114:CZ119" si="2">IF(CC114="",1,IF(CC114="Chcem skryť riadok.",0,1))</f>
        <v>1</v>
      </c>
      <c r="DA114" s="30">
        <f t="shared" ref="DA114:DA125" si="3">+IF(CW114+CX114+CY114=0,0,IF(CZ114=0,0,1))</f>
        <v>1</v>
      </c>
      <c r="DB114" s="140">
        <f>+DA114</f>
        <v>1</v>
      </c>
      <c r="DS114" s="130">
        <f>SI!BY114</f>
        <v>179</v>
      </c>
      <c r="DZ114" s="131">
        <f>SI!BZ114</f>
        <v>0</v>
      </c>
    </row>
    <row r="115" spans="1:130" x14ac:dyDescent="0.25">
      <c r="A115" s="141"/>
      <c r="CA115" s="142"/>
      <c r="CB115" s="3" t="str">
        <f t="shared" ref="CB115:CB178" si="4">+IF(DB115=0,"Riadok bude skrytý.","Riadok bude vidieť.")</f>
        <v>Riadok bude vidieť.</v>
      </c>
      <c r="CW115" s="50">
        <v>1</v>
      </c>
      <c r="CZ115" s="30">
        <f t="shared" si="2"/>
        <v>1</v>
      </c>
      <c r="DA115" s="30">
        <f t="shared" si="3"/>
        <v>1</v>
      </c>
      <c r="DB115" s="140">
        <f t="shared" ref="DB115:DB142" si="5">+DA115</f>
        <v>1</v>
      </c>
      <c r="DS115" s="130">
        <f>SI!BY115</f>
        <v>922</v>
      </c>
      <c r="DZ115" s="131">
        <f>SI!BZ115</f>
        <v>0</v>
      </c>
    </row>
    <row r="116" spans="1:130" x14ac:dyDescent="0.25">
      <c r="A116" s="141"/>
      <c r="B116" s="7" t="s">
        <v>1021</v>
      </c>
      <c r="CA116" s="142"/>
      <c r="CB116" s="3" t="str">
        <f t="shared" si="4"/>
        <v>Riadok bude vidieť.</v>
      </c>
      <c r="CD116" s="137"/>
      <c r="CE116" s="137"/>
      <c r="CW116" s="50">
        <v>1</v>
      </c>
      <c r="CZ116" s="30">
        <f t="shared" si="2"/>
        <v>1</v>
      </c>
      <c r="DA116" s="30">
        <f>+IF(CW116+CX116+CY116=0,0,IF(CZ116=0,0,1))</f>
        <v>1</v>
      </c>
      <c r="DB116" s="140">
        <f t="shared" si="5"/>
        <v>1</v>
      </c>
      <c r="DZ116" s="131"/>
    </row>
    <row r="117" spans="1:130" x14ac:dyDescent="0.25">
      <c r="A117" s="141"/>
      <c r="B117" s="377" t="str">
        <f>+C52&amp;E52&amp;G52&amp;I52&amp;K52&amp;M52&amp;O52&amp;Q52&amp;S52&amp;U52&amp;W52&amp;Y52&amp;AA52&amp;AC52&amp;AE52&amp;AG52&amp;AI52&amp;AK52&amp;AM52&amp;AP52&amp;AR52&amp;AT52&amp;AV52&amp;AX52&amp;AZ52&amp;BB52&amp;BD52&amp;BF52&amp;BI52&amp;BK52&amp;BM52&amp;BO52&amp;BQ52&amp;BS52&amp;BU52&amp;BW52&amp;BY52&amp;C57&amp;E57&amp;G57&amp;I57&amp;K57&amp;M57&amp;O57&amp;Q57&amp;S57&amp;U57&amp;W57&amp;Y57&amp;AA57&amp;AC57&amp;AE57&amp;AG57&amp;AI57&amp;AK57&amp;AM57&amp;AP57&amp;AR57&amp;AT57&amp;AV57&amp;AX57&amp;AZ57&amp;BB57&amp;BD57&amp;BF57&amp;BI57&amp;BK57&amp;BM57&amp;BO57&amp;BQ57&amp;BS57&amp;BU57&amp;BW57&amp;BY57</f>
        <v>Resumo s.r.o.</v>
      </c>
      <c r="C117" s="377"/>
      <c r="D117" s="377"/>
      <c r="E117" s="377"/>
      <c r="F117" s="377"/>
      <c r="G117" s="377"/>
      <c r="H117" s="377"/>
      <c r="I117" s="377"/>
      <c r="J117" s="377"/>
      <c r="K117" s="377"/>
      <c r="L117" s="377"/>
      <c r="M117" s="377"/>
      <c r="N117" s="377"/>
      <c r="O117" s="377"/>
      <c r="P117" s="377"/>
      <c r="Q117" s="377"/>
      <c r="R117" s="377"/>
      <c r="S117" s="377"/>
      <c r="T117" s="377"/>
      <c r="U117" s="377"/>
      <c r="V117" s="377"/>
      <c r="W117" s="377"/>
      <c r="X117" s="377"/>
      <c r="Y117" s="377"/>
      <c r="Z117" s="377"/>
      <c r="AA117" s="377"/>
      <c r="AB117" s="377"/>
      <c r="AC117" s="377"/>
      <c r="AD117" s="377"/>
      <c r="AE117" s="377"/>
      <c r="AF117" s="377"/>
      <c r="AG117" s="377"/>
      <c r="AH117" s="377"/>
      <c r="AI117" s="377"/>
      <c r="AJ117" s="377"/>
      <c r="AK117" s="377"/>
      <c r="AL117" s="377"/>
      <c r="AM117" s="377"/>
      <c r="AN117" s="377"/>
      <c r="AO117" s="377"/>
      <c r="AP117" s="377"/>
      <c r="AQ117" s="377"/>
      <c r="AR117" s="377"/>
      <c r="AS117" s="377"/>
      <c r="AT117" s="377"/>
      <c r="AU117" s="377"/>
      <c r="AV117" s="377"/>
      <c r="AW117" s="377"/>
      <c r="AX117" s="377"/>
      <c r="AY117" s="377"/>
      <c r="AZ117" s="377"/>
      <c r="BA117" s="377"/>
      <c r="BB117" s="377"/>
      <c r="BC117" s="377"/>
      <c r="BD117" s="377"/>
      <c r="BE117" s="377"/>
      <c r="BF117" s="377"/>
      <c r="BG117" s="377"/>
      <c r="BH117" s="377"/>
      <c r="BI117" s="377"/>
      <c r="BJ117" s="377"/>
      <c r="BK117" s="377"/>
      <c r="BL117" s="377"/>
      <c r="BM117" s="377"/>
      <c r="BN117" s="377"/>
      <c r="BO117" s="377"/>
      <c r="BP117" s="377"/>
      <c r="BQ117" s="377"/>
      <c r="BR117" s="377"/>
      <c r="BS117" s="377"/>
      <c r="BT117" s="377"/>
      <c r="BU117" s="377"/>
      <c r="BV117" s="377"/>
      <c r="BW117" s="377"/>
      <c r="BX117" s="377"/>
      <c r="BY117" s="377"/>
      <c r="BZ117" s="377"/>
      <c r="CA117" s="142"/>
      <c r="CB117" s="3" t="str">
        <f t="shared" si="4"/>
        <v>Riadok bude vidieť.</v>
      </c>
      <c r="CW117" s="50">
        <v>1</v>
      </c>
      <c r="CZ117" s="30">
        <f t="shared" si="2"/>
        <v>1</v>
      </c>
      <c r="DA117" s="30">
        <f>+IF(CW117+CX117+CY117=0,0,IF(CZ117=0,0,1))</f>
        <v>1</v>
      </c>
      <c r="DB117" s="140">
        <f t="shared" si="5"/>
        <v>1</v>
      </c>
      <c r="DZ117" s="131"/>
    </row>
    <row r="118" spans="1:130" x14ac:dyDescent="0.25">
      <c r="A118" s="141"/>
      <c r="B118" s="377" t="str">
        <f>C64&amp;E64&amp;G64&amp;I64&amp;K64&amp;M64&amp;O64&amp;Q64&amp;S64&amp;U64&amp;W64&amp;Y64&amp;AA64&amp;AC64&amp;AE64&amp;AG64&amp;AI64&amp;AK64&amp;AM64&amp;AP64&amp;AR64&amp;AT64&amp;AV64&amp;AX64&amp;AZ64&amp;BB64&amp;BD64&amp;BF64&amp;" "&amp;BK64&amp;BM64&amp;BO64&amp;BQ64&amp;BS64&amp;BU64&amp;BW64&amp;BY64&amp;", "&amp;C69&amp;E69&amp;G69&amp;" "&amp;I69&amp;K69&amp;" "&amp;O69&amp;Q69&amp;S69&amp;U69&amp;W69&amp;Y69&amp;AA69&amp;AC69&amp;AE69&amp;AG69&amp;AI69&amp;AK69&amp;AM69&amp;AP69&amp;AR69&amp;AT69&amp;AV69&amp;AX69&amp;AZ69&amp;BB69&amp;BD69&amp;BF69&amp;BI69&amp;BK69&amp;BM69&amp;BO69&amp;BQ69&amp;BS69&amp;BU69&amp;BW69&amp;BY69</f>
        <v>Dolná 19, 974 01 Banská Bystrica</v>
      </c>
      <c r="C118" s="377"/>
      <c r="D118" s="377"/>
      <c r="E118" s="377"/>
      <c r="F118" s="377"/>
      <c r="G118" s="377"/>
      <c r="H118" s="377"/>
      <c r="I118" s="377"/>
      <c r="J118" s="377"/>
      <c r="K118" s="377"/>
      <c r="L118" s="377"/>
      <c r="M118" s="377"/>
      <c r="N118" s="377"/>
      <c r="O118" s="377"/>
      <c r="P118" s="377"/>
      <c r="Q118" s="377"/>
      <c r="R118" s="377"/>
      <c r="S118" s="377"/>
      <c r="T118" s="377"/>
      <c r="U118" s="377"/>
      <c r="V118" s="377"/>
      <c r="W118" s="377"/>
      <c r="X118" s="377"/>
      <c r="Y118" s="377"/>
      <c r="Z118" s="377"/>
      <c r="AA118" s="377"/>
      <c r="AB118" s="377"/>
      <c r="AC118" s="377"/>
      <c r="AD118" s="377"/>
      <c r="AE118" s="377"/>
      <c r="AF118" s="377"/>
      <c r="AG118" s="377"/>
      <c r="AH118" s="377"/>
      <c r="AI118" s="377"/>
      <c r="AJ118" s="377"/>
      <c r="AK118" s="377"/>
      <c r="AL118" s="377"/>
      <c r="AM118" s="377"/>
      <c r="AN118" s="377"/>
      <c r="AO118" s="377"/>
      <c r="AP118" s="377"/>
      <c r="AQ118" s="377"/>
      <c r="AR118" s="377"/>
      <c r="AS118" s="377"/>
      <c r="AT118" s="377"/>
      <c r="AU118" s="377"/>
      <c r="AV118" s="377"/>
      <c r="AW118" s="377"/>
      <c r="AX118" s="377"/>
      <c r="AY118" s="377"/>
      <c r="AZ118" s="377"/>
      <c r="BA118" s="377"/>
      <c r="BB118" s="377"/>
      <c r="BC118" s="377"/>
      <c r="BD118" s="377"/>
      <c r="BE118" s="377"/>
      <c r="BF118" s="377"/>
      <c r="BG118" s="377"/>
      <c r="BH118" s="377"/>
      <c r="BI118" s="377"/>
      <c r="BJ118" s="377"/>
      <c r="BK118" s="377"/>
      <c r="BL118" s="377"/>
      <c r="BM118" s="377"/>
      <c r="BN118" s="377"/>
      <c r="BO118" s="377"/>
      <c r="BP118" s="377"/>
      <c r="BQ118" s="377"/>
      <c r="BR118" s="377"/>
      <c r="BS118" s="377"/>
      <c r="BT118" s="377"/>
      <c r="BU118" s="377"/>
      <c r="BV118" s="377"/>
      <c r="BW118" s="377"/>
      <c r="BX118" s="377"/>
      <c r="BY118" s="377"/>
      <c r="BZ118" s="377"/>
      <c r="CA118" s="142"/>
      <c r="CB118" s="3" t="str">
        <f t="shared" si="4"/>
        <v>Riadok bude vidieť.</v>
      </c>
      <c r="CW118" s="50">
        <v>1</v>
      </c>
      <c r="CZ118" s="30">
        <f t="shared" si="2"/>
        <v>1</v>
      </c>
      <c r="DA118" s="30">
        <f>+IF(CW118+CX118+CY118=0,0,IF(CZ118=0,0,1))</f>
        <v>1</v>
      </c>
      <c r="DB118" s="140">
        <f t="shared" si="5"/>
        <v>1</v>
      </c>
      <c r="DZ118" s="131"/>
    </row>
    <row r="119" spans="1:130" x14ac:dyDescent="0.25">
      <c r="A119" s="141"/>
      <c r="CA119" s="142"/>
      <c r="CB119" s="3" t="str">
        <f t="shared" si="4"/>
        <v>Riadok bude vidieť.</v>
      </c>
      <c r="CW119" s="50">
        <v>1</v>
      </c>
      <c r="CZ119" s="30">
        <f t="shared" si="2"/>
        <v>1</v>
      </c>
      <c r="DA119" s="30">
        <f>+IF(CW119+CX119+CY119=0,0,IF(CZ119=0,0,1))</f>
        <v>1</v>
      </c>
      <c r="DB119" s="140">
        <f t="shared" si="5"/>
        <v>1</v>
      </c>
      <c r="DZ119" s="131"/>
    </row>
    <row r="120" spans="1:130" x14ac:dyDescent="0.25">
      <c r="A120" s="141"/>
      <c r="B120" s="7" t="s">
        <v>1022</v>
      </c>
      <c r="CA120" s="142"/>
      <c r="CB120" s="3" t="str">
        <f t="shared" si="4"/>
        <v>Riadok bude vidieť.</v>
      </c>
      <c r="CW120" s="50">
        <v>1</v>
      </c>
      <c r="CZ120" s="30">
        <f t="shared" ref="CZ120:CZ131" si="6">IF(CC120="",1,IF(CC120="Chcem skryť riadok.",0,1))</f>
        <v>1</v>
      </c>
      <c r="DA120" s="30">
        <f t="shared" si="3"/>
        <v>1</v>
      </c>
      <c r="DB120" s="140">
        <f t="shared" si="5"/>
        <v>1</v>
      </c>
      <c r="DS120" s="130">
        <f>SI!BY120</f>
        <v>1143</v>
      </c>
      <c r="DZ120" s="131">
        <f>SI!BZ120</f>
        <v>0</v>
      </c>
    </row>
    <row r="121" spans="1:130" x14ac:dyDescent="0.25">
      <c r="A121" s="141"/>
      <c r="B121" s="137" t="s">
        <v>762</v>
      </c>
      <c r="AE121" s="385" t="s">
        <v>842</v>
      </c>
      <c r="AF121" s="385"/>
      <c r="AG121" s="385"/>
      <c r="AH121" s="385"/>
      <c r="AI121" s="385"/>
      <c r="AJ121" s="385"/>
      <c r="AK121" s="385"/>
      <c r="AL121" s="385"/>
      <c r="AM121" s="137" t="s">
        <v>763</v>
      </c>
      <c r="CA121" s="142"/>
      <c r="CB121" s="3" t="str">
        <f t="shared" si="4"/>
        <v>Riadok bude vidieť.</v>
      </c>
      <c r="CW121" s="50">
        <v>1</v>
      </c>
      <c r="CZ121" s="30">
        <f t="shared" si="6"/>
        <v>1</v>
      </c>
      <c r="DA121" s="30">
        <f t="shared" si="3"/>
        <v>1</v>
      </c>
      <c r="DB121" s="140">
        <f t="shared" si="5"/>
        <v>1</v>
      </c>
      <c r="DS121" s="130">
        <f>SI!BY121</f>
        <v>111</v>
      </c>
      <c r="DZ121" s="131">
        <f>SI!BZ121</f>
        <v>0</v>
      </c>
    </row>
    <row r="122" spans="1:130" x14ac:dyDescent="0.25">
      <c r="A122" s="141"/>
      <c r="B122" s="137" t="str">
        <f>+IF(AE121="právnická","Spoločnosť bola založená dňa:","")</f>
        <v>Spoločnosť bola založená dňa:</v>
      </c>
      <c r="X122" s="953">
        <v>42579</v>
      </c>
      <c r="Y122" s="953"/>
      <c r="Z122" s="953"/>
      <c r="AA122" s="953"/>
      <c r="AB122" s="953"/>
      <c r="AC122" s="953"/>
      <c r="AD122" s="953"/>
      <c r="AE122" s="953"/>
      <c r="AF122" s="953"/>
      <c r="AG122" s="953"/>
      <c r="AH122" s="953"/>
      <c r="CA122" s="270"/>
      <c r="CB122" s="3" t="str">
        <f t="shared" si="4"/>
        <v>Riadok bude vidieť.</v>
      </c>
      <c r="CC122" s="271" t="s">
        <v>832</v>
      </c>
      <c r="CW122" s="30">
        <f>+IF(AE121="fyzická",0,1)</f>
        <v>1</v>
      </c>
      <c r="CZ122" s="30">
        <f t="shared" si="6"/>
        <v>1</v>
      </c>
      <c r="DA122" s="30">
        <f t="shared" si="3"/>
        <v>1</v>
      </c>
      <c r="DB122" s="140">
        <f t="shared" si="5"/>
        <v>1</v>
      </c>
      <c r="DS122" s="130">
        <f>SI!BY122</f>
        <v>359</v>
      </c>
      <c r="DZ122" s="131">
        <f>SI!BZ122</f>
        <v>0</v>
      </c>
    </row>
    <row r="123" spans="1:130" x14ac:dyDescent="0.25">
      <c r="A123" s="141"/>
      <c r="B123" s="137" t="str">
        <f>+IF(AE121="fyzická","Deň vzniku oprávnenia na podnikateľskú činnosť fyzickej osoby:","Deň zápisu Spoločnosti do obchodného registra vykonaný dňa:")</f>
        <v>Deň zápisu Spoločnosti do obchodného registra vykonaný dňa:</v>
      </c>
      <c r="AW123" s="953">
        <v>42609</v>
      </c>
      <c r="AX123" s="953"/>
      <c r="AY123" s="953"/>
      <c r="AZ123" s="953"/>
      <c r="BA123" s="953"/>
      <c r="BB123" s="953"/>
      <c r="BC123" s="953"/>
      <c r="BD123" s="953"/>
      <c r="BE123" s="953"/>
      <c r="BF123" s="953"/>
      <c r="BG123" s="953"/>
      <c r="BH123" s="953"/>
      <c r="CA123" s="272"/>
      <c r="CB123" s="3" t="str">
        <f t="shared" si="4"/>
        <v>Riadok bude vidieť.</v>
      </c>
      <c r="CC123" s="271" t="s">
        <v>832</v>
      </c>
      <c r="CW123" s="30">
        <f>+IF(AE121="fyzická",1,1)</f>
        <v>1</v>
      </c>
      <c r="CZ123" s="30">
        <f t="shared" si="6"/>
        <v>1</v>
      </c>
      <c r="DA123" s="30">
        <f t="shared" si="3"/>
        <v>1</v>
      </c>
      <c r="DB123" s="140">
        <f t="shared" si="5"/>
        <v>1</v>
      </c>
      <c r="DS123" s="130">
        <f>SI!BY123</f>
        <v>120</v>
      </c>
      <c r="DZ123" s="131">
        <f>SI!BZ123</f>
        <v>0</v>
      </c>
    </row>
    <row r="124" spans="1:130" x14ac:dyDescent="0.25">
      <c r="A124" s="141"/>
      <c r="B124" s="137" t="str">
        <f>+IF(AE121="fyzická","","Obchodný register Okresného súdu v" )</f>
        <v>Obchodný register Okresného súdu v</v>
      </c>
      <c r="AC124" s="954" t="s">
        <v>1058</v>
      </c>
      <c r="AD124" s="954"/>
      <c r="AE124" s="954"/>
      <c r="AF124" s="954"/>
      <c r="AG124" s="954"/>
      <c r="AH124" s="954"/>
      <c r="AI124" s="954"/>
      <c r="AJ124" s="954"/>
      <c r="AK124" s="954"/>
      <c r="AL124" s="954"/>
      <c r="AM124" s="954"/>
      <c r="AN124" s="954"/>
      <c r="AO124" s="954"/>
      <c r="AP124" s="954"/>
      <c r="AQ124" s="12" t="str">
        <f>+IF(AE121="fyzická","",", oddiel" )</f>
        <v>, oddiel</v>
      </c>
      <c r="AS124" s="12"/>
      <c r="AT124" s="12"/>
      <c r="AU124" s="12"/>
      <c r="AV124" s="12"/>
      <c r="AW124" s="936" t="s">
        <v>1059</v>
      </c>
      <c r="AX124" s="936"/>
      <c r="AY124" s="936"/>
      <c r="AZ124" s="936"/>
      <c r="BA124" s="12" t="str">
        <f>+IF(AE121="fyzická","",",vložka" )</f>
        <v>,vložka</v>
      </c>
      <c r="BB124" s="12"/>
      <c r="BC124" s="12"/>
      <c r="BD124" s="12"/>
      <c r="BE124" s="12"/>
      <c r="BG124" s="954" t="s">
        <v>1060</v>
      </c>
      <c r="BH124" s="954"/>
      <c r="BI124" s="954"/>
      <c r="BJ124" s="954"/>
      <c r="BK124" s="954"/>
      <c r="BL124" s="954"/>
      <c r="BM124" s="954"/>
      <c r="BN124" s="954"/>
      <c r="BO124" s="89" t="str">
        <f>+IF(AC121="fyzická","",".")</f>
        <v>.</v>
      </c>
      <c r="CA124" s="272"/>
      <c r="CB124" s="3" t="str">
        <f t="shared" si="4"/>
        <v>Riadok bude vidieť.</v>
      </c>
      <c r="CC124" s="271" t="s">
        <v>832</v>
      </c>
      <c r="CW124" s="30">
        <f>+IF(AE121="fyzická",0,1)</f>
        <v>1</v>
      </c>
      <c r="CZ124" s="30">
        <f t="shared" si="6"/>
        <v>1</v>
      </c>
      <c r="DA124" s="30">
        <f t="shared" si="3"/>
        <v>1</v>
      </c>
      <c r="DB124" s="140">
        <f t="shared" si="5"/>
        <v>1</v>
      </c>
      <c r="DS124" s="130">
        <f>SI!BY124</f>
        <v>1066</v>
      </c>
      <c r="DZ124" s="131">
        <f>SI!BZ124</f>
        <v>0</v>
      </c>
    </row>
    <row r="125" spans="1:130" hidden="1" x14ac:dyDescent="0.25">
      <c r="A125" s="141"/>
      <c r="B125" s="137" t="str">
        <f>+IF(AE121="právnická","","Povolenie na výkon činnosti vydal:")</f>
        <v/>
      </c>
      <c r="CA125" s="270"/>
      <c r="CB125" s="3" t="str">
        <f t="shared" si="4"/>
        <v>Riadok bude skrytý.</v>
      </c>
      <c r="CC125" s="271" t="s">
        <v>832</v>
      </c>
      <c r="CW125" s="30">
        <f>+IF(AE121="právnická",0,1)</f>
        <v>0</v>
      </c>
      <c r="CZ125" s="30">
        <f t="shared" si="6"/>
        <v>1</v>
      </c>
      <c r="DA125" s="30">
        <f t="shared" si="3"/>
        <v>0</v>
      </c>
      <c r="DB125" s="140">
        <f t="shared" si="5"/>
        <v>0</v>
      </c>
      <c r="DS125" s="130">
        <f>SI!BY125</f>
        <v>166</v>
      </c>
      <c r="DZ125" s="131">
        <f>SI!BZ125</f>
        <v>0</v>
      </c>
    </row>
    <row r="126" spans="1:130" hidden="1" x14ac:dyDescent="0.25">
      <c r="A126" s="141"/>
      <c r="B126" s="379"/>
      <c r="C126" s="379"/>
      <c r="D126" s="379"/>
      <c r="E126" s="379"/>
      <c r="F126" s="379"/>
      <c r="G126" s="379"/>
      <c r="H126" s="379"/>
      <c r="I126" s="379"/>
      <c r="J126" s="379"/>
      <c r="K126" s="379"/>
      <c r="L126" s="379"/>
      <c r="M126" s="379"/>
      <c r="N126" s="379"/>
      <c r="O126" s="379"/>
      <c r="P126" s="379"/>
      <c r="Q126" s="379"/>
      <c r="R126" s="379"/>
      <c r="S126" s="379"/>
      <c r="T126" s="379"/>
      <c r="U126" s="379"/>
      <c r="V126" s="379"/>
      <c r="W126" s="379"/>
      <c r="X126" s="379"/>
      <c r="Y126" s="379"/>
      <c r="Z126" s="379"/>
      <c r="AA126" s="379"/>
      <c r="AB126" s="379"/>
      <c r="AC126" s="379"/>
      <c r="AD126" s="379"/>
      <c r="AE126" s="379"/>
      <c r="AF126" s="379"/>
      <c r="AG126" s="379"/>
      <c r="AH126" s="379"/>
      <c r="AI126" s="379"/>
      <c r="AJ126" s="379"/>
      <c r="AK126" s="379"/>
      <c r="AL126" s="379"/>
      <c r="AM126" s="379"/>
      <c r="AN126" s="379"/>
      <c r="AO126" s="379"/>
      <c r="AP126" s="379"/>
      <c r="AQ126" s="379"/>
      <c r="AR126" s="379"/>
      <c r="AS126" s="379"/>
      <c r="AT126" s="379"/>
      <c r="AU126" s="379"/>
      <c r="AV126" s="379"/>
      <c r="AW126" s="379"/>
      <c r="AX126" s="379"/>
      <c r="AY126" s="379"/>
      <c r="AZ126" s="379"/>
      <c r="BA126" s="379"/>
      <c r="BB126" s="379"/>
      <c r="BC126" s="379"/>
      <c r="BD126" s="379"/>
      <c r="BE126" s="379"/>
      <c r="BF126" s="379"/>
      <c r="BG126" s="379"/>
      <c r="BH126" s="379"/>
      <c r="BI126" s="379"/>
      <c r="BJ126" s="379"/>
      <c r="BK126" s="379"/>
      <c r="BL126" s="379"/>
      <c r="BM126" s="379"/>
      <c r="BN126" s="379"/>
      <c r="BO126" s="379"/>
      <c r="BP126" s="379"/>
      <c r="BQ126" s="379"/>
      <c r="BR126" s="379"/>
      <c r="BS126" s="379"/>
      <c r="BT126" s="379"/>
      <c r="BU126" s="379"/>
      <c r="BV126" s="379"/>
      <c r="BW126" s="379"/>
      <c r="BX126" s="379"/>
      <c r="BY126" s="379"/>
      <c r="BZ126" s="379"/>
      <c r="CA126" s="270"/>
      <c r="CB126" s="3" t="str">
        <f t="shared" si="4"/>
        <v>Riadok bude skrytý.</v>
      </c>
      <c r="CC126" s="271" t="s">
        <v>832</v>
      </c>
      <c r="CD126" s="4" t="s">
        <v>1003</v>
      </c>
      <c r="CW126" s="30">
        <f>+IF(AE121="právnická",0,1)</f>
        <v>0</v>
      </c>
      <c r="CZ126" s="30">
        <f t="shared" si="6"/>
        <v>1</v>
      </c>
      <c r="DA126" s="30">
        <f t="shared" ref="DA126:DA173" si="7">+IF(CW126+CX126+CY126=0,0,IF(CZ126=0,0,1))</f>
        <v>0</v>
      </c>
      <c r="DB126" s="140">
        <f t="shared" si="5"/>
        <v>0</v>
      </c>
      <c r="DS126" s="130">
        <f>SI!BY126</f>
        <v>520</v>
      </c>
      <c r="DZ126" s="131">
        <f>SI!BZ126</f>
        <v>0</v>
      </c>
    </row>
    <row r="127" spans="1:130" x14ac:dyDescent="0.25">
      <c r="A127" s="141"/>
      <c r="CA127" s="142"/>
      <c r="CB127" s="3" t="str">
        <f t="shared" si="4"/>
        <v>Riadok bude vidieť.</v>
      </c>
      <c r="CC127" s="271" t="s">
        <v>832</v>
      </c>
      <c r="CW127" s="48">
        <v>1</v>
      </c>
      <c r="CZ127" s="30">
        <f t="shared" si="6"/>
        <v>1</v>
      </c>
      <c r="DA127" s="30">
        <f t="shared" si="7"/>
        <v>1</v>
      </c>
      <c r="DB127" s="140">
        <f t="shared" si="5"/>
        <v>1</v>
      </c>
      <c r="DS127" s="130">
        <f>SI!BY127</f>
        <v>141</v>
      </c>
      <c r="DZ127" s="131">
        <f>SI!BZ127</f>
        <v>0</v>
      </c>
    </row>
    <row r="128" spans="1:130" x14ac:dyDescent="0.25">
      <c r="A128" s="141"/>
      <c r="B128" s="7" t="s">
        <v>860</v>
      </c>
      <c r="CA128" s="142"/>
      <c r="CB128" s="3" t="str">
        <f t="shared" si="4"/>
        <v>Riadok bude vidieť.</v>
      </c>
      <c r="CC128" s="271" t="s">
        <v>832</v>
      </c>
      <c r="CW128" s="48">
        <v>1</v>
      </c>
      <c r="CZ128" s="30">
        <f t="shared" si="6"/>
        <v>1</v>
      </c>
      <c r="DA128" s="30">
        <f t="shared" si="7"/>
        <v>1</v>
      </c>
      <c r="DB128" s="140">
        <f t="shared" si="5"/>
        <v>1</v>
      </c>
      <c r="DS128" s="130">
        <f>SI!BY128</f>
        <v>140</v>
      </c>
      <c r="DZ128" s="131">
        <f>SI!BZ128</f>
        <v>0</v>
      </c>
    </row>
    <row r="129" spans="1:130" ht="14.95" customHeight="1" x14ac:dyDescent="0.25">
      <c r="A129" s="141"/>
      <c r="B129" s="8" t="s">
        <v>31</v>
      </c>
      <c r="C129" s="406" t="s">
        <v>1061</v>
      </c>
      <c r="D129" s="406"/>
      <c r="E129" s="406"/>
      <c r="F129" s="406"/>
      <c r="G129" s="406"/>
      <c r="H129" s="406"/>
      <c r="I129" s="406"/>
      <c r="J129" s="406"/>
      <c r="K129" s="406"/>
      <c r="L129" s="406"/>
      <c r="M129" s="406"/>
      <c r="N129" s="406"/>
      <c r="O129" s="406"/>
      <c r="P129" s="406"/>
      <c r="Q129" s="406"/>
      <c r="R129" s="406"/>
      <c r="S129" s="406"/>
      <c r="T129" s="406"/>
      <c r="U129" s="406"/>
      <c r="V129" s="406"/>
      <c r="W129" s="406"/>
      <c r="X129" s="406"/>
      <c r="Y129" s="406"/>
      <c r="Z129" s="406"/>
      <c r="AA129" s="406"/>
      <c r="AB129" s="406"/>
      <c r="AC129" s="406"/>
      <c r="AD129" s="406"/>
      <c r="AE129" s="406"/>
      <c r="AF129" s="406"/>
      <c r="AG129" s="406"/>
      <c r="AH129" s="406"/>
      <c r="AI129" s="406"/>
      <c r="AJ129" s="406"/>
      <c r="AK129" s="406"/>
      <c r="AL129" s="406"/>
      <c r="AM129" s="406"/>
      <c r="AN129" s="406"/>
      <c r="AO129" s="406"/>
      <c r="AP129" s="406"/>
      <c r="AQ129" s="406"/>
      <c r="AR129" s="406"/>
      <c r="AS129" s="406"/>
      <c r="AT129" s="406"/>
      <c r="AU129" s="406"/>
      <c r="AV129" s="406"/>
      <c r="AW129" s="406"/>
      <c r="AX129" s="406"/>
      <c r="AY129" s="406"/>
      <c r="AZ129" s="406"/>
      <c r="BA129" s="406"/>
      <c r="BB129" s="406"/>
      <c r="BC129" s="406"/>
      <c r="BD129" s="406"/>
      <c r="BE129" s="406"/>
      <c r="BF129" s="406"/>
      <c r="BG129" s="406"/>
      <c r="BH129" s="406"/>
      <c r="BI129" s="406"/>
      <c r="BJ129" s="406"/>
      <c r="BK129" s="406"/>
      <c r="BL129" s="406"/>
      <c r="BM129" s="406"/>
      <c r="BN129" s="406"/>
      <c r="BO129" s="406"/>
      <c r="BP129" s="406"/>
      <c r="BQ129" s="406"/>
      <c r="BR129" s="406"/>
      <c r="BS129" s="406"/>
      <c r="BT129" s="406"/>
      <c r="BU129" s="406"/>
      <c r="BV129" s="406"/>
      <c r="BW129" s="406"/>
      <c r="BX129" s="406"/>
      <c r="BY129" s="406"/>
      <c r="BZ129" s="406"/>
      <c r="CA129" s="270"/>
      <c r="CB129" s="3" t="str">
        <f t="shared" si="4"/>
        <v>Riadok bude vidieť.</v>
      </c>
      <c r="CC129" s="271" t="s">
        <v>832</v>
      </c>
      <c r="CD129" s="4" t="s">
        <v>1004</v>
      </c>
      <c r="CW129" s="50">
        <v>1</v>
      </c>
      <c r="CZ129" s="30">
        <f t="shared" si="6"/>
        <v>1</v>
      </c>
      <c r="DA129" s="30">
        <f t="shared" si="7"/>
        <v>1</v>
      </c>
      <c r="DB129" s="140">
        <f t="shared" si="5"/>
        <v>1</v>
      </c>
      <c r="DS129" s="130">
        <f>SI!BY129</f>
        <v>159</v>
      </c>
      <c r="DZ129" s="131">
        <f>SI!BZ129</f>
        <v>0</v>
      </c>
    </row>
    <row r="130" spans="1:130" hidden="1" x14ac:dyDescent="0.25">
      <c r="A130" s="141"/>
      <c r="B130" s="8" t="s">
        <v>31</v>
      </c>
      <c r="C130" s="406"/>
      <c r="D130" s="406"/>
      <c r="E130" s="406"/>
      <c r="F130" s="406"/>
      <c r="G130" s="406"/>
      <c r="H130" s="406"/>
      <c r="I130" s="406"/>
      <c r="J130" s="406"/>
      <c r="K130" s="406"/>
      <c r="L130" s="406"/>
      <c r="M130" s="406"/>
      <c r="N130" s="406"/>
      <c r="O130" s="406"/>
      <c r="P130" s="406"/>
      <c r="Q130" s="406"/>
      <c r="R130" s="406"/>
      <c r="S130" s="406"/>
      <c r="T130" s="406"/>
      <c r="U130" s="406"/>
      <c r="V130" s="406"/>
      <c r="W130" s="406"/>
      <c r="X130" s="406"/>
      <c r="Y130" s="406"/>
      <c r="Z130" s="406"/>
      <c r="AA130" s="406"/>
      <c r="AB130" s="406"/>
      <c r="AC130" s="406"/>
      <c r="AD130" s="406"/>
      <c r="AE130" s="406"/>
      <c r="AF130" s="406"/>
      <c r="AG130" s="406"/>
      <c r="AH130" s="406"/>
      <c r="AI130" s="406"/>
      <c r="AJ130" s="406"/>
      <c r="AK130" s="406"/>
      <c r="AL130" s="406"/>
      <c r="AM130" s="406"/>
      <c r="AN130" s="406"/>
      <c r="AO130" s="406"/>
      <c r="AP130" s="406"/>
      <c r="AQ130" s="406"/>
      <c r="AR130" s="406"/>
      <c r="AS130" s="406"/>
      <c r="AT130" s="406"/>
      <c r="AU130" s="406"/>
      <c r="AV130" s="406"/>
      <c r="AW130" s="406"/>
      <c r="AX130" s="406"/>
      <c r="AY130" s="406"/>
      <c r="AZ130" s="406"/>
      <c r="BA130" s="406"/>
      <c r="BB130" s="406"/>
      <c r="BC130" s="406"/>
      <c r="BD130" s="406"/>
      <c r="BE130" s="406"/>
      <c r="BF130" s="406"/>
      <c r="BG130" s="406"/>
      <c r="BH130" s="406"/>
      <c r="BI130" s="406"/>
      <c r="BJ130" s="406"/>
      <c r="BK130" s="406"/>
      <c r="BL130" s="406"/>
      <c r="BM130" s="406"/>
      <c r="BN130" s="406"/>
      <c r="BO130" s="406"/>
      <c r="BP130" s="406"/>
      <c r="BQ130" s="406"/>
      <c r="BR130" s="406"/>
      <c r="BS130" s="406"/>
      <c r="BT130" s="406"/>
      <c r="BU130" s="406"/>
      <c r="BV130" s="406"/>
      <c r="BW130" s="406"/>
      <c r="BX130" s="406"/>
      <c r="BY130" s="406"/>
      <c r="BZ130" s="406"/>
      <c r="CA130" s="270"/>
      <c r="CB130" s="3" t="str">
        <f t="shared" si="4"/>
        <v>Riadok bude skrytý.</v>
      </c>
      <c r="CC130" s="271" t="s">
        <v>832</v>
      </c>
      <c r="CW130" s="30">
        <f t="shared" ref="CW130:CW138" si="8">+IF(C130="",0,1)</f>
        <v>0</v>
      </c>
      <c r="CZ130" s="30">
        <f t="shared" si="6"/>
        <v>1</v>
      </c>
      <c r="DA130" s="30">
        <f t="shared" si="7"/>
        <v>0</v>
      </c>
      <c r="DB130" s="140">
        <f t="shared" si="5"/>
        <v>0</v>
      </c>
      <c r="DS130" s="130">
        <f>SI!BY130</f>
        <v>493</v>
      </c>
      <c r="DZ130" s="131">
        <f>SI!BZ130</f>
        <v>0</v>
      </c>
    </row>
    <row r="131" spans="1:130" hidden="1" x14ac:dyDescent="0.25">
      <c r="A131" s="141"/>
      <c r="B131" s="8" t="s">
        <v>31</v>
      </c>
      <c r="C131" s="406"/>
      <c r="D131" s="406"/>
      <c r="E131" s="406"/>
      <c r="F131" s="406"/>
      <c r="G131" s="406"/>
      <c r="H131" s="406"/>
      <c r="I131" s="406"/>
      <c r="J131" s="406"/>
      <c r="K131" s="406"/>
      <c r="L131" s="406"/>
      <c r="M131" s="406"/>
      <c r="N131" s="406"/>
      <c r="O131" s="406"/>
      <c r="P131" s="406"/>
      <c r="Q131" s="406"/>
      <c r="R131" s="406"/>
      <c r="S131" s="406"/>
      <c r="T131" s="406"/>
      <c r="U131" s="406"/>
      <c r="V131" s="406"/>
      <c r="W131" s="406"/>
      <c r="X131" s="406"/>
      <c r="Y131" s="406"/>
      <c r="Z131" s="406"/>
      <c r="AA131" s="406"/>
      <c r="AB131" s="406"/>
      <c r="AC131" s="406"/>
      <c r="AD131" s="406"/>
      <c r="AE131" s="406"/>
      <c r="AF131" s="406"/>
      <c r="AG131" s="406"/>
      <c r="AH131" s="406"/>
      <c r="AI131" s="406"/>
      <c r="AJ131" s="406"/>
      <c r="AK131" s="406"/>
      <c r="AL131" s="406"/>
      <c r="AM131" s="406"/>
      <c r="AN131" s="406"/>
      <c r="AO131" s="406"/>
      <c r="AP131" s="406"/>
      <c r="AQ131" s="406"/>
      <c r="AR131" s="406"/>
      <c r="AS131" s="406"/>
      <c r="AT131" s="406"/>
      <c r="AU131" s="406"/>
      <c r="AV131" s="406"/>
      <c r="AW131" s="406"/>
      <c r="AX131" s="406"/>
      <c r="AY131" s="406"/>
      <c r="AZ131" s="406"/>
      <c r="BA131" s="406"/>
      <c r="BB131" s="406"/>
      <c r="BC131" s="406"/>
      <c r="BD131" s="406"/>
      <c r="BE131" s="406"/>
      <c r="BF131" s="406"/>
      <c r="BG131" s="406"/>
      <c r="BH131" s="406"/>
      <c r="BI131" s="406"/>
      <c r="BJ131" s="406"/>
      <c r="BK131" s="406"/>
      <c r="BL131" s="406"/>
      <c r="BM131" s="406"/>
      <c r="BN131" s="406"/>
      <c r="BO131" s="406"/>
      <c r="BP131" s="406"/>
      <c r="BQ131" s="406"/>
      <c r="BR131" s="406"/>
      <c r="BS131" s="406"/>
      <c r="BT131" s="406"/>
      <c r="BU131" s="406"/>
      <c r="BV131" s="406"/>
      <c r="BW131" s="406"/>
      <c r="BX131" s="406"/>
      <c r="BY131" s="406"/>
      <c r="BZ131" s="406"/>
      <c r="CA131" s="270"/>
      <c r="CB131" s="3" t="str">
        <f t="shared" si="4"/>
        <v>Riadok bude skrytý.</v>
      </c>
      <c r="CC131" s="271" t="s">
        <v>832</v>
      </c>
      <c r="CW131" s="30">
        <f t="shared" si="8"/>
        <v>0</v>
      </c>
      <c r="CZ131" s="30">
        <f t="shared" si="6"/>
        <v>1</v>
      </c>
      <c r="DA131" s="30">
        <f t="shared" si="7"/>
        <v>0</v>
      </c>
      <c r="DB131" s="140">
        <f t="shared" si="5"/>
        <v>0</v>
      </c>
      <c r="DS131" s="130">
        <f>SI!BY131</f>
        <v>186</v>
      </c>
      <c r="DZ131" s="131">
        <f>SI!BZ131</f>
        <v>0</v>
      </c>
    </row>
    <row r="132" spans="1:130" hidden="1" x14ac:dyDescent="0.25">
      <c r="A132" s="141"/>
      <c r="B132" s="8" t="s">
        <v>31</v>
      </c>
      <c r="C132" s="406"/>
      <c r="D132" s="406"/>
      <c r="E132" s="406"/>
      <c r="F132" s="406"/>
      <c r="G132" s="406"/>
      <c r="H132" s="406"/>
      <c r="I132" s="406"/>
      <c r="J132" s="406"/>
      <c r="K132" s="406"/>
      <c r="L132" s="406"/>
      <c r="M132" s="406"/>
      <c r="N132" s="406"/>
      <c r="O132" s="406"/>
      <c r="P132" s="406"/>
      <c r="Q132" s="406"/>
      <c r="R132" s="406"/>
      <c r="S132" s="406"/>
      <c r="T132" s="406"/>
      <c r="U132" s="406"/>
      <c r="V132" s="406"/>
      <c r="W132" s="406"/>
      <c r="X132" s="406"/>
      <c r="Y132" s="406"/>
      <c r="Z132" s="406"/>
      <c r="AA132" s="406"/>
      <c r="AB132" s="406"/>
      <c r="AC132" s="406"/>
      <c r="AD132" s="406"/>
      <c r="AE132" s="406"/>
      <c r="AF132" s="406"/>
      <c r="AG132" s="406"/>
      <c r="AH132" s="406"/>
      <c r="AI132" s="406"/>
      <c r="AJ132" s="406"/>
      <c r="AK132" s="406"/>
      <c r="AL132" s="406"/>
      <c r="AM132" s="406"/>
      <c r="AN132" s="406"/>
      <c r="AO132" s="406"/>
      <c r="AP132" s="406"/>
      <c r="AQ132" s="406"/>
      <c r="AR132" s="406"/>
      <c r="AS132" s="406"/>
      <c r="AT132" s="406"/>
      <c r="AU132" s="406"/>
      <c r="AV132" s="406"/>
      <c r="AW132" s="406"/>
      <c r="AX132" s="406"/>
      <c r="AY132" s="406"/>
      <c r="AZ132" s="406"/>
      <c r="BA132" s="406"/>
      <c r="BB132" s="406"/>
      <c r="BC132" s="406"/>
      <c r="BD132" s="406"/>
      <c r="BE132" s="406"/>
      <c r="BF132" s="406"/>
      <c r="BG132" s="406"/>
      <c r="BH132" s="406"/>
      <c r="BI132" s="406"/>
      <c r="BJ132" s="406"/>
      <c r="BK132" s="406"/>
      <c r="BL132" s="406"/>
      <c r="BM132" s="406"/>
      <c r="BN132" s="406"/>
      <c r="BO132" s="406"/>
      <c r="BP132" s="406"/>
      <c r="BQ132" s="406"/>
      <c r="BR132" s="406"/>
      <c r="BS132" s="406"/>
      <c r="BT132" s="406"/>
      <c r="BU132" s="406"/>
      <c r="BV132" s="406"/>
      <c r="BW132" s="406"/>
      <c r="BX132" s="406"/>
      <c r="BY132" s="406"/>
      <c r="BZ132" s="406"/>
      <c r="CA132" s="270"/>
      <c r="CB132" s="3" t="str">
        <f t="shared" si="4"/>
        <v>Riadok bude skrytý.</v>
      </c>
      <c r="CC132" s="271" t="s">
        <v>832</v>
      </c>
      <c r="CW132" s="30">
        <f t="shared" si="8"/>
        <v>0</v>
      </c>
      <c r="CZ132" s="30">
        <f t="shared" ref="CZ132:CZ196" si="9">IF(CC132="",1,IF(CC132="Chcem skryť riadok.",0,1))</f>
        <v>1</v>
      </c>
      <c r="DA132" s="30">
        <f t="shared" si="7"/>
        <v>0</v>
      </c>
      <c r="DB132" s="140">
        <f t="shared" si="5"/>
        <v>0</v>
      </c>
      <c r="DS132" s="130">
        <f>SI!BY132</f>
        <v>161</v>
      </c>
      <c r="DZ132" s="131">
        <f>SI!BZ132</f>
        <v>0</v>
      </c>
    </row>
    <row r="133" spans="1:130" hidden="1" x14ac:dyDescent="0.25">
      <c r="A133" s="141"/>
      <c r="B133" s="8" t="s">
        <v>31</v>
      </c>
      <c r="C133" s="406"/>
      <c r="D133" s="406"/>
      <c r="E133" s="406"/>
      <c r="F133" s="406"/>
      <c r="G133" s="406"/>
      <c r="H133" s="406"/>
      <c r="I133" s="406"/>
      <c r="J133" s="406"/>
      <c r="K133" s="406"/>
      <c r="L133" s="406"/>
      <c r="M133" s="406"/>
      <c r="N133" s="406"/>
      <c r="O133" s="406"/>
      <c r="P133" s="406"/>
      <c r="Q133" s="406"/>
      <c r="R133" s="406"/>
      <c r="S133" s="406"/>
      <c r="T133" s="406"/>
      <c r="U133" s="406"/>
      <c r="V133" s="406"/>
      <c r="W133" s="406"/>
      <c r="X133" s="406"/>
      <c r="Y133" s="406"/>
      <c r="Z133" s="406"/>
      <c r="AA133" s="406"/>
      <c r="AB133" s="406"/>
      <c r="AC133" s="406"/>
      <c r="AD133" s="406"/>
      <c r="AE133" s="406"/>
      <c r="AF133" s="406"/>
      <c r="AG133" s="406"/>
      <c r="AH133" s="406"/>
      <c r="AI133" s="406"/>
      <c r="AJ133" s="406"/>
      <c r="AK133" s="406"/>
      <c r="AL133" s="406"/>
      <c r="AM133" s="406"/>
      <c r="AN133" s="406"/>
      <c r="AO133" s="406"/>
      <c r="AP133" s="406"/>
      <c r="AQ133" s="406"/>
      <c r="AR133" s="406"/>
      <c r="AS133" s="406"/>
      <c r="AT133" s="406"/>
      <c r="AU133" s="406"/>
      <c r="AV133" s="406"/>
      <c r="AW133" s="406"/>
      <c r="AX133" s="406"/>
      <c r="AY133" s="406"/>
      <c r="AZ133" s="406"/>
      <c r="BA133" s="406"/>
      <c r="BB133" s="406"/>
      <c r="BC133" s="406"/>
      <c r="BD133" s="406"/>
      <c r="BE133" s="406"/>
      <c r="BF133" s="406"/>
      <c r="BG133" s="406"/>
      <c r="BH133" s="406"/>
      <c r="BI133" s="406"/>
      <c r="BJ133" s="406"/>
      <c r="BK133" s="406"/>
      <c r="BL133" s="406"/>
      <c r="BM133" s="406"/>
      <c r="BN133" s="406"/>
      <c r="BO133" s="406"/>
      <c r="BP133" s="406"/>
      <c r="BQ133" s="406"/>
      <c r="BR133" s="406"/>
      <c r="BS133" s="406"/>
      <c r="BT133" s="406"/>
      <c r="BU133" s="406"/>
      <c r="BV133" s="406"/>
      <c r="BW133" s="406"/>
      <c r="BX133" s="406"/>
      <c r="BY133" s="406"/>
      <c r="BZ133" s="406"/>
      <c r="CA133" s="270"/>
      <c r="CB133" s="3" t="str">
        <f t="shared" si="4"/>
        <v>Riadok bude skrytý.</v>
      </c>
      <c r="CC133" s="271" t="s">
        <v>832</v>
      </c>
      <c r="CW133" s="30">
        <f t="shared" si="8"/>
        <v>0</v>
      </c>
      <c r="CZ133" s="30">
        <f t="shared" si="9"/>
        <v>1</v>
      </c>
      <c r="DA133" s="30">
        <f t="shared" si="7"/>
        <v>0</v>
      </c>
      <c r="DB133" s="140">
        <f t="shared" si="5"/>
        <v>0</v>
      </c>
      <c r="DS133" s="130">
        <f>SI!BY133</f>
        <v>9</v>
      </c>
      <c r="DZ133" s="131">
        <f>SI!BZ133</f>
        <v>0</v>
      </c>
    </row>
    <row r="134" spans="1:130" hidden="1" x14ac:dyDescent="0.25">
      <c r="A134" s="141"/>
      <c r="B134" s="8" t="s">
        <v>31</v>
      </c>
      <c r="C134" s="406"/>
      <c r="D134" s="406"/>
      <c r="E134" s="406"/>
      <c r="F134" s="406"/>
      <c r="G134" s="406"/>
      <c r="H134" s="406"/>
      <c r="I134" s="406"/>
      <c r="J134" s="406"/>
      <c r="K134" s="406"/>
      <c r="L134" s="406"/>
      <c r="M134" s="406"/>
      <c r="N134" s="406"/>
      <c r="O134" s="406"/>
      <c r="P134" s="406"/>
      <c r="Q134" s="406"/>
      <c r="R134" s="406"/>
      <c r="S134" s="406"/>
      <c r="T134" s="406"/>
      <c r="U134" s="406"/>
      <c r="V134" s="406"/>
      <c r="W134" s="406"/>
      <c r="X134" s="406"/>
      <c r="Y134" s="406"/>
      <c r="Z134" s="406"/>
      <c r="AA134" s="406"/>
      <c r="AB134" s="406"/>
      <c r="AC134" s="406"/>
      <c r="AD134" s="406"/>
      <c r="AE134" s="406"/>
      <c r="AF134" s="406"/>
      <c r="AG134" s="406"/>
      <c r="AH134" s="406"/>
      <c r="AI134" s="406"/>
      <c r="AJ134" s="406"/>
      <c r="AK134" s="406"/>
      <c r="AL134" s="406"/>
      <c r="AM134" s="406"/>
      <c r="AN134" s="406"/>
      <c r="AO134" s="406"/>
      <c r="AP134" s="406"/>
      <c r="AQ134" s="406"/>
      <c r="AR134" s="406"/>
      <c r="AS134" s="406"/>
      <c r="AT134" s="406"/>
      <c r="AU134" s="406"/>
      <c r="AV134" s="406"/>
      <c r="AW134" s="406"/>
      <c r="AX134" s="406"/>
      <c r="AY134" s="406"/>
      <c r="AZ134" s="406"/>
      <c r="BA134" s="406"/>
      <c r="BB134" s="406"/>
      <c r="BC134" s="406"/>
      <c r="BD134" s="406"/>
      <c r="BE134" s="406"/>
      <c r="BF134" s="406"/>
      <c r="BG134" s="406"/>
      <c r="BH134" s="406"/>
      <c r="BI134" s="406"/>
      <c r="BJ134" s="406"/>
      <c r="BK134" s="406"/>
      <c r="BL134" s="406"/>
      <c r="BM134" s="406"/>
      <c r="BN134" s="406"/>
      <c r="BO134" s="406"/>
      <c r="BP134" s="406"/>
      <c r="BQ134" s="406"/>
      <c r="BR134" s="406"/>
      <c r="BS134" s="406"/>
      <c r="BT134" s="406"/>
      <c r="BU134" s="406"/>
      <c r="BV134" s="406"/>
      <c r="BW134" s="406"/>
      <c r="BX134" s="406"/>
      <c r="BY134" s="406"/>
      <c r="BZ134" s="406"/>
      <c r="CA134" s="270"/>
      <c r="CB134" s="3" t="str">
        <f t="shared" si="4"/>
        <v>Riadok bude skrytý.</v>
      </c>
      <c r="CC134" s="271" t="s">
        <v>832</v>
      </c>
      <c r="CW134" s="30">
        <f t="shared" si="8"/>
        <v>0</v>
      </c>
      <c r="CZ134" s="30">
        <f t="shared" si="9"/>
        <v>1</v>
      </c>
      <c r="DA134" s="30">
        <f t="shared" si="7"/>
        <v>0</v>
      </c>
      <c r="DB134" s="140">
        <f t="shared" si="5"/>
        <v>0</v>
      </c>
      <c r="DS134" s="130">
        <f>SI!BY134</f>
        <v>120</v>
      </c>
      <c r="DZ134" s="131">
        <f>SI!BZ134</f>
        <v>0</v>
      </c>
    </row>
    <row r="135" spans="1:130" hidden="1" x14ac:dyDescent="0.25">
      <c r="A135" s="141"/>
      <c r="B135" s="8" t="s">
        <v>31</v>
      </c>
      <c r="C135" s="406"/>
      <c r="D135" s="406"/>
      <c r="E135" s="406"/>
      <c r="F135" s="406"/>
      <c r="G135" s="406"/>
      <c r="H135" s="406"/>
      <c r="I135" s="406"/>
      <c r="J135" s="406"/>
      <c r="K135" s="406"/>
      <c r="L135" s="406"/>
      <c r="M135" s="406"/>
      <c r="N135" s="406"/>
      <c r="O135" s="406"/>
      <c r="P135" s="406"/>
      <c r="Q135" s="406"/>
      <c r="R135" s="406"/>
      <c r="S135" s="406"/>
      <c r="T135" s="406"/>
      <c r="U135" s="406"/>
      <c r="V135" s="406"/>
      <c r="W135" s="406"/>
      <c r="X135" s="406"/>
      <c r="Y135" s="406"/>
      <c r="Z135" s="406"/>
      <c r="AA135" s="406"/>
      <c r="AB135" s="406"/>
      <c r="AC135" s="406"/>
      <c r="AD135" s="406"/>
      <c r="AE135" s="406"/>
      <c r="AF135" s="406"/>
      <c r="AG135" s="406"/>
      <c r="AH135" s="406"/>
      <c r="AI135" s="406"/>
      <c r="AJ135" s="406"/>
      <c r="AK135" s="406"/>
      <c r="AL135" s="406"/>
      <c r="AM135" s="406"/>
      <c r="AN135" s="406"/>
      <c r="AO135" s="406"/>
      <c r="AP135" s="406"/>
      <c r="AQ135" s="406"/>
      <c r="AR135" s="406"/>
      <c r="AS135" s="406"/>
      <c r="AT135" s="406"/>
      <c r="AU135" s="406"/>
      <c r="AV135" s="406"/>
      <c r="AW135" s="406"/>
      <c r="AX135" s="406"/>
      <c r="AY135" s="406"/>
      <c r="AZ135" s="406"/>
      <c r="BA135" s="406"/>
      <c r="BB135" s="406"/>
      <c r="BC135" s="406"/>
      <c r="BD135" s="406"/>
      <c r="BE135" s="406"/>
      <c r="BF135" s="406"/>
      <c r="BG135" s="406"/>
      <c r="BH135" s="406"/>
      <c r="BI135" s="406"/>
      <c r="BJ135" s="406"/>
      <c r="BK135" s="406"/>
      <c r="BL135" s="406"/>
      <c r="BM135" s="406"/>
      <c r="BN135" s="406"/>
      <c r="BO135" s="406"/>
      <c r="BP135" s="406"/>
      <c r="BQ135" s="406"/>
      <c r="BR135" s="406"/>
      <c r="BS135" s="406"/>
      <c r="BT135" s="406"/>
      <c r="BU135" s="406"/>
      <c r="BV135" s="406"/>
      <c r="BW135" s="406"/>
      <c r="BX135" s="406"/>
      <c r="BY135" s="406"/>
      <c r="BZ135" s="406"/>
      <c r="CA135" s="270"/>
      <c r="CB135" s="3" t="str">
        <f t="shared" si="4"/>
        <v>Riadok bude skrytý.</v>
      </c>
      <c r="CC135" s="271" t="s">
        <v>832</v>
      </c>
      <c r="CW135" s="30">
        <f t="shared" si="8"/>
        <v>0</v>
      </c>
      <c r="CZ135" s="30">
        <f t="shared" si="9"/>
        <v>1</v>
      </c>
      <c r="DA135" s="30">
        <f t="shared" si="7"/>
        <v>0</v>
      </c>
      <c r="DB135" s="140">
        <f t="shared" si="5"/>
        <v>0</v>
      </c>
      <c r="DS135" s="130">
        <f>SI!BY135</f>
        <v>107</v>
      </c>
      <c r="DZ135" s="131">
        <f>SI!BZ135</f>
        <v>0</v>
      </c>
    </row>
    <row r="136" spans="1:130" hidden="1" x14ac:dyDescent="0.25">
      <c r="A136" s="141"/>
      <c r="B136" s="8" t="s">
        <v>31</v>
      </c>
      <c r="C136" s="406"/>
      <c r="D136" s="406"/>
      <c r="E136" s="406"/>
      <c r="F136" s="406"/>
      <c r="G136" s="406"/>
      <c r="H136" s="406"/>
      <c r="I136" s="406"/>
      <c r="J136" s="406"/>
      <c r="K136" s="406"/>
      <c r="L136" s="406"/>
      <c r="M136" s="406"/>
      <c r="N136" s="406"/>
      <c r="O136" s="406"/>
      <c r="P136" s="406"/>
      <c r="Q136" s="406"/>
      <c r="R136" s="406"/>
      <c r="S136" s="406"/>
      <c r="T136" s="406"/>
      <c r="U136" s="406"/>
      <c r="V136" s="406"/>
      <c r="W136" s="406"/>
      <c r="X136" s="406"/>
      <c r="Y136" s="406"/>
      <c r="Z136" s="406"/>
      <c r="AA136" s="406"/>
      <c r="AB136" s="406"/>
      <c r="AC136" s="406"/>
      <c r="AD136" s="406"/>
      <c r="AE136" s="406"/>
      <c r="AF136" s="406"/>
      <c r="AG136" s="406"/>
      <c r="AH136" s="406"/>
      <c r="AI136" s="406"/>
      <c r="AJ136" s="406"/>
      <c r="AK136" s="406"/>
      <c r="AL136" s="406"/>
      <c r="AM136" s="406"/>
      <c r="AN136" s="406"/>
      <c r="AO136" s="406"/>
      <c r="AP136" s="406"/>
      <c r="AQ136" s="406"/>
      <c r="AR136" s="406"/>
      <c r="AS136" s="406"/>
      <c r="AT136" s="406"/>
      <c r="AU136" s="406"/>
      <c r="AV136" s="406"/>
      <c r="AW136" s="406"/>
      <c r="AX136" s="406"/>
      <c r="AY136" s="406"/>
      <c r="AZ136" s="406"/>
      <c r="BA136" s="406"/>
      <c r="BB136" s="406"/>
      <c r="BC136" s="406"/>
      <c r="BD136" s="406"/>
      <c r="BE136" s="406"/>
      <c r="BF136" s="406"/>
      <c r="BG136" s="406"/>
      <c r="BH136" s="406"/>
      <c r="BI136" s="406"/>
      <c r="BJ136" s="406"/>
      <c r="BK136" s="406"/>
      <c r="BL136" s="406"/>
      <c r="BM136" s="406"/>
      <c r="BN136" s="406"/>
      <c r="BO136" s="406"/>
      <c r="BP136" s="406"/>
      <c r="BQ136" s="406"/>
      <c r="BR136" s="406"/>
      <c r="BS136" s="406"/>
      <c r="BT136" s="406"/>
      <c r="BU136" s="406"/>
      <c r="BV136" s="406"/>
      <c r="BW136" s="406"/>
      <c r="BX136" s="406"/>
      <c r="BY136" s="406"/>
      <c r="BZ136" s="406"/>
      <c r="CA136" s="270"/>
      <c r="CB136" s="3" t="str">
        <f t="shared" si="4"/>
        <v>Riadok bude skrytý.</v>
      </c>
      <c r="CC136" s="271" t="s">
        <v>832</v>
      </c>
      <c r="CW136" s="30">
        <f t="shared" si="8"/>
        <v>0</v>
      </c>
      <c r="CZ136" s="30">
        <f t="shared" si="9"/>
        <v>1</v>
      </c>
      <c r="DA136" s="30">
        <f t="shared" si="7"/>
        <v>0</v>
      </c>
      <c r="DB136" s="140">
        <f t="shared" si="5"/>
        <v>0</v>
      </c>
      <c r="DS136" s="130">
        <f>SI!BY136</f>
        <v>540</v>
      </c>
      <c r="DZ136" s="131">
        <f>SI!BZ136</f>
        <v>0</v>
      </c>
    </row>
    <row r="137" spans="1:130" hidden="1" x14ac:dyDescent="0.25">
      <c r="A137" s="141"/>
      <c r="B137" s="8" t="s">
        <v>31</v>
      </c>
      <c r="C137" s="406"/>
      <c r="D137" s="406"/>
      <c r="E137" s="406"/>
      <c r="F137" s="406"/>
      <c r="G137" s="406"/>
      <c r="H137" s="406"/>
      <c r="I137" s="406"/>
      <c r="J137" s="406"/>
      <c r="K137" s="406"/>
      <c r="L137" s="406"/>
      <c r="M137" s="406"/>
      <c r="N137" s="406"/>
      <c r="O137" s="406"/>
      <c r="P137" s="406"/>
      <c r="Q137" s="406"/>
      <c r="R137" s="406"/>
      <c r="S137" s="406"/>
      <c r="T137" s="406"/>
      <c r="U137" s="406"/>
      <c r="V137" s="406"/>
      <c r="W137" s="406"/>
      <c r="X137" s="406"/>
      <c r="Y137" s="406"/>
      <c r="Z137" s="406"/>
      <c r="AA137" s="406"/>
      <c r="AB137" s="406"/>
      <c r="AC137" s="406"/>
      <c r="AD137" s="406"/>
      <c r="AE137" s="406"/>
      <c r="AF137" s="406"/>
      <c r="AG137" s="406"/>
      <c r="AH137" s="406"/>
      <c r="AI137" s="406"/>
      <c r="AJ137" s="406"/>
      <c r="AK137" s="406"/>
      <c r="AL137" s="406"/>
      <c r="AM137" s="406"/>
      <c r="AN137" s="406"/>
      <c r="AO137" s="406"/>
      <c r="AP137" s="406"/>
      <c r="AQ137" s="406"/>
      <c r="AR137" s="406"/>
      <c r="AS137" s="406"/>
      <c r="AT137" s="406"/>
      <c r="AU137" s="406"/>
      <c r="AV137" s="406"/>
      <c r="AW137" s="406"/>
      <c r="AX137" s="406"/>
      <c r="AY137" s="406"/>
      <c r="AZ137" s="406"/>
      <c r="BA137" s="406"/>
      <c r="BB137" s="406"/>
      <c r="BC137" s="406"/>
      <c r="BD137" s="406"/>
      <c r="BE137" s="406"/>
      <c r="BF137" s="406"/>
      <c r="BG137" s="406"/>
      <c r="BH137" s="406"/>
      <c r="BI137" s="406"/>
      <c r="BJ137" s="406"/>
      <c r="BK137" s="406"/>
      <c r="BL137" s="406"/>
      <c r="BM137" s="406"/>
      <c r="BN137" s="406"/>
      <c r="BO137" s="406"/>
      <c r="BP137" s="406"/>
      <c r="BQ137" s="406"/>
      <c r="BR137" s="406"/>
      <c r="BS137" s="406"/>
      <c r="BT137" s="406"/>
      <c r="BU137" s="406"/>
      <c r="BV137" s="406"/>
      <c r="BW137" s="406"/>
      <c r="BX137" s="406"/>
      <c r="BY137" s="406"/>
      <c r="BZ137" s="406"/>
      <c r="CA137" s="270"/>
      <c r="CB137" s="3" t="str">
        <f t="shared" si="4"/>
        <v>Riadok bude skrytý.</v>
      </c>
      <c r="CC137" s="271" t="s">
        <v>832</v>
      </c>
      <c r="CW137" s="30">
        <f t="shared" si="8"/>
        <v>0</v>
      </c>
      <c r="CZ137" s="30">
        <f t="shared" si="9"/>
        <v>1</v>
      </c>
      <c r="DA137" s="30">
        <f t="shared" si="7"/>
        <v>0</v>
      </c>
      <c r="DB137" s="140">
        <f t="shared" si="5"/>
        <v>0</v>
      </c>
      <c r="DS137" s="130">
        <f>SI!BY137</f>
        <v>125</v>
      </c>
      <c r="DZ137" s="131">
        <f>SI!BZ137</f>
        <v>0</v>
      </c>
    </row>
    <row r="138" spans="1:130" hidden="1" x14ac:dyDescent="0.25">
      <c r="A138" s="141"/>
      <c r="B138" s="8" t="s">
        <v>31</v>
      </c>
      <c r="C138" s="406"/>
      <c r="D138" s="406"/>
      <c r="E138" s="406"/>
      <c r="F138" s="406"/>
      <c r="G138" s="406"/>
      <c r="H138" s="406"/>
      <c r="I138" s="406"/>
      <c r="J138" s="406"/>
      <c r="K138" s="406"/>
      <c r="L138" s="406"/>
      <c r="M138" s="406"/>
      <c r="N138" s="406"/>
      <c r="O138" s="406"/>
      <c r="P138" s="406"/>
      <c r="Q138" s="406"/>
      <c r="R138" s="406"/>
      <c r="S138" s="406"/>
      <c r="T138" s="406"/>
      <c r="U138" s="406"/>
      <c r="V138" s="406"/>
      <c r="W138" s="406"/>
      <c r="X138" s="406"/>
      <c r="Y138" s="406"/>
      <c r="Z138" s="406"/>
      <c r="AA138" s="406"/>
      <c r="AB138" s="406"/>
      <c r="AC138" s="406"/>
      <c r="AD138" s="406"/>
      <c r="AE138" s="406"/>
      <c r="AF138" s="406"/>
      <c r="AG138" s="406"/>
      <c r="AH138" s="406"/>
      <c r="AI138" s="406"/>
      <c r="AJ138" s="406"/>
      <c r="AK138" s="406"/>
      <c r="AL138" s="406"/>
      <c r="AM138" s="406"/>
      <c r="AN138" s="406"/>
      <c r="AO138" s="406"/>
      <c r="AP138" s="406"/>
      <c r="AQ138" s="406"/>
      <c r="AR138" s="406"/>
      <c r="AS138" s="406"/>
      <c r="AT138" s="406"/>
      <c r="AU138" s="406"/>
      <c r="AV138" s="406"/>
      <c r="AW138" s="406"/>
      <c r="AX138" s="406"/>
      <c r="AY138" s="406"/>
      <c r="AZ138" s="406"/>
      <c r="BA138" s="406"/>
      <c r="BB138" s="406"/>
      <c r="BC138" s="406"/>
      <c r="BD138" s="406"/>
      <c r="BE138" s="406"/>
      <c r="BF138" s="406"/>
      <c r="BG138" s="406"/>
      <c r="BH138" s="406"/>
      <c r="BI138" s="406"/>
      <c r="BJ138" s="406"/>
      <c r="BK138" s="406"/>
      <c r="BL138" s="406"/>
      <c r="BM138" s="406"/>
      <c r="BN138" s="406"/>
      <c r="BO138" s="406"/>
      <c r="BP138" s="406"/>
      <c r="BQ138" s="406"/>
      <c r="BR138" s="406"/>
      <c r="BS138" s="406"/>
      <c r="BT138" s="406"/>
      <c r="BU138" s="406"/>
      <c r="BV138" s="406"/>
      <c r="BW138" s="406"/>
      <c r="BX138" s="406"/>
      <c r="BY138" s="406"/>
      <c r="BZ138" s="406"/>
      <c r="CA138" s="270"/>
      <c r="CB138" s="3" t="str">
        <f t="shared" si="4"/>
        <v>Riadok bude skrytý.</v>
      </c>
      <c r="CC138" s="271" t="s">
        <v>832</v>
      </c>
      <c r="CW138" s="30">
        <f t="shared" si="8"/>
        <v>0</v>
      </c>
      <c r="CZ138" s="30">
        <f t="shared" si="9"/>
        <v>1</v>
      </c>
      <c r="DA138" s="30">
        <f t="shared" si="7"/>
        <v>0</v>
      </c>
      <c r="DB138" s="140">
        <f t="shared" si="5"/>
        <v>0</v>
      </c>
      <c r="DS138" s="130">
        <f>SI!BY138</f>
        <v>996</v>
      </c>
      <c r="DZ138" s="131">
        <f>SI!BZ138</f>
        <v>0</v>
      </c>
    </row>
    <row r="139" spans="1:130" x14ac:dyDescent="0.25">
      <c r="A139" s="141"/>
      <c r="CA139" s="142"/>
      <c r="CB139" s="3" t="str">
        <f t="shared" si="4"/>
        <v>Riadok bude vidieť.</v>
      </c>
      <c r="CC139" s="271" t="s">
        <v>832</v>
      </c>
      <c r="CW139" s="50">
        <v>1</v>
      </c>
      <c r="CZ139" s="30">
        <f t="shared" si="9"/>
        <v>1</v>
      </c>
      <c r="DA139" s="30">
        <f t="shared" si="7"/>
        <v>1</v>
      </c>
      <c r="DB139" s="140">
        <f t="shared" si="5"/>
        <v>1</v>
      </c>
      <c r="DS139" s="130">
        <f>SI!BY139</f>
        <v>125</v>
      </c>
      <c r="DZ139" s="131">
        <f>SI!BZ139</f>
        <v>0</v>
      </c>
    </row>
    <row r="140" spans="1:130" x14ac:dyDescent="0.25">
      <c r="A140" s="141"/>
      <c r="B140" s="9" t="str">
        <f>+IF($C$52&lt;&gt;"",IF(CODE(MID($C$52,1,1))*0+LEN(SI!J2)=DS140,"Údaje o počte zamestnancov:","NEPOVOLENÉ ÚPOUŽITIE!"),"NEPOVOLENÉ POUŽITIE!")</f>
        <v>Údaje o počte zamestnancov:</v>
      </c>
      <c r="C140" s="1"/>
      <c r="D140" s="1"/>
      <c r="E140" s="1"/>
      <c r="F140" s="1"/>
      <c r="G140" s="1"/>
      <c r="H140" s="1"/>
      <c r="CA140" s="142"/>
      <c r="CB140" s="3" t="str">
        <f t="shared" si="4"/>
        <v>Riadok bude vidieť.</v>
      </c>
      <c r="CC140" s="271" t="s">
        <v>832</v>
      </c>
      <c r="CW140" s="50">
        <v>1</v>
      </c>
      <c r="CZ140" s="30">
        <f t="shared" si="9"/>
        <v>1</v>
      </c>
      <c r="DA140" s="30">
        <f t="shared" si="7"/>
        <v>1</v>
      </c>
      <c r="DB140" s="140">
        <f t="shared" si="5"/>
        <v>1</v>
      </c>
      <c r="DS140" s="130">
        <f>SI!BY140</f>
        <v>13</v>
      </c>
      <c r="DZ140" s="131">
        <f>SI!BZ140</f>
        <v>0</v>
      </c>
    </row>
    <row r="141" spans="1:130" x14ac:dyDescent="0.25">
      <c r="A141" s="141"/>
      <c r="B141" s="1784" t="s">
        <v>171</v>
      </c>
      <c r="C141" s="1785"/>
      <c r="D141" s="1785"/>
      <c r="E141" s="1785"/>
      <c r="F141" s="1785"/>
      <c r="G141" s="1785"/>
      <c r="H141" s="1785"/>
      <c r="I141" s="1785"/>
      <c r="J141" s="1785"/>
      <c r="K141" s="1785"/>
      <c r="L141" s="1785"/>
      <c r="M141" s="1785"/>
      <c r="N141" s="1785"/>
      <c r="O141" s="1785"/>
      <c r="P141" s="1785"/>
      <c r="Q141" s="1785"/>
      <c r="R141" s="1785"/>
      <c r="S141" s="1785"/>
      <c r="T141" s="1785"/>
      <c r="U141" s="1785"/>
      <c r="V141" s="1785"/>
      <c r="W141" s="1785"/>
      <c r="X141" s="1785"/>
      <c r="Y141" s="1785"/>
      <c r="Z141" s="1785"/>
      <c r="AA141" s="1785"/>
      <c r="AB141" s="1785"/>
      <c r="AC141" s="1785"/>
      <c r="AD141" s="1785"/>
      <c r="AE141" s="1785"/>
      <c r="AF141" s="1785"/>
      <c r="AG141" s="1785"/>
      <c r="AH141" s="1785"/>
      <c r="AI141" s="1785"/>
      <c r="AJ141" s="650">
        <f>YEAR(DC4)</f>
        <v>2021</v>
      </c>
      <c r="AK141" s="391"/>
      <c r="AL141" s="391"/>
      <c r="AM141" s="391"/>
      <c r="AN141" s="391"/>
      <c r="AO141" s="391"/>
      <c r="AP141" s="391"/>
      <c r="AQ141" s="391"/>
      <c r="AR141" s="391"/>
      <c r="AS141" s="391"/>
      <c r="AT141" s="391"/>
      <c r="AU141" s="391"/>
      <c r="AV141" s="391"/>
      <c r="AW141" s="391"/>
      <c r="AX141" s="391"/>
      <c r="AY141" s="391"/>
      <c r="AZ141" s="391"/>
      <c r="BA141" s="391"/>
      <c r="BB141" s="391"/>
      <c r="BC141" s="391"/>
      <c r="BD141" s="391"/>
      <c r="BE141" s="650">
        <v>2020</v>
      </c>
      <c r="BF141" s="391"/>
      <c r="BG141" s="391"/>
      <c r="BH141" s="391"/>
      <c r="BI141" s="391"/>
      <c r="BJ141" s="391"/>
      <c r="BK141" s="391"/>
      <c r="BL141" s="391"/>
      <c r="BM141" s="391"/>
      <c r="BN141" s="391"/>
      <c r="BO141" s="391"/>
      <c r="BP141" s="391"/>
      <c r="BQ141" s="391"/>
      <c r="BR141" s="391"/>
      <c r="BS141" s="391"/>
      <c r="BT141" s="391"/>
      <c r="BU141" s="391"/>
      <c r="BV141" s="391"/>
      <c r="BW141" s="391"/>
      <c r="BX141" s="391"/>
      <c r="BY141" s="391"/>
      <c r="BZ141" s="392"/>
      <c r="CA141" s="142"/>
      <c r="CB141" s="3" t="str">
        <f t="shared" si="4"/>
        <v>Riadok bude vidieť.</v>
      </c>
      <c r="CC141" s="271" t="s">
        <v>832</v>
      </c>
      <c r="CD141" s="4"/>
      <c r="CE141" s="33"/>
      <c r="CW141" s="50">
        <v>1</v>
      </c>
      <c r="CZ141" s="30">
        <f t="shared" si="9"/>
        <v>1</v>
      </c>
      <c r="DA141" s="30">
        <f t="shared" si="7"/>
        <v>1</v>
      </c>
      <c r="DB141" s="140">
        <f t="shared" si="5"/>
        <v>1</v>
      </c>
      <c r="DS141" s="130">
        <f>SI!BY141</f>
        <v>176</v>
      </c>
      <c r="DZ141" s="131">
        <f>SI!BZ141</f>
        <v>0</v>
      </c>
    </row>
    <row r="142" spans="1:130" x14ac:dyDescent="0.25">
      <c r="A142" s="141"/>
      <c r="B142" s="1422" t="str">
        <f>+IF(LEN(SI!J2)=Poznamky_k_UZ!DZ142,"Priemerný prepočítaný počet zamestnancov","")</f>
        <v>Priemerný prepočítaný počet zamestnancov</v>
      </c>
      <c r="C142" s="1423"/>
      <c r="D142" s="1423"/>
      <c r="E142" s="1423"/>
      <c r="F142" s="1423"/>
      <c r="G142" s="1423"/>
      <c r="H142" s="1423"/>
      <c r="I142" s="1423"/>
      <c r="J142" s="1423"/>
      <c r="K142" s="1423"/>
      <c r="L142" s="1423"/>
      <c r="M142" s="1423"/>
      <c r="N142" s="1423"/>
      <c r="O142" s="1423"/>
      <c r="P142" s="1423"/>
      <c r="Q142" s="1423"/>
      <c r="R142" s="1423"/>
      <c r="S142" s="1423"/>
      <c r="T142" s="1423"/>
      <c r="U142" s="1423"/>
      <c r="V142" s="1423"/>
      <c r="W142" s="1423"/>
      <c r="X142" s="1423"/>
      <c r="Y142" s="1423"/>
      <c r="Z142" s="1423"/>
      <c r="AA142" s="1423"/>
      <c r="AB142" s="1423"/>
      <c r="AC142" s="1423"/>
      <c r="AD142" s="1423"/>
      <c r="AE142" s="1423"/>
      <c r="AF142" s="1423"/>
      <c r="AG142" s="1423"/>
      <c r="AH142" s="1423"/>
      <c r="AI142" s="1423"/>
      <c r="AJ142" s="417"/>
      <c r="AK142" s="418"/>
      <c r="AL142" s="418"/>
      <c r="AM142" s="418"/>
      <c r="AN142" s="418"/>
      <c r="AO142" s="418"/>
      <c r="AP142" s="418"/>
      <c r="AQ142" s="418"/>
      <c r="AR142" s="418"/>
      <c r="AS142" s="418"/>
      <c r="AT142" s="418"/>
      <c r="AU142" s="418"/>
      <c r="AV142" s="418"/>
      <c r="AW142" s="418"/>
      <c r="AX142" s="418"/>
      <c r="AY142" s="418"/>
      <c r="AZ142" s="418"/>
      <c r="BA142" s="418"/>
      <c r="BB142" s="418"/>
      <c r="BC142" s="418"/>
      <c r="BD142" s="419"/>
      <c r="BE142" s="417">
        <v>1</v>
      </c>
      <c r="BF142" s="418"/>
      <c r="BG142" s="418"/>
      <c r="BH142" s="418"/>
      <c r="BI142" s="418"/>
      <c r="BJ142" s="418"/>
      <c r="BK142" s="418"/>
      <c r="BL142" s="418"/>
      <c r="BM142" s="418"/>
      <c r="BN142" s="418"/>
      <c r="BO142" s="418"/>
      <c r="BP142" s="418"/>
      <c r="BQ142" s="418"/>
      <c r="BR142" s="418"/>
      <c r="BS142" s="418"/>
      <c r="BT142" s="418"/>
      <c r="BU142" s="418"/>
      <c r="BV142" s="418"/>
      <c r="BW142" s="418"/>
      <c r="BX142" s="418"/>
      <c r="BY142" s="418"/>
      <c r="BZ142" s="419"/>
      <c r="CA142" s="142"/>
      <c r="CB142" s="3" t="str">
        <f t="shared" si="4"/>
        <v>Riadok bude vidieť.</v>
      </c>
      <c r="CC142" s="271" t="s">
        <v>832</v>
      </c>
      <c r="CW142" s="50">
        <v>1</v>
      </c>
      <c r="CZ142" s="30">
        <f t="shared" si="9"/>
        <v>1</v>
      </c>
      <c r="DA142" s="30">
        <f t="shared" si="7"/>
        <v>1</v>
      </c>
      <c r="DB142" s="140">
        <f t="shared" si="5"/>
        <v>1</v>
      </c>
      <c r="DS142" s="130">
        <f>SI!BY142</f>
        <v>471</v>
      </c>
      <c r="DZ142" s="131">
        <f>SI!BZ142</f>
        <v>13</v>
      </c>
    </row>
    <row r="143" spans="1:130" hidden="1" x14ac:dyDescent="0.25">
      <c r="A143" s="141"/>
      <c r="B143" s="1424" t="str">
        <f>+IF(LEN(SI!J2)=Poznamky_k_UZ!DZ143,"Stav zamestnancov ku dňu","")</f>
        <v>Stav zamestnancov ku dňu</v>
      </c>
      <c r="C143" s="1425"/>
      <c r="D143" s="1425"/>
      <c r="E143" s="1425"/>
      <c r="F143" s="1425"/>
      <c r="G143" s="1425"/>
      <c r="H143" s="1425"/>
      <c r="I143" s="1425"/>
      <c r="J143" s="1425"/>
      <c r="K143" s="1425"/>
      <c r="L143" s="1425"/>
      <c r="M143" s="1425"/>
      <c r="N143" s="1425"/>
      <c r="O143" s="1425"/>
      <c r="P143" s="1425"/>
      <c r="Q143" s="1425"/>
      <c r="R143" s="1425"/>
      <c r="S143" s="1425"/>
      <c r="T143" s="1425"/>
      <c r="U143" s="1425"/>
      <c r="V143" s="138"/>
      <c r="W143" s="138"/>
      <c r="X143" s="138"/>
      <c r="Y143" s="1417" t="s">
        <v>437</v>
      </c>
      <c r="Z143" s="1417"/>
      <c r="AA143" s="1417"/>
      <c r="AB143" s="1417"/>
      <c r="AC143" s="1417"/>
      <c r="AD143" s="1417"/>
      <c r="AE143" s="1417"/>
      <c r="AF143" s="1417"/>
      <c r="AG143" s="1417"/>
      <c r="AH143" s="123"/>
      <c r="AI143" s="273"/>
      <c r="AJ143" s="511"/>
      <c r="AK143" s="482"/>
      <c r="AL143" s="482"/>
      <c r="AM143" s="482"/>
      <c r="AN143" s="482"/>
      <c r="AO143" s="482"/>
      <c r="AP143" s="482"/>
      <c r="AQ143" s="482"/>
      <c r="AR143" s="482"/>
      <c r="AS143" s="482"/>
      <c r="AT143" s="482"/>
      <c r="AU143" s="482"/>
      <c r="AV143" s="482"/>
      <c r="AW143" s="482"/>
      <c r="AX143" s="482"/>
      <c r="AY143" s="482"/>
      <c r="AZ143" s="482"/>
      <c r="BA143" s="482"/>
      <c r="BB143" s="482"/>
      <c r="BC143" s="482"/>
      <c r="BD143" s="483"/>
      <c r="BE143" s="511"/>
      <c r="BF143" s="482"/>
      <c r="BG143" s="482"/>
      <c r="BH143" s="482"/>
      <c r="BI143" s="482"/>
      <c r="BJ143" s="482"/>
      <c r="BK143" s="482"/>
      <c r="BL143" s="482"/>
      <c r="BM143" s="482"/>
      <c r="BN143" s="482"/>
      <c r="BO143" s="482"/>
      <c r="BP143" s="482"/>
      <c r="BQ143" s="482"/>
      <c r="BR143" s="482"/>
      <c r="BS143" s="482"/>
      <c r="BT143" s="482"/>
      <c r="BU143" s="482"/>
      <c r="BV143" s="482"/>
      <c r="BW143" s="482"/>
      <c r="BX143" s="482"/>
      <c r="BY143" s="482"/>
      <c r="BZ143" s="483"/>
      <c r="CA143" s="142"/>
      <c r="CB143" s="3" t="str">
        <f t="shared" si="4"/>
        <v>Riadok bude skrytý.</v>
      </c>
      <c r="CC143" s="271" t="s">
        <v>832</v>
      </c>
      <c r="CW143" s="50">
        <v>1</v>
      </c>
      <c r="CZ143" s="30">
        <f t="shared" si="9"/>
        <v>1</v>
      </c>
      <c r="DA143" s="30">
        <f t="shared" si="7"/>
        <v>1</v>
      </c>
      <c r="DB143" s="2">
        <f>+IF($CD$1="malé",0,DA143)</f>
        <v>0</v>
      </c>
      <c r="DS143" s="130">
        <f>SI!BY143</f>
        <v>160</v>
      </c>
      <c r="DZ143" s="131">
        <f>SI!BZ143</f>
        <v>13</v>
      </c>
    </row>
    <row r="144" spans="1:130" hidden="1" x14ac:dyDescent="0.25">
      <c r="A144" s="141"/>
      <c r="B144" s="707" t="str">
        <f>+IF(LEN(SI!J2)=Poznamky_k_UZ!DZ144,"počet vedúcich zamestnancov","")</f>
        <v>počet vedúcich zamestnancov</v>
      </c>
      <c r="C144" s="708"/>
      <c r="D144" s="708"/>
      <c r="E144" s="708"/>
      <c r="F144" s="708"/>
      <c r="G144" s="708"/>
      <c r="H144" s="708"/>
      <c r="I144" s="708"/>
      <c r="J144" s="708"/>
      <c r="K144" s="708"/>
      <c r="L144" s="708"/>
      <c r="M144" s="708"/>
      <c r="N144" s="708"/>
      <c r="O144" s="708"/>
      <c r="P144" s="708"/>
      <c r="Q144" s="708"/>
      <c r="R144" s="708"/>
      <c r="S144" s="708"/>
      <c r="T144" s="708"/>
      <c r="U144" s="708"/>
      <c r="V144" s="708"/>
      <c r="W144" s="708"/>
      <c r="X144" s="708"/>
      <c r="Y144" s="708"/>
      <c r="Z144" s="708"/>
      <c r="AA144" s="708"/>
      <c r="AB144" s="708"/>
      <c r="AC144" s="708"/>
      <c r="AD144" s="708"/>
      <c r="AE144" s="708"/>
      <c r="AF144" s="708"/>
      <c r="AG144" s="708"/>
      <c r="AH144" s="708"/>
      <c r="AI144" s="708"/>
      <c r="AJ144" s="454"/>
      <c r="AK144" s="455"/>
      <c r="AL144" s="455"/>
      <c r="AM144" s="455"/>
      <c r="AN144" s="455"/>
      <c r="AO144" s="455"/>
      <c r="AP144" s="455"/>
      <c r="AQ144" s="455"/>
      <c r="AR144" s="455"/>
      <c r="AS144" s="455"/>
      <c r="AT144" s="455"/>
      <c r="AU144" s="455"/>
      <c r="AV144" s="455"/>
      <c r="AW144" s="455"/>
      <c r="AX144" s="455"/>
      <c r="AY144" s="455"/>
      <c r="AZ144" s="455"/>
      <c r="BA144" s="455"/>
      <c r="BB144" s="455"/>
      <c r="BC144" s="455"/>
      <c r="BD144" s="456"/>
      <c r="BE144" s="454"/>
      <c r="BF144" s="455"/>
      <c r="BG144" s="455"/>
      <c r="BH144" s="455"/>
      <c r="BI144" s="455"/>
      <c r="BJ144" s="455"/>
      <c r="BK144" s="455"/>
      <c r="BL144" s="455"/>
      <c r="BM144" s="455"/>
      <c r="BN144" s="455"/>
      <c r="BO144" s="455"/>
      <c r="BP144" s="455"/>
      <c r="BQ144" s="455"/>
      <c r="BR144" s="455"/>
      <c r="BS144" s="455"/>
      <c r="BT144" s="455"/>
      <c r="BU144" s="455"/>
      <c r="BV144" s="455"/>
      <c r="BW144" s="455"/>
      <c r="BX144" s="455"/>
      <c r="BY144" s="455"/>
      <c r="BZ144" s="456"/>
      <c r="CA144" s="142"/>
      <c r="CB144" s="3" t="str">
        <f t="shared" si="4"/>
        <v>Riadok bude skrytý.</v>
      </c>
      <c r="CC144" s="271" t="s">
        <v>832</v>
      </c>
      <c r="CW144" s="50">
        <v>1</v>
      </c>
      <c r="CZ144" s="30">
        <f t="shared" si="9"/>
        <v>1</v>
      </c>
      <c r="DA144" s="30">
        <f t="shared" si="7"/>
        <v>1</v>
      </c>
      <c r="DB144" s="2">
        <f t="shared" ref="DB144:DB152" si="10">+IF($CD$1="malé",0,DA144)</f>
        <v>0</v>
      </c>
      <c r="DS144" s="130">
        <f>SI!BY144</f>
        <v>472</v>
      </c>
      <c r="DZ144" s="131">
        <f>SI!BZ144</f>
        <v>13</v>
      </c>
    </row>
    <row r="145" spans="1:130" hidden="1" x14ac:dyDescent="0.25">
      <c r="A145" s="141"/>
      <c r="CA145" s="142"/>
      <c r="CB145" s="3" t="str">
        <f t="shared" si="4"/>
        <v>Riadok bude skrytý.</v>
      </c>
      <c r="CC145" s="271" t="s">
        <v>832</v>
      </c>
      <c r="CW145" s="50">
        <v>1</v>
      </c>
      <c r="CZ145" s="30">
        <f t="shared" si="9"/>
        <v>1</v>
      </c>
      <c r="DA145" s="30">
        <f t="shared" si="7"/>
        <v>1</v>
      </c>
      <c r="DB145" s="2">
        <f t="shared" si="10"/>
        <v>0</v>
      </c>
      <c r="DS145" s="130">
        <f>SI!BY145</f>
        <v>197</v>
      </c>
      <c r="DZ145" s="131">
        <f>SI!BZ145</f>
        <v>0</v>
      </c>
    </row>
    <row r="146" spans="1:130" hidden="1" x14ac:dyDescent="0.25">
      <c r="A146" s="141"/>
      <c r="B146" s="7" t="s">
        <v>32</v>
      </c>
      <c r="CA146" s="142"/>
      <c r="CB146" s="3" t="str">
        <f t="shared" si="4"/>
        <v>Riadok bude skrytý.</v>
      </c>
      <c r="CC146" s="271" t="s">
        <v>832</v>
      </c>
      <c r="CW146" s="50">
        <v>1</v>
      </c>
      <c r="CZ146" s="30">
        <f t="shared" si="9"/>
        <v>1</v>
      </c>
      <c r="DA146" s="30">
        <f t="shared" si="7"/>
        <v>1</v>
      </c>
      <c r="DB146" s="2">
        <f t="shared" si="10"/>
        <v>0</v>
      </c>
      <c r="DS146" s="130">
        <f>SI!BY146</f>
        <v>131</v>
      </c>
      <c r="DZ146" s="131">
        <f>SI!BZ146</f>
        <v>0</v>
      </c>
    </row>
    <row r="147" spans="1:130" ht="14.95" hidden="1" customHeight="1" x14ac:dyDescent="0.25">
      <c r="A147" s="141"/>
      <c r="B147" s="10" t="s">
        <v>96</v>
      </c>
      <c r="G147" s="11"/>
      <c r="H147" s="11"/>
      <c r="I147" s="11"/>
      <c r="J147" s="11"/>
      <c r="K147" s="380" t="s">
        <v>1011</v>
      </c>
      <c r="L147" s="380"/>
      <c r="M147" s="380"/>
      <c r="N147" s="380"/>
      <c r="O147" s="380"/>
      <c r="P147" s="380"/>
      <c r="Q147" s="10" t="str">
        <f>+IF($E$52&lt;&gt;"",IF(ROUNDDOWN(CODE(MID($E$52,1,1))/10,0)*SI!EE147+(LEN(SI!J2)+2)=DS147,"neobmedzene ručiacim spoločníkom v iných spoločnostiach.","NEPOVOLENÉ POUŽITIE!"),"NEPOVOLENÉ POUŽITIE!")</f>
        <v>neobmedzene ručiacim spoločníkom v iných spoločnostiach.</v>
      </c>
      <c r="R147" s="10"/>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J147" s="137" t="str">
        <f>+IF(K147="je","Ide o ručenie v:","")</f>
        <v/>
      </c>
      <c r="BK147" s="11"/>
      <c r="BL147" s="11"/>
      <c r="BO147" s="11"/>
      <c r="BP147" s="11"/>
      <c r="BQ147" s="11"/>
      <c r="BR147" s="11"/>
      <c r="BS147" s="11"/>
      <c r="BT147" s="11"/>
      <c r="BU147" s="11"/>
      <c r="BV147" s="11"/>
      <c r="BW147" s="11"/>
      <c r="BX147" s="11"/>
      <c r="BY147" s="11"/>
      <c r="BZ147" s="11"/>
      <c r="CA147" s="142"/>
      <c r="CB147" s="3" t="str">
        <f t="shared" si="4"/>
        <v>Riadok bude skrytý.</v>
      </c>
      <c r="CC147" s="271" t="s">
        <v>832</v>
      </c>
      <c r="CW147" s="50">
        <v>1</v>
      </c>
      <c r="CZ147" s="30">
        <f t="shared" si="9"/>
        <v>1</v>
      </c>
      <c r="DA147" s="30">
        <f t="shared" si="7"/>
        <v>1</v>
      </c>
      <c r="DB147" s="2">
        <f t="shared" si="10"/>
        <v>0</v>
      </c>
      <c r="DS147" s="130">
        <f>SI!BY147</f>
        <v>15</v>
      </c>
      <c r="DZ147" s="131">
        <f>SI!BZ147</f>
        <v>0</v>
      </c>
    </row>
    <row r="148" spans="1:130" hidden="1" x14ac:dyDescent="0.25">
      <c r="A148" s="141"/>
      <c r="B148" s="395" t="s">
        <v>861</v>
      </c>
      <c r="C148" s="396"/>
      <c r="D148" s="396"/>
      <c r="E148" s="396"/>
      <c r="F148" s="396"/>
      <c r="G148" s="396"/>
      <c r="H148" s="396"/>
      <c r="I148" s="396"/>
      <c r="J148" s="396"/>
      <c r="K148" s="396"/>
      <c r="L148" s="396"/>
      <c r="M148" s="396"/>
      <c r="N148" s="396"/>
      <c r="O148" s="396"/>
      <c r="P148" s="396"/>
      <c r="Q148" s="396"/>
      <c r="R148" s="396"/>
      <c r="S148" s="396"/>
      <c r="T148" s="396"/>
      <c r="U148" s="396"/>
      <c r="V148" s="396"/>
      <c r="W148" s="396"/>
      <c r="X148" s="396"/>
      <c r="Y148" s="396"/>
      <c r="Z148" s="396"/>
      <c r="AA148" s="396"/>
      <c r="AB148" s="396"/>
      <c r="AC148" s="396"/>
      <c r="AD148" s="396"/>
      <c r="AE148" s="396"/>
      <c r="AF148" s="396"/>
      <c r="AG148" s="396"/>
      <c r="AH148" s="396"/>
      <c r="AI148" s="396"/>
      <c r="AJ148" s="397"/>
      <c r="AK148" s="967" t="s">
        <v>862</v>
      </c>
      <c r="AL148" s="968"/>
      <c r="AM148" s="968"/>
      <c r="AN148" s="968"/>
      <c r="AO148" s="968"/>
      <c r="AP148" s="968"/>
      <c r="AQ148" s="968"/>
      <c r="AR148" s="968"/>
      <c r="AS148" s="968"/>
      <c r="AT148" s="968"/>
      <c r="AU148" s="968"/>
      <c r="AV148" s="968"/>
      <c r="AW148" s="968"/>
      <c r="AX148" s="968"/>
      <c r="AY148" s="968"/>
      <c r="AZ148" s="968"/>
      <c r="BA148" s="968"/>
      <c r="BB148" s="968"/>
      <c r="BC148" s="968"/>
      <c r="BD148" s="968"/>
      <c r="BE148" s="968"/>
      <c r="BF148" s="968"/>
      <c r="BG148" s="968"/>
      <c r="BH148" s="968"/>
      <c r="BI148" s="968"/>
      <c r="BJ148" s="968"/>
      <c r="BK148" s="968"/>
      <c r="BL148" s="968"/>
      <c r="BM148" s="968"/>
      <c r="BN148" s="968"/>
      <c r="BO148" s="968"/>
      <c r="BP148" s="968"/>
      <c r="BQ148" s="968"/>
      <c r="BR148" s="968"/>
      <c r="BS148" s="968"/>
      <c r="BT148" s="968"/>
      <c r="BU148" s="968"/>
      <c r="BV148" s="968"/>
      <c r="BW148" s="968"/>
      <c r="BX148" s="968"/>
      <c r="BY148" s="968"/>
      <c r="BZ148" s="969"/>
      <c r="CA148" s="270"/>
      <c r="CB148" s="3" t="str">
        <f t="shared" si="4"/>
        <v>Riadok bude skrytý.</v>
      </c>
      <c r="CC148" s="271" t="s">
        <v>832</v>
      </c>
      <c r="CD148" s="33"/>
      <c r="CE148" s="33"/>
      <c r="CW148" s="30">
        <f>+IF(K147="nie je",0,1)</f>
        <v>0</v>
      </c>
      <c r="CZ148" s="30">
        <f t="shared" si="9"/>
        <v>1</v>
      </c>
      <c r="DA148" s="30">
        <f t="shared" si="7"/>
        <v>0</v>
      </c>
      <c r="DB148" s="2">
        <f t="shared" si="10"/>
        <v>0</v>
      </c>
      <c r="DS148" s="130">
        <f>SI!BY148</f>
        <v>4</v>
      </c>
      <c r="DZ148" s="131">
        <f>SI!BZ148</f>
        <v>0</v>
      </c>
    </row>
    <row r="149" spans="1:130" hidden="1" x14ac:dyDescent="0.25">
      <c r="A149" s="141"/>
      <c r="B149" s="958"/>
      <c r="C149" s="959"/>
      <c r="D149" s="959"/>
      <c r="E149" s="959"/>
      <c r="F149" s="959"/>
      <c r="G149" s="959"/>
      <c r="H149" s="959"/>
      <c r="I149" s="959"/>
      <c r="J149" s="959"/>
      <c r="K149" s="959"/>
      <c r="L149" s="959"/>
      <c r="M149" s="959"/>
      <c r="N149" s="959"/>
      <c r="O149" s="959"/>
      <c r="P149" s="959"/>
      <c r="Q149" s="959"/>
      <c r="R149" s="959"/>
      <c r="S149" s="959"/>
      <c r="T149" s="959"/>
      <c r="U149" s="959"/>
      <c r="V149" s="959"/>
      <c r="W149" s="959"/>
      <c r="X149" s="959"/>
      <c r="Y149" s="959"/>
      <c r="Z149" s="959"/>
      <c r="AA149" s="959"/>
      <c r="AB149" s="959"/>
      <c r="AC149" s="959"/>
      <c r="AD149" s="959"/>
      <c r="AE149" s="959"/>
      <c r="AF149" s="959"/>
      <c r="AG149" s="959"/>
      <c r="AH149" s="959"/>
      <c r="AI149" s="959"/>
      <c r="AJ149" s="960"/>
      <c r="AK149" s="1426"/>
      <c r="AL149" s="1427"/>
      <c r="AM149" s="1427"/>
      <c r="AN149" s="1427"/>
      <c r="AO149" s="1427"/>
      <c r="AP149" s="1427"/>
      <c r="AQ149" s="1427"/>
      <c r="AR149" s="1427"/>
      <c r="AS149" s="1427"/>
      <c r="AT149" s="1427"/>
      <c r="AU149" s="1427"/>
      <c r="AV149" s="1427"/>
      <c r="AW149" s="1427"/>
      <c r="AX149" s="1427"/>
      <c r="AY149" s="1427"/>
      <c r="AZ149" s="1427"/>
      <c r="BA149" s="1427"/>
      <c r="BB149" s="1427"/>
      <c r="BC149" s="1427"/>
      <c r="BD149" s="1427"/>
      <c r="BE149" s="1427"/>
      <c r="BF149" s="1427"/>
      <c r="BG149" s="1427"/>
      <c r="BH149" s="1427"/>
      <c r="BI149" s="1427"/>
      <c r="BJ149" s="1427"/>
      <c r="BK149" s="1427"/>
      <c r="BL149" s="1427"/>
      <c r="BM149" s="1427"/>
      <c r="BN149" s="1427"/>
      <c r="BO149" s="1427"/>
      <c r="BP149" s="1427"/>
      <c r="BQ149" s="1427"/>
      <c r="BR149" s="1427"/>
      <c r="BS149" s="1427"/>
      <c r="BT149" s="1427"/>
      <c r="BU149" s="1427"/>
      <c r="BV149" s="1427"/>
      <c r="BW149" s="1427"/>
      <c r="BX149" s="1427"/>
      <c r="BY149" s="1427"/>
      <c r="BZ149" s="1428"/>
      <c r="CA149" s="270"/>
      <c r="CB149" s="3" t="str">
        <f t="shared" si="4"/>
        <v>Riadok bude skrytý.</v>
      </c>
      <c r="CC149" s="271" t="s">
        <v>832</v>
      </c>
      <c r="CW149" s="30">
        <f>+IF(K147="nie je",0,1)</f>
        <v>0</v>
      </c>
      <c r="CX149" s="30">
        <f>+IF(B149="",0,1)</f>
        <v>0</v>
      </c>
      <c r="CZ149" s="30">
        <f t="shared" si="9"/>
        <v>1</v>
      </c>
      <c r="DA149" s="52">
        <f>+IF(CW149*CX149=0,0,IF(CZ149=0,0,1))</f>
        <v>0</v>
      </c>
      <c r="DB149" s="2">
        <f t="shared" si="10"/>
        <v>0</v>
      </c>
      <c r="DS149" s="130">
        <f>SI!BY149</f>
        <v>152</v>
      </c>
      <c r="DZ149" s="131">
        <f>SI!BZ149</f>
        <v>0</v>
      </c>
    </row>
    <row r="150" spans="1:130" hidden="1" x14ac:dyDescent="0.25">
      <c r="A150" s="141"/>
      <c r="B150" s="742"/>
      <c r="C150" s="743"/>
      <c r="D150" s="743"/>
      <c r="E150" s="743"/>
      <c r="F150" s="743"/>
      <c r="G150" s="743"/>
      <c r="H150" s="743"/>
      <c r="I150" s="743"/>
      <c r="J150" s="743"/>
      <c r="K150" s="743"/>
      <c r="L150" s="743"/>
      <c r="M150" s="743"/>
      <c r="N150" s="743"/>
      <c r="O150" s="743"/>
      <c r="P150" s="743"/>
      <c r="Q150" s="743"/>
      <c r="R150" s="743"/>
      <c r="S150" s="743"/>
      <c r="T150" s="743"/>
      <c r="U150" s="743"/>
      <c r="V150" s="743"/>
      <c r="W150" s="743"/>
      <c r="X150" s="743"/>
      <c r="Y150" s="743"/>
      <c r="Z150" s="743"/>
      <c r="AA150" s="743"/>
      <c r="AB150" s="743"/>
      <c r="AC150" s="743"/>
      <c r="AD150" s="743"/>
      <c r="AE150" s="743"/>
      <c r="AF150" s="743"/>
      <c r="AG150" s="743"/>
      <c r="AH150" s="743"/>
      <c r="AI150" s="743"/>
      <c r="AJ150" s="744"/>
      <c r="AK150" s="955"/>
      <c r="AL150" s="956"/>
      <c r="AM150" s="956"/>
      <c r="AN150" s="956"/>
      <c r="AO150" s="956"/>
      <c r="AP150" s="956"/>
      <c r="AQ150" s="956"/>
      <c r="AR150" s="956"/>
      <c r="AS150" s="956"/>
      <c r="AT150" s="956"/>
      <c r="AU150" s="956"/>
      <c r="AV150" s="956"/>
      <c r="AW150" s="956"/>
      <c r="AX150" s="956"/>
      <c r="AY150" s="956"/>
      <c r="AZ150" s="956"/>
      <c r="BA150" s="956"/>
      <c r="BB150" s="956"/>
      <c r="BC150" s="956"/>
      <c r="BD150" s="956"/>
      <c r="BE150" s="956"/>
      <c r="BF150" s="956"/>
      <c r="BG150" s="956"/>
      <c r="BH150" s="956"/>
      <c r="BI150" s="956"/>
      <c r="BJ150" s="956"/>
      <c r="BK150" s="956"/>
      <c r="BL150" s="956"/>
      <c r="BM150" s="956"/>
      <c r="BN150" s="956"/>
      <c r="BO150" s="956"/>
      <c r="BP150" s="956"/>
      <c r="BQ150" s="956"/>
      <c r="BR150" s="956"/>
      <c r="BS150" s="956"/>
      <c r="BT150" s="956"/>
      <c r="BU150" s="956"/>
      <c r="BV150" s="956"/>
      <c r="BW150" s="956"/>
      <c r="BX150" s="956"/>
      <c r="BY150" s="956"/>
      <c r="BZ150" s="957"/>
      <c r="CA150" s="270"/>
      <c r="CB150" s="3" t="str">
        <f t="shared" si="4"/>
        <v>Riadok bude skrytý.</v>
      </c>
      <c r="CC150" s="271" t="s">
        <v>832</v>
      </c>
      <c r="CW150" s="30">
        <f>+IF(K147="nie je",0,1)</f>
        <v>0</v>
      </c>
      <c r="CX150" s="30">
        <f>+IF(B150="",0,1)</f>
        <v>0</v>
      </c>
      <c r="CZ150" s="30">
        <f t="shared" si="9"/>
        <v>1</v>
      </c>
      <c r="DA150" s="52">
        <f>+IF(CW150*CX150=0,0,IF(CZ150=0,0,1))</f>
        <v>0</v>
      </c>
      <c r="DB150" s="2">
        <f t="shared" si="10"/>
        <v>0</v>
      </c>
      <c r="DS150" s="130">
        <f>SI!BY150</f>
        <v>103</v>
      </c>
      <c r="DZ150" s="131">
        <f>SI!BZ150</f>
        <v>0</v>
      </c>
    </row>
    <row r="151" spans="1:130" hidden="1" x14ac:dyDescent="0.25">
      <c r="A151" s="141"/>
      <c r="B151" s="964"/>
      <c r="C151" s="965"/>
      <c r="D151" s="965"/>
      <c r="E151" s="965"/>
      <c r="F151" s="965"/>
      <c r="G151" s="965"/>
      <c r="H151" s="965"/>
      <c r="I151" s="965"/>
      <c r="J151" s="965"/>
      <c r="K151" s="965"/>
      <c r="L151" s="965"/>
      <c r="M151" s="965"/>
      <c r="N151" s="965"/>
      <c r="O151" s="965"/>
      <c r="P151" s="965"/>
      <c r="Q151" s="965"/>
      <c r="R151" s="965"/>
      <c r="S151" s="965"/>
      <c r="T151" s="965"/>
      <c r="U151" s="965"/>
      <c r="V151" s="965"/>
      <c r="W151" s="965"/>
      <c r="X151" s="965"/>
      <c r="Y151" s="965"/>
      <c r="Z151" s="965"/>
      <c r="AA151" s="965"/>
      <c r="AB151" s="965"/>
      <c r="AC151" s="965"/>
      <c r="AD151" s="965"/>
      <c r="AE151" s="965"/>
      <c r="AF151" s="965"/>
      <c r="AG151" s="965"/>
      <c r="AH151" s="965"/>
      <c r="AI151" s="965"/>
      <c r="AJ151" s="966"/>
      <c r="AK151" s="1418"/>
      <c r="AL151" s="1419"/>
      <c r="AM151" s="1419"/>
      <c r="AN151" s="1419"/>
      <c r="AO151" s="1419"/>
      <c r="AP151" s="1419"/>
      <c r="AQ151" s="1419"/>
      <c r="AR151" s="1419"/>
      <c r="AS151" s="1419"/>
      <c r="AT151" s="1419"/>
      <c r="AU151" s="1419"/>
      <c r="AV151" s="1419"/>
      <c r="AW151" s="1419"/>
      <c r="AX151" s="1419"/>
      <c r="AY151" s="1419"/>
      <c r="AZ151" s="1419"/>
      <c r="BA151" s="1419"/>
      <c r="BB151" s="1419"/>
      <c r="BC151" s="1419"/>
      <c r="BD151" s="1419"/>
      <c r="BE151" s="1419"/>
      <c r="BF151" s="1419"/>
      <c r="BG151" s="1419"/>
      <c r="BH151" s="1419"/>
      <c r="BI151" s="1419"/>
      <c r="BJ151" s="1419"/>
      <c r="BK151" s="1419"/>
      <c r="BL151" s="1419"/>
      <c r="BM151" s="1419"/>
      <c r="BN151" s="1419"/>
      <c r="BO151" s="1419"/>
      <c r="BP151" s="1419"/>
      <c r="BQ151" s="1419"/>
      <c r="BR151" s="1419"/>
      <c r="BS151" s="1419"/>
      <c r="BT151" s="1419"/>
      <c r="BU151" s="1419"/>
      <c r="BV151" s="1419"/>
      <c r="BW151" s="1419"/>
      <c r="BX151" s="1419"/>
      <c r="BY151" s="1419"/>
      <c r="BZ151" s="1420"/>
      <c r="CA151" s="270"/>
      <c r="CB151" s="3" t="str">
        <f t="shared" si="4"/>
        <v>Riadok bude skrytý.</v>
      </c>
      <c r="CC151" s="271" t="s">
        <v>832</v>
      </c>
      <c r="CW151" s="30">
        <f>+IF(K147="nie je",0,1)</f>
        <v>0</v>
      </c>
      <c r="CZ151" s="30">
        <f t="shared" si="9"/>
        <v>1</v>
      </c>
      <c r="DA151" s="30">
        <f t="shared" si="7"/>
        <v>0</v>
      </c>
      <c r="DB151" s="2">
        <f t="shared" si="10"/>
        <v>0</v>
      </c>
      <c r="DS151" s="130">
        <f>SI!BY151</f>
        <v>205</v>
      </c>
      <c r="DZ151" s="131">
        <f>SI!BZ151</f>
        <v>0</v>
      </c>
    </row>
    <row r="152" spans="1:130" hidden="1" x14ac:dyDescent="0.25">
      <c r="A152" s="141"/>
      <c r="CA152" s="142"/>
      <c r="CB152" s="3" t="str">
        <f t="shared" si="4"/>
        <v>Riadok bude skrytý.</v>
      </c>
      <c r="CC152" s="271" t="s">
        <v>832</v>
      </c>
      <c r="CW152" s="50">
        <v>1</v>
      </c>
      <c r="CZ152" s="30">
        <f t="shared" si="9"/>
        <v>1</v>
      </c>
      <c r="DA152" s="30">
        <f t="shared" si="7"/>
        <v>1</v>
      </c>
      <c r="DB152" s="2">
        <f t="shared" si="10"/>
        <v>0</v>
      </c>
      <c r="DS152" s="130">
        <f>SI!BY152</f>
        <v>381</v>
      </c>
      <c r="DZ152" s="131">
        <f>SI!BZ152</f>
        <v>0</v>
      </c>
    </row>
    <row r="153" spans="1:130" x14ac:dyDescent="0.25">
      <c r="A153" s="141"/>
      <c r="B153" s="7" t="str">
        <f>+IF($U$52&lt;&gt;"",IF((ROUNDDOWN(CODE(MID($U$52,1,1)),0)-(BIN2DEC(1010)/10))*SI!EE153+(LEN(SI!J2)+LEN(SI!J5))=DS153,"Právny dôvod na zostavenie účtovnej závierky","NEPOVOLENÉ POUŽITIE!"),"NEPOVOLENÉ POUŽITIE!")</f>
        <v>Právny dôvod na zostavenie účtovnej závierky</v>
      </c>
      <c r="CA153" s="270"/>
      <c r="CB153" s="3" t="str">
        <f t="shared" si="4"/>
        <v>Riadok bude vidieť.</v>
      </c>
      <c r="CC153" s="271" t="s">
        <v>832</v>
      </c>
      <c r="CW153" s="50">
        <v>1</v>
      </c>
      <c r="CZ153" s="30">
        <f t="shared" si="9"/>
        <v>1</v>
      </c>
      <c r="DA153" s="30">
        <f t="shared" si="7"/>
        <v>1</v>
      </c>
      <c r="DB153" s="140">
        <f t="shared" ref="DB153:DB164" si="11">+DA153</f>
        <v>1</v>
      </c>
      <c r="DS153" s="130">
        <f>SI!BY153</f>
        <v>28</v>
      </c>
      <c r="DZ153" s="131">
        <f>SI!BZ153</f>
        <v>0</v>
      </c>
    </row>
    <row r="154" spans="1:130" x14ac:dyDescent="0.25">
      <c r="A154" s="141"/>
      <c r="B154" s="137" t="s">
        <v>33</v>
      </c>
      <c r="X154" s="962">
        <f>+DC4</f>
        <v>44561</v>
      </c>
      <c r="Y154" s="962"/>
      <c r="Z154" s="962"/>
      <c r="AA154" s="962"/>
      <c r="AB154" s="962"/>
      <c r="AC154" s="962"/>
      <c r="AD154" s="962"/>
      <c r="AE154" s="962"/>
      <c r="AF154" s="962"/>
      <c r="AG154" s="962"/>
      <c r="AH154" s="137" t="s">
        <v>702</v>
      </c>
      <c r="AJ154" s="274"/>
      <c r="AU154" s="936" t="s">
        <v>777</v>
      </c>
      <c r="AV154" s="936"/>
      <c r="AW154" s="936"/>
      <c r="AX154" s="936"/>
      <c r="AY154" s="936"/>
      <c r="AZ154" s="936"/>
      <c r="BA154" s="936"/>
      <c r="BB154" s="936"/>
      <c r="BC154" s="936"/>
      <c r="BD154" s="936"/>
      <c r="BE154" s="137" t="s">
        <v>703</v>
      </c>
      <c r="BJ154" s="38"/>
      <c r="CA154" s="142"/>
      <c r="CB154" s="3" t="str">
        <f t="shared" si="4"/>
        <v>Riadok bude vidieť.</v>
      </c>
      <c r="CC154" s="271" t="s">
        <v>832</v>
      </c>
      <c r="CW154" s="50">
        <v>1</v>
      </c>
      <c r="CZ154" s="30">
        <f t="shared" si="9"/>
        <v>1</v>
      </c>
      <c r="DA154" s="30">
        <f t="shared" si="7"/>
        <v>1</v>
      </c>
      <c r="DB154" s="140">
        <f t="shared" si="11"/>
        <v>1</v>
      </c>
      <c r="DS154" s="130">
        <f>SI!BY154</f>
        <v>669</v>
      </c>
      <c r="DZ154" s="131">
        <f>SI!BZ154</f>
        <v>0</v>
      </c>
    </row>
    <row r="155" spans="1:130" x14ac:dyDescent="0.25">
      <c r="A155" s="141"/>
      <c r="B155" s="275" t="s">
        <v>704</v>
      </c>
      <c r="BC155" s="963">
        <f>IF(YEAR(AW123)=YEAR(DC4),AW123,IF(YEAR(DC4)=2012,BO155-365,IF(YEAR(DC4)=2016,BO155-365,IF(YEAR(DC4)=2020,BO155-365,BO155-364))))</f>
        <v>44197</v>
      </c>
      <c r="BD155" s="963"/>
      <c r="BE155" s="963"/>
      <c r="BF155" s="963"/>
      <c r="BG155" s="963"/>
      <c r="BH155" s="963"/>
      <c r="BI155" s="963"/>
      <c r="BJ155" s="963"/>
      <c r="BK155" s="963"/>
      <c r="BL155" s="137" t="s">
        <v>21</v>
      </c>
      <c r="BO155" s="963">
        <f>+X154</f>
        <v>44561</v>
      </c>
      <c r="BP155" s="963"/>
      <c r="BQ155" s="963"/>
      <c r="BR155" s="963"/>
      <c r="BS155" s="963"/>
      <c r="BT155" s="963"/>
      <c r="BU155" s="963"/>
      <c r="BV155" s="963"/>
      <c r="BW155" s="963"/>
      <c r="BX155" s="89" t="s">
        <v>20</v>
      </c>
      <c r="CA155" s="142"/>
      <c r="CB155" s="3" t="str">
        <f t="shared" si="4"/>
        <v>Riadok bude vidieť.</v>
      </c>
      <c r="CC155" s="271" t="s">
        <v>832</v>
      </c>
      <c r="CW155" s="50">
        <v>1</v>
      </c>
      <c r="CZ155" s="30">
        <f t="shared" si="9"/>
        <v>1</v>
      </c>
      <c r="DA155" s="30">
        <f t="shared" si="7"/>
        <v>1</v>
      </c>
      <c r="DB155" s="140">
        <f t="shared" si="11"/>
        <v>1</v>
      </c>
      <c r="DS155" s="130">
        <f>SI!BY155</f>
        <v>107</v>
      </c>
      <c r="DZ155" s="131">
        <f>SI!BZ155</f>
        <v>0</v>
      </c>
    </row>
    <row r="156" spans="1:130" hidden="1" x14ac:dyDescent="0.25">
      <c r="A156" s="141"/>
      <c r="B156" s="14" t="str">
        <f>+IF(AU154="mimoriadna","Dôvod zostavenia mimoriadnej účtovnej závierky:","")</f>
        <v/>
      </c>
      <c r="AL156" s="384"/>
      <c r="AM156" s="384"/>
      <c r="AN156" s="384"/>
      <c r="AO156" s="384"/>
      <c r="AP156" s="384"/>
      <c r="AQ156" s="384"/>
      <c r="AR156" s="384"/>
      <c r="AS156" s="384"/>
      <c r="AT156" s="384"/>
      <c r="AU156" s="384"/>
      <c r="AV156" s="384"/>
      <c r="AW156" s="384"/>
      <c r="AX156" s="384"/>
      <c r="AY156" s="384"/>
      <c r="AZ156" s="384"/>
      <c r="BA156" s="384"/>
      <c r="BB156" s="384"/>
      <c r="BC156" s="384"/>
      <c r="BD156" s="384"/>
      <c r="BE156" s="384"/>
      <c r="BF156" s="384"/>
      <c r="BG156" s="384"/>
      <c r="BH156" s="384"/>
      <c r="BI156" s="384"/>
      <c r="BJ156" s="384"/>
      <c r="BK156" s="384"/>
      <c r="BL156" s="384"/>
      <c r="BM156" s="384"/>
      <c r="BN156" s="384"/>
      <c r="BO156" s="384"/>
      <c r="BP156" s="384"/>
      <c r="BQ156" s="384"/>
      <c r="BR156" s="384"/>
      <c r="BS156" s="384"/>
      <c r="BT156" s="384"/>
      <c r="BU156" s="384"/>
      <c r="BV156" s="384"/>
      <c r="BW156" s="384"/>
      <c r="BX156" s="384"/>
      <c r="BY156" s="384"/>
      <c r="BZ156" s="384"/>
      <c r="CA156" s="270"/>
      <c r="CB156" s="3" t="str">
        <f t="shared" si="4"/>
        <v>Riadok bude skrytý.</v>
      </c>
      <c r="CC156" s="271" t="s">
        <v>832</v>
      </c>
      <c r="CW156" s="30">
        <f>+IF(AU154="riadna",0,IF(AU154="priebežná",0,1))</f>
        <v>0</v>
      </c>
      <c r="CZ156" s="30">
        <f t="shared" si="9"/>
        <v>1</v>
      </c>
      <c r="DA156" s="30">
        <f t="shared" si="7"/>
        <v>0</v>
      </c>
      <c r="DB156" s="140">
        <f t="shared" si="11"/>
        <v>0</v>
      </c>
      <c r="DS156" s="130">
        <f>SI!BY156</f>
        <v>1062</v>
      </c>
      <c r="DZ156" s="131">
        <f>SI!BZ156</f>
        <v>0</v>
      </c>
    </row>
    <row r="157" spans="1:130" hidden="1" x14ac:dyDescent="0.25">
      <c r="A157" s="141"/>
      <c r="B157" s="406"/>
      <c r="C157" s="406"/>
      <c r="D157" s="406"/>
      <c r="E157" s="406"/>
      <c r="F157" s="406"/>
      <c r="G157" s="406"/>
      <c r="H157" s="406"/>
      <c r="I157" s="406"/>
      <c r="J157" s="406"/>
      <c r="K157" s="406"/>
      <c r="L157" s="406"/>
      <c r="M157" s="406"/>
      <c r="N157" s="406"/>
      <c r="O157" s="406"/>
      <c r="P157" s="406"/>
      <c r="Q157" s="406"/>
      <c r="R157" s="406"/>
      <c r="S157" s="406"/>
      <c r="T157" s="406"/>
      <c r="U157" s="406"/>
      <c r="V157" s="406"/>
      <c r="W157" s="406"/>
      <c r="X157" s="406"/>
      <c r="Y157" s="406"/>
      <c r="Z157" s="406"/>
      <c r="AA157" s="406"/>
      <c r="AB157" s="406"/>
      <c r="AC157" s="406"/>
      <c r="AD157" s="406"/>
      <c r="AE157" s="406"/>
      <c r="AF157" s="406"/>
      <c r="AG157" s="406"/>
      <c r="AH157" s="406"/>
      <c r="AI157" s="406"/>
      <c r="AJ157" s="406"/>
      <c r="AK157" s="406"/>
      <c r="AL157" s="406"/>
      <c r="AM157" s="406"/>
      <c r="AN157" s="406"/>
      <c r="AO157" s="406"/>
      <c r="AP157" s="406"/>
      <c r="AQ157" s="406"/>
      <c r="AR157" s="406"/>
      <c r="AS157" s="406"/>
      <c r="AT157" s="406"/>
      <c r="AU157" s="406"/>
      <c r="AV157" s="406"/>
      <c r="AW157" s="406"/>
      <c r="AX157" s="406"/>
      <c r="AY157" s="406"/>
      <c r="AZ157" s="406"/>
      <c r="BA157" s="406"/>
      <c r="BB157" s="406"/>
      <c r="BC157" s="406"/>
      <c r="BD157" s="406"/>
      <c r="BE157" s="406"/>
      <c r="BF157" s="406"/>
      <c r="BG157" s="406"/>
      <c r="BH157" s="406"/>
      <c r="BI157" s="406"/>
      <c r="BJ157" s="406"/>
      <c r="BK157" s="406"/>
      <c r="BL157" s="406"/>
      <c r="BM157" s="406"/>
      <c r="BN157" s="406"/>
      <c r="BO157" s="406"/>
      <c r="BP157" s="406"/>
      <c r="BQ157" s="406"/>
      <c r="BR157" s="406"/>
      <c r="BS157" s="406"/>
      <c r="BT157" s="406"/>
      <c r="BU157" s="406"/>
      <c r="BV157" s="406"/>
      <c r="BW157" s="406"/>
      <c r="BX157" s="406"/>
      <c r="BY157" s="406"/>
      <c r="BZ157" s="406"/>
      <c r="CA157" s="270"/>
      <c r="CB157" s="3" t="str">
        <f t="shared" si="4"/>
        <v>Riadok bude skrytý.</v>
      </c>
      <c r="CC157" s="271" t="s">
        <v>832</v>
      </c>
      <c r="CW157" s="30">
        <f>+IF(B157="",0,1)</f>
        <v>0</v>
      </c>
      <c r="CZ157" s="30">
        <f t="shared" si="9"/>
        <v>1</v>
      </c>
      <c r="DA157" s="30">
        <f t="shared" si="7"/>
        <v>0</v>
      </c>
      <c r="DB157" s="140">
        <f t="shared" si="11"/>
        <v>0</v>
      </c>
      <c r="DS157" s="130">
        <f>SI!BY157</f>
        <v>7</v>
      </c>
      <c r="DZ157" s="131">
        <f>SI!BZ157</f>
        <v>0</v>
      </c>
    </row>
    <row r="158" spans="1:130" hidden="1" x14ac:dyDescent="0.25">
      <c r="A158" s="141"/>
      <c r="B158" s="406"/>
      <c r="C158" s="406"/>
      <c r="D158" s="406"/>
      <c r="E158" s="406"/>
      <c r="F158" s="406"/>
      <c r="G158" s="406"/>
      <c r="H158" s="406"/>
      <c r="I158" s="406"/>
      <c r="J158" s="406"/>
      <c r="K158" s="406"/>
      <c r="L158" s="406"/>
      <c r="M158" s="406"/>
      <c r="N158" s="406"/>
      <c r="O158" s="406"/>
      <c r="P158" s="406"/>
      <c r="Q158" s="406"/>
      <c r="R158" s="406"/>
      <c r="S158" s="406"/>
      <c r="T158" s="406"/>
      <c r="U158" s="406"/>
      <c r="V158" s="406"/>
      <c r="W158" s="406"/>
      <c r="X158" s="406"/>
      <c r="Y158" s="406"/>
      <c r="Z158" s="406"/>
      <c r="AA158" s="406"/>
      <c r="AB158" s="406"/>
      <c r="AC158" s="406"/>
      <c r="AD158" s="406"/>
      <c r="AE158" s="406"/>
      <c r="AF158" s="406"/>
      <c r="AG158" s="406"/>
      <c r="AH158" s="406"/>
      <c r="AI158" s="406"/>
      <c r="AJ158" s="406"/>
      <c r="AK158" s="406"/>
      <c r="AL158" s="406"/>
      <c r="AM158" s="406"/>
      <c r="AN158" s="406"/>
      <c r="AO158" s="406"/>
      <c r="AP158" s="406"/>
      <c r="AQ158" s="406"/>
      <c r="AR158" s="406"/>
      <c r="AS158" s="406"/>
      <c r="AT158" s="406"/>
      <c r="AU158" s="406"/>
      <c r="AV158" s="406"/>
      <c r="AW158" s="406"/>
      <c r="AX158" s="406"/>
      <c r="AY158" s="406"/>
      <c r="AZ158" s="406"/>
      <c r="BA158" s="406"/>
      <c r="BB158" s="406"/>
      <c r="BC158" s="406"/>
      <c r="BD158" s="406"/>
      <c r="BE158" s="406"/>
      <c r="BF158" s="406"/>
      <c r="BG158" s="406"/>
      <c r="BH158" s="406"/>
      <c r="BI158" s="406"/>
      <c r="BJ158" s="406"/>
      <c r="BK158" s="406"/>
      <c r="BL158" s="406"/>
      <c r="BM158" s="406"/>
      <c r="BN158" s="406"/>
      <c r="BO158" s="406"/>
      <c r="BP158" s="406"/>
      <c r="BQ158" s="406"/>
      <c r="BR158" s="406"/>
      <c r="BS158" s="406"/>
      <c r="BT158" s="406"/>
      <c r="BU158" s="406"/>
      <c r="BV158" s="406"/>
      <c r="BW158" s="406"/>
      <c r="BX158" s="406"/>
      <c r="BY158" s="406"/>
      <c r="BZ158" s="406"/>
      <c r="CA158" s="270"/>
      <c r="CB158" s="3" t="str">
        <f t="shared" si="4"/>
        <v>Riadok bude skrytý.</v>
      </c>
      <c r="CC158" s="271" t="s">
        <v>832</v>
      </c>
      <c r="CW158" s="30">
        <f>+IF(B158="",0,1)</f>
        <v>0</v>
      </c>
      <c r="CZ158" s="30">
        <f t="shared" si="9"/>
        <v>1</v>
      </c>
      <c r="DA158" s="30">
        <f t="shared" si="7"/>
        <v>0</v>
      </c>
      <c r="DB158" s="140">
        <f t="shared" si="11"/>
        <v>0</v>
      </c>
      <c r="DS158" s="130">
        <f>SI!BY158</f>
        <v>333</v>
      </c>
      <c r="DZ158" s="131">
        <f>SI!BZ158</f>
        <v>0</v>
      </c>
    </row>
    <row r="159" spans="1:130" x14ac:dyDescent="0.25">
      <c r="A159" s="141"/>
      <c r="CA159" s="270"/>
      <c r="CB159" s="3" t="str">
        <f t="shared" si="4"/>
        <v>Riadok bude vidieť.</v>
      </c>
      <c r="CC159" s="271" t="s">
        <v>832</v>
      </c>
      <c r="CW159" s="30">
        <f>+IF(AE121="fyzická",0,1)</f>
        <v>1</v>
      </c>
      <c r="CZ159" s="30">
        <f t="shared" si="9"/>
        <v>1</v>
      </c>
      <c r="DA159" s="30">
        <f t="shared" si="7"/>
        <v>1</v>
      </c>
      <c r="DB159" s="140">
        <f t="shared" si="11"/>
        <v>1</v>
      </c>
      <c r="DS159" s="130">
        <f>SI!BY159</f>
        <v>13</v>
      </c>
      <c r="DZ159" s="131">
        <f>SI!BZ159</f>
        <v>0</v>
      </c>
    </row>
    <row r="160" spans="1:130" x14ac:dyDescent="0.25">
      <c r="A160" s="141"/>
      <c r="B160" s="7" t="str">
        <f>+IF($Q$52&lt;&gt;"",IF((CODE(MID($Q$52,1,1)))*(GCD(121,132))*SI!EE160+(LEN(SI!J5)+LEN(SI!J6))=DS160,"Dátum schválenia účtovnej závierky za predchádzajúce účtovné obdobie","NEPOVOLENÉ POUŽITIE!"),"NEPOVOLENÉ POUŽITIE!")</f>
        <v>Dátum schválenia účtovnej závierky za predchádzajúce účtovné obdobie</v>
      </c>
      <c r="CA160" s="265" t="s">
        <v>773</v>
      </c>
      <c r="CB160" s="3" t="str">
        <f t="shared" si="4"/>
        <v>Riadok bude vidieť.</v>
      </c>
      <c r="CC160" s="271" t="s">
        <v>832</v>
      </c>
      <c r="CW160" s="30">
        <f>+IF(AE121="fyzická",0,1)</f>
        <v>1</v>
      </c>
      <c r="CZ160" s="30">
        <f t="shared" si="9"/>
        <v>1</v>
      </c>
      <c r="DA160" s="30">
        <f t="shared" si="7"/>
        <v>1</v>
      </c>
      <c r="DB160" s="140">
        <f t="shared" si="11"/>
        <v>1</v>
      </c>
      <c r="DS160" s="130">
        <f>SI!BY160</f>
        <v>20</v>
      </c>
      <c r="DZ160" s="131">
        <f>SI!BZ160</f>
        <v>0</v>
      </c>
    </row>
    <row r="161" spans="1:130" hidden="1" x14ac:dyDescent="0.25">
      <c r="A161" s="141"/>
      <c r="B161" s="137" t="str">
        <f>+IF(YEAR(AW123)=YEAR(DC4),"Spoločnosť  vznikla v tomto účtovnom období.","")</f>
        <v/>
      </c>
      <c r="CA161" s="270"/>
      <c r="CB161" s="3" t="str">
        <f t="shared" si="4"/>
        <v>Riadok bude skrytý.</v>
      </c>
      <c r="CC161" s="271" t="s">
        <v>832</v>
      </c>
      <c r="CW161" s="30">
        <f>IF(AE121="fyzická",0,IF(B161="",0,1))</f>
        <v>0</v>
      </c>
      <c r="CZ161" s="30">
        <f t="shared" si="9"/>
        <v>1</v>
      </c>
      <c r="DA161" s="30">
        <f t="shared" si="7"/>
        <v>0</v>
      </c>
      <c r="DB161" s="140">
        <f t="shared" si="11"/>
        <v>0</v>
      </c>
      <c r="DS161" s="130">
        <f>SI!BY161</f>
        <v>190</v>
      </c>
      <c r="DZ161" s="131">
        <f>SI!BZ161</f>
        <v>0</v>
      </c>
    </row>
    <row r="162" spans="1:130" x14ac:dyDescent="0.25">
      <c r="A162" s="141"/>
      <c r="B162" s="137" t="s">
        <v>33</v>
      </c>
      <c r="X162" s="963">
        <f>+IF(YEAR(DC4)=2012,X154-366,IF(YEAR(DC4)=2016,X154-366,IF(YEAR(DC4)=2020,X154-366,X154-365)))</f>
        <v>44196</v>
      </c>
      <c r="Y162" s="963"/>
      <c r="Z162" s="963"/>
      <c r="AA162" s="963"/>
      <c r="AB162" s="963"/>
      <c r="AC162" s="963"/>
      <c r="AD162" s="963"/>
      <c r="AE162" s="963"/>
      <c r="AF162" s="963"/>
      <c r="AG162" s="137" t="s">
        <v>34</v>
      </c>
      <c r="BJ162" s="385" t="s">
        <v>1071</v>
      </c>
      <c r="BK162" s="385"/>
      <c r="BL162" s="385"/>
      <c r="BM162" s="385"/>
      <c r="BN162" s="385"/>
      <c r="BO162" s="385"/>
      <c r="BP162" s="385"/>
      <c r="BQ162" s="137" t="str">
        <f>+IF($U$52&lt;&gt;"",IF((ROUNDDOWN(CODE(MID($U$52,1,1)),0)-(BIN2DEC(1010)/10))*(IF(SI!EE163="",1,SI!EE163))+(LEN(SI!J2)+LEN(SI!J5))=DS163,IF(BJ162="nebola","schválená.","schválená"),"NEPOVOLENÉ POUŽITIE!"),"NEPOVOLENÉ POUŽITIE!")</f>
        <v>schválená.</v>
      </c>
      <c r="BT162" s="38"/>
      <c r="CA162" s="270"/>
      <c r="CB162" s="3" t="str">
        <f t="shared" si="4"/>
        <v>Riadok bude vidieť.</v>
      </c>
      <c r="CC162" s="271" t="s">
        <v>832</v>
      </c>
      <c r="CF162" s="13"/>
      <c r="CW162" s="30">
        <f>+IF($AE$121="fyzická",0,IF(YEAR($AW$123)=YEAR($DC$4),0,1))</f>
        <v>1</v>
      </c>
      <c r="CY162" s="42"/>
      <c r="CZ162" s="30">
        <f t="shared" si="9"/>
        <v>1</v>
      </c>
      <c r="DA162" s="30">
        <f t="shared" si="7"/>
        <v>1</v>
      </c>
      <c r="DB162" s="140">
        <f t="shared" si="11"/>
        <v>1</v>
      </c>
      <c r="DS162" s="130">
        <f>SI!BY162</f>
        <v>898</v>
      </c>
      <c r="DZ162" s="131">
        <f>SI!BZ162</f>
        <v>0</v>
      </c>
    </row>
    <row r="163" spans="1:130" hidden="1" x14ac:dyDescent="0.25">
      <c r="A163" s="141"/>
      <c r="B163" s="137" t="str">
        <f>+IF(BJ162="nebola","",IF(AE121="fyzická","fyzickou osobou - podnikateľom dňa:","valným zhromaždením Spoločnosti dňa:"))</f>
        <v/>
      </c>
      <c r="AD163" s="1416">
        <v>44195</v>
      </c>
      <c r="AE163" s="1416"/>
      <c r="AF163" s="1416"/>
      <c r="AG163" s="1416"/>
      <c r="AH163" s="1416"/>
      <c r="AI163" s="1416"/>
      <c r="AJ163" s="1416"/>
      <c r="AK163" s="1416"/>
      <c r="AL163" s="1416"/>
      <c r="AM163" s="139" t="s">
        <v>20</v>
      </c>
      <c r="CA163" s="270"/>
      <c r="CB163" s="3" t="str">
        <f t="shared" si="4"/>
        <v>Riadok bude skrytý.</v>
      </c>
      <c r="CC163" s="271" t="s">
        <v>832</v>
      </c>
      <c r="CW163" s="30">
        <f>+IF($AE$121="fyzická",0,IF(YEAR($AW$123)=YEAR($DC$4),0,1))</f>
        <v>1</v>
      </c>
      <c r="CX163" s="30" t="str">
        <f>+IF(BJ162="nebola","0",1)</f>
        <v>0</v>
      </c>
      <c r="CY163" s="42"/>
      <c r="CZ163" s="30">
        <f t="shared" si="9"/>
        <v>1</v>
      </c>
      <c r="DA163" s="52">
        <f>+IF(CW163*CX163=0,0,IF(CZ163=0,0,1))</f>
        <v>0</v>
      </c>
      <c r="DB163" s="140">
        <f t="shared" si="11"/>
        <v>0</v>
      </c>
      <c r="DS163" s="130">
        <f>SI!BY163</f>
        <v>28</v>
      </c>
      <c r="DZ163" s="131">
        <f>SI!BZ163</f>
        <v>0</v>
      </c>
    </row>
    <row r="164" spans="1:130" hidden="1" x14ac:dyDescent="0.25">
      <c r="A164" s="141"/>
      <c r="C164" s="137" t="s">
        <v>36</v>
      </c>
      <c r="CA164" s="270"/>
      <c r="CB164" s="3" t="str">
        <f t="shared" si="4"/>
        <v>Riadok bude skrytý.</v>
      </c>
      <c r="CC164" s="271" t="s">
        <v>937</v>
      </c>
      <c r="CW164" s="30">
        <f>+IF(AE121="fyzická",0,1)</f>
        <v>1</v>
      </c>
      <c r="CZ164" s="30">
        <f t="shared" si="9"/>
        <v>0</v>
      </c>
      <c r="DA164" s="30">
        <f t="shared" si="7"/>
        <v>0</v>
      </c>
      <c r="DB164" s="140">
        <f t="shared" si="11"/>
        <v>0</v>
      </c>
      <c r="DS164" s="130">
        <f>SI!BY164</f>
        <v>144</v>
      </c>
      <c r="DZ164" s="131">
        <f>SI!BZ164</f>
        <v>0</v>
      </c>
    </row>
    <row r="165" spans="1:130" hidden="1" x14ac:dyDescent="0.25">
      <c r="A165" s="141"/>
      <c r="B165" s="7" t="s">
        <v>37</v>
      </c>
      <c r="CA165" s="265" t="s">
        <v>773</v>
      </c>
      <c r="CB165" s="3" t="str">
        <f t="shared" si="4"/>
        <v>Riadok bude skrytý.</v>
      </c>
      <c r="CC165" s="271" t="s">
        <v>937</v>
      </c>
      <c r="CW165" s="30">
        <f>+IF(AE121="fyzická",0,1)</f>
        <v>1</v>
      </c>
      <c r="CZ165" s="30">
        <f t="shared" si="9"/>
        <v>0</v>
      </c>
      <c r="DA165" s="30">
        <f t="shared" si="7"/>
        <v>0</v>
      </c>
      <c r="DB165" s="2">
        <f t="shared" ref="DB165:DB228" si="12">+IF($CD$1="malé",0,DA165)</f>
        <v>0</v>
      </c>
      <c r="DS165" s="130">
        <f>SI!BY165</f>
        <v>397</v>
      </c>
      <c r="DZ165" s="131">
        <f>SI!BZ165</f>
        <v>0</v>
      </c>
    </row>
    <row r="166" spans="1:130" hidden="1" x14ac:dyDescent="0.25">
      <c r="A166" s="141"/>
      <c r="B166" s="137" t="str">
        <f>+IF(YEAR(AW123)=YEAR(DC4),"Spoločnosť  vznikla v tomto účtovnom období.","")</f>
        <v/>
      </c>
      <c r="CA166" s="270"/>
      <c r="CB166" s="3" t="str">
        <f t="shared" si="4"/>
        <v>Riadok bude skrytý.</v>
      </c>
      <c r="CC166" s="271" t="s">
        <v>937</v>
      </c>
      <c r="CW166" s="30">
        <f>IF(AE121="fyzická",0,IF(B166="",0,1))</f>
        <v>0</v>
      </c>
      <c r="CZ166" s="30">
        <f t="shared" si="9"/>
        <v>0</v>
      </c>
      <c r="DA166" s="30">
        <f t="shared" si="7"/>
        <v>0</v>
      </c>
      <c r="DB166" s="2">
        <f t="shared" si="12"/>
        <v>0</v>
      </c>
      <c r="DS166" s="130">
        <f>SI!BY166</f>
        <v>152</v>
      </c>
      <c r="DZ166" s="131">
        <f>SI!BZ166</f>
        <v>0</v>
      </c>
    </row>
    <row r="167" spans="1:130" hidden="1" x14ac:dyDescent="0.25">
      <c r="A167" s="141"/>
      <c r="B167" s="137" t="s">
        <v>33</v>
      </c>
      <c r="X167" s="934">
        <f>+X162</f>
        <v>44196</v>
      </c>
      <c r="Y167" s="934"/>
      <c r="Z167" s="934"/>
      <c r="AA167" s="934"/>
      <c r="AB167" s="934"/>
      <c r="AC167" s="934"/>
      <c r="AD167" s="934"/>
      <c r="AE167" s="934"/>
      <c r="AF167" s="934"/>
      <c r="AG167" s="934"/>
      <c r="AH167" s="385" t="s">
        <v>35</v>
      </c>
      <c r="AI167" s="385"/>
      <c r="AJ167" s="385"/>
      <c r="AK167" s="385"/>
      <c r="AL167" s="385"/>
      <c r="AM167" s="385"/>
      <c r="AN167" s="137" t="str">
        <f>+IF(AH167="nebola","uložená do zbierky listín.","uložená  do zbierky listín obchodného  registra")</f>
        <v>uložená  do zbierky listín obchodného  registra</v>
      </c>
      <c r="CA167" s="270"/>
      <c r="CB167" s="3" t="str">
        <f t="shared" si="4"/>
        <v>Riadok bude skrytý.</v>
      </c>
      <c r="CC167" s="271" t="s">
        <v>937</v>
      </c>
      <c r="CF167" s="13"/>
      <c r="CW167" s="30">
        <f>+IF($AE$121="fyzická",0,IF(YEAR($AW$123)=YEAR($DC$4),0,1))</f>
        <v>1</v>
      </c>
      <c r="CZ167" s="30">
        <f t="shared" si="9"/>
        <v>0</v>
      </c>
      <c r="DA167" s="30">
        <f t="shared" si="7"/>
        <v>0</v>
      </c>
      <c r="DB167" s="2">
        <f t="shared" si="12"/>
        <v>0</v>
      </c>
      <c r="DS167" s="130">
        <f>SI!BY167</f>
        <v>10</v>
      </c>
      <c r="DZ167" s="131">
        <f>SI!BZ167</f>
        <v>0</v>
      </c>
    </row>
    <row r="168" spans="1:130" hidden="1" x14ac:dyDescent="0.25">
      <c r="A168" s="141"/>
      <c r="B168" s="137" t="str">
        <f>+IF(AH167="bola","dňa:","")</f>
        <v>dňa:</v>
      </c>
      <c r="F168" s="1416"/>
      <c r="G168" s="1416"/>
      <c r="H168" s="1416"/>
      <c r="I168" s="1416"/>
      <c r="J168" s="1416"/>
      <c r="K168" s="1416"/>
      <c r="L168" s="1416"/>
      <c r="M168" s="1416"/>
      <c r="N168" s="1416"/>
      <c r="O168" s="137" t="s">
        <v>20</v>
      </c>
      <c r="CA168" s="270"/>
      <c r="CB168" s="3" t="str">
        <f t="shared" si="4"/>
        <v>Riadok bude skrytý.</v>
      </c>
      <c r="CC168" s="271" t="s">
        <v>937</v>
      </c>
      <c r="CW168" s="30">
        <f>+IF($AE$121="fyzická",0,IF(YEAR($AW$123)=YEAR($DC$4),0,IF(AH167="nebola",0,1)))</f>
        <v>1</v>
      </c>
      <c r="CZ168" s="30">
        <f t="shared" si="9"/>
        <v>0</v>
      </c>
      <c r="DA168" s="30">
        <f t="shared" si="7"/>
        <v>0</v>
      </c>
      <c r="DB168" s="2">
        <f t="shared" si="12"/>
        <v>0</v>
      </c>
      <c r="DS168" s="130">
        <f>SI!BY168</f>
        <v>182</v>
      </c>
      <c r="DZ168" s="131">
        <f>SI!BZ168</f>
        <v>0</v>
      </c>
    </row>
    <row r="169" spans="1:130" hidden="1" x14ac:dyDescent="0.25">
      <c r="A169" s="141"/>
      <c r="CA169" s="270"/>
      <c r="CB169" s="3" t="str">
        <f t="shared" si="4"/>
        <v>Riadok bude skrytý.</v>
      </c>
      <c r="CC169" s="271" t="s">
        <v>937</v>
      </c>
      <c r="CW169" s="30">
        <f>+IF(AE121="fyzická",0,1)</f>
        <v>1</v>
      </c>
      <c r="CZ169" s="30">
        <f t="shared" si="9"/>
        <v>0</v>
      </c>
      <c r="DA169" s="30">
        <f t="shared" si="7"/>
        <v>0</v>
      </c>
      <c r="DB169" s="2">
        <f t="shared" si="12"/>
        <v>0</v>
      </c>
      <c r="DS169" s="130">
        <f>SI!BY169</f>
        <v>964</v>
      </c>
      <c r="DZ169" s="131">
        <f>SI!BZ169</f>
        <v>0</v>
      </c>
    </row>
    <row r="170" spans="1:130" hidden="1" x14ac:dyDescent="0.25">
      <c r="A170" s="141"/>
      <c r="B170" s="7" t="str">
        <f>+IF($C$52&lt;&gt;"",IF(CODE(MID($C$52,1,1))*(IF(SI!EE170="",1,SI!EE170))+LEN(SI!J2)=DS170,"Schválenie audítora","NEPOVOLENÉ POUŽITIE!"),"NEPOVOLENÉ POUŽITIE!")</f>
        <v>Schválenie audítora</v>
      </c>
      <c r="CA170" s="270"/>
      <c r="CB170" s="3" t="str">
        <f t="shared" si="4"/>
        <v>Riadok bude skrytý.</v>
      </c>
      <c r="CC170" s="271" t="s">
        <v>937</v>
      </c>
      <c r="CW170" s="30">
        <f>+IF(AE121="fyzická",0,1)</f>
        <v>1</v>
      </c>
      <c r="CZ170" s="30">
        <f t="shared" si="9"/>
        <v>0</v>
      </c>
      <c r="DA170" s="30">
        <f t="shared" si="7"/>
        <v>0</v>
      </c>
      <c r="DB170" s="2">
        <f t="shared" si="12"/>
        <v>0</v>
      </c>
      <c r="DS170" s="130">
        <f>SI!BY170</f>
        <v>13</v>
      </c>
      <c r="DZ170" s="131">
        <f>SI!BZ170</f>
        <v>0</v>
      </c>
    </row>
    <row r="171" spans="1:130" hidden="1" x14ac:dyDescent="0.25">
      <c r="A171" s="141"/>
      <c r="B171" s="137" t="s">
        <v>96</v>
      </c>
      <c r="K171" s="378" t="s">
        <v>97</v>
      </c>
      <c r="L171" s="378"/>
      <c r="M171" s="378"/>
      <c r="N171" s="378"/>
      <c r="O171" s="378"/>
      <c r="P171" s="137" t="str">
        <f>+IF($C$52&lt;&gt;"",IF(CODE(MID($C$52,1,1))*(IF(SI!EE171="",1,SI!EE171))+LEN(SI!J2)=DS171,"povinnosť overenia účtovnej závierky audítorom.","NEPOVOLENÉ POUŽITIE!"),"NEPOVOLENÉ POUŽITIE!")</f>
        <v>povinnosť overenia účtovnej závierky audítorom.</v>
      </c>
      <c r="CA171" s="270"/>
      <c r="CB171" s="3" t="str">
        <f t="shared" si="4"/>
        <v>Riadok bude skrytý.</v>
      </c>
      <c r="CC171" s="271" t="s">
        <v>937</v>
      </c>
      <c r="CW171" s="30">
        <f>+IF(AE121="fyzická",0,1)</f>
        <v>1</v>
      </c>
      <c r="CZ171" s="30">
        <f t="shared" si="9"/>
        <v>0</v>
      </c>
      <c r="DA171" s="30">
        <f t="shared" si="7"/>
        <v>0</v>
      </c>
      <c r="DB171" s="2">
        <f t="shared" si="12"/>
        <v>0</v>
      </c>
      <c r="DS171" s="130">
        <f>SI!BY171</f>
        <v>13</v>
      </c>
      <c r="DZ171" s="131">
        <f>SI!BZ171</f>
        <v>0</v>
      </c>
    </row>
    <row r="172" spans="1:130" hidden="1" x14ac:dyDescent="0.25">
      <c r="A172" s="141"/>
      <c r="B172" s="137" t="str">
        <f>+IF(K171="má","Valné zhromaždenie pre overenie účtovnej závierky od ","")</f>
        <v xml:space="preserve">Valné zhromaždenie pre overenie účtovnej závierky od </v>
      </c>
      <c r="AQ172" s="935">
        <f>+IF(K171="má",BC155,"")</f>
        <v>44197</v>
      </c>
      <c r="AR172" s="935"/>
      <c r="AS172" s="935"/>
      <c r="AT172" s="935"/>
      <c r="AU172" s="935"/>
      <c r="AV172" s="935"/>
      <c r="AW172" s="935"/>
      <c r="AX172" s="935"/>
      <c r="AY172" s="935"/>
      <c r="AZ172" s="139" t="str">
        <f>+IF(K171="má"," do","")</f>
        <v xml:space="preserve"> do</v>
      </c>
      <c r="BC172" s="935">
        <f>IF(K171="má",BO155,"")</f>
        <v>44561</v>
      </c>
      <c r="BD172" s="935"/>
      <c r="BE172" s="935"/>
      <c r="BF172" s="935"/>
      <c r="BG172" s="935"/>
      <c r="BH172" s="935"/>
      <c r="BI172" s="935"/>
      <c r="BJ172" s="935"/>
      <c r="BK172" s="935"/>
      <c r="BL172" s="935"/>
      <c r="BM172" s="935"/>
      <c r="BN172" s="137" t="str">
        <f>+IF(K171="má","schválilo:","")</f>
        <v>schválilo:</v>
      </c>
      <c r="CA172" s="270"/>
      <c r="CB172" s="3" t="str">
        <f t="shared" si="4"/>
        <v>Riadok bude skrytý.</v>
      </c>
      <c r="CC172" s="271" t="s">
        <v>937</v>
      </c>
      <c r="CW172" s="30">
        <f>IF(AE121="fyzická",0,IF(K171="nemá",0,1))</f>
        <v>1</v>
      </c>
      <c r="CZ172" s="30">
        <f t="shared" si="9"/>
        <v>0</v>
      </c>
      <c r="DA172" s="30">
        <f t="shared" si="7"/>
        <v>0</v>
      </c>
      <c r="DB172" s="2">
        <f t="shared" si="12"/>
        <v>0</v>
      </c>
      <c r="DS172" s="130">
        <f>SI!BY172</f>
        <v>148</v>
      </c>
      <c r="DZ172" s="131">
        <f>SI!BZ172</f>
        <v>0</v>
      </c>
    </row>
    <row r="173" spans="1:130" hidden="1" x14ac:dyDescent="0.25">
      <c r="A173" s="141"/>
      <c r="B173" s="406"/>
      <c r="C173" s="406"/>
      <c r="D173" s="406"/>
      <c r="E173" s="406"/>
      <c r="F173" s="406"/>
      <c r="G173" s="406"/>
      <c r="H173" s="406"/>
      <c r="I173" s="406"/>
      <c r="J173" s="406"/>
      <c r="K173" s="406"/>
      <c r="L173" s="406"/>
      <c r="M173" s="406"/>
      <c r="N173" s="406"/>
      <c r="O173" s="406"/>
      <c r="P173" s="406"/>
      <c r="Q173" s="406"/>
      <c r="R173" s="406"/>
      <c r="S173" s="406"/>
      <c r="T173" s="406"/>
      <c r="U173" s="406"/>
      <c r="V173" s="406"/>
      <c r="W173" s="406"/>
      <c r="X173" s="406"/>
      <c r="Y173" s="406"/>
      <c r="Z173" s="406"/>
      <c r="AA173" s="406"/>
      <c r="AB173" s="406"/>
      <c r="AC173" s="406"/>
      <c r="AD173" s="406"/>
      <c r="AE173" s="406"/>
      <c r="AF173" s="406"/>
      <c r="AG173" s="406"/>
      <c r="AH173" s="406"/>
      <c r="AI173" s="406"/>
      <c r="AJ173" s="406"/>
      <c r="AK173" s="406"/>
      <c r="AL173" s="406"/>
      <c r="AM173" s="406"/>
      <c r="AN173" s="406"/>
      <c r="AO173" s="406"/>
      <c r="AP173" s="406"/>
      <c r="AQ173" s="406"/>
      <c r="AR173" s="406"/>
      <c r="AS173" s="406"/>
      <c r="AT173" s="406"/>
      <c r="AU173" s="406"/>
      <c r="AV173" s="406"/>
      <c r="AW173" s="406"/>
      <c r="AX173" s="406"/>
      <c r="AY173" s="406"/>
      <c r="AZ173" s="406"/>
      <c r="BA173" s="406"/>
      <c r="BB173" s="406"/>
      <c r="BC173" s="406"/>
      <c r="BD173" s="406"/>
      <c r="BE173" s="406"/>
      <c r="BF173" s="406"/>
      <c r="BG173" s="406"/>
      <c r="BH173" s="406"/>
      <c r="BI173" s="406"/>
      <c r="BJ173" s="406"/>
      <c r="BK173" s="406"/>
      <c r="BL173" s="406"/>
      <c r="BM173" s="406"/>
      <c r="BN173" s="406"/>
      <c r="BO173" s="406"/>
      <c r="BP173" s="406"/>
      <c r="BQ173" s="406"/>
      <c r="BR173" s="406"/>
      <c r="BS173" s="406"/>
      <c r="BT173" s="406"/>
      <c r="BU173" s="406"/>
      <c r="BV173" s="406"/>
      <c r="BW173" s="406"/>
      <c r="BX173" s="406"/>
      <c r="BY173" s="406"/>
      <c r="BZ173" s="406"/>
      <c r="CA173" s="270"/>
      <c r="CB173" s="3" t="str">
        <f t="shared" si="4"/>
        <v>Riadok bude skrytý.</v>
      </c>
      <c r="CC173" s="271" t="s">
        <v>937</v>
      </c>
      <c r="CD173" s="4" t="str">
        <f>+IF(K171="má","meno schváleného audítora, resp. spoločnosti","")</f>
        <v>meno schváleného audítora, resp. spoločnosti</v>
      </c>
      <c r="CW173" s="30">
        <f>IF(AE121="fyzická",0,IF(K171="nemá",0,1))</f>
        <v>1</v>
      </c>
      <c r="CZ173" s="30">
        <f t="shared" si="9"/>
        <v>0</v>
      </c>
      <c r="DA173" s="30">
        <f t="shared" si="7"/>
        <v>0</v>
      </c>
      <c r="DB173" s="2">
        <f t="shared" si="12"/>
        <v>0</v>
      </c>
      <c r="DS173" s="130">
        <f>SI!BY173</f>
        <v>335</v>
      </c>
      <c r="DZ173" s="131">
        <f>SI!BZ173</f>
        <v>0</v>
      </c>
    </row>
    <row r="174" spans="1:130" x14ac:dyDescent="0.25">
      <c r="A174" s="141"/>
      <c r="CA174" s="142"/>
      <c r="CB174" s="3" t="str">
        <f t="shared" si="4"/>
        <v>Riadok bude vidieť.</v>
      </c>
      <c r="CW174" s="49">
        <v>1</v>
      </c>
      <c r="CZ174" s="30">
        <f t="shared" si="9"/>
        <v>1</v>
      </c>
      <c r="DA174" s="30">
        <f t="shared" ref="DA174:DA181" si="13">+IF(CW174+CX174+CY174=0,0,IF(CZ174=0,0,1))</f>
        <v>1</v>
      </c>
      <c r="DB174" s="140">
        <f>+DA174</f>
        <v>1</v>
      </c>
      <c r="DS174" s="130">
        <f>SI!BY174</f>
        <v>147</v>
      </c>
      <c r="DZ174" s="131">
        <f>SI!BZ174</f>
        <v>0</v>
      </c>
    </row>
    <row r="175" spans="1:130" ht="17" hidden="1" thickBot="1" x14ac:dyDescent="0.35">
      <c r="A175" s="141"/>
      <c r="B175" s="21"/>
      <c r="C175" s="268"/>
      <c r="D175" s="268"/>
      <c r="E175" s="22" t="s">
        <v>38</v>
      </c>
      <c r="F175" s="268"/>
      <c r="G175" s="125"/>
      <c r="H175" s="22"/>
      <c r="I175" s="268"/>
      <c r="J175" s="268"/>
      <c r="K175" s="268"/>
      <c r="L175" s="268"/>
      <c r="M175" s="268"/>
      <c r="N175" s="268"/>
      <c r="O175" s="268"/>
      <c r="P175" s="268"/>
      <c r="Q175" s="268"/>
      <c r="R175" s="268"/>
      <c r="S175" s="268"/>
      <c r="T175" s="268"/>
      <c r="U175" s="268"/>
      <c r="V175" s="268"/>
      <c r="W175" s="268"/>
      <c r="X175" s="268"/>
      <c r="Y175" s="268"/>
      <c r="Z175" s="268"/>
      <c r="AA175" s="268"/>
      <c r="AB175" s="268"/>
      <c r="AC175" s="268"/>
      <c r="AD175" s="268"/>
      <c r="AE175" s="268"/>
      <c r="AF175" s="268"/>
      <c r="AG175" s="268"/>
      <c r="AH175" s="268"/>
      <c r="AI175" s="268"/>
      <c r="AJ175" s="268"/>
      <c r="AK175" s="276"/>
      <c r="AL175" s="276"/>
      <c r="AM175" s="276"/>
      <c r="AN175" s="276"/>
      <c r="AO175" s="276"/>
      <c r="AP175" s="276"/>
      <c r="AQ175" s="276"/>
      <c r="AR175" s="276"/>
      <c r="AS175" s="276"/>
      <c r="AT175" s="276"/>
      <c r="AU175" s="276"/>
      <c r="AV175" s="276"/>
      <c r="AW175" s="276"/>
      <c r="AX175" s="276"/>
      <c r="AY175" s="276"/>
      <c r="AZ175" s="276"/>
      <c r="BA175" s="276"/>
      <c r="BB175" s="276"/>
      <c r="BC175" s="276"/>
      <c r="BD175" s="932" t="str">
        <f>SI!J2</f>
        <v>Resumo s.r.o.</v>
      </c>
      <c r="BE175" s="932"/>
      <c r="BF175" s="932"/>
      <c r="BG175" s="932"/>
      <c r="BH175" s="932"/>
      <c r="BI175" s="932"/>
      <c r="BJ175" s="932"/>
      <c r="BK175" s="932"/>
      <c r="BL175" s="932"/>
      <c r="BM175" s="932"/>
      <c r="BN175" s="932"/>
      <c r="BO175" s="932"/>
      <c r="BP175" s="932"/>
      <c r="BQ175" s="932"/>
      <c r="BR175" s="932"/>
      <c r="BS175" s="932"/>
      <c r="BT175" s="932"/>
      <c r="BU175" s="932"/>
      <c r="BV175" s="932"/>
      <c r="BW175" s="932"/>
      <c r="BX175" s="932"/>
      <c r="BY175" s="932"/>
      <c r="BZ175" s="933"/>
      <c r="CA175" s="265" t="s">
        <v>773</v>
      </c>
      <c r="CB175" s="3" t="str">
        <f t="shared" si="4"/>
        <v>Riadok bude skrytý.</v>
      </c>
      <c r="CC175" s="271" t="s">
        <v>937</v>
      </c>
      <c r="CW175" s="49">
        <v>1</v>
      </c>
      <c r="CZ175" s="30">
        <f t="shared" si="9"/>
        <v>0</v>
      </c>
      <c r="DA175" s="30">
        <f t="shared" si="13"/>
        <v>0</v>
      </c>
      <c r="DB175" s="2">
        <f t="shared" si="12"/>
        <v>0</v>
      </c>
      <c r="DS175" s="130">
        <f>SI!BY175</f>
        <v>121</v>
      </c>
      <c r="DZ175" s="131">
        <f>SI!BZ175</f>
        <v>0</v>
      </c>
    </row>
    <row r="176" spans="1:130" hidden="1" x14ac:dyDescent="0.25">
      <c r="A176" s="141"/>
      <c r="CA176" s="142"/>
      <c r="CB176" s="3" t="str">
        <f t="shared" si="4"/>
        <v>Riadok bude skrytý.</v>
      </c>
      <c r="CC176" s="271" t="s">
        <v>937</v>
      </c>
      <c r="CW176" s="49">
        <v>1</v>
      </c>
      <c r="CZ176" s="30">
        <f t="shared" si="9"/>
        <v>0</v>
      </c>
      <c r="DA176" s="30">
        <f t="shared" si="13"/>
        <v>0</v>
      </c>
      <c r="DB176" s="2">
        <f t="shared" si="12"/>
        <v>0</v>
      </c>
      <c r="DS176" s="130">
        <f>SI!BY176</f>
        <v>153</v>
      </c>
      <c r="DZ176" s="131">
        <f>SI!BZ176</f>
        <v>0</v>
      </c>
    </row>
    <row r="177" spans="1:130" hidden="1" x14ac:dyDescent="0.25">
      <c r="A177" s="141"/>
      <c r="B177" s="7" t="s">
        <v>1019</v>
      </c>
      <c r="CA177" s="142"/>
      <c r="CB177" s="3" t="str">
        <f t="shared" si="4"/>
        <v>Riadok bude skrytý.</v>
      </c>
      <c r="CC177" s="271" t="s">
        <v>937</v>
      </c>
      <c r="CW177" s="49">
        <v>1</v>
      </c>
      <c r="CZ177" s="30">
        <f>IF(CC177="",1,IF(CC177="Chcem skryť riadok.",0,1))</f>
        <v>0</v>
      </c>
      <c r="DA177" s="30">
        <f>+IF(CW177+CX177+CY177=0,0,IF(CZ177=0,0,1))</f>
        <v>0</v>
      </c>
      <c r="DB177" s="2">
        <f t="shared" si="12"/>
        <v>0</v>
      </c>
      <c r="DS177" s="130">
        <f>SI!BY177</f>
        <v>800</v>
      </c>
      <c r="DZ177" s="131">
        <f>SI!BZ177</f>
        <v>0</v>
      </c>
    </row>
    <row r="178" spans="1:130" hidden="1" x14ac:dyDescent="0.25">
      <c r="A178" s="141"/>
      <c r="B178" s="137" t="str">
        <f>+IF($Q$52&lt;&gt;"",IF((CODE(MID($Q$52,1,1)))*(GCD(121,132))*(IF(SI!EE178="",1,SI!EE178))+(LEN(SI!J5)+LEN(SI!J6))=DS178,"Informácie o štatutároch spoločnosti a období výkonu funkcie sú uvedené v tabuľke: ","NEPOVOLENÉ POUŽITIE!"),"NEPOVOLENÉ POUŽITIE!")</f>
        <v xml:space="preserve">Informácie o štatutároch spoločnosti a období výkonu funkcie sú uvedené v tabuľke: </v>
      </c>
      <c r="CA178" s="142"/>
      <c r="CB178" s="3" t="str">
        <f t="shared" si="4"/>
        <v>Riadok bude skrytý.</v>
      </c>
      <c r="CC178" s="271" t="s">
        <v>937</v>
      </c>
      <c r="CW178" s="49">
        <v>1</v>
      </c>
      <c r="CZ178" s="30">
        <f t="shared" si="9"/>
        <v>0</v>
      </c>
      <c r="DA178" s="30">
        <f t="shared" si="13"/>
        <v>0</v>
      </c>
      <c r="DB178" s="2">
        <f t="shared" si="12"/>
        <v>0</v>
      </c>
      <c r="DS178" s="130">
        <f>SI!BY178</f>
        <v>20</v>
      </c>
      <c r="DZ178" s="131">
        <f>SI!BZ178</f>
        <v>0</v>
      </c>
    </row>
    <row r="179" spans="1:130" hidden="1" x14ac:dyDescent="0.25">
      <c r="A179" s="141"/>
      <c r="CA179" s="142"/>
      <c r="CB179" s="3" t="str">
        <f t="shared" ref="CB179:CB242" si="14">+IF(DB179=0,"Riadok bude skrytý.","Riadok bude vidieť.")</f>
        <v>Riadok bude skrytý.</v>
      </c>
      <c r="CC179" s="271" t="s">
        <v>937</v>
      </c>
      <c r="CD179" s="121" t="s">
        <v>967</v>
      </c>
      <c r="CE179" s="121"/>
      <c r="CW179" s="49">
        <v>1</v>
      </c>
      <c r="CZ179" s="30">
        <f t="shared" si="9"/>
        <v>0</v>
      </c>
      <c r="DA179" s="30">
        <f t="shared" si="13"/>
        <v>0</v>
      </c>
      <c r="DB179" s="2">
        <f t="shared" si="12"/>
        <v>0</v>
      </c>
      <c r="DS179" s="130">
        <f>SI!BY179</f>
        <v>136</v>
      </c>
      <c r="DZ179" s="131">
        <f>SI!BZ179</f>
        <v>0</v>
      </c>
    </row>
    <row r="180" spans="1:130" hidden="1" x14ac:dyDescent="0.25">
      <c r="A180" s="141"/>
      <c r="B180" s="922" t="s">
        <v>829</v>
      </c>
      <c r="C180" s="923"/>
      <c r="D180" s="923"/>
      <c r="E180" s="923"/>
      <c r="F180" s="923"/>
      <c r="G180" s="923"/>
      <c r="H180" s="923"/>
      <c r="I180" s="923"/>
      <c r="J180" s="923"/>
      <c r="K180" s="923"/>
      <c r="L180" s="923"/>
      <c r="M180" s="923"/>
      <c r="N180" s="923"/>
      <c r="O180" s="923"/>
      <c r="P180" s="923"/>
      <c r="Q180" s="923"/>
      <c r="R180" s="923"/>
      <c r="S180" s="923"/>
      <c r="T180" s="923"/>
      <c r="U180" s="923"/>
      <c r="V180" s="923"/>
      <c r="W180" s="923"/>
      <c r="X180" s="923"/>
      <c r="Y180" s="927" t="s">
        <v>831</v>
      </c>
      <c r="Z180" s="928"/>
      <c r="AA180" s="928"/>
      <c r="AB180" s="928"/>
      <c r="AC180" s="928"/>
      <c r="AD180" s="928"/>
      <c r="AE180" s="928"/>
      <c r="AF180" s="928"/>
      <c r="AG180" s="928"/>
      <c r="AH180" s="928"/>
      <c r="AI180" s="928"/>
      <c r="AJ180" s="928"/>
      <c r="AK180" s="928"/>
      <c r="AL180" s="928"/>
      <c r="AM180" s="928"/>
      <c r="AN180" s="928"/>
      <c r="AO180" s="928"/>
      <c r="AP180" s="928"/>
      <c r="AQ180" s="928"/>
      <c r="AR180" s="928"/>
      <c r="AS180" s="928"/>
      <c r="AT180" s="928"/>
      <c r="AU180" s="928"/>
      <c r="AV180" s="928"/>
      <c r="AW180" s="928"/>
      <c r="AX180" s="928"/>
      <c r="AY180" s="928"/>
      <c r="AZ180" s="928"/>
      <c r="BA180" s="928"/>
      <c r="BB180" s="928"/>
      <c r="BC180" s="928"/>
      <c r="BD180" s="928"/>
      <c r="BE180" s="928"/>
      <c r="BF180" s="928"/>
      <c r="BG180" s="88"/>
      <c r="BH180" s="951" t="s">
        <v>22</v>
      </c>
      <c r="BI180" s="951"/>
      <c r="BJ180" s="951"/>
      <c r="BK180" s="951"/>
      <c r="BL180" s="951"/>
      <c r="BM180" s="951"/>
      <c r="BN180" s="951"/>
      <c r="BO180" s="951"/>
      <c r="BP180" s="951"/>
      <c r="BQ180" s="952"/>
      <c r="BR180" s="951" t="s">
        <v>21</v>
      </c>
      <c r="BS180" s="951"/>
      <c r="BT180" s="951"/>
      <c r="BU180" s="951"/>
      <c r="BV180" s="951"/>
      <c r="BW180" s="951"/>
      <c r="BX180" s="951"/>
      <c r="BY180" s="951"/>
      <c r="BZ180" s="952"/>
      <c r="CA180" s="142"/>
      <c r="CB180" s="3" t="str">
        <f t="shared" si="14"/>
        <v>Riadok bude skrytý.</v>
      </c>
      <c r="CC180" s="271" t="s">
        <v>937</v>
      </c>
      <c r="CD180" s="137"/>
      <c r="CE180" s="137"/>
      <c r="CF180" s="137"/>
      <c r="CG180" s="137"/>
      <c r="CH180" s="137"/>
      <c r="CI180" s="137"/>
      <c r="CJ180" s="137"/>
      <c r="CW180" s="49">
        <v>1</v>
      </c>
      <c r="CZ180" s="30">
        <f t="shared" si="9"/>
        <v>0</v>
      </c>
      <c r="DA180" s="30">
        <f t="shared" si="13"/>
        <v>0</v>
      </c>
      <c r="DB180" s="2">
        <f t="shared" si="12"/>
        <v>0</v>
      </c>
      <c r="DS180" s="130">
        <f>SI!BY180</f>
        <v>111</v>
      </c>
      <c r="DZ180" s="131">
        <f>SI!BZ180</f>
        <v>0</v>
      </c>
    </row>
    <row r="181" spans="1:130" hidden="1" x14ac:dyDescent="0.25">
      <c r="A181" s="141"/>
      <c r="B181" s="929" t="s">
        <v>849</v>
      </c>
      <c r="C181" s="930"/>
      <c r="D181" s="930"/>
      <c r="E181" s="930"/>
      <c r="F181" s="930"/>
      <c r="G181" s="930"/>
      <c r="H181" s="930"/>
      <c r="I181" s="930"/>
      <c r="J181" s="930"/>
      <c r="K181" s="930"/>
      <c r="L181" s="930"/>
      <c r="M181" s="930"/>
      <c r="N181" s="930"/>
      <c r="O181" s="930"/>
      <c r="P181" s="930"/>
      <c r="Q181" s="930"/>
      <c r="R181" s="930"/>
      <c r="S181" s="930"/>
      <c r="T181" s="930"/>
      <c r="U181" s="930"/>
      <c r="V181" s="930"/>
      <c r="W181" s="930"/>
      <c r="X181" s="930"/>
      <c r="Y181" s="1004"/>
      <c r="Z181" s="1005"/>
      <c r="AA181" s="1005"/>
      <c r="AB181" s="1005"/>
      <c r="AC181" s="1005"/>
      <c r="AD181" s="1005"/>
      <c r="AE181" s="1005"/>
      <c r="AF181" s="1005"/>
      <c r="AG181" s="1005"/>
      <c r="AH181" s="1005"/>
      <c r="AI181" s="1005"/>
      <c r="AJ181" s="1005"/>
      <c r="AK181" s="1005"/>
      <c r="AL181" s="1005"/>
      <c r="AM181" s="1005"/>
      <c r="AN181" s="1005"/>
      <c r="AO181" s="1005"/>
      <c r="AP181" s="1005"/>
      <c r="AQ181" s="1005"/>
      <c r="AR181" s="1005"/>
      <c r="AS181" s="1005"/>
      <c r="AT181" s="1005"/>
      <c r="AU181" s="1005"/>
      <c r="AV181" s="1005"/>
      <c r="AW181" s="1005"/>
      <c r="AX181" s="1005"/>
      <c r="AY181" s="1005"/>
      <c r="AZ181" s="1005"/>
      <c r="BA181" s="1005"/>
      <c r="BB181" s="1005"/>
      <c r="BC181" s="1005"/>
      <c r="BD181" s="1005"/>
      <c r="BE181" s="1005"/>
      <c r="BF181" s="1006"/>
      <c r="BG181" s="937"/>
      <c r="BH181" s="938"/>
      <c r="BI181" s="938"/>
      <c r="BJ181" s="938"/>
      <c r="BK181" s="938"/>
      <c r="BL181" s="938"/>
      <c r="BM181" s="938"/>
      <c r="BN181" s="938"/>
      <c r="BO181" s="938"/>
      <c r="BP181" s="938"/>
      <c r="BQ181" s="939"/>
      <c r="BR181" s="971"/>
      <c r="BS181" s="972"/>
      <c r="BT181" s="972"/>
      <c r="BU181" s="972"/>
      <c r="BV181" s="972"/>
      <c r="BW181" s="972"/>
      <c r="BX181" s="972"/>
      <c r="BY181" s="972"/>
      <c r="BZ181" s="973"/>
      <c r="CA181" s="270"/>
      <c r="CB181" s="3" t="str">
        <f t="shared" si="14"/>
        <v>Riadok bude skrytý.</v>
      </c>
      <c r="CC181" s="271" t="s">
        <v>937</v>
      </c>
      <c r="CW181" s="49">
        <v>1</v>
      </c>
      <c r="CZ181" s="30">
        <f t="shared" si="9"/>
        <v>0</v>
      </c>
      <c r="DA181" s="30">
        <f t="shared" si="13"/>
        <v>0</v>
      </c>
      <c r="DB181" s="2">
        <f t="shared" si="12"/>
        <v>0</v>
      </c>
      <c r="DS181" s="130">
        <f>SI!BY181</f>
        <v>197</v>
      </c>
      <c r="DZ181" s="131">
        <f>SI!BZ181</f>
        <v>0</v>
      </c>
    </row>
    <row r="182" spans="1:130" hidden="1" x14ac:dyDescent="0.25">
      <c r="A182" s="141"/>
      <c r="B182" s="57"/>
      <c r="C182" s="58"/>
      <c r="D182" s="58"/>
      <c r="E182" s="58"/>
      <c r="F182" s="58"/>
      <c r="G182" s="58"/>
      <c r="H182" s="58"/>
      <c r="I182" s="58"/>
      <c r="J182" s="58"/>
      <c r="K182" s="58"/>
      <c r="L182" s="58"/>
      <c r="M182" s="58"/>
      <c r="N182" s="58"/>
      <c r="O182" s="58"/>
      <c r="P182" s="58"/>
      <c r="Q182" s="58"/>
      <c r="R182" s="58"/>
      <c r="S182" s="58"/>
      <c r="T182" s="58"/>
      <c r="U182" s="58"/>
      <c r="V182" s="58"/>
      <c r="W182" s="58"/>
      <c r="X182" s="58"/>
      <c r="Y182" s="916"/>
      <c r="Z182" s="917"/>
      <c r="AA182" s="917"/>
      <c r="AB182" s="917"/>
      <c r="AC182" s="917"/>
      <c r="AD182" s="917"/>
      <c r="AE182" s="917"/>
      <c r="AF182" s="917"/>
      <c r="AG182" s="917"/>
      <c r="AH182" s="917"/>
      <c r="AI182" s="917"/>
      <c r="AJ182" s="917"/>
      <c r="AK182" s="917"/>
      <c r="AL182" s="917"/>
      <c r="AM182" s="917"/>
      <c r="AN182" s="917"/>
      <c r="AO182" s="917"/>
      <c r="AP182" s="917"/>
      <c r="AQ182" s="917"/>
      <c r="AR182" s="917"/>
      <c r="AS182" s="917"/>
      <c r="AT182" s="917"/>
      <c r="AU182" s="917"/>
      <c r="AV182" s="917"/>
      <c r="AW182" s="917"/>
      <c r="AX182" s="917"/>
      <c r="AY182" s="917"/>
      <c r="AZ182" s="917"/>
      <c r="BA182" s="917"/>
      <c r="BB182" s="917"/>
      <c r="BC182" s="917"/>
      <c r="BD182" s="917"/>
      <c r="BE182" s="917"/>
      <c r="BF182" s="918"/>
      <c r="BG182" s="931"/>
      <c r="BH182" s="905"/>
      <c r="BI182" s="905"/>
      <c r="BJ182" s="905"/>
      <c r="BK182" s="905"/>
      <c r="BL182" s="905"/>
      <c r="BM182" s="905"/>
      <c r="BN182" s="905"/>
      <c r="BO182" s="905"/>
      <c r="BP182" s="905"/>
      <c r="BQ182" s="906"/>
      <c r="BR182" s="901"/>
      <c r="BS182" s="902"/>
      <c r="BT182" s="902"/>
      <c r="BU182" s="902"/>
      <c r="BV182" s="902"/>
      <c r="BW182" s="902"/>
      <c r="BX182" s="902"/>
      <c r="BY182" s="902"/>
      <c r="BZ182" s="903"/>
      <c r="CA182" s="270"/>
      <c r="CB182" s="3" t="str">
        <f t="shared" si="14"/>
        <v>Riadok bude skrytý.</v>
      </c>
      <c r="CC182" s="271" t="s">
        <v>937</v>
      </c>
      <c r="CW182" s="30">
        <f t="shared" ref="CW182:CW187" si="15">+IF($B$181="Fyzická osoba-SZČO",0,1)</f>
        <v>1</v>
      </c>
      <c r="CX182" s="30">
        <f t="shared" ref="CX182:CX190" si="16">+IF(Y182="",0,1)</f>
        <v>0</v>
      </c>
      <c r="CZ182" s="30">
        <f t="shared" si="9"/>
        <v>0</v>
      </c>
      <c r="DA182" s="52">
        <f>+IF(CW182*CX182=0,0,IF(CZ182=0,0,1))</f>
        <v>0</v>
      </c>
      <c r="DB182" s="2">
        <f t="shared" si="12"/>
        <v>0</v>
      </c>
      <c r="DS182" s="130">
        <f>SI!BY182</f>
        <v>235</v>
      </c>
      <c r="DZ182" s="131">
        <f>SI!BZ182</f>
        <v>0</v>
      </c>
    </row>
    <row r="183" spans="1:130" hidden="1" x14ac:dyDescent="0.25">
      <c r="A183" s="141"/>
      <c r="B183" s="57" t="str">
        <f>+IF(B181="Predseda predstavenstva","Členovia predstavenstva",IF(B181="Predseda družstva","Členovia predstavenstva",""))</f>
        <v/>
      </c>
      <c r="C183" s="58"/>
      <c r="D183" s="58"/>
      <c r="E183" s="58"/>
      <c r="F183" s="58"/>
      <c r="G183" s="58"/>
      <c r="H183" s="58"/>
      <c r="I183" s="58"/>
      <c r="J183" s="58"/>
      <c r="K183" s="58"/>
      <c r="L183" s="58"/>
      <c r="M183" s="58"/>
      <c r="N183" s="58"/>
      <c r="O183" s="58"/>
      <c r="P183" s="58"/>
      <c r="Q183" s="58"/>
      <c r="R183" s="58"/>
      <c r="S183" s="58"/>
      <c r="T183" s="58"/>
      <c r="U183" s="58"/>
      <c r="V183" s="58"/>
      <c r="W183" s="58"/>
      <c r="X183" s="58"/>
      <c r="Y183" s="916"/>
      <c r="Z183" s="917"/>
      <c r="AA183" s="917"/>
      <c r="AB183" s="917"/>
      <c r="AC183" s="917"/>
      <c r="AD183" s="917"/>
      <c r="AE183" s="917"/>
      <c r="AF183" s="917"/>
      <c r="AG183" s="917"/>
      <c r="AH183" s="917"/>
      <c r="AI183" s="917"/>
      <c r="AJ183" s="917"/>
      <c r="AK183" s="917"/>
      <c r="AL183" s="917"/>
      <c r="AM183" s="917"/>
      <c r="AN183" s="917"/>
      <c r="AO183" s="917"/>
      <c r="AP183" s="917"/>
      <c r="AQ183" s="917"/>
      <c r="AR183" s="917"/>
      <c r="AS183" s="917"/>
      <c r="AT183" s="917"/>
      <c r="AU183" s="917"/>
      <c r="AV183" s="917"/>
      <c r="AW183" s="917"/>
      <c r="AX183" s="917"/>
      <c r="AY183" s="917"/>
      <c r="AZ183" s="917"/>
      <c r="BA183" s="917"/>
      <c r="BB183" s="917"/>
      <c r="BC183" s="917"/>
      <c r="BD183" s="917"/>
      <c r="BE183" s="917"/>
      <c r="BF183" s="918"/>
      <c r="BG183" s="931"/>
      <c r="BH183" s="905"/>
      <c r="BI183" s="905"/>
      <c r="BJ183" s="905"/>
      <c r="BK183" s="905"/>
      <c r="BL183" s="905"/>
      <c r="BM183" s="905"/>
      <c r="BN183" s="905"/>
      <c r="BO183" s="905"/>
      <c r="BP183" s="905"/>
      <c r="BQ183" s="906"/>
      <c r="BR183" s="901"/>
      <c r="BS183" s="902"/>
      <c r="BT183" s="902"/>
      <c r="BU183" s="902"/>
      <c r="BV183" s="902"/>
      <c r="BW183" s="902"/>
      <c r="BX183" s="902"/>
      <c r="BY183" s="902"/>
      <c r="BZ183" s="903"/>
      <c r="CA183" s="270"/>
      <c r="CB183" s="3" t="str">
        <f t="shared" si="14"/>
        <v>Riadok bude skrytý.</v>
      </c>
      <c r="CC183" s="271" t="s">
        <v>937</v>
      </c>
      <c r="CW183" s="30">
        <f t="shared" si="15"/>
        <v>1</v>
      </c>
      <c r="CX183" s="30">
        <f t="shared" si="16"/>
        <v>0</v>
      </c>
      <c r="CZ183" s="30">
        <f t="shared" si="9"/>
        <v>0</v>
      </c>
      <c r="DA183" s="52">
        <f t="shared" ref="DA183:DA199" si="17">+IF(CW183*CX183=0,0,IF(CZ183=0,0,1))</f>
        <v>0</v>
      </c>
      <c r="DB183" s="2">
        <f t="shared" si="12"/>
        <v>0</v>
      </c>
      <c r="DS183" s="130">
        <f>SI!BY183</f>
        <v>3</v>
      </c>
      <c r="DZ183" s="131">
        <f>SI!BZ183</f>
        <v>0</v>
      </c>
    </row>
    <row r="184" spans="1:130" hidden="1" x14ac:dyDescent="0.25">
      <c r="A184" s="141"/>
      <c r="B184" s="57"/>
      <c r="C184" s="58"/>
      <c r="D184" s="58"/>
      <c r="E184" s="58"/>
      <c r="F184" s="58"/>
      <c r="G184" s="58"/>
      <c r="H184" s="58"/>
      <c r="I184" s="58"/>
      <c r="J184" s="58"/>
      <c r="K184" s="58"/>
      <c r="L184" s="58"/>
      <c r="M184" s="58"/>
      <c r="N184" s="58"/>
      <c r="O184" s="58"/>
      <c r="P184" s="58"/>
      <c r="Q184" s="58"/>
      <c r="R184" s="58"/>
      <c r="S184" s="58"/>
      <c r="T184" s="58"/>
      <c r="U184" s="58"/>
      <c r="V184" s="58"/>
      <c r="W184" s="58"/>
      <c r="X184" s="58"/>
      <c r="Y184" s="916"/>
      <c r="Z184" s="917"/>
      <c r="AA184" s="917"/>
      <c r="AB184" s="917"/>
      <c r="AC184" s="917"/>
      <c r="AD184" s="917"/>
      <c r="AE184" s="917"/>
      <c r="AF184" s="917"/>
      <c r="AG184" s="917"/>
      <c r="AH184" s="917"/>
      <c r="AI184" s="917"/>
      <c r="AJ184" s="917"/>
      <c r="AK184" s="917"/>
      <c r="AL184" s="917"/>
      <c r="AM184" s="917"/>
      <c r="AN184" s="917"/>
      <c r="AO184" s="917"/>
      <c r="AP184" s="917"/>
      <c r="AQ184" s="917"/>
      <c r="AR184" s="917"/>
      <c r="AS184" s="917"/>
      <c r="AT184" s="917"/>
      <c r="AU184" s="917"/>
      <c r="AV184" s="917"/>
      <c r="AW184" s="917"/>
      <c r="AX184" s="917"/>
      <c r="AY184" s="917"/>
      <c r="AZ184" s="917"/>
      <c r="BA184" s="917"/>
      <c r="BB184" s="917"/>
      <c r="BC184" s="917"/>
      <c r="BD184" s="917"/>
      <c r="BE184" s="917"/>
      <c r="BF184" s="918"/>
      <c r="BG184" s="904"/>
      <c r="BH184" s="905"/>
      <c r="BI184" s="905"/>
      <c r="BJ184" s="905"/>
      <c r="BK184" s="905"/>
      <c r="BL184" s="905"/>
      <c r="BM184" s="905"/>
      <c r="BN184" s="905"/>
      <c r="BO184" s="905"/>
      <c r="BP184" s="905"/>
      <c r="BQ184" s="906"/>
      <c r="BR184" s="901"/>
      <c r="BS184" s="902"/>
      <c r="BT184" s="902"/>
      <c r="BU184" s="902"/>
      <c r="BV184" s="902"/>
      <c r="BW184" s="902"/>
      <c r="BX184" s="902"/>
      <c r="BY184" s="902"/>
      <c r="BZ184" s="903"/>
      <c r="CA184" s="270"/>
      <c r="CB184" s="3" t="str">
        <f t="shared" si="14"/>
        <v>Riadok bude skrytý.</v>
      </c>
      <c r="CC184" s="271" t="s">
        <v>937</v>
      </c>
      <c r="CW184" s="30">
        <f t="shared" si="15"/>
        <v>1</v>
      </c>
      <c r="CX184" s="30">
        <f t="shared" si="16"/>
        <v>0</v>
      </c>
      <c r="CZ184" s="30">
        <f t="shared" si="9"/>
        <v>0</v>
      </c>
      <c r="DA184" s="52">
        <f t="shared" si="17"/>
        <v>0</v>
      </c>
      <c r="DB184" s="2">
        <f t="shared" si="12"/>
        <v>0</v>
      </c>
      <c r="DS184" s="130">
        <f>SI!BY184</f>
        <v>372</v>
      </c>
      <c r="DZ184" s="131">
        <f>SI!BZ184</f>
        <v>0</v>
      </c>
    </row>
    <row r="185" spans="1:130" hidden="1" x14ac:dyDescent="0.25">
      <c r="A185" s="141"/>
      <c r="B185" s="57"/>
      <c r="C185" s="58"/>
      <c r="D185" s="58"/>
      <c r="E185" s="58"/>
      <c r="F185" s="58"/>
      <c r="G185" s="58"/>
      <c r="H185" s="58"/>
      <c r="I185" s="58"/>
      <c r="J185" s="58"/>
      <c r="K185" s="58"/>
      <c r="L185" s="58"/>
      <c r="M185" s="58"/>
      <c r="N185" s="58"/>
      <c r="O185" s="58"/>
      <c r="P185" s="58"/>
      <c r="Q185" s="58"/>
      <c r="R185" s="58"/>
      <c r="S185" s="58"/>
      <c r="T185" s="58"/>
      <c r="U185" s="58"/>
      <c r="V185" s="58"/>
      <c r="W185" s="58"/>
      <c r="X185" s="58"/>
      <c r="Y185" s="916"/>
      <c r="Z185" s="917"/>
      <c r="AA185" s="917"/>
      <c r="AB185" s="917"/>
      <c r="AC185" s="917"/>
      <c r="AD185" s="917"/>
      <c r="AE185" s="917"/>
      <c r="AF185" s="917"/>
      <c r="AG185" s="917"/>
      <c r="AH185" s="917"/>
      <c r="AI185" s="917"/>
      <c r="AJ185" s="917"/>
      <c r="AK185" s="917"/>
      <c r="AL185" s="917"/>
      <c r="AM185" s="917"/>
      <c r="AN185" s="917"/>
      <c r="AO185" s="917"/>
      <c r="AP185" s="917"/>
      <c r="AQ185" s="917"/>
      <c r="AR185" s="917"/>
      <c r="AS185" s="917"/>
      <c r="AT185" s="917"/>
      <c r="AU185" s="917"/>
      <c r="AV185" s="917"/>
      <c r="AW185" s="917"/>
      <c r="AX185" s="917"/>
      <c r="AY185" s="917"/>
      <c r="AZ185" s="917"/>
      <c r="BA185" s="917"/>
      <c r="BB185" s="917"/>
      <c r="BC185" s="917"/>
      <c r="BD185" s="917"/>
      <c r="BE185" s="917"/>
      <c r="BF185" s="918"/>
      <c r="BG185" s="904"/>
      <c r="BH185" s="905"/>
      <c r="BI185" s="905"/>
      <c r="BJ185" s="905"/>
      <c r="BK185" s="905"/>
      <c r="BL185" s="905"/>
      <c r="BM185" s="905"/>
      <c r="BN185" s="905"/>
      <c r="BO185" s="905"/>
      <c r="BP185" s="905"/>
      <c r="BQ185" s="906"/>
      <c r="BR185" s="901"/>
      <c r="BS185" s="902"/>
      <c r="BT185" s="902"/>
      <c r="BU185" s="902"/>
      <c r="BV185" s="902"/>
      <c r="BW185" s="902"/>
      <c r="BX185" s="902"/>
      <c r="BY185" s="902"/>
      <c r="BZ185" s="903"/>
      <c r="CA185" s="270"/>
      <c r="CB185" s="3" t="str">
        <f t="shared" si="14"/>
        <v>Riadok bude skrytý.</v>
      </c>
      <c r="CC185" s="271" t="s">
        <v>937</v>
      </c>
      <c r="CW185" s="30">
        <f t="shared" si="15"/>
        <v>1</v>
      </c>
      <c r="CX185" s="30">
        <f t="shared" si="16"/>
        <v>0</v>
      </c>
      <c r="CZ185" s="30">
        <f t="shared" si="9"/>
        <v>0</v>
      </c>
      <c r="DA185" s="52">
        <f t="shared" si="17"/>
        <v>0</v>
      </c>
      <c r="DB185" s="2">
        <f t="shared" si="12"/>
        <v>0</v>
      </c>
      <c r="DS185" s="130">
        <f>SI!BY185</f>
        <v>173</v>
      </c>
      <c r="DZ185" s="131">
        <f>SI!BZ185</f>
        <v>0</v>
      </c>
    </row>
    <row r="186" spans="1:130" hidden="1" x14ac:dyDescent="0.25">
      <c r="A186" s="141"/>
      <c r="B186" s="57"/>
      <c r="C186" s="58"/>
      <c r="D186" s="58"/>
      <c r="E186" s="58"/>
      <c r="F186" s="58"/>
      <c r="G186" s="58"/>
      <c r="H186" s="58"/>
      <c r="I186" s="58"/>
      <c r="J186" s="58"/>
      <c r="K186" s="58"/>
      <c r="L186" s="58"/>
      <c r="M186" s="58"/>
      <c r="N186" s="58"/>
      <c r="O186" s="58"/>
      <c r="P186" s="58"/>
      <c r="Q186" s="58"/>
      <c r="R186" s="58"/>
      <c r="S186" s="58"/>
      <c r="T186" s="58"/>
      <c r="U186" s="58"/>
      <c r="V186" s="58"/>
      <c r="W186" s="58"/>
      <c r="X186" s="58"/>
      <c r="Y186" s="916"/>
      <c r="Z186" s="917"/>
      <c r="AA186" s="917"/>
      <c r="AB186" s="917"/>
      <c r="AC186" s="917"/>
      <c r="AD186" s="917"/>
      <c r="AE186" s="917"/>
      <c r="AF186" s="917"/>
      <c r="AG186" s="917"/>
      <c r="AH186" s="917"/>
      <c r="AI186" s="917"/>
      <c r="AJ186" s="917"/>
      <c r="AK186" s="917"/>
      <c r="AL186" s="917"/>
      <c r="AM186" s="917"/>
      <c r="AN186" s="917"/>
      <c r="AO186" s="917"/>
      <c r="AP186" s="917"/>
      <c r="AQ186" s="917"/>
      <c r="AR186" s="917"/>
      <c r="AS186" s="917"/>
      <c r="AT186" s="917"/>
      <c r="AU186" s="917"/>
      <c r="AV186" s="917"/>
      <c r="AW186" s="917"/>
      <c r="AX186" s="917"/>
      <c r="AY186" s="917"/>
      <c r="AZ186" s="917"/>
      <c r="BA186" s="917"/>
      <c r="BB186" s="917"/>
      <c r="BC186" s="917"/>
      <c r="BD186" s="917"/>
      <c r="BE186" s="917"/>
      <c r="BF186" s="918"/>
      <c r="BG186" s="904"/>
      <c r="BH186" s="905"/>
      <c r="BI186" s="905"/>
      <c r="BJ186" s="905"/>
      <c r="BK186" s="905"/>
      <c r="BL186" s="905"/>
      <c r="BM186" s="905"/>
      <c r="BN186" s="905"/>
      <c r="BO186" s="905"/>
      <c r="BP186" s="905"/>
      <c r="BQ186" s="906"/>
      <c r="BR186" s="901"/>
      <c r="BS186" s="902"/>
      <c r="BT186" s="902"/>
      <c r="BU186" s="902"/>
      <c r="BV186" s="902"/>
      <c r="BW186" s="902"/>
      <c r="BX186" s="902"/>
      <c r="BY186" s="902"/>
      <c r="BZ186" s="903"/>
      <c r="CA186" s="270"/>
      <c r="CB186" s="3" t="str">
        <f t="shared" si="14"/>
        <v>Riadok bude skrytý.</v>
      </c>
      <c r="CC186" s="271" t="s">
        <v>937</v>
      </c>
      <c r="CW186" s="30">
        <f t="shared" si="15"/>
        <v>1</v>
      </c>
      <c r="CX186" s="30">
        <f t="shared" si="16"/>
        <v>0</v>
      </c>
      <c r="CZ186" s="30">
        <f t="shared" si="9"/>
        <v>0</v>
      </c>
      <c r="DA186" s="52">
        <f t="shared" si="17"/>
        <v>0</v>
      </c>
      <c r="DB186" s="2">
        <f t="shared" si="12"/>
        <v>0</v>
      </c>
      <c r="DS186" s="130">
        <f>SI!BY186</f>
        <v>347</v>
      </c>
      <c r="DZ186" s="131">
        <f>SI!BZ186</f>
        <v>0</v>
      </c>
    </row>
    <row r="187" spans="1:130" hidden="1" x14ac:dyDescent="0.25">
      <c r="A187" s="141"/>
      <c r="B187" s="57"/>
      <c r="C187" s="58"/>
      <c r="D187" s="58"/>
      <c r="E187" s="58"/>
      <c r="F187" s="58"/>
      <c r="G187" s="58"/>
      <c r="H187" s="58"/>
      <c r="I187" s="58"/>
      <c r="J187" s="58"/>
      <c r="K187" s="58"/>
      <c r="L187" s="58"/>
      <c r="M187" s="58"/>
      <c r="N187" s="58"/>
      <c r="O187" s="58"/>
      <c r="P187" s="58"/>
      <c r="Q187" s="58"/>
      <c r="R187" s="58"/>
      <c r="S187" s="58"/>
      <c r="T187" s="58"/>
      <c r="U187" s="58"/>
      <c r="V187" s="58"/>
      <c r="W187" s="58"/>
      <c r="X187" s="58"/>
      <c r="Y187" s="916"/>
      <c r="Z187" s="917"/>
      <c r="AA187" s="917"/>
      <c r="AB187" s="917"/>
      <c r="AC187" s="917"/>
      <c r="AD187" s="917"/>
      <c r="AE187" s="917"/>
      <c r="AF187" s="917"/>
      <c r="AG187" s="917"/>
      <c r="AH187" s="917"/>
      <c r="AI187" s="917"/>
      <c r="AJ187" s="917"/>
      <c r="AK187" s="917"/>
      <c r="AL187" s="917"/>
      <c r="AM187" s="917"/>
      <c r="AN187" s="917"/>
      <c r="AO187" s="917"/>
      <c r="AP187" s="917"/>
      <c r="AQ187" s="917"/>
      <c r="AR187" s="917"/>
      <c r="AS187" s="917"/>
      <c r="AT187" s="917"/>
      <c r="AU187" s="917"/>
      <c r="AV187" s="917"/>
      <c r="AW187" s="917"/>
      <c r="AX187" s="917"/>
      <c r="AY187" s="917"/>
      <c r="AZ187" s="917"/>
      <c r="BA187" s="917"/>
      <c r="BB187" s="917"/>
      <c r="BC187" s="917"/>
      <c r="BD187" s="917"/>
      <c r="BE187" s="917"/>
      <c r="BF187" s="918"/>
      <c r="BG187" s="904"/>
      <c r="BH187" s="905"/>
      <c r="BI187" s="905"/>
      <c r="BJ187" s="905"/>
      <c r="BK187" s="905"/>
      <c r="BL187" s="905"/>
      <c r="BM187" s="905"/>
      <c r="BN187" s="905"/>
      <c r="BO187" s="905"/>
      <c r="BP187" s="905"/>
      <c r="BQ187" s="906"/>
      <c r="BR187" s="901"/>
      <c r="BS187" s="902"/>
      <c r="BT187" s="902"/>
      <c r="BU187" s="902"/>
      <c r="BV187" s="902"/>
      <c r="BW187" s="902"/>
      <c r="BX187" s="902"/>
      <c r="BY187" s="902"/>
      <c r="BZ187" s="903"/>
      <c r="CA187" s="270"/>
      <c r="CB187" s="3" t="str">
        <f t="shared" si="14"/>
        <v>Riadok bude skrytý.</v>
      </c>
      <c r="CC187" s="271" t="s">
        <v>937</v>
      </c>
      <c r="CW187" s="30">
        <f t="shared" si="15"/>
        <v>1</v>
      </c>
      <c r="CX187" s="30">
        <f t="shared" si="16"/>
        <v>0</v>
      </c>
      <c r="CZ187" s="30">
        <f t="shared" si="9"/>
        <v>0</v>
      </c>
      <c r="DA187" s="52">
        <f t="shared" si="17"/>
        <v>0</v>
      </c>
      <c r="DB187" s="2">
        <f t="shared" si="12"/>
        <v>0</v>
      </c>
      <c r="DS187" s="130">
        <f>SI!BY187</f>
        <v>114</v>
      </c>
      <c r="DZ187" s="131">
        <f>SI!BZ187</f>
        <v>0</v>
      </c>
    </row>
    <row r="188" spans="1:130" hidden="1" x14ac:dyDescent="0.25">
      <c r="A188" s="141"/>
      <c r="B188" s="57"/>
      <c r="C188" s="58"/>
      <c r="D188" s="58"/>
      <c r="E188" s="58"/>
      <c r="F188" s="58"/>
      <c r="G188" s="58"/>
      <c r="H188" s="58"/>
      <c r="I188" s="58"/>
      <c r="J188" s="58"/>
      <c r="K188" s="58"/>
      <c r="L188" s="58"/>
      <c r="M188" s="58"/>
      <c r="N188" s="58"/>
      <c r="O188" s="58"/>
      <c r="P188" s="58"/>
      <c r="Q188" s="58"/>
      <c r="R188" s="58"/>
      <c r="S188" s="58"/>
      <c r="T188" s="58"/>
      <c r="U188" s="58"/>
      <c r="V188" s="58"/>
      <c r="W188" s="58"/>
      <c r="X188" s="58"/>
      <c r="Y188" s="916"/>
      <c r="Z188" s="917"/>
      <c r="AA188" s="917"/>
      <c r="AB188" s="917"/>
      <c r="AC188" s="917"/>
      <c r="AD188" s="917"/>
      <c r="AE188" s="917"/>
      <c r="AF188" s="917"/>
      <c r="AG188" s="917"/>
      <c r="AH188" s="917"/>
      <c r="AI188" s="917"/>
      <c r="AJ188" s="917"/>
      <c r="AK188" s="917"/>
      <c r="AL188" s="917"/>
      <c r="AM188" s="917"/>
      <c r="AN188" s="917"/>
      <c r="AO188" s="917"/>
      <c r="AP188" s="917"/>
      <c r="AQ188" s="917"/>
      <c r="AR188" s="917"/>
      <c r="AS188" s="917"/>
      <c r="AT188" s="917"/>
      <c r="AU188" s="917"/>
      <c r="AV188" s="917"/>
      <c r="AW188" s="917"/>
      <c r="AX188" s="917"/>
      <c r="AY188" s="917"/>
      <c r="AZ188" s="917"/>
      <c r="BA188" s="917"/>
      <c r="BB188" s="917"/>
      <c r="BC188" s="917"/>
      <c r="BD188" s="917"/>
      <c r="BE188" s="917"/>
      <c r="BF188" s="918"/>
      <c r="BG188" s="904"/>
      <c r="BH188" s="905"/>
      <c r="BI188" s="905"/>
      <c r="BJ188" s="905"/>
      <c r="BK188" s="905"/>
      <c r="BL188" s="905"/>
      <c r="BM188" s="905"/>
      <c r="BN188" s="905"/>
      <c r="BO188" s="905"/>
      <c r="BP188" s="905"/>
      <c r="BQ188" s="906"/>
      <c r="BR188" s="901"/>
      <c r="BS188" s="902"/>
      <c r="BT188" s="902"/>
      <c r="BU188" s="902"/>
      <c r="BV188" s="902"/>
      <c r="BW188" s="902"/>
      <c r="BX188" s="902"/>
      <c r="BY188" s="902"/>
      <c r="BZ188" s="903"/>
      <c r="CA188" s="270"/>
      <c r="CB188" s="3" t="str">
        <f t="shared" si="14"/>
        <v>Riadok bude skrytý.</v>
      </c>
      <c r="CC188" s="271" t="s">
        <v>937</v>
      </c>
      <c r="CW188" s="30">
        <f t="shared" ref="CW188:CW199" si="18">+IF($B$181="Fyzická osoba-SZČO",0,1)</f>
        <v>1</v>
      </c>
      <c r="CX188" s="30">
        <f t="shared" si="16"/>
        <v>0</v>
      </c>
      <c r="CZ188" s="30">
        <f t="shared" si="9"/>
        <v>0</v>
      </c>
      <c r="DA188" s="52">
        <f t="shared" si="17"/>
        <v>0</v>
      </c>
      <c r="DB188" s="2">
        <f t="shared" si="12"/>
        <v>0</v>
      </c>
      <c r="DS188" s="130">
        <f>SI!BY188</f>
        <v>898</v>
      </c>
      <c r="DZ188" s="131">
        <f>SI!BZ188</f>
        <v>0</v>
      </c>
    </row>
    <row r="189" spans="1:130" hidden="1" x14ac:dyDescent="0.25">
      <c r="A189" s="141"/>
      <c r="B189" s="57"/>
      <c r="C189" s="58"/>
      <c r="D189" s="58"/>
      <c r="E189" s="58"/>
      <c r="F189" s="58"/>
      <c r="G189" s="58"/>
      <c r="H189" s="58"/>
      <c r="I189" s="58"/>
      <c r="J189" s="58"/>
      <c r="K189" s="58"/>
      <c r="L189" s="58"/>
      <c r="M189" s="58"/>
      <c r="N189" s="58"/>
      <c r="O189" s="58"/>
      <c r="P189" s="58"/>
      <c r="Q189" s="58"/>
      <c r="R189" s="58"/>
      <c r="S189" s="58"/>
      <c r="T189" s="58"/>
      <c r="U189" s="58"/>
      <c r="V189" s="58"/>
      <c r="W189" s="58"/>
      <c r="X189" s="58"/>
      <c r="Y189" s="916"/>
      <c r="Z189" s="917"/>
      <c r="AA189" s="917"/>
      <c r="AB189" s="917"/>
      <c r="AC189" s="917"/>
      <c r="AD189" s="917"/>
      <c r="AE189" s="917"/>
      <c r="AF189" s="917"/>
      <c r="AG189" s="917"/>
      <c r="AH189" s="917"/>
      <c r="AI189" s="917"/>
      <c r="AJ189" s="917"/>
      <c r="AK189" s="917"/>
      <c r="AL189" s="917"/>
      <c r="AM189" s="917"/>
      <c r="AN189" s="917"/>
      <c r="AO189" s="917"/>
      <c r="AP189" s="917"/>
      <c r="AQ189" s="917"/>
      <c r="AR189" s="917"/>
      <c r="AS189" s="917"/>
      <c r="AT189" s="917"/>
      <c r="AU189" s="917"/>
      <c r="AV189" s="917"/>
      <c r="AW189" s="917"/>
      <c r="AX189" s="917"/>
      <c r="AY189" s="917"/>
      <c r="AZ189" s="917"/>
      <c r="BA189" s="917"/>
      <c r="BB189" s="917"/>
      <c r="BC189" s="917"/>
      <c r="BD189" s="917"/>
      <c r="BE189" s="917"/>
      <c r="BF189" s="918"/>
      <c r="BG189" s="904"/>
      <c r="BH189" s="905"/>
      <c r="BI189" s="905"/>
      <c r="BJ189" s="905"/>
      <c r="BK189" s="905"/>
      <c r="BL189" s="905"/>
      <c r="BM189" s="905"/>
      <c r="BN189" s="905"/>
      <c r="BO189" s="905"/>
      <c r="BP189" s="905"/>
      <c r="BQ189" s="906"/>
      <c r="BR189" s="901"/>
      <c r="BS189" s="902"/>
      <c r="BT189" s="902"/>
      <c r="BU189" s="902"/>
      <c r="BV189" s="902"/>
      <c r="BW189" s="902"/>
      <c r="BX189" s="902"/>
      <c r="BY189" s="902"/>
      <c r="BZ189" s="903"/>
      <c r="CA189" s="270"/>
      <c r="CB189" s="3" t="str">
        <f t="shared" si="14"/>
        <v>Riadok bude skrytý.</v>
      </c>
      <c r="CC189" s="271" t="s">
        <v>937</v>
      </c>
      <c r="CW189" s="30">
        <f t="shared" si="18"/>
        <v>1</v>
      </c>
      <c r="CX189" s="30">
        <f t="shared" si="16"/>
        <v>0</v>
      </c>
      <c r="CZ189" s="30">
        <f t="shared" si="9"/>
        <v>0</v>
      </c>
      <c r="DA189" s="52">
        <f t="shared" si="17"/>
        <v>0</v>
      </c>
      <c r="DB189" s="2">
        <f t="shared" si="12"/>
        <v>0</v>
      </c>
      <c r="DS189" s="130">
        <f>SI!BY189</f>
        <v>181</v>
      </c>
      <c r="DZ189" s="131">
        <f>SI!BZ189</f>
        <v>0</v>
      </c>
    </row>
    <row r="190" spans="1:130" hidden="1" x14ac:dyDescent="0.25">
      <c r="A190" s="141"/>
      <c r="B190" s="277"/>
      <c r="C190" s="58"/>
      <c r="D190" s="58"/>
      <c r="E190" s="58"/>
      <c r="F190" s="58"/>
      <c r="G190" s="58"/>
      <c r="H190" s="58"/>
      <c r="I190" s="58"/>
      <c r="J190" s="58"/>
      <c r="K190" s="58"/>
      <c r="L190" s="58"/>
      <c r="M190" s="58"/>
      <c r="N190" s="58"/>
      <c r="O190" s="58"/>
      <c r="P190" s="58"/>
      <c r="Q190" s="58"/>
      <c r="R190" s="58"/>
      <c r="S190" s="58"/>
      <c r="T190" s="58"/>
      <c r="U190" s="58"/>
      <c r="V190" s="58"/>
      <c r="W190" s="58"/>
      <c r="X190" s="58"/>
      <c r="Y190" s="916"/>
      <c r="Z190" s="917"/>
      <c r="AA190" s="917"/>
      <c r="AB190" s="917"/>
      <c r="AC190" s="917"/>
      <c r="AD190" s="917"/>
      <c r="AE190" s="917"/>
      <c r="AF190" s="917"/>
      <c r="AG190" s="917"/>
      <c r="AH190" s="917"/>
      <c r="AI190" s="917"/>
      <c r="AJ190" s="917"/>
      <c r="AK190" s="917"/>
      <c r="AL190" s="917"/>
      <c r="AM190" s="917"/>
      <c r="AN190" s="917"/>
      <c r="AO190" s="917"/>
      <c r="AP190" s="917"/>
      <c r="AQ190" s="917"/>
      <c r="AR190" s="917"/>
      <c r="AS190" s="917"/>
      <c r="AT190" s="917"/>
      <c r="AU190" s="917"/>
      <c r="AV190" s="917"/>
      <c r="AW190" s="917"/>
      <c r="AX190" s="917"/>
      <c r="AY190" s="917"/>
      <c r="AZ190" s="917"/>
      <c r="BA190" s="917"/>
      <c r="BB190" s="917"/>
      <c r="BC190" s="917"/>
      <c r="BD190" s="917"/>
      <c r="BE190" s="917"/>
      <c r="BF190" s="918"/>
      <c r="BG190" s="904"/>
      <c r="BH190" s="905"/>
      <c r="BI190" s="905"/>
      <c r="BJ190" s="905"/>
      <c r="BK190" s="905"/>
      <c r="BL190" s="905"/>
      <c r="BM190" s="905"/>
      <c r="BN190" s="905"/>
      <c r="BO190" s="905"/>
      <c r="BP190" s="905"/>
      <c r="BQ190" s="906"/>
      <c r="BR190" s="901"/>
      <c r="BS190" s="902"/>
      <c r="BT190" s="902"/>
      <c r="BU190" s="902"/>
      <c r="BV190" s="902"/>
      <c r="BW190" s="902"/>
      <c r="BX190" s="902"/>
      <c r="BY190" s="902"/>
      <c r="BZ190" s="903"/>
      <c r="CA190" s="270"/>
      <c r="CB190" s="3" t="str">
        <f t="shared" si="14"/>
        <v>Riadok bude skrytý.</v>
      </c>
      <c r="CC190" s="271" t="s">
        <v>937</v>
      </c>
      <c r="CW190" s="30">
        <f t="shared" si="18"/>
        <v>1</v>
      </c>
      <c r="CX190" s="30">
        <f t="shared" si="16"/>
        <v>0</v>
      </c>
      <c r="CZ190" s="30">
        <f t="shared" si="9"/>
        <v>0</v>
      </c>
      <c r="DA190" s="52">
        <f t="shared" si="17"/>
        <v>0</v>
      </c>
      <c r="DB190" s="2">
        <f t="shared" si="12"/>
        <v>0</v>
      </c>
      <c r="DS190" s="130">
        <f>SI!BY190</f>
        <v>190</v>
      </c>
      <c r="DZ190" s="131">
        <f>SI!BZ190</f>
        <v>0</v>
      </c>
    </row>
    <row r="191" spans="1:130" hidden="1" x14ac:dyDescent="0.25">
      <c r="A191" s="141"/>
      <c r="B191" s="277"/>
      <c r="C191" s="58"/>
      <c r="D191" s="58"/>
      <c r="E191" s="58"/>
      <c r="F191" s="58"/>
      <c r="G191" s="58"/>
      <c r="H191" s="58"/>
      <c r="I191" s="58"/>
      <c r="J191" s="58"/>
      <c r="K191" s="58"/>
      <c r="L191" s="58"/>
      <c r="M191" s="58"/>
      <c r="N191" s="58"/>
      <c r="O191" s="58"/>
      <c r="P191" s="58"/>
      <c r="Q191" s="58"/>
      <c r="R191" s="58"/>
      <c r="S191" s="58"/>
      <c r="T191" s="58"/>
      <c r="U191" s="58"/>
      <c r="V191" s="58"/>
      <c r="W191" s="58"/>
      <c r="X191" s="58"/>
      <c r="Y191" s="916"/>
      <c r="Z191" s="917"/>
      <c r="AA191" s="917"/>
      <c r="AB191" s="917"/>
      <c r="AC191" s="917"/>
      <c r="AD191" s="917"/>
      <c r="AE191" s="917"/>
      <c r="AF191" s="917"/>
      <c r="AG191" s="917"/>
      <c r="AH191" s="917"/>
      <c r="AI191" s="917"/>
      <c r="AJ191" s="917"/>
      <c r="AK191" s="917"/>
      <c r="AL191" s="917"/>
      <c r="AM191" s="917"/>
      <c r="AN191" s="917"/>
      <c r="AO191" s="917"/>
      <c r="AP191" s="917"/>
      <c r="AQ191" s="917"/>
      <c r="AR191" s="917"/>
      <c r="AS191" s="917"/>
      <c r="AT191" s="917"/>
      <c r="AU191" s="917"/>
      <c r="AV191" s="917"/>
      <c r="AW191" s="917"/>
      <c r="AX191" s="917"/>
      <c r="AY191" s="917"/>
      <c r="AZ191" s="917"/>
      <c r="BA191" s="917"/>
      <c r="BB191" s="917"/>
      <c r="BC191" s="917"/>
      <c r="BD191" s="917"/>
      <c r="BE191" s="917"/>
      <c r="BF191" s="918"/>
      <c r="BG191" s="904"/>
      <c r="BH191" s="905"/>
      <c r="BI191" s="905"/>
      <c r="BJ191" s="905"/>
      <c r="BK191" s="905"/>
      <c r="BL191" s="905"/>
      <c r="BM191" s="905"/>
      <c r="BN191" s="905"/>
      <c r="BO191" s="905"/>
      <c r="BP191" s="905"/>
      <c r="BQ191" s="906"/>
      <c r="BR191" s="901"/>
      <c r="BS191" s="902"/>
      <c r="BT191" s="902"/>
      <c r="BU191" s="902"/>
      <c r="BV191" s="902"/>
      <c r="BW191" s="902"/>
      <c r="BX191" s="902"/>
      <c r="BY191" s="902"/>
      <c r="BZ191" s="903"/>
      <c r="CA191" s="270"/>
      <c r="CB191" s="3" t="str">
        <f t="shared" si="14"/>
        <v>Riadok bude skrytý.</v>
      </c>
      <c r="CC191" s="271" t="s">
        <v>937</v>
      </c>
      <c r="CW191" s="30">
        <f t="shared" si="18"/>
        <v>1</v>
      </c>
      <c r="CX191" s="30">
        <f>+IF(B191&lt;&gt;"","",IF(Y191="",0,1))</f>
        <v>0</v>
      </c>
      <c r="CZ191" s="30">
        <f t="shared" si="9"/>
        <v>0</v>
      </c>
      <c r="DA191" s="52">
        <f t="shared" si="17"/>
        <v>0</v>
      </c>
      <c r="DB191" s="2">
        <f t="shared" si="12"/>
        <v>0</v>
      </c>
      <c r="DS191" s="130">
        <f>SI!BY191</f>
        <v>163</v>
      </c>
      <c r="DZ191" s="131">
        <f>SI!BZ191</f>
        <v>0</v>
      </c>
    </row>
    <row r="192" spans="1:130" hidden="1" x14ac:dyDescent="0.25">
      <c r="A192" s="141"/>
      <c r="B192" s="57"/>
      <c r="C192" s="58"/>
      <c r="D192" s="58"/>
      <c r="E192" s="58"/>
      <c r="F192" s="58"/>
      <c r="G192" s="58"/>
      <c r="H192" s="58"/>
      <c r="I192" s="58"/>
      <c r="J192" s="58"/>
      <c r="K192" s="58"/>
      <c r="L192" s="58"/>
      <c r="M192" s="58"/>
      <c r="N192" s="58"/>
      <c r="O192" s="58"/>
      <c r="P192" s="58"/>
      <c r="Q192" s="58"/>
      <c r="R192" s="58"/>
      <c r="S192" s="59"/>
      <c r="T192" s="59"/>
      <c r="U192" s="59"/>
      <c r="V192" s="59"/>
      <c r="W192" s="59"/>
      <c r="X192" s="59"/>
      <c r="Y192" s="916"/>
      <c r="Z192" s="917"/>
      <c r="AA192" s="917"/>
      <c r="AB192" s="917"/>
      <c r="AC192" s="917"/>
      <c r="AD192" s="917"/>
      <c r="AE192" s="917"/>
      <c r="AF192" s="917"/>
      <c r="AG192" s="917"/>
      <c r="AH192" s="917"/>
      <c r="AI192" s="917"/>
      <c r="AJ192" s="917"/>
      <c r="AK192" s="917"/>
      <c r="AL192" s="917"/>
      <c r="AM192" s="917"/>
      <c r="AN192" s="917"/>
      <c r="AO192" s="917"/>
      <c r="AP192" s="917"/>
      <c r="AQ192" s="917"/>
      <c r="AR192" s="917"/>
      <c r="AS192" s="917"/>
      <c r="AT192" s="917"/>
      <c r="AU192" s="917"/>
      <c r="AV192" s="917"/>
      <c r="AW192" s="917"/>
      <c r="AX192" s="917"/>
      <c r="AY192" s="917"/>
      <c r="AZ192" s="917"/>
      <c r="BA192" s="917"/>
      <c r="BB192" s="917"/>
      <c r="BC192" s="917"/>
      <c r="BD192" s="917"/>
      <c r="BE192" s="917"/>
      <c r="BF192" s="918"/>
      <c r="BG192" s="904"/>
      <c r="BH192" s="905"/>
      <c r="BI192" s="905"/>
      <c r="BJ192" s="905"/>
      <c r="BK192" s="905"/>
      <c r="BL192" s="905"/>
      <c r="BM192" s="905"/>
      <c r="BN192" s="905"/>
      <c r="BO192" s="905"/>
      <c r="BP192" s="905"/>
      <c r="BQ192" s="906"/>
      <c r="BR192" s="901"/>
      <c r="BS192" s="902"/>
      <c r="BT192" s="902"/>
      <c r="BU192" s="902"/>
      <c r="BV192" s="902"/>
      <c r="BW192" s="902"/>
      <c r="BX192" s="902"/>
      <c r="BY192" s="902"/>
      <c r="BZ192" s="903"/>
      <c r="CA192" s="270"/>
      <c r="CB192" s="3" t="str">
        <f t="shared" si="14"/>
        <v>Riadok bude skrytý.</v>
      </c>
      <c r="CC192" s="271" t="s">
        <v>937</v>
      </c>
      <c r="CW192" s="30">
        <f t="shared" si="18"/>
        <v>1</v>
      </c>
      <c r="CX192" s="30">
        <f t="shared" ref="CX192:CX200" si="19">+IF(Y192="",0,1)</f>
        <v>0</v>
      </c>
      <c r="CZ192" s="30">
        <f t="shared" si="9"/>
        <v>0</v>
      </c>
      <c r="DA192" s="52">
        <f t="shared" si="17"/>
        <v>0</v>
      </c>
      <c r="DB192" s="2">
        <f t="shared" si="12"/>
        <v>0</v>
      </c>
      <c r="DS192" s="130">
        <f>SI!BY192</f>
        <v>183</v>
      </c>
      <c r="DZ192" s="131">
        <f>SI!BZ192</f>
        <v>0</v>
      </c>
    </row>
    <row r="193" spans="1:130" hidden="1" x14ac:dyDescent="0.25">
      <c r="A193" s="141"/>
      <c r="B193" s="57"/>
      <c r="C193" s="58"/>
      <c r="D193" s="58"/>
      <c r="E193" s="58"/>
      <c r="F193" s="58"/>
      <c r="G193" s="58"/>
      <c r="H193" s="58"/>
      <c r="I193" s="58"/>
      <c r="J193" s="58"/>
      <c r="K193" s="58"/>
      <c r="L193" s="58"/>
      <c r="M193" s="58"/>
      <c r="N193" s="58"/>
      <c r="O193" s="58"/>
      <c r="P193" s="58"/>
      <c r="Q193" s="58"/>
      <c r="R193" s="58"/>
      <c r="S193" s="59"/>
      <c r="T193" s="59"/>
      <c r="U193" s="59"/>
      <c r="V193" s="59"/>
      <c r="W193" s="59"/>
      <c r="X193" s="59"/>
      <c r="Y193" s="916"/>
      <c r="Z193" s="917"/>
      <c r="AA193" s="917"/>
      <c r="AB193" s="917"/>
      <c r="AC193" s="917"/>
      <c r="AD193" s="917"/>
      <c r="AE193" s="917"/>
      <c r="AF193" s="917"/>
      <c r="AG193" s="917"/>
      <c r="AH193" s="917"/>
      <c r="AI193" s="917"/>
      <c r="AJ193" s="917"/>
      <c r="AK193" s="917"/>
      <c r="AL193" s="917"/>
      <c r="AM193" s="917"/>
      <c r="AN193" s="917"/>
      <c r="AO193" s="917"/>
      <c r="AP193" s="917"/>
      <c r="AQ193" s="917"/>
      <c r="AR193" s="917"/>
      <c r="AS193" s="917"/>
      <c r="AT193" s="917"/>
      <c r="AU193" s="917"/>
      <c r="AV193" s="917"/>
      <c r="AW193" s="917"/>
      <c r="AX193" s="917"/>
      <c r="AY193" s="917"/>
      <c r="AZ193" s="917"/>
      <c r="BA193" s="917"/>
      <c r="BB193" s="917"/>
      <c r="BC193" s="917"/>
      <c r="BD193" s="917"/>
      <c r="BE193" s="917"/>
      <c r="BF193" s="918"/>
      <c r="BG193" s="904"/>
      <c r="BH193" s="905"/>
      <c r="BI193" s="905"/>
      <c r="BJ193" s="905"/>
      <c r="BK193" s="905"/>
      <c r="BL193" s="905"/>
      <c r="BM193" s="905"/>
      <c r="BN193" s="905"/>
      <c r="BO193" s="905"/>
      <c r="BP193" s="905"/>
      <c r="BQ193" s="906"/>
      <c r="BR193" s="901"/>
      <c r="BS193" s="902"/>
      <c r="BT193" s="902"/>
      <c r="BU193" s="902"/>
      <c r="BV193" s="902"/>
      <c r="BW193" s="902"/>
      <c r="BX193" s="902"/>
      <c r="BY193" s="902"/>
      <c r="BZ193" s="903"/>
      <c r="CA193" s="270"/>
      <c r="CB193" s="3" t="str">
        <f t="shared" si="14"/>
        <v>Riadok bude skrytý.</v>
      </c>
      <c r="CC193" s="271" t="s">
        <v>937</v>
      </c>
      <c r="CW193" s="30">
        <f t="shared" si="18"/>
        <v>1</v>
      </c>
      <c r="CX193" s="30">
        <f t="shared" si="19"/>
        <v>0</v>
      </c>
      <c r="CZ193" s="30">
        <f t="shared" si="9"/>
        <v>0</v>
      </c>
      <c r="DA193" s="52">
        <f t="shared" si="17"/>
        <v>0</v>
      </c>
      <c r="DB193" s="2">
        <f t="shared" si="12"/>
        <v>0</v>
      </c>
      <c r="DS193" s="130">
        <f>SI!BY193</f>
        <v>13</v>
      </c>
      <c r="DZ193" s="131">
        <f>SI!BZ193</f>
        <v>0</v>
      </c>
    </row>
    <row r="194" spans="1:130" hidden="1" x14ac:dyDescent="0.25">
      <c r="A194" s="141"/>
      <c r="B194" s="57"/>
      <c r="C194" s="58"/>
      <c r="D194" s="58"/>
      <c r="E194" s="58"/>
      <c r="F194" s="58"/>
      <c r="G194" s="58"/>
      <c r="H194" s="58"/>
      <c r="I194" s="58"/>
      <c r="J194" s="58"/>
      <c r="K194" s="58"/>
      <c r="L194" s="58"/>
      <c r="M194" s="58"/>
      <c r="N194" s="58"/>
      <c r="O194" s="58"/>
      <c r="P194" s="58"/>
      <c r="Q194" s="58"/>
      <c r="R194" s="58"/>
      <c r="S194" s="59"/>
      <c r="T194" s="59"/>
      <c r="U194" s="59"/>
      <c r="V194" s="59"/>
      <c r="W194" s="59"/>
      <c r="X194" s="59"/>
      <c r="Y194" s="916"/>
      <c r="Z194" s="917"/>
      <c r="AA194" s="917"/>
      <c r="AB194" s="917"/>
      <c r="AC194" s="917"/>
      <c r="AD194" s="917"/>
      <c r="AE194" s="917"/>
      <c r="AF194" s="917"/>
      <c r="AG194" s="917"/>
      <c r="AH194" s="917"/>
      <c r="AI194" s="917"/>
      <c r="AJ194" s="917"/>
      <c r="AK194" s="917"/>
      <c r="AL194" s="917"/>
      <c r="AM194" s="917"/>
      <c r="AN194" s="917"/>
      <c r="AO194" s="917"/>
      <c r="AP194" s="917"/>
      <c r="AQ194" s="917"/>
      <c r="AR194" s="917"/>
      <c r="AS194" s="917"/>
      <c r="AT194" s="917"/>
      <c r="AU194" s="917"/>
      <c r="AV194" s="917"/>
      <c r="AW194" s="917"/>
      <c r="AX194" s="917"/>
      <c r="AY194" s="917"/>
      <c r="AZ194" s="917"/>
      <c r="BA194" s="917"/>
      <c r="BB194" s="917"/>
      <c r="BC194" s="917"/>
      <c r="BD194" s="917"/>
      <c r="BE194" s="917"/>
      <c r="BF194" s="918"/>
      <c r="BG194" s="904"/>
      <c r="BH194" s="905"/>
      <c r="BI194" s="905"/>
      <c r="BJ194" s="905"/>
      <c r="BK194" s="905"/>
      <c r="BL194" s="905"/>
      <c r="BM194" s="905"/>
      <c r="BN194" s="905"/>
      <c r="BO194" s="905"/>
      <c r="BP194" s="905"/>
      <c r="BQ194" s="906"/>
      <c r="BR194" s="901"/>
      <c r="BS194" s="902"/>
      <c r="BT194" s="902"/>
      <c r="BU194" s="902"/>
      <c r="BV194" s="902"/>
      <c r="BW194" s="902"/>
      <c r="BX194" s="902"/>
      <c r="BY194" s="902"/>
      <c r="BZ194" s="903"/>
      <c r="CA194" s="270"/>
      <c r="CB194" s="3" t="str">
        <f t="shared" si="14"/>
        <v>Riadok bude skrytý.</v>
      </c>
      <c r="CC194" s="271" t="s">
        <v>937</v>
      </c>
      <c r="CW194" s="30">
        <f t="shared" si="18"/>
        <v>1</v>
      </c>
      <c r="CX194" s="30">
        <f t="shared" si="19"/>
        <v>0</v>
      </c>
      <c r="CZ194" s="30">
        <f t="shared" si="9"/>
        <v>0</v>
      </c>
      <c r="DA194" s="52">
        <f t="shared" si="17"/>
        <v>0</v>
      </c>
      <c r="DB194" s="2">
        <f t="shared" si="12"/>
        <v>0</v>
      </c>
      <c r="DS194" s="130">
        <f>SI!BY194</f>
        <v>120</v>
      </c>
      <c r="DZ194" s="131">
        <f>SI!BZ194</f>
        <v>0</v>
      </c>
    </row>
    <row r="195" spans="1:130" hidden="1" x14ac:dyDescent="0.25">
      <c r="A195" s="141"/>
      <c r="B195" s="57"/>
      <c r="C195" s="58"/>
      <c r="D195" s="58"/>
      <c r="E195" s="58"/>
      <c r="F195" s="58"/>
      <c r="G195" s="58"/>
      <c r="H195" s="58"/>
      <c r="I195" s="58"/>
      <c r="J195" s="58"/>
      <c r="K195" s="58"/>
      <c r="L195" s="58"/>
      <c r="M195" s="58"/>
      <c r="N195" s="58"/>
      <c r="O195" s="58"/>
      <c r="P195" s="58"/>
      <c r="Q195" s="58"/>
      <c r="R195" s="58"/>
      <c r="S195" s="59"/>
      <c r="T195" s="59"/>
      <c r="U195" s="59"/>
      <c r="V195" s="59"/>
      <c r="W195" s="59"/>
      <c r="X195" s="59"/>
      <c r="Y195" s="916"/>
      <c r="Z195" s="917"/>
      <c r="AA195" s="917"/>
      <c r="AB195" s="917"/>
      <c r="AC195" s="917"/>
      <c r="AD195" s="917"/>
      <c r="AE195" s="917"/>
      <c r="AF195" s="917"/>
      <c r="AG195" s="917"/>
      <c r="AH195" s="917"/>
      <c r="AI195" s="917"/>
      <c r="AJ195" s="917"/>
      <c r="AK195" s="917"/>
      <c r="AL195" s="917"/>
      <c r="AM195" s="917"/>
      <c r="AN195" s="917"/>
      <c r="AO195" s="917"/>
      <c r="AP195" s="917"/>
      <c r="AQ195" s="917"/>
      <c r="AR195" s="917"/>
      <c r="AS195" s="917"/>
      <c r="AT195" s="917"/>
      <c r="AU195" s="917"/>
      <c r="AV195" s="917"/>
      <c r="AW195" s="917"/>
      <c r="AX195" s="917"/>
      <c r="AY195" s="917"/>
      <c r="AZ195" s="917"/>
      <c r="BA195" s="917"/>
      <c r="BB195" s="917"/>
      <c r="BC195" s="917"/>
      <c r="BD195" s="917"/>
      <c r="BE195" s="917"/>
      <c r="BF195" s="918"/>
      <c r="BG195" s="904"/>
      <c r="BH195" s="905"/>
      <c r="BI195" s="905"/>
      <c r="BJ195" s="905"/>
      <c r="BK195" s="905"/>
      <c r="BL195" s="905"/>
      <c r="BM195" s="905"/>
      <c r="BN195" s="905"/>
      <c r="BO195" s="905"/>
      <c r="BP195" s="905"/>
      <c r="BQ195" s="906"/>
      <c r="BR195" s="901"/>
      <c r="BS195" s="902"/>
      <c r="BT195" s="902"/>
      <c r="BU195" s="902"/>
      <c r="BV195" s="902"/>
      <c r="BW195" s="902"/>
      <c r="BX195" s="902"/>
      <c r="BY195" s="902"/>
      <c r="BZ195" s="903"/>
      <c r="CA195" s="270"/>
      <c r="CB195" s="3" t="str">
        <f t="shared" si="14"/>
        <v>Riadok bude skrytý.</v>
      </c>
      <c r="CC195" s="271" t="s">
        <v>937</v>
      </c>
      <c r="CW195" s="30">
        <f t="shared" si="18"/>
        <v>1</v>
      </c>
      <c r="CX195" s="30">
        <f t="shared" si="19"/>
        <v>0</v>
      </c>
      <c r="CZ195" s="30">
        <f t="shared" si="9"/>
        <v>0</v>
      </c>
      <c r="DA195" s="52">
        <f t="shared" si="17"/>
        <v>0</v>
      </c>
      <c r="DB195" s="2">
        <f t="shared" si="12"/>
        <v>0</v>
      </c>
      <c r="DS195" s="130">
        <f>SI!BY195</f>
        <v>356</v>
      </c>
      <c r="DZ195" s="131">
        <f>SI!BZ195</f>
        <v>0</v>
      </c>
    </row>
    <row r="196" spans="1:130" hidden="1" x14ac:dyDescent="0.25">
      <c r="A196" s="141"/>
      <c r="B196" s="57"/>
      <c r="C196" s="58"/>
      <c r="D196" s="58"/>
      <c r="E196" s="58"/>
      <c r="F196" s="58"/>
      <c r="G196" s="58"/>
      <c r="H196" s="58"/>
      <c r="I196" s="58"/>
      <c r="J196" s="58"/>
      <c r="K196" s="58"/>
      <c r="L196" s="58"/>
      <c r="M196" s="58"/>
      <c r="N196" s="58"/>
      <c r="O196" s="58"/>
      <c r="P196" s="58"/>
      <c r="Q196" s="58"/>
      <c r="R196" s="58"/>
      <c r="S196" s="59"/>
      <c r="T196" s="59"/>
      <c r="U196" s="59"/>
      <c r="V196" s="59"/>
      <c r="W196" s="59"/>
      <c r="X196" s="59"/>
      <c r="Y196" s="916"/>
      <c r="Z196" s="917"/>
      <c r="AA196" s="917"/>
      <c r="AB196" s="917"/>
      <c r="AC196" s="917"/>
      <c r="AD196" s="917"/>
      <c r="AE196" s="917"/>
      <c r="AF196" s="917"/>
      <c r="AG196" s="917"/>
      <c r="AH196" s="917"/>
      <c r="AI196" s="917"/>
      <c r="AJ196" s="917"/>
      <c r="AK196" s="917"/>
      <c r="AL196" s="917"/>
      <c r="AM196" s="917"/>
      <c r="AN196" s="917"/>
      <c r="AO196" s="917"/>
      <c r="AP196" s="917"/>
      <c r="AQ196" s="917"/>
      <c r="AR196" s="917"/>
      <c r="AS196" s="917"/>
      <c r="AT196" s="917"/>
      <c r="AU196" s="917"/>
      <c r="AV196" s="917"/>
      <c r="AW196" s="917"/>
      <c r="AX196" s="917"/>
      <c r="AY196" s="917"/>
      <c r="AZ196" s="917"/>
      <c r="BA196" s="917"/>
      <c r="BB196" s="917"/>
      <c r="BC196" s="917"/>
      <c r="BD196" s="917"/>
      <c r="BE196" s="917"/>
      <c r="BF196" s="918"/>
      <c r="BG196" s="904"/>
      <c r="BH196" s="905"/>
      <c r="BI196" s="905"/>
      <c r="BJ196" s="905"/>
      <c r="BK196" s="905"/>
      <c r="BL196" s="905"/>
      <c r="BM196" s="905"/>
      <c r="BN196" s="905"/>
      <c r="BO196" s="905"/>
      <c r="BP196" s="905"/>
      <c r="BQ196" s="906"/>
      <c r="BR196" s="901"/>
      <c r="BS196" s="902"/>
      <c r="BT196" s="902"/>
      <c r="BU196" s="902"/>
      <c r="BV196" s="902"/>
      <c r="BW196" s="902"/>
      <c r="BX196" s="902"/>
      <c r="BY196" s="902"/>
      <c r="BZ196" s="903"/>
      <c r="CA196" s="270"/>
      <c r="CB196" s="3" t="str">
        <f t="shared" si="14"/>
        <v>Riadok bude skrytý.</v>
      </c>
      <c r="CC196" s="271" t="s">
        <v>937</v>
      </c>
      <c r="CW196" s="30">
        <f t="shared" si="18"/>
        <v>1</v>
      </c>
      <c r="CX196" s="30">
        <f t="shared" si="19"/>
        <v>0</v>
      </c>
      <c r="CZ196" s="30">
        <f t="shared" si="9"/>
        <v>0</v>
      </c>
      <c r="DA196" s="52">
        <f t="shared" si="17"/>
        <v>0</v>
      </c>
      <c r="DB196" s="2">
        <f t="shared" si="12"/>
        <v>0</v>
      </c>
      <c r="DS196" s="130">
        <f>SI!BY196</f>
        <v>171</v>
      </c>
      <c r="DZ196" s="131">
        <f>SI!BZ196</f>
        <v>0</v>
      </c>
    </row>
    <row r="197" spans="1:130" hidden="1" x14ac:dyDescent="0.25">
      <c r="A197" s="141"/>
      <c r="B197" s="57"/>
      <c r="C197" s="58"/>
      <c r="D197" s="58"/>
      <c r="E197" s="58"/>
      <c r="F197" s="58"/>
      <c r="G197" s="58"/>
      <c r="H197" s="58"/>
      <c r="I197" s="58"/>
      <c r="J197" s="58"/>
      <c r="K197" s="58"/>
      <c r="L197" s="58"/>
      <c r="M197" s="58"/>
      <c r="N197" s="58"/>
      <c r="O197" s="58"/>
      <c r="P197" s="58"/>
      <c r="Q197" s="58"/>
      <c r="R197" s="58"/>
      <c r="S197" s="59"/>
      <c r="T197" s="59"/>
      <c r="U197" s="59"/>
      <c r="V197" s="59"/>
      <c r="W197" s="59"/>
      <c r="X197" s="59"/>
      <c r="Y197" s="916"/>
      <c r="Z197" s="917"/>
      <c r="AA197" s="917"/>
      <c r="AB197" s="917"/>
      <c r="AC197" s="917"/>
      <c r="AD197" s="917"/>
      <c r="AE197" s="917"/>
      <c r="AF197" s="917"/>
      <c r="AG197" s="917"/>
      <c r="AH197" s="917"/>
      <c r="AI197" s="917"/>
      <c r="AJ197" s="917"/>
      <c r="AK197" s="917"/>
      <c r="AL197" s="917"/>
      <c r="AM197" s="917"/>
      <c r="AN197" s="917"/>
      <c r="AO197" s="917"/>
      <c r="AP197" s="917"/>
      <c r="AQ197" s="917"/>
      <c r="AR197" s="917"/>
      <c r="AS197" s="917"/>
      <c r="AT197" s="917"/>
      <c r="AU197" s="917"/>
      <c r="AV197" s="917"/>
      <c r="AW197" s="917"/>
      <c r="AX197" s="917"/>
      <c r="AY197" s="917"/>
      <c r="AZ197" s="917"/>
      <c r="BA197" s="917"/>
      <c r="BB197" s="917"/>
      <c r="BC197" s="917"/>
      <c r="BD197" s="917"/>
      <c r="BE197" s="917"/>
      <c r="BF197" s="918"/>
      <c r="BG197" s="904"/>
      <c r="BH197" s="905"/>
      <c r="BI197" s="905"/>
      <c r="BJ197" s="905"/>
      <c r="BK197" s="905"/>
      <c r="BL197" s="905"/>
      <c r="BM197" s="905"/>
      <c r="BN197" s="905"/>
      <c r="BO197" s="905"/>
      <c r="BP197" s="905"/>
      <c r="BQ197" s="906"/>
      <c r="BR197" s="901"/>
      <c r="BS197" s="902"/>
      <c r="BT197" s="902"/>
      <c r="BU197" s="902"/>
      <c r="BV197" s="902"/>
      <c r="BW197" s="902"/>
      <c r="BX197" s="902"/>
      <c r="BY197" s="902"/>
      <c r="BZ197" s="903"/>
      <c r="CA197" s="270"/>
      <c r="CB197" s="3" t="str">
        <f t="shared" si="14"/>
        <v>Riadok bude skrytý.</v>
      </c>
      <c r="CC197" s="271" t="s">
        <v>937</v>
      </c>
      <c r="CW197" s="30">
        <f t="shared" si="18"/>
        <v>1</v>
      </c>
      <c r="CX197" s="30">
        <f t="shared" si="19"/>
        <v>0</v>
      </c>
      <c r="CZ197" s="30">
        <f t="shared" ref="CZ197:CZ260" si="20">IF(CC197="",1,IF(CC197="Chcem skryť riadok.",0,1))</f>
        <v>0</v>
      </c>
      <c r="DA197" s="52">
        <f t="shared" si="17"/>
        <v>0</v>
      </c>
      <c r="DB197" s="2">
        <f t="shared" si="12"/>
        <v>0</v>
      </c>
      <c r="DS197" s="130">
        <f>SI!BY197</f>
        <v>15</v>
      </c>
      <c r="DZ197" s="131">
        <f>SI!BZ197</f>
        <v>0</v>
      </c>
    </row>
    <row r="198" spans="1:130" hidden="1" x14ac:dyDescent="0.25">
      <c r="A198" s="141"/>
      <c r="B198" s="57"/>
      <c r="C198" s="58"/>
      <c r="D198" s="58"/>
      <c r="E198" s="58"/>
      <c r="F198" s="58"/>
      <c r="G198" s="58"/>
      <c r="H198" s="58"/>
      <c r="I198" s="58"/>
      <c r="J198" s="58"/>
      <c r="K198" s="58"/>
      <c r="L198" s="58"/>
      <c r="M198" s="58"/>
      <c r="N198" s="58"/>
      <c r="O198" s="58"/>
      <c r="P198" s="58"/>
      <c r="Q198" s="58"/>
      <c r="R198" s="58"/>
      <c r="S198" s="58"/>
      <c r="T198" s="58"/>
      <c r="U198" s="58"/>
      <c r="V198" s="58"/>
      <c r="W198" s="58"/>
      <c r="X198" s="58"/>
      <c r="Y198" s="916"/>
      <c r="Z198" s="917"/>
      <c r="AA198" s="917"/>
      <c r="AB198" s="917"/>
      <c r="AC198" s="917"/>
      <c r="AD198" s="917"/>
      <c r="AE198" s="917"/>
      <c r="AF198" s="917"/>
      <c r="AG198" s="917"/>
      <c r="AH198" s="917"/>
      <c r="AI198" s="917"/>
      <c r="AJ198" s="917"/>
      <c r="AK198" s="917"/>
      <c r="AL198" s="917"/>
      <c r="AM198" s="917"/>
      <c r="AN198" s="917"/>
      <c r="AO198" s="917"/>
      <c r="AP198" s="917"/>
      <c r="AQ198" s="917"/>
      <c r="AR198" s="917"/>
      <c r="AS198" s="917"/>
      <c r="AT198" s="917"/>
      <c r="AU198" s="917"/>
      <c r="AV198" s="917"/>
      <c r="AW198" s="917"/>
      <c r="AX198" s="917"/>
      <c r="AY198" s="917"/>
      <c r="AZ198" s="917"/>
      <c r="BA198" s="917"/>
      <c r="BB198" s="917"/>
      <c r="BC198" s="917"/>
      <c r="BD198" s="917"/>
      <c r="BE198" s="917"/>
      <c r="BF198" s="918"/>
      <c r="BG198" s="904"/>
      <c r="BH198" s="905"/>
      <c r="BI198" s="905"/>
      <c r="BJ198" s="905"/>
      <c r="BK198" s="905"/>
      <c r="BL198" s="905"/>
      <c r="BM198" s="905"/>
      <c r="BN198" s="905"/>
      <c r="BO198" s="905"/>
      <c r="BP198" s="905"/>
      <c r="BQ198" s="906"/>
      <c r="BR198" s="901"/>
      <c r="BS198" s="902"/>
      <c r="BT198" s="902"/>
      <c r="BU198" s="902"/>
      <c r="BV198" s="902"/>
      <c r="BW198" s="902"/>
      <c r="BX198" s="902"/>
      <c r="BY198" s="902"/>
      <c r="BZ198" s="903"/>
      <c r="CA198" s="270"/>
      <c r="CB198" s="3" t="str">
        <f t="shared" si="14"/>
        <v>Riadok bude skrytý.</v>
      </c>
      <c r="CC198" s="271" t="s">
        <v>937</v>
      </c>
      <c r="CW198" s="30">
        <f t="shared" si="18"/>
        <v>1</v>
      </c>
      <c r="CX198" s="30">
        <f t="shared" si="19"/>
        <v>0</v>
      </c>
      <c r="CZ198" s="30">
        <f t="shared" si="20"/>
        <v>0</v>
      </c>
      <c r="DA198" s="52">
        <f t="shared" si="17"/>
        <v>0</v>
      </c>
      <c r="DB198" s="2">
        <f t="shared" si="12"/>
        <v>0</v>
      </c>
      <c r="DS198" s="130">
        <f>SI!BY198</f>
        <v>130</v>
      </c>
      <c r="DZ198" s="131">
        <f>SI!BZ198</f>
        <v>0</v>
      </c>
    </row>
    <row r="199" spans="1:130" hidden="1" x14ac:dyDescent="0.25">
      <c r="A199" s="141"/>
      <c r="B199" s="57"/>
      <c r="C199" s="58"/>
      <c r="D199" s="58"/>
      <c r="E199" s="58"/>
      <c r="F199" s="58"/>
      <c r="G199" s="58"/>
      <c r="H199" s="58"/>
      <c r="I199" s="58"/>
      <c r="J199" s="58"/>
      <c r="K199" s="58"/>
      <c r="L199" s="58"/>
      <c r="M199" s="58"/>
      <c r="N199" s="58"/>
      <c r="O199" s="58"/>
      <c r="P199" s="58"/>
      <c r="Q199" s="58"/>
      <c r="R199" s="58"/>
      <c r="S199" s="59"/>
      <c r="T199" s="59"/>
      <c r="U199" s="59"/>
      <c r="V199" s="59"/>
      <c r="W199" s="59"/>
      <c r="X199" s="59"/>
      <c r="Y199" s="916"/>
      <c r="Z199" s="917"/>
      <c r="AA199" s="917"/>
      <c r="AB199" s="917"/>
      <c r="AC199" s="917"/>
      <c r="AD199" s="917"/>
      <c r="AE199" s="917"/>
      <c r="AF199" s="917"/>
      <c r="AG199" s="917"/>
      <c r="AH199" s="917"/>
      <c r="AI199" s="917"/>
      <c r="AJ199" s="917"/>
      <c r="AK199" s="917"/>
      <c r="AL199" s="917"/>
      <c r="AM199" s="917"/>
      <c r="AN199" s="917"/>
      <c r="AO199" s="917"/>
      <c r="AP199" s="917"/>
      <c r="AQ199" s="917"/>
      <c r="AR199" s="917"/>
      <c r="AS199" s="917"/>
      <c r="AT199" s="917"/>
      <c r="AU199" s="917"/>
      <c r="AV199" s="917"/>
      <c r="AW199" s="917"/>
      <c r="AX199" s="917"/>
      <c r="AY199" s="917"/>
      <c r="AZ199" s="917"/>
      <c r="BA199" s="917"/>
      <c r="BB199" s="917"/>
      <c r="BC199" s="917"/>
      <c r="BD199" s="917"/>
      <c r="BE199" s="917"/>
      <c r="BF199" s="918"/>
      <c r="BG199" s="904"/>
      <c r="BH199" s="905"/>
      <c r="BI199" s="905"/>
      <c r="BJ199" s="905"/>
      <c r="BK199" s="905"/>
      <c r="BL199" s="905"/>
      <c r="BM199" s="905"/>
      <c r="BN199" s="905"/>
      <c r="BO199" s="905"/>
      <c r="BP199" s="905"/>
      <c r="BQ199" s="906"/>
      <c r="BR199" s="901"/>
      <c r="BS199" s="902"/>
      <c r="BT199" s="902"/>
      <c r="BU199" s="902"/>
      <c r="BV199" s="902"/>
      <c r="BW199" s="902"/>
      <c r="BX199" s="902"/>
      <c r="BY199" s="902"/>
      <c r="BZ199" s="903"/>
      <c r="CA199" s="270"/>
      <c r="CB199" s="3" t="str">
        <f t="shared" si="14"/>
        <v>Riadok bude skrytý.</v>
      </c>
      <c r="CC199" s="271" t="s">
        <v>937</v>
      </c>
      <c r="CW199" s="30">
        <f t="shared" si="18"/>
        <v>1</v>
      </c>
      <c r="CX199" s="30">
        <f t="shared" si="19"/>
        <v>0</v>
      </c>
      <c r="CZ199" s="30">
        <f t="shared" si="20"/>
        <v>0</v>
      </c>
      <c r="DA199" s="52">
        <f t="shared" si="17"/>
        <v>0</v>
      </c>
      <c r="DB199" s="2">
        <f t="shared" si="12"/>
        <v>0</v>
      </c>
      <c r="DS199" s="130">
        <f>SI!BY199</f>
        <v>618</v>
      </c>
      <c r="DZ199" s="131">
        <f>SI!BZ199</f>
        <v>0</v>
      </c>
    </row>
    <row r="200" spans="1:130" hidden="1" x14ac:dyDescent="0.25">
      <c r="A200" s="141"/>
      <c r="B200" s="60" t="str">
        <f>+IF(B181="Fyzická osoba-SZČO","Oprávnená na všetky úkony.","")</f>
        <v/>
      </c>
      <c r="C200" s="61"/>
      <c r="D200" s="61"/>
      <c r="E200" s="61"/>
      <c r="F200" s="61"/>
      <c r="G200" s="61"/>
      <c r="H200" s="61"/>
      <c r="I200" s="61"/>
      <c r="J200" s="61"/>
      <c r="K200" s="61"/>
      <c r="L200" s="61"/>
      <c r="M200" s="61"/>
      <c r="N200" s="61"/>
      <c r="O200" s="61"/>
      <c r="P200" s="61"/>
      <c r="Q200" s="61"/>
      <c r="R200" s="61"/>
      <c r="S200" s="62"/>
      <c r="T200" s="62"/>
      <c r="U200" s="62"/>
      <c r="V200" s="62"/>
      <c r="W200" s="62"/>
      <c r="X200" s="62"/>
      <c r="Y200" s="919"/>
      <c r="Z200" s="920"/>
      <c r="AA200" s="920"/>
      <c r="AB200" s="920"/>
      <c r="AC200" s="920"/>
      <c r="AD200" s="920"/>
      <c r="AE200" s="920"/>
      <c r="AF200" s="920"/>
      <c r="AG200" s="920"/>
      <c r="AH200" s="920"/>
      <c r="AI200" s="920"/>
      <c r="AJ200" s="920"/>
      <c r="AK200" s="920"/>
      <c r="AL200" s="920"/>
      <c r="AM200" s="920"/>
      <c r="AN200" s="920"/>
      <c r="AO200" s="920"/>
      <c r="AP200" s="920"/>
      <c r="AQ200" s="920"/>
      <c r="AR200" s="920"/>
      <c r="AS200" s="920"/>
      <c r="AT200" s="920"/>
      <c r="AU200" s="920"/>
      <c r="AV200" s="920"/>
      <c r="AW200" s="920"/>
      <c r="AX200" s="920"/>
      <c r="AY200" s="920"/>
      <c r="AZ200" s="920"/>
      <c r="BA200" s="920"/>
      <c r="BB200" s="920"/>
      <c r="BC200" s="920"/>
      <c r="BD200" s="920"/>
      <c r="BE200" s="920"/>
      <c r="BF200" s="921"/>
      <c r="BG200" s="898"/>
      <c r="BH200" s="899"/>
      <c r="BI200" s="899"/>
      <c r="BJ200" s="899"/>
      <c r="BK200" s="899"/>
      <c r="BL200" s="899"/>
      <c r="BM200" s="899"/>
      <c r="BN200" s="899"/>
      <c r="BO200" s="899"/>
      <c r="BP200" s="899"/>
      <c r="BQ200" s="900"/>
      <c r="BR200" s="913"/>
      <c r="BS200" s="914"/>
      <c r="BT200" s="914"/>
      <c r="BU200" s="914"/>
      <c r="BV200" s="914"/>
      <c r="BW200" s="914"/>
      <c r="BX200" s="914"/>
      <c r="BY200" s="914"/>
      <c r="BZ200" s="915"/>
      <c r="CA200" s="270"/>
      <c r="CB200" s="3" t="str">
        <f t="shared" si="14"/>
        <v>Riadok bude skrytý.</v>
      </c>
      <c r="CC200" s="271" t="s">
        <v>937</v>
      </c>
      <c r="CW200" s="49">
        <v>1</v>
      </c>
      <c r="CX200" s="30">
        <f t="shared" si="19"/>
        <v>0</v>
      </c>
      <c r="CZ200" s="30">
        <f t="shared" si="20"/>
        <v>0</v>
      </c>
      <c r="DA200" s="30">
        <f>+IF(CW200+CX200+CY200=0,0,IF(CZ200=0,0,1))</f>
        <v>0</v>
      </c>
      <c r="DB200" s="2">
        <f t="shared" si="12"/>
        <v>0</v>
      </c>
      <c r="DS200" s="130">
        <f>SI!BY200</f>
        <v>149</v>
      </c>
      <c r="DZ200" s="131">
        <f>SI!BZ200</f>
        <v>0</v>
      </c>
    </row>
    <row r="201" spans="1:130" hidden="1" x14ac:dyDescent="0.25">
      <c r="A201" s="141"/>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3"/>
      <c r="AY201" s="63"/>
      <c r="AZ201" s="63"/>
      <c r="BA201" s="63"/>
      <c r="BB201" s="63"/>
      <c r="BC201" s="63"/>
      <c r="BD201" s="63"/>
      <c r="BE201" s="63"/>
      <c r="BF201" s="63"/>
      <c r="BG201" s="63"/>
      <c r="BH201" s="63"/>
      <c r="BI201" s="64"/>
      <c r="BJ201" s="64"/>
      <c r="BK201" s="65"/>
      <c r="BL201" s="65"/>
      <c r="BM201" s="65"/>
      <c r="BN201" s="65"/>
      <c r="BO201" s="65"/>
      <c r="BP201" s="65"/>
      <c r="BQ201" s="65"/>
      <c r="BR201" s="65"/>
      <c r="BS201" s="64"/>
      <c r="BT201" s="64"/>
      <c r="BU201" s="65"/>
      <c r="BV201" s="65"/>
      <c r="BW201" s="65"/>
      <c r="BX201" s="65"/>
      <c r="BY201" s="65"/>
      <c r="BZ201" s="65"/>
      <c r="CA201" s="270"/>
      <c r="CB201" s="3" t="str">
        <f t="shared" si="14"/>
        <v>Riadok bude skrytý.</v>
      </c>
      <c r="CC201" s="271" t="s">
        <v>937</v>
      </c>
      <c r="CW201" s="30">
        <f t="shared" ref="CW201:CW223" si="21">+IF($B$181="Fyzická osoba-SZČO",0,1)</f>
        <v>1</v>
      </c>
      <c r="CX201" s="30">
        <f>+IF(B203="",0,1)</f>
        <v>0</v>
      </c>
      <c r="CZ201" s="30">
        <f t="shared" si="20"/>
        <v>0</v>
      </c>
      <c r="DA201" s="30">
        <f>+IF(CW201+CX201+CY201=0,0,IF(CZ201=0,0,1))</f>
        <v>0</v>
      </c>
      <c r="DB201" s="2">
        <f t="shared" si="12"/>
        <v>0</v>
      </c>
      <c r="DS201" s="130">
        <f>SI!BY201</f>
        <v>8</v>
      </c>
      <c r="DZ201" s="131">
        <f>SI!BZ201</f>
        <v>0</v>
      </c>
    </row>
    <row r="202" spans="1:130" hidden="1" x14ac:dyDescent="0.25">
      <c r="A202" s="141"/>
      <c r="B202" s="137" t="str">
        <f>+IF($S$52&lt;&gt;"",IF((CODE(MID($S$52,1,1))/100)&lt;10,IF(COMBIN(LEN(SI!J3),2)=DS202,IF(B181="Fyzická osoba-SZČO","","Členovia iných orgánov spoločností, pokiaľ sú zriadené:"),"NEPOVOLENÉ POUŽITIE !"),"NEPOVOLENÉ POUŽITIE !"),"NEPOVOLENÉ POUŽITIE !")</f>
        <v>Členovia iných orgánov spoločností, pokiaľ sú zriadené:</v>
      </c>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c r="BD202" s="63"/>
      <c r="BE202" s="63"/>
      <c r="BF202" s="63"/>
      <c r="BG202" s="63"/>
      <c r="BH202" s="63"/>
      <c r="BI202" s="64"/>
      <c r="BJ202" s="64"/>
      <c r="BK202" s="65"/>
      <c r="BL202" s="65"/>
      <c r="BM202" s="65"/>
      <c r="BN202" s="65"/>
      <c r="BO202" s="65"/>
      <c r="BP202" s="65"/>
      <c r="BQ202" s="65"/>
      <c r="BR202" s="65"/>
      <c r="BS202" s="64"/>
      <c r="BT202" s="64"/>
      <c r="BU202" s="65"/>
      <c r="BV202" s="65"/>
      <c r="BW202" s="65"/>
      <c r="BX202" s="65"/>
      <c r="BY202" s="65"/>
      <c r="BZ202" s="65"/>
      <c r="CA202" s="270" t="s">
        <v>773</v>
      </c>
      <c r="CB202" s="3" t="str">
        <f t="shared" si="14"/>
        <v>Riadok bude skrytý.</v>
      </c>
      <c r="CC202" s="271" t="s">
        <v>937</v>
      </c>
      <c r="CW202" s="30">
        <f t="shared" si="21"/>
        <v>1</v>
      </c>
      <c r="CX202" s="30">
        <f>+IF(B205="",0,1)</f>
        <v>0</v>
      </c>
      <c r="CZ202" s="30">
        <f t="shared" si="20"/>
        <v>0</v>
      </c>
      <c r="DA202" s="52">
        <f t="shared" ref="DA202:DA224" si="22">+IF(CW202*CX202=0,0,IF(CZ202=0,0,1))</f>
        <v>0</v>
      </c>
      <c r="DB202" s="2">
        <f t="shared" si="12"/>
        <v>0</v>
      </c>
      <c r="DS202" s="130">
        <f>SI!BY202</f>
        <v>10</v>
      </c>
      <c r="DZ202" s="131">
        <f>SI!BZ202</f>
        <v>0</v>
      </c>
    </row>
    <row r="203" spans="1:130" hidden="1" x14ac:dyDescent="0.25">
      <c r="A203" s="141"/>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c r="AW203" s="63"/>
      <c r="AX203" s="63"/>
      <c r="AY203" s="63"/>
      <c r="AZ203" s="63"/>
      <c r="BA203" s="63"/>
      <c r="BB203" s="63"/>
      <c r="BC203" s="63"/>
      <c r="BD203" s="63"/>
      <c r="BE203" s="63"/>
      <c r="BF203" s="63"/>
      <c r="BG203" s="63"/>
      <c r="BH203" s="63"/>
      <c r="BI203" s="64"/>
      <c r="BJ203" s="64"/>
      <c r="BK203" s="65"/>
      <c r="BL203" s="65"/>
      <c r="BM203" s="65"/>
      <c r="BN203" s="65"/>
      <c r="BO203" s="65"/>
      <c r="BP203" s="65"/>
      <c r="BQ203" s="65"/>
      <c r="BR203" s="65"/>
      <c r="BS203" s="64"/>
      <c r="BT203" s="64"/>
      <c r="BU203" s="65"/>
      <c r="BV203" s="65"/>
      <c r="BW203" s="65"/>
      <c r="BX203" s="65"/>
      <c r="BY203" s="65"/>
      <c r="BZ203" s="65"/>
      <c r="CA203" s="270"/>
      <c r="CB203" s="3" t="str">
        <f t="shared" si="14"/>
        <v>Riadok bude skrytý.</v>
      </c>
      <c r="CC203" s="271" t="s">
        <v>937</v>
      </c>
      <c r="CW203" s="30">
        <f t="shared" si="21"/>
        <v>1</v>
      </c>
      <c r="CX203" s="30">
        <f>+IF(B205="",0,1)</f>
        <v>0</v>
      </c>
      <c r="CZ203" s="30">
        <f t="shared" si="20"/>
        <v>0</v>
      </c>
      <c r="DA203" s="52">
        <f t="shared" si="22"/>
        <v>0</v>
      </c>
      <c r="DB203" s="2">
        <f t="shared" si="12"/>
        <v>0</v>
      </c>
      <c r="DS203" s="130">
        <f>SI!BY203</f>
        <v>408</v>
      </c>
      <c r="DZ203" s="131">
        <f>SI!BZ203</f>
        <v>0</v>
      </c>
    </row>
    <row r="204" spans="1:130" hidden="1" x14ac:dyDescent="0.25">
      <c r="A204" s="141"/>
      <c r="B204" s="922" t="s">
        <v>829</v>
      </c>
      <c r="C204" s="923"/>
      <c r="D204" s="923"/>
      <c r="E204" s="923"/>
      <c r="F204" s="923"/>
      <c r="G204" s="923"/>
      <c r="H204" s="923"/>
      <c r="I204" s="923"/>
      <c r="J204" s="923"/>
      <c r="K204" s="923"/>
      <c r="L204" s="923"/>
      <c r="M204" s="923"/>
      <c r="N204" s="923"/>
      <c r="O204" s="923"/>
      <c r="P204" s="923"/>
      <c r="Q204" s="923"/>
      <c r="R204" s="923"/>
      <c r="S204" s="923"/>
      <c r="T204" s="923"/>
      <c r="U204" s="923"/>
      <c r="V204" s="923"/>
      <c r="W204" s="923"/>
      <c r="X204" s="923"/>
      <c r="Y204" s="927" t="s">
        <v>830</v>
      </c>
      <c r="Z204" s="928"/>
      <c r="AA204" s="928"/>
      <c r="AB204" s="928"/>
      <c r="AC204" s="928"/>
      <c r="AD204" s="928"/>
      <c r="AE204" s="928"/>
      <c r="AF204" s="928"/>
      <c r="AG204" s="928"/>
      <c r="AH204" s="928"/>
      <c r="AI204" s="928"/>
      <c r="AJ204" s="928"/>
      <c r="AK204" s="928"/>
      <c r="AL204" s="928"/>
      <c r="AM204" s="928"/>
      <c r="AN204" s="928"/>
      <c r="AO204" s="928"/>
      <c r="AP204" s="928"/>
      <c r="AQ204" s="928"/>
      <c r="AR204" s="928"/>
      <c r="AS204" s="928"/>
      <c r="AT204" s="928"/>
      <c r="AU204" s="928"/>
      <c r="AV204" s="928"/>
      <c r="AW204" s="928"/>
      <c r="AX204" s="928"/>
      <c r="AY204" s="928"/>
      <c r="AZ204" s="928"/>
      <c r="BA204" s="928"/>
      <c r="BB204" s="928"/>
      <c r="BC204" s="928"/>
      <c r="BD204" s="928"/>
      <c r="BE204" s="928"/>
      <c r="BF204" s="928"/>
      <c r="BG204" s="88"/>
      <c r="BH204" s="951"/>
      <c r="BI204" s="951" t="s">
        <v>22</v>
      </c>
      <c r="BJ204" s="951"/>
      <c r="BK204" s="951"/>
      <c r="BL204" s="951"/>
      <c r="BM204" s="951"/>
      <c r="BN204" s="951"/>
      <c r="BO204" s="951"/>
      <c r="BP204" s="951"/>
      <c r="BQ204" s="952"/>
      <c r="BR204" s="951"/>
      <c r="BS204" s="951" t="s">
        <v>21</v>
      </c>
      <c r="BT204" s="951"/>
      <c r="BU204" s="951"/>
      <c r="BV204" s="951"/>
      <c r="BW204" s="951"/>
      <c r="BX204" s="951"/>
      <c r="BY204" s="951"/>
      <c r="BZ204" s="952"/>
      <c r="CA204" s="270"/>
      <c r="CB204" s="3" t="str">
        <f t="shared" si="14"/>
        <v>Riadok bude skrytý.</v>
      </c>
      <c r="CC204" s="271" t="s">
        <v>937</v>
      </c>
      <c r="CW204" s="30">
        <f t="shared" si="21"/>
        <v>1</v>
      </c>
      <c r="CX204" s="30">
        <f>+IF(B205&amp;Y205="",0,1)</f>
        <v>0</v>
      </c>
      <c r="CZ204" s="30">
        <f t="shared" si="20"/>
        <v>0</v>
      </c>
      <c r="DA204" s="52">
        <f t="shared" si="22"/>
        <v>0</v>
      </c>
      <c r="DB204" s="2">
        <f t="shared" si="12"/>
        <v>0</v>
      </c>
      <c r="DS204" s="130">
        <f>SI!BY204</f>
        <v>282</v>
      </c>
      <c r="DZ204" s="131">
        <f>SI!BZ204</f>
        <v>0</v>
      </c>
    </row>
    <row r="205" spans="1:130" hidden="1" x14ac:dyDescent="0.25">
      <c r="A205" s="141"/>
      <c r="B205" s="910"/>
      <c r="C205" s="911"/>
      <c r="D205" s="911"/>
      <c r="E205" s="911"/>
      <c r="F205" s="911"/>
      <c r="G205" s="911"/>
      <c r="H205" s="911"/>
      <c r="I205" s="911"/>
      <c r="J205" s="911"/>
      <c r="K205" s="911"/>
      <c r="L205" s="911"/>
      <c r="M205" s="911"/>
      <c r="N205" s="911"/>
      <c r="O205" s="911"/>
      <c r="P205" s="911"/>
      <c r="Q205" s="911"/>
      <c r="R205" s="911"/>
      <c r="S205" s="911"/>
      <c r="T205" s="911"/>
      <c r="U205" s="911"/>
      <c r="V205" s="911"/>
      <c r="W205" s="911"/>
      <c r="X205" s="912"/>
      <c r="Y205" s="924"/>
      <c r="Z205" s="925"/>
      <c r="AA205" s="925"/>
      <c r="AB205" s="925"/>
      <c r="AC205" s="925"/>
      <c r="AD205" s="925"/>
      <c r="AE205" s="925"/>
      <c r="AF205" s="925"/>
      <c r="AG205" s="925"/>
      <c r="AH205" s="925"/>
      <c r="AI205" s="925"/>
      <c r="AJ205" s="925"/>
      <c r="AK205" s="925"/>
      <c r="AL205" s="925"/>
      <c r="AM205" s="925"/>
      <c r="AN205" s="925"/>
      <c r="AO205" s="925"/>
      <c r="AP205" s="925"/>
      <c r="AQ205" s="925"/>
      <c r="AR205" s="925"/>
      <c r="AS205" s="925"/>
      <c r="AT205" s="925"/>
      <c r="AU205" s="925"/>
      <c r="AV205" s="925"/>
      <c r="AW205" s="925"/>
      <c r="AX205" s="925"/>
      <c r="AY205" s="925"/>
      <c r="AZ205" s="925"/>
      <c r="BA205" s="925"/>
      <c r="BB205" s="925"/>
      <c r="BC205" s="925"/>
      <c r="BD205" s="925"/>
      <c r="BE205" s="925"/>
      <c r="BF205" s="926"/>
      <c r="BG205" s="970"/>
      <c r="BH205" s="938"/>
      <c r="BI205" s="938"/>
      <c r="BJ205" s="938"/>
      <c r="BK205" s="938"/>
      <c r="BL205" s="938"/>
      <c r="BM205" s="938"/>
      <c r="BN205" s="938"/>
      <c r="BO205" s="938"/>
      <c r="BP205" s="938"/>
      <c r="BQ205" s="939"/>
      <c r="BR205" s="971"/>
      <c r="BS205" s="972"/>
      <c r="BT205" s="972"/>
      <c r="BU205" s="972"/>
      <c r="BV205" s="972"/>
      <c r="BW205" s="972"/>
      <c r="BX205" s="972"/>
      <c r="BY205" s="972"/>
      <c r="BZ205" s="973"/>
      <c r="CA205" s="270"/>
      <c r="CB205" s="3" t="str">
        <f t="shared" si="14"/>
        <v>Riadok bude skrytý.</v>
      </c>
      <c r="CC205" s="271" t="s">
        <v>937</v>
      </c>
      <c r="CW205" s="30">
        <f t="shared" si="21"/>
        <v>1</v>
      </c>
      <c r="CX205" s="30">
        <f t="shared" ref="CX205:CX223" si="23">+IF(B205&amp;Y205="",0,1)</f>
        <v>0</v>
      </c>
      <c r="CZ205" s="30">
        <f t="shared" si="20"/>
        <v>0</v>
      </c>
      <c r="DA205" s="52">
        <f t="shared" si="22"/>
        <v>0</v>
      </c>
      <c r="DB205" s="2">
        <f t="shared" si="12"/>
        <v>0</v>
      </c>
      <c r="DS205" s="130">
        <f>SI!BY205</f>
        <v>122</v>
      </c>
      <c r="DZ205" s="131">
        <f>SI!BZ205</f>
        <v>0</v>
      </c>
    </row>
    <row r="206" spans="1:130" hidden="1" x14ac:dyDescent="0.25">
      <c r="A206" s="141"/>
      <c r="B206" s="742"/>
      <c r="C206" s="743"/>
      <c r="D206" s="743"/>
      <c r="E206" s="743"/>
      <c r="F206" s="743"/>
      <c r="G206" s="743"/>
      <c r="H206" s="743"/>
      <c r="I206" s="743"/>
      <c r="J206" s="743"/>
      <c r="K206" s="743"/>
      <c r="L206" s="743"/>
      <c r="M206" s="743"/>
      <c r="N206" s="743"/>
      <c r="O206" s="743"/>
      <c r="P206" s="743"/>
      <c r="Q206" s="743"/>
      <c r="R206" s="743"/>
      <c r="S206" s="743"/>
      <c r="T206" s="743"/>
      <c r="U206" s="743"/>
      <c r="V206" s="743"/>
      <c r="W206" s="743"/>
      <c r="X206" s="744"/>
      <c r="Y206" s="907"/>
      <c r="Z206" s="908"/>
      <c r="AA206" s="908"/>
      <c r="AB206" s="908"/>
      <c r="AC206" s="908"/>
      <c r="AD206" s="908"/>
      <c r="AE206" s="908"/>
      <c r="AF206" s="908"/>
      <c r="AG206" s="908"/>
      <c r="AH206" s="908"/>
      <c r="AI206" s="908"/>
      <c r="AJ206" s="908"/>
      <c r="AK206" s="908"/>
      <c r="AL206" s="908"/>
      <c r="AM206" s="908"/>
      <c r="AN206" s="908"/>
      <c r="AO206" s="908"/>
      <c r="AP206" s="908"/>
      <c r="AQ206" s="908"/>
      <c r="AR206" s="908"/>
      <c r="AS206" s="908"/>
      <c r="AT206" s="908"/>
      <c r="AU206" s="908"/>
      <c r="AV206" s="908"/>
      <c r="AW206" s="908"/>
      <c r="AX206" s="908"/>
      <c r="AY206" s="908"/>
      <c r="AZ206" s="908"/>
      <c r="BA206" s="908"/>
      <c r="BB206" s="908"/>
      <c r="BC206" s="908"/>
      <c r="BD206" s="908"/>
      <c r="BE206" s="908"/>
      <c r="BF206" s="909"/>
      <c r="BG206" s="904"/>
      <c r="BH206" s="905"/>
      <c r="BI206" s="905"/>
      <c r="BJ206" s="905"/>
      <c r="BK206" s="905"/>
      <c r="BL206" s="905"/>
      <c r="BM206" s="905"/>
      <c r="BN206" s="905"/>
      <c r="BO206" s="905"/>
      <c r="BP206" s="905"/>
      <c r="BQ206" s="906"/>
      <c r="BR206" s="901"/>
      <c r="BS206" s="902"/>
      <c r="BT206" s="902"/>
      <c r="BU206" s="902"/>
      <c r="BV206" s="902"/>
      <c r="BW206" s="902"/>
      <c r="BX206" s="902"/>
      <c r="BY206" s="902"/>
      <c r="BZ206" s="903"/>
      <c r="CA206" s="270"/>
      <c r="CB206" s="3" t="str">
        <f t="shared" si="14"/>
        <v>Riadok bude skrytý.</v>
      </c>
      <c r="CC206" s="271" t="s">
        <v>937</v>
      </c>
      <c r="CW206" s="30">
        <f t="shared" si="21"/>
        <v>1</v>
      </c>
      <c r="CX206" s="30">
        <f t="shared" si="23"/>
        <v>0</v>
      </c>
      <c r="CZ206" s="30">
        <f t="shared" si="20"/>
        <v>0</v>
      </c>
      <c r="DA206" s="52">
        <f t="shared" si="22"/>
        <v>0</v>
      </c>
      <c r="DB206" s="2">
        <f t="shared" si="12"/>
        <v>0</v>
      </c>
      <c r="DS206" s="130">
        <f>SI!BY206</f>
        <v>695</v>
      </c>
      <c r="DZ206" s="131">
        <f>SI!BZ206</f>
        <v>0</v>
      </c>
    </row>
    <row r="207" spans="1:130" hidden="1" x14ac:dyDescent="0.25">
      <c r="A207" s="141"/>
      <c r="B207" s="742"/>
      <c r="C207" s="743"/>
      <c r="D207" s="743"/>
      <c r="E207" s="743"/>
      <c r="F207" s="743"/>
      <c r="G207" s="743"/>
      <c r="H207" s="743"/>
      <c r="I207" s="743"/>
      <c r="J207" s="743"/>
      <c r="K207" s="743"/>
      <c r="L207" s="743"/>
      <c r="M207" s="743"/>
      <c r="N207" s="743"/>
      <c r="O207" s="743"/>
      <c r="P207" s="743"/>
      <c r="Q207" s="743"/>
      <c r="R207" s="743"/>
      <c r="S207" s="743"/>
      <c r="T207" s="743"/>
      <c r="U207" s="743"/>
      <c r="V207" s="743"/>
      <c r="W207" s="743"/>
      <c r="X207" s="744"/>
      <c r="Y207" s="907"/>
      <c r="Z207" s="908"/>
      <c r="AA207" s="908"/>
      <c r="AB207" s="908"/>
      <c r="AC207" s="908"/>
      <c r="AD207" s="908"/>
      <c r="AE207" s="908"/>
      <c r="AF207" s="908"/>
      <c r="AG207" s="908"/>
      <c r="AH207" s="908"/>
      <c r="AI207" s="908"/>
      <c r="AJ207" s="908"/>
      <c r="AK207" s="908"/>
      <c r="AL207" s="908"/>
      <c r="AM207" s="908"/>
      <c r="AN207" s="908"/>
      <c r="AO207" s="908"/>
      <c r="AP207" s="908"/>
      <c r="AQ207" s="908"/>
      <c r="AR207" s="908"/>
      <c r="AS207" s="908"/>
      <c r="AT207" s="908"/>
      <c r="AU207" s="908"/>
      <c r="AV207" s="908"/>
      <c r="AW207" s="908"/>
      <c r="AX207" s="908"/>
      <c r="AY207" s="908"/>
      <c r="AZ207" s="908"/>
      <c r="BA207" s="908"/>
      <c r="BB207" s="908"/>
      <c r="BC207" s="908"/>
      <c r="BD207" s="908"/>
      <c r="BE207" s="908"/>
      <c r="BF207" s="909"/>
      <c r="BG207" s="904"/>
      <c r="BH207" s="905"/>
      <c r="BI207" s="905"/>
      <c r="BJ207" s="905"/>
      <c r="BK207" s="905"/>
      <c r="BL207" s="905"/>
      <c r="BM207" s="905"/>
      <c r="BN207" s="905"/>
      <c r="BO207" s="905"/>
      <c r="BP207" s="905"/>
      <c r="BQ207" s="906"/>
      <c r="BR207" s="901"/>
      <c r="BS207" s="902"/>
      <c r="BT207" s="902"/>
      <c r="BU207" s="902"/>
      <c r="BV207" s="902"/>
      <c r="BW207" s="902"/>
      <c r="BX207" s="902"/>
      <c r="BY207" s="902"/>
      <c r="BZ207" s="903"/>
      <c r="CA207" s="270"/>
      <c r="CB207" s="3" t="str">
        <f t="shared" si="14"/>
        <v>Riadok bude skrytý.</v>
      </c>
      <c r="CC207" s="271" t="s">
        <v>937</v>
      </c>
      <c r="CW207" s="30">
        <f t="shared" si="21"/>
        <v>1</v>
      </c>
      <c r="CX207" s="30">
        <f t="shared" si="23"/>
        <v>0</v>
      </c>
      <c r="CZ207" s="30">
        <f t="shared" si="20"/>
        <v>0</v>
      </c>
      <c r="DA207" s="52">
        <f t="shared" si="22"/>
        <v>0</v>
      </c>
      <c r="DB207" s="2">
        <f t="shared" si="12"/>
        <v>0</v>
      </c>
      <c r="DS207" s="130">
        <f>SI!BY207</f>
        <v>168</v>
      </c>
      <c r="DZ207" s="131">
        <f>SI!BZ207</f>
        <v>0</v>
      </c>
    </row>
    <row r="208" spans="1:130" hidden="1" x14ac:dyDescent="0.25">
      <c r="A208" s="141"/>
      <c r="B208" s="742"/>
      <c r="C208" s="743"/>
      <c r="D208" s="743"/>
      <c r="E208" s="743"/>
      <c r="F208" s="743"/>
      <c r="G208" s="743"/>
      <c r="H208" s="743"/>
      <c r="I208" s="743"/>
      <c r="J208" s="743"/>
      <c r="K208" s="743"/>
      <c r="L208" s="743"/>
      <c r="M208" s="743"/>
      <c r="N208" s="743"/>
      <c r="O208" s="743"/>
      <c r="P208" s="743"/>
      <c r="Q208" s="743"/>
      <c r="R208" s="743"/>
      <c r="S208" s="743"/>
      <c r="T208" s="743"/>
      <c r="U208" s="743"/>
      <c r="V208" s="743"/>
      <c r="W208" s="743"/>
      <c r="X208" s="744"/>
      <c r="Y208" s="907"/>
      <c r="Z208" s="908"/>
      <c r="AA208" s="908"/>
      <c r="AB208" s="908"/>
      <c r="AC208" s="908"/>
      <c r="AD208" s="908"/>
      <c r="AE208" s="908"/>
      <c r="AF208" s="908"/>
      <c r="AG208" s="908"/>
      <c r="AH208" s="908"/>
      <c r="AI208" s="908"/>
      <c r="AJ208" s="908"/>
      <c r="AK208" s="908"/>
      <c r="AL208" s="908"/>
      <c r="AM208" s="908"/>
      <c r="AN208" s="908"/>
      <c r="AO208" s="908"/>
      <c r="AP208" s="908"/>
      <c r="AQ208" s="908"/>
      <c r="AR208" s="908"/>
      <c r="AS208" s="908"/>
      <c r="AT208" s="908"/>
      <c r="AU208" s="908"/>
      <c r="AV208" s="908"/>
      <c r="AW208" s="908"/>
      <c r="AX208" s="908"/>
      <c r="AY208" s="908"/>
      <c r="AZ208" s="908"/>
      <c r="BA208" s="908"/>
      <c r="BB208" s="908"/>
      <c r="BC208" s="908"/>
      <c r="BD208" s="908"/>
      <c r="BE208" s="908"/>
      <c r="BF208" s="909"/>
      <c r="BG208" s="904"/>
      <c r="BH208" s="905"/>
      <c r="BI208" s="905"/>
      <c r="BJ208" s="905"/>
      <c r="BK208" s="905"/>
      <c r="BL208" s="905"/>
      <c r="BM208" s="905"/>
      <c r="BN208" s="905"/>
      <c r="BO208" s="905"/>
      <c r="BP208" s="905"/>
      <c r="BQ208" s="906"/>
      <c r="BR208" s="901"/>
      <c r="BS208" s="902"/>
      <c r="BT208" s="902"/>
      <c r="BU208" s="902"/>
      <c r="BV208" s="902"/>
      <c r="BW208" s="902"/>
      <c r="BX208" s="902"/>
      <c r="BY208" s="902"/>
      <c r="BZ208" s="903"/>
      <c r="CA208" s="270"/>
      <c r="CB208" s="3" t="str">
        <f t="shared" si="14"/>
        <v>Riadok bude skrytý.</v>
      </c>
      <c r="CC208" s="271" t="s">
        <v>937</v>
      </c>
      <c r="CW208" s="30">
        <f t="shared" si="21"/>
        <v>1</v>
      </c>
      <c r="CX208" s="30">
        <f t="shared" si="23"/>
        <v>0</v>
      </c>
      <c r="CZ208" s="30">
        <f t="shared" si="20"/>
        <v>0</v>
      </c>
      <c r="DA208" s="52">
        <f t="shared" si="22"/>
        <v>0</v>
      </c>
      <c r="DB208" s="2">
        <f t="shared" si="12"/>
        <v>0</v>
      </c>
      <c r="DS208" s="130">
        <f>SI!BY208</f>
        <v>272</v>
      </c>
      <c r="DZ208" s="131">
        <f>SI!BZ208</f>
        <v>0</v>
      </c>
    </row>
    <row r="209" spans="1:130" hidden="1" x14ac:dyDescent="0.25">
      <c r="A209" s="141"/>
      <c r="B209" s="742"/>
      <c r="C209" s="743"/>
      <c r="D209" s="743"/>
      <c r="E209" s="743"/>
      <c r="F209" s="743"/>
      <c r="G209" s="743"/>
      <c r="H209" s="743"/>
      <c r="I209" s="743"/>
      <c r="J209" s="743"/>
      <c r="K209" s="743"/>
      <c r="L209" s="743"/>
      <c r="M209" s="743"/>
      <c r="N209" s="743"/>
      <c r="O209" s="743"/>
      <c r="P209" s="743"/>
      <c r="Q209" s="743"/>
      <c r="R209" s="743"/>
      <c r="S209" s="743"/>
      <c r="T209" s="743"/>
      <c r="U209" s="743"/>
      <c r="V209" s="743"/>
      <c r="W209" s="743"/>
      <c r="X209" s="744"/>
      <c r="Y209" s="907"/>
      <c r="Z209" s="908"/>
      <c r="AA209" s="908"/>
      <c r="AB209" s="908"/>
      <c r="AC209" s="908"/>
      <c r="AD209" s="908"/>
      <c r="AE209" s="908"/>
      <c r="AF209" s="908"/>
      <c r="AG209" s="908"/>
      <c r="AH209" s="908"/>
      <c r="AI209" s="908"/>
      <c r="AJ209" s="908"/>
      <c r="AK209" s="908"/>
      <c r="AL209" s="908"/>
      <c r="AM209" s="908"/>
      <c r="AN209" s="908"/>
      <c r="AO209" s="908"/>
      <c r="AP209" s="908"/>
      <c r="AQ209" s="908"/>
      <c r="AR209" s="908"/>
      <c r="AS209" s="908"/>
      <c r="AT209" s="908"/>
      <c r="AU209" s="908"/>
      <c r="AV209" s="908"/>
      <c r="AW209" s="908"/>
      <c r="AX209" s="908"/>
      <c r="AY209" s="908"/>
      <c r="AZ209" s="908"/>
      <c r="BA209" s="908"/>
      <c r="BB209" s="908"/>
      <c r="BC209" s="908"/>
      <c r="BD209" s="908"/>
      <c r="BE209" s="908"/>
      <c r="BF209" s="909"/>
      <c r="BG209" s="904"/>
      <c r="BH209" s="905"/>
      <c r="BI209" s="905"/>
      <c r="BJ209" s="905"/>
      <c r="BK209" s="905"/>
      <c r="BL209" s="905"/>
      <c r="BM209" s="905"/>
      <c r="BN209" s="905"/>
      <c r="BO209" s="905"/>
      <c r="BP209" s="905"/>
      <c r="BQ209" s="906"/>
      <c r="BR209" s="901"/>
      <c r="BS209" s="902"/>
      <c r="BT209" s="902"/>
      <c r="BU209" s="902"/>
      <c r="BV209" s="902"/>
      <c r="BW209" s="902"/>
      <c r="BX209" s="902"/>
      <c r="BY209" s="902"/>
      <c r="BZ209" s="903"/>
      <c r="CA209" s="270"/>
      <c r="CB209" s="3" t="str">
        <f t="shared" si="14"/>
        <v>Riadok bude skrytý.</v>
      </c>
      <c r="CC209" s="271" t="s">
        <v>937</v>
      </c>
      <c r="CW209" s="30">
        <f t="shared" si="21"/>
        <v>1</v>
      </c>
      <c r="CX209" s="30">
        <f t="shared" si="23"/>
        <v>0</v>
      </c>
      <c r="CZ209" s="30">
        <f t="shared" si="20"/>
        <v>0</v>
      </c>
      <c r="DA209" s="52">
        <f t="shared" si="22"/>
        <v>0</v>
      </c>
      <c r="DB209" s="2">
        <f t="shared" si="12"/>
        <v>0</v>
      </c>
      <c r="DS209" s="130">
        <f>SI!BY209</f>
        <v>121</v>
      </c>
      <c r="DZ209" s="131">
        <f>SI!BZ209</f>
        <v>0</v>
      </c>
    </row>
    <row r="210" spans="1:130" hidden="1" x14ac:dyDescent="0.25">
      <c r="A210" s="141"/>
      <c r="B210" s="742"/>
      <c r="C210" s="743"/>
      <c r="D210" s="743"/>
      <c r="E210" s="743"/>
      <c r="F210" s="743"/>
      <c r="G210" s="743"/>
      <c r="H210" s="743"/>
      <c r="I210" s="743"/>
      <c r="J210" s="743"/>
      <c r="K210" s="743"/>
      <c r="L210" s="743"/>
      <c r="M210" s="743"/>
      <c r="N210" s="743"/>
      <c r="O210" s="743"/>
      <c r="P210" s="743"/>
      <c r="Q210" s="743"/>
      <c r="R210" s="743"/>
      <c r="S210" s="743"/>
      <c r="T210" s="743"/>
      <c r="U210" s="743"/>
      <c r="V210" s="743"/>
      <c r="W210" s="743"/>
      <c r="X210" s="744"/>
      <c r="Y210" s="907"/>
      <c r="Z210" s="908"/>
      <c r="AA210" s="908"/>
      <c r="AB210" s="908"/>
      <c r="AC210" s="908"/>
      <c r="AD210" s="908"/>
      <c r="AE210" s="908"/>
      <c r="AF210" s="908"/>
      <c r="AG210" s="908"/>
      <c r="AH210" s="908"/>
      <c r="AI210" s="908"/>
      <c r="AJ210" s="908"/>
      <c r="AK210" s="908"/>
      <c r="AL210" s="908"/>
      <c r="AM210" s="908"/>
      <c r="AN210" s="908"/>
      <c r="AO210" s="908"/>
      <c r="AP210" s="908"/>
      <c r="AQ210" s="908"/>
      <c r="AR210" s="908"/>
      <c r="AS210" s="908"/>
      <c r="AT210" s="908"/>
      <c r="AU210" s="908"/>
      <c r="AV210" s="908"/>
      <c r="AW210" s="908"/>
      <c r="AX210" s="908"/>
      <c r="AY210" s="908"/>
      <c r="AZ210" s="908"/>
      <c r="BA210" s="908"/>
      <c r="BB210" s="908"/>
      <c r="BC210" s="908"/>
      <c r="BD210" s="908"/>
      <c r="BE210" s="908"/>
      <c r="BF210" s="909"/>
      <c r="BG210" s="904"/>
      <c r="BH210" s="905"/>
      <c r="BI210" s="905"/>
      <c r="BJ210" s="905"/>
      <c r="BK210" s="905"/>
      <c r="BL210" s="905"/>
      <c r="BM210" s="905"/>
      <c r="BN210" s="905"/>
      <c r="BO210" s="905"/>
      <c r="BP210" s="905"/>
      <c r="BQ210" s="906"/>
      <c r="BR210" s="901"/>
      <c r="BS210" s="902"/>
      <c r="BT210" s="902"/>
      <c r="BU210" s="902"/>
      <c r="BV210" s="902"/>
      <c r="BW210" s="902"/>
      <c r="BX210" s="902"/>
      <c r="BY210" s="902"/>
      <c r="BZ210" s="903"/>
      <c r="CA210" s="270"/>
      <c r="CB210" s="3" t="str">
        <f t="shared" si="14"/>
        <v>Riadok bude skrytý.</v>
      </c>
      <c r="CC210" s="271" t="s">
        <v>937</v>
      </c>
      <c r="CW210" s="30">
        <f t="shared" si="21"/>
        <v>1</v>
      </c>
      <c r="CX210" s="30">
        <f t="shared" si="23"/>
        <v>0</v>
      </c>
      <c r="CZ210" s="30">
        <f t="shared" si="20"/>
        <v>0</v>
      </c>
      <c r="DA210" s="52">
        <f t="shared" si="22"/>
        <v>0</v>
      </c>
      <c r="DB210" s="2">
        <f t="shared" si="12"/>
        <v>0</v>
      </c>
      <c r="DS210" s="130">
        <f>SI!BY210</f>
        <v>801</v>
      </c>
      <c r="DZ210" s="131">
        <f>SI!BZ210</f>
        <v>0</v>
      </c>
    </row>
    <row r="211" spans="1:130" hidden="1" x14ac:dyDescent="0.25">
      <c r="A211" s="141"/>
      <c r="B211" s="742"/>
      <c r="C211" s="743"/>
      <c r="D211" s="743"/>
      <c r="E211" s="743"/>
      <c r="F211" s="743"/>
      <c r="G211" s="743"/>
      <c r="H211" s="743"/>
      <c r="I211" s="743"/>
      <c r="J211" s="743"/>
      <c r="K211" s="743"/>
      <c r="L211" s="743"/>
      <c r="M211" s="743"/>
      <c r="N211" s="743"/>
      <c r="O211" s="743"/>
      <c r="P211" s="743"/>
      <c r="Q211" s="743"/>
      <c r="R211" s="743"/>
      <c r="S211" s="743"/>
      <c r="T211" s="743"/>
      <c r="U211" s="743"/>
      <c r="V211" s="743"/>
      <c r="W211" s="743"/>
      <c r="X211" s="744"/>
      <c r="Y211" s="907"/>
      <c r="Z211" s="908"/>
      <c r="AA211" s="908"/>
      <c r="AB211" s="908"/>
      <c r="AC211" s="908"/>
      <c r="AD211" s="908"/>
      <c r="AE211" s="908"/>
      <c r="AF211" s="908"/>
      <c r="AG211" s="908"/>
      <c r="AH211" s="908"/>
      <c r="AI211" s="908"/>
      <c r="AJ211" s="908"/>
      <c r="AK211" s="908"/>
      <c r="AL211" s="908"/>
      <c r="AM211" s="908"/>
      <c r="AN211" s="908"/>
      <c r="AO211" s="908"/>
      <c r="AP211" s="908"/>
      <c r="AQ211" s="908"/>
      <c r="AR211" s="908"/>
      <c r="AS211" s="908"/>
      <c r="AT211" s="908"/>
      <c r="AU211" s="908"/>
      <c r="AV211" s="908"/>
      <c r="AW211" s="908"/>
      <c r="AX211" s="908"/>
      <c r="AY211" s="908"/>
      <c r="AZ211" s="908"/>
      <c r="BA211" s="908"/>
      <c r="BB211" s="908"/>
      <c r="BC211" s="908"/>
      <c r="BD211" s="908"/>
      <c r="BE211" s="908"/>
      <c r="BF211" s="909"/>
      <c r="BG211" s="904"/>
      <c r="BH211" s="905"/>
      <c r="BI211" s="905"/>
      <c r="BJ211" s="905"/>
      <c r="BK211" s="905"/>
      <c r="BL211" s="905"/>
      <c r="BM211" s="905"/>
      <c r="BN211" s="905"/>
      <c r="BO211" s="905"/>
      <c r="BP211" s="905"/>
      <c r="BQ211" s="906"/>
      <c r="BR211" s="901"/>
      <c r="BS211" s="902"/>
      <c r="BT211" s="902"/>
      <c r="BU211" s="902"/>
      <c r="BV211" s="902"/>
      <c r="BW211" s="902"/>
      <c r="BX211" s="902"/>
      <c r="BY211" s="902"/>
      <c r="BZ211" s="903"/>
      <c r="CA211" s="270"/>
      <c r="CB211" s="3" t="str">
        <f t="shared" si="14"/>
        <v>Riadok bude skrytý.</v>
      </c>
      <c r="CC211" s="271" t="s">
        <v>937</v>
      </c>
      <c r="CW211" s="30">
        <f t="shared" si="21"/>
        <v>1</v>
      </c>
      <c r="CX211" s="30">
        <f t="shared" si="23"/>
        <v>0</v>
      </c>
      <c r="CZ211" s="30">
        <f t="shared" si="20"/>
        <v>0</v>
      </c>
      <c r="DA211" s="52">
        <f t="shared" si="22"/>
        <v>0</v>
      </c>
      <c r="DB211" s="2">
        <f t="shared" si="12"/>
        <v>0</v>
      </c>
      <c r="DS211" s="130">
        <f>SI!BY211</f>
        <v>166</v>
      </c>
      <c r="DZ211" s="131">
        <f>SI!BZ211</f>
        <v>0</v>
      </c>
    </row>
    <row r="212" spans="1:130" hidden="1" x14ac:dyDescent="0.25">
      <c r="A212" s="141"/>
      <c r="B212" s="742"/>
      <c r="C212" s="743"/>
      <c r="D212" s="743"/>
      <c r="E212" s="743"/>
      <c r="F212" s="743"/>
      <c r="G212" s="743"/>
      <c r="H212" s="743"/>
      <c r="I212" s="743"/>
      <c r="J212" s="743"/>
      <c r="K212" s="743"/>
      <c r="L212" s="743"/>
      <c r="M212" s="743"/>
      <c r="N212" s="743"/>
      <c r="O212" s="743"/>
      <c r="P212" s="743"/>
      <c r="Q212" s="743"/>
      <c r="R212" s="743"/>
      <c r="S212" s="743"/>
      <c r="T212" s="743"/>
      <c r="U212" s="743"/>
      <c r="V212" s="743"/>
      <c r="W212" s="743"/>
      <c r="X212" s="744"/>
      <c r="Y212" s="907"/>
      <c r="Z212" s="908"/>
      <c r="AA212" s="908"/>
      <c r="AB212" s="908"/>
      <c r="AC212" s="908"/>
      <c r="AD212" s="908"/>
      <c r="AE212" s="908"/>
      <c r="AF212" s="908"/>
      <c r="AG212" s="908"/>
      <c r="AH212" s="908"/>
      <c r="AI212" s="908"/>
      <c r="AJ212" s="908"/>
      <c r="AK212" s="908"/>
      <c r="AL212" s="908"/>
      <c r="AM212" s="908"/>
      <c r="AN212" s="908"/>
      <c r="AO212" s="908"/>
      <c r="AP212" s="908"/>
      <c r="AQ212" s="908"/>
      <c r="AR212" s="908"/>
      <c r="AS212" s="908"/>
      <c r="AT212" s="908"/>
      <c r="AU212" s="908"/>
      <c r="AV212" s="908"/>
      <c r="AW212" s="908"/>
      <c r="AX212" s="908"/>
      <c r="AY212" s="908"/>
      <c r="AZ212" s="908"/>
      <c r="BA212" s="908"/>
      <c r="BB212" s="908"/>
      <c r="BC212" s="908"/>
      <c r="BD212" s="908"/>
      <c r="BE212" s="908"/>
      <c r="BF212" s="909"/>
      <c r="BG212" s="904"/>
      <c r="BH212" s="905"/>
      <c r="BI212" s="905"/>
      <c r="BJ212" s="905"/>
      <c r="BK212" s="905"/>
      <c r="BL212" s="905"/>
      <c r="BM212" s="905"/>
      <c r="BN212" s="905"/>
      <c r="BO212" s="905"/>
      <c r="BP212" s="905"/>
      <c r="BQ212" s="906"/>
      <c r="BR212" s="901"/>
      <c r="BS212" s="902"/>
      <c r="BT212" s="902"/>
      <c r="BU212" s="902"/>
      <c r="BV212" s="902"/>
      <c r="BW212" s="902"/>
      <c r="BX212" s="902"/>
      <c r="BY212" s="902"/>
      <c r="BZ212" s="903"/>
      <c r="CA212" s="270"/>
      <c r="CB212" s="3" t="str">
        <f t="shared" si="14"/>
        <v>Riadok bude skrytý.</v>
      </c>
      <c r="CC212" s="271" t="s">
        <v>937</v>
      </c>
      <c r="CW212" s="30">
        <f t="shared" si="21"/>
        <v>1</v>
      </c>
      <c r="CX212" s="30">
        <f t="shared" si="23"/>
        <v>0</v>
      </c>
      <c r="CZ212" s="30">
        <f t="shared" si="20"/>
        <v>0</v>
      </c>
      <c r="DA212" s="52">
        <f t="shared" si="22"/>
        <v>0</v>
      </c>
      <c r="DB212" s="2">
        <f t="shared" si="12"/>
        <v>0</v>
      </c>
      <c r="DS212" s="130">
        <f>SI!BY212</f>
        <v>189</v>
      </c>
      <c r="DZ212" s="131">
        <f>SI!BZ212</f>
        <v>0</v>
      </c>
    </row>
    <row r="213" spans="1:130" hidden="1" x14ac:dyDescent="0.25">
      <c r="A213" s="141"/>
      <c r="B213" s="742"/>
      <c r="C213" s="743"/>
      <c r="D213" s="743"/>
      <c r="E213" s="743"/>
      <c r="F213" s="743"/>
      <c r="G213" s="743"/>
      <c r="H213" s="743"/>
      <c r="I213" s="743"/>
      <c r="J213" s="743"/>
      <c r="K213" s="743"/>
      <c r="L213" s="743"/>
      <c r="M213" s="743"/>
      <c r="N213" s="743"/>
      <c r="O213" s="743"/>
      <c r="P213" s="743"/>
      <c r="Q213" s="743"/>
      <c r="R213" s="743"/>
      <c r="S213" s="743"/>
      <c r="T213" s="743"/>
      <c r="U213" s="743"/>
      <c r="V213" s="743"/>
      <c r="W213" s="743"/>
      <c r="X213" s="744"/>
      <c r="Y213" s="907"/>
      <c r="Z213" s="908"/>
      <c r="AA213" s="908"/>
      <c r="AB213" s="908"/>
      <c r="AC213" s="908"/>
      <c r="AD213" s="908"/>
      <c r="AE213" s="908"/>
      <c r="AF213" s="908"/>
      <c r="AG213" s="908"/>
      <c r="AH213" s="908"/>
      <c r="AI213" s="908"/>
      <c r="AJ213" s="908"/>
      <c r="AK213" s="908"/>
      <c r="AL213" s="908"/>
      <c r="AM213" s="908"/>
      <c r="AN213" s="908"/>
      <c r="AO213" s="908"/>
      <c r="AP213" s="908"/>
      <c r="AQ213" s="908"/>
      <c r="AR213" s="908"/>
      <c r="AS213" s="908"/>
      <c r="AT213" s="908"/>
      <c r="AU213" s="908"/>
      <c r="AV213" s="908"/>
      <c r="AW213" s="908"/>
      <c r="AX213" s="908"/>
      <c r="AY213" s="908"/>
      <c r="AZ213" s="908"/>
      <c r="BA213" s="908"/>
      <c r="BB213" s="908"/>
      <c r="BC213" s="908"/>
      <c r="BD213" s="908"/>
      <c r="BE213" s="908"/>
      <c r="BF213" s="909"/>
      <c r="BG213" s="904"/>
      <c r="BH213" s="905"/>
      <c r="BI213" s="905"/>
      <c r="BJ213" s="905"/>
      <c r="BK213" s="905"/>
      <c r="BL213" s="905"/>
      <c r="BM213" s="905"/>
      <c r="BN213" s="905"/>
      <c r="BO213" s="905"/>
      <c r="BP213" s="905"/>
      <c r="BQ213" s="906"/>
      <c r="BR213" s="901"/>
      <c r="BS213" s="902"/>
      <c r="BT213" s="902"/>
      <c r="BU213" s="902"/>
      <c r="BV213" s="902"/>
      <c r="BW213" s="902"/>
      <c r="BX213" s="902"/>
      <c r="BY213" s="902"/>
      <c r="BZ213" s="903"/>
      <c r="CA213" s="270"/>
      <c r="CB213" s="3" t="str">
        <f t="shared" si="14"/>
        <v>Riadok bude skrytý.</v>
      </c>
      <c r="CC213" s="271" t="s">
        <v>937</v>
      </c>
      <c r="CW213" s="30">
        <f t="shared" si="21"/>
        <v>1</v>
      </c>
      <c r="CX213" s="30">
        <f t="shared" si="23"/>
        <v>0</v>
      </c>
      <c r="CZ213" s="30">
        <f t="shared" si="20"/>
        <v>0</v>
      </c>
      <c r="DA213" s="52">
        <f t="shared" si="22"/>
        <v>0</v>
      </c>
      <c r="DB213" s="2">
        <f t="shared" si="12"/>
        <v>0</v>
      </c>
      <c r="DS213" s="130">
        <f>SI!BY213</f>
        <v>178</v>
      </c>
      <c r="DZ213" s="131">
        <f>SI!BZ213</f>
        <v>0</v>
      </c>
    </row>
    <row r="214" spans="1:130" hidden="1" x14ac:dyDescent="0.25">
      <c r="A214" s="141"/>
      <c r="B214" s="742"/>
      <c r="C214" s="743"/>
      <c r="D214" s="743"/>
      <c r="E214" s="743"/>
      <c r="F214" s="743"/>
      <c r="G214" s="743"/>
      <c r="H214" s="743"/>
      <c r="I214" s="743"/>
      <c r="J214" s="743"/>
      <c r="K214" s="743"/>
      <c r="L214" s="743"/>
      <c r="M214" s="743"/>
      <c r="N214" s="743"/>
      <c r="O214" s="743"/>
      <c r="P214" s="743"/>
      <c r="Q214" s="743"/>
      <c r="R214" s="743"/>
      <c r="S214" s="743"/>
      <c r="T214" s="743"/>
      <c r="U214" s="743"/>
      <c r="V214" s="743"/>
      <c r="W214" s="743"/>
      <c r="X214" s="744"/>
      <c r="Y214" s="907"/>
      <c r="Z214" s="908"/>
      <c r="AA214" s="908"/>
      <c r="AB214" s="908"/>
      <c r="AC214" s="908"/>
      <c r="AD214" s="908"/>
      <c r="AE214" s="908"/>
      <c r="AF214" s="908"/>
      <c r="AG214" s="908"/>
      <c r="AH214" s="908"/>
      <c r="AI214" s="908"/>
      <c r="AJ214" s="908"/>
      <c r="AK214" s="908"/>
      <c r="AL214" s="908"/>
      <c r="AM214" s="908"/>
      <c r="AN214" s="908"/>
      <c r="AO214" s="908"/>
      <c r="AP214" s="908"/>
      <c r="AQ214" s="908"/>
      <c r="AR214" s="908"/>
      <c r="AS214" s="908"/>
      <c r="AT214" s="908"/>
      <c r="AU214" s="908"/>
      <c r="AV214" s="908"/>
      <c r="AW214" s="908"/>
      <c r="AX214" s="908"/>
      <c r="AY214" s="908"/>
      <c r="AZ214" s="908"/>
      <c r="BA214" s="908"/>
      <c r="BB214" s="908"/>
      <c r="BC214" s="908"/>
      <c r="BD214" s="908"/>
      <c r="BE214" s="908"/>
      <c r="BF214" s="909"/>
      <c r="BG214" s="904"/>
      <c r="BH214" s="905"/>
      <c r="BI214" s="905"/>
      <c r="BJ214" s="905"/>
      <c r="BK214" s="905"/>
      <c r="BL214" s="905"/>
      <c r="BM214" s="905"/>
      <c r="BN214" s="905"/>
      <c r="BO214" s="905"/>
      <c r="BP214" s="905"/>
      <c r="BQ214" s="906"/>
      <c r="BR214" s="901"/>
      <c r="BS214" s="902"/>
      <c r="BT214" s="902"/>
      <c r="BU214" s="902"/>
      <c r="BV214" s="902"/>
      <c r="BW214" s="902"/>
      <c r="BX214" s="902"/>
      <c r="BY214" s="902"/>
      <c r="BZ214" s="903"/>
      <c r="CA214" s="270"/>
      <c r="CB214" s="3" t="str">
        <f t="shared" si="14"/>
        <v>Riadok bude skrytý.</v>
      </c>
      <c r="CC214" s="271" t="s">
        <v>937</v>
      </c>
      <c r="CW214" s="30">
        <f t="shared" si="21"/>
        <v>1</v>
      </c>
      <c r="CX214" s="30">
        <f t="shared" si="23"/>
        <v>0</v>
      </c>
      <c r="CZ214" s="30">
        <f t="shared" si="20"/>
        <v>0</v>
      </c>
      <c r="DA214" s="52">
        <f t="shared" si="22"/>
        <v>0</v>
      </c>
      <c r="DB214" s="2">
        <f t="shared" si="12"/>
        <v>0</v>
      </c>
      <c r="DS214" s="130">
        <f>SI!BY214</f>
        <v>1089</v>
      </c>
      <c r="DZ214" s="131">
        <f>SI!BZ214</f>
        <v>0</v>
      </c>
    </row>
    <row r="215" spans="1:130" hidden="1" x14ac:dyDescent="0.25">
      <c r="A215" s="141"/>
      <c r="B215" s="742"/>
      <c r="C215" s="743"/>
      <c r="D215" s="743"/>
      <c r="E215" s="743"/>
      <c r="F215" s="743"/>
      <c r="G215" s="743"/>
      <c r="H215" s="743"/>
      <c r="I215" s="743"/>
      <c r="J215" s="743"/>
      <c r="K215" s="743"/>
      <c r="L215" s="743"/>
      <c r="M215" s="743"/>
      <c r="N215" s="743"/>
      <c r="O215" s="743"/>
      <c r="P215" s="743"/>
      <c r="Q215" s="743"/>
      <c r="R215" s="743"/>
      <c r="S215" s="743"/>
      <c r="T215" s="743"/>
      <c r="U215" s="743"/>
      <c r="V215" s="743"/>
      <c r="W215" s="743"/>
      <c r="X215" s="744"/>
      <c r="Y215" s="907"/>
      <c r="Z215" s="908"/>
      <c r="AA215" s="908"/>
      <c r="AB215" s="908"/>
      <c r="AC215" s="908"/>
      <c r="AD215" s="908"/>
      <c r="AE215" s="908"/>
      <c r="AF215" s="908"/>
      <c r="AG215" s="908"/>
      <c r="AH215" s="908"/>
      <c r="AI215" s="908"/>
      <c r="AJ215" s="908"/>
      <c r="AK215" s="908"/>
      <c r="AL215" s="908"/>
      <c r="AM215" s="908"/>
      <c r="AN215" s="908"/>
      <c r="AO215" s="908"/>
      <c r="AP215" s="908"/>
      <c r="AQ215" s="908"/>
      <c r="AR215" s="908"/>
      <c r="AS215" s="908"/>
      <c r="AT215" s="908"/>
      <c r="AU215" s="908"/>
      <c r="AV215" s="908"/>
      <c r="AW215" s="908"/>
      <c r="AX215" s="908"/>
      <c r="AY215" s="908"/>
      <c r="AZ215" s="908"/>
      <c r="BA215" s="908"/>
      <c r="BB215" s="908"/>
      <c r="BC215" s="908"/>
      <c r="BD215" s="908"/>
      <c r="BE215" s="908"/>
      <c r="BF215" s="909"/>
      <c r="BG215" s="904"/>
      <c r="BH215" s="905"/>
      <c r="BI215" s="905"/>
      <c r="BJ215" s="905"/>
      <c r="BK215" s="905"/>
      <c r="BL215" s="905"/>
      <c r="BM215" s="905"/>
      <c r="BN215" s="905"/>
      <c r="BO215" s="905"/>
      <c r="BP215" s="905"/>
      <c r="BQ215" s="906"/>
      <c r="BR215" s="901"/>
      <c r="BS215" s="902"/>
      <c r="BT215" s="902"/>
      <c r="BU215" s="902"/>
      <c r="BV215" s="902"/>
      <c r="BW215" s="902"/>
      <c r="BX215" s="902"/>
      <c r="BY215" s="902"/>
      <c r="BZ215" s="903"/>
      <c r="CA215" s="270"/>
      <c r="CB215" s="3" t="str">
        <f t="shared" si="14"/>
        <v>Riadok bude skrytý.</v>
      </c>
      <c r="CC215" s="271" t="s">
        <v>937</v>
      </c>
      <c r="CW215" s="30">
        <f t="shared" si="21"/>
        <v>1</v>
      </c>
      <c r="CX215" s="30">
        <f t="shared" si="23"/>
        <v>0</v>
      </c>
      <c r="CZ215" s="30">
        <f t="shared" si="20"/>
        <v>0</v>
      </c>
      <c r="DA215" s="52">
        <f t="shared" si="22"/>
        <v>0</v>
      </c>
      <c r="DB215" s="2">
        <f t="shared" si="12"/>
        <v>0</v>
      </c>
      <c r="DS215" s="130">
        <f>SI!BY215</f>
        <v>114</v>
      </c>
      <c r="DZ215" s="131">
        <f>SI!BZ215</f>
        <v>0</v>
      </c>
    </row>
    <row r="216" spans="1:130" hidden="1" x14ac:dyDescent="0.25">
      <c r="A216" s="141"/>
      <c r="B216" s="742"/>
      <c r="C216" s="743"/>
      <c r="D216" s="743"/>
      <c r="E216" s="743"/>
      <c r="F216" s="743"/>
      <c r="G216" s="743"/>
      <c r="H216" s="743"/>
      <c r="I216" s="743"/>
      <c r="J216" s="743"/>
      <c r="K216" s="743"/>
      <c r="L216" s="743"/>
      <c r="M216" s="743"/>
      <c r="N216" s="743"/>
      <c r="O216" s="743"/>
      <c r="P216" s="743"/>
      <c r="Q216" s="743"/>
      <c r="R216" s="743"/>
      <c r="S216" s="743"/>
      <c r="T216" s="743"/>
      <c r="U216" s="743"/>
      <c r="V216" s="743"/>
      <c r="W216" s="743"/>
      <c r="X216" s="744"/>
      <c r="Y216" s="907"/>
      <c r="Z216" s="908"/>
      <c r="AA216" s="908"/>
      <c r="AB216" s="908"/>
      <c r="AC216" s="908"/>
      <c r="AD216" s="908"/>
      <c r="AE216" s="908"/>
      <c r="AF216" s="908"/>
      <c r="AG216" s="908"/>
      <c r="AH216" s="908"/>
      <c r="AI216" s="908"/>
      <c r="AJ216" s="908"/>
      <c r="AK216" s="908"/>
      <c r="AL216" s="908"/>
      <c r="AM216" s="908"/>
      <c r="AN216" s="908"/>
      <c r="AO216" s="908"/>
      <c r="AP216" s="908"/>
      <c r="AQ216" s="908"/>
      <c r="AR216" s="908"/>
      <c r="AS216" s="908"/>
      <c r="AT216" s="908"/>
      <c r="AU216" s="908"/>
      <c r="AV216" s="908"/>
      <c r="AW216" s="908"/>
      <c r="AX216" s="908"/>
      <c r="AY216" s="908"/>
      <c r="AZ216" s="908"/>
      <c r="BA216" s="908"/>
      <c r="BB216" s="908"/>
      <c r="BC216" s="908"/>
      <c r="BD216" s="908"/>
      <c r="BE216" s="908"/>
      <c r="BF216" s="909"/>
      <c r="BG216" s="904"/>
      <c r="BH216" s="905"/>
      <c r="BI216" s="905"/>
      <c r="BJ216" s="905"/>
      <c r="BK216" s="905"/>
      <c r="BL216" s="905"/>
      <c r="BM216" s="905"/>
      <c r="BN216" s="905"/>
      <c r="BO216" s="905"/>
      <c r="BP216" s="905"/>
      <c r="BQ216" s="906"/>
      <c r="BR216" s="901"/>
      <c r="BS216" s="902"/>
      <c r="BT216" s="902"/>
      <c r="BU216" s="902"/>
      <c r="BV216" s="902"/>
      <c r="BW216" s="902"/>
      <c r="BX216" s="902"/>
      <c r="BY216" s="902"/>
      <c r="BZ216" s="903"/>
      <c r="CA216" s="270"/>
      <c r="CB216" s="3" t="str">
        <f t="shared" si="14"/>
        <v>Riadok bude skrytý.</v>
      </c>
      <c r="CC216" s="271" t="s">
        <v>937</v>
      </c>
      <c r="CW216" s="30">
        <f t="shared" si="21"/>
        <v>1</v>
      </c>
      <c r="CX216" s="30">
        <f t="shared" si="23"/>
        <v>0</v>
      </c>
      <c r="CZ216" s="30">
        <f t="shared" si="20"/>
        <v>0</v>
      </c>
      <c r="DA216" s="52">
        <f t="shared" si="22"/>
        <v>0</v>
      </c>
      <c r="DB216" s="2">
        <f t="shared" si="12"/>
        <v>0</v>
      </c>
      <c r="DS216" s="130">
        <f>SI!BY216</f>
        <v>146</v>
      </c>
      <c r="DZ216" s="131">
        <f>SI!BZ216</f>
        <v>0</v>
      </c>
    </row>
    <row r="217" spans="1:130" hidden="1" x14ac:dyDescent="0.25">
      <c r="A217" s="141"/>
      <c r="B217" s="742"/>
      <c r="C217" s="743"/>
      <c r="D217" s="743"/>
      <c r="E217" s="743"/>
      <c r="F217" s="743"/>
      <c r="G217" s="743"/>
      <c r="H217" s="743"/>
      <c r="I217" s="743"/>
      <c r="J217" s="743"/>
      <c r="K217" s="743"/>
      <c r="L217" s="743"/>
      <c r="M217" s="743"/>
      <c r="N217" s="743"/>
      <c r="O217" s="743"/>
      <c r="P217" s="743"/>
      <c r="Q217" s="743"/>
      <c r="R217" s="743"/>
      <c r="S217" s="743"/>
      <c r="T217" s="743"/>
      <c r="U217" s="743"/>
      <c r="V217" s="743"/>
      <c r="W217" s="743"/>
      <c r="X217" s="744"/>
      <c r="Y217" s="907"/>
      <c r="Z217" s="908"/>
      <c r="AA217" s="908"/>
      <c r="AB217" s="908"/>
      <c r="AC217" s="908"/>
      <c r="AD217" s="908"/>
      <c r="AE217" s="908"/>
      <c r="AF217" s="908"/>
      <c r="AG217" s="908"/>
      <c r="AH217" s="908"/>
      <c r="AI217" s="908"/>
      <c r="AJ217" s="908"/>
      <c r="AK217" s="908"/>
      <c r="AL217" s="908"/>
      <c r="AM217" s="908"/>
      <c r="AN217" s="908"/>
      <c r="AO217" s="908"/>
      <c r="AP217" s="908"/>
      <c r="AQ217" s="908"/>
      <c r="AR217" s="908"/>
      <c r="AS217" s="908"/>
      <c r="AT217" s="908"/>
      <c r="AU217" s="908"/>
      <c r="AV217" s="908"/>
      <c r="AW217" s="908"/>
      <c r="AX217" s="908"/>
      <c r="AY217" s="908"/>
      <c r="AZ217" s="908"/>
      <c r="BA217" s="908"/>
      <c r="BB217" s="908"/>
      <c r="BC217" s="908"/>
      <c r="BD217" s="908"/>
      <c r="BE217" s="908"/>
      <c r="BF217" s="909"/>
      <c r="BG217" s="904"/>
      <c r="BH217" s="905"/>
      <c r="BI217" s="905"/>
      <c r="BJ217" s="905"/>
      <c r="BK217" s="905"/>
      <c r="BL217" s="905"/>
      <c r="BM217" s="905"/>
      <c r="BN217" s="905"/>
      <c r="BO217" s="905"/>
      <c r="BP217" s="905"/>
      <c r="BQ217" s="906"/>
      <c r="BR217" s="901"/>
      <c r="BS217" s="902"/>
      <c r="BT217" s="902"/>
      <c r="BU217" s="902"/>
      <c r="BV217" s="902"/>
      <c r="BW217" s="902"/>
      <c r="BX217" s="902"/>
      <c r="BY217" s="902"/>
      <c r="BZ217" s="903"/>
      <c r="CA217" s="270"/>
      <c r="CB217" s="3" t="str">
        <f t="shared" si="14"/>
        <v>Riadok bude skrytý.</v>
      </c>
      <c r="CC217" s="271" t="s">
        <v>937</v>
      </c>
      <c r="CW217" s="30">
        <f t="shared" si="21"/>
        <v>1</v>
      </c>
      <c r="CX217" s="30">
        <f t="shared" si="23"/>
        <v>0</v>
      </c>
      <c r="CZ217" s="30">
        <f t="shared" si="20"/>
        <v>0</v>
      </c>
      <c r="DA217" s="52">
        <f t="shared" si="22"/>
        <v>0</v>
      </c>
      <c r="DB217" s="2">
        <f t="shared" si="12"/>
        <v>0</v>
      </c>
      <c r="DS217" s="130">
        <f>SI!BY217</f>
        <v>169</v>
      </c>
      <c r="DZ217" s="131">
        <f>SI!BZ217</f>
        <v>0</v>
      </c>
    </row>
    <row r="218" spans="1:130" hidden="1" x14ac:dyDescent="0.25">
      <c r="A218" s="141"/>
      <c r="B218" s="742"/>
      <c r="C218" s="743"/>
      <c r="D218" s="743"/>
      <c r="E218" s="743"/>
      <c r="F218" s="743"/>
      <c r="G218" s="743"/>
      <c r="H218" s="743"/>
      <c r="I218" s="743"/>
      <c r="J218" s="743"/>
      <c r="K218" s="743"/>
      <c r="L218" s="743"/>
      <c r="M218" s="743"/>
      <c r="N218" s="743"/>
      <c r="O218" s="743"/>
      <c r="P218" s="743"/>
      <c r="Q218" s="743"/>
      <c r="R218" s="743"/>
      <c r="S218" s="743"/>
      <c r="T218" s="743"/>
      <c r="U218" s="743"/>
      <c r="V218" s="743"/>
      <c r="W218" s="743"/>
      <c r="X218" s="744"/>
      <c r="Y218" s="907"/>
      <c r="Z218" s="908"/>
      <c r="AA218" s="908"/>
      <c r="AB218" s="908"/>
      <c r="AC218" s="908"/>
      <c r="AD218" s="908"/>
      <c r="AE218" s="908"/>
      <c r="AF218" s="908"/>
      <c r="AG218" s="908"/>
      <c r="AH218" s="908"/>
      <c r="AI218" s="908"/>
      <c r="AJ218" s="908"/>
      <c r="AK218" s="908"/>
      <c r="AL218" s="908"/>
      <c r="AM218" s="908"/>
      <c r="AN218" s="908"/>
      <c r="AO218" s="908"/>
      <c r="AP218" s="908"/>
      <c r="AQ218" s="908"/>
      <c r="AR218" s="908"/>
      <c r="AS218" s="908"/>
      <c r="AT218" s="908"/>
      <c r="AU218" s="908"/>
      <c r="AV218" s="908"/>
      <c r="AW218" s="908"/>
      <c r="AX218" s="908"/>
      <c r="AY218" s="908"/>
      <c r="AZ218" s="908"/>
      <c r="BA218" s="908"/>
      <c r="BB218" s="908"/>
      <c r="BC218" s="908"/>
      <c r="BD218" s="908"/>
      <c r="BE218" s="908"/>
      <c r="BF218" s="909"/>
      <c r="BG218" s="904"/>
      <c r="BH218" s="905"/>
      <c r="BI218" s="905"/>
      <c r="BJ218" s="905"/>
      <c r="BK218" s="905"/>
      <c r="BL218" s="905"/>
      <c r="BM218" s="905"/>
      <c r="BN218" s="905"/>
      <c r="BO218" s="905"/>
      <c r="BP218" s="905"/>
      <c r="BQ218" s="906"/>
      <c r="BR218" s="901"/>
      <c r="BS218" s="902"/>
      <c r="BT218" s="902"/>
      <c r="BU218" s="902"/>
      <c r="BV218" s="902"/>
      <c r="BW218" s="902"/>
      <c r="BX218" s="902"/>
      <c r="BY218" s="902"/>
      <c r="BZ218" s="903"/>
      <c r="CA218" s="270"/>
      <c r="CB218" s="3" t="str">
        <f t="shared" si="14"/>
        <v>Riadok bude skrytý.</v>
      </c>
      <c r="CC218" s="271" t="s">
        <v>937</v>
      </c>
      <c r="CW218" s="30">
        <f t="shared" si="21"/>
        <v>1</v>
      </c>
      <c r="CX218" s="30">
        <f t="shared" si="23"/>
        <v>0</v>
      </c>
      <c r="CZ218" s="30">
        <f t="shared" si="20"/>
        <v>0</v>
      </c>
      <c r="DA218" s="52">
        <f t="shared" si="22"/>
        <v>0</v>
      </c>
      <c r="DB218" s="2">
        <f t="shared" si="12"/>
        <v>0</v>
      </c>
      <c r="DS218" s="130">
        <f>SI!BY218</f>
        <v>13</v>
      </c>
      <c r="DZ218" s="131">
        <f>SI!BZ218</f>
        <v>0</v>
      </c>
    </row>
    <row r="219" spans="1:130" hidden="1" x14ac:dyDescent="0.25">
      <c r="A219" s="141"/>
      <c r="B219" s="742"/>
      <c r="C219" s="743"/>
      <c r="D219" s="743"/>
      <c r="E219" s="743"/>
      <c r="F219" s="743"/>
      <c r="G219" s="743"/>
      <c r="H219" s="743"/>
      <c r="I219" s="743"/>
      <c r="J219" s="743"/>
      <c r="K219" s="743"/>
      <c r="L219" s="743"/>
      <c r="M219" s="743"/>
      <c r="N219" s="743"/>
      <c r="O219" s="743"/>
      <c r="P219" s="743"/>
      <c r="Q219" s="743"/>
      <c r="R219" s="743"/>
      <c r="S219" s="743"/>
      <c r="T219" s="743"/>
      <c r="U219" s="743"/>
      <c r="V219" s="743"/>
      <c r="W219" s="743"/>
      <c r="X219" s="744"/>
      <c r="Y219" s="907"/>
      <c r="Z219" s="908"/>
      <c r="AA219" s="908"/>
      <c r="AB219" s="908"/>
      <c r="AC219" s="908"/>
      <c r="AD219" s="908"/>
      <c r="AE219" s="908"/>
      <c r="AF219" s="908"/>
      <c r="AG219" s="908"/>
      <c r="AH219" s="908"/>
      <c r="AI219" s="908"/>
      <c r="AJ219" s="908"/>
      <c r="AK219" s="908"/>
      <c r="AL219" s="908"/>
      <c r="AM219" s="908"/>
      <c r="AN219" s="908"/>
      <c r="AO219" s="908"/>
      <c r="AP219" s="908"/>
      <c r="AQ219" s="908"/>
      <c r="AR219" s="908"/>
      <c r="AS219" s="908"/>
      <c r="AT219" s="908"/>
      <c r="AU219" s="908"/>
      <c r="AV219" s="908"/>
      <c r="AW219" s="908"/>
      <c r="AX219" s="908"/>
      <c r="AY219" s="908"/>
      <c r="AZ219" s="908"/>
      <c r="BA219" s="908"/>
      <c r="BB219" s="908"/>
      <c r="BC219" s="908"/>
      <c r="BD219" s="908"/>
      <c r="BE219" s="908"/>
      <c r="BF219" s="909"/>
      <c r="BG219" s="904"/>
      <c r="BH219" s="905"/>
      <c r="BI219" s="905"/>
      <c r="BJ219" s="905"/>
      <c r="BK219" s="905"/>
      <c r="BL219" s="905"/>
      <c r="BM219" s="905"/>
      <c r="BN219" s="905"/>
      <c r="BO219" s="905"/>
      <c r="BP219" s="905"/>
      <c r="BQ219" s="906"/>
      <c r="BR219" s="901"/>
      <c r="BS219" s="902"/>
      <c r="BT219" s="902"/>
      <c r="BU219" s="902"/>
      <c r="BV219" s="902"/>
      <c r="BW219" s="902"/>
      <c r="BX219" s="902"/>
      <c r="BY219" s="902"/>
      <c r="BZ219" s="903"/>
      <c r="CA219" s="270"/>
      <c r="CB219" s="3" t="str">
        <f t="shared" si="14"/>
        <v>Riadok bude skrytý.</v>
      </c>
      <c r="CC219" s="271" t="s">
        <v>937</v>
      </c>
      <c r="CW219" s="30">
        <f t="shared" si="21"/>
        <v>1</v>
      </c>
      <c r="CX219" s="30">
        <f t="shared" si="23"/>
        <v>0</v>
      </c>
      <c r="CZ219" s="30">
        <f t="shared" si="20"/>
        <v>0</v>
      </c>
      <c r="DA219" s="52">
        <f t="shared" si="22"/>
        <v>0</v>
      </c>
      <c r="DB219" s="2">
        <f t="shared" si="12"/>
        <v>0</v>
      </c>
      <c r="DS219" s="130">
        <f>SI!BY219</f>
        <v>138</v>
      </c>
      <c r="DZ219" s="131">
        <f>SI!BZ219</f>
        <v>0</v>
      </c>
    </row>
    <row r="220" spans="1:130" hidden="1" x14ac:dyDescent="0.25">
      <c r="A220" s="141"/>
      <c r="B220" s="742"/>
      <c r="C220" s="743"/>
      <c r="D220" s="743"/>
      <c r="E220" s="743"/>
      <c r="F220" s="743"/>
      <c r="G220" s="743"/>
      <c r="H220" s="743"/>
      <c r="I220" s="743"/>
      <c r="J220" s="743"/>
      <c r="K220" s="743"/>
      <c r="L220" s="743"/>
      <c r="M220" s="743"/>
      <c r="N220" s="743"/>
      <c r="O220" s="743"/>
      <c r="P220" s="743"/>
      <c r="Q220" s="743"/>
      <c r="R220" s="743"/>
      <c r="S220" s="743"/>
      <c r="T220" s="743"/>
      <c r="U220" s="743"/>
      <c r="V220" s="743"/>
      <c r="W220" s="743"/>
      <c r="X220" s="744"/>
      <c r="Y220" s="907"/>
      <c r="Z220" s="908"/>
      <c r="AA220" s="908"/>
      <c r="AB220" s="908"/>
      <c r="AC220" s="908"/>
      <c r="AD220" s="908"/>
      <c r="AE220" s="908"/>
      <c r="AF220" s="908"/>
      <c r="AG220" s="908"/>
      <c r="AH220" s="908"/>
      <c r="AI220" s="908"/>
      <c r="AJ220" s="908"/>
      <c r="AK220" s="908"/>
      <c r="AL220" s="908"/>
      <c r="AM220" s="908"/>
      <c r="AN220" s="908"/>
      <c r="AO220" s="908"/>
      <c r="AP220" s="908"/>
      <c r="AQ220" s="908"/>
      <c r="AR220" s="908"/>
      <c r="AS220" s="908"/>
      <c r="AT220" s="908"/>
      <c r="AU220" s="908"/>
      <c r="AV220" s="908"/>
      <c r="AW220" s="908"/>
      <c r="AX220" s="908"/>
      <c r="AY220" s="908"/>
      <c r="AZ220" s="908"/>
      <c r="BA220" s="908"/>
      <c r="BB220" s="908"/>
      <c r="BC220" s="908"/>
      <c r="BD220" s="908"/>
      <c r="BE220" s="908"/>
      <c r="BF220" s="909"/>
      <c r="BG220" s="904"/>
      <c r="BH220" s="905"/>
      <c r="BI220" s="905"/>
      <c r="BJ220" s="905"/>
      <c r="BK220" s="905"/>
      <c r="BL220" s="905"/>
      <c r="BM220" s="905"/>
      <c r="BN220" s="905"/>
      <c r="BO220" s="905"/>
      <c r="BP220" s="905"/>
      <c r="BQ220" s="906"/>
      <c r="BR220" s="901"/>
      <c r="BS220" s="902"/>
      <c r="BT220" s="902"/>
      <c r="BU220" s="902"/>
      <c r="BV220" s="902"/>
      <c r="BW220" s="902"/>
      <c r="BX220" s="902"/>
      <c r="BY220" s="902"/>
      <c r="BZ220" s="903"/>
      <c r="CA220" s="270"/>
      <c r="CB220" s="3" t="str">
        <f t="shared" si="14"/>
        <v>Riadok bude skrytý.</v>
      </c>
      <c r="CC220" s="271" t="s">
        <v>937</v>
      </c>
      <c r="CW220" s="30">
        <f t="shared" si="21"/>
        <v>1</v>
      </c>
      <c r="CX220" s="30">
        <f t="shared" si="23"/>
        <v>0</v>
      </c>
      <c r="CZ220" s="30">
        <f t="shared" si="20"/>
        <v>0</v>
      </c>
      <c r="DA220" s="52">
        <f t="shared" si="22"/>
        <v>0</v>
      </c>
      <c r="DB220" s="2">
        <f t="shared" si="12"/>
        <v>0</v>
      </c>
      <c r="DS220" s="130">
        <f>SI!BY220</f>
        <v>1042</v>
      </c>
      <c r="DZ220" s="131">
        <f>SI!BZ220</f>
        <v>0</v>
      </c>
    </row>
    <row r="221" spans="1:130" hidden="1" x14ac:dyDescent="0.25">
      <c r="A221" s="141"/>
      <c r="B221" s="742"/>
      <c r="C221" s="743"/>
      <c r="D221" s="743"/>
      <c r="E221" s="743"/>
      <c r="F221" s="743"/>
      <c r="G221" s="743"/>
      <c r="H221" s="743"/>
      <c r="I221" s="743"/>
      <c r="J221" s="743"/>
      <c r="K221" s="743"/>
      <c r="L221" s="743"/>
      <c r="M221" s="743"/>
      <c r="N221" s="743"/>
      <c r="O221" s="743"/>
      <c r="P221" s="743"/>
      <c r="Q221" s="743"/>
      <c r="R221" s="743"/>
      <c r="S221" s="743"/>
      <c r="T221" s="743"/>
      <c r="U221" s="743"/>
      <c r="V221" s="743"/>
      <c r="W221" s="743"/>
      <c r="X221" s="744"/>
      <c r="Y221" s="907"/>
      <c r="Z221" s="908"/>
      <c r="AA221" s="908"/>
      <c r="AB221" s="908"/>
      <c r="AC221" s="908"/>
      <c r="AD221" s="908"/>
      <c r="AE221" s="908"/>
      <c r="AF221" s="908"/>
      <c r="AG221" s="908"/>
      <c r="AH221" s="908"/>
      <c r="AI221" s="908"/>
      <c r="AJ221" s="908"/>
      <c r="AK221" s="908"/>
      <c r="AL221" s="908"/>
      <c r="AM221" s="908"/>
      <c r="AN221" s="908"/>
      <c r="AO221" s="908"/>
      <c r="AP221" s="908"/>
      <c r="AQ221" s="908"/>
      <c r="AR221" s="908"/>
      <c r="AS221" s="908"/>
      <c r="AT221" s="908"/>
      <c r="AU221" s="908"/>
      <c r="AV221" s="908"/>
      <c r="AW221" s="908"/>
      <c r="AX221" s="908"/>
      <c r="AY221" s="908"/>
      <c r="AZ221" s="908"/>
      <c r="BA221" s="908"/>
      <c r="BB221" s="908"/>
      <c r="BC221" s="908"/>
      <c r="BD221" s="908"/>
      <c r="BE221" s="908"/>
      <c r="BF221" s="909"/>
      <c r="BG221" s="904"/>
      <c r="BH221" s="905"/>
      <c r="BI221" s="905"/>
      <c r="BJ221" s="905"/>
      <c r="BK221" s="905"/>
      <c r="BL221" s="905"/>
      <c r="BM221" s="905"/>
      <c r="BN221" s="905"/>
      <c r="BO221" s="905"/>
      <c r="BP221" s="905"/>
      <c r="BQ221" s="906"/>
      <c r="BR221" s="901"/>
      <c r="BS221" s="902"/>
      <c r="BT221" s="902"/>
      <c r="BU221" s="902"/>
      <c r="BV221" s="902"/>
      <c r="BW221" s="902"/>
      <c r="BX221" s="902"/>
      <c r="BY221" s="902"/>
      <c r="BZ221" s="903"/>
      <c r="CA221" s="270"/>
      <c r="CB221" s="3" t="str">
        <f t="shared" si="14"/>
        <v>Riadok bude skrytý.</v>
      </c>
      <c r="CC221" s="271" t="s">
        <v>937</v>
      </c>
      <c r="CW221" s="30">
        <f t="shared" si="21"/>
        <v>1</v>
      </c>
      <c r="CX221" s="30">
        <f t="shared" si="23"/>
        <v>0</v>
      </c>
      <c r="CZ221" s="30">
        <f t="shared" si="20"/>
        <v>0</v>
      </c>
      <c r="DA221" s="52">
        <f t="shared" si="22"/>
        <v>0</v>
      </c>
      <c r="DB221" s="2">
        <f t="shared" si="12"/>
        <v>0</v>
      </c>
      <c r="DS221" s="130">
        <f>SI!BY221</f>
        <v>190</v>
      </c>
      <c r="DZ221" s="131">
        <f>SI!BZ221</f>
        <v>0</v>
      </c>
    </row>
    <row r="222" spans="1:130" hidden="1" x14ac:dyDescent="0.25">
      <c r="A222" s="141"/>
      <c r="B222" s="742"/>
      <c r="C222" s="743"/>
      <c r="D222" s="743"/>
      <c r="E222" s="743"/>
      <c r="F222" s="743"/>
      <c r="G222" s="743"/>
      <c r="H222" s="743"/>
      <c r="I222" s="743"/>
      <c r="J222" s="743"/>
      <c r="K222" s="743"/>
      <c r="L222" s="743"/>
      <c r="M222" s="743"/>
      <c r="N222" s="743"/>
      <c r="O222" s="743"/>
      <c r="P222" s="743"/>
      <c r="Q222" s="743"/>
      <c r="R222" s="743"/>
      <c r="S222" s="743"/>
      <c r="T222" s="743"/>
      <c r="U222" s="743"/>
      <c r="V222" s="743"/>
      <c r="W222" s="743"/>
      <c r="X222" s="744"/>
      <c r="Y222" s="907"/>
      <c r="Z222" s="908"/>
      <c r="AA222" s="908"/>
      <c r="AB222" s="908"/>
      <c r="AC222" s="908"/>
      <c r="AD222" s="908"/>
      <c r="AE222" s="908"/>
      <c r="AF222" s="908"/>
      <c r="AG222" s="908"/>
      <c r="AH222" s="908"/>
      <c r="AI222" s="908"/>
      <c r="AJ222" s="908"/>
      <c r="AK222" s="908"/>
      <c r="AL222" s="908"/>
      <c r="AM222" s="908"/>
      <c r="AN222" s="908"/>
      <c r="AO222" s="908"/>
      <c r="AP222" s="908"/>
      <c r="AQ222" s="908"/>
      <c r="AR222" s="908"/>
      <c r="AS222" s="908"/>
      <c r="AT222" s="908"/>
      <c r="AU222" s="908"/>
      <c r="AV222" s="908"/>
      <c r="AW222" s="908"/>
      <c r="AX222" s="908"/>
      <c r="AY222" s="908"/>
      <c r="AZ222" s="908"/>
      <c r="BA222" s="908"/>
      <c r="BB222" s="908"/>
      <c r="BC222" s="908"/>
      <c r="BD222" s="908"/>
      <c r="BE222" s="908"/>
      <c r="BF222" s="909"/>
      <c r="BG222" s="904"/>
      <c r="BH222" s="905"/>
      <c r="BI222" s="905"/>
      <c r="BJ222" s="905"/>
      <c r="BK222" s="905"/>
      <c r="BL222" s="905"/>
      <c r="BM222" s="905"/>
      <c r="BN222" s="905"/>
      <c r="BO222" s="905"/>
      <c r="BP222" s="905"/>
      <c r="BQ222" s="906"/>
      <c r="BR222" s="901"/>
      <c r="BS222" s="902"/>
      <c r="BT222" s="902"/>
      <c r="BU222" s="902"/>
      <c r="BV222" s="902"/>
      <c r="BW222" s="902"/>
      <c r="BX222" s="902"/>
      <c r="BY222" s="902"/>
      <c r="BZ222" s="903"/>
      <c r="CA222" s="270"/>
      <c r="CB222" s="3" t="str">
        <f t="shared" si="14"/>
        <v>Riadok bude skrytý.</v>
      </c>
      <c r="CC222" s="271" t="s">
        <v>937</v>
      </c>
      <c r="CW222" s="30">
        <f t="shared" si="21"/>
        <v>1</v>
      </c>
      <c r="CX222" s="30">
        <f t="shared" si="23"/>
        <v>0</v>
      </c>
      <c r="CZ222" s="30">
        <f t="shared" si="20"/>
        <v>0</v>
      </c>
      <c r="DA222" s="52">
        <f t="shared" si="22"/>
        <v>0</v>
      </c>
      <c r="DB222" s="2">
        <f t="shared" si="12"/>
        <v>0</v>
      </c>
      <c r="DS222" s="130">
        <f>SI!BY222</f>
        <v>992</v>
      </c>
      <c r="DZ222" s="131">
        <f>SI!BZ222</f>
        <v>0</v>
      </c>
    </row>
    <row r="223" spans="1:130" hidden="1" x14ac:dyDescent="0.25">
      <c r="A223" s="141"/>
      <c r="B223" s="742"/>
      <c r="C223" s="743"/>
      <c r="D223" s="743"/>
      <c r="E223" s="743"/>
      <c r="F223" s="743"/>
      <c r="G223" s="743"/>
      <c r="H223" s="743"/>
      <c r="I223" s="743"/>
      <c r="J223" s="743"/>
      <c r="K223" s="743"/>
      <c r="L223" s="743"/>
      <c r="M223" s="743"/>
      <c r="N223" s="743"/>
      <c r="O223" s="743"/>
      <c r="P223" s="743"/>
      <c r="Q223" s="743"/>
      <c r="R223" s="743"/>
      <c r="S223" s="743"/>
      <c r="T223" s="743"/>
      <c r="U223" s="743"/>
      <c r="V223" s="743"/>
      <c r="W223" s="743"/>
      <c r="X223" s="744"/>
      <c r="Y223" s="907"/>
      <c r="Z223" s="908"/>
      <c r="AA223" s="908"/>
      <c r="AB223" s="908"/>
      <c r="AC223" s="908"/>
      <c r="AD223" s="908"/>
      <c r="AE223" s="908"/>
      <c r="AF223" s="908"/>
      <c r="AG223" s="908"/>
      <c r="AH223" s="908"/>
      <c r="AI223" s="908"/>
      <c r="AJ223" s="908"/>
      <c r="AK223" s="908"/>
      <c r="AL223" s="908"/>
      <c r="AM223" s="908"/>
      <c r="AN223" s="908"/>
      <c r="AO223" s="908"/>
      <c r="AP223" s="908"/>
      <c r="AQ223" s="908"/>
      <c r="AR223" s="908"/>
      <c r="AS223" s="908"/>
      <c r="AT223" s="908"/>
      <c r="AU223" s="908"/>
      <c r="AV223" s="908"/>
      <c r="AW223" s="908"/>
      <c r="AX223" s="908"/>
      <c r="AY223" s="908"/>
      <c r="AZ223" s="908"/>
      <c r="BA223" s="908"/>
      <c r="BB223" s="908"/>
      <c r="BC223" s="908"/>
      <c r="BD223" s="908"/>
      <c r="BE223" s="908"/>
      <c r="BF223" s="909"/>
      <c r="BG223" s="904"/>
      <c r="BH223" s="905"/>
      <c r="BI223" s="905"/>
      <c r="BJ223" s="905"/>
      <c r="BK223" s="905"/>
      <c r="BL223" s="905"/>
      <c r="BM223" s="905"/>
      <c r="BN223" s="905"/>
      <c r="BO223" s="905"/>
      <c r="BP223" s="905"/>
      <c r="BQ223" s="906"/>
      <c r="BR223" s="901"/>
      <c r="BS223" s="902"/>
      <c r="BT223" s="902"/>
      <c r="BU223" s="902"/>
      <c r="BV223" s="902"/>
      <c r="BW223" s="902"/>
      <c r="BX223" s="902"/>
      <c r="BY223" s="902"/>
      <c r="BZ223" s="903"/>
      <c r="CA223" s="270"/>
      <c r="CB223" s="3" t="str">
        <f t="shared" si="14"/>
        <v>Riadok bude skrytý.</v>
      </c>
      <c r="CC223" s="271" t="s">
        <v>937</v>
      </c>
      <c r="CW223" s="30">
        <f t="shared" si="21"/>
        <v>1</v>
      </c>
      <c r="CX223" s="30">
        <f t="shared" si="23"/>
        <v>0</v>
      </c>
      <c r="CZ223" s="30">
        <f t="shared" si="20"/>
        <v>0</v>
      </c>
      <c r="DA223" s="52">
        <f t="shared" si="22"/>
        <v>0</v>
      </c>
      <c r="DB223" s="2">
        <f t="shared" si="12"/>
        <v>0</v>
      </c>
      <c r="DS223" s="130">
        <f>SI!BY223</f>
        <v>168</v>
      </c>
      <c r="DZ223" s="131">
        <f>SI!BZ223</f>
        <v>0</v>
      </c>
    </row>
    <row r="224" spans="1:130" hidden="1" x14ac:dyDescent="0.25">
      <c r="A224" s="141"/>
      <c r="B224" s="964"/>
      <c r="C224" s="965"/>
      <c r="D224" s="965"/>
      <c r="E224" s="965"/>
      <c r="F224" s="965"/>
      <c r="G224" s="965"/>
      <c r="H224" s="965"/>
      <c r="I224" s="965"/>
      <c r="J224" s="965"/>
      <c r="K224" s="965"/>
      <c r="L224" s="965"/>
      <c r="M224" s="965"/>
      <c r="N224" s="965"/>
      <c r="O224" s="965"/>
      <c r="P224" s="965"/>
      <c r="Q224" s="965"/>
      <c r="R224" s="965"/>
      <c r="S224" s="965"/>
      <c r="T224" s="965"/>
      <c r="U224" s="965"/>
      <c r="V224" s="965"/>
      <c r="W224" s="965"/>
      <c r="X224" s="966"/>
      <c r="Y224" s="975"/>
      <c r="Z224" s="976"/>
      <c r="AA224" s="976"/>
      <c r="AB224" s="976"/>
      <c r="AC224" s="976"/>
      <c r="AD224" s="976"/>
      <c r="AE224" s="976"/>
      <c r="AF224" s="976"/>
      <c r="AG224" s="976"/>
      <c r="AH224" s="976"/>
      <c r="AI224" s="976"/>
      <c r="AJ224" s="976"/>
      <c r="AK224" s="976"/>
      <c r="AL224" s="976"/>
      <c r="AM224" s="976"/>
      <c r="AN224" s="976"/>
      <c r="AO224" s="976"/>
      <c r="AP224" s="976"/>
      <c r="AQ224" s="976"/>
      <c r="AR224" s="976"/>
      <c r="AS224" s="976"/>
      <c r="AT224" s="976"/>
      <c r="AU224" s="976"/>
      <c r="AV224" s="976"/>
      <c r="AW224" s="976"/>
      <c r="AX224" s="976"/>
      <c r="AY224" s="976"/>
      <c r="AZ224" s="976"/>
      <c r="BA224" s="976"/>
      <c r="BB224" s="976"/>
      <c r="BC224" s="976"/>
      <c r="BD224" s="976"/>
      <c r="BE224" s="976"/>
      <c r="BF224" s="977"/>
      <c r="BG224" s="898"/>
      <c r="BH224" s="899"/>
      <c r="BI224" s="899"/>
      <c r="BJ224" s="899"/>
      <c r="BK224" s="899"/>
      <c r="BL224" s="899"/>
      <c r="BM224" s="899"/>
      <c r="BN224" s="899"/>
      <c r="BO224" s="899"/>
      <c r="BP224" s="899"/>
      <c r="BQ224" s="900"/>
      <c r="BR224" s="913"/>
      <c r="BS224" s="914"/>
      <c r="BT224" s="914"/>
      <c r="BU224" s="914"/>
      <c r="BV224" s="914"/>
      <c r="BW224" s="914"/>
      <c r="BX224" s="914"/>
      <c r="BY224" s="914"/>
      <c r="BZ224" s="915"/>
      <c r="CA224" s="270"/>
      <c r="CB224" s="3" t="str">
        <f t="shared" si="14"/>
        <v>Riadok bude skrytý.</v>
      </c>
      <c r="CC224" s="271" t="s">
        <v>937</v>
      </c>
      <c r="CW224" s="49">
        <v>1</v>
      </c>
      <c r="CX224" s="30">
        <f>+IF(B205&amp;Y205="",0,1)</f>
        <v>0</v>
      </c>
      <c r="CZ224" s="30">
        <f t="shared" si="20"/>
        <v>0</v>
      </c>
      <c r="DA224" s="52">
        <f t="shared" si="22"/>
        <v>0</v>
      </c>
      <c r="DB224" s="2">
        <f t="shared" si="12"/>
        <v>0</v>
      </c>
      <c r="DS224" s="130">
        <f>SI!BY224</f>
        <v>426</v>
      </c>
      <c r="DZ224" s="131">
        <f>SI!BZ224</f>
        <v>0</v>
      </c>
    </row>
    <row r="225" spans="1:130" hidden="1" x14ac:dyDescent="0.25">
      <c r="A225" s="141"/>
      <c r="CA225" s="270"/>
      <c r="CB225" s="3" t="str">
        <f t="shared" si="14"/>
        <v>Riadok bude skrytý.</v>
      </c>
      <c r="CC225" s="271" t="s">
        <v>937</v>
      </c>
      <c r="CW225" s="30">
        <f t="shared" ref="CW225:CW256" si="24">+IF($B$181="Fyzická osoba-SZČO",0,1)</f>
        <v>1</v>
      </c>
      <c r="CX225" s="30">
        <f>+IF(B227="",0,1)</f>
        <v>0</v>
      </c>
      <c r="CZ225" s="30">
        <f t="shared" si="20"/>
        <v>0</v>
      </c>
      <c r="DA225" s="52">
        <f t="shared" ref="DA225:DA268" si="25">+IF(CW225*CX225=0,0,IF(CZ225=0,0,1))</f>
        <v>0</v>
      </c>
      <c r="DB225" s="2">
        <f t="shared" si="12"/>
        <v>0</v>
      </c>
      <c r="DS225" s="130">
        <f>SI!BY225</f>
        <v>188</v>
      </c>
      <c r="DZ225" s="131">
        <f>SI!BZ225</f>
        <v>0</v>
      </c>
    </row>
    <row r="226" spans="1:130" hidden="1" x14ac:dyDescent="0.25">
      <c r="A226" s="141"/>
      <c r="B226" s="137" t="str">
        <f>+IF($U$52&lt;&gt;"",IF((ROUNDDOWN(CODE(MID($U$52,1,1)),0)-(BIN2DEC(1010)/10))*(IF(SI!EE226="",1,SI!EE226))+(LEN(SI!J2)+LEN(SI!J5))=DS226,"K štatutárom, obdobiam výkonu funkcie a členom iných orgánov ÚJ Spoločnosť ďalej uvádza: ","NEPOVOLENÉ POUŽITIE!"),"NEPOVOLENÉ POUŽITIE!")</f>
        <v xml:space="preserve">K štatutárom, obdobiam výkonu funkcie a členom iných orgánov ÚJ Spoločnosť ďalej uvádza: </v>
      </c>
      <c r="CA226" s="270" t="s">
        <v>773</v>
      </c>
      <c r="CB226" s="3" t="str">
        <f t="shared" si="14"/>
        <v>Riadok bude skrytý.</v>
      </c>
      <c r="CC226" s="271" t="s">
        <v>937</v>
      </c>
      <c r="CW226" s="30">
        <f t="shared" si="24"/>
        <v>1</v>
      </c>
      <c r="CX226" s="30">
        <f>+IF(B227="",0,1)</f>
        <v>0</v>
      </c>
      <c r="CZ226" s="30">
        <f t="shared" si="20"/>
        <v>0</v>
      </c>
      <c r="DA226" s="52">
        <f t="shared" si="25"/>
        <v>0</v>
      </c>
      <c r="DB226" s="2">
        <f t="shared" si="12"/>
        <v>0</v>
      </c>
      <c r="DS226" s="130">
        <f>SI!BY226</f>
        <v>28</v>
      </c>
      <c r="DZ226" s="131">
        <f>SI!BZ226</f>
        <v>0</v>
      </c>
    </row>
    <row r="227" spans="1:130" hidden="1" x14ac:dyDescent="0.25">
      <c r="A227" s="141"/>
      <c r="B227" s="406"/>
      <c r="C227" s="406"/>
      <c r="D227" s="406"/>
      <c r="E227" s="406"/>
      <c r="F227" s="406"/>
      <c r="G227" s="406"/>
      <c r="H227" s="406"/>
      <c r="I227" s="406"/>
      <c r="J227" s="406"/>
      <c r="K227" s="406"/>
      <c r="L227" s="406"/>
      <c r="M227" s="406"/>
      <c r="N227" s="406"/>
      <c r="O227" s="406"/>
      <c r="P227" s="406"/>
      <c r="Q227" s="406"/>
      <c r="R227" s="406"/>
      <c r="S227" s="406"/>
      <c r="T227" s="406"/>
      <c r="U227" s="406"/>
      <c r="V227" s="406"/>
      <c r="W227" s="406"/>
      <c r="X227" s="406"/>
      <c r="Y227" s="406"/>
      <c r="Z227" s="406"/>
      <c r="AA227" s="406"/>
      <c r="AB227" s="406"/>
      <c r="AC227" s="406"/>
      <c r="AD227" s="406"/>
      <c r="AE227" s="406"/>
      <c r="AF227" s="406"/>
      <c r="AG227" s="406"/>
      <c r="AH227" s="406"/>
      <c r="AI227" s="406"/>
      <c r="AJ227" s="406"/>
      <c r="AK227" s="406"/>
      <c r="AL227" s="406"/>
      <c r="AM227" s="406"/>
      <c r="AN227" s="406"/>
      <c r="AO227" s="406"/>
      <c r="AP227" s="406"/>
      <c r="AQ227" s="406"/>
      <c r="AR227" s="406"/>
      <c r="AS227" s="406"/>
      <c r="AT227" s="406"/>
      <c r="AU227" s="406"/>
      <c r="AV227" s="406"/>
      <c r="AW227" s="406"/>
      <c r="AX227" s="406"/>
      <c r="AY227" s="406"/>
      <c r="AZ227" s="406"/>
      <c r="BA227" s="406"/>
      <c r="BB227" s="406"/>
      <c r="BC227" s="406"/>
      <c r="BD227" s="406"/>
      <c r="BE227" s="406"/>
      <c r="BF227" s="406"/>
      <c r="BG227" s="406"/>
      <c r="BH227" s="406"/>
      <c r="BI227" s="406"/>
      <c r="BJ227" s="406"/>
      <c r="BK227" s="406"/>
      <c r="BL227" s="406"/>
      <c r="BM227" s="406"/>
      <c r="BN227" s="406"/>
      <c r="BO227" s="406"/>
      <c r="BP227" s="406"/>
      <c r="BQ227" s="406"/>
      <c r="BR227" s="406"/>
      <c r="BS227" s="406"/>
      <c r="BT227" s="406"/>
      <c r="BU227" s="406"/>
      <c r="BV227" s="406"/>
      <c r="BW227" s="406"/>
      <c r="BX227" s="406"/>
      <c r="BY227" s="406"/>
      <c r="BZ227" s="406"/>
      <c r="CA227" s="270"/>
      <c r="CB227" s="3" t="str">
        <f t="shared" si="14"/>
        <v>Riadok bude skrytý.</v>
      </c>
      <c r="CC227" s="271" t="s">
        <v>937</v>
      </c>
      <c r="CW227" s="30">
        <f t="shared" si="24"/>
        <v>1</v>
      </c>
      <c r="CX227" s="30">
        <f t="shared" ref="CX227:CX246" si="26">+IF(B227="",0,1)</f>
        <v>0</v>
      </c>
      <c r="CZ227" s="30">
        <f t="shared" si="20"/>
        <v>0</v>
      </c>
      <c r="DA227" s="52">
        <f t="shared" si="25"/>
        <v>0</v>
      </c>
      <c r="DB227" s="2">
        <f t="shared" si="12"/>
        <v>0</v>
      </c>
      <c r="DS227" s="130">
        <f>SI!BY227</f>
        <v>173</v>
      </c>
      <c r="DZ227" s="131">
        <f>SI!BZ227</f>
        <v>0</v>
      </c>
    </row>
    <row r="228" spans="1:130" hidden="1" x14ac:dyDescent="0.25">
      <c r="A228" s="141"/>
      <c r="B228" s="406"/>
      <c r="C228" s="406"/>
      <c r="D228" s="406"/>
      <c r="E228" s="406"/>
      <c r="F228" s="406"/>
      <c r="G228" s="406"/>
      <c r="H228" s="406"/>
      <c r="I228" s="406"/>
      <c r="J228" s="406"/>
      <c r="K228" s="406"/>
      <c r="L228" s="406"/>
      <c r="M228" s="406"/>
      <c r="N228" s="406"/>
      <c r="O228" s="406"/>
      <c r="P228" s="406"/>
      <c r="Q228" s="406"/>
      <c r="R228" s="406"/>
      <c r="S228" s="406"/>
      <c r="T228" s="406"/>
      <c r="U228" s="406"/>
      <c r="V228" s="406"/>
      <c r="W228" s="406"/>
      <c r="X228" s="406"/>
      <c r="Y228" s="406"/>
      <c r="Z228" s="406"/>
      <c r="AA228" s="406"/>
      <c r="AB228" s="406"/>
      <c r="AC228" s="406"/>
      <c r="AD228" s="406"/>
      <c r="AE228" s="406"/>
      <c r="AF228" s="406"/>
      <c r="AG228" s="406"/>
      <c r="AH228" s="406"/>
      <c r="AI228" s="406"/>
      <c r="AJ228" s="406"/>
      <c r="AK228" s="406"/>
      <c r="AL228" s="406"/>
      <c r="AM228" s="406"/>
      <c r="AN228" s="406"/>
      <c r="AO228" s="406"/>
      <c r="AP228" s="406"/>
      <c r="AQ228" s="406"/>
      <c r="AR228" s="406"/>
      <c r="AS228" s="406"/>
      <c r="AT228" s="406"/>
      <c r="AU228" s="406"/>
      <c r="AV228" s="406"/>
      <c r="AW228" s="406"/>
      <c r="AX228" s="406"/>
      <c r="AY228" s="406"/>
      <c r="AZ228" s="406"/>
      <c r="BA228" s="406"/>
      <c r="BB228" s="406"/>
      <c r="BC228" s="406"/>
      <c r="BD228" s="406"/>
      <c r="BE228" s="406"/>
      <c r="BF228" s="406"/>
      <c r="BG228" s="406"/>
      <c r="BH228" s="406"/>
      <c r="BI228" s="406"/>
      <c r="BJ228" s="406"/>
      <c r="BK228" s="406"/>
      <c r="BL228" s="406"/>
      <c r="BM228" s="406"/>
      <c r="BN228" s="406"/>
      <c r="BO228" s="406"/>
      <c r="BP228" s="406"/>
      <c r="BQ228" s="406"/>
      <c r="BR228" s="406"/>
      <c r="BS228" s="406"/>
      <c r="BT228" s="406"/>
      <c r="BU228" s="406"/>
      <c r="BV228" s="406"/>
      <c r="BW228" s="406"/>
      <c r="BX228" s="406"/>
      <c r="BY228" s="406"/>
      <c r="BZ228" s="406"/>
      <c r="CA228" s="270"/>
      <c r="CB228" s="3" t="str">
        <f t="shared" si="14"/>
        <v>Riadok bude skrytý.</v>
      </c>
      <c r="CC228" s="271" t="s">
        <v>937</v>
      </c>
      <c r="CW228" s="30">
        <f t="shared" si="24"/>
        <v>1</v>
      </c>
      <c r="CX228" s="30">
        <f t="shared" si="26"/>
        <v>0</v>
      </c>
      <c r="CZ228" s="30">
        <f t="shared" si="20"/>
        <v>0</v>
      </c>
      <c r="DA228" s="52">
        <f t="shared" si="25"/>
        <v>0</v>
      </c>
      <c r="DB228" s="2">
        <f t="shared" si="12"/>
        <v>0</v>
      </c>
      <c r="DS228" s="130">
        <f>SI!BY228</f>
        <v>205</v>
      </c>
      <c r="DZ228" s="131">
        <f>SI!BZ228</f>
        <v>0</v>
      </c>
    </row>
    <row r="229" spans="1:130" hidden="1" x14ac:dyDescent="0.25">
      <c r="A229" s="141"/>
      <c r="B229" s="406"/>
      <c r="C229" s="406"/>
      <c r="D229" s="406"/>
      <c r="E229" s="406"/>
      <c r="F229" s="406"/>
      <c r="G229" s="406"/>
      <c r="H229" s="406"/>
      <c r="I229" s="406"/>
      <c r="J229" s="406"/>
      <c r="K229" s="406"/>
      <c r="L229" s="406"/>
      <c r="M229" s="406"/>
      <c r="N229" s="406"/>
      <c r="O229" s="406"/>
      <c r="P229" s="406"/>
      <c r="Q229" s="406"/>
      <c r="R229" s="406"/>
      <c r="S229" s="406"/>
      <c r="T229" s="406"/>
      <c r="U229" s="406"/>
      <c r="V229" s="406"/>
      <c r="W229" s="406"/>
      <c r="X229" s="406"/>
      <c r="Y229" s="406"/>
      <c r="Z229" s="406"/>
      <c r="AA229" s="406"/>
      <c r="AB229" s="406"/>
      <c r="AC229" s="406"/>
      <c r="AD229" s="406"/>
      <c r="AE229" s="406"/>
      <c r="AF229" s="406"/>
      <c r="AG229" s="406"/>
      <c r="AH229" s="406"/>
      <c r="AI229" s="406"/>
      <c r="AJ229" s="406"/>
      <c r="AK229" s="406"/>
      <c r="AL229" s="406"/>
      <c r="AM229" s="406"/>
      <c r="AN229" s="406"/>
      <c r="AO229" s="406"/>
      <c r="AP229" s="406"/>
      <c r="AQ229" s="406"/>
      <c r="AR229" s="406"/>
      <c r="AS229" s="406"/>
      <c r="AT229" s="406"/>
      <c r="AU229" s="406"/>
      <c r="AV229" s="406"/>
      <c r="AW229" s="406"/>
      <c r="AX229" s="406"/>
      <c r="AY229" s="406"/>
      <c r="AZ229" s="406"/>
      <c r="BA229" s="406"/>
      <c r="BB229" s="406"/>
      <c r="BC229" s="406"/>
      <c r="BD229" s="406"/>
      <c r="BE229" s="406"/>
      <c r="BF229" s="406"/>
      <c r="BG229" s="406"/>
      <c r="BH229" s="406"/>
      <c r="BI229" s="406"/>
      <c r="BJ229" s="406"/>
      <c r="BK229" s="406"/>
      <c r="BL229" s="406"/>
      <c r="BM229" s="406"/>
      <c r="BN229" s="406"/>
      <c r="BO229" s="406"/>
      <c r="BP229" s="406"/>
      <c r="BQ229" s="406"/>
      <c r="BR229" s="406"/>
      <c r="BS229" s="406"/>
      <c r="BT229" s="406"/>
      <c r="BU229" s="406"/>
      <c r="BV229" s="406"/>
      <c r="BW229" s="406"/>
      <c r="BX229" s="406"/>
      <c r="BY229" s="406"/>
      <c r="BZ229" s="406"/>
      <c r="CA229" s="270"/>
      <c r="CB229" s="3" t="str">
        <f t="shared" si="14"/>
        <v>Riadok bude skrytý.</v>
      </c>
      <c r="CC229" s="271" t="s">
        <v>937</v>
      </c>
      <c r="CW229" s="30">
        <f t="shared" si="24"/>
        <v>1</v>
      </c>
      <c r="CX229" s="30">
        <f t="shared" si="26"/>
        <v>0</v>
      </c>
      <c r="CZ229" s="30">
        <f t="shared" si="20"/>
        <v>0</v>
      </c>
      <c r="DA229" s="52">
        <f t="shared" si="25"/>
        <v>0</v>
      </c>
      <c r="DB229" s="2">
        <f t="shared" ref="DB229:DB292" si="27">+IF($CD$1="malé",0,DA229)</f>
        <v>0</v>
      </c>
      <c r="DS229" s="130">
        <f>SI!BY229</f>
        <v>196</v>
      </c>
      <c r="DZ229" s="131">
        <f>SI!BZ229</f>
        <v>0</v>
      </c>
    </row>
    <row r="230" spans="1:130" hidden="1" x14ac:dyDescent="0.25">
      <c r="A230" s="141"/>
      <c r="B230" s="406"/>
      <c r="C230" s="406"/>
      <c r="D230" s="406"/>
      <c r="E230" s="406"/>
      <c r="F230" s="406"/>
      <c r="G230" s="406"/>
      <c r="H230" s="406"/>
      <c r="I230" s="406"/>
      <c r="J230" s="406"/>
      <c r="K230" s="406"/>
      <c r="L230" s="406"/>
      <c r="M230" s="406"/>
      <c r="N230" s="406"/>
      <c r="O230" s="406"/>
      <c r="P230" s="406"/>
      <c r="Q230" s="406"/>
      <c r="R230" s="406"/>
      <c r="S230" s="406"/>
      <c r="T230" s="406"/>
      <c r="U230" s="406"/>
      <c r="V230" s="406"/>
      <c r="W230" s="406"/>
      <c r="X230" s="406"/>
      <c r="Y230" s="406"/>
      <c r="Z230" s="406"/>
      <c r="AA230" s="406"/>
      <c r="AB230" s="406"/>
      <c r="AC230" s="406"/>
      <c r="AD230" s="406"/>
      <c r="AE230" s="406"/>
      <c r="AF230" s="406"/>
      <c r="AG230" s="406"/>
      <c r="AH230" s="406"/>
      <c r="AI230" s="406"/>
      <c r="AJ230" s="406"/>
      <c r="AK230" s="406"/>
      <c r="AL230" s="406"/>
      <c r="AM230" s="406"/>
      <c r="AN230" s="406"/>
      <c r="AO230" s="406"/>
      <c r="AP230" s="406"/>
      <c r="AQ230" s="406"/>
      <c r="AR230" s="406"/>
      <c r="AS230" s="406"/>
      <c r="AT230" s="406"/>
      <c r="AU230" s="406"/>
      <c r="AV230" s="406"/>
      <c r="AW230" s="406"/>
      <c r="AX230" s="406"/>
      <c r="AY230" s="406"/>
      <c r="AZ230" s="406"/>
      <c r="BA230" s="406"/>
      <c r="BB230" s="406"/>
      <c r="BC230" s="406"/>
      <c r="BD230" s="406"/>
      <c r="BE230" s="406"/>
      <c r="BF230" s="406"/>
      <c r="BG230" s="406"/>
      <c r="BH230" s="406"/>
      <c r="BI230" s="406"/>
      <c r="BJ230" s="406"/>
      <c r="BK230" s="406"/>
      <c r="BL230" s="406"/>
      <c r="BM230" s="406"/>
      <c r="BN230" s="406"/>
      <c r="BO230" s="406"/>
      <c r="BP230" s="406"/>
      <c r="BQ230" s="406"/>
      <c r="BR230" s="406"/>
      <c r="BS230" s="406"/>
      <c r="BT230" s="406"/>
      <c r="BU230" s="406"/>
      <c r="BV230" s="406"/>
      <c r="BW230" s="406"/>
      <c r="BX230" s="406"/>
      <c r="BY230" s="406"/>
      <c r="BZ230" s="406"/>
      <c r="CA230" s="270"/>
      <c r="CB230" s="3" t="str">
        <f t="shared" si="14"/>
        <v>Riadok bude skrytý.</v>
      </c>
      <c r="CC230" s="271" t="s">
        <v>937</v>
      </c>
      <c r="CW230" s="30">
        <f t="shared" si="24"/>
        <v>1</v>
      </c>
      <c r="CX230" s="30">
        <f t="shared" si="26"/>
        <v>0</v>
      </c>
      <c r="CZ230" s="30">
        <f t="shared" si="20"/>
        <v>0</v>
      </c>
      <c r="DA230" s="52">
        <f t="shared" si="25"/>
        <v>0</v>
      </c>
      <c r="DB230" s="2">
        <f t="shared" si="27"/>
        <v>0</v>
      </c>
      <c r="DS230" s="130">
        <f>SI!BY230</f>
        <v>961</v>
      </c>
      <c r="DZ230" s="131">
        <f>SI!BZ230</f>
        <v>0</v>
      </c>
    </row>
    <row r="231" spans="1:130" hidden="1" x14ac:dyDescent="0.25">
      <c r="A231" s="141"/>
      <c r="B231" s="406"/>
      <c r="C231" s="406"/>
      <c r="D231" s="406"/>
      <c r="E231" s="406"/>
      <c r="F231" s="406"/>
      <c r="G231" s="406"/>
      <c r="H231" s="406"/>
      <c r="I231" s="406"/>
      <c r="J231" s="406"/>
      <c r="K231" s="406"/>
      <c r="L231" s="406"/>
      <c r="M231" s="406"/>
      <c r="N231" s="406"/>
      <c r="O231" s="406"/>
      <c r="P231" s="406"/>
      <c r="Q231" s="406"/>
      <c r="R231" s="406"/>
      <c r="S231" s="406"/>
      <c r="T231" s="406"/>
      <c r="U231" s="406"/>
      <c r="V231" s="406"/>
      <c r="W231" s="406"/>
      <c r="X231" s="406"/>
      <c r="Y231" s="406"/>
      <c r="Z231" s="406"/>
      <c r="AA231" s="406"/>
      <c r="AB231" s="406"/>
      <c r="AC231" s="406"/>
      <c r="AD231" s="406"/>
      <c r="AE231" s="406"/>
      <c r="AF231" s="406"/>
      <c r="AG231" s="406"/>
      <c r="AH231" s="406"/>
      <c r="AI231" s="406"/>
      <c r="AJ231" s="406"/>
      <c r="AK231" s="406"/>
      <c r="AL231" s="406"/>
      <c r="AM231" s="406"/>
      <c r="AN231" s="406"/>
      <c r="AO231" s="406"/>
      <c r="AP231" s="406"/>
      <c r="AQ231" s="406"/>
      <c r="AR231" s="406"/>
      <c r="AS231" s="406"/>
      <c r="AT231" s="406"/>
      <c r="AU231" s="406"/>
      <c r="AV231" s="406"/>
      <c r="AW231" s="406"/>
      <c r="AX231" s="406"/>
      <c r="AY231" s="406"/>
      <c r="AZ231" s="406"/>
      <c r="BA231" s="406"/>
      <c r="BB231" s="406"/>
      <c r="BC231" s="406"/>
      <c r="BD231" s="406"/>
      <c r="BE231" s="406"/>
      <c r="BF231" s="406"/>
      <c r="BG231" s="406"/>
      <c r="BH231" s="406"/>
      <c r="BI231" s="406"/>
      <c r="BJ231" s="406"/>
      <c r="BK231" s="406"/>
      <c r="BL231" s="406"/>
      <c r="BM231" s="406"/>
      <c r="BN231" s="406"/>
      <c r="BO231" s="406"/>
      <c r="BP231" s="406"/>
      <c r="BQ231" s="406"/>
      <c r="BR231" s="406"/>
      <c r="BS231" s="406"/>
      <c r="BT231" s="406"/>
      <c r="BU231" s="406"/>
      <c r="BV231" s="406"/>
      <c r="BW231" s="406"/>
      <c r="BX231" s="406"/>
      <c r="BY231" s="406"/>
      <c r="BZ231" s="406"/>
      <c r="CA231" s="270"/>
      <c r="CB231" s="3" t="str">
        <f t="shared" si="14"/>
        <v>Riadok bude skrytý.</v>
      </c>
      <c r="CC231" s="271" t="s">
        <v>937</v>
      </c>
      <c r="CW231" s="30">
        <f t="shared" si="24"/>
        <v>1</v>
      </c>
      <c r="CX231" s="30">
        <f t="shared" si="26"/>
        <v>0</v>
      </c>
      <c r="CZ231" s="30">
        <f t="shared" si="20"/>
        <v>0</v>
      </c>
      <c r="DA231" s="52">
        <f t="shared" si="25"/>
        <v>0</v>
      </c>
      <c r="DB231" s="2">
        <f t="shared" si="27"/>
        <v>0</v>
      </c>
      <c r="DS231" s="130">
        <f>SI!BY231</f>
        <v>198</v>
      </c>
      <c r="DZ231" s="131">
        <f>SI!BZ231</f>
        <v>0</v>
      </c>
    </row>
    <row r="232" spans="1:130" hidden="1" x14ac:dyDescent="0.25">
      <c r="A232" s="141"/>
      <c r="B232" s="406"/>
      <c r="C232" s="406"/>
      <c r="D232" s="406"/>
      <c r="E232" s="406"/>
      <c r="F232" s="406"/>
      <c r="G232" s="406"/>
      <c r="H232" s="406"/>
      <c r="I232" s="406"/>
      <c r="J232" s="406"/>
      <c r="K232" s="406"/>
      <c r="L232" s="406"/>
      <c r="M232" s="406"/>
      <c r="N232" s="406"/>
      <c r="O232" s="406"/>
      <c r="P232" s="406"/>
      <c r="Q232" s="406"/>
      <c r="R232" s="406"/>
      <c r="S232" s="406"/>
      <c r="T232" s="406"/>
      <c r="U232" s="406"/>
      <c r="V232" s="406"/>
      <c r="W232" s="406"/>
      <c r="X232" s="406"/>
      <c r="Y232" s="406"/>
      <c r="Z232" s="406"/>
      <c r="AA232" s="406"/>
      <c r="AB232" s="406"/>
      <c r="AC232" s="406"/>
      <c r="AD232" s="406"/>
      <c r="AE232" s="406"/>
      <c r="AF232" s="406"/>
      <c r="AG232" s="406"/>
      <c r="AH232" s="406"/>
      <c r="AI232" s="406"/>
      <c r="AJ232" s="406"/>
      <c r="AK232" s="406"/>
      <c r="AL232" s="406"/>
      <c r="AM232" s="406"/>
      <c r="AN232" s="406"/>
      <c r="AO232" s="406"/>
      <c r="AP232" s="406"/>
      <c r="AQ232" s="406"/>
      <c r="AR232" s="406"/>
      <c r="AS232" s="406"/>
      <c r="AT232" s="406"/>
      <c r="AU232" s="406"/>
      <c r="AV232" s="406"/>
      <c r="AW232" s="406"/>
      <c r="AX232" s="406"/>
      <c r="AY232" s="406"/>
      <c r="AZ232" s="406"/>
      <c r="BA232" s="406"/>
      <c r="BB232" s="406"/>
      <c r="BC232" s="406"/>
      <c r="BD232" s="406"/>
      <c r="BE232" s="406"/>
      <c r="BF232" s="406"/>
      <c r="BG232" s="406"/>
      <c r="BH232" s="406"/>
      <c r="BI232" s="406"/>
      <c r="BJ232" s="406"/>
      <c r="BK232" s="406"/>
      <c r="BL232" s="406"/>
      <c r="BM232" s="406"/>
      <c r="BN232" s="406"/>
      <c r="BO232" s="406"/>
      <c r="BP232" s="406"/>
      <c r="BQ232" s="406"/>
      <c r="BR232" s="406"/>
      <c r="BS232" s="406"/>
      <c r="BT232" s="406"/>
      <c r="BU232" s="406"/>
      <c r="BV232" s="406"/>
      <c r="BW232" s="406"/>
      <c r="BX232" s="406"/>
      <c r="BY232" s="406"/>
      <c r="BZ232" s="406"/>
      <c r="CA232" s="270"/>
      <c r="CB232" s="3" t="str">
        <f t="shared" si="14"/>
        <v>Riadok bude skrytý.</v>
      </c>
      <c r="CC232" s="271" t="s">
        <v>937</v>
      </c>
      <c r="CW232" s="30">
        <f t="shared" si="24"/>
        <v>1</v>
      </c>
      <c r="CX232" s="30">
        <f t="shared" si="26"/>
        <v>0</v>
      </c>
      <c r="CZ232" s="30">
        <f t="shared" si="20"/>
        <v>0</v>
      </c>
      <c r="DA232" s="52">
        <f t="shared" si="25"/>
        <v>0</v>
      </c>
      <c r="DB232" s="2">
        <f t="shared" si="27"/>
        <v>0</v>
      </c>
      <c r="DS232" s="130">
        <f>SI!BY232</f>
        <v>714</v>
      </c>
      <c r="DZ232" s="131">
        <f>SI!BZ232</f>
        <v>0</v>
      </c>
    </row>
    <row r="233" spans="1:130" hidden="1" x14ac:dyDescent="0.25">
      <c r="A233" s="141"/>
      <c r="B233" s="406"/>
      <c r="C233" s="406"/>
      <c r="D233" s="406"/>
      <c r="E233" s="406"/>
      <c r="F233" s="406"/>
      <c r="G233" s="406"/>
      <c r="H233" s="406"/>
      <c r="I233" s="406"/>
      <c r="J233" s="406"/>
      <c r="K233" s="406"/>
      <c r="L233" s="406"/>
      <c r="M233" s="406"/>
      <c r="N233" s="406"/>
      <c r="O233" s="406"/>
      <c r="P233" s="406"/>
      <c r="Q233" s="406"/>
      <c r="R233" s="406"/>
      <c r="S233" s="406"/>
      <c r="T233" s="406"/>
      <c r="U233" s="406"/>
      <c r="V233" s="406"/>
      <c r="W233" s="406"/>
      <c r="X233" s="406"/>
      <c r="Y233" s="406"/>
      <c r="Z233" s="406"/>
      <c r="AA233" s="406"/>
      <c r="AB233" s="406"/>
      <c r="AC233" s="406"/>
      <c r="AD233" s="406"/>
      <c r="AE233" s="406"/>
      <c r="AF233" s="406"/>
      <c r="AG233" s="406"/>
      <c r="AH233" s="406"/>
      <c r="AI233" s="406"/>
      <c r="AJ233" s="406"/>
      <c r="AK233" s="406"/>
      <c r="AL233" s="406"/>
      <c r="AM233" s="406"/>
      <c r="AN233" s="406"/>
      <c r="AO233" s="406"/>
      <c r="AP233" s="406"/>
      <c r="AQ233" s="406"/>
      <c r="AR233" s="406"/>
      <c r="AS233" s="406"/>
      <c r="AT233" s="406"/>
      <c r="AU233" s="406"/>
      <c r="AV233" s="406"/>
      <c r="AW233" s="406"/>
      <c r="AX233" s="406"/>
      <c r="AY233" s="406"/>
      <c r="AZ233" s="406"/>
      <c r="BA233" s="406"/>
      <c r="BB233" s="406"/>
      <c r="BC233" s="406"/>
      <c r="BD233" s="406"/>
      <c r="BE233" s="406"/>
      <c r="BF233" s="406"/>
      <c r="BG233" s="406"/>
      <c r="BH233" s="406"/>
      <c r="BI233" s="406"/>
      <c r="BJ233" s="406"/>
      <c r="BK233" s="406"/>
      <c r="BL233" s="406"/>
      <c r="BM233" s="406"/>
      <c r="BN233" s="406"/>
      <c r="BO233" s="406"/>
      <c r="BP233" s="406"/>
      <c r="BQ233" s="406"/>
      <c r="BR233" s="406"/>
      <c r="BS233" s="406"/>
      <c r="BT233" s="406"/>
      <c r="BU233" s="406"/>
      <c r="BV233" s="406"/>
      <c r="BW233" s="406"/>
      <c r="BX233" s="406"/>
      <c r="BY233" s="406"/>
      <c r="BZ233" s="406"/>
      <c r="CA233" s="270"/>
      <c r="CB233" s="3" t="str">
        <f t="shared" si="14"/>
        <v>Riadok bude skrytý.</v>
      </c>
      <c r="CC233" s="271" t="s">
        <v>937</v>
      </c>
      <c r="CW233" s="30">
        <f t="shared" si="24"/>
        <v>1</v>
      </c>
      <c r="CX233" s="30">
        <f t="shared" si="26"/>
        <v>0</v>
      </c>
      <c r="CZ233" s="30">
        <f t="shared" si="20"/>
        <v>0</v>
      </c>
      <c r="DA233" s="52">
        <f t="shared" si="25"/>
        <v>0</v>
      </c>
      <c r="DB233" s="2">
        <f t="shared" si="27"/>
        <v>0</v>
      </c>
      <c r="DS233" s="130">
        <f>SI!BY233</f>
        <v>138</v>
      </c>
      <c r="DZ233" s="131">
        <f>SI!BZ233</f>
        <v>0</v>
      </c>
    </row>
    <row r="234" spans="1:130" hidden="1" x14ac:dyDescent="0.25">
      <c r="A234" s="141"/>
      <c r="B234" s="406"/>
      <c r="C234" s="406"/>
      <c r="D234" s="406"/>
      <c r="E234" s="406"/>
      <c r="F234" s="406"/>
      <c r="G234" s="406"/>
      <c r="H234" s="406"/>
      <c r="I234" s="406"/>
      <c r="J234" s="406"/>
      <c r="K234" s="406"/>
      <c r="L234" s="406"/>
      <c r="M234" s="406"/>
      <c r="N234" s="406"/>
      <c r="O234" s="406"/>
      <c r="P234" s="406"/>
      <c r="Q234" s="406"/>
      <c r="R234" s="406"/>
      <c r="S234" s="406"/>
      <c r="T234" s="406"/>
      <c r="U234" s="406"/>
      <c r="V234" s="406"/>
      <c r="W234" s="406"/>
      <c r="X234" s="406"/>
      <c r="Y234" s="406"/>
      <c r="Z234" s="406"/>
      <c r="AA234" s="406"/>
      <c r="AB234" s="406"/>
      <c r="AC234" s="406"/>
      <c r="AD234" s="406"/>
      <c r="AE234" s="406"/>
      <c r="AF234" s="406"/>
      <c r="AG234" s="406"/>
      <c r="AH234" s="406"/>
      <c r="AI234" s="406"/>
      <c r="AJ234" s="406"/>
      <c r="AK234" s="406"/>
      <c r="AL234" s="406"/>
      <c r="AM234" s="406"/>
      <c r="AN234" s="406"/>
      <c r="AO234" s="406"/>
      <c r="AP234" s="406"/>
      <c r="AQ234" s="406"/>
      <c r="AR234" s="406"/>
      <c r="AS234" s="406"/>
      <c r="AT234" s="406"/>
      <c r="AU234" s="406"/>
      <c r="AV234" s="406"/>
      <c r="AW234" s="406"/>
      <c r="AX234" s="406"/>
      <c r="AY234" s="406"/>
      <c r="AZ234" s="406"/>
      <c r="BA234" s="406"/>
      <c r="BB234" s="406"/>
      <c r="BC234" s="406"/>
      <c r="BD234" s="406"/>
      <c r="BE234" s="406"/>
      <c r="BF234" s="406"/>
      <c r="BG234" s="406"/>
      <c r="BH234" s="406"/>
      <c r="BI234" s="406"/>
      <c r="BJ234" s="406"/>
      <c r="BK234" s="406"/>
      <c r="BL234" s="406"/>
      <c r="BM234" s="406"/>
      <c r="BN234" s="406"/>
      <c r="BO234" s="406"/>
      <c r="BP234" s="406"/>
      <c r="BQ234" s="406"/>
      <c r="BR234" s="406"/>
      <c r="BS234" s="406"/>
      <c r="BT234" s="406"/>
      <c r="BU234" s="406"/>
      <c r="BV234" s="406"/>
      <c r="BW234" s="406"/>
      <c r="BX234" s="406"/>
      <c r="BY234" s="406"/>
      <c r="BZ234" s="406"/>
      <c r="CA234" s="270"/>
      <c r="CB234" s="3" t="str">
        <f t="shared" si="14"/>
        <v>Riadok bude skrytý.</v>
      </c>
      <c r="CC234" s="271" t="s">
        <v>937</v>
      </c>
      <c r="CW234" s="30">
        <f t="shared" si="24"/>
        <v>1</v>
      </c>
      <c r="CX234" s="30">
        <f t="shared" si="26"/>
        <v>0</v>
      </c>
      <c r="CZ234" s="30">
        <f t="shared" si="20"/>
        <v>0</v>
      </c>
      <c r="DA234" s="52">
        <f t="shared" si="25"/>
        <v>0</v>
      </c>
      <c r="DB234" s="2">
        <f t="shared" si="27"/>
        <v>0</v>
      </c>
      <c r="DS234" s="130">
        <f>SI!BY234</f>
        <v>956</v>
      </c>
      <c r="DZ234" s="131">
        <f>SI!BZ234</f>
        <v>0</v>
      </c>
    </row>
    <row r="235" spans="1:130" hidden="1" x14ac:dyDescent="0.25">
      <c r="A235" s="141"/>
      <c r="B235" s="406"/>
      <c r="C235" s="406"/>
      <c r="D235" s="406"/>
      <c r="E235" s="406"/>
      <c r="F235" s="406"/>
      <c r="G235" s="406"/>
      <c r="H235" s="406"/>
      <c r="I235" s="406"/>
      <c r="J235" s="406"/>
      <c r="K235" s="406"/>
      <c r="L235" s="406"/>
      <c r="M235" s="406"/>
      <c r="N235" s="406"/>
      <c r="O235" s="406"/>
      <c r="P235" s="406"/>
      <c r="Q235" s="406"/>
      <c r="R235" s="406"/>
      <c r="S235" s="406"/>
      <c r="T235" s="406"/>
      <c r="U235" s="406"/>
      <c r="V235" s="406"/>
      <c r="W235" s="406"/>
      <c r="X235" s="406"/>
      <c r="Y235" s="406"/>
      <c r="Z235" s="406"/>
      <c r="AA235" s="406"/>
      <c r="AB235" s="406"/>
      <c r="AC235" s="406"/>
      <c r="AD235" s="406"/>
      <c r="AE235" s="406"/>
      <c r="AF235" s="406"/>
      <c r="AG235" s="406"/>
      <c r="AH235" s="406"/>
      <c r="AI235" s="406"/>
      <c r="AJ235" s="406"/>
      <c r="AK235" s="406"/>
      <c r="AL235" s="406"/>
      <c r="AM235" s="406"/>
      <c r="AN235" s="406"/>
      <c r="AO235" s="406"/>
      <c r="AP235" s="406"/>
      <c r="AQ235" s="406"/>
      <c r="AR235" s="406"/>
      <c r="AS235" s="406"/>
      <c r="AT235" s="406"/>
      <c r="AU235" s="406"/>
      <c r="AV235" s="406"/>
      <c r="AW235" s="406"/>
      <c r="AX235" s="406"/>
      <c r="AY235" s="406"/>
      <c r="AZ235" s="406"/>
      <c r="BA235" s="406"/>
      <c r="BB235" s="406"/>
      <c r="BC235" s="406"/>
      <c r="BD235" s="406"/>
      <c r="BE235" s="406"/>
      <c r="BF235" s="406"/>
      <c r="BG235" s="406"/>
      <c r="BH235" s="406"/>
      <c r="BI235" s="406"/>
      <c r="BJ235" s="406"/>
      <c r="BK235" s="406"/>
      <c r="BL235" s="406"/>
      <c r="BM235" s="406"/>
      <c r="BN235" s="406"/>
      <c r="BO235" s="406"/>
      <c r="BP235" s="406"/>
      <c r="BQ235" s="406"/>
      <c r="BR235" s="406"/>
      <c r="BS235" s="406"/>
      <c r="BT235" s="406"/>
      <c r="BU235" s="406"/>
      <c r="BV235" s="406"/>
      <c r="BW235" s="406"/>
      <c r="BX235" s="406"/>
      <c r="BY235" s="406"/>
      <c r="BZ235" s="406"/>
      <c r="CA235" s="270"/>
      <c r="CB235" s="3" t="str">
        <f t="shared" si="14"/>
        <v>Riadok bude skrytý.</v>
      </c>
      <c r="CC235" s="271" t="s">
        <v>937</v>
      </c>
      <c r="CW235" s="30">
        <f t="shared" si="24"/>
        <v>1</v>
      </c>
      <c r="CX235" s="30">
        <f t="shared" si="26"/>
        <v>0</v>
      </c>
      <c r="CZ235" s="30">
        <f t="shared" si="20"/>
        <v>0</v>
      </c>
      <c r="DA235" s="52">
        <f t="shared" si="25"/>
        <v>0</v>
      </c>
      <c r="DB235" s="2">
        <f t="shared" si="27"/>
        <v>0</v>
      </c>
      <c r="DS235" s="130">
        <f>SI!BY235</f>
        <v>145</v>
      </c>
      <c r="DZ235" s="131">
        <f>SI!BZ235</f>
        <v>0</v>
      </c>
    </row>
    <row r="236" spans="1:130" hidden="1" x14ac:dyDescent="0.25">
      <c r="A236" s="141"/>
      <c r="B236" s="406"/>
      <c r="C236" s="406"/>
      <c r="D236" s="406"/>
      <c r="E236" s="406"/>
      <c r="F236" s="406"/>
      <c r="G236" s="406"/>
      <c r="H236" s="406"/>
      <c r="I236" s="406"/>
      <c r="J236" s="406"/>
      <c r="K236" s="406"/>
      <c r="L236" s="406"/>
      <c r="M236" s="406"/>
      <c r="N236" s="406"/>
      <c r="O236" s="406"/>
      <c r="P236" s="406"/>
      <c r="Q236" s="406"/>
      <c r="R236" s="406"/>
      <c r="S236" s="406"/>
      <c r="T236" s="406"/>
      <c r="U236" s="406"/>
      <c r="V236" s="406"/>
      <c r="W236" s="406"/>
      <c r="X236" s="406"/>
      <c r="Y236" s="406"/>
      <c r="Z236" s="406"/>
      <c r="AA236" s="406"/>
      <c r="AB236" s="406"/>
      <c r="AC236" s="406"/>
      <c r="AD236" s="406"/>
      <c r="AE236" s="406"/>
      <c r="AF236" s="406"/>
      <c r="AG236" s="406"/>
      <c r="AH236" s="406"/>
      <c r="AI236" s="406"/>
      <c r="AJ236" s="406"/>
      <c r="AK236" s="406"/>
      <c r="AL236" s="406"/>
      <c r="AM236" s="406"/>
      <c r="AN236" s="406"/>
      <c r="AO236" s="406"/>
      <c r="AP236" s="406"/>
      <c r="AQ236" s="406"/>
      <c r="AR236" s="406"/>
      <c r="AS236" s="406"/>
      <c r="AT236" s="406"/>
      <c r="AU236" s="406"/>
      <c r="AV236" s="406"/>
      <c r="AW236" s="406"/>
      <c r="AX236" s="406"/>
      <c r="AY236" s="406"/>
      <c r="AZ236" s="406"/>
      <c r="BA236" s="406"/>
      <c r="BB236" s="406"/>
      <c r="BC236" s="406"/>
      <c r="BD236" s="406"/>
      <c r="BE236" s="406"/>
      <c r="BF236" s="406"/>
      <c r="BG236" s="406"/>
      <c r="BH236" s="406"/>
      <c r="BI236" s="406"/>
      <c r="BJ236" s="406"/>
      <c r="BK236" s="406"/>
      <c r="BL236" s="406"/>
      <c r="BM236" s="406"/>
      <c r="BN236" s="406"/>
      <c r="BO236" s="406"/>
      <c r="BP236" s="406"/>
      <c r="BQ236" s="406"/>
      <c r="BR236" s="406"/>
      <c r="BS236" s="406"/>
      <c r="BT236" s="406"/>
      <c r="BU236" s="406"/>
      <c r="BV236" s="406"/>
      <c r="BW236" s="406"/>
      <c r="BX236" s="406"/>
      <c r="BY236" s="406"/>
      <c r="BZ236" s="406"/>
      <c r="CA236" s="270"/>
      <c r="CB236" s="3" t="str">
        <f t="shared" si="14"/>
        <v>Riadok bude skrytý.</v>
      </c>
      <c r="CC236" s="271" t="s">
        <v>937</v>
      </c>
      <c r="CW236" s="30">
        <f t="shared" si="24"/>
        <v>1</v>
      </c>
      <c r="CX236" s="30">
        <f t="shared" si="26"/>
        <v>0</v>
      </c>
      <c r="CZ236" s="30">
        <f t="shared" si="20"/>
        <v>0</v>
      </c>
      <c r="DA236" s="52">
        <f t="shared" si="25"/>
        <v>0</v>
      </c>
      <c r="DB236" s="2">
        <f t="shared" si="27"/>
        <v>0</v>
      </c>
      <c r="DS236" s="130">
        <f>SI!BY236</f>
        <v>480</v>
      </c>
      <c r="DZ236" s="131">
        <f>SI!BZ236</f>
        <v>0</v>
      </c>
    </row>
    <row r="237" spans="1:130" hidden="1" x14ac:dyDescent="0.25">
      <c r="A237" s="141"/>
      <c r="B237" s="406"/>
      <c r="C237" s="406"/>
      <c r="D237" s="406"/>
      <c r="E237" s="406"/>
      <c r="F237" s="406"/>
      <c r="G237" s="406"/>
      <c r="H237" s="406"/>
      <c r="I237" s="406"/>
      <c r="J237" s="406"/>
      <c r="K237" s="406"/>
      <c r="L237" s="406"/>
      <c r="M237" s="406"/>
      <c r="N237" s="406"/>
      <c r="O237" s="406"/>
      <c r="P237" s="406"/>
      <c r="Q237" s="406"/>
      <c r="R237" s="406"/>
      <c r="S237" s="406"/>
      <c r="T237" s="406"/>
      <c r="U237" s="406"/>
      <c r="V237" s="406"/>
      <c r="W237" s="406"/>
      <c r="X237" s="406"/>
      <c r="Y237" s="406"/>
      <c r="Z237" s="406"/>
      <c r="AA237" s="406"/>
      <c r="AB237" s="406"/>
      <c r="AC237" s="406"/>
      <c r="AD237" s="406"/>
      <c r="AE237" s="406"/>
      <c r="AF237" s="406"/>
      <c r="AG237" s="406"/>
      <c r="AH237" s="406"/>
      <c r="AI237" s="406"/>
      <c r="AJ237" s="406"/>
      <c r="AK237" s="406"/>
      <c r="AL237" s="406"/>
      <c r="AM237" s="406"/>
      <c r="AN237" s="406"/>
      <c r="AO237" s="406"/>
      <c r="AP237" s="406"/>
      <c r="AQ237" s="406"/>
      <c r="AR237" s="406"/>
      <c r="AS237" s="406"/>
      <c r="AT237" s="406"/>
      <c r="AU237" s="406"/>
      <c r="AV237" s="406"/>
      <c r="AW237" s="406"/>
      <c r="AX237" s="406"/>
      <c r="AY237" s="406"/>
      <c r="AZ237" s="406"/>
      <c r="BA237" s="406"/>
      <c r="BB237" s="406"/>
      <c r="BC237" s="406"/>
      <c r="BD237" s="406"/>
      <c r="BE237" s="406"/>
      <c r="BF237" s="406"/>
      <c r="BG237" s="406"/>
      <c r="BH237" s="406"/>
      <c r="BI237" s="406"/>
      <c r="BJ237" s="406"/>
      <c r="BK237" s="406"/>
      <c r="BL237" s="406"/>
      <c r="BM237" s="406"/>
      <c r="BN237" s="406"/>
      <c r="BO237" s="406"/>
      <c r="BP237" s="406"/>
      <c r="BQ237" s="406"/>
      <c r="BR237" s="406"/>
      <c r="BS237" s="406"/>
      <c r="BT237" s="406"/>
      <c r="BU237" s="406"/>
      <c r="BV237" s="406"/>
      <c r="BW237" s="406"/>
      <c r="BX237" s="406"/>
      <c r="BY237" s="406"/>
      <c r="BZ237" s="406"/>
      <c r="CA237" s="270"/>
      <c r="CB237" s="3" t="str">
        <f t="shared" si="14"/>
        <v>Riadok bude skrytý.</v>
      </c>
      <c r="CC237" s="271" t="s">
        <v>937</v>
      </c>
      <c r="CW237" s="30">
        <f t="shared" si="24"/>
        <v>1</v>
      </c>
      <c r="CX237" s="30">
        <f t="shared" si="26"/>
        <v>0</v>
      </c>
      <c r="CZ237" s="30">
        <f t="shared" si="20"/>
        <v>0</v>
      </c>
      <c r="DA237" s="52">
        <f t="shared" si="25"/>
        <v>0</v>
      </c>
      <c r="DB237" s="2">
        <f t="shared" si="27"/>
        <v>0</v>
      </c>
      <c r="DS237" s="130">
        <f>SI!BY237</f>
        <v>161</v>
      </c>
      <c r="DZ237" s="131">
        <f>SI!BZ237</f>
        <v>0</v>
      </c>
    </row>
    <row r="238" spans="1:130" hidden="1" x14ac:dyDescent="0.25">
      <c r="A238" s="141"/>
      <c r="B238" s="406"/>
      <c r="C238" s="406"/>
      <c r="D238" s="406"/>
      <c r="E238" s="406"/>
      <c r="F238" s="406"/>
      <c r="G238" s="406"/>
      <c r="H238" s="406"/>
      <c r="I238" s="406"/>
      <c r="J238" s="406"/>
      <c r="K238" s="406"/>
      <c r="L238" s="406"/>
      <c r="M238" s="406"/>
      <c r="N238" s="406"/>
      <c r="O238" s="406"/>
      <c r="P238" s="406"/>
      <c r="Q238" s="406"/>
      <c r="R238" s="406"/>
      <c r="S238" s="406"/>
      <c r="T238" s="406"/>
      <c r="U238" s="406"/>
      <c r="V238" s="406"/>
      <c r="W238" s="406"/>
      <c r="X238" s="406"/>
      <c r="Y238" s="406"/>
      <c r="Z238" s="406"/>
      <c r="AA238" s="406"/>
      <c r="AB238" s="406"/>
      <c r="AC238" s="406"/>
      <c r="AD238" s="406"/>
      <c r="AE238" s="406"/>
      <c r="AF238" s="406"/>
      <c r="AG238" s="406"/>
      <c r="AH238" s="406"/>
      <c r="AI238" s="406"/>
      <c r="AJ238" s="406"/>
      <c r="AK238" s="406"/>
      <c r="AL238" s="406"/>
      <c r="AM238" s="406"/>
      <c r="AN238" s="406"/>
      <c r="AO238" s="406"/>
      <c r="AP238" s="406"/>
      <c r="AQ238" s="406"/>
      <c r="AR238" s="406"/>
      <c r="AS238" s="406"/>
      <c r="AT238" s="406"/>
      <c r="AU238" s="406"/>
      <c r="AV238" s="406"/>
      <c r="AW238" s="406"/>
      <c r="AX238" s="406"/>
      <c r="AY238" s="406"/>
      <c r="AZ238" s="406"/>
      <c r="BA238" s="406"/>
      <c r="BB238" s="406"/>
      <c r="BC238" s="406"/>
      <c r="BD238" s="406"/>
      <c r="BE238" s="406"/>
      <c r="BF238" s="406"/>
      <c r="BG238" s="406"/>
      <c r="BH238" s="406"/>
      <c r="BI238" s="406"/>
      <c r="BJ238" s="406"/>
      <c r="BK238" s="406"/>
      <c r="BL238" s="406"/>
      <c r="BM238" s="406"/>
      <c r="BN238" s="406"/>
      <c r="BO238" s="406"/>
      <c r="BP238" s="406"/>
      <c r="BQ238" s="406"/>
      <c r="BR238" s="406"/>
      <c r="BS238" s="406"/>
      <c r="BT238" s="406"/>
      <c r="BU238" s="406"/>
      <c r="BV238" s="406"/>
      <c r="BW238" s="406"/>
      <c r="BX238" s="406"/>
      <c r="BY238" s="406"/>
      <c r="BZ238" s="406"/>
      <c r="CA238" s="270"/>
      <c r="CB238" s="3" t="str">
        <f t="shared" si="14"/>
        <v>Riadok bude skrytý.</v>
      </c>
      <c r="CC238" s="271" t="s">
        <v>937</v>
      </c>
      <c r="CW238" s="30">
        <f t="shared" si="24"/>
        <v>1</v>
      </c>
      <c r="CX238" s="30">
        <f t="shared" si="26"/>
        <v>0</v>
      </c>
      <c r="CZ238" s="30">
        <f t="shared" si="20"/>
        <v>0</v>
      </c>
      <c r="DA238" s="52">
        <f t="shared" si="25"/>
        <v>0</v>
      </c>
      <c r="DB238" s="2">
        <f t="shared" si="27"/>
        <v>0</v>
      </c>
      <c r="DS238" s="130">
        <f>SI!BY238</f>
        <v>947</v>
      </c>
      <c r="DZ238" s="131">
        <f>SI!BZ238</f>
        <v>0</v>
      </c>
    </row>
    <row r="239" spans="1:130" hidden="1" x14ac:dyDescent="0.25">
      <c r="A239" s="141"/>
      <c r="B239" s="406"/>
      <c r="C239" s="406"/>
      <c r="D239" s="406"/>
      <c r="E239" s="406"/>
      <c r="F239" s="406"/>
      <c r="G239" s="406"/>
      <c r="H239" s="406"/>
      <c r="I239" s="406"/>
      <c r="J239" s="406"/>
      <c r="K239" s="406"/>
      <c r="L239" s="406"/>
      <c r="M239" s="406"/>
      <c r="N239" s="406"/>
      <c r="O239" s="406"/>
      <c r="P239" s="406"/>
      <c r="Q239" s="406"/>
      <c r="R239" s="406"/>
      <c r="S239" s="406"/>
      <c r="T239" s="406"/>
      <c r="U239" s="406"/>
      <c r="V239" s="406"/>
      <c r="W239" s="406"/>
      <c r="X239" s="406"/>
      <c r="Y239" s="406"/>
      <c r="Z239" s="406"/>
      <c r="AA239" s="406"/>
      <c r="AB239" s="406"/>
      <c r="AC239" s="406"/>
      <c r="AD239" s="406"/>
      <c r="AE239" s="406"/>
      <c r="AF239" s="406"/>
      <c r="AG239" s="406"/>
      <c r="AH239" s="406"/>
      <c r="AI239" s="406"/>
      <c r="AJ239" s="406"/>
      <c r="AK239" s="406"/>
      <c r="AL239" s="406"/>
      <c r="AM239" s="406"/>
      <c r="AN239" s="406"/>
      <c r="AO239" s="406"/>
      <c r="AP239" s="406"/>
      <c r="AQ239" s="406"/>
      <c r="AR239" s="406"/>
      <c r="AS239" s="406"/>
      <c r="AT239" s="406"/>
      <c r="AU239" s="406"/>
      <c r="AV239" s="406"/>
      <c r="AW239" s="406"/>
      <c r="AX239" s="406"/>
      <c r="AY239" s="406"/>
      <c r="AZ239" s="406"/>
      <c r="BA239" s="406"/>
      <c r="BB239" s="406"/>
      <c r="BC239" s="406"/>
      <c r="BD239" s="406"/>
      <c r="BE239" s="406"/>
      <c r="BF239" s="406"/>
      <c r="BG239" s="406"/>
      <c r="BH239" s="406"/>
      <c r="BI239" s="406"/>
      <c r="BJ239" s="406"/>
      <c r="BK239" s="406"/>
      <c r="BL239" s="406"/>
      <c r="BM239" s="406"/>
      <c r="BN239" s="406"/>
      <c r="BO239" s="406"/>
      <c r="BP239" s="406"/>
      <c r="BQ239" s="406"/>
      <c r="BR239" s="406"/>
      <c r="BS239" s="406"/>
      <c r="BT239" s="406"/>
      <c r="BU239" s="406"/>
      <c r="BV239" s="406"/>
      <c r="BW239" s="406"/>
      <c r="BX239" s="406"/>
      <c r="BY239" s="406"/>
      <c r="BZ239" s="406"/>
      <c r="CA239" s="270"/>
      <c r="CB239" s="3" t="str">
        <f t="shared" si="14"/>
        <v>Riadok bude skrytý.</v>
      </c>
      <c r="CC239" s="271" t="s">
        <v>937</v>
      </c>
      <c r="CW239" s="30">
        <f t="shared" si="24"/>
        <v>1</v>
      </c>
      <c r="CX239" s="30">
        <f t="shared" si="26"/>
        <v>0</v>
      </c>
      <c r="CZ239" s="30">
        <f t="shared" si="20"/>
        <v>0</v>
      </c>
      <c r="DA239" s="52">
        <f t="shared" si="25"/>
        <v>0</v>
      </c>
      <c r="DB239" s="2">
        <f t="shared" si="27"/>
        <v>0</v>
      </c>
      <c r="DS239" s="130">
        <f>SI!BY239</f>
        <v>132</v>
      </c>
      <c r="DZ239" s="131">
        <f>SI!BZ239</f>
        <v>0</v>
      </c>
    </row>
    <row r="240" spans="1:130" hidden="1" x14ac:dyDescent="0.25">
      <c r="A240" s="141"/>
      <c r="B240" s="406"/>
      <c r="C240" s="406"/>
      <c r="D240" s="406"/>
      <c r="E240" s="406"/>
      <c r="F240" s="406"/>
      <c r="G240" s="406"/>
      <c r="H240" s="406"/>
      <c r="I240" s="406"/>
      <c r="J240" s="406"/>
      <c r="K240" s="406"/>
      <c r="L240" s="406"/>
      <c r="M240" s="406"/>
      <c r="N240" s="406"/>
      <c r="O240" s="406"/>
      <c r="P240" s="406"/>
      <c r="Q240" s="406"/>
      <c r="R240" s="406"/>
      <c r="S240" s="406"/>
      <c r="T240" s="406"/>
      <c r="U240" s="406"/>
      <c r="V240" s="406"/>
      <c r="W240" s="406"/>
      <c r="X240" s="406"/>
      <c r="Y240" s="406"/>
      <c r="Z240" s="406"/>
      <c r="AA240" s="406"/>
      <c r="AB240" s="406"/>
      <c r="AC240" s="406"/>
      <c r="AD240" s="406"/>
      <c r="AE240" s="406"/>
      <c r="AF240" s="406"/>
      <c r="AG240" s="406"/>
      <c r="AH240" s="406"/>
      <c r="AI240" s="406"/>
      <c r="AJ240" s="406"/>
      <c r="AK240" s="406"/>
      <c r="AL240" s="406"/>
      <c r="AM240" s="406"/>
      <c r="AN240" s="406"/>
      <c r="AO240" s="406"/>
      <c r="AP240" s="406"/>
      <c r="AQ240" s="406"/>
      <c r="AR240" s="406"/>
      <c r="AS240" s="406"/>
      <c r="AT240" s="406"/>
      <c r="AU240" s="406"/>
      <c r="AV240" s="406"/>
      <c r="AW240" s="406"/>
      <c r="AX240" s="406"/>
      <c r="AY240" s="406"/>
      <c r="AZ240" s="406"/>
      <c r="BA240" s="406"/>
      <c r="BB240" s="406"/>
      <c r="BC240" s="406"/>
      <c r="BD240" s="406"/>
      <c r="BE240" s="406"/>
      <c r="BF240" s="406"/>
      <c r="BG240" s="406"/>
      <c r="BH240" s="406"/>
      <c r="BI240" s="406"/>
      <c r="BJ240" s="406"/>
      <c r="BK240" s="406"/>
      <c r="BL240" s="406"/>
      <c r="BM240" s="406"/>
      <c r="BN240" s="406"/>
      <c r="BO240" s="406"/>
      <c r="BP240" s="406"/>
      <c r="BQ240" s="406"/>
      <c r="BR240" s="406"/>
      <c r="BS240" s="406"/>
      <c r="BT240" s="406"/>
      <c r="BU240" s="406"/>
      <c r="BV240" s="406"/>
      <c r="BW240" s="406"/>
      <c r="BX240" s="406"/>
      <c r="BY240" s="406"/>
      <c r="BZ240" s="406"/>
      <c r="CA240" s="270"/>
      <c r="CB240" s="3" t="str">
        <f t="shared" si="14"/>
        <v>Riadok bude skrytý.</v>
      </c>
      <c r="CC240" s="271" t="s">
        <v>937</v>
      </c>
      <c r="CW240" s="30">
        <f t="shared" si="24"/>
        <v>1</v>
      </c>
      <c r="CX240" s="30">
        <f t="shared" si="26"/>
        <v>0</v>
      </c>
      <c r="CZ240" s="30">
        <f t="shared" si="20"/>
        <v>0</v>
      </c>
      <c r="DA240" s="52">
        <f t="shared" si="25"/>
        <v>0</v>
      </c>
      <c r="DB240" s="2">
        <f t="shared" si="27"/>
        <v>0</v>
      </c>
      <c r="DS240" s="130">
        <f>SI!BY240</f>
        <v>13</v>
      </c>
      <c r="DZ240" s="131">
        <f>SI!BZ240</f>
        <v>0</v>
      </c>
    </row>
    <row r="241" spans="1:130" hidden="1" x14ac:dyDescent="0.25">
      <c r="A241" s="141"/>
      <c r="B241" s="406"/>
      <c r="C241" s="406"/>
      <c r="D241" s="406"/>
      <c r="E241" s="406"/>
      <c r="F241" s="406"/>
      <c r="G241" s="406"/>
      <c r="H241" s="406"/>
      <c r="I241" s="406"/>
      <c r="J241" s="406"/>
      <c r="K241" s="406"/>
      <c r="L241" s="406"/>
      <c r="M241" s="406"/>
      <c r="N241" s="406"/>
      <c r="O241" s="406"/>
      <c r="P241" s="406"/>
      <c r="Q241" s="406"/>
      <c r="R241" s="406"/>
      <c r="S241" s="406"/>
      <c r="T241" s="406"/>
      <c r="U241" s="406"/>
      <c r="V241" s="406"/>
      <c r="W241" s="406"/>
      <c r="X241" s="406"/>
      <c r="Y241" s="406"/>
      <c r="Z241" s="406"/>
      <c r="AA241" s="406"/>
      <c r="AB241" s="406"/>
      <c r="AC241" s="406"/>
      <c r="AD241" s="406"/>
      <c r="AE241" s="406"/>
      <c r="AF241" s="406"/>
      <c r="AG241" s="406"/>
      <c r="AH241" s="406"/>
      <c r="AI241" s="406"/>
      <c r="AJ241" s="406"/>
      <c r="AK241" s="406"/>
      <c r="AL241" s="406"/>
      <c r="AM241" s="406"/>
      <c r="AN241" s="406"/>
      <c r="AO241" s="406"/>
      <c r="AP241" s="406"/>
      <c r="AQ241" s="406"/>
      <c r="AR241" s="406"/>
      <c r="AS241" s="406"/>
      <c r="AT241" s="406"/>
      <c r="AU241" s="406"/>
      <c r="AV241" s="406"/>
      <c r="AW241" s="406"/>
      <c r="AX241" s="406"/>
      <c r="AY241" s="406"/>
      <c r="AZ241" s="406"/>
      <c r="BA241" s="406"/>
      <c r="BB241" s="406"/>
      <c r="BC241" s="406"/>
      <c r="BD241" s="406"/>
      <c r="BE241" s="406"/>
      <c r="BF241" s="406"/>
      <c r="BG241" s="406"/>
      <c r="BH241" s="406"/>
      <c r="BI241" s="406"/>
      <c r="BJ241" s="406"/>
      <c r="BK241" s="406"/>
      <c r="BL241" s="406"/>
      <c r="BM241" s="406"/>
      <c r="BN241" s="406"/>
      <c r="BO241" s="406"/>
      <c r="BP241" s="406"/>
      <c r="BQ241" s="406"/>
      <c r="BR241" s="406"/>
      <c r="BS241" s="406"/>
      <c r="BT241" s="406"/>
      <c r="BU241" s="406"/>
      <c r="BV241" s="406"/>
      <c r="BW241" s="406"/>
      <c r="BX241" s="406"/>
      <c r="BY241" s="406"/>
      <c r="BZ241" s="406"/>
      <c r="CA241" s="270"/>
      <c r="CB241" s="3" t="str">
        <f t="shared" si="14"/>
        <v>Riadok bude skrytý.</v>
      </c>
      <c r="CC241" s="271" t="s">
        <v>937</v>
      </c>
      <c r="CW241" s="30">
        <f t="shared" si="24"/>
        <v>1</v>
      </c>
      <c r="CX241" s="30">
        <f t="shared" si="26"/>
        <v>0</v>
      </c>
      <c r="CZ241" s="30">
        <f t="shared" si="20"/>
        <v>0</v>
      </c>
      <c r="DA241" s="52">
        <f t="shared" si="25"/>
        <v>0</v>
      </c>
      <c r="DB241" s="2">
        <f t="shared" si="27"/>
        <v>0</v>
      </c>
      <c r="DS241" s="130">
        <f>SI!BY241</f>
        <v>184</v>
      </c>
      <c r="DZ241" s="131">
        <f>SI!BZ241</f>
        <v>0</v>
      </c>
    </row>
    <row r="242" spans="1:130" hidden="1" x14ac:dyDescent="0.25">
      <c r="A242" s="141"/>
      <c r="B242" s="406"/>
      <c r="C242" s="406"/>
      <c r="D242" s="406"/>
      <c r="E242" s="406"/>
      <c r="F242" s="406"/>
      <c r="G242" s="406"/>
      <c r="H242" s="406"/>
      <c r="I242" s="406"/>
      <c r="J242" s="406"/>
      <c r="K242" s="406"/>
      <c r="L242" s="406"/>
      <c r="M242" s="406"/>
      <c r="N242" s="406"/>
      <c r="O242" s="406"/>
      <c r="P242" s="406"/>
      <c r="Q242" s="406"/>
      <c r="R242" s="406"/>
      <c r="S242" s="406"/>
      <c r="T242" s="406"/>
      <c r="U242" s="406"/>
      <c r="V242" s="406"/>
      <c r="W242" s="406"/>
      <c r="X242" s="406"/>
      <c r="Y242" s="406"/>
      <c r="Z242" s="406"/>
      <c r="AA242" s="406"/>
      <c r="AB242" s="406"/>
      <c r="AC242" s="406"/>
      <c r="AD242" s="406"/>
      <c r="AE242" s="406"/>
      <c r="AF242" s="406"/>
      <c r="AG242" s="406"/>
      <c r="AH242" s="406"/>
      <c r="AI242" s="406"/>
      <c r="AJ242" s="406"/>
      <c r="AK242" s="406"/>
      <c r="AL242" s="406"/>
      <c r="AM242" s="406"/>
      <c r="AN242" s="406"/>
      <c r="AO242" s="406"/>
      <c r="AP242" s="406"/>
      <c r="AQ242" s="406"/>
      <c r="AR242" s="406"/>
      <c r="AS242" s="406"/>
      <c r="AT242" s="406"/>
      <c r="AU242" s="406"/>
      <c r="AV242" s="406"/>
      <c r="AW242" s="406"/>
      <c r="AX242" s="406"/>
      <c r="AY242" s="406"/>
      <c r="AZ242" s="406"/>
      <c r="BA242" s="406"/>
      <c r="BB242" s="406"/>
      <c r="BC242" s="406"/>
      <c r="BD242" s="406"/>
      <c r="BE242" s="406"/>
      <c r="BF242" s="406"/>
      <c r="BG242" s="406"/>
      <c r="BH242" s="406"/>
      <c r="BI242" s="406"/>
      <c r="BJ242" s="406"/>
      <c r="BK242" s="406"/>
      <c r="BL242" s="406"/>
      <c r="BM242" s="406"/>
      <c r="BN242" s="406"/>
      <c r="BO242" s="406"/>
      <c r="BP242" s="406"/>
      <c r="BQ242" s="406"/>
      <c r="BR242" s="406"/>
      <c r="BS242" s="406"/>
      <c r="BT242" s="406"/>
      <c r="BU242" s="406"/>
      <c r="BV242" s="406"/>
      <c r="BW242" s="406"/>
      <c r="BX242" s="406"/>
      <c r="BY242" s="406"/>
      <c r="BZ242" s="406"/>
      <c r="CA242" s="270"/>
      <c r="CB242" s="3" t="str">
        <f t="shared" si="14"/>
        <v>Riadok bude skrytý.</v>
      </c>
      <c r="CC242" s="271" t="s">
        <v>937</v>
      </c>
      <c r="CW242" s="30">
        <f t="shared" si="24"/>
        <v>1</v>
      </c>
      <c r="CX242" s="30">
        <f t="shared" si="26"/>
        <v>0</v>
      </c>
      <c r="CZ242" s="30">
        <f t="shared" si="20"/>
        <v>0</v>
      </c>
      <c r="DA242" s="52">
        <f t="shared" si="25"/>
        <v>0</v>
      </c>
      <c r="DB242" s="2">
        <f t="shared" si="27"/>
        <v>0</v>
      </c>
      <c r="DS242" s="130">
        <f>SI!BY242</f>
        <v>286</v>
      </c>
      <c r="DZ242" s="131">
        <f>SI!BZ242</f>
        <v>0</v>
      </c>
    </row>
    <row r="243" spans="1:130" hidden="1" x14ac:dyDescent="0.25">
      <c r="A243" s="141"/>
      <c r="B243" s="406"/>
      <c r="C243" s="406"/>
      <c r="D243" s="406"/>
      <c r="E243" s="406"/>
      <c r="F243" s="406"/>
      <c r="G243" s="406"/>
      <c r="H243" s="406"/>
      <c r="I243" s="406"/>
      <c r="J243" s="406"/>
      <c r="K243" s="406"/>
      <c r="L243" s="406"/>
      <c r="M243" s="406"/>
      <c r="N243" s="406"/>
      <c r="O243" s="406"/>
      <c r="P243" s="406"/>
      <c r="Q243" s="406"/>
      <c r="R243" s="406"/>
      <c r="S243" s="406"/>
      <c r="T243" s="406"/>
      <c r="U243" s="406"/>
      <c r="V243" s="406"/>
      <c r="W243" s="406"/>
      <c r="X243" s="406"/>
      <c r="Y243" s="406"/>
      <c r="Z243" s="406"/>
      <c r="AA243" s="406"/>
      <c r="AB243" s="406"/>
      <c r="AC243" s="406"/>
      <c r="AD243" s="406"/>
      <c r="AE243" s="406"/>
      <c r="AF243" s="406"/>
      <c r="AG243" s="406"/>
      <c r="AH243" s="406"/>
      <c r="AI243" s="406"/>
      <c r="AJ243" s="406"/>
      <c r="AK243" s="406"/>
      <c r="AL243" s="406"/>
      <c r="AM243" s="406"/>
      <c r="AN243" s="406"/>
      <c r="AO243" s="406"/>
      <c r="AP243" s="406"/>
      <c r="AQ243" s="406"/>
      <c r="AR243" s="406"/>
      <c r="AS243" s="406"/>
      <c r="AT243" s="406"/>
      <c r="AU243" s="406"/>
      <c r="AV243" s="406"/>
      <c r="AW243" s="406"/>
      <c r="AX243" s="406"/>
      <c r="AY243" s="406"/>
      <c r="AZ243" s="406"/>
      <c r="BA243" s="406"/>
      <c r="BB243" s="406"/>
      <c r="BC243" s="406"/>
      <c r="BD243" s="406"/>
      <c r="BE243" s="406"/>
      <c r="BF243" s="406"/>
      <c r="BG243" s="406"/>
      <c r="BH243" s="406"/>
      <c r="BI243" s="406"/>
      <c r="BJ243" s="406"/>
      <c r="BK243" s="406"/>
      <c r="BL243" s="406"/>
      <c r="BM243" s="406"/>
      <c r="BN243" s="406"/>
      <c r="BO243" s="406"/>
      <c r="BP243" s="406"/>
      <c r="BQ243" s="406"/>
      <c r="BR243" s="406"/>
      <c r="BS243" s="406"/>
      <c r="BT243" s="406"/>
      <c r="BU243" s="406"/>
      <c r="BV243" s="406"/>
      <c r="BW243" s="406"/>
      <c r="BX243" s="406"/>
      <c r="BY243" s="406"/>
      <c r="BZ243" s="406"/>
      <c r="CA243" s="270"/>
      <c r="CB243" s="3" t="str">
        <f t="shared" ref="CB243:CB306" si="28">+IF(DB243=0,"Riadok bude skrytý.","Riadok bude vidieť.")</f>
        <v>Riadok bude skrytý.</v>
      </c>
      <c r="CC243" s="271" t="s">
        <v>937</v>
      </c>
      <c r="CW243" s="30">
        <f t="shared" si="24"/>
        <v>1</v>
      </c>
      <c r="CX243" s="30">
        <f t="shared" si="26"/>
        <v>0</v>
      </c>
      <c r="CZ243" s="30">
        <f t="shared" si="20"/>
        <v>0</v>
      </c>
      <c r="DA243" s="52">
        <f t="shared" si="25"/>
        <v>0</v>
      </c>
      <c r="DB243" s="2">
        <f t="shared" si="27"/>
        <v>0</v>
      </c>
      <c r="DS243" s="130">
        <f>SI!BY243</f>
        <v>941</v>
      </c>
      <c r="DZ243" s="131">
        <f>SI!BZ243</f>
        <v>0</v>
      </c>
    </row>
    <row r="244" spans="1:130" hidden="1" x14ac:dyDescent="0.25">
      <c r="A244" s="141"/>
      <c r="B244" s="406"/>
      <c r="C244" s="406"/>
      <c r="D244" s="406"/>
      <c r="E244" s="406"/>
      <c r="F244" s="406"/>
      <c r="G244" s="406"/>
      <c r="H244" s="406"/>
      <c r="I244" s="406"/>
      <c r="J244" s="406"/>
      <c r="K244" s="406"/>
      <c r="L244" s="406"/>
      <c r="M244" s="406"/>
      <c r="N244" s="406"/>
      <c r="O244" s="406"/>
      <c r="P244" s="406"/>
      <c r="Q244" s="406"/>
      <c r="R244" s="406"/>
      <c r="S244" s="406"/>
      <c r="T244" s="406"/>
      <c r="U244" s="406"/>
      <c r="V244" s="406"/>
      <c r="W244" s="406"/>
      <c r="X244" s="406"/>
      <c r="Y244" s="406"/>
      <c r="Z244" s="406"/>
      <c r="AA244" s="406"/>
      <c r="AB244" s="406"/>
      <c r="AC244" s="406"/>
      <c r="AD244" s="406"/>
      <c r="AE244" s="406"/>
      <c r="AF244" s="406"/>
      <c r="AG244" s="406"/>
      <c r="AH244" s="406"/>
      <c r="AI244" s="406"/>
      <c r="AJ244" s="406"/>
      <c r="AK244" s="406"/>
      <c r="AL244" s="406"/>
      <c r="AM244" s="406"/>
      <c r="AN244" s="406"/>
      <c r="AO244" s="406"/>
      <c r="AP244" s="406"/>
      <c r="AQ244" s="406"/>
      <c r="AR244" s="406"/>
      <c r="AS244" s="406"/>
      <c r="AT244" s="406"/>
      <c r="AU244" s="406"/>
      <c r="AV244" s="406"/>
      <c r="AW244" s="406"/>
      <c r="AX244" s="406"/>
      <c r="AY244" s="406"/>
      <c r="AZ244" s="406"/>
      <c r="BA244" s="406"/>
      <c r="BB244" s="406"/>
      <c r="BC244" s="406"/>
      <c r="BD244" s="406"/>
      <c r="BE244" s="406"/>
      <c r="BF244" s="406"/>
      <c r="BG244" s="406"/>
      <c r="BH244" s="406"/>
      <c r="BI244" s="406"/>
      <c r="BJ244" s="406"/>
      <c r="BK244" s="406"/>
      <c r="BL244" s="406"/>
      <c r="BM244" s="406"/>
      <c r="BN244" s="406"/>
      <c r="BO244" s="406"/>
      <c r="BP244" s="406"/>
      <c r="BQ244" s="406"/>
      <c r="BR244" s="406"/>
      <c r="BS244" s="406"/>
      <c r="BT244" s="406"/>
      <c r="BU244" s="406"/>
      <c r="BV244" s="406"/>
      <c r="BW244" s="406"/>
      <c r="BX244" s="406"/>
      <c r="BY244" s="406"/>
      <c r="BZ244" s="406"/>
      <c r="CA244" s="270"/>
      <c r="CB244" s="3" t="str">
        <f t="shared" si="28"/>
        <v>Riadok bude skrytý.</v>
      </c>
      <c r="CC244" s="271" t="s">
        <v>937</v>
      </c>
      <c r="CW244" s="30">
        <f t="shared" si="24"/>
        <v>1</v>
      </c>
      <c r="CX244" s="30">
        <f t="shared" si="26"/>
        <v>0</v>
      </c>
      <c r="CZ244" s="30">
        <f t="shared" si="20"/>
        <v>0</v>
      </c>
      <c r="DA244" s="52">
        <f t="shared" si="25"/>
        <v>0</v>
      </c>
      <c r="DB244" s="2">
        <f t="shared" si="27"/>
        <v>0</v>
      </c>
      <c r="DS244" s="130">
        <f>SI!BY244</f>
        <v>112</v>
      </c>
      <c r="DZ244" s="131">
        <f>SI!BZ244</f>
        <v>0</v>
      </c>
    </row>
    <row r="245" spans="1:130" hidden="1" x14ac:dyDescent="0.25">
      <c r="A245" s="141"/>
      <c r="B245" s="406"/>
      <c r="C245" s="406"/>
      <c r="D245" s="406"/>
      <c r="E245" s="406"/>
      <c r="F245" s="406"/>
      <c r="G245" s="406"/>
      <c r="H245" s="406"/>
      <c r="I245" s="406"/>
      <c r="J245" s="406"/>
      <c r="K245" s="406"/>
      <c r="L245" s="406"/>
      <c r="M245" s="406"/>
      <c r="N245" s="406"/>
      <c r="O245" s="406"/>
      <c r="P245" s="406"/>
      <c r="Q245" s="406"/>
      <c r="R245" s="406"/>
      <c r="S245" s="406"/>
      <c r="T245" s="406"/>
      <c r="U245" s="406"/>
      <c r="V245" s="406"/>
      <c r="W245" s="406"/>
      <c r="X245" s="406"/>
      <c r="Y245" s="406"/>
      <c r="Z245" s="406"/>
      <c r="AA245" s="406"/>
      <c r="AB245" s="406"/>
      <c r="AC245" s="406"/>
      <c r="AD245" s="406"/>
      <c r="AE245" s="406"/>
      <c r="AF245" s="406"/>
      <c r="AG245" s="406"/>
      <c r="AH245" s="406"/>
      <c r="AI245" s="406"/>
      <c r="AJ245" s="406"/>
      <c r="AK245" s="406"/>
      <c r="AL245" s="406"/>
      <c r="AM245" s="406"/>
      <c r="AN245" s="406"/>
      <c r="AO245" s="406"/>
      <c r="AP245" s="406"/>
      <c r="AQ245" s="406"/>
      <c r="AR245" s="406"/>
      <c r="AS245" s="406"/>
      <c r="AT245" s="406"/>
      <c r="AU245" s="406"/>
      <c r="AV245" s="406"/>
      <c r="AW245" s="406"/>
      <c r="AX245" s="406"/>
      <c r="AY245" s="406"/>
      <c r="AZ245" s="406"/>
      <c r="BA245" s="406"/>
      <c r="BB245" s="406"/>
      <c r="BC245" s="406"/>
      <c r="BD245" s="406"/>
      <c r="BE245" s="406"/>
      <c r="BF245" s="406"/>
      <c r="BG245" s="406"/>
      <c r="BH245" s="406"/>
      <c r="BI245" s="406"/>
      <c r="BJ245" s="406"/>
      <c r="BK245" s="406"/>
      <c r="BL245" s="406"/>
      <c r="BM245" s="406"/>
      <c r="BN245" s="406"/>
      <c r="BO245" s="406"/>
      <c r="BP245" s="406"/>
      <c r="BQ245" s="406"/>
      <c r="BR245" s="406"/>
      <c r="BS245" s="406"/>
      <c r="BT245" s="406"/>
      <c r="BU245" s="406"/>
      <c r="BV245" s="406"/>
      <c r="BW245" s="406"/>
      <c r="BX245" s="406"/>
      <c r="BY245" s="406"/>
      <c r="BZ245" s="406"/>
      <c r="CA245" s="270"/>
      <c r="CB245" s="3" t="str">
        <f t="shared" si="28"/>
        <v>Riadok bude skrytý.</v>
      </c>
      <c r="CC245" s="271" t="s">
        <v>937</v>
      </c>
      <c r="CW245" s="30">
        <f t="shared" si="24"/>
        <v>1</v>
      </c>
      <c r="CX245" s="30">
        <f t="shared" si="26"/>
        <v>0</v>
      </c>
      <c r="CZ245" s="30">
        <f t="shared" si="20"/>
        <v>0</v>
      </c>
      <c r="DA245" s="52">
        <f t="shared" si="25"/>
        <v>0</v>
      </c>
      <c r="DB245" s="2">
        <f t="shared" si="27"/>
        <v>0</v>
      </c>
      <c r="DS245" s="130">
        <f>SI!BY245</f>
        <v>452</v>
      </c>
      <c r="DZ245" s="131">
        <f>SI!BZ245</f>
        <v>0</v>
      </c>
    </row>
    <row r="246" spans="1:130" hidden="1" x14ac:dyDescent="0.25">
      <c r="A246" s="141"/>
      <c r="B246" s="406"/>
      <c r="C246" s="406"/>
      <c r="D246" s="406"/>
      <c r="E246" s="406"/>
      <c r="F246" s="406"/>
      <c r="G246" s="406"/>
      <c r="H246" s="406"/>
      <c r="I246" s="406"/>
      <c r="J246" s="406"/>
      <c r="K246" s="406"/>
      <c r="L246" s="406"/>
      <c r="M246" s="406"/>
      <c r="N246" s="406"/>
      <c r="O246" s="406"/>
      <c r="P246" s="406"/>
      <c r="Q246" s="406"/>
      <c r="R246" s="406"/>
      <c r="S246" s="406"/>
      <c r="T246" s="406"/>
      <c r="U246" s="406"/>
      <c r="V246" s="406"/>
      <c r="W246" s="406"/>
      <c r="X246" s="406"/>
      <c r="Y246" s="406"/>
      <c r="Z246" s="406"/>
      <c r="AA246" s="406"/>
      <c r="AB246" s="406"/>
      <c r="AC246" s="406"/>
      <c r="AD246" s="406"/>
      <c r="AE246" s="406"/>
      <c r="AF246" s="406"/>
      <c r="AG246" s="406"/>
      <c r="AH246" s="406"/>
      <c r="AI246" s="406"/>
      <c r="AJ246" s="406"/>
      <c r="AK246" s="406"/>
      <c r="AL246" s="406"/>
      <c r="AM246" s="406"/>
      <c r="AN246" s="406"/>
      <c r="AO246" s="406"/>
      <c r="AP246" s="406"/>
      <c r="AQ246" s="406"/>
      <c r="AR246" s="406"/>
      <c r="AS246" s="406"/>
      <c r="AT246" s="406"/>
      <c r="AU246" s="406"/>
      <c r="AV246" s="406"/>
      <c r="AW246" s="406"/>
      <c r="AX246" s="406"/>
      <c r="AY246" s="406"/>
      <c r="AZ246" s="406"/>
      <c r="BA246" s="406"/>
      <c r="BB246" s="406"/>
      <c r="BC246" s="406"/>
      <c r="BD246" s="406"/>
      <c r="BE246" s="406"/>
      <c r="BF246" s="406"/>
      <c r="BG246" s="406"/>
      <c r="BH246" s="406"/>
      <c r="BI246" s="406"/>
      <c r="BJ246" s="406"/>
      <c r="BK246" s="406"/>
      <c r="BL246" s="406"/>
      <c r="BM246" s="406"/>
      <c r="BN246" s="406"/>
      <c r="BO246" s="406"/>
      <c r="BP246" s="406"/>
      <c r="BQ246" s="406"/>
      <c r="BR246" s="406"/>
      <c r="BS246" s="406"/>
      <c r="BT246" s="406"/>
      <c r="BU246" s="406"/>
      <c r="BV246" s="406"/>
      <c r="BW246" s="406"/>
      <c r="BX246" s="406"/>
      <c r="BY246" s="406"/>
      <c r="BZ246" s="406"/>
      <c r="CA246" s="270"/>
      <c r="CB246" s="3" t="str">
        <f t="shared" si="28"/>
        <v>Riadok bude skrytý.</v>
      </c>
      <c r="CC246" s="271" t="s">
        <v>937</v>
      </c>
      <c r="CW246" s="30">
        <f t="shared" si="24"/>
        <v>1</v>
      </c>
      <c r="CX246" s="30">
        <f t="shared" si="26"/>
        <v>0</v>
      </c>
      <c r="CZ246" s="30">
        <f t="shared" si="20"/>
        <v>0</v>
      </c>
      <c r="DA246" s="52">
        <f t="shared" si="25"/>
        <v>0</v>
      </c>
      <c r="DB246" s="2">
        <f t="shared" si="27"/>
        <v>0</v>
      </c>
      <c r="DS246" s="130">
        <f>SI!BY246</f>
        <v>0</v>
      </c>
      <c r="DZ246" s="131">
        <f>SI!BZ246</f>
        <v>0</v>
      </c>
    </row>
    <row r="247" spans="1:130" hidden="1" x14ac:dyDescent="0.25">
      <c r="A247" s="141"/>
      <c r="CA247" s="142"/>
      <c r="CB247" s="3" t="str">
        <f t="shared" si="28"/>
        <v>Riadok bude skrytý.</v>
      </c>
      <c r="CC247" s="271" t="s">
        <v>937</v>
      </c>
      <c r="CW247" s="30">
        <f t="shared" si="24"/>
        <v>1</v>
      </c>
      <c r="CX247" s="30">
        <f>+IF(B249="",0,1)</f>
        <v>0</v>
      </c>
      <c r="CZ247" s="30">
        <f t="shared" si="20"/>
        <v>0</v>
      </c>
      <c r="DA247" s="52">
        <f t="shared" si="25"/>
        <v>0</v>
      </c>
      <c r="DB247" s="2">
        <f t="shared" si="27"/>
        <v>0</v>
      </c>
      <c r="DS247" s="130">
        <f>SI!BY247</f>
        <v>1087</v>
      </c>
      <c r="DZ247" s="131">
        <f>SI!BZ247</f>
        <v>0</v>
      </c>
    </row>
    <row r="248" spans="1:130" hidden="1" x14ac:dyDescent="0.25">
      <c r="A248" s="141"/>
      <c r="B248" s="137" t="str">
        <f>+IF($M$52&lt;&gt;"",IF(SQRT(INT(FACT(DAY(24324))*FACT(DAY(24385))/576))=DS248,"K spoločníkom/akcionárom účtovnej jednotky Spoločnoť uvádza nasledujúce Informácie:","NEPOVOLENÉ POUŽITIE!"),"NEPOVOLENÉ POUŽITIE!")</f>
        <v>K spoločníkom/akcionárom účtovnej jednotky Spoločnoť uvádza nasledujúce Informácie:</v>
      </c>
      <c r="CA248" s="265" t="s">
        <v>773</v>
      </c>
      <c r="CB248" s="3" t="str">
        <f t="shared" si="28"/>
        <v>Riadok bude skrytý.</v>
      </c>
      <c r="CC248" s="271" t="s">
        <v>937</v>
      </c>
      <c r="CW248" s="30">
        <f t="shared" si="24"/>
        <v>1</v>
      </c>
      <c r="CX248" s="30">
        <f>+IF(B249="",0,1)</f>
        <v>0</v>
      </c>
      <c r="CZ248" s="30">
        <f t="shared" si="20"/>
        <v>0</v>
      </c>
      <c r="DA248" s="52">
        <f t="shared" si="25"/>
        <v>0</v>
      </c>
      <c r="DB248" s="2">
        <f t="shared" si="27"/>
        <v>0</v>
      </c>
      <c r="DS248" s="130">
        <f>SI!BY248</f>
        <v>5</v>
      </c>
      <c r="DZ248" s="131">
        <f>SI!BZ248</f>
        <v>0</v>
      </c>
    </row>
    <row r="249" spans="1:130" hidden="1" x14ac:dyDescent="0.25">
      <c r="A249" s="141"/>
      <c r="B249" s="406"/>
      <c r="C249" s="406"/>
      <c r="D249" s="406"/>
      <c r="E249" s="406"/>
      <c r="F249" s="406"/>
      <c r="G249" s="406"/>
      <c r="H249" s="406"/>
      <c r="I249" s="406"/>
      <c r="J249" s="406"/>
      <c r="K249" s="406"/>
      <c r="L249" s="406"/>
      <c r="M249" s="406"/>
      <c r="N249" s="406"/>
      <c r="O249" s="406"/>
      <c r="P249" s="406"/>
      <c r="Q249" s="406"/>
      <c r="R249" s="406"/>
      <c r="S249" s="406"/>
      <c r="T249" s="406"/>
      <c r="U249" s="406"/>
      <c r="V249" s="406"/>
      <c r="W249" s="406"/>
      <c r="X249" s="406"/>
      <c r="Y249" s="406"/>
      <c r="Z249" s="406"/>
      <c r="AA249" s="406"/>
      <c r="AB249" s="406"/>
      <c r="AC249" s="406"/>
      <c r="AD249" s="406"/>
      <c r="AE249" s="406"/>
      <c r="AF249" s="406"/>
      <c r="AG249" s="406"/>
      <c r="AH249" s="406"/>
      <c r="AI249" s="406"/>
      <c r="AJ249" s="406"/>
      <c r="AK249" s="406"/>
      <c r="AL249" s="406"/>
      <c r="AM249" s="406"/>
      <c r="AN249" s="406"/>
      <c r="AO249" s="406"/>
      <c r="AP249" s="406"/>
      <c r="AQ249" s="406"/>
      <c r="AR249" s="406"/>
      <c r="AS249" s="406"/>
      <c r="AT249" s="406"/>
      <c r="AU249" s="406"/>
      <c r="AV249" s="406"/>
      <c r="AW249" s="406"/>
      <c r="AX249" s="406"/>
      <c r="AY249" s="406"/>
      <c r="AZ249" s="406"/>
      <c r="BA249" s="406"/>
      <c r="BB249" s="406"/>
      <c r="BC249" s="406"/>
      <c r="BD249" s="406"/>
      <c r="BE249" s="406"/>
      <c r="BF249" s="406"/>
      <c r="BG249" s="406"/>
      <c r="BH249" s="406"/>
      <c r="BI249" s="406"/>
      <c r="BJ249" s="406"/>
      <c r="BK249" s="406"/>
      <c r="BL249" s="406"/>
      <c r="BM249" s="406"/>
      <c r="BN249" s="406"/>
      <c r="BO249" s="406"/>
      <c r="BP249" s="406"/>
      <c r="BQ249" s="406"/>
      <c r="BR249" s="406"/>
      <c r="BS249" s="406"/>
      <c r="BT249" s="406"/>
      <c r="BU249" s="406"/>
      <c r="BV249" s="406"/>
      <c r="BW249" s="406"/>
      <c r="BX249" s="406"/>
      <c r="BY249" s="406"/>
      <c r="BZ249" s="406"/>
      <c r="CA249" s="270"/>
      <c r="CB249" s="3" t="str">
        <f t="shared" si="28"/>
        <v>Riadok bude skrytý.</v>
      </c>
      <c r="CC249" s="271" t="s">
        <v>937</v>
      </c>
      <c r="CW249" s="30">
        <f t="shared" si="24"/>
        <v>1</v>
      </c>
      <c r="CX249" s="30">
        <f t="shared" ref="CX249:CX268" si="29">+IF(B249="",0,1)</f>
        <v>0</v>
      </c>
      <c r="CZ249" s="30">
        <f t="shared" si="20"/>
        <v>0</v>
      </c>
      <c r="DA249" s="52">
        <f t="shared" si="25"/>
        <v>0</v>
      </c>
      <c r="DB249" s="2">
        <f t="shared" si="27"/>
        <v>0</v>
      </c>
      <c r="DS249" s="130">
        <f>SI!BY249</f>
        <v>1109</v>
      </c>
      <c r="DZ249" s="131">
        <f>SI!BZ249</f>
        <v>0</v>
      </c>
    </row>
    <row r="250" spans="1:130" hidden="1" x14ac:dyDescent="0.25">
      <c r="A250" s="141"/>
      <c r="B250" s="406"/>
      <c r="C250" s="406"/>
      <c r="D250" s="406"/>
      <c r="E250" s="406"/>
      <c r="F250" s="406"/>
      <c r="G250" s="406"/>
      <c r="H250" s="406"/>
      <c r="I250" s="406"/>
      <c r="J250" s="406"/>
      <c r="K250" s="406"/>
      <c r="L250" s="406"/>
      <c r="M250" s="406"/>
      <c r="N250" s="406"/>
      <c r="O250" s="406"/>
      <c r="P250" s="406"/>
      <c r="Q250" s="406"/>
      <c r="R250" s="406"/>
      <c r="S250" s="406"/>
      <c r="T250" s="406"/>
      <c r="U250" s="406"/>
      <c r="V250" s="406"/>
      <c r="W250" s="406"/>
      <c r="X250" s="406"/>
      <c r="Y250" s="406"/>
      <c r="Z250" s="406"/>
      <c r="AA250" s="406"/>
      <c r="AB250" s="406"/>
      <c r="AC250" s="406"/>
      <c r="AD250" s="406"/>
      <c r="AE250" s="406"/>
      <c r="AF250" s="406"/>
      <c r="AG250" s="406"/>
      <c r="AH250" s="406"/>
      <c r="AI250" s="406"/>
      <c r="AJ250" s="406"/>
      <c r="AK250" s="406"/>
      <c r="AL250" s="406"/>
      <c r="AM250" s="406"/>
      <c r="AN250" s="406"/>
      <c r="AO250" s="406"/>
      <c r="AP250" s="406"/>
      <c r="AQ250" s="406"/>
      <c r="AR250" s="406"/>
      <c r="AS250" s="406"/>
      <c r="AT250" s="406"/>
      <c r="AU250" s="406"/>
      <c r="AV250" s="406"/>
      <c r="AW250" s="406"/>
      <c r="AX250" s="406"/>
      <c r="AY250" s="406"/>
      <c r="AZ250" s="406"/>
      <c r="BA250" s="406"/>
      <c r="BB250" s="406"/>
      <c r="BC250" s="406"/>
      <c r="BD250" s="406"/>
      <c r="BE250" s="406"/>
      <c r="BF250" s="406"/>
      <c r="BG250" s="406"/>
      <c r="BH250" s="406"/>
      <c r="BI250" s="406"/>
      <c r="BJ250" s="406"/>
      <c r="BK250" s="406"/>
      <c r="BL250" s="406"/>
      <c r="BM250" s="406"/>
      <c r="BN250" s="406"/>
      <c r="BO250" s="406"/>
      <c r="BP250" s="406"/>
      <c r="BQ250" s="406"/>
      <c r="BR250" s="406"/>
      <c r="BS250" s="406"/>
      <c r="BT250" s="406"/>
      <c r="BU250" s="406"/>
      <c r="BV250" s="406"/>
      <c r="BW250" s="406"/>
      <c r="BX250" s="406"/>
      <c r="BY250" s="406"/>
      <c r="BZ250" s="406"/>
      <c r="CA250" s="270"/>
      <c r="CB250" s="3" t="str">
        <f t="shared" si="28"/>
        <v>Riadok bude skrytý.</v>
      </c>
      <c r="CC250" s="271" t="s">
        <v>937</v>
      </c>
      <c r="CW250" s="30">
        <f t="shared" si="24"/>
        <v>1</v>
      </c>
      <c r="CX250" s="30">
        <f t="shared" si="29"/>
        <v>0</v>
      </c>
      <c r="CZ250" s="30">
        <f t="shared" si="20"/>
        <v>0</v>
      </c>
      <c r="DA250" s="52">
        <f t="shared" si="25"/>
        <v>0</v>
      </c>
      <c r="DB250" s="2">
        <f t="shared" si="27"/>
        <v>0</v>
      </c>
      <c r="DS250" s="130">
        <f>SI!BY250</f>
        <v>118</v>
      </c>
      <c r="DZ250" s="131">
        <f>SI!BZ250</f>
        <v>0</v>
      </c>
    </row>
    <row r="251" spans="1:130" hidden="1" x14ac:dyDescent="0.25">
      <c r="A251" s="141"/>
      <c r="B251" s="406"/>
      <c r="C251" s="406"/>
      <c r="D251" s="406"/>
      <c r="E251" s="406"/>
      <c r="F251" s="406"/>
      <c r="G251" s="406"/>
      <c r="H251" s="406"/>
      <c r="I251" s="406"/>
      <c r="J251" s="406"/>
      <c r="K251" s="406"/>
      <c r="L251" s="406"/>
      <c r="M251" s="406"/>
      <c r="N251" s="406"/>
      <c r="O251" s="406"/>
      <c r="P251" s="406"/>
      <c r="Q251" s="406"/>
      <c r="R251" s="406"/>
      <c r="S251" s="406"/>
      <c r="T251" s="406"/>
      <c r="U251" s="406"/>
      <c r="V251" s="406"/>
      <c r="W251" s="406"/>
      <c r="X251" s="406"/>
      <c r="Y251" s="406"/>
      <c r="Z251" s="406"/>
      <c r="AA251" s="406"/>
      <c r="AB251" s="406"/>
      <c r="AC251" s="406"/>
      <c r="AD251" s="406"/>
      <c r="AE251" s="406"/>
      <c r="AF251" s="406"/>
      <c r="AG251" s="406"/>
      <c r="AH251" s="406"/>
      <c r="AI251" s="406"/>
      <c r="AJ251" s="406"/>
      <c r="AK251" s="406"/>
      <c r="AL251" s="406"/>
      <c r="AM251" s="406"/>
      <c r="AN251" s="406"/>
      <c r="AO251" s="406"/>
      <c r="AP251" s="406"/>
      <c r="AQ251" s="406"/>
      <c r="AR251" s="406"/>
      <c r="AS251" s="406"/>
      <c r="AT251" s="406"/>
      <c r="AU251" s="406"/>
      <c r="AV251" s="406"/>
      <c r="AW251" s="406"/>
      <c r="AX251" s="406"/>
      <c r="AY251" s="406"/>
      <c r="AZ251" s="406"/>
      <c r="BA251" s="406"/>
      <c r="BB251" s="406"/>
      <c r="BC251" s="406"/>
      <c r="BD251" s="406"/>
      <c r="BE251" s="406"/>
      <c r="BF251" s="406"/>
      <c r="BG251" s="406"/>
      <c r="BH251" s="406"/>
      <c r="BI251" s="406"/>
      <c r="BJ251" s="406"/>
      <c r="BK251" s="406"/>
      <c r="BL251" s="406"/>
      <c r="BM251" s="406"/>
      <c r="BN251" s="406"/>
      <c r="BO251" s="406"/>
      <c r="BP251" s="406"/>
      <c r="BQ251" s="406"/>
      <c r="BR251" s="406"/>
      <c r="BS251" s="406"/>
      <c r="BT251" s="406"/>
      <c r="BU251" s="406"/>
      <c r="BV251" s="406"/>
      <c r="BW251" s="406"/>
      <c r="BX251" s="406"/>
      <c r="BY251" s="406"/>
      <c r="BZ251" s="406"/>
      <c r="CA251" s="270"/>
      <c r="CB251" s="3" t="str">
        <f t="shared" si="28"/>
        <v>Riadok bude skrytý.</v>
      </c>
      <c r="CC251" s="271" t="s">
        <v>937</v>
      </c>
      <c r="CW251" s="30">
        <f t="shared" si="24"/>
        <v>1</v>
      </c>
      <c r="CX251" s="30">
        <f t="shared" si="29"/>
        <v>0</v>
      </c>
      <c r="CZ251" s="30">
        <f t="shared" si="20"/>
        <v>0</v>
      </c>
      <c r="DA251" s="52">
        <f t="shared" si="25"/>
        <v>0</v>
      </c>
      <c r="DB251" s="2">
        <f t="shared" si="27"/>
        <v>0</v>
      </c>
      <c r="DS251" s="130">
        <f>SI!BY251</f>
        <v>1111</v>
      </c>
      <c r="DZ251" s="131">
        <f>SI!BZ251</f>
        <v>0</v>
      </c>
    </row>
    <row r="252" spans="1:130" hidden="1" x14ac:dyDescent="0.25">
      <c r="A252" s="141"/>
      <c r="B252" s="406"/>
      <c r="C252" s="406"/>
      <c r="D252" s="406"/>
      <c r="E252" s="406"/>
      <c r="F252" s="406"/>
      <c r="G252" s="406"/>
      <c r="H252" s="406"/>
      <c r="I252" s="406"/>
      <c r="J252" s="406"/>
      <c r="K252" s="406"/>
      <c r="L252" s="406"/>
      <c r="M252" s="406"/>
      <c r="N252" s="406"/>
      <c r="O252" s="406"/>
      <c r="P252" s="406"/>
      <c r="Q252" s="406"/>
      <c r="R252" s="406"/>
      <c r="S252" s="406"/>
      <c r="T252" s="406"/>
      <c r="U252" s="406"/>
      <c r="V252" s="406"/>
      <c r="W252" s="406"/>
      <c r="X252" s="406"/>
      <c r="Y252" s="406"/>
      <c r="Z252" s="406"/>
      <c r="AA252" s="406"/>
      <c r="AB252" s="406"/>
      <c r="AC252" s="406"/>
      <c r="AD252" s="406"/>
      <c r="AE252" s="406"/>
      <c r="AF252" s="406"/>
      <c r="AG252" s="406"/>
      <c r="AH252" s="406"/>
      <c r="AI252" s="406"/>
      <c r="AJ252" s="406"/>
      <c r="AK252" s="406"/>
      <c r="AL252" s="406"/>
      <c r="AM252" s="406"/>
      <c r="AN252" s="406"/>
      <c r="AO252" s="406"/>
      <c r="AP252" s="406"/>
      <c r="AQ252" s="406"/>
      <c r="AR252" s="406"/>
      <c r="AS252" s="406"/>
      <c r="AT252" s="406"/>
      <c r="AU252" s="406"/>
      <c r="AV252" s="406"/>
      <c r="AW252" s="406"/>
      <c r="AX252" s="406"/>
      <c r="AY252" s="406"/>
      <c r="AZ252" s="406"/>
      <c r="BA252" s="406"/>
      <c r="BB252" s="406"/>
      <c r="BC252" s="406"/>
      <c r="BD252" s="406"/>
      <c r="BE252" s="406"/>
      <c r="BF252" s="406"/>
      <c r="BG252" s="406"/>
      <c r="BH252" s="406"/>
      <c r="BI252" s="406"/>
      <c r="BJ252" s="406"/>
      <c r="BK252" s="406"/>
      <c r="BL252" s="406"/>
      <c r="BM252" s="406"/>
      <c r="BN252" s="406"/>
      <c r="BO252" s="406"/>
      <c r="BP252" s="406"/>
      <c r="BQ252" s="406"/>
      <c r="BR252" s="406"/>
      <c r="BS252" s="406"/>
      <c r="BT252" s="406"/>
      <c r="BU252" s="406"/>
      <c r="BV252" s="406"/>
      <c r="BW252" s="406"/>
      <c r="BX252" s="406"/>
      <c r="BY252" s="406"/>
      <c r="BZ252" s="406"/>
      <c r="CA252" s="270"/>
      <c r="CB252" s="3" t="str">
        <f t="shared" si="28"/>
        <v>Riadok bude skrytý.</v>
      </c>
      <c r="CC252" s="271" t="s">
        <v>937</v>
      </c>
      <c r="CW252" s="30">
        <f t="shared" si="24"/>
        <v>1</v>
      </c>
      <c r="CX252" s="30">
        <f t="shared" si="29"/>
        <v>0</v>
      </c>
      <c r="CZ252" s="30">
        <f t="shared" si="20"/>
        <v>0</v>
      </c>
      <c r="DA252" s="52">
        <f t="shared" si="25"/>
        <v>0</v>
      </c>
      <c r="DB252" s="2">
        <f t="shared" si="27"/>
        <v>0</v>
      </c>
      <c r="DS252" s="130">
        <f>SI!BY252</f>
        <v>133</v>
      </c>
      <c r="DZ252" s="131">
        <f>SI!BZ252</f>
        <v>0</v>
      </c>
    </row>
    <row r="253" spans="1:130" hidden="1" x14ac:dyDescent="0.25">
      <c r="A253" s="141"/>
      <c r="B253" s="406"/>
      <c r="C253" s="406"/>
      <c r="D253" s="406"/>
      <c r="E253" s="406"/>
      <c r="F253" s="406"/>
      <c r="G253" s="406"/>
      <c r="H253" s="406"/>
      <c r="I253" s="406"/>
      <c r="J253" s="406"/>
      <c r="K253" s="406"/>
      <c r="L253" s="406"/>
      <c r="M253" s="406"/>
      <c r="N253" s="406"/>
      <c r="O253" s="406"/>
      <c r="P253" s="406"/>
      <c r="Q253" s="406"/>
      <c r="R253" s="406"/>
      <c r="S253" s="406"/>
      <c r="T253" s="406"/>
      <c r="U253" s="406"/>
      <c r="V253" s="406"/>
      <c r="W253" s="406"/>
      <c r="X253" s="406"/>
      <c r="Y253" s="406"/>
      <c r="Z253" s="406"/>
      <c r="AA253" s="406"/>
      <c r="AB253" s="406"/>
      <c r="AC253" s="406"/>
      <c r="AD253" s="406"/>
      <c r="AE253" s="406"/>
      <c r="AF253" s="406"/>
      <c r="AG253" s="406"/>
      <c r="AH253" s="406"/>
      <c r="AI253" s="406"/>
      <c r="AJ253" s="406"/>
      <c r="AK253" s="406"/>
      <c r="AL253" s="406"/>
      <c r="AM253" s="406"/>
      <c r="AN253" s="406"/>
      <c r="AO253" s="406"/>
      <c r="AP253" s="406"/>
      <c r="AQ253" s="406"/>
      <c r="AR253" s="406"/>
      <c r="AS253" s="406"/>
      <c r="AT253" s="406"/>
      <c r="AU253" s="406"/>
      <c r="AV253" s="406"/>
      <c r="AW253" s="406"/>
      <c r="AX253" s="406"/>
      <c r="AY253" s="406"/>
      <c r="AZ253" s="406"/>
      <c r="BA253" s="406"/>
      <c r="BB253" s="406"/>
      <c r="BC253" s="406"/>
      <c r="BD253" s="406"/>
      <c r="BE253" s="406"/>
      <c r="BF253" s="406"/>
      <c r="BG253" s="406"/>
      <c r="BH253" s="406"/>
      <c r="BI253" s="406"/>
      <c r="BJ253" s="406"/>
      <c r="BK253" s="406"/>
      <c r="BL253" s="406"/>
      <c r="BM253" s="406"/>
      <c r="BN253" s="406"/>
      <c r="BO253" s="406"/>
      <c r="BP253" s="406"/>
      <c r="BQ253" s="406"/>
      <c r="BR253" s="406"/>
      <c r="BS253" s="406"/>
      <c r="BT253" s="406"/>
      <c r="BU253" s="406"/>
      <c r="BV253" s="406"/>
      <c r="BW253" s="406"/>
      <c r="BX253" s="406"/>
      <c r="BY253" s="406"/>
      <c r="BZ253" s="406"/>
      <c r="CA253" s="270"/>
      <c r="CB253" s="3" t="str">
        <f t="shared" si="28"/>
        <v>Riadok bude skrytý.</v>
      </c>
      <c r="CC253" s="271" t="s">
        <v>937</v>
      </c>
      <c r="CW253" s="30">
        <f t="shared" si="24"/>
        <v>1</v>
      </c>
      <c r="CX253" s="30">
        <f t="shared" si="29"/>
        <v>0</v>
      </c>
      <c r="CZ253" s="30">
        <f t="shared" si="20"/>
        <v>0</v>
      </c>
      <c r="DA253" s="52">
        <f t="shared" si="25"/>
        <v>0</v>
      </c>
      <c r="DB253" s="2">
        <f t="shared" si="27"/>
        <v>0</v>
      </c>
      <c r="DS253" s="130">
        <f>SI!BY253</f>
        <v>643</v>
      </c>
      <c r="DZ253" s="131">
        <f>SI!BZ253</f>
        <v>0</v>
      </c>
    </row>
    <row r="254" spans="1:130" hidden="1" x14ac:dyDescent="0.25">
      <c r="A254" s="141"/>
      <c r="B254" s="406"/>
      <c r="C254" s="406"/>
      <c r="D254" s="406"/>
      <c r="E254" s="406"/>
      <c r="F254" s="406"/>
      <c r="G254" s="406"/>
      <c r="H254" s="406"/>
      <c r="I254" s="406"/>
      <c r="J254" s="406"/>
      <c r="K254" s="406"/>
      <c r="L254" s="406"/>
      <c r="M254" s="406"/>
      <c r="N254" s="406"/>
      <c r="O254" s="406"/>
      <c r="P254" s="406"/>
      <c r="Q254" s="406"/>
      <c r="R254" s="406"/>
      <c r="S254" s="406"/>
      <c r="T254" s="406"/>
      <c r="U254" s="406"/>
      <c r="V254" s="406"/>
      <c r="W254" s="406"/>
      <c r="X254" s="406"/>
      <c r="Y254" s="406"/>
      <c r="Z254" s="406"/>
      <c r="AA254" s="406"/>
      <c r="AB254" s="406"/>
      <c r="AC254" s="406"/>
      <c r="AD254" s="406"/>
      <c r="AE254" s="406"/>
      <c r="AF254" s="406"/>
      <c r="AG254" s="406"/>
      <c r="AH254" s="406"/>
      <c r="AI254" s="406"/>
      <c r="AJ254" s="406"/>
      <c r="AK254" s="406"/>
      <c r="AL254" s="406"/>
      <c r="AM254" s="406"/>
      <c r="AN254" s="406"/>
      <c r="AO254" s="406"/>
      <c r="AP254" s="406"/>
      <c r="AQ254" s="406"/>
      <c r="AR254" s="406"/>
      <c r="AS254" s="406"/>
      <c r="AT254" s="406"/>
      <c r="AU254" s="406"/>
      <c r="AV254" s="406"/>
      <c r="AW254" s="406"/>
      <c r="AX254" s="406"/>
      <c r="AY254" s="406"/>
      <c r="AZ254" s="406"/>
      <c r="BA254" s="406"/>
      <c r="BB254" s="406"/>
      <c r="BC254" s="406"/>
      <c r="BD254" s="406"/>
      <c r="BE254" s="406"/>
      <c r="BF254" s="406"/>
      <c r="BG254" s="406"/>
      <c r="BH254" s="406"/>
      <c r="BI254" s="406"/>
      <c r="BJ254" s="406"/>
      <c r="BK254" s="406"/>
      <c r="BL254" s="406"/>
      <c r="BM254" s="406"/>
      <c r="BN254" s="406"/>
      <c r="BO254" s="406"/>
      <c r="BP254" s="406"/>
      <c r="BQ254" s="406"/>
      <c r="BR254" s="406"/>
      <c r="BS254" s="406"/>
      <c r="BT254" s="406"/>
      <c r="BU254" s="406"/>
      <c r="BV254" s="406"/>
      <c r="BW254" s="406"/>
      <c r="BX254" s="406"/>
      <c r="BY254" s="406"/>
      <c r="BZ254" s="406"/>
      <c r="CA254" s="270"/>
      <c r="CB254" s="3" t="str">
        <f t="shared" si="28"/>
        <v>Riadok bude skrytý.</v>
      </c>
      <c r="CC254" s="271" t="s">
        <v>937</v>
      </c>
      <c r="CW254" s="30">
        <f t="shared" si="24"/>
        <v>1</v>
      </c>
      <c r="CX254" s="30">
        <f t="shared" si="29"/>
        <v>0</v>
      </c>
      <c r="CZ254" s="30">
        <f t="shared" si="20"/>
        <v>0</v>
      </c>
      <c r="DA254" s="52">
        <f t="shared" si="25"/>
        <v>0</v>
      </c>
      <c r="DB254" s="2">
        <f t="shared" si="27"/>
        <v>0</v>
      </c>
      <c r="DS254" s="130">
        <f>SI!BY254</f>
        <v>183</v>
      </c>
      <c r="DZ254" s="131">
        <f>SI!BZ254</f>
        <v>0</v>
      </c>
    </row>
    <row r="255" spans="1:130" hidden="1" x14ac:dyDescent="0.25">
      <c r="A255" s="141"/>
      <c r="B255" s="406"/>
      <c r="C255" s="406"/>
      <c r="D255" s="406"/>
      <c r="E255" s="406"/>
      <c r="F255" s="406"/>
      <c r="G255" s="406"/>
      <c r="H255" s="406"/>
      <c r="I255" s="406"/>
      <c r="J255" s="406"/>
      <c r="K255" s="406"/>
      <c r="L255" s="406"/>
      <c r="M255" s="406"/>
      <c r="N255" s="406"/>
      <c r="O255" s="406"/>
      <c r="P255" s="406"/>
      <c r="Q255" s="406"/>
      <c r="R255" s="406"/>
      <c r="S255" s="406"/>
      <c r="T255" s="406"/>
      <c r="U255" s="406"/>
      <c r="V255" s="406"/>
      <c r="W255" s="406"/>
      <c r="X255" s="406"/>
      <c r="Y255" s="406"/>
      <c r="Z255" s="406"/>
      <c r="AA255" s="406"/>
      <c r="AB255" s="406"/>
      <c r="AC255" s="406"/>
      <c r="AD255" s="406"/>
      <c r="AE255" s="406"/>
      <c r="AF255" s="406"/>
      <c r="AG255" s="406"/>
      <c r="AH255" s="406"/>
      <c r="AI255" s="406"/>
      <c r="AJ255" s="406"/>
      <c r="AK255" s="406"/>
      <c r="AL255" s="406"/>
      <c r="AM255" s="406"/>
      <c r="AN255" s="406"/>
      <c r="AO255" s="406"/>
      <c r="AP255" s="406"/>
      <c r="AQ255" s="406"/>
      <c r="AR255" s="406"/>
      <c r="AS255" s="406"/>
      <c r="AT255" s="406"/>
      <c r="AU255" s="406"/>
      <c r="AV255" s="406"/>
      <c r="AW255" s="406"/>
      <c r="AX255" s="406"/>
      <c r="AY255" s="406"/>
      <c r="AZ255" s="406"/>
      <c r="BA255" s="406"/>
      <c r="BB255" s="406"/>
      <c r="BC255" s="406"/>
      <c r="BD255" s="406"/>
      <c r="BE255" s="406"/>
      <c r="BF255" s="406"/>
      <c r="BG255" s="406"/>
      <c r="BH255" s="406"/>
      <c r="BI255" s="406"/>
      <c r="BJ255" s="406"/>
      <c r="BK255" s="406"/>
      <c r="BL255" s="406"/>
      <c r="BM255" s="406"/>
      <c r="BN255" s="406"/>
      <c r="BO255" s="406"/>
      <c r="BP255" s="406"/>
      <c r="BQ255" s="406"/>
      <c r="BR255" s="406"/>
      <c r="BS255" s="406"/>
      <c r="BT255" s="406"/>
      <c r="BU255" s="406"/>
      <c r="BV255" s="406"/>
      <c r="BW255" s="406"/>
      <c r="BX255" s="406"/>
      <c r="BY255" s="406"/>
      <c r="BZ255" s="406"/>
      <c r="CA255" s="270"/>
      <c r="CB255" s="3" t="str">
        <f t="shared" si="28"/>
        <v>Riadok bude skrytý.</v>
      </c>
      <c r="CC255" s="271" t="s">
        <v>937</v>
      </c>
      <c r="CW255" s="30">
        <f t="shared" si="24"/>
        <v>1</v>
      </c>
      <c r="CX255" s="30">
        <f t="shared" si="29"/>
        <v>0</v>
      </c>
      <c r="CZ255" s="30">
        <f t="shared" si="20"/>
        <v>0</v>
      </c>
      <c r="DA255" s="52">
        <f t="shared" si="25"/>
        <v>0</v>
      </c>
      <c r="DB255" s="2">
        <f t="shared" si="27"/>
        <v>0</v>
      </c>
      <c r="DS255" s="130">
        <f>SI!BY255</f>
        <v>117</v>
      </c>
      <c r="DZ255" s="131">
        <f>SI!BZ255</f>
        <v>0</v>
      </c>
    </row>
    <row r="256" spans="1:130" hidden="1" x14ac:dyDescent="0.25">
      <c r="A256" s="141"/>
      <c r="B256" s="406"/>
      <c r="C256" s="406"/>
      <c r="D256" s="406"/>
      <c r="E256" s="406"/>
      <c r="F256" s="406"/>
      <c r="G256" s="406"/>
      <c r="H256" s="406"/>
      <c r="I256" s="406"/>
      <c r="J256" s="406"/>
      <c r="K256" s="406"/>
      <c r="L256" s="406"/>
      <c r="M256" s="406"/>
      <c r="N256" s="406"/>
      <c r="O256" s="406"/>
      <c r="P256" s="406"/>
      <c r="Q256" s="406"/>
      <c r="R256" s="406"/>
      <c r="S256" s="406"/>
      <c r="T256" s="406"/>
      <c r="U256" s="406"/>
      <c r="V256" s="406"/>
      <c r="W256" s="406"/>
      <c r="X256" s="406"/>
      <c r="Y256" s="406"/>
      <c r="Z256" s="406"/>
      <c r="AA256" s="406"/>
      <c r="AB256" s="406"/>
      <c r="AC256" s="406"/>
      <c r="AD256" s="406"/>
      <c r="AE256" s="406"/>
      <c r="AF256" s="406"/>
      <c r="AG256" s="406"/>
      <c r="AH256" s="406"/>
      <c r="AI256" s="406"/>
      <c r="AJ256" s="406"/>
      <c r="AK256" s="406"/>
      <c r="AL256" s="406"/>
      <c r="AM256" s="406"/>
      <c r="AN256" s="406"/>
      <c r="AO256" s="406"/>
      <c r="AP256" s="406"/>
      <c r="AQ256" s="406"/>
      <c r="AR256" s="406"/>
      <c r="AS256" s="406"/>
      <c r="AT256" s="406"/>
      <c r="AU256" s="406"/>
      <c r="AV256" s="406"/>
      <c r="AW256" s="406"/>
      <c r="AX256" s="406"/>
      <c r="AY256" s="406"/>
      <c r="AZ256" s="406"/>
      <c r="BA256" s="406"/>
      <c r="BB256" s="406"/>
      <c r="BC256" s="406"/>
      <c r="BD256" s="406"/>
      <c r="BE256" s="406"/>
      <c r="BF256" s="406"/>
      <c r="BG256" s="406"/>
      <c r="BH256" s="406"/>
      <c r="BI256" s="406"/>
      <c r="BJ256" s="406"/>
      <c r="BK256" s="406"/>
      <c r="BL256" s="406"/>
      <c r="BM256" s="406"/>
      <c r="BN256" s="406"/>
      <c r="BO256" s="406"/>
      <c r="BP256" s="406"/>
      <c r="BQ256" s="406"/>
      <c r="BR256" s="406"/>
      <c r="BS256" s="406"/>
      <c r="BT256" s="406"/>
      <c r="BU256" s="406"/>
      <c r="BV256" s="406"/>
      <c r="BW256" s="406"/>
      <c r="BX256" s="406"/>
      <c r="BY256" s="406"/>
      <c r="BZ256" s="406"/>
      <c r="CA256" s="270"/>
      <c r="CB256" s="3" t="str">
        <f t="shared" si="28"/>
        <v>Riadok bude skrytý.</v>
      </c>
      <c r="CC256" s="271" t="s">
        <v>937</v>
      </c>
      <c r="CW256" s="30">
        <f t="shared" si="24"/>
        <v>1</v>
      </c>
      <c r="CX256" s="30">
        <f t="shared" si="29"/>
        <v>0</v>
      </c>
      <c r="CZ256" s="30">
        <f t="shared" si="20"/>
        <v>0</v>
      </c>
      <c r="DA256" s="52">
        <f t="shared" si="25"/>
        <v>0</v>
      </c>
      <c r="DB256" s="2">
        <f t="shared" si="27"/>
        <v>0</v>
      </c>
      <c r="DS256" s="130">
        <f>SI!BY256</f>
        <v>166</v>
      </c>
      <c r="DZ256" s="131">
        <f>SI!BZ256</f>
        <v>0</v>
      </c>
    </row>
    <row r="257" spans="1:132" hidden="1" x14ac:dyDescent="0.25">
      <c r="A257" s="141"/>
      <c r="B257" s="406"/>
      <c r="C257" s="406"/>
      <c r="D257" s="406"/>
      <c r="E257" s="406"/>
      <c r="F257" s="406"/>
      <c r="G257" s="406"/>
      <c r="H257" s="406"/>
      <c r="I257" s="406"/>
      <c r="J257" s="406"/>
      <c r="K257" s="406"/>
      <c r="L257" s="406"/>
      <c r="M257" s="406"/>
      <c r="N257" s="406"/>
      <c r="O257" s="406"/>
      <c r="P257" s="406"/>
      <c r="Q257" s="406"/>
      <c r="R257" s="406"/>
      <c r="S257" s="406"/>
      <c r="T257" s="406"/>
      <c r="U257" s="406"/>
      <c r="V257" s="406"/>
      <c r="W257" s="406"/>
      <c r="X257" s="406"/>
      <c r="Y257" s="406"/>
      <c r="Z257" s="406"/>
      <c r="AA257" s="406"/>
      <c r="AB257" s="406"/>
      <c r="AC257" s="406"/>
      <c r="AD257" s="406"/>
      <c r="AE257" s="406"/>
      <c r="AF257" s="406"/>
      <c r="AG257" s="406"/>
      <c r="AH257" s="406"/>
      <c r="AI257" s="406"/>
      <c r="AJ257" s="406"/>
      <c r="AK257" s="406"/>
      <c r="AL257" s="406"/>
      <c r="AM257" s="406"/>
      <c r="AN257" s="406"/>
      <c r="AO257" s="406"/>
      <c r="AP257" s="406"/>
      <c r="AQ257" s="406"/>
      <c r="AR257" s="406"/>
      <c r="AS257" s="406"/>
      <c r="AT257" s="406"/>
      <c r="AU257" s="406"/>
      <c r="AV257" s="406"/>
      <c r="AW257" s="406"/>
      <c r="AX257" s="406"/>
      <c r="AY257" s="406"/>
      <c r="AZ257" s="406"/>
      <c r="BA257" s="406"/>
      <c r="BB257" s="406"/>
      <c r="BC257" s="406"/>
      <c r="BD257" s="406"/>
      <c r="BE257" s="406"/>
      <c r="BF257" s="406"/>
      <c r="BG257" s="406"/>
      <c r="BH257" s="406"/>
      <c r="BI257" s="406"/>
      <c r="BJ257" s="406"/>
      <c r="BK257" s="406"/>
      <c r="BL257" s="406"/>
      <c r="BM257" s="406"/>
      <c r="BN257" s="406"/>
      <c r="BO257" s="406"/>
      <c r="BP257" s="406"/>
      <c r="BQ257" s="406"/>
      <c r="BR257" s="406"/>
      <c r="BS257" s="406"/>
      <c r="BT257" s="406"/>
      <c r="BU257" s="406"/>
      <c r="BV257" s="406"/>
      <c r="BW257" s="406"/>
      <c r="BX257" s="406"/>
      <c r="BY257" s="406"/>
      <c r="BZ257" s="406"/>
      <c r="CA257" s="270"/>
      <c r="CB257" s="3" t="str">
        <f t="shared" si="28"/>
        <v>Riadok bude skrytý.</v>
      </c>
      <c r="CC257" s="271" t="s">
        <v>937</v>
      </c>
      <c r="CW257" s="30">
        <f t="shared" ref="CW257:CW291" si="30">+IF($B$181="Fyzická osoba-SZČO",0,1)</f>
        <v>1</v>
      </c>
      <c r="CX257" s="30">
        <f t="shared" si="29"/>
        <v>0</v>
      </c>
      <c r="CZ257" s="30">
        <f t="shared" si="20"/>
        <v>0</v>
      </c>
      <c r="DA257" s="52">
        <f t="shared" si="25"/>
        <v>0</v>
      </c>
      <c r="DB257" s="2">
        <f t="shared" si="27"/>
        <v>0</v>
      </c>
      <c r="DS257" s="130">
        <f>SI!BY257</f>
        <v>964</v>
      </c>
      <c r="DZ257" s="131">
        <f>SI!BZ257</f>
        <v>0</v>
      </c>
    </row>
    <row r="258" spans="1:132" hidden="1" x14ac:dyDescent="0.25">
      <c r="A258" s="141"/>
      <c r="B258" s="406"/>
      <c r="C258" s="406"/>
      <c r="D258" s="406"/>
      <c r="E258" s="406"/>
      <c r="F258" s="406"/>
      <c r="G258" s="406"/>
      <c r="H258" s="406"/>
      <c r="I258" s="406"/>
      <c r="J258" s="406"/>
      <c r="K258" s="406"/>
      <c r="L258" s="406"/>
      <c r="M258" s="406"/>
      <c r="N258" s="406"/>
      <c r="O258" s="406"/>
      <c r="P258" s="406"/>
      <c r="Q258" s="406"/>
      <c r="R258" s="406"/>
      <c r="S258" s="406"/>
      <c r="T258" s="406"/>
      <c r="U258" s="406"/>
      <c r="V258" s="406"/>
      <c r="W258" s="406"/>
      <c r="X258" s="406"/>
      <c r="Y258" s="406"/>
      <c r="Z258" s="406"/>
      <c r="AA258" s="406"/>
      <c r="AB258" s="406"/>
      <c r="AC258" s="406"/>
      <c r="AD258" s="406"/>
      <c r="AE258" s="406"/>
      <c r="AF258" s="406"/>
      <c r="AG258" s="406"/>
      <c r="AH258" s="406"/>
      <c r="AI258" s="406"/>
      <c r="AJ258" s="406"/>
      <c r="AK258" s="406"/>
      <c r="AL258" s="406"/>
      <c r="AM258" s="406"/>
      <c r="AN258" s="406"/>
      <c r="AO258" s="406"/>
      <c r="AP258" s="406"/>
      <c r="AQ258" s="406"/>
      <c r="AR258" s="406"/>
      <c r="AS258" s="406"/>
      <c r="AT258" s="406"/>
      <c r="AU258" s="406"/>
      <c r="AV258" s="406"/>
      <c r="AW258" s="406"/>
      <c r="AX258" s="406"/>
      <c r="AY258" s="406"/>
      <c r="AZ258" s="406"/>
      <c r="BA258" s="406"/>
      <c r="BB258" s="406"/>
      <c r="BC258" s="406"/>
      <c r="BD258" s="406"/>
      <c r="BE258" s="406"/>
      <c r="BF258" s="406"/>
      <c r="BG258" s="406"/>
      <c r="BH258" s="406"/>
      <c r="BI258" s="406"/>
      <c r="BJ258" s="406"/>
      <c r="BK258" s="406"/>
      <c r="BL258" s="406"/>
      <c r="BM258" s="406"/>
      <c r="BN258" s="406"/>
      <c r="BO258" s="406"/>
      <c r="BP258" s="406"/>
      <c r="BQ258" s="406"/>
      <c r="BR258" s="406"/>
      <c r="BS258" s="406"/>
      <c r="BT258" s="406"/>
      <c r="BU258" s="406"/>
      <c r="BV258" s="406"/>
      <c r="BW258" s="406"/>
      <c r="BX258" s="406"/>
      <c r="BY258" s="406"/>
      <c r="BZ258" s="406"/>
      <c r="CA258" s="270"/>
      <c r="CB258" s="3" t="str">
        <f t="shared" si="28"/>
        <v>Riadok bude skrytý.</v>
      </c>
      <c r="CC258" s="271" t="s">
        <v>937</v>
      </c>
      <c r="CW258" s="30">
        <f t="shared" si="30"/>
        <v>1</v>
      </c>
      <c r="CX258" s="30">
        <f t="shared" si="29"/>
        <v>0</v>
      </c>
      <c r="CZ258" s="30">
        <f t="shared" si="20"/>
        <v>0</v>
      </c>
      <c r="DA258" s="52">
        <f t="shared" si="25"/>
        <v>0</v>
      </c>
      <c r="DB258" s="2">
        <f t="shared" si="27"/>
        <v>0</v>
      </c>
      <c r="DS258" s="130">
        <f>SI!BY258</f>
        <v>200</v>
      </c>
      <c r="DZ258" s="131">
        <f>SI!BZ258</f>
        <v>0</v>
      </c>
    </row>
    <row r="259" spans="1:132" hidden="1" x14ac:dyDescent="0.25">
      <c r="A259" s="141"/>
      <c r="B259" s="406"/>
      <c r="C259" s="406"/>
      <c r="D259" s="406"/>
      <c r="E259" s="406"/>
      <c r="F259" s="406"/>
      <c r="G259" s="406"/>
      <c r="H259" s="406"/>
      <c r="I259" s="406"/>
      <c r="J259" s="406"/>
      <c r="K259" s="406"/>
      <c r="L259" s="406"/>
      <c r="M259" s="406"/>
      <c r="N259" s="406"/>
      <c r="O259" s="406"/>
      <c r="P259" s="406"/>
      <c r="Q259" s="406"/>
      <c r="R259" s="406"/>
      <c r="S259" s="406"/>
      <c r="T259" s="406"/>
      <c r="U259" s="406"/>
      <c r="V259" s="406"/>
      <c r="W259" s="406"/>
      <c r="X259" s="406"/>
      <c r="Y259" s="406"/>
      <c r="Z259" s="406"/>
      <c r="AA259" s="406"/>
      <c r="AB259" s="406"/>
      <c r="AC259" s="406"/>
      <c r="AD259" s="406"/>
      <c r="AE259" s="406"/>
      <c r="AF259" s="406"/>
      <c r="AG259" s="406"/>
      <c r="AH259" s="406"/>
      <c r="AI259" s="406"/>
      <c r="AJ259" s="406"/>
      <c r="AK259" s="406"/>
      <c r="AL259" s="406"/>
      <c r="AM259" s="406"/>
      <c r="AN259" s="406"/>
      <c r="AO259" s="406"/>
      <c r="AP259" s="406"/>
      <c r="AQ259" s="406"/>
      <c r="AR259" s="406"/>
      <c r="AS259" s="406"/>
      <c r="AT259" s="406"/>
      <c r="AU259" s="406"/>
      <c r="AV259" s="406"/>
      <c r="AW259" s="406"/>
      <c r="AX259" s="406"/>
      <c r="AY259" s="406"/>
      <c r="AZ259" s="406"/>
      <c r="BA259" s="406"/>
      <c r="BB259" s="406"/>
      <c r="BC259" s="406"/>
      <c r="BD259" s="406"/>
      <c r="BE259" s="406"/>
      <c r="BF259" s="406"/>
      <c r="BG259" s="406"/>
      <c r="BH259" s="406"/>
      <c r="BI259" s="406"/>
      <c r="BJ259" s="406"/>
      <c r="BK259" s="406"/>
      <c r="BL259" s="406"/>
      <c r="BM259" s="406"/>
      <c r="BN259" s="406"/>
      <c r="BO259" s="406"/>
      <c r="BP259" s="406"/>
      <c r="BQ259" s="406"/>
      <c r="BR259" s="406"/>
      <c r="BS259" s="406"/>
      <c r="BT259" s="406"/>
      <c r="BU259" s="406"/>
      <c r="BV259" s="406"/>
      <c r="BW259" s="406"/>
      <c r="BX259" s="406"/>
      <c r="BY259" s="406"/>
      <c r="BZ259" s="406"/>
      <c r="CA259" s="270"/>
      <c r="CB259" s="3" t="str">
        <f t="shared" si="28"/>
        <v>Riadok bude skrytý.</v>
      </c>
      <c r="CC259" s="271" t="s">
        <v>937</v>
      </c>
      <c r="CW259" s="30">
        <f t="shared" si="30"/>
        <v>1</v>
      </c>
      <c r="CX259" s="30">
        <f t="shared" si="29"/>
        <v>0</v>
      </c>
      <c r="CZ259" s="30">
        <f t="shared" si="20"/>
        <v>0</v>
      </c>
      <c r="DA259" s="52">
        <f t="shared" si="25"/>
        <v>0</v>
      </c>
      <c r="DB259" s="2">
        <f t="shared" si="27"/>
        <v>0</v>
      </c>
      <c r="DS259" s="130">
        <f>SI!BY259</f>
        <v>930</v>
      </c>
      <c r="DZ259" s="131">
        <f>SI!BZ259</f>
        <v>0</v>
      </c>
    </row>
    <row r="260" spans="1:132" hidden="1" x14ac:dyDescent="0.25">
      <c r="A260" s="141"/>
      <c r="B260" s="406"/>
      <c r="C260" s="406"/>
      <c r="D260" s="406"/>
      <c r="E260" s="406"/>
      <c r="F260" s="406"/>
      <c r="G260" s="406"/>
      <c r="H260" s="406"/>
      <c r="I260" s="406"/>
      <c r="J260" s="406"/>
      <c r="K260" s="406"/>
      <c r="L260" s="406"/>
      <c r="M260" s="406"/>
      <c r="N260" s="406"/>
      <c r="O260" s="406"/>
      <c r="P260" s="406"/>
      <c r="Q260" s="406"/>
      <c r="R260" s="406"/>
      <c r="S260" s="406"/>
      <c r="T260" s="406"/>
      <c r="U260" s="406"/>
      <c r="V260" s="406"/>
      <c r="W260" s="406"/>
      <c r="X260" s="406"/>
      <c r="Y260" s="406"/>
      <c r="Z260" s="406"/>
      <c r="AA260" s="406"/>
      <c r="AB260" s="406"/>
      <c r="AC260" s="406"/>
      <c r="AD260" s="406"/>
      <c r="AE260" s="406"/>
      <c r="AF260" s="406"/>
      <c r="AG260" s="406"/>
      <c r="AH260" s="406"/>
      <c r="AI260" s="406"/>
      <c r="AJ260" s="406"/>
      <c r="AK260" s="406"/>
      <c r="AL260" s="406"/>
      <c r="AM260" s="406"/>
      <c r="AN260" s="406"/>
      <c r="AO260" s="406"/>
      <c r="AP260" s="406"/>
      <c r="AQ260" s="406"/>
      <c r="AR260" s="406"/>
      <c r="AS260" s="406"/>
      <c r="AT260" s="406"/>
      <c r="AU260" s="406"/>
      <c r="AV260" s="406"/>
      <c r="AW260" s="406"/>
      <c r="AX260" s="406"/>
      <c r="AY260" s="406"/>
      <c r="AZ260" s="406"/>
      <c r="BA260" s="406"/>
      <c r="BB260" s="406"/>
      <c r="BC260" s="406"/>
      <c r="BD260" s="406"/>
      <c r="BE260" s="406"/>
      <c r="BF260" s="406"/>
      <c r="BG260" s="406"/>
      <c r="BH260" s="406"/>
      <c r="BI260" s="406"/>
      <c r="BJ260" s="406"/>
      <c r="BK260" s="406"/>
      <c r="BL260" s="406"/>
      <c r="BM260" s="406"/>
      <c r="BN260" s="406"/>
      <c r="BO260" s="406"/>
      <c r="BP260" s="406"/>
      <c r="BQ260" s="406"/>
      <c r="BR260" s="406"/>
      <c r="BS260" s="406"/>
      <c r="BT260" s="406"/>
      <c r="BU260" s="406"/>
      <c r="BV260" s="406"/>
      <c r="BW260" s="406"/>
      <c r="BX260" s="406"/>
      <c r="BY260" s="406"/>
      <c r="BZ260" s="406"/>
      <c r="CA260" s="270"/>
      <c r="CB260" s="3" t="str">
        <f t="shared" si="28"/>
        <v>Riadok bude skrytý.</v>
      </c>
      <c r="CC260" s="271" t="s">
        <v>937</v>
      </c>
      <c r="CW260" s="30">
        <f t="shared" si="30"/>
        <v>1</v>
      </c>
      <c r="CX260" s="30">
        <f t="shared" si="29"/>
        <v>0</v>
      </c>
      <c r="CZ260" s="30">
        <f t="shared" si="20"/>
        <v>0</v>
      </c>
      <c r="DA260" s="52">
        <f t="shared" si="25"/>
        <v>0</v>
      </c>
      <c r="DB260" s="2">
        <f t="shared" si="27"/>
        <v>0</v>
      </c>
      <c r="DS260" s="130">
        <f>SI!BY260</f>
        <v>165</v>
      </c>
      <c r="DZ260" s="131">
        <f>SI!BZ260</f>
        <v>0</v>
      </c>
    </row>
    <row r="261" spans="1:132" hidden="1" x14ac:dyDescent="0.25">
      <c r="A261" s="141"/>
      <c r="B261" s="406"/>
      <c r="C261" s="406"/>
      <c r="D261" s="406"/>
      <c r="E261" s="406"/>
      <c r="F261" s="406"/>
      <c r="G261" s="406"/>
      <c r="H261" s="406"/>
      <c r="I261" s="406"/>
      <c r="J261" s="406"/>
      <c r="K261" s="406"/>
      <c r="L261" s="406"/>
      <c r="M261" s="406"/>
      <c r="N261" s="406"/>
      <c r="O261" s="406"/>
      <c r="P261" s="406"/>
      <c r="Q261" s="406"/>
      <c r="R261" s="406"/>
      <c r="S261" s="406"/>
      <c r="T261" s="406"/>
      <c r="U261" s="406"/>
      <c r="V261" s="406"/>
      <c r="W261" s="406"/>
      <c r="X261" s="406"/>
      <c r="Y261" s="406"/>
      <c r="Z261" s="406"/>
      <c r="AA261" s="406"/>
      <c r="AB261" s="406"/>
      <c r="AC261" s="406"/>
      <c r="AD261" s="406"/>
      <c r="AE261" s="406"/>
      <c r="AF261" s="406"/>
      <c r="AG261" s="406"/>
      <c r="AH261" s="406"/>
      <c r="AI261" s="406"/>
      <c r="AJ261" s="406"/>
      <c r="AK261" s="406"/>
      <c r="AL261" s="406"/>
      <c r="AM261" s="406"/>
      <c r="AN261" s="406"/>
      <c r="AO261" s="406"/>
      <c r="AP261" s="406"/>
      <c r="AQ261" s="406"/>
      <c r="AR261" s="406"/>
      <c r="AS261" s="406"/>
      <c r="AT261" s="406"/>
      <c r="AU261" s="406"/>
      <c r="AV261" s="406"/>
      <c r="AW261" s="406"/>
      <c r="AX261" s="406"/>
      <c r="AY261" s="406"/>
      <c r="AZ261" s="406"/>
      <c r="BA261" s="406"/>
      <c r="BB261" s="406"/>
      <c r="BC261" s="406"/>
      <c r="BD261" s="406"/>
      <c r="BE261" s="406"/>
      <c r="BF261" s="406"/>
      <c r="BG261" s="406"/>
      <c r="BH261" s="406"/>
      <c r="BI261" s="406"/>
      <c r="BJ261" s="406"/>
      <c r="BK261" s="406"/>
      <c r="BL261" s="406"/>
      <c r="BM261" s="406"/>
      <c r="BN261" s="406"/>
      <c r="BO261" s="406"/>
      <c r="BP261" s="406"/>
      <c r="BQ261" s="406"/>
      <c r="BR261" s="406"/>
      <c r="BS261" s="406"/>
      <c r="BT261" s="406"/>
      <c r="BU261" s="406"/>
      <c r="BV261" s="406"/>
      <c r="BW261" s="406"/>
      <c r="BX261" s="406"/>
      <c r="BY261" s="406"/>
      <c r="BZ261" s="406"/>
      <c r="CA261" s="270"/>
      <c r="CB261" s="3" t="str">
        <f t="shared" si="28"/>
        <v>Riadok bude skrytý.</v>
      </c>
      <c r="CC261" s="271" t="s">
        <v>937</v>
      </c>
      <c r="CW261" s="30">
        <f t="shared" si="30"/>
        <v>1</v>
      </c>
      <c r="CX261" s="30">
        <f t="shared" si="29"/>
        <v>0</v>
      </c>
      <c r="CZ261" s="30">
        <f t="shared" ref="CZ261:CZ339" si="31">IF(CC261="",1,IF(CC261="Chcem skryť riadok.",0,1))</f>
        <v>0</v>
      </c>
      <c r="DA261" s="52">
        <f t="shared" si="25"/>
        <v>0</v>
      </c>
      <c r="DB261" s="2">
        <f t="shared" si="27"/>
        <v>0</v>
      </c>
      <c r="DS261" s="130">
        <f>SI!BY261</f>
        <v>930</v>
      </c>
      <c r="DZ261" s="131">
        <f>SI!BZ261</f>
        <v>0</v>
      </c>
    </row>
    <row r="262" spans="1:132" hidden="1" x14ac:dyDescent="0.25">
      <c r="A262" s="141"/>
      <c r="B262" s="406"/>
      <c r="C262" s="406"/>
      <c r="D262" s="406"/>
      <c r="E262" s="406"/>
      <c r="F262" s="406"/>
      <c r="G262" s="406"/>
      <c r="H262" s="406"/>
      <c r="I262" s="406"/>
      <c r="J262" s="406"/>
      <c r="K262" s="406"/>
      <c r="L262" s="406"/>
      <c r="M262" s="406"/>
      <c r="N262" s="406"/>
      <c r="O262" s="406"/>
      <c r="P262" s="406"/>
      <c r="Q262" s="406"/>
      <c r="R262" s="406"/>
      <c r="S262" s="406"/>
      <c r="T262" s="406"/>
      <c r="U262" s="406"/>
      <c r="V262" s="406"/>
      <c r="W262" s="406"/>
      <c r="X262" s="406"/>
      <c r="Y262" s="406"/>
      <c r="Z262" s="406"/>
      <c r="AA262" s="406"/>
      <c r="AB262" s="406"/>
      <c r="AC262" s="406"/>
      <c r="AD262" s="406"/>
      <c r="AE262" s="406"/>
      <c r="AF262" s="406"/>
      <c r="AG262" s="406"/>
      <c r="AH262" s="406"/>
      <c r="AI262" s="406"/>
      <c r="AJ262" s="406"/>
      <c r="AK262" s="406"/>
      <c r="AL262" s="406"/>
      <c r="AM262" s="406"/>
      <c r="AN262" s="406"/>
      <c r="AO262" s="406"/>
      <c r="AP262" s="406"/>
      <c r="AQ262" s="406"/>
      <c r="AR262" s="406"/>
      <c r="AS262" s="406"/>
      <c r="AT262" s="406"/>
      <c r="AU262" s="406"/>
      <c r="AV262" s="406"/>
      <c r="AW262" s="406"/>
      <c r="AX262" s="406"/>
      <c r="AY262" s="406"/>
      <c r="AZ262" s="406"/>
      <c r="BA262" s="406"/>
      <c r="BB262" s="406"/>
      <c r="BC262" s="406"/>
      <c r="BD262" s="406"/>
      <c r="BE262" s="406"/>
      <c r="BF262" s="406"/>
      <c r="BG262" s="406"/>
      <c r="BH262" s="406"/>
      <c r="BI262" s="406"/>
      <c r="BJ262" s="406"/>
      <c r="BK262" s="406"/>
      <c r="BL262" s="406"/>
      <c r="BM262" s="406"/>
      <c r="BN262" s="406"/>
      <c r="BO262" s="406"/>
      <c r="BP262" s="406"/>
      <c r="BQ262" s="406"/>
      <c r="BR262" s="406"/>
      <c r="BS262" s="406"/>
      <c r="BT262" s="406"/>
      <c r="BU262" s="406"/>
      <c r="BV262" s="406"/>
      <c r="BW262" s="406"/>
      <c r="BX262" s="406"/>
      <c r="BY262" s="406"/>
      <c r="BZ262" s="406"/>
      <c r="CA262" s="270"/>
      <c r="CB262" s="3" t="str">
        <f t="shared" si="28"/>
        <v>Riadok bude skrytý.</v>
      </c>
      <c r="CC262" s="271" t="s">
        <v>937</v>
      </c>
      <c r="CW262" s="30">
        <f t="shared" si="30"/>
        <v>1</v>
      </c>
      <c r="CX262" s="30">
        <f t="shared" si="29"/>
        <v>0</v>
      </c>
      <c r="CZ262" s="30">
        <f t="shared" si="31"/>
        <v>0</v>
      </c>
      <c r="DA262" s="52">
        <f t="shared" si="25"/>
        <v>0</v>
      </c>
      <c r="DB262" s="2">
        <f t="shared" si="27"/>
        <v>0</v>
      </c>
      <c r="DS262" s="130">
        <f>SI!BY262</f>
        <v>172</v>
      </c>
      <c r="DZ262" s="131">
        <f>SI!BZ262</f>
        <v>0</v>
      </c>
    </row>
    <row r="263" spans="1:132" hidden="1" x14ac:dyDescent="0.25">
      <c r="A263" s="141"/>
      <c r="B263" s="406"/>
      <c r="C263" s="406"/>
      <c r="D263" s="406"/>
      <c r="E263" s="406"/>
      <c r="F263" s="406"/>
      <c r="G263" s="406"/>
      <c r="H263" s="406"/>
      <c r="I263" s="406"/>
      <c r="J263" s="406"/>
      <c r="K263" s="406"/>
      <c r="L263" s="406"/>
      <c r="M263" s="406"/>
      <c r="N263" s="406"/>
      <c r="O263" s="406"/>
      <c r="P263" s="406"/>
      <c r="Q263" s="406"/>
      <c r="R263" s="406"/>
      <c r="S263" s="406"/>
      <c r="T263" s="406"/>
      <c r="U263" s="406"/>
      <c r="V263" s="406"/>
      <c r="W263" s="406"/>
      <c r="X263" s="406"/>
      <c r="Y263" s="406"/>
      <c r="Z263" s="406"/>
      <c r="AA263" s="406"/>
      <c r="AB263" s="406"/>
      <c r="AC263" s="406"/>
      <c r="AD263" s="406"/>
      <c r="AE263" s="406"/>
      <c r="AF263" s="406"/>
      <c r="AG263" s="406"/>
      <c r="AH263" s="406"/>
      <c r="AI263" s="406"/>
      <c r="AJ263" s="406"/>
      <c r="AK263" s="406"/>
      <c r="AL263" s="406"/>
      <c r="AM263" s="406"/>
      <c r="AN263" s="406"/>
      <c r="AO263" s="406"/>
      <c r="AP263" s="406"/>
      <c r="AQ263" s="406"/>
      <c r="AR263" s="406"/>
      <c r="AS263" s="406"/>
      <c r="AT263" s="406"/>
      <c r="AU263" s="406"/>
      <c r="AV263" s="406"/>
      <c r="AW263" s="406"/>
      <c r="AX263" s="406"/>
      <c r="AY263" s="406"/>
      <c r="AZ263" s="406"/>
      <c r="BA263" s="406"/>
      <c r="BB263" s="406"/>
      <c r="BC263" s="406"/>
      <c r="BD263" s="406"/>
      <c r="BE263" s="406"/>
      <c r="BF263" s="406"/>
      <c r="BG263" s="406"/>
      <c r="BH263" s="406"/>
      <c r="BI263" s="406"/>
      <c r="BJ263" s="406"/>
      <c r="BK263" s="406"/>
      <c r="BL263" s="406"/>
      <c r="BM263" s="406"/>
      <c r="BN263" s="406"/>
      <c r="BO263" s="406"/>
      <c r="BP263" s="406"/>
      <c r="BQ263" s="406"/>
      <c r="BR263" s="406"/>
      <c r="BS263" s="406"/>
      <c r="BT263" s="406"/>
      <c r="BU263" s="406"/>
      <c r="BV263" s="406"/>
      <c r="BW263" s="406"/>
      <c r="BX263" s="406"/>
      <c r="BY263" s="406"/>
      <c r="BZ263" s="406"/>
      <c r="CA263" s="270"/>
      <c r="CB263" s="3" t="str">
        <f t="shared" si="28"/>
        <v>Riadok bude skrytý.</v>
      </c>
      <c r="CC263" s="271" t="s">
        <v>937</v>
      </c>
      <c r="CW263" s="30">
        <f t="shared" si="30"/>
        <v>1</v>
      </c>
      <c r="CX263" s="30">
        <f t="shared" si="29"/>
        <v>0</v>
      </c>
      <c r="CZ263" s="30">
        <f t="shared" si="31"/>
        <v>0</v>
      </c>
      <c r="DA263" s="52">
        <f t="shared" si="25"/>
        <v>0</v>
      </c>
      <c r="DB263" s="2">
        <f t="shared" si="27"/>
        <v>0</v>
      </c>
      <c r="DS263" s="130">
        <f>SI!BY263</f>
        <v>243</v>
      </c>
      <c r="DZ263" s="131">
        <f>SI!BZ263</f>
        <v>0</v>
      </c>
    </row>
    <row r="264" spans="1:132" hidden="1" x14ac:dyDescent="0.25">
      <c r="A264" s="141"/>
      <c r="B264" s="406"/>
      <c r="C264" s="406"/>
      <c r="D264" s="406"/>
      <c r="E264" s="406"/>
      <c r="F264" s="406"/>
      <c r="G264" s="406"/>
      <c r="H264" s="406"/>
      <c r="I264" s="406"/>
      <c r="J264" s="406"/>
      <c r="K264" s="406"/>
      <c r="L264" s="406"/>
      <c r="M264" s="406"/>
      <c r="N264" s="406"/>
      <c r="O264" s="406"/>
      <c r="P264" s="406"/>
      <c r="Q264" s="406"/>
      <c r="R264" s="406"/>
      <c r="S264" s="406"/>
      <c r="T264" s="406"/>
      <c r="U264" s="406"/>
      <c r="V264" s="406"/>
      <c r="W264" s="406"/>
      <c r="X264" s="406"/>
      <c r="Y264" s="406"/>
      <c r="Z264" s="406"/>
      <c r="AA264" s="406"/>
      <c r="AB264" s="406"/>
      <c r="AC264" s="406"/>
      <c r="AD264" s="406"/>
      <c r="AE264" s="406"/>
      <c r="AF264" s="406"/>
      <c r="AG264" s="406"/>
      <c r="AH264" s="406"/>
      <c r="AI264" s="406"/>
      <c r="AJ264" s="406"/>
      <c r="AK264" s="406"/>
      <c r="AL264" s="406"/>
      <c r="AM264" s="406"/>
      <c r="AN264" s="406"/>
      <c r="AO264" s="406"/>
      <c r="AP264" s="406"/>
      <c r="AQ264" s="406"/>
      <c r="AR264" s="406"/>
      <c r="AS264" s="406"/>
      <c r="AT264" s="406"/>
      <c r="AU264" s="406"/>
      <c r="AV264" s="406"/>
      <c r="AW264" s="406"/>
      <c r="AX264" s="406"/>
      <c r="AY264" s="406"/>
      <c r="AZ264" s="406"/>
      <c r="BA264" s="406"/>
      <c r="BB264" s="406"/>
      <c r="BC264" s="406"/>
      <c r="BD264" s="406"/>
      <c r="BE264" s="406"/>
      <c r="BF264" s="406"/>
      <c r="BG264" s="406"/>
      <c r="BH264" s="406"/>
      <c r="BI264" s="406"/>
      <c r="BJ264" s="406"/>
      <c r="BK264" s="406"/>
      <c r="BL264" s="406"/>
      <c r="BM264" s="406"/>
      <c r="BN264" s="406"/>
      <c r="BO264" s="406"/>
      <c r="BP264" s="406"/>
      <c r="BQ264" s="406"/>
      <c r="BR264" s="406"/>
      <c r="BS264" s="406"/>
      <c r="BT264" s="406"/>
      <c r="BU264" s="406"/>
      <c r="BV264" s="406"/>
      <c r="BW264" s="406"/>
      <c r="BX264" s="406"/>
      <c r="BY264" s="406"/>
      <c r="BZ264" s="406"/>
      <c r="CA264" s="270"/>
      <c r="CB264" s="3" t="str">
        <f t="shared" si="28"/>
        <v>Riadok bude skrytý.</v>
      </c>
      <c r="CC264" s="271" t="s">
        <v>937</v>
      </c>
      <c r="CW264" s="30">
        <f t="shared" si="30"/>
        <v>1</v>
      </c>
      <c r="CX264" s="30">
        <f t="shared" si="29"/>
        <v>0</v>
      </c>
      <c r="CZ264" s="30">
        <f t="shared" si="31"/>
        <v>0</v>
      </c>
      <c r="DA264" s="52">
        <f t="shared" si="25"/>
        <v>0</v>
      </c>
      <c r="DB264" s="2">
        <f t="shared" si="27"/>
        <v>0</v>
      </c>
      <c r="DS264" s="130">
        <f>SI!BY264</f>
        <v>178</v>
      </c>
      <c r="DZ264" s="131">
        <f>SI!BZ264</f>
        <v>0</v>
      </c>
    </row>
    <row r="265" spans="1:132" hidden="1" x14ac:dyDescent="0.25">
      <c r="A265" s="141"/>
      <c r="B265" s="406"/>
      <c r="C265" s="406"/>
      <c r="D265" s="406"/>
      <c r="E265" s="406"/>
      <c r="F265" s="406"/>
      <c r="G265" s="406"/>
      <c r="H265" s="406"/>
      <c r="I265" s="406"/>
      <c r="J265" s="406"/>
      <c r="K265" s="406"/>
      <c r="L265" s="406"/>
      <c r="M265" s="406"/>
      <c r="N265" s="406"/>
      <c r="O265" s="406"/>
      <c r="P265" s="406"/>
      <c r="Q265" s="406"/>
      <c r="R265" s="406"/>
      <c r="S265" s="406"/>
      <c r="T265" s="406"/>
      <c r="U265" s="406"/>
      <c r="V265" s="406"/>
      <c r="W265" s="406"/>
      <c r="X265" s="406"/>
      <c r="Y265" s="406"/>
      <c r="Z265" s="406"/>
      <c r="AA265" s="406"/>
      <c r="AB265" s="406"/>
      <c r="AC265" s="406"/>
      <c r="AD265" s="406"/>
      <c r="AE265" s="406"/>
      <c r="AF265" s="406"/>
      <c r="AG265" s="406"/>
      <c r="AH265" s="406"/>
      <c r="AI265" s="406"/>
      <c r="AJ265" s="406"/>
      <c r="AK265" s="406"/>
      <c r="AL265" s="406"/>
      <c r="AM265" s="406"/>
      <c r="AN265" s="406"/>
      <c r="AO265" s="406"/>
      <c r="AP265" s="406"/>
      <c r="AQ265" s="406"/>
      <c r="AR265" s="406"/>
      <c r="AS265" s="406"/>
      <c r="AT265" s="406"/>
      <c r="AU265" s="406"/>
      <c r="AV265" s="406"/>
      <c r="AW265" s="406"/>
      <c r="AX265" s="406"/>
      <c r="AY265" s="406"/>
      <c r="AZ265" s="406"/>
      <c r="BA265" s="406"/>
      <c r="BB265" s="406"/>
      <c r="BC265" s="406"/>
      <c r="BD265" s="406"/>
      <c r="BE265" s="406"/>
      <c r="BF265" s="406"/>
      <c r="BG265" s="406"/>
      <c r="BH265" s="406"/>
      <c r="BI265" s="406"/>
      <c r="BJ265" s="406"/>
      <c r="BK265" s="406"/>
      <c r="BL265" s="406"/>
      <c r="BM265" s="406"/>
      <c r="BN265" s="406"/>
      <c r="BO265" s="406"/>
      <c r="BP265" s="406"/>
      <c r="BQ265" s="406"/>
      <c r="BR265" s="406"/>
      <c r="BS265" s="406"/>
      <c r="BT265" s="406"/>
      <c r="BU265" s="406"/>
      <c r="BV265" s="406"/>
      <c r="BW265" s="406"/>
      <c r="BX265" s="406"/>
      <c r="BY265" s="406"/>
      <c r="BZ265" s="406"/>
      <c r="CA265" s="270"/>
      <c r="CB265" s="3" t="str">
        <f t="shared" si="28"/>
        <v>Riadok bude skrytý.</v>
      </c>
      <c r="CC265" s="271" t="s">
        <v>937</v>
      </c>
      <c r="CW265" s="30">
        <f t="shared" si="30"/>
        <v>1</v>
      </c>
      <c r="CX265" s="30">
        <f t="shared" si="29"/>
        <v>0</v>
      </c>
      <c r="CZ265" s="30">
        <f t="shared" si="31"/>
        <v>0</v>
      </c>
      <c r="DA265" s="52">
        <f t="shared" si="25"/>
        <v>0</v>
      </c>
      <c r="DB265" s="2">
        <f t="shared" si="27"/>
        <v>0</v>
      </c>
      <c r="DS265" s="130">
        <f>SI!BY265</f>
        <v>944</v>
      </c>
      <c r="DZ265" s="131">
        <f>SI!BZ265</f>
        <v>0</v>
      </c>
    </row>
    <row r="266" spans="1:132" hidden="1" x14ac:dyDescent="0.25">
      <c r="A266" s="141"/>
      <c r="B266" s="406"/>
      <c r="C266" s="406"/>
      <c r="D266" s="406"/>
      <c r="E266" s="406"/>
      <c r="F266" s="406"/>
      <c r="G266" s="406"/>
      <c r="H266" s="406"/>
      <c r="I266" s="406"/>
      <c r="J266" s="406"/>
      <c r="K266" s="406"/>
      <c r="L266" s="406"/>
      <c r="M266" s="406"/>
      <c r="N266" s="406"/>
      <c r="O266" s="406"/>
      <c r="P266" s="406"/>
      <c r="Q266" s="406"/>
      <c r="R266" s="406"/>
      <c r="S266" s="406"/>
      <c r="T266" s="406"/>
      <c r="U266" s="406"/>
      <c r="V266" s="406"/>
      <c r="W266" s="406"/>
      <c r="X266" s="406"/>
      <c r="Y266" s="406"/>
      <c r="Z266" s="406"/>
      <c r="AA266" s="406"/>
      <c r="AB266" s="406"/>
      <c r="AC266" s="406"/>
      <c r="AD266" s="406"/>
      <c r="AE266" s="406"/>
      <c r="AF266" s="406"/>
      <c r="AG266" s="406"/>
      <c r="AH266" s="406"/>
      <c r="AI266" s="406"/>
      <c r="AJ266" s="406"/>
      <c r="AK266" s="406"/>
      <c r="AL266" s="406"/>
      <c r="AM266" s="406"/>
      <c r="AN266" s="406"/>
      <c r="AO266" s="406"/>
      <c r="AP266" s="406"/>
      <c r="AQ266" s="406"/>
      <c r="AR266" s="406"/>
      <c r="AS266" s="406"/>
      <c r="AT266" s="406"/>
      <c r="AU266" s="406"/>
      <c r="AV266" s="406"/>
      <c r="AW266" s="406"/>
      <c r="AX266" s="406"/>
      <c r="AY266" s="406"/>
      <c r="AZ266" s="406"/>
      <c r="BA266" s="406"/>
      <c r="BB266" s="406"/>
      <c r="BC266" s="406"/>
      <c r="BD266" s="406"/>
      <c r="BE266" s="406"/>
      <c r="BF266" s="406"/>
      <c r="BG266" s="406"/>
      <c r="BH266" s="406"/>
      <c r="BI266" s="406"/>
      <c r="BJ266" s="406"/>
      <c r="BK266" s="406"/>
      <c r="BL266" s="406"/>
      <c r="BM266" s="406"/>
      <c r="BN266" s="406"/>
      <c r="BO266" s="406"/>
      <c r="BP266" s="406"/>
      <c r="BQ266" s="406"/>
      <c r="BR266" s="406"/>
      <c r="BS266" s="406"/>
      <c r="BT266" s="406"/>
      <c r="BU266" s="406"/>
      <c r="BV266" s="406"/>
      <c r="BW266" s="406"/>
      <c r="BX266" s="406"/>
      <c r="BY266" s="406"/>
      <c r="BZ266" s="406"/>
      <c r="CA266" s="270"/>
      <c r="CB266" s="3" t="str">
        <f t="shared" si="28"/>
        <v>Riadok bude skrytý.</v>
      </c>
      <c r="CC266" s="271" t="s">
        <v>937</v>
      </c>
      <c r="CW266" s="30">
        <f t="shared" si="30"/>
        <v>1</v>
      </c>
      <c r="CX266" s="30">
        <f t="shared" si="29"/>
        <v>0</v>
      </c>
      <c r="CZ266" s="30">
        <f t="shared" si="31"/>
        <v>0</v>
      </c>
      <c r="DA266" s="52">
        <f t="shared" si="25"/>
        <v>0</v>
      </c>
      <c r="DB266" s="2">
        <f t="shared" si="27"/>
        <v>0</v>
      </c>
      <c r="DS266" s="130">
        <f>SI!BY266</f>
        <v>154</v>
      </c>
      <c r="DZ266" s="131">
        <f>SI!BZ266</f>
        <v>0</v>
      </c>
    </row>
    <row r="267" spans="1:132" hidden="1" x14ac:dyDescent="0.25">
      <c r="A267" s="141"/>
      <c r="B267" s="406"/>
      <c r="C267" s="406"/>
      <c r="D267" s="406"/>
      <c r="E267" s="406"/>
      <c r="F267" s="406"/>
      <c r="G267" s="406"/>
      <c r="H267" s="406"/>
      <c r="I267" s="406"/>
      <c r="J267" s="406"/>
      <c r="K267" s="406"/>
      <c r="L267" s="406"/>
      <c r="M267" s="406"/>
      <c r="N267" s="406"/>
      <c r="O267" s="406"/>
      <c r="P267" s="406"/>
      <c r="Q267" s="406"/>
      <c r="R267" s="406"/>
      <c r="S267" s="406"/>
      <c r="T267" s="406"/>
      <c r="U267" s="406"/>
      <c r="V267" s="406"/>
      <c r="W267" s="406"/>
      <c r="X267" s="406"/>
      <c r="Y267" s="406"/>
      <c r="Z267" s="406"/>
      <c r="AA267" s="406"/>
      <c r="AB267" s="406"/>
      <c r="AC267" s="406"/>
      <c r="AD267" s="406"/>
      <c r="AE267" s="406"/>
      <c r="AF267" s="406"/>
      <c r="AG267" s="406"/>
      <c r="AH267" s="406"/>
      <c r="AI267" s="406"/>
      <c r="AJ267" s="406"/>
      <c r="AK267" s="406"/>
      <c r="AL267" s="406"/>
      <c r="AM267" s="406"/>
      <c r="AN267" s="406"/>
      <c r="AO267" s="406"/>
      <c r="AP267" s="406"/>
      <c r="AQ267" s="406"/>
      <c r="AR267" s="406"/>
      <c r="AS267" s="406"/>
      <c r="AT267" s="406"/>
      <c r="AU267" s="406"/>
      <c r="AV267" s="406"/>
      <c r="AW267" s="406"/>
      <c r="AX267" s="406"/>
      <c r="AY267" s="406"/>
      <c r="AZ267" s="406"/>
      <c r="BA267" s="406"/>
      <c r="BB267" s="406"/>
      <c r="BC267" s="406"/>
      <c r="BD267" s="406"/>
      <c r="BE267" s="406"/>
      <c r="BF267" s="406"/>
      <c r="BG267" s="406"/>
      <c r="BH267" s="406"/>
      <c r="BI267" s="406"/>
      <c r="BJ267" s="406"/>
      <c r="BK267" s="406"/>
      <c r="BL267" s="406"/>
      <c r="BM267" s="406"/>
      <c r="BN267" s="406"/>
      <c r="BO267" s="406"/>
      <c r="BP267" s="406"/>
      <c r="BQ267" s="406"/>
      <c r="BR267" s="406"/>
      <c r="BS267" s="406"/>
      <c r="BT267" s="406"/>
      <c r="BU267" s="406"/>
      <c r="BV267" s="406"/>
      <c r="BW267" s="406"/>
      <c r="BX267" s="406"/>
      <c r="BY267" s="406"/>
      <c r="BZ267" s="406"/>
      <c r="CA267" s="270"/>
      <c r="CB267" s="3" t="str">
        <f t="shared" si="28"/>
        <v>Riadok bude skrytý.</v>
      </c>
      <c r="CC267" s="271" t="s">
        <v>937</v>
      </c>
      <c r="CW267" s="30">
        <f t="shared" si="30"/>
        <v>1</v>
      </c>
      <c r="CX267" s="30">
        <f t="shared" si="29"/>
        <v>0</v>
      </c>
      <c r="CZ267" s="30">
        <f t="shared" si="31"/>
        <v>0</v>
      </c>
      <c r="DA267" s="52">
        <f t="shared" si="25"/>
        <v>0</v>
      </c>
      <c r="DB267" s="2">
        <f t="shared" si="27"/>
        <v>0</v>
      </c>
      <c r="DS267" s="130">
        <f>SI!BY267</f>
        <v>898</v>
      </c>
      <c r="DZ267" s="131">
        <f>SI!BZ267</f>
        <v>0</v>
      </c>
    </row>
    <row r="268" spans="1:132" hidden="1" x14ac:dyDescent="0.25">
      <c r="A268" s="141"/>
      <c r="B268" s="406"/>
      <c r="C268" s="406"/>
      <c r="D268" s="406"/>
      <c r="E268" s="406"/>
      <c r="F268" s="406"/>
      <c r="G268" s="406"/>
      <c r="H268" s="406"/>
      <c r="I268" s="406"/>
      <c r="J268" s="406"/>
      <c r="K268" s="406"/>
      <c r="L268" s="406"/>
      <c r="M268" s="406"/>
      <c r="N268" s="406"/>
      <c r="O268" s="406"/>
      <c r="P268" s="406"/>
      <c r="Q268" s="406"/>
      <c r="R268" s="406"/>
      <c r="S268" s="406"/>
      <c r="T268" s="406"/>
      <c r="U268" s="406"/>
      <c r="V268" s="406"/>
      <c r="W268" s="406"/>
      <c r="X268" s="406"/>
      <c r="Y268" s="406"/>
      <c r="Z268" s="406"/>
      <c r="AA268" s="406"/>
      <c r="AB268" s="406"/>
      <c r="AC268" s="406"/>
      <c r="AD268" s="406"/>
      <c r="AE268" s="406"/>
      <c r="AF268" s="406"/>
      <c r="AG268" s="406"/>
      <c r="AH268" s="406"/>
      <c r="AI268" s="406"/>
      <c r="AJ268" s="406"/>
      <c r="AK268" s="406"/>
      <c r="AL268" s="406"/>
      <c r="AM268" s="406"/>
      <c r="AN268" s="406"/>
      <c r="AO268" s="406"/>
      <c r="AP268" s="406"/>
      <c r="AQ268" s="406"/>
      <c r="AR268" s="406"/>
      <c r="AS268" s="406"/>
      <c r="AT268" s="406"/>
      <c r="AU268" s="406"/>
      <c r="AV268" s="406"/>
      <c r="AW268" s="406"/>
      <c r="AX268" s="406"/>
      <c r="AY268" s="406"/>
      <c r="AZ268" s="406"/>
      <c r="BA268" s="406"/>
      <c r="BB268" s="406"/>
      <c r="BC268" s="406"/>
      <c r="BD268" s="406"/>
      <c r="BE268" s="406"/>
      <c r="BF268" s="406"/>
      <c r="BG268" s="406"/>
      <c r="BH268" s="406"/>
      <c r="BI268" s="406"/>
      <c r="BJ268" s="406"/>
      <c r="BK268" s="406"/>
      <c r="BL268" s="406"/>
      <c r="BM268" s="406"/>
      <c r="BN268" s="406"/>
      <c r="BO268" s="406"/>
      <c r="BP268" s="406"/>
      <c r="BQ268" s="406"/>
      <c r="BR268" s="406"/>
      <c r="BS268" s="406"/>
      <c r="BT268" s="406"/>
      <c r="BU268" s="406"/>
      <c r="BV268" s="406"/>
      <c r="BW268" s="406"/>
      <c r="BX268" s="406"/>
      <c r="BY268" s="406"/>
      <c r="BZ268" s="406"/>
      <c r="CA268" s="270"/>
      <c r="CB268" s="3" t="str">
        <f t="shared" si="28"/>
        <v>Riadok bude skrytý.</v>
      </c>
      <c r="CC268" s="271" t="s">
        <v>937</v>
      </c>
      <c r="CW268" s="30">
        <f t="shared" si="30"/>
        <v>1</v>
      </c>
      <c r="CX268" s="30">
        <f t="shared" si="29"/>
        <v>0</v>
      </c>
      <c r="CZ268" s="30">
        <f t="shared" si="31"/>
        <v>0</v>
      </c>
      <c r="DA268" s="52">
        <f t="shared" si="25"/>
        <v>0</v>
      </c>
      <c r="DB268" s="2">
        <f t="shared" si="27"/>
        <v>0</v>
      </c>
      <c r="DS268" s="130">
        <f>SI!BY268</f>
        <v>161</v>
      </c>
      <c r="DZ268" s="131">
        <f>SI!BZ268</f>
        <v>0</v>
      </c>
    </row>
    <row r="269" spans="1:132" hidden="1" x14ac:dyDescent="0.25">
      <c r="A269" s="141"/>
      <c r="CA269" s="270"/>
      <c r="CB269" s="3" t="str">
        <f t="shared" si="28"/>
        <v>Riadok bude skrytý.</v>
      </c>
      <c r="CC269" s="271" t="s">
        <v>937</v>
      </c>
      <c r="CW269" s="30">
        <f t="shared" si="30"/>
        <v>1</v>
      </c>
      <c r="CZ269" s="30">
        <f t="shared" si="31"/>
        <v>0</v>
      </c>
      <c r="DA269" s="30">
        <f>+IF(CW269+CX269+CY269=0,0,IF(CZ269=0,0,1))</f>
        <v>0</v>
      </c>
      <c r="DB269" s="2">
        <f t="shared" si="27"/>
        <v>0</v>
      </c>
      <c r="DS269" s="130">
        <f>SI!BY269</f>
        <v>174</v>
      </c>
      <c r="DZ269" s="131">
        <f>SI!BZ269</f>
        <v>0</v>
      </c>
    </row>
    <row r="270" spans="1:132" ht="15.8" hidden="1" customHeight="1" x14ac:dyDescent="0.25">
      <c r="A270" s="141"/>
      <c r="B270" s="870" t="s">
        <v>44</v>
      </c>
      <c r="C270" s="871"/>
      <c r="D270" s="871"/>
      <c r="E270" s="871"/>
      <c r="F270" s="871"/>
      <c r="G270" s="871"/>
      <c r="H270" s="871"/>
      <c r="I270" s="871"/>
      <c r="J270" s="871"/>
      <c r="K270" s="871"/>
      <c r="L270" s="871"/>
      <c r="M270" s="871"/>
      <c r="N270" s="871"/>
      <c r="O270" s="871"/>
      <c r="P270" s="871"/>
      <c r="Q270" s="871"/>
      <c r="R270" s="871"/>
      <c r="S270" s="871"/>
      <c r="T270" s="871"/>
      <c r="U270" s="871"/>
      <c r="V270" s="871"/>
      <c r="W270" s="871"/>
      <c r="X270" s="872"/>
      <c r="Y270" s="998" t="s">
        <v>39</v>
      </c>
      <c r="Z270" s="999"/>
      <c r="AA270" s="999"/>
      <c r="AB270" s="999"/>
      <c r="AC270" s="999"/>
      <c r="AD270" s="999"/>
      <c r="AE270" s="999"/>
      <c r="AF270" s="999"/>
      <c r="AG270" s="999"/>
      <c r="AH270" s="999"/>
      <c r="AI270" s="999"/>
      <c r="AJ270" s="999"/>
      <c r="AK270" s="999"/>
      <c r="AL270" s="999"/>
      <c r="AM270" s="999"/>
      <c r="AN270" s="999"/>
      <c r="AO270" s="999"/>
      <c r="AP270" s="999"/>
      <c r="AQ270" s="999"/>
      <c r="AR270" s="999"/>
      <c r="AS270" s="999"/>
      <c r="AT270" s="999"/>
      <c r="AU270" s="999"/>
      <c r="AV270" s="1000"/>
      <c r="AW270" s="891" t="s">
        <v>42</v>
      </c>
      <c r="AX270" s="892"/>
      <c r="AY270" s="892"/>
      <c r="AZ270" s="892"/>
      <c r="BA270" s="892"/>
      <c r="BB270" s="892"/>
      <c r="BC270" s="892"/>
      <c r="BD270" s="892"/>
      <c r="BE270" s="892"/>
      <c r="BF270" s="892"/>
      <c r="BG270" s="892"/>
      <c r="BH270" s="892"/>
      <c r="BI270" s="892"/>
      <c r="BJ270" s="892"/>
      <c r="BK270" s="893"/>
      <c r="BL270" s="879" t="s">
        <v>43</v>
      </c>
      <c r="BM270" s="880"/>
      <c r="BN270" s="880"/>
      <c r="BO270" s="880"/>
      <c r="BP270" s="880"/>
      <c r="BQ270" s="880"/>
      <c r="BR270" s="880"/>
      <c r="BS270" s="880"/>
      <c r="BT270" s="880"/>
      <c r="BU270" s="880"/>
      <c r="BV270" s="880"/>
      <c r="BW270" s="880"/>
      <c r="BX270" s="880"/>
      <c r="BY270" s="880"/>
      <c r="BZ270" s="881"/>
      <c r="CA270" s="270"/>
      <c r="CB270" s="3" t="str">
        <f t="shared" si="28"/>
        <v>Riadok bude skrytý.</v>
      </c>
      <c r="CC270" s="271" t="s">
        <v>937</v>
      </c>
      <c r="CW270" s="30">
        <f t="shared" si="30"/>
        <v>1</v>
      </c>
      <c r="CZ270" s="30">
        <f t="shared" si="31"/>
        <v>0</v>
      </c>
      <c r="DA270" s="30">
        <f>+IF(CW270+CX270+CY270=0,0,IF(CZ270=0,0,1))</f>
        <v>0</v>
      </c>
      <c r="DB270" s="2">
        <f t="shared" si="27"/>
        <v>0</v>
      </c>
      <c r="DS270" s="130">
        <f>SI!BY270</f>
        <v>232</v>
      </c>
      <c r="DZ270" s="131">
        <f>SI!BZ270</f>
        <v>0</v>
      </c>
    </row>
    <row r="271" spans="1:132" hidden="1" x14ac:dyDescent="0.25">
      <c r="A271" s="141"/>
      <c r="B271" s="873"/>
      <c r="C271" s="874"/>
      <c r="D271" s="874"/>
      <c r="E271" s="874"/>
      <c r="F271" s="874"/>
      <c r="G271" s="874"/>
      <c r="H271" s="874"/>
      <c r="I271" s="874"/>
      <c r="J271" s="874"/>
      <c r="K271" s="874"/>
      <c r="L271" s="874"/>
      <c r="M271" s="874"/>
      <c r="N271" s="874"/>
      <c r="O271" s="874"/>
      <c r="P271" s="874"/>
      <c r="Q271" s="874"/>
      <c r="R271" s="874"/>
      <c r="S271" s="874"/>
      <c r="T271" s="874"/>
      <c r="U271" s="874"/>
      <c r="V271" s="874"/>
      <c r="W271" s="874"/>
      <c r="X271" s="875"/>
      <c r="Y271" s="996" t="s">
        <v>40</v>
      </c>
      <c r="Z271" s="997"/>
      <c r="AA271" s="997"/>
      <c r="AB271" s="997"/>
      <c r="AC271" s="997"/>
      <c r="AD271" s="997"/>
      <c r="AE271" s="997"/>
      <c r="AF271" s="997"/>
      <c r="AG271" s="997"/>
      <c r="AH271" s="997"/>
      <c r="AI271" s="997"/>
      <c r="AJ271" s="997"/>
      <c r="AK271" s="997" t="s">
        <v>41</v>
      </c>
      <c r="AL271" s="997"/>
      <c r="AM271" s="997"/>
      <c r="AN271" s="997"/>
      <c r="AO271" s="997"/>
      <c r="AP271" s="997"/>
      <c r="AQ271" s="997"/>
      <c r="AR271" s="997"/>
      <c r="AS271" s="997"/>
      <c r="AT271" s="997"/>
      <c r="AU271" s="997"/>
      <c r="AV271" s="1007"/>
      <c r="AW271" s="894"/>
      <c r="AX271" s="895"/>
      <c r="AY271" s="895"/>
      <c r="AZ271" s="895"/>
      <c r="BA271" s="895"/>
      <c r="BB271" s="895"/>
      <c r="BC271" s="895"/>
      <c r="BD271" s="895"/>
      <c r="BE271" s="895"/>
      <c r="BF271" s="895"/>
      <c r="BG271" s="895"/>
      <c r="BH271" s="895"/>
      <c r="BI271" s="895"/>
      <c r="BJ271" s="895"/>
      <c r="BK271" s="896"/>
      <c r="BL271" s="882"/>
      <c r="BM271" s="883"/>
      <c r="BN271" s="883"/>
      <c r="BO271" s="883"/>
      <c r="BP271" s="883"/>
      <c r="BQ271" s="883"/>
      <c r="BR271" s="883"/>
      <c r="BS271" s="883"/>
      <c r="BT271" s="883"/>
      <c r="BU271" s="883"/>
      <c r="BV271" s="883"/>
      <c r="BW271" s="883"/>
      <c r="BX271" s="883"/>
      <c r="BY271" s="883"/>
      <c r="BZ271" s="884"/>
      <c r="CA271" s="270"/>
      <c r="CB271" s="3" t="str">
        <f t="shared" si="28"/>
        <v>Riadok bude skrytý.</v>
      </c>
      <c r="CC271" s="271" t="s">
        <v>937</v>
      </c>
      <c r="CW271" s="30">
        <f t="shared" si="30"/>
        <v>1</v>
      </c>
      <c r="CZ271" s="30">
        <f t="shared" si="31"/>
        <v>0</v>
      </c>
      <c r="DA271" s="30">
        <f>+IF(CW271+CX271+CY271=0,0,IF(CZ271=0,0,1))</f>
        <v>0</v>
      </c>
      <c r="DB271" s="2">
        <f t="shared" si="27"/>
        <v>0</v>
      </c>
      <c r="DS271" s="130">
        <f>SI!BY271</f>
        <v>126</v>
      </c>
      <c r="DZ271" s="131">
        <f>SI!BZ271</f>
        <v>0</v>
      </c>
    </row>
    <row r="272" spans="1:132" s="6" customFormat="1" hidden="1" x14ac:dyDescent="0.25">
      <c r="A272" s="226"/>
      <c r="B272" s="866" t="s">
        <v>0</v>
      </c>
      <c r="C272" s="867"/>
      <c r="D272" s="867"/>
      <c r="E272" s="867"/>
      <c r="F272" s="867"/>
      <c r="G272" s="867"/>
      <c r="H272" s="867"/>
      <c r="I272" s="867"/>
      <c r="J272" s="867"/>
      <c r="K272" s="867"/>
      <c r="L272" s="867"/>
      <c r="M272" s="867"/>
      <c r="N272" s="867"/>
      <c r="O272" s="867"/>
      <c r="P272" s="867"/>
      <c r="Q272" s="867"/>
      <c r="R272" s="867"/>
      <c r="S272" s="867"/>
      <c r="T272" s="867"/>
      <c r="U272" s="867"/>
      <c r="V272" s="867"/>
      <c r="W272" s="867"/>
      <c r="X272" s="868"/>
      <c r="Y272" s="866" t="s">
        <v>1</v>
      </c>
      <c r="Z272" s="867"/>
      <c r="AA272" s="867"/>
      <c r="AB272" s="867"/>
      <c r="AC272" s="867"/>
      <c r="AD272" s="867"/>
      <c r="AE272" s="867"/>
      <c r="AF272" s="867"/>
      <c r="AG272" s="867"/>
      <c r="AH272" s="867"/>
      <c r="AI272" s="867"/>
      <c r="AJ272" s="867"/>
      <c r="AK272" s="867" t="s">
        <v>2</v>
      </c>
      <c r="AL272" s="867"/>
      <c r="AM272" s="867"/>
      <c r="AN272" s="867"/>
      <c r="AO272" s="867"/>
      <c r="AP272" s="867"/>
      <c r="AQ272" s="867"/>
      <c r="AR272" s="867"/>
      <c r="AS272" s="867"/>
      <c r="AT272" s="867"/>
      <c r="AU272" s="867"/>
      <c r="AV272" s="897"/>
      <c r="AW272" s="974" t="s">
        <v>28</v>
      </c>
      <c r="AX272" s="867"/>
      <c r="AY272" s="867"/>
      <c r="AZ272" s="867"/>
      <c r="BA272" s="867"/>
      <c r="BB272" s="867"/>
      <c r="BC272" s="867"/>
      <c r="BD272" s="867"/>
      <c r="BE272" s="867"/>
      <c r="BF272" s="867"/>
      <c r="BG272" s="867"/>
      <c r="BH272" s="867"/>
      <c r="BI272" s="867"/>
      <c r="BJ272" s="867"/>
      <c r="BK272" s="868"/>
      <c r="BL272" s="866" t="s">
        <v>29</v>
      </c>
      <c r="BM272" s="867"/>
      <c r="BN272" s="867"/>
      <c r="BO272" s="867"/>
      <c r="BP272" s="867"/>
      <c r="BQ272" s="867"/>
      <c r="BR272" s="867"/>
      <c r="BS272" s="867"/>
      <c r="BT272" s="867"/>
      <c r="BU272" s="867"/>
      <c r="BV272" s="867"/>
      <c r="BW272" s="867"/>
      <c r="BX272" s="867"/>
      <c r="BY272" s="867"/>
      <c r="BZ272" s="897"/>
      <c r="CA272" s="270"/>
      <c r="CB272" s="3" t="str">
        <f t="shared" si="28"/>
        <v>Riadok bude skrytý.</v>
      </c>
      <c r="CC272" s="271" t="s">
        <v>937</v>
      </c>
      <c r="CW272" s="30">
        <f t="shared" si="30"/>
        <v>1</v>
      </c>
      <c r="CZ272" s="30">
        <f t="shared" si="31"/>
        <v>0</v>
      </c>
      <c r="DA272" s="30">
        <f>+IF(CW272+CX272+CY272=0,0,IF(CZ272=0,0,1))</f>
        <v>0</v>
      </c>
      <c r="DB272" s="2">
        <f t="shared" si="27"/>
        <v>0</v>
      </c>
      <c r="DR272" s="82"/>
      <c r="DS272" s="130">
        <f>SI!BY272</f>
        <v>651</v>
      </c>
      <c r="DT272" s="130"/>
      <c r="DU272" s="130"/>
      <c r="DV272" s="130"/>
      <c r="DW272" s="130"/>
      <c r="DX272" s="130"/>
      <c r="DY272" s="130"/>
      <c r="DZ272" s="131">
        <f>SI!BZ272</f>
        <v>0</v>
      </c>
      <c r="EA272" s="82"/>
      <c r="EB272" s="82"/>
    </row>
    <row r="273" spans="1:130" hidden="1" x14ac:dyDescent="0.25">
      <c r="A273" s="141"/>
      <c r="B273" s="1004"/>
      <c r="C273" s="1005"/>
      <c r="D273" s="1005"/>
      <c r="E273" s="1005"/>
      <c r="F273" s="1005"/>
      <c r="G273" s="1005"/>
      <c r="H273" s="1005"/>
      <c r="I273" s="1005"/>
      <c r="J273" s="1005"/>
      <c r="K273" s="1005"/>
      <c r="L273" s="1005"/>
      <c r="M273" s="1005"/>
      <c r="N273" s="1005"/>
      <c r="O273" s="1005"/>
      <c r="P273" s="1005"/>
      <c r="Q273" s="1005"/>
      <c r="R273" s="1005"/>
      <c r="S273" s="1005"/>
      <c r="T273" s="1005"/>
      <c r="U273" s="1005"/>
      <c r="V273" s="1005"/>
      <c r="W273" s="1005"/>
      <c r="X273" s="1006"/>
      <c r="Y273" s="1002"/>
      <c r="Z273" s="1003"/>
      <c r="AA273" s="1003"/>
      <c r="AB273" s="1003"/>
      <c r="AC273" s="1003"/>
      <c r="AD273" s="1003"/>
      <c r="AE273" s="1003"/>
      <c r="AF273" s="1003"/>
      <c r="AG273" s="1003"/>
      <c r="AH273" s="1003"/>
      <c r="AI273" s="1003"/>
      <c r="AJ273" s="1003"/>
      <c r="AK273" s="889" t="str">
        <f t="shared" ref="AK273:AK282" si="32">IF(IF($Y$283=0,"",+Y273/$Y$283)=0,"",IF($Y$283=0,"",+Y273/$Y$283))</f>
        <v/>
      </c>
      <c r="AL273" s="889"/>
      <c r="AM273" s="889"/>
      <c r="AN273" s="889"/>
      <c r="AO273" s="889"/>
      <c r="AP273" s="889"/>
      <c r="AQ273" s="889"/>
      <c r="AR273" s="889"/>
      <c r="AS273" s="889"/>
      <c r="AT273" s="889"/>
      <c r="AU273" s="889"/>
      <c r="AV273" s="1412"/>
      <c r="AW273" s="888" t="str">
        <f t="shared" ref="AW273:AW282" si="33">+AK273</f>
        <v/>
      </c>
      <c r="AX273" s="889"/>
      <c r="AY273" s="889"/>
      <c r="AZ273" s="889"/>
      <c r="BA273" s="889"/>
      <c r="BB273" s="889"/>
      <c r="BC273" s="889"/>
      <c r="BD273" s="889"/>
      <c r="BE273" s="889"/>
      <c r="BF273" s="889"/>
      <c r="BG273" s="889"/>
      <c r="BH273" s="889"/>
      <c r="BI273" s="889"/>
      <c r="BJ273" s="889"/>
      <c r="BK273" s="890"/>
      <c r="BL273" s="981"/>
      <c r="BM273" s="982"/>
      <c r="BN273" s="982"/>
      <c r="BO273" s="982"/>
      <c r="BP273" s="982"/>
      <c r="BQ273" s="982"/>
      <c r="BR273" s="982"/>
      <c r="BS273" s="982"/>
      <c r="BT273" s="982"/>
      <c r="BU273" s="982"/>
      <c r="BV273" s="982"/>
      <c r="BW273" s="982"/>
      <c r="BX273" s="982"/>
      <c r="BY273" s="982"/>
      <c r="BZ273" s="983"/>
      <c r="CA273" s="270"/>
      <c r="CB273" s="3" t="str">
        <f t="shared" si="28"/>
        <v>Riadok bude skrytý.</v>
      </c>
      <c r="CC273" s="271" t="s">
        <v>937</v>
      </c>
      <c r="CW273" s="30">
        <f t="shared" si="30"/>
        <v>1</v>
      </c>
      <c r="CZ273" s="30">
        <f t="shared" si="31"/>
        <v>0</v>
      </c>
      <c r="DA273" s="30">
        <f>+IF(CW273+CX273+CY273=0,0,IF(CZ273=0,0,1))</f>
        <v>0</v>
      </c>
      <c r="DB273" s="2">
        <f t="shared" si="27"/>
        <v>0</v>
      </c>
      <c r="DS273" s="130">
        <f>SI!BY273</f>
        <v>129</v>
      </c>
      <c r="DZ273" s="131">
        <f>SI!BZ273</f>
        <v>0</v>
      </c>
    </row>
    <row r="274" spans="1:130" hidden="1" x14ac:dyDescent="0.25">
      <c r="A274" s="141"/>
      <c r="B274" s="916"/>
      <c r="C274" s="917"/>
      <c r="D274" s="917"/>
      <c r="E274" s="917"/>
      <c r="F274" s="917"/>
      <c r="G274" s="917"/>
      <c r="H274" s="917"/>
      <c r="I274" s="917"/>
      <c r="J274" s="917"/>
      <c r="K274" s="917"/>
      <c r="L274" s="917"/>
      <c r="M274" s="917"/>
      <c r="N274" s="917"/>
      <c r="O274" s="917"/>
      <c r="P274" s="917"/>
      <c r="Q274" s="917"/>
      <c r="R274" s="917"/>
      <c r="S274" s="917"/>
      <c r="T274" s="917"/>
      <c r="U274" s="917"/>
      <c r="V274" s="917"/>
      <c r="W274" s="917"/>
      <c r="X274" s="918"/>
      <c r="Y274" s="869"/>
      <c r="Z274" s="332"/>
      <c r="AA274" s="332"/>
      <c r="AB274" s="332"/>
      <c r="AC274" s="332"/>
      <c r="AD274" s="332"/>
      <c r="AE274" s="332"/>
      <c r="AF274" s="332"/>
      <c r="AG274" s="332"/>
      <c r="AH274" s="332"/>
      <c r="AI274" s="332"/>
      <c r="AJ274" s="332"/>
      <c r="AK274" s="886" t="str">
        <f t="shared" si="32"/>
        <v/>
      </c>
      <c r="AL274" s="886"/>
      <c r="AM274" s="886"/>
      <c r="AN274" s="886"/>
      <c r="AO274" s="886"/>
      <c r="AP274" s="886"/>
      <c r="AQ274" s="886"/>
      <c r="AR274" s="886"/>
      <c r="AS274" s="886"/>
      <c r="AT274" s="886"/>
      <c r="AU274" s="886"/>
      <c r="AV274" s="1322"/>
      <c r="AW274" s="885" t="str">
        <f t="shared" si="33"/>
        <v/>
      </c>
      <c r="AX274" s="886"/>
      <c r="AY274" s="886"/>
      <c r="AZ274" s="886"/>
      <c r="BA274" s="886"/>
      <c r="BB274" s="886"/>
      <c r="BC274" s="886"/>
      <c r="BD274" s="886"/>
      <c r="BE274" s="886"/>
      <c r="BF274" s="886"/>
      <c r="BG274" s="886"/>
      <c r="BH274" s="886"/>
      <c r="BI274" s="886"/>
      <c r="BJ274" s="886"/>
      <c r="BK274" s="887"/>
      <c r="BL274" s="876"/>
      <c r="BM274" s="877"/>
      <c r="BN274" s="877"/>
      <c r="BO274" s="877"/>
      <c r="BP274" s="877"/>
      <c r="BQ274" s="877"/>
      <c r="BR274" s="877"/>
      <c r="BS274" s="877"/>
      <c r="BT274" s="877"/>
      <c r="BU274" s="877"/>
      <c r="BV274" s="877"/>
      <c r="BW274" s="877"/>
      <c r="BX274" s="877"/>
      <c r="BY274" s="877"/>
      <c r="BZ274" s="878"/>
      <c r="CA274" s="270"/>
      <c r="CB274" s="3" t="str">
        <f t="shared" si="28"/>
        <v>Riadok bude skrytý.</v>
      </c>
      <c r="CC274" s="271" t="s">
        <v>937</v>
      </c>
      <c r="CW274" s="30">
        <f t="shared" si="30"/>
        <v>1</v>
      </c>
      <c r="CX274" s="30">
        <f t="shared" ref="CX274:CX281" si="34">+IF(B274="",0,1)</f>
        <v>0</v>
      </c>
      <c r="CZ274" s="30">
        <f t="shared" si="31"/>
        <v>0</v>
      </c>
      <c r="DA274" s="52">
        <f t="shared" ref="DA274:DA282" si="35">+IF(CW274*CX274=0,0,IF(CZ274=0,0,1))</f>
        <v>0</v>
      </c>
      <c r="DB274" s="2">
        <f t="shared" si="27"/>
        <v>0</v>
      </c>
      <c r="DS274" s="130">
        <f>SI!BY274</f>
        <v>685</v>
      </c>
      <c r="DZ274" s="131">
        <f>SI!BZ274</f>
        <v>0</v>
      </c>
    </row>
    <row r="275" spans="1:130" hidden="1" x14ac:dyDescent="0.25">
      <c r="A275" s="141"/>
      <c r="B275" s="916"/>
      <c r="C275" s="917"/>
      <c r="D275" s="917"/>
      <c r="E275" s="917"/>
      <c r="F275" s="917"/>
      <c r="G275" s="917"/>
      <c r="H275" s="917"/>
      <c r="I275" s="917"/>
      <c r="J275" s="917"/>
      <c r="K275" s="917"/>
      <c r="L275" s="917"/>
      <c r="M275" s="917"/>
      <c r="N275" s="917"/>
      <c r="O275" s="917"/>
      <c r="P275" s="917"/>
      <c r="Q275" s="917"/>
      <c r="R275" s="917"/>
      <c r="S275" s="917"/>
      <c r="T275" s="917"/>
      <c r="U275" s="917"/>
      <c r="V275" s="917"/>
      <c r="W275" s="917"/>
      <c r="X275" s="918"/>
      <c r="Y275" s="869"/>
      <c r="Z275" s="332"/>
      <c r="AA275" s="332"/>
      <c r="AB275" s="332"/>
      <c r="AC275" s="332"/>
      <c r="AD275" s="332"/>
      <c r="AE275" s="332"/>
      <c r="AF275" s="332"/>
      <c r="AG275" s="332"/>
      <c r="AH275" s="332"/>
      <c r="AI275" s="332"/>
      <c r="AJ275" s="332"/>
      <c r="AK275" s="886" t="str">
        <f t="shared" si="32"/>
        <v/>
      </c>
      <c r="AL275" s="886"/>
      <c r="AM275" s="886"/>
      <c r="AN275" s="886"/>
      <c r="AO275" s="886"/>
      <c r="AP275" s="886"/>
      <c r="AQ275" s="886"/>
      <c r="AR275" s="886"/>
      <c r="AS275" s="886"/>
      <c r="AT275" s="886"/>
      <c r="AU275" s="886"/>
      <c r="AV275" s="1322"/>
      <c r="AW275" s="885" t="str">
        <f t="shared" si="33"/>
        <v/>
      </c>
      <c r="AX275" s="886"/>
      <c r="AY275" s="886"/>
      <c r="AZ275" s="886"/>
      <c r="BA275" s="886"/>
      <c r="BB275" s="886"/>
      <c r="BC275" s="886"/>
      <c r="BD275" s="886"/>
      <c r="BE275" s="886"/>
      <c r="BF275" s="886"/>
      <c r="BG275" s="886"/>
      <c r="BH275" s="886"/>
      <c r="BI275" s="886"/>
      <c r="BJ275" s="886"/>
      <c r="BK275" s="887"/>
      <c r="BL275" s="876"/>
      <c r="BM275" s="877"/>
      <c r="BN275" s="877"/>
      <c r="BO275" s="877"/>
      <c r="BP275" s="877"/>
      <c r="BQ275" s="877"/>
      <c r="BR275" s="877"/>
      <c r="BS275" s="877"/>
      <c r="BT275" s="877"/>
      <c r="BU275" s="877"/>
      <c r="BV275" s="877"/>
      <c r="BW275" s="877"/>
      <c r="BX275" s="877"/>
      <c r="BY275" s="877"/>
      <c r="BZ275" s="878"/>
      <c r="CA275" s="270"/>
      <c r="CB275" s="3" t="str">
        <f t="shared" si="28"/>
        <v>Riadok bude skrytý.</v>
      </c>
      <c r="CC275" s="271" t="s">
        <v>937</v>
      </c>
      <c r="CW275" s="30">
        <f t="shared" si="30"/>
        <v>1</v>
      </c>
      <c r="CX275" s="30">
        <f t="shared" si="34"/>
        <v>0</v>
      </c>
      <c r="CZ275" s="30">
        <f t="shared" si="31"/>
        <v>0</v>
      </c>
      <c r="DA275" s="52">
        <f t="shared" si="35"/>
        <v>0</v>
      </c>
      <c r="DB275" s="2">
        <f t="shared" si="27"/>
        <v>0</v>
      </c>
      <c r="DS275" s="130">
        <f>SI!BY275</f>
        <v>193</v>
      </c>
      <c r="DZ275" s="131">
        <f>SI!BZ275</f>
        <v>0</v>
      </c>
    </row>
    <row r="276" spans="1:130" hidden="1" x14ac:dyDescent="0.25">
      <c r="A276" s="141"/>
      <c r="B276" s="916"/>
      <c r="C276" s="917"/>
      <c r="D276" s="917"/>
      <c r="E276" s="917"/>
      <c r="F276" s="917"/>
      <c r="G276" s="917"/>
      <c r="H276" s="917"/>
      <c r="I276" s="917"/>
      <c r="J276" s="917"/>
      <c r="K276" s="917"/>
      <c r="L276" s="917"/>
      <c r="M276" s="917"/>
      <c r="N276" s="917"/>
      <c r="O276" s="917"/>
      <c r="P276" s="917"/>
      <c r="Q276" s="917"/>
      <c r="R276" s="917"/>
      <c r="S276" s="917"/>
      <c r="T276" s="917"/>
      <c r="U276" s="917"/>
      <c r="V276" s="917"/>
      <c r="W276" s="917"/>
      <c r="X276" s="918"/>
      <c r="Y276" s="869"/>
      <c r="Z276" s="332"/>
      <c r="AA276" s="332"/>
      <c r="AB276" s="332"/>
      <c r="AC276" s="332"/>
      <c r="AD276" s="332"/>
      <c r="AE276" s="332"/>
      <c r="AF276" s="332"/>
      <c r="AG276" s="332"/>
      <c r="AH276" s="332"/>
      <c r="AI276" s="332"/>
      <c r="AJ276" s="332"/>
      <c r="AK276" s="886" t="str">
        <f t="shared" si="32"/>
        <v/>
      </c>
      <c r="AL276" s="886"/>
      <c r="AM276" s="886"/>
      <c r="AN276" s="886"/>
      <c r="AO276" s="886"/>
      <c r="AP276" s="886"/>
      <c r="AQ276" s="886"/>
      <c r="AR276" s="886"/>
      <c r="AS276" s="886"/>
      <c r="AT276" s="886"/>
      <c r="AU276" s="886"/>
      <c r="AV276" s="1322"/>
      <c r="AW276" s="885" t="str">
        <f t="shared" si="33"/>
        <v/>
      </c>
      <c r="AX276" s="886"/>
      <c r="AY276" s="886"/>
      <c r="AZ276" s="886"/>
      <c r="BA276" s="886"/>
      <c r="BB276" s="886"/>
      <c r="BC276" s="886"/>
      <c r="BD276" s="886"/>
      <c r="BE276" s="886"/>
      <c r="BF276" s="886"/>
      <c r="BG276" s="886"/>
      <c r="BH276" s="886"/>
      <c r="BI276" s="886"/>
      <c r="BJ276" s="886"/>
      <c r="BK276" s="887"/>
      <c r="BL276" s="876"/>
      <c r="BM276" s="877"/>
      <c r="BN276" s="877"/>
      <c r="BO276" s="877"/>
      <c r="BP276" s="877"/>
      <c r="BQ276" s="877"/>
      <c r="BR276" s="877"/>
      <c r="BS276" s="877"/>
      <c r="BT276" s="877"/>
      <c r="BU276" s="877"/>
      <c r="BV276" s="877"/>
      <c r="BW276" s="877"/>
      <c r="BX276" s="877"/>
      <c r="BY276" s="877"/>
      <c r="BZ276" s="878"/>
      <c r="CA276" s="270"/>
      <c r="CB276" s="3" t="str">
        <f t="shared" si="28"/>
        <v>Riadok bude skrytý.</v>
      </c>
      <c r="CC276" s="271" t="s">
        <v>937</v>
      </c>
      <c r="CW276" s="30">
        <f t="shared" si="30"/>
        <v>1</v>
      </c>
      <c r="CX276" s="30">
        <f t="shared" si="34"/>
        <v>0</v>
      </c>
      <c r="CZ276" s="30">
        <f t="shared" si="31"/>
        <v>0</v>
      </c>
      <c r="DA276" s="52">
        <f t="shared" si="35"/>
        <v>0</v>
      </c>
      <c r="DB276" s="2">
        <f t="shared" si="27"/>
        <v>0</v>
      </c>
      <c r="DS276" s="130">
        <f>SI!BY276</f>
        <v>211</v>
      </c>
      <c r="DZ276" s="131">
        <f>SI!BZ276</f>
        <v>0</v>
      </c>
    </row>
    <row r="277" spans="1:130" hidden="1" x14ac:dyDescent="0.25">
      <c r="A277" s="141"/>
      <c r="B277" s="916"/>
      <c r="C277" s="917"/>
      <c r="D277" s="917"/>
      <c r="E277" s="917"/>
      <c r="F277" s="917"/>
      <c r="G277" s="917"/>
      <c r="H277" s="917"/>
      <c r="I277" s="917"/>
      <c r="J277" s="917"/>
      <c r="K277" s="917"/>
      <c r="L277" s="917"/>
      <c r="M277" s="917"/>
      <c r="N277" s="917"/>
      <c r="O277" s="917"/>
      <c r="P277" s="917"/>
      <c r="Q277" s="917"/>
      <c r="R277" s="917"/>
      <c r="S277" s="917"/>
      <c r="T277" s="917"/>
      <c r="U277" s="917"/>
      <c r="V277" s="917"/>
      <c r="W277" s="917"/>
      <c r="X277" s="918"/>
      <c r="Y277" s="869"/>
      <c r="Z277" s="332"/>
      <c r="AA277" s="332"/>
      <c r="AB277" s="332"/>
      <c r="AC277" s="332"/>
      <c r="AD277" s="332"/>
      <c r="AE277" s="332"/>
      <c r="AF277" s="332"/>
      <c r="AG277" s="332"/>
      <c r="AH277" s="332"/>
      <c r="AI277" s="332"/>
      <c r="AJ277" s="332"/>
      <c r="AK277" s="886" t="str">
        <f t="shared" si="32"/>
        <v/>
      </c>
      <c r="AL277" s="886"/>
      <c r="AM277" s="886"/>
      <c r="AN277" s="886"/>
      <c r="AO277" s="886"/>
      <c r="AP277" s="886"/>
      <c r="AQ277" s="886"/>
      <c r="AR277" s="886"/>
      <c r="AS277" s="886"/>
      <c r="AT277" s="886"/>
      <c r="AU277" s="886"/>
      <c r="AV277" s="1322"/>
      <c r="AW277" s="885" t="str">
        <f t="shared" si="33"/>
        <v/>
      </c>
      <c r="AX277" s="886"/>
      <c r="AY277" s="886"/>
      <c r="AZ277" s="886"/>
      <c r="BA277" s="886"/>
      <c r="BB277" s="886"/>
      <c r="BC277" s="886"/>
      <c r="BD277" s="886"/>
      <c r="BE277" s="886"/>
      <c r="BF277" s="886"/>
      <c r="BG277" s="886"/>
      <c r="BH277" s="886"/>
      <c r="BI277" s="886"/>
      <c r="BJ277" s="886"/>
      <c r="BK277" s="887"/>
      <c r="BL277" s="876"/>
      <c r="BM277" s="877"/>
      <c r="BN277" s="877"/>
      <c r="BO277" s="877"/>
      <c r="BP277" s="877"/>
      <c r="BQ277" s="877"/>
      <c r="BR277" s="877"/>
      <c r="BS277" s="877"/>
      <c r="BT277" s="877"/>
      <c r="BU277" s="877"/>
      <c r="BV277" s="877"/>
      <c r="BW277" s="877"/>
      <c r="BX277" s="877"/>
      <c r="BY277" s="877"/>
      <c r="BZ277" s="878"/>
      <c r="CA277" s="270"/>
      <c r="CB277" s="3" t="str">
        <f t="shared" si="28"/>
        <v>Riadok bude skrytý.</v>
      </c>
      <c r="CC277" s="271" t="s">
        <v>937</v>
      </c>
      <c r="CW277" s="30">
        <f t="shared" si="30"/>
        <v>1</v>
      </c>
      <c r="CX277" s="30">
        <f t="shared" si="34"/>
        <v>0</v>
      </c>
      <c r="CZ277" s="30">
        <f t="shared" si="31"/>
        <v>0</v>
      </c>
      <c r="DA277" s="52">
        <f t="shared" si="35"/>
        <v>0</v>
      </c>
      <c r="DB277" s="2">
        <f t="shared" si="27"/>
        <v>0</v>
      </c>
      <c r="DS277" s="130">
        <f>SI!BY277</f>
        <v>166</v>
      </c>
      <c r="DZ277" s="131">
        <f>SI!BZ277</f>
        <v>0</v>
      </c>
    </row>
    <row r="278" spans="1:130" hidden="1" x14ac:dyDescent="0.25">
      <c r="A278" s="141"/>
      <c r="B278" s="916"/>
      <c r="C278" s="917"/>
      <c r="D278" s="917"/>
      <c r="E278" s="917"/>
      <c r="F278" s="917"/>
      <c r="G278" s="917"/>
      <c r="H278" s="917"/>
      <c r="I278" s="917"/>
      <c r="J278" s="917"/>
      <c r="K278" s="917"/>
      <c r="L278" s="917"/>
      <c r="M278" s="917"/>
      <c r="N278" s="917"/>
      <c r="O278" s="917"/>
      <c r="P278" s="917"/>
      <c r="Q278" s="917"/>
      <c r="R278" s="917"/>
      <c r="S278" s="917"/>
      <c r="T278" s="917"/>
      <c r="U278" s="917"/>
      <c r="V278" s="917"/>
      <c r="W278" s="917"/>
      <c r="X278" s="918"/>
      <c r="Y278" s="869"/>
      <c r="Z278" s="332"/>
      <c r="AA278" s="332"/>
      <c r="AB278" s="332"/>
      <c r="AC278" s="332"/>
      <c r="AD278" s="332"/>
      <c r="AE278" s="332"/>
      <c r="AF278" s="332"/>
      <c r="AG278" s="332"/>
      <c r="AH278" s="332"/>
      <c r="AI278" s="332"/>
      <c r="AJ278" s="332"/>
      <c r="AK278" s="886" t="str">
        <f t="shared" si="32"/>
        <v/>
      </c>
      <c r="AL278" s="886"/>
      <c r="AM278" s="886"/>
      <c r="AN278" s="886"/>
      <c r="AO278" s="886"/>
      <c r="AP278" s="886"/>
      <c r="AQ278" s="886"/>
      <c r="AR278" s="886"/>
      <c r="AS278" s="886"/>
      <c r="AT278" s="886"/>
      <c r="AU278" s="886"/>
      <c r="AV278" s="1322"/>
      <c r="AW278" s="885" t="str">
        <f t="shared" si="33"/>
        <v/>
      </c>
      <c r="AX278" s="886"/>
      <c r="AY278" s="886"/>
      <c r="AZ278" s="886"/>
      <c r="BA278" s="886"/>
      <c r="BB278" s="886"/>
      <c r="BC278" s="886"/>
      <c r="BD278" s="886"/>
      <c r="BE278" s="886"/>
      <c r="BF278" s="886"/>
      <c r="BG278" s="886"/>
      <c r="BH278" s="886"/>
      <c r="BI278" s="886"/>
      <c r="BJ278" s="886"/>
      <c r="BK278" s="887"/>
      <c r="BL278" s="876"/>
      <c r="BM278" s="877"/>
      <c r="BN278" s="877"/>
      <c r="BO278" s="877"/>
      <c r="BP278" s="877"/>
      <c r="BQ278" s="877"/>
      <c r="BR278" s="877"/>
      <c r="BS278" s="877"/>
      <c r="BT278" s="877"/>
      <c r="BU278" s="877"/>
      <c r="BV278" s="877"/>
      <c r="BW278" s="877"/>
      <c r="BX278" s="877"/>
      <c r="BY278" s="877"/>
      <c r="BZ278" s="878"/>
      <c r="CA278" s="270"/>
      <c r="CB278" s="3" t="str">
        <f t="shared" si="28"/>
        <v>Riadok bude skrytý.</v>
      </c>
      <c r="CC278" s="271" t="s">
        <v>937</v>
      </c>
      <c r="CW278" s="30">
        <f t="shared" si="30"/>
        <v>1</v>
      </c>
      <c r="CX278" s="30">
        <f t="shared" si="34"/>
        <v>0</v>
      </c>
      <c r="CZ278" s="30">
        <f t="shared" si="31"/>
        <v>0</v>
      </c>
      <c r="DA278" s="52">
        <f t="shared" si="35"/>
        <v>0</v>
      </c>
      <c r="DB278" s="2">
        <f t="shared" si="27"/>
        <v>0</v>
      </c>
      <c r="DS278" s="130">
        <f>SI!BY278</f>
        <v>746</v>
      </c>
      <c r="DZ278" s="131">
        <f>SI!BZ278</f>
        <v>0</v>
      </c>
    </row>
    <row r="279" spans="1:130" hidden="1" x14ac:dyDescent="0.25">
      <c r="A279" s="141"/>
      <c r="B279" s="916"/>
      <c r="C279" s="917"/>
      <c r="D279" s="917"/>
      <c r="E279" s="917"/>
      <c r="F279" s="917"/>
      <c r="G279" s="917"/>
      <c r="H279" s="917"/>
      <c r="I279" s="917"/>
      <c r="J279" s="917"/>
      <c r="K279" s="917"/>
      <c r="L279" s="917"/>
      <c r="M279" s="917"/>
      <c r="N279" s="917"/>
      <c r="O279" s="917"/>
      <c r="P279" s="917"/>
      <c r="Q279" s="917"/>
      <c r="R279" s="917"/>
      <c r="S279" s="917"/>
      <c r="T279" s="917"/>
      <c r="U279" s="917"/>
      <c r="V279" s="917"/>
      <c r="W279" s="917"/>
      <c r="X279" s="918"/>
      <c r="Y279" s="869"/>
      <c r="Z279" s="332"/>
      <c r="AA279" s="332"/>
      <c r="AB279" s="332"/>
      <c r="AC279" s="332"/>
      <c r="AD279" s="332"/>
      <c r="AE279" s="332"/>
      <c r="AF279" s="332"/>
      <c r="AG279" s="332"/>
      <c r="AH279" s="332"/>
      <c r="AI279" s="332"/>
      <c r="AJ279" s="332"/>
      <c r="AK279" s="886" t="str">
        <f t="shared" si="32"/>
        <v/>
      </c>
      <c r="AL279" s="886"/>
      <c r="AM279" s="886"/>
      <c r="AN279" s="886"/>
      <c r="AO279" s="886"/>
      <c r="AP279" s="886"/>
      <c r="AQ279" s="886"/>
      <c r="AR279" s="886"/>
      <c r="AS279" s="886"/>
      <c r="AT279" s="886"/>
      <c r="AU279" s="886"/>
      <c r="AV279" s="1322"/>
      <c r="AW279" s="885" t="str">
        <f t="shared" si="33"/>
        <v/>
      </c>
      <c r="AX279" s="886"/>
      <c r="AY279" s="886"/>
      <c r="AZ279" s="886"/>
      <c r="BA279" s="886"/>
      <c r="BB279" s="886"/>
      <c r="BC279" s="886"/>
      <c r="BD279" s="886"/>
      <c r="BE279" s="886"/>
      <c r="BF279" s="886"/>
      <c r="BG279" s="886"/>
      <c r="BH279" s="886"/>
      <c r="BI279" s="886"/>
      <c r="BJ279" s="886"/>
      <c r="BK279" s="887"/>
      <c r="BL279" s="876"/>
      <c r="BM279" s="877"/>
      <c r="BN279" s="877"/>
      <c r="BO279" s="877"/>
      <c r="BP279" s="877"/>
      <c r="BQ279" s="877"/>
      <c r="BR279" s="877"/>
      <c r="BS279" s="877"/>
      <c r="BT279" s="877"/>
      <c r="BU279" s="877"/>
      <c r="BV279" s="877"/>
      <c r="BW279" s="877"/>
      <c r="BX279" s="877"/>
      <c r="BY279" s="877"/>
      <c r="BZ279" s="878"/>
      <c r="CA279" s="270"/>
      <c r="CB279" s="3" t="str">
        <f t="shared" si="28"/>
        <v>Riadok bude skrytý.</v>
      </c>
      <c r="CC279" s="271" t="s">
        <v>937</v>
      </c>
      <c r="CW279" s="30">
        <f t="shared" si="30"/>
        <v>1</v>
      </c>
      <c r="CX279" s="30">
        <f t="shared" si="34"/>
        <v>0</v>
      </c>
      <c r="CZ279" s="30">
        <f t="shared" si="31"/>
        <v>0</v>
      </c>
      <c r="DA279" s="52">
        <f t="shared" si="35"/>
        <v>0</v>
      </c>
      <c r="DB279" s="2">
        <f t="shared" si="27"/>
        <v>0</v>
      </c>
      <c r="DS279" s="130">
        <f>SI!BY279</f>
        <v>109</v>
      </c>
      <c r="DZ279" s="131">
        <f>SI!BZ279</f>
        <v>0</v>
      </c>
    </row>
    <row r="280" spans="1:130" hidden="1" x14ac:dyDescent="0.25">
      <c r="A280" s="141"/>
      <c r="B280" s="916"/>
      <c r="C280" s="917"/>
      <c r="D280" s="917"/>
      <c r="E280" s="917"/>
      <c r="F280" s="917"/>
      <c r="G280" s="917"/>
      <c r="H280" s="917"/>
      <c r="I280" s="917"/>
      <c r="J280" s="917"/>
      <c r="K280" s="917"/>
      <c r="L280" s="917"/>
      <c r="M280" s="917"/>
      <c r="N280" s="917"/>
      <c r="O280" s="917"/>
      <c r="P280" s="917"/>
      <c r="Q280" s="917"/>
      <c r="R280" s="917"/>
      <c r="S280" s="917"/>
      <c r="T280" s="917"/>
      <c r="U280" s="917"/>
      <c r="V280" s="917"/>
      <c r="W280" s="917"/>
      <c r="X280" s="918"/>
      <c r="Y280" s="869"/>
      <c r="Z280" s="332"/>
      <c r="AA280" s="332"/>
      <c r="AB280" s="332"/>
      <c r="AC280" s="332"/>
      <c r="AD280" s="332"/>
      <c r="AE280" s="332"/>
      <c r="AF280" s="332"/>
      <c r="AG280" s="332"/>
      <c r="AH280" s="332"/>
      <c r="AI280" s="332"/>
      <c r="AJ280" s="332"/>
      <c r="AK280" s="886" t="str">
        <f t="shared" si="32"/>
        <v/>
      </c>
      <c r="AL280" s="886"/>
      <c r="AM280" s="886"/>
      <c r="AN280" s="886"/>
      <c r="AO280" s="886"/>
      <c r="AP280" s="886"/>
      <c r="AQ280" s="886"/>
      <c r="AR280" s="886"/>
      <c r="AS280" s="886"/>
      <c r="AT280" s="886"/>
      <c r="AU280" s="886"/>
      <c r="AV280" s="1322"/>
      <c r="AW280" s="885" t="str">
        <f t="shared" si="33"/>
        <v/>
      </c>
      <c r="AX280" s="886"/>
      <c r="AY280" s="886"/>
      <c r="AZ280" s="886"/>
      <c r="BA280" s="886"/>
      <c r="BB280" s="886"/>
      <c r="BC280" s="886"/>
      <c r="BD280" s="886"/>
      <c r="BE280" s="886"/>
      <c r="BF280" s="886"/>
      <c r="BG280" s="886"/>
      <c r="BH280" s="886"/>
      <c r="BI280" s="886"/>
      <c r="BJ280" s="886"/>
      <c r="BK280" s="887"/>
      <c r="BL280" s="876"/>
      <c r="BM280" s="877"/>
      <c r="BN280" s="877"/>
      <c r="BO280" s="877"/>
      <c r="BP280" s="877"/>
      <c r="BQ280" s="877"/>
      <c r="BR280" s="877"/>
      <c r="BS280" s="877"/>
      <c r="BT280" s="877"/>
      <c r="BU280" s="877"/>
      <c r="BV280" s="877"/>
      <c r="BW280" s="877"/>
      <c r="BX280" s="877"/>
      <c r="BY280" s="877"/>
      <c r="BZ280" s="878"/>
      <c r="CA280" s="270"/>
      <c r="CB280" s="3" t="str">
        <f t="shared" si="28"/>
        <v>Riadok bude skrytý.</v>
      </c>
      <c r="CC280" s="271" t="s">
        <v>937</v>
      </c>
      <c r="CW280" s="30">
        <f t="shared" si="30"/>
        <v>1</v>
      </c>
      <c r="CX280" s="30">
        <f t="shared" si="34"/>
        <v>0</v>
      </c>
      <c r="CZ280" s="30">
        <f t="shared" si="31"/>
        <v>0</v>
      </c>
      <c r="DA280" s="52">
        <f t="shared" si="35"/>
        <v>0</v>
      </c>
      <c r="DB280" s="2">
        <f t="shared" si="27"/>
        <v>0</v>
      </c>
      <c r="DS280" s="130">
        <f>SI!BY280</f>
        <v>334</v>
      </c>
      <c r="DZ280" s="131">
        <f>SI!BZ280</f>
        <v>0</v>
      </c>
    </row>
    <row r="281" spans="1:130" hidden="1" x14ac:dyDescent="0.25">
      <c r="A281" s="141"/>
      <c r="B281" s="916"/>
      <c r="C281" s="917"/>
      <c r="D281" s="917"/>
      <c r="E281" s="917"/>
      <c r="F281" s="917"/>
      <c r="G281" s="917"/>
      <c r="H281" s="917"/>
      <c r="I281" s="917"/>
      <c r="J281" s="917"/>
      <c r="K281" s="917"/>
      <c r="L281" s="917"/>
      <c r="M281" s="917"/>
      <c r="N281" s="917"/>
      <c r="O281" s="917"/>
      <c r="P281" s="917"/>
      <c r="Q281" s="917"/>
      <c r="R281" s="917"/>
      <c r="S281" s="917"/>
      <c r="T281" s="917"/>
      <c r="U281" s="917"/>
      <c r="V281" s="917"/>
      <c r="W281" s="917"/>
      <c r="X281" s="918"/>
      <c r="Y281" s="869"/>
      <c r="Z281" s="332"/>
      <c r="AA281" s="332"/>
      <c r="AB281" s="332"/>
      <c r="AC281" s="332"/>
      <c r="AD281" s="332"/>
      <c r="AE281" s="332"/>
      <c r="AF281" s="332"/>
      <c r="AG281" s="332"/>
      <c r="AH281" s="332"/>
      <c r="AI281" s="332"/>
      <c r="AJ281" s="332"/>
      <c r="AK281" s="886" t="str">
        <f t="shared" si="32"/>
        <v/>
      </c>
      <c r="AL281" s="886"/>
      <c r="AM281" s="886"/>
      <c r="AN281" s="886"/>
      <c r="AO281" s="886"/>
      <c r="AP281" s="886"/>
      <c r="AQ281" s="886"/>
      <c r="AR281" s="886"/>
      <c r="AS281" s="886"/>
      <c r="AT281" s="886"/>
      <c r="AU281" s="886"/>
      <c r="AV281" s="1322"/>
      <c r="AW281" s="885" t="str">
        <f t="shared" si="33"/>
        <v/>
      </c>
      <c r="AX281" s="886"/>
      <c r="AY281" s="886"/>
      <c r="AZ281" s="886"/>
      <c r="BA281" s="886"/>
      <c r="BB281" s="886"/>
      <c r="BC281" s="886"/>
      <c r="BD281" s="886"/>
      <c r="BE281" s="886"/>
      <c r="BF281" s="886"/>
      <c r="BG281" s="886"/>
      <c r="BH281" s="886"/>
      <c r="BI281" s="886"/>
      <c r="BJ281" s="886"/>
      <c r="BK281" s="887"/>
      <c r="BL281" s="876"/>
      <c r="BM281" s="877"/>
      <c r="BN281" s="877"/>
      <c r="BO281" s="877"/>
      <c r="BP281" s="877"/>
      <c r="BQ281" s="877"/>
      <c r="BR281" s="877"/>
      <c r="BS281" s="877"/>
      <c r="BT281" s="877"/>
      <c r="BU281" s="877"/>
      <c r="BV281" s="877"/>
      <c r="BW281" s="877"/>
      <c r="BX281" s="877"/>
      <c r="BY281" s="877"/>
      <c r="BZ281" s="878"/>
      <c r="CA281" s="270"/>
      <c r="CB281" s="3" t="str">
        <f t="shared" si="28"/>
        <v>Riadok bude skrytý.</v>
      </c>
      <c r="CC281" s="271" t="s">
        <v>937</v>
      </c>
      <c r="CW281" s="30">
        <f t="shared" si="30"/>
        <v>1</v>
      </c>
      <c r="CX281" s="30">
        <f t="shared" si="34"/>
        <v>0</v>
      </c>
      <c r="CZ281" s="30">
        <f t="shared" si="31"/>
        <v>0</v>
      </c>
      <c r="DA281" s="52">
        <f t="shared" si="35"/>
        <v>0</v>
      </c>
      <c r="DB281" s="2">
        <f t="shared" si="27"/>
        <v>0</v>
      </c>
      <c r="DS281" s="130">
        <f>SI!BY281</f>
        <v>181</v>
      </c>
      <c r="DZ281" s="131">
        <f>SI!BZ281</f>
        <v>0</v>
      </c>
    </row>
    <row r="282" spans="1:130" hidden="1" x14ac:dyDescent="0.25">
      <c r="A282" s="141"/>
      <c r="B282" s="1319"/>
      <c r="C282" s="1320"/>
      <c r="D282" s="1320"/>
      <c r="E282" s="1320"/>
      <c r="F282" s="1320"/>
      <c r="G282" s="1320"/>
      <c r="H282" s="1320"/>
      <c r="I282" s="1320"/>
      <c r="J282" s="1320"/>
      <c r="K282" s="1320"/>
      <c r="L282" s="1320"/>
      <c r="M282" s="1320"/>
      <c r="N282" s="1320"/>
      <c r="O282" s="1320"/>
      <c r="P282" s="1320"/>
      <c r="Q282" s="1320"/>
      <c r="R282" s="1320"/>
      <c r="S282" s="1320"/>
      <c r="T282" s="1320"/>
      <c r="U282" s="1320"/>
      <c r="V282" s="1320"/>
      <c r="W282" s="1320"/>
      <c r="X282" s="1321"/>
      <c r="Y282" s="1080"/>
      <c r="Z282" s="1081"/>
      <c r="AA282" s="1081"/>
      <c r="AB282" s="1081"/>
      <c r="AC282" s="1081"/>
      <c r="AD282" s="1081"/>
      <c r="AE282" s="1081"/>
      <c r="AF282" s="1081"/>
      <c r="AG282" s="1081"/>
      <c r="AH282" s="1081"/>
      <c r="AI282" s="1081"/>
      <c r="AJ282" s="1081"/>
      <c r="AK282" s="1354" t="str">
        <f t="shared" si="32"/>
        <v/>
      </c>
      <c r="AL282" s="1354"/>
      <c r="AM282" s="1354"/>
      <c r="AN282" s="1354"/>
      <c r="AO282" s="1354"/>
      <c r="AP282" s="1354"/>
      <c r="AQ282" s="1354"/>
      <c r="AR282" s="1354"/>
      <c r="AS282" s="1354"/>
      <c r="AT282" s="1354"/>
      <c r="AU282" s="1354"/>
      <c r="AV282" s="1355"/>
      <c r="AW282" s="1778" t="str">
        <f t="shared" si="33"/>
        <v/>
      </c>
      <c r="AX282" s="1354"/>
      <c r="AY282" s="1354"/>
      <c r="AZ282" s="1354"/>
      <c r="BA282" s="1354"/>
      <c r="BB282" s="1354"/>
      <c r="BC282" s="1354"/>
      <c r="BD282" s="1354"/>
      <c r="BE282" s="1354"/>
      <c r="BF282" s="1354"/>
      <c r="BG282" s="1354"/>
      <c r="BH282" s="1354"/>
      <c r="BI282" s="1354"/>
      <c r="BJ282" s="1354"/>
      <c r="BK282" s="1779"/>
      <c r="BL282" s="1413"/>
      <c r="BM282" s="1414"/>
      <c r="BN282" s="1414"/>
      <c r="BO282" s="1414"/>
      <c r="BP282" s="1414"/>
      <c r="BQ282" s="1414"/>
      <c r="BR282" s="1414"/>
      <c r="BS282" s="1414"/>
      <c r="BT282" s="1414"/>
      <c r="BU282" s="1414"/>
      <c r="BV282" s="1414"/>
      <c r="BW282" s="1414"/>
      <c r="BX282" s="1414"/>
      <c r="BY282" s="1414"/>
      <c r="BZ282" s="1415"/>
      <c r="CA282" s="270"/>
      <c r="CB282" s="3" t="str">
        <f t="shared" si="28"/>
        <v>Riadok bude skrytý.</v>
      </c>
      <c r="CC282" s="271" t="s">
        <v>937</v>
      </c>
      <c r="CW282" s="30">
        <f t="shared" si="30"/>
        <v>1</v>
      </c>
      <c r="CX282" s="30">
        <f>+IF(B282="",1,1)</f>
        <v>1</v>
      </c>
      <c r="CZ282" s="30">
        <f t="shared" si="31"/>
        <v>0</v>
      </c>
      <c r="DA282" s="52">
        <f t="shared" si="35"/>
        <v>0</v>
      </c>
      <c r="DB282" s="2">
        <f t="shared" si="27"/>
        <v>0</v>
      </c>
      <c r="DS282" s="130">
        <f>SI!BY282</f>
        <v>511</v>
      </c>
      <c r="DZ282" s="131">
        <f>SI!BZ282</f>
        <v>0</v>
      </c>
    </row>
    <row r="283" spans="1:130" hidden="1" x14ac:dyDescent="0.25">
      <c r="A283" s="141"/>
      <c r="B283" s="1323" t="s">
        <v>45</v>
      </c>
      <c r="C283" s="1324"/>
      <c r="D283" s="1324"/>
      <c r="E283" s="1324"/>
      <c r="F283" s="1324"/>
      <c r="G283" s="1324"/>
      <c r="H283" s="1324"/>
      <c r="I283" s="1324"/>
      <c r="J283" s="1324"/>
      <c r="K283" s="1324"/>
      <c r="L283" s="1324"/>
      <c r="M283" s="1324"/>
      <c r="N283" s="1324"/>
      <c r="O283" s="1324"/>
      <c r="P283" s="1324"/>
      <c r="Q283" s="1324"/>
      <c r="R283" s="1324"/>
      <c r="S283" s="1324"/>
      <c r="T283" s="1324"/>
      <c r="U283" s="1324"/>
      <c r="V283" s="1324"/>
      <c r="W283" s="1324"/>
      <c r="X283" s="1325"/>
      <c r="Y283" s="1077">
        <f>+SUM(Y273:AI282)</f>
        <v>0</v>
      </c>
      <c r="Z283" s="1078"/>
      <c r="AA283" s="1078"/>
      <c r="AB283" s="1078"/>
      <c r="AC283" s="1078"/>
      <c r="AD283" s="1078"/>
      <c r="AE283" s="1078"/>
      <c r="AF283" s="1078"/>
      <c r="AG283" s="1078"/>
      <c r="AH283" s="1078"/>
      <c r="AI283" s="1078"/>
      <c r="AJ283" s="1078"/>
      <c r="AK283" s="1357">
        <f>+SUM(AK273:AV282)</f>
        <v>0</v>
      </c>
      <c r="AL283" s="1357"/>
      <c r="AM283" s="1357"/>
      <c r="AN283" s="1357"/>
      <c r="AO283" s="1357"/>
      <c r="AP283" s="1357"/>
      <c r="AQ283" s="1357"/>
      <c r="AR283" s="1357"/>
      <c r="AS283" s="1357"/>
      <c r="AT283" s="1357"/>
      <c r="AU283" s="1357"/>
      <c r="AV283" s="1360"/>
      <c r="AW283" s="1356">
        <f>+SUM(AW273:BK282)</f>
        <v>0</v>
      </c>
      <c r="AX283" s="1357"/>
      <c r="AY283" s="1357"/>
      <c r="AZ283" s="1357"/>
      <c r="BA283" s="1357"/>
      <c r="BB283" s="1357"/>
      <c r="BC283" s="1357"/>
      <c r="BD283" s="1357"/>
      <c r="BE283" s="1357"/>
      <c r="BF283" s="1357"/>
      <c r="BG283" s="1357"/>
      <c r="BH283" s="1357"/>
      <c r="BI283" s="1357"/>
      <c r="BJ283" s="1357"/>
      <c r="BK283" s="1358"/>
      <c r="BL283" s="1359">
        <f>+SUM(BL273:BZ282)</f>
        <v>0</v>
      </c>
      <c r="BM283" s="1357"/>
      <c r="BN283" s="1357"/>
      <c r="BO283" s="1357"/>
      <c r="BP283" s="1357"/>
      <c r="BQ283" s="1357"/>
      <c r="BR283" s="1357"/>
      <c r="BS283" s="1357"/>
      <c r="BT283" s="1357"/>
      <c r="BU283" s="1357"/>
      <c r="BV283" s="1357"/>
      <c r="BW283" s="1357"/>
      <c r="BX283" s="1357"/>
      <c r="BY283" s="1357"/>
      <c r="BZ283" s="1360"/>
      <c r="CA283" s="270"/>
      <c r="CB283" s="3" t="str">
        <f t="shared" si="28"/>
        <v>Riadok bude skrytý.</v>
      </c>
      <c r="CC283" s="271" t="s">
        <v>937</v>
      </c>
      <c r="CW283" s="30">
        <f t="shared" si="30"/>
        <v>1</v>
      </c>
      <c r="CZ283" s="30">
        <f t="shared" si="31"/>
        <v>0</v>
      </c>
      <c r="DA283" s="30">
        <f>+IF(CW283+CX283+CY283=0,0,IF(CZ283=0,0,1))</f>
        <v>0</v>
      </c>
      <c r="DB283" s="2">
        <f t="shared" si="27"/>
        <v>0</v>
      </c>
      <c r="DS283" s="130">
        <f>SI!BY283</f>
        <v>443</v>
      </c>
      <c r="DZ283" s="131">
        <f>SI!BZ283</f>
        <v>0</v>
      </c>
    </row>
    <row r="284" spans="1:130" hidden="1" x14ac:dyDescent="0.25">
      <c r="A284" s="141"/>
      <c r="CA284" s="270"/>
      <c r="CB284" s="3" t="str">
        <f t="shared" si="28"/>
        <v>Riadok bude skrytý.</v>
      </c>
      <c r="CC284" s="271" t="s">
        <v>937</v>
      </c>
      <c r="CW284" s="30">
        <f t="shared" si="30"/>
        <v>1</v>
      </c>
      <c r="CZ284" s="30">
        <f t="shared" si="31"/>
        <v>0</v>
      </c>
      <c r="DA284" s="30">
        <f>+IF(CW284+CX284+CY284=0,0,IF(CZ284=0,0,1))</f>
        <v>0</v>
      </c>
      <c r="DB284" s="2">
        <f t="shared" si="27"/>
        <v>0</v>
      </c>
      <c r="DS284" s="130">
        <f>SI!BY284</f>
        <v>108</v>
      </c>
      <c r="DZ284" s="131">
        <f>SI!BZ284</f>
        <v>0</v>
      </c>
    </row>
    <row r="285" spans="1:130" hidden="1" x14ac:dyDescent="0.25">
      <c r="A285" s="141"/>
      <c r="B285" s="137" t="s">
        <v>46</v>
      </c>
      <c r="N285" s="378" t="s">
        <v>852</v>
      </c>
      <c r="O285" s="378"/>
      <c r="P285" s="378"/>
      <c r="Q285" s="378"/>
      <c r="R285" s="378"/>
      <c r="S285" s="378"/>
      <c r="T285" s="137" t="str">
        <f>+IF($G$52&lt;&gt;"",IF(ROUNDDOWN(CODE(MID($G$52,1,1))*2,0)*(IF(SI!EE285="",1,SI!EE285))+(LEN(SI!J2)+LEN(SI!J3))=DS285,"k zmene v štruktúre spoločníkov/akcionárov Spoločnosti.","NEPOVOLENÉ POUŽITIE!"),"NEPOVOLENÉ POUŽITIE!")</f>
        <v>k zmene v štruktúre spoločníkov/akcionárov Spoločnosti.</v>
      </c>
      <c r="V285" s="38"/>
      <c r="W285" s="38"/>
      <c r="X285" s="38"/>
      <c r="CA285" s="265" t="s">
        <v>773</v>
      </c>
      <c r="CB285" s="3" t="str">
        <f t="shared" si="28"/>
        <v>Riadok bude skrytý.</v>
      </c>
      <c r="CC285" s="271" t="s">
        <v>937</v>
      </c>
      <c r="CD285" s="12"/>
      <c r="CG285" s="13"/>
      <c r="CW285" s="30">
        <f t="shared" si="30"/>
        <v>1</v>
      </c>
      <c r="CZ285" s="30">
        <f t="shared" si="31"/>
        <v>0</v>
      </c>
      <c r="DA285" s="30">
        <f>+IF(CW285+CX285+CY285=0,0,IF(CZ285=0,0,1))</f>
        <v>0</v>
      </c>
      <c r="DB285" s="2">
        <f t="shared" si="27"/>
        <v>0</v>
      </c>
      <c r="DS285" s="130">
        <f>SI!BY285</f>
        <v>18</v>
      </c>
      <c r="DZ285" s="131">
        <f>SI!BZ285</f>
        <v>0</v>
      </c>
    </row>
    <row r="286" spans="1:130" hidden="1" x14ac:dyDescent="0.25">
      <c r="A286" s="141"/>
      <c r="B286" s="137" t="str">
        <f>+IF(N285="nedošlo","","Do" )</f>
        <v>Do</v>
      </c>
      <c r="C286" s="19"/>
      <c r="D286" s="1330"/>
      <c r="E286" s="1330"/>
      <c r="F286" s="1330"/>
      <c r="G286" s="1330"/>
      <c r="H286" s="1330"/>
      <c r="I286" s="1330"/>
      <c r="J286" s="1330"/>
      <c r="K286" s="1330"/>
      <c r="L286" s="1330"/>
      <c r="M286" s="137" t="str">
        <f>+IF(N285="nedošlo","","bola štruktúra spoločníkov Spoločnosti takáto:")</f>
        <v>bola štruktúra spoločníkov Spoločnosti takáto:</v>
      </c>
      <c r="N286" s="101"/>
      <c r="BB286" s="19"/>
      <c r="BC286" s="19"/>
      <c r="BD286" s="19"/>
      <c r="BE286" s="19"/>
      <c r="BF286" s="19"/>
      <c r="CA286" s="270"/>
      <c r="CB286" s="3" t="str">
        <f t="shared" si="28"/>
        <v>Riadok bude skrytý.</v>
      </c>
      <c r="CC286" s="271" t="s">
        <v>937</v>
      </c>
      <c r="CD286" s="12"/>
      <c r="CW286" s="30">
        <f t="shared" si="30"/>
        <v>1</v>
      </c>
      <c r="CX286" s="30">
        <f>+IF(N285="nedošlo",0,1)</f>
        <v>1</v>
      </c>
      <c r="CZ286" s="30">
        <f t="shared" si="31"/>
        <v>0</v>
      </c>
      <c r="DA286" s="52">
        <f t="shared" ref="DA286:DA292" si="36">+IF(CW286*CX286=0,0,IF(CZ286=0,0,1))</f>
        <v>0</v>
      </c>
      <c r="DB286" s="2">
        <f t="shared" si="27"/>
        <v>0</v>
      </c>
      <c r="DS286" s="130">
        <f>SI!BY286</f>
        <v>4</v>
      </c>
      <c r="DZ286" s="131">
        <f>SI!BZ286</f>
        <v>0</v>
      </c>
    </row>
    <row r="287" spans="1:130" hidden="1" x14ac:dyDescent="0.25">
      <c r="A287" s="141"/>
      <c r="C287" s="19"/>
      <c r="D287" s="19"/>
      <c r="E287" s="19"/>
      <c r="F287" s="19"/>
      <c r="G287" s="19"/>
      <c r="H287" s="19"/>
      <c r="I287" s="19"/>
      <c r="J287" s="19"/>
      <c r="K287" s="19"/>
      <c r="CA287" s="270"/>
      <c r="CB287" s="3" t="str">
        <f t="shared" si="28"/>
        <v>Riadok bude skrytý.</v>
      </c>
      <c r="CC287" s="271" t="s">
        <v>937</v>
      </c>
      <c r="CW287" s="30">
        <f t="shared" si="30"/>
        <v>1</v>
      </c>
      <c r="CX287" s="30">
        <f>+IF(N285="nedošlo",0,1)</f>
        <v>1</v>
      </c>
      <c r="CZ287" s="30">
        <f t="shared" si="31"/>
        <v>0</v>
      </c>
      <c r="DA287" s="52">
        <f t="shared" si="36"/>
        <v>0</v>
      </c>
      <c r="DB287" s="2">
        <f t="shared" si="27"/>
        <v>0</v>
      </c>
      <c r="DS287" s="130">
        <f>SI!BY287</f>
        <v>498</v>
      </c>
      <c r="DZ287" s="131">
        <f>SI!BZ287</f>
        <v>0</v>
      </c>
    </row>
    <row r="288" spans="1:130" ht="14.95" hidden="1" customHeight="1" x14ac:dyDescent="0.25">
      <c r="A288" s="141"/>
      <c r="B288" s="543" t="s">
        <v>47</v>
      </c>
      <c r="C288" s="544"/>
      <c r="D288" s="544"/>
      <c r="E288" s="544"/>
      <c r="F288" s="544"/>
      <c r="G288" s="544"/>
      <c r="H288" s="544"/>
      <c r="I288" s="544"/>
      <c r="J288" s="544"/>
      <c r="K288" s="544"/>
      <c r="L288" s="544"/>
      <c r="M288" s="544"/>
      <c r="N288" s="544"/>
      <c r="O288" s="544"/>
      <c r="P288" s="544"/>
      <c r="Q288" s="544"/>
      <c r="R288" s="544"/>
      <c r="S288" s="544"/>
      <c r="T288" s="544"/>
      <c r="U288" s="544"/>
      <c r="V288" s="544"/>
      <c r="W288" s="544"/>
      <c r="X288" s="544"/>
      <c r="Y288" s="544"/>
      <c r="Z288" s="544"/>
      <c r="AA288" s="544"/>
      <c r="AB288" s="544"/>
      <c r="AC288" s="544"/>
      <c r="AD288" s="544"/>
      <c r="AE288" s="544"/>
      <c r="AF288" s="544"/>
      <c r="AG288" s="545"/>
      <c r="AH288" s="1348" t="s">
        <v>39</v>
      </c>
      <c r="AI288" s="1349"/>
      <c r="AJ288" s="1349"/>
      <c r="AK288" s="1349"/>
      <c r="AL288" s="1349"/>
      <c r="AM288" s="1349"/>
      <c r="AN288" s="1349"/>
      <c r="AO288" s="1349"/>
      <c r="AP288" s="1349"/>
      <c r="AQ288" s="1349"/>
      <c r="AR288" s="1349"/>
      <c r="AS288" s="1349"/>
      <c r="AT288" s="1349"/>
      <c r="AU288" s="1349"/>
      <c r="AV288" s="1349"/>
      <c r="AW288" s="1349"/>
      <c r="AX288" s="1349"/>
      <c r="AY288" s="1349"/>
      <c r="AZ288" s="1349"/>
      <c r="BA288" s="1349"/>
      <c r="BB288" s="1349"/>
      <c r="BC288" s="1349"/>
      <c r="BD288" s="1349"/>
      <c r="BE288" s="1349"/>
      <c r="BF288" s="1350"/>
      <c r="BG288" s="1301" t="s">
        <v>42</v>
      </c>
      <c r="BH288" s="1302"/>
      <c r="BI288" s="1302"/>
      <c r="BJ288" s="1302"/>
      <c r="BK288" s="1302"/>
      <c r="BL288" s="1302"/>
      <c r="BM288" s="1302"/>
      <c r="BN288" s="1302"/>
      <c r="BO288" s="1302"/>
      <c r="BP288" s="1302"/>
      <c r="BQ288" s="1303"/>
      <c r="BR288" s="1292" t="s">
        <v>43</v>
      </c>
      <c r="BS288" s="1293"/>
      <c r="BT288" s="1293"/>
      <c r="BU288" s="1293"/>
      <c r="BV288" s="1293"/>
      <c r="BW288" s="1293"/>
      <c r="BX288" s="1293"/>
      <c r="BY288" s="1293"/>
      <c r="BZ288" s="1294"/>
      <c r="CA288" s="270"/>
      <c r="CB288" s="3" t="str">
        <f t="shared" si="28"/>
        <v>Riadok bude skrytý.</v>
      </c>
      <c r="CC288" s="271" t="s">
        <v>937</v>
      </c>
      <c r="CD288" s="33"/>
      <c r="CW288" s="30">
        <f t="shared" si="30"/>
        <v>1</v>
      </c>
      <c r="CX288" s="32">
        <f>+IF(N285="nedošlo",0,1)</f>
        <v>1</v>
      </c>
      <c r="CZ288" s="30">
        <f t="shared" si="31"/>
        <v>0</v>
      </c>
      <c r="DA288" s="52">
        <f t="shared" si="36"/>
        <v>0</v>
      </c>
      <c r="DB288" s="2">
        <f t="shared" si="27"/>
        <v>0</v>
      </c>
      <c r="DS288" s="130">
        <f>SI!BY288</f>
        <v>181</v>
      </c>
      <c r="DZ288" s="131">
        <f>SI!BZ288</f>
        <v>0</v>
      </c>
    </row>
    <row r="289" spans="1:130" hidden="1" x14ac:dyDescent="0.25">
      <c r="A289" s="141"/>
      <c r="B289" s="546"/>
      <c r="C289" s="547"/>
      <c r="D289" s="547"/>
      <c r="E289" s="547"/>
      <c r="F289" s="547"/>
      <c r="G289" s="547"/>
      <c r="H289" s="547"/>
      <c r="I289" s="547"/>
      <c r="J289" s="547"/>
      <c r="K289" s="547"/>
      <c r="L289" s="547"/>
      <c r="M289" s="547"/>
      <c r="N289" s="547"/>
      <c r="O289" s="547"/>
      <c r="P289" s="547"/>
      <c r="Q289" s="547"/>
      <c r="R289" s="547"/>
      <c r="S289" s="547"/>
      <c r="T289" s="547"/>
      <c r="U289" s="547"/>
      <c r="V289" s="547"/>
      <c r="W289" s="547"/>
      <c r="X289" s="547"/>
      <c r="Y289" s="547"/>
      <c r="Z289" s="547"/>
      <c r="AA289" s="547"/>
      <c r="AB289" s="547"/>
      <c r="AC289" s="547"/>
      <c r="AD289" s="547"/>
      <c r="AE289" s="547"/>
      <c r="AF289" s="547"/>
      <c r="AG289" s="548"/>
      <c r="AH289" s="1351"/>
      <c r="AI289" s="1352"/>
      <c r="AJ289" s="1352"/>
      <c r="AK289" s="1352"/>
      <c r="AL289" s="1352"/>
      <c r="AM289" s="1352"/>
      <c r="AN289" s="1352"/>
      <c r="AO289" s="1352"/>
      <c r="AP289" s="1352"/>
      <c r="AQ289" s="1352"/>
      <c r="AR289" s="1352"/>
      <c r="AS289" s="1352"/>
      <c r="AT289" s="1352"/>
      <c r="AU289" s="1352"/>
      <c r="AV289" s="1352"/>
      <c r="AW289" s="1352"/>
      <c r="AX289" s="1352"/>
      <c r="AY289" s="1352"/>
      <c r="AZ289" s="1352"/>
      <c r="BA289" s="1352"/>
      <c r="BB289" s="1352"/>
      <c r="BC289" s="1352"/>
      <c r="BD289" s="1352"/>
      <c r="BE289" s="1352"/>
      <c r="BF289" s="1353"/>
      <c r="BG289" s="1304"/>
      <c r="BH289" s="1305"/>
      <c r="BI289" s="1305"/>
      <c r="BJ289" s="1305"/>
      <c r="BK289" s="1305"/>
      <c r="BL289" s="1305"/>
      <c r="BM289" s="1305"/>
      <c r="BN289" s="1305"/>
      <c r="BO289" s="1305"/>
      <c r="BP289" s="1305"/>
      <c r="BQ289" s="1306"/>
      <c r="BR289" s="1295"/>
      <c r="BS289" s="1296"/>
      <c r="BT289" s="1296"/>
      <c r="BU289" s="1296"/>
      <c r="BV289" s="1296"/>
      <c r="BW289" s="1296"/>
      <c r="BX289" s="1296"/>
      <c r="BY289" s="1296"/>
      <c r="BZ289" s="1297"/>
      <c r="CA289" s="270"/>
      <c r="CB289" s="3" t="str">
        <f t="shared" si="28"/>
        <v>Riadok bude skrytý.</v>
      </c>
      <c r="CC289" s="271" t="s">
        <v>937</v>
      </c>
      <c r="CD289" s="33"/>
      <c r="CW289" s="30">
        <f t="shared" si="30"/>
        <v>1</v>
      </c>
      <c r="CX289" s="32">
        <f>+IF(N285="nedošlo",0,1)</f>
        <v>1</v>
      </c>
      <c r="CZ289" s="30">
        <f t="shared" si="31"/>
        <v>0</v>
      </c>
      <c r="DA289" s="52">
        <f t="shared" si="36"/>
        <v>0</v>
      </c>
      <c r="DB289" s="2">
        <f t="shared" si="27"/>
        <v>0</v>
      </c>
      <c r="DS289" s="130">
        <f>SI!BY289</f>
        <v>191</v>
      </c>
      <c r="DZ289" s="131">
        <f>SI!BZ289</f>
        <v>0</v>
      </c>
    </row>
    <row r="290" spans="1:130" ht="14.95" hidden="1" customHeight="1" x14ac:dyDescent="0.25">
      <c r="A290" s="141"/>
      <c r="B290" s="1340" t="s">
        <v>44</v>
      </c>
      <c r="C290" s="1341"/>
      <c r="D290" s="1341"/>
      <c r="E290" s="1341"/>
      <c r="F290" s="1341"/>
      <c r="G290" s="1341"/>
      <c r="H290" s="1341"/>
      <c r="I290" s="1341"/>
      <c r="J290" s="1341"/>
      <c r="K290" s="1341"/>
      <c r="L290" s="1341"/>
      <c r="M290" s="1341"/>
      <c r="N290" s="1341"/>
      <c r="O290" s="1341"/>
      <c r="P290" s="1341"/>
      <c r="Q290" s="1341"/>
      <c r="R290" s="1341"/>
      <c r="S290" s="1341"/>
      <c r="T290" s="1341"/>
      <c r="U290" s="1341"/>
      <c r="V290" s="1341"/>
      <c r="W290" s="1341"/>
      <c r="X290" s="1342"/>
      <c r="Y290" s="1337" t="s">
        <v>801</v>
      </c>
      <c r="Z290" s="1338"/>
      <c r="AA290" s="1338"/>
      <c r="AB290" s="1338"/>
      <c r="AC290" s="1338"/>
      <c r="AD290" s="1338"/>
      <c r="AE290" s="1338"/>
      <c r="AF290" s="1338"/>
      <c r="AG290" s="1339"/>
      <c r="AH290" s="1346" t="s">
        <v>40</v>
      </c>
      <c r="AI290" s="1344"/>
      <c r="AJ290" s="1344"/>
      <c r="AK290" s="1344"/>
      <c r="AL290" s="1344"/>
      <c r="AM290" s="1344"/>
      <c r="AN290" s="1344"/>
      <c r="AO290" s="1344"/>
      <c r="AP290" s="1344"/>
      <c r="AQ290" s="1344"/>
      <c r="AR290" s="1344"/>
      <c r="AS290" s="1344"/>
      <c r="AT290" s="1344"/>
      <c r="AU290" s="1347"/>
      <c r="AV290" s="1343" t="s">
        <v>41</v>
      </c>
      <c r="AW290" s="1344"/>
      <c r="AX290" s="1344"/>
      <c r="AY290" s="1344"/>
      <c r="AZ290" s="1344"/>
      <c r="BA290" s="1344"/>
      <c r="BB290" s="1344"/>
      <c r="BC290" s="1344"/>
      <c r="BD290" s="1344"/>
      <c r="BE290" s="1344"/>
      <c r="BF290" s="1345"/>
      <c r="BG290" s="1307"/>
      <c r="BH290" s="1308"/>
      <c r="BI290" s="1308"/>
      <c r="BJ290" s="1308"/>
      <c r="BK290" s="1308"/>
      <c r="BL290" s="1308"/>
      <c r="BM290" s="1308"/>
      <c r="BN290" s="1308"/>
      <c r="BO290" s="1308"/>
      <c r="BP290" s="1308"/>
      <c r="BQ290" s="1309"/>
      <c r="BR290" s="1298"/>
      <c r="BS290" s="1299"/>
      <c r="BT290" s="1299"/>
      <c r="BU290" s="1299"/>
      <c r="BV290" s="1299"/>
      <c r="BW290" s="1299"/>
      <c r="BX290" s="1299"/>
      <c r="BY290" s="1299"/>
      <c r="BZ290" s="1300"/>
      <c r="CA290" s="270"/>
      <c r="CB290" s="3" t="str">
        <f t="shared" si="28"/>
        <v>Riadok bude skrytý.</v>
      </c>
      <c r="CC290" s="271" t="s">
        <v>937</v>
      </c>
      <c r="CW290" s="30">
        <f t="shared" si="30"/>
        <v>1</v>
      </c>
      <c r="CX290" s="32">
        <f>+IF(N285="nedošlo",0,1)</f>
        <v>1</v>
      </c>
      <c r="CZ290" s="30">
        <f t="shared" si="31"/>
        <v>0</v>
      </c>
      <c r="DA290" s="52">
        <f t="shared" si="36"/>
        <v>0</v>
      </c>
      <c r="DB290" s="2">
        <f t="shared" si="27"/>
        <v>0</v>
      </c>
      <c r="DS290" s="130">
        <f>SI!BY290</f>
        <v>176</v>
      </c>
      <c r="DZ290" s="131">
        <f>SI!BZ290</f>
        <v>0</v>
      </c>
    </row>
    <row r="291" spans="1:130" hidden="1" x14ac:dyDescent="0.25">
      <c r="A291" s="141"/>
      <c r="B291" s="1277" t="s">
        <v>0</v>
      </c>
      <c r="C291" s="1278"/>
      <c r="D291" s="1278"/>
      <c r="E291" s="1278"/>
      <c r="F291" s="1278"/>
      <c r="G291" s="1278"/>
      <c r="H291" s="1278"/>
      <c r="I291" s="1278"/>
      <c r="J291" s="1278"/>
      <c r="K291" s="1278"/>
      <c r="L291" s="1278"/>
      <c r="M291" s="1278"/>
      <c r="N291" s="1278"/>
      <c r="O291" s="1278"/>
      <c r="P291" s="1278"/>
      <c r="Q291" s="1278"/>
      <c r="R291" s="1278"/>
      <c r="S291" s="1278"/>
      <c r="T291" s="1278"/>
      <c r="U291" s="1278"/>
      <c r="V291" s="1278"/>
      <c r="W291" s="1278"/>
      <c r="X291" s="1279"/>
      <c r="Y291" s="1277" t="s">
        <v>1</v>
      </c>
      <c r="Z291" s="1278"/>
      <c r="AA291" s="1278"/>
      <c r="AB291" s="1278"/>
      <c r="AC291" s="1278"/>
      <c r="AD291" s="1278"/>
      <c r="AE291" s="1278"/>
      <c r="AF291" s="1278"/>
      <c r="AG291" s="1279"/>
      <c r="AH291" s="1277" t="s">
        <v>2</v>
      </c>
      <c r="AI291" s="1278"/>
      <c r="AJ291" s="1278"/>
      <c r="AK291" s="1278"/>
      <c r="AL291" s="1278"/>
      <c r="AM291" s="1278"/>
      <c r="AN291" s="1278"/>
      <c r="AO291" s="1278"/>
      <c r="AP291" s="1278"/>
      <c r="AQ291" s="1278"/>
      <c r="AR291" s="1278"/>
      <c r="AS291" s="1278"/>
      <c r="AT291" s="1278"/>
      <c r="AU291" s="1326"/>
      <c r="AV291" s="1329" t="s">
        <v>28</v>
      </c>
      <c r="AW291" s="1278"/>
      <c r="AX291" s="1278"/>
      <c r="AY291" s="1278"/>
      <c r="AZ291" s="1278"/>
      <c r="BA291" s="1278"/>
      <c r="BB291" s="1278"/>
      <c r="BC291" s="1278"/>
      <c r="BD291" s="1278"/>
      <c r="BE291" s="1278"/>
      <c r="BF291" s="1279"/>
      <c r="BG291" s="1277" t="s">
        <v>29</v>
      </c>
      <c r="BH291" s="1278"/>
      <c r="BI291" s="1278"/>
      <c r="BJ291" s="1278"/>
      <c r="BK291" s="1278"/>
      <c r="BL291" s="1278"/>
      <c r="BM291" s="1278"/>
      <c r="BN291" s="1278"/>
      <c r="BO291" s="1278"/>
      <c r="BP291" s="1278"/>
      <c r="BQ291" s="1279"/>
      <c r="BR291" s="1277" t="s">
        <v>103</v>
      </c>
      <c r="BS291" s="1278"/>
      <c r="BT291" s="1278"/>
      <c r="BU291" s="1278"/>
      <c r="BV291" s="1278"/>
      <c r="BW291" s="1278"/>
      <c r="BX291" s="1278"/>
      <c r="BY291" s="1278"/>
      <c r="BZ291" s="1279"/>
      <c r="CA291" s="270"/>
      <c r="CB291" s="3" t="str">
        <f t="shared" si="28"/>
        <v>Riadok bude skrytý.</v>
      </c>
      <c r="CC291" s="271" t="s">
        <v>937</v>
      </c>
      <c r="CW291" s="30">
        <f t="shared" si="30"/>
        <v>1</v>
      </c>
      <c r="CX291" s="32">
        <f>+IF(N285="nedošlo",0,1)</f>
        <v>1</v>
      </c>
      <c r="CZ291" s="30">
        <f t="shared" si="31"/>
        <v>0</v>
      </c>
      <c r="DA291" s="52">
        <f t="shared" si="36"/>
        <v>0</v>
      </c>
      <c r="DB291" s="2">
        <f t="shared" si="27"/>
        <v>0</v>
      </c>
      <c r="DS291" s="130">
        <f>SI!BY291</f>
        <v>1172</v>
      </c>
      <c r="DZ291" s="131">
        <f>SI!BZ291</f>
        <v>0</v>
      </c>
    </row>
    <row r="292" spans="1:130" hidden="1" x14ac:dyDescent="0.25">
      <c r="A292" s="141"/>
      <c r="B292" s="1258"/>
      <c r="C292" s="1259"/>
      <c r="D292" s="1259"/>
      <c r="E292" s="1259"/>
      <c r="F292" s="1259"/>
      <c r="G292" s="1259"/>
      <c r="H292" s="1259"/>
      <c r="I292" s="1259"/>
      <c r="J292" s="1259"/>
      <c r="K292" s="1259"/>
      <c r="L292" s="1259"/>
      <c r="M292" s="1259"/>
      <c r="N292" s="1259"/>
      <c r="O292" s="1259"/>
      <c r="P292" s="1259"/>
      <c r="Q292" s="1259"/>
      <c r="R292" s="1259"/>
      <c r="S292" s="1259"/>
      <c r="T292" s="1259"/>
      <c r="U292" s="1259"/>
      <c r="V292" s="1259"/>
      <c r="W292" s="1259"/>
      <c r="X292" s="1260"/>
      <c r="Y292" s="2058"/>
      <c r="Z292" s="2059"/>
      <c r="AA292" s="2059"/>
      <c r="AB292" s="2059"/>
      <c r="AC292" s="2059"/>
      <c r="AD292" s="2059"/>
      <c r="AE292" s="2059"/>
      <c r="AF292" s="2059"/>
      <c r="AG292" s="2060"/>
      <c r="AH292" s="1179"/>
      <c r="AI292" s="1180"/>
      <c r="AJ292" s="1180"/>
      <c r="AK292" s="1180"/>
      <c r="AL292" s="1180"/>
      <c r="AM292" s="1180"/>
      <c r="AN292" s="1180"/>
      <c r="AO292" s="1180"/>
      <c r="AP292" s="1180"/>
      <c r="AQ292" s="1180"/>
      <c r="AR292" s="1180"/>
      <c r="AS292" s="1180"/>
      <c r="AT292" s="1180"/>
      <c r="AU292" s="1181"/>
      <c r="AV292" s="1327" t="str">
        <f t="shared" ref="AV292:AV301" si="37">IF(IF($AH$302=0,"",+AH292/$AH$302)=0,"",IF($AH$302=0,"",+AH292/$AH$302))</f>
        <v/>
      </c>
      <c r="AW292" s="1328"/>
      <c r="AX292" s="1328"/>
      <c r="AY292" s="1328"/>
      <c r="AZ292" s="1328"/>
      <c r="BA292" s="1328"/>
      <c r="BB292" s="1328"/>
      <c r="BC292" s="1328"/>
      <c r="BD292" s="1328"/>
      <c r="BE292" s="1328"/>
      <c r="BF292" s="888"/>
      <c r="BG292" s="1289" t="str">
        <f t="shared" ref="BG292:BG301" si="38">+AV292</f>
        <v/>
      </c>
      <c r="BH292" s="1290"/>
      <c r="BI292" s="1290"/>
      <c r="BJ292" s="1290"/>
      <c r="BK292" s="1290"/>
      <c r="BL292" s="1290"/>
      <c r="BM292" s="1290"/>
      <c r="BN292" s="1290"/>
      <c r="BO292" s="1290"/>
      <c r="BP292" s="1290"/>
      <c r="BQ292" s="1291"/>
      <c r="BR292" s="1780"/>
      <c r="BS292" s="1781"/>
      <c r="BT292" s="1781"/>
      <c r="BU292" s="1781"/>
      <c r="BV292" s="1781"/>
      <c r="BW292" s="1781"/>
      <c r="BX292" s="1781"/>
      <c r="BY292" s="1781"/>
      <c r="BZ292" s="1782"/>
      <c r="CA292" s="270"/>
      <c r="CB292" s="3" t="str">
        <f t="shared" si="28"/>
        <v>Riadok bude skrytý.</v>
      </c>
      <c r="CC292" s="271" t="s">
        <v>937</v>
      </c>
      <c r="CW292" s="30">
        <f t="shared" ref="CW292:CW303" si="39">+IF($B$181="Fyzická osoba-SZČO",0,1)</f>
        <v>1</v>
      </c>
      <c r="CX292" s="32">
        <f>+IF(N285="nedošlo",0,1)</f>
        <v>1</v>
      </c>
      <c r="CZ292" s="30">
        <f t="shared" si="31"/>
        <v>0</v>
      </c>
      <c r="DA292" s="52">
        <f t="shared" si="36"/>
        <v>0</v>
      </c>
      <c r="DB292" s="2">
        <f t="shared" si="27"/>
        <v>0</v>
      </c>
      <c r="DS292" s="130">
        <f>SI!BY292</f>
        <v>193</v>
      </c>
      <c r="DZ292" s="131">
        <f>SI!BZ292</f>
        <v>0</v>
      </c>
    </row>
    <row r="293" spans="1:130" hidden="1" x14ac:dyDescent="0.25">
      <c r="A293" s="141"/>
      <c r="B293" s="907"/>
      <c r="C293" s="908"/>
      <c r="D293" s="908"/>
      <c r="E293" s="908"/>
      <c r="F293" s="908"/>
      <c r="G293" s="908"/>
      <c r="H293" s="908"/>
      <c r="I293" s="908"/>
      <c r="J293" s="908"/>
      <c r="K293" s="908"/>
      <c r="L293" s="908"/>
      <c r="M293" s="908"/>
      <c r="N293" s="908"/>
      <c r="O293" s="908"/>
      <c r="P293" s="908"/>
      <c r="Q293" s="908"/>
      <c r="R293" s="908"/>
      <c r="S293" s="908"/>
      <c r="T293" s="908"/>
      <c r="U293" s="908"/>
      <c r="V293" s="908"/>
      <c r="W293" s="908"/>
      <c r="X293" s="909"/>
      <c r="Y293" s="1283"/>
      <c r="Z293" s="1284"/>
      <c r="AA293" s="1284"/>
      <c r="AB293" s="1284"/>
      <c r="AC293" s="1284"/>
      <c r="AD293" s="1284"/>
      <c r="AE293" s="1284"/>
      <c r="AF293" s="1284"/>
      <c r="AG293" s="1285"/>
      <c r="AH293" s="1155"/>
      <c r="AI293" s="1156"/>
      <c r="AJ293" s="1156"/>
      <c r="AK293" s="1156"/>
      <c r="AL293" s="1156"/>
      <c r="AM293" s="1156"/>
      <c r="AN293" s="1156"/>
      <c r="AO293" s="1156"/>
      <c r="AP293" s="1156"/>
      <c r="AQ293" s="1156"/>
      <c r="AR293" s="1156"/>
      <c r="AS293" s="1156"/>
      <c r="AT293" s="1156"/>
      <c r="AU293" s="1157"/>
      <c r="AV293" s="1280" t="str">
        <f t="shared" si="37"/>
        <v/>
      </c>
      <c r="AW293" s="1281"/>
      <c r="AX293" s="1281"/>
      <c r="AY293" s="1281"/>
      <c r="AZ293" s="1281"/>
      <c r="BA293" s="1281"/>
      <c r="BB293" s="1281"/>
      <c r="BC293" s="1281"/>
      <c r="BD293" s="1281"/>
      <c r="BE293" s="1281"/>
      <c r="BF293" s="1282"/>
      <c r="BG293" s="1280" t="str">
        <f t="shared" si="38"/>
        <v/>
      </c>
      <c r="BH293" s="1281"/>
      <c r="BI293" s="1281"/>
      <c r="BJ293" s="1281"/>
      <c r="BK293" s="1281"/>
      <c r="BL293" s="1281"/>
      <c r="BM293" s="1281"/>
      <c r="BN293" s="1281"/>
      <c r="BO293" s="1281"/>
      <c r="BP293" s="1281"/>
      <c r="BQ293" s="1282"/>
      <c r="BR293" s="1286"/>
      <c r="BS293" s="1287"/>
      <c r="BT293" s="1287"/>
      <c r="BU293" s="1287"/>
      <c r="BV293" s="1287"/>
      <c r="BW293" s="1287"/>
      <c r="BX293" s="1287"/>
      <c r="BY293" s="1287"/>
      <c r="BZ293" s="1288"/>
      <c r="CA293" s="270"/>
      <c r="CB293" s="3" t="str">
        <f t="shared" si="28"/>
        <v>Riadok bude skrytý.</v>
      </c>
      <c r="CC293" s="271" t="s">
        <v>937</v>
      </c>
      <c r="CW293" s="30">
        <f t="shared" si="39"/>
        <v>1</v>
      </c>
      <c r="CX293" s="32">
        <f>+IF(N285="nedošlo",0,1)</f>
        <v>1</v>
      </c>
      <c r="CY293" s="30">
        <f t="shared" ref="CY293:CY300" si="40">+IF(B293="",0,1)</f>
        <v>0</v>
      </c>
      <c r="CZ293" s="30">
        <f t="shared" si="31"/>
        <v>0</v>
      </c>
      <c r="DA293" s="53">
        <f>+IF(CW293*CX293*CY293=0,0,IF(CZ293=0,0,1))</f>
        <v>0</v>
      </c>
      <c r="DB293" s="2">
        <f t="shared" ref="DB293:DB302" si="41">+IF($CD$1="malé",0,DA293)</f>
        <v>0</v>
      </c>
      <c r="DS293" s="130">
        <f>SI!BY293</f>
        <v>150</v>
      </c>
      <c r="DZ293" s="131">
        <f>SI!BZ293</f>
        <v>0</v>
      </c>
    </row>
    <row r="294" spans="1:130" hidden="1" x14ac:dyDescent="0.25">
      <c r="A294" s="141"/>
      <c r="B294" s="907"/>
      <c r="C294" s="908"/>
      <c r="D294" s="908"/>
      <c r="E294" s="908"/>
      <c r="F294" s="908"/>
      <c r="G294" s="908"/>
      <c r="H294" s="908"/>
      <c r="I294" s="908"/>
      <c r="J294" s="908"/>
      <c r="K294" s="908"/>
      <c r="L294" s="908"/>
      <c r="M294" s="908"/>
      <c r="N294" s="908"/>
      <c r="O294" s="908"/>
      <c r="P294" s="908"/>
      <c r="Q294" s="908"/>
      <c r="R294" s="908"/>
      <c r="S294" s="908"/>
      <c r="T294" s="908"/>
      <c r="U294" s="908"/>
      <c r="V294" s="908"/>
      <c r="W294" s="908"/>
      <c r="X294" s="909"/>
      <c r="Y294" s="1283"/>
      <c r="Z294" s="1284"/>
      <c r="AA294" s="1284"/>
      <c r="AB294" s="1284"/>
      <c r="AC294" s="1284"/>
      <c r="AD294" s="1284"/>
      <c r="AE294" s="1284"/>
      <c r="AF294" s="1284"/>
      <c r="AG294" s="1285"/>
      <c r="AH294" s="1155"/>
      <c r="AI294" s="1156"/>
      <c r="AJ294" s="1156"/>
      <c r="AK294" s="1156"/>
      <c r="AL294" s="1156"/>
      <c r="AM294" s="1156"/>
      <c r="AN294" s="1156"/>
      <c r="AO294" s="1156"/>
      <c r="AP294" s="1156"/>
      <c r="AQ294" s="1156"/>
      <c r="AR294" s="1156"/>
      <c r="AS294" s="1156"/>
      <c r="AT294" s="1156"/>
      <c r="AU294" s="1157"/>
      <c r="AV294" s="1280" t="str">
        <f t="shared" si="37"/>
        <v/>
      </c>
      <c r="AW294" s="1281"/>
      <c r="AX294" s="1281"/>
      <c r="AY294" s="1281"/>
      <c r="AZ294" s="1281"/>
      <c r="BA294" s="1281"/>
      <c r="BB294" s="1281"/>
      <c r="BC294" s="1281"/>
      <c r="BD294" s="1281"/>
      <c r="BE294" s="1281"/>
      <c r="BF294" s="1282"/>
      <c r="BG294" s="1280" t="str">
        <f t="shared" si="38"/>
        <v/>
      </c>
      <c r="BH294" s="1281"/>
      <c r="BI294" s="1281"/>
      <c r="BJ294" s="1281"/>
      <c r="BK294" s="1281"/>
      <c r="BL294" s="1281"/>
      <c r="BM294" s="1281"/>
      <c r="BN294" s="1281"/>
      <c r="BO294" s="1281"/>
      <c r="BP294" s="1281"/>
      <c r="BQ294" s="1282"/>
      <c r="BR294" s="1286"/>
      <c r="BS294" s="1287"/>
      <c r="BT294" s="1287"/>
      <c r="BU294" s="1287"/>
      <c r="BV294" s="1287"/>
      <c r="BW294" s="1287"/>
      <c r="BX294" s="1287"/>
      <c r="BY294" s="1287"/>
      <c r="BZ294" s="1288"/>
      <c r="CA294" s="270"/>
      <c r="CB294" s="3" t="str">
        <f t="shared" si="28"/>
        <v>Riadok bude skrytý.</v>
      </c>
      <c r="CC294" s="271" t="s">
        <v>937</v>
      </c>
      <c r="CW294" s="30">
        <f t="shared" si="39"/>
        <v>1</v>
      </c>
      <c r="CX294" s="32">
        <f>+IF(N285="nedošlo",0,1)</f>
        <v>1</v>
      </c>
      <c r="CY294" s="30">
        <f t="shared" si="40"/>
        <v>0</v>
      </c>
      <c r="CZ294" s="30">
        <f t="shared" si="31"/>
        <v>0</v>
      </c>
      <c r="DA294" s="53">
        <f t="shared" ref="DA294:DA301" si="42">+IF(CW294*CX294*CY294=0,0,IF(CZ294=0,0,1))</f>
        <v>0</v>
      </c>
      <c r="DB294" s="2">
        <f t="shared" si="41"/>
        <v>0</v>
      </c>
      <c r="DS294" s="130">
        <f>SI!BY294</f>
        <v>180</v>
      </c>
      <c r="DZ294" s="131">
        <f>SI!BZ294</f>
        <v>0</v>
      </c>
    </row>
    <row r="295" spans="1:130" hidden="1" x14ac:dyDescent="0.25">
      <c r="A295" s="141"/>
      <c r="B295" s="907"/>
      <c r="C295" s="908"/>
      <c r="D295" s="908"/>
      <c r="E295" s="908"/>
      <c r="F295" s="908"/>
      <c r="G295" s="908"/>
      <c r="H295" s="908"/>
      <c r="I295" s="908"/>
      <c r="J295" s="908"/>
      <c r="K295" s="908"/>
      <c r="L295" s="908"/>
      <c r="M295" s="908"/>
      <c r="N295" s="908"/>
      <c r="O295" s="908"/>
      <c r="P295" s="908"/>
      <c r="Q295" s="908"/>
      <c r="R295" s="908"/>
      <c r="S295" s="908"/>
      <c r="T295" s="908"/>
      <c r="U295" s="908"/>
      <c r="V295" s="908"/>
      <c r="W295" s="908"/>
      <c r="X295" s="909"/>
      <c r="Y295" s="1283"/>
      <c r="Z295" s="1284"/>
      <c r="AA295" s="1284"/>
      <c r="AB295" s="1284"/>
      <c r="AC295" s="1284"/>
      <c r="AD295" s="1284"/>
      <c r="AE295" s="1284"/>
      <c r="AF295" s="1284"/>
      <c r="AG295" s="1285"/>
      <c r="AH295" s="1155"/>
      <c r="AI295" s="1156"/>
      <c r="AJ295" s="1156"/>
      <c r="AK295" s="1156"/>
      <c r="AL295" s="1156"/>
      <c r="AM295" s="1156"/>
      <c r="AN295" s="1156"/>
      <c r="AO295" s="1156"/>
      <c r="AP295" s="1156"/>
      <c r="AQ295" s="1156"/>
      <c r="AR295" s="1156"/>
      <c r="AS295" s="1156"/>
      <c r="AT295" s="1156"/>
      <c r="AU295" s="1157"/>
      <c r="AV295" s="1280" t="str">
        <f t="shared" si="37"/>
        <v/>
      </c>
      <c r="AW295" s="1281"/>
      <c r="AX295" s="1281"/>
      <c r="AY295" s="1281"/>
      <c r="AZ295" s="1281"/>
      <c r="BA295" s="1281"/>
      <c r="BB295" s="1281"/>
      <c r="BC295" s="1281"/>
      <c r="BD295" s="1281"/>
      <c r="BE295" s="1281"/>
      <c r="BF295" s="1282"/>
      <c r="BG295" s="1280" t="str">
        <f t="shared" si="38"/>
        <v/>
      </c>
      <c r="BH295" s="1281"/>
      <c r="BI295" s="1281"/>
      <c r="BJ295" s="1281"/>
      <c r="BK295" s="1281"/>
      <c r="BL295" s="1281"/>
      <c r="BM295" s="1281"/>
      <c r="BN295" s="1281"/>
      <c r="BO295" s="1281"/>
      <c r="BP295" s="1281"/>
      <c r="BQ295" s="1282"/>
      <c r="BR295" s="1286"/>
      <c r="BS295" s="1287"/>
      <c r="BT295" s="1287"/>
      <c r="BU295" s="1287"/>
      <c r="BV295" s="1287"/>
      <c r="BW295" s="1287"/>
      <c r="BX295" s="1287"/>
      <c r="BY295" s="1287"/>
      <c r="BZ295" s="1288"/>
      <c r="CA295" s="270"/>
      <c r="CB295" s="3" t="str">
        <f t="shared" si="28"/>
        <v>Riadok bude skrytý.</v>
      </c>
      <c r="CC295" s="271" t="s">
        <v>937</v>
      </c>
      <c r="CW295" s="30">
        <f t="shared" si="39"/>
        <v>1</v>
      </c>
      <c r="CX295" s="32">
        <f>+IF(N285="nedošlo",0,1)</f>
        <v>1</v>
      </c>
      <c r="CY295" s="30">
        <f t="shared" si="40"/>
        <v>0</v>
      </c>
      <c r="CZ295" s="30">
        <f t="shared" si="31"/>
        <v>0</v>
      </c>
      <c r="DA295" s="53">
        <f t="shared" si="42"/>
        <v>0</v>
      </c>
      <c r="DB295" s="2">
        <f t="shared" si="41"/>
        <v>0</v>
      </c>
      <c r="DS295" s="130">
        <f>SI!BY295</f>
        <v>121</v>
      </c>
      <c r="DZ295" s="131">
        <f>SI!BZ295</f>
        <v>0</v>
      </c>
    </row>
    <row r="296" spans="1:130" hidden="1" x14ac:dyDescent="0.25">
      <c r="A296" s="141"/>
      <c r="B296" s="907"/>
      <c r="C296" s="908"/>
      <c r="D296" s="908"/>
      <c r="E296" s="908"/>
      <c r="F296" s="908"/>
      <c r="G296" s="908"/>
      <c r="H296" s="908"/>
      <c r="I296" s="908"/>
      <c r="J296" s="908"/>
      <c r="K296" s="908"/>
      <c r="L296" s="908"/>
      <c r="M296" s="908"/>
      <c r="N296" s="908"/>
      <c r="O296" s="908"/>
      <c r="P296" s="908"/>
      <c r="Q296" s="908"/>
      <c r="R296" s="908"/>
      <c r="S296" s="908"/>
      <c r="T296" s="908"/>
      <c r="U296" s="908"/>
      <c r="V296" s="908"/>
      <c r="W296" s="908"/>
      <c r="X296" s="909"/>
      <c r="Y296" s="1283"/>
      <c r="Z296" s="1284"/>
      <c r="AA296" s="1284"/>
      <c r="AB296" s="1284"/>
      <c r="AC296" s="1284"/>
      <c r="AD296" s="1284"/>
      <c r="AE296" s="1284"/>
      <c r="AF296" s="1284"/>
      <c r="AG296" s="1285"/>
      <c r="AH296" s="1155"/>
      <c r="AI296" s="1156"/>
      <c r="AJ296" s="1156"/>
      <c r="AK296" s="1156"/>
      <c r="AL296" s="1156"/>
      <c r="AM296" s="1156"/>
      <c r="AN296" s="1156"/>
      <c r="AO296" s="1156"/>
      <c r="AP296" s="1156"/>
      <c r="AQ296" s="1156"/>
      <c r="AR296" s="1156"/>
      <c r="AS296" s="1156"/>
      <c r="AT296" s="1156"/>
      <c r="AU296" s="1157"/>
      <c r="AV296" s="1280" t="str">
        <f t="shared" si="37"/>
        <v/>
      </c>
      <c r="AW296" s="1281"/>
      <c r="AX296" s="1281"/>
      <c r="AY296" s="1281"/>
      <c r="AZ296" s="1281"/>
      <c r="BA296" s="1281"/>
      <c r="BB296" s="1281"/>
      <c r="BC296" s="1281"/>
      <c r="BD296" s="1281"/>
      <c r="BE296" s="1281"/>
      <c r="BF296" s="1282"/>
      <c r="BG296" s="1280" t="str">
        <f t="shared" si="38"/>
        <v/>
      </c>
      <c r="BH296" s="1281"/>
      <c r="BI296" s="1281"/>
      <c r="BJ296" s="1281"/>
      <c r="BK296" s="1281"/>
      <c r="BL296" s="1281"/>
      <c r="BM296" s="1281"/>
      <c r="BN296" s="1281"/>
      <c r="BO296" s="1281"/>
      <c r="BP296" s="1281"/>
      <c r="BQ296" s="1282"/>
      <c r="BR296" s="1286"/>
      <c r="BS296" s="1287"/>
      <c r="BT296" s="1287"/>
      <c r="BU296" s="1287"/>
      <c r="BV296" s="1287"/>
      <c r="BW296" s="1287"/>
      <c r="BX296" s="1287"/>
      <c r="BY296" s="1287"/>
      <c r="BZ296" s="1288"/>
      <c r="CA296" s="270"/>
      <c r="CB296" s="3" t="str">
        <f t="shared" si="28"/>
        <v>Riadok bude skrytý.</v>
      </c>
      <c r="CC296" s="271" t="s">
        <v>937</v>
      </c>
      <c r="CW296" s="30">
        <f t="shared" si="39"/>
        <v>1</v>
      </c>
      <c r="CX296" s="32">
        <f>+IF(N285="nedošlo",0,1)</f>
        <v>1</v>
      </c>
      <c r="CY296" s="30">
        <f t="shared" si="40"/>
        <v>0</v>
      </c>
      <c r="CZ296" s="30">
        <f t="shared" si="31"/>
        <v>0</v>
      </c>
      <c r="DA296" s="53">
        <f t="shared" si="42"/>
        <v>0</v>
      </c>
      <c r="DB296" s="2">
        <f t="shared" si="41"/>
        <v>0</v>
      </c>
      <c r="DS296" s="130">
        <f>SI!BY296</f>
        <v>178</v>
      </c>
      <c r="DZ296" s="131">
        <f>SI!BZ296</f>
        <v>0</v>
      </c>
    </row>
    <row r="297" spans="1:130" hidden="1" x14ac:dyDescent="0.25">
      <c r="A297" s="141"/>
      <c r="B297" s="907"/>
      <c r="C297" s="908"/>
      <c r="D297" s="908"/>
      <c r="E297" s="908"/>
      <c r="F297" s="908"/>
      <c r="G297" s="908"/>
      <c r="H297" s="908"/>
      <c r="I297" s="908"/>
      <c r="J297" s="908"/>
      <c r="K297" s="908"/>
      <c r="L297" s="908"/>
      <c r="M297" s="908"/>
      <c r="N297" s="908"/>
      <c r="O297" s="908"/>
      <c r="P297" s="908"/>
      <c r="Q297" s="908"/>
      <c r="R297" s="908"/>
      <c r="S297" s="908"/>
      <c r="T297" s="908"/>
      <c r="U297" s="908"/>
      <c r="V297" s="908"/>
      <c r="W297" s="908"/>
      <c r="X297" s="909"/>
      <c r="Y297" s="1283"/>
      <c r="Z297" s="1284"/>
      <c r="AA297" s="1284"/>
      <c r="AB297" s="1284"/>
      <c r="AC297" s="1284"/>
      <c r="AD297" s="1284"/>
      <c r="AE297" s="1284"/>
      <c r="AF297" s="1284"/>
      <c r="AG297" s="1285"/>
      <c r="AH297" s="1155"/>
      <c r="AI297" s="1156"/>
      <c r="AJ297" s="1156"/>
      <c r="AK297" s="1156"/>
      <c r="AL297" s="1156"/>
      <c r="AM297" s="1156"/>
      <c r="AN297" s="1156"/>
      <c r="AO297" s="1156"/>
      <c r="AP297" s="1156"/>
      <c r="AQ297" s="1156"/>
      <c r="AR297" s="1156"/>
      <c r="AS297" s="1156"/>
      <c r="AT297" s="1156"/>
      <c r="AU297" s="1157"/>
      <c r="AV297" s="1280" t="str">
        <f t="shared" si="37"/>
        <v/>
      </c>
      <c r="AW297" s="1281"/>
      <c r="AX297" s="1281"/>
      <c r="AY297" s="1281"/>
      <c r="AZ297" s="1281"/>
      <c r="BA297" s="1281"/>
      <c r="BB297" s="1281"/>
      <c r="BC297" s="1281"/>
      <c r="BD297" s="1281"/>
      <c r="BE297" s="1281"/>
      <c r="BF297" s="1282"/>
      <c r="BG297" s="1280" t="str">
        <f t="shared" si="38"/>
        <v/>
      </c>
      <c r="BH297" s="1281"/>
      <c r="BI297" s="1281"/>
      <c r="BJ297" s="1281"/>
      <c r="BK297" s="1281"/>
      <c r="BL297" s="1281"/>
      <c r="BM297" s="1281"/>
      <c r="BN297" s="1281"/>
      <c r="BO297" s="1281"/>
      <c r="BP297" s="1281"/>
      <c r="BQ297" s="1282"/>
      <c r="BR297" s="1286"/>
      <c r="BS297" s="1287"/>
      <c r="BT297" s="1287"/>
      <c r="BU297" s="1287"/>
      <c r="BV297" s="1287"/>
      <c r="BW297" s="1287"/>
      <c r="BX297" s="1287"/>
      <c r="BY297" s="1287"/>
      <c r="BZ297" s="1288"/>
      <c r="CA297" s="270"/>
      <c r="CB297" s="3" t="str">
        <f t="shared" si="28"/>
        <v>Riadok bude skrytý.</v>
      </c>
      <c r="CC297" s="271" t="s">
        <v>937</v>
      </c>
      <c r="CW297" s="30">
        <f t="shared" si="39"/>
        <v>1</v>
      </c>
      <c r="CX297" s="32">
        <f>+IF(N285="nedošlo",0,1)</f>
        <v>1</v>
      </c>
      <c r="CY297" s="30">
        <f t="shared" si="40"/>
        <v>0</v>
      </c>
      <c r="CZ297" s="30">
        <f t="shared" si="31"/>
        <v>0</v>
      </c>
      <c r="DA297" s="53">
        <f t="shared" si="42"/>
        <v>0</v>
      </c>
      <c r="DB297" s="2">
        <f t="shared" si="41"/>
        <v>0</v>
      </c>
      <c r="DS297" s="130">
        <f>SI!BY297</f>
        <v>437</v>
      </c>
      <c r="DZ297" s="131">
        <f>SI!BZ297</f>
        <v>0</v>
      </c>
    </row>
    <row r="298" spans="1:130" hidden="1" x14ac:dyDescent="0.25">
      <c r="A298" s="141"/>
      <c r="B298" s="907"/>
      <c r="C298" s="908"/>
      <c r="D298" s="908"/>
      <c r="E298" s="908"/>
      <c r="F298" s="908"/>
      <c r="G298" s="908"/>
      <c r="H298" s="908"/>
      <c r="I298" s="908"/>
      <c r="J298" s="908"/>
      <c r="K298" s="908"/>
      <c r="L298" s="908"/>
      <c r="M298" s="908"/>
      <c r="N298" s="908"/>
      <c r="O298" s="908"/>
      <c r="P298" s="908"/>
      <c r="Q298" s="908"/>
      <c r="R298" s="908"/>
      <c r="S298" s="908"/>
      <c r="T298" s="908"/>
      <c r="U298" s="908"/>
      <c r="V298" s="908"/>
      <c r="W298" s="908"/>
      <c r="X298" s="909"/>
      <c r="Y298" s="1283"/>
      <c r="Z298" s="1284"/>
      <c r="AA298" s="1284"/>
      <c r="AB298" s="1284"/>
      <c r="AC298" s="1284"/>
      <c r="AD298" s="1284"/>
      <c r="AE298" s="1284"/>
      <c r="AF298" s="1284"/>
      <c r="AG298" s="1285"/>
      <c r="AH298" s="1155"/>
      <c r="AI298" s="1156"/>
      <c r="AJ298" s="1156"/>
      <c r="AK298" s="1156"/>
      <c r="AL298" s="1156"/>
      <c r="AM298" s="1156"/>
      <c r="AN298" s="1156"/>
      <c r="AO298" s="1156"/>
      <c r="AP298" s="1156"/>
      <c r="AQ298" s="1156"/>
      <c r="AR298" s="1156"/>
      <c r="AS298" s="1156"/>
      <c r="AT298" s="1156"/>
      <c r="AU298" s="1157"/>
      <c r="AV298" s="1280" t="str">
        <f t="shared" si="37"/>
        <v/>
      </c>
      <c r="AW298" s="1281"/>
      <c r="AX298" s="1281"/>
      <c r="AY298" s="1281"/>
      <c r="AZ298" s="1281"/>
      <c r="BA298" s="1281"/>
      <c r="BB298" s="1281"/>
      <c r="BC298" s="1281"/>
      <c r="BD298" s="1281"/>
      <c r="BE298" s="1281"/>
      <c r="BF298" s="1282"/>
      <c r="BG298" s="1280" t="str">
        <f t="shared" si="38"/>
        <v/>
      </c>
      <c r="BH298" s="1281"/>
      <c r="BI298" s="1281"/>
      <c r="BJ298" s="1281"/>
      <c r="BK298" s="1281"/>
      <c r="BL298" s="1281"/>
      <c r="BM298" s="1281"/>
      <c r="BN298" s="1281"/>
      <c r="BO298" s="1281"/>
      <c r="BP298" s="1281"/>
      <c r="BQ298" s="1282"/>
      <c r="BR298" s="1286"/>
      <c r="BS298" s="1287"/>
      <c r="BT298" s="1287"/>
      <c r="BU298" s="1287"/>
      <c r="BV298" s="1287"/>
      <c r="BW298" s="1287"/>
      <c r="BX298" s="1287"/>
      <c r="BY298" s="1287"/>
      <c r="BZ298" s="1288"/>
      <c r="CA298" s="270"/>
      <c r="CB298" s="3" t="str">
        <f t="shared" si="28"/>
        <v>Riadok bude skrytý.</v>
      </c>
      <c r="CC298" s="271" t="s">
        <v>937</v>
      </c>
      <c r="CW298" s="30">
        <f t="shared" si="39"/>
        <v>1</v>
      </c>
      <c r="CX298" s="32">
        <f>+IF(N285="nedošlo",0,1)</f>
        <v>1</v>
      </c>
      <c r="CY298" s="30">
        <f t="shared" si="40"/>
        <v>0</v>
      </c>
      <c r="CZ298" s="30">
        <f t="shared" si="31"/>
        <v>0</v>
      </c>
      <c r="DA298" s="53">
        <f t="shared" si="42"/>
        <v>0</v>
      </c>
      <c r="DB298" s="2">
        <f t="shared" si="41"/>
        <v>0</v>
      </c>
      <c r="DS298" s="130">
        <f>SI!BY298</f>
        <v>177</v>
      </c>
      <c r="DZ298" s="131">
        <f>SI!BZ298</f>
        <v>0</v>
      </c>
    </row>
    <row r="299" spans="1:130" hidden="1" x14ac:dyDescent="0.25">
      <c r="A299" s="141"/>
      <c r="B299" s="907"/>
      <c r="C299" s="908"/>
      <c r="D299" s="908"/>
      <c r="E299" s="908"/>
      <c r="F299" s="908"/>
      <c r="G299" s="908"/>
      <c r="H299" s="908"/>
      <c r="I299" s="908"/>
      <c r="J299" s="908"/>
      <c r="K299" s="908"/>
      <c r="L299" s="908"/>
      <c r="M299" s="908"/>
      <c r="N299" s="908"/>
      <c r="O299" s="908"/>
      <c r="P299" s="908"/>
      <c r="Q299" s="908"/>
      <c r="R299" s="908"/>
      <c r="S299" s="908"/>
      <c r="T299" s="908"/>
      <c r="U299" s="908"/>
      <c r="V299" s="908"/>
      <c r="W299" s="908"/>
      <c r="X299" s="909"/>
      <c r="Y299" s="1283"/>
      <c r="Z299" s="1284"/>
      <c r="AA299" s="1284"/>
      <c r="AB299" s="1284"/>
      <c r="AC299" s="1284"/>
      <c r="AD299" s="1284"/>
      <c r="AE299" s="1284"/>
      <c r="AF299" s="1284"/>
      <c r="AG299" s="1285"/>
      <c r="AH299" s="1155"/>
      <c r="AI299" s="1156"/>
      <c r="AJ299" s="1156"/>
      <c r="AK299" s="1156"/>
      <c r="AL299" s="1156"/>
      <c r="AM299" s="1156"/>
      <c r="AN299" s="1156"/>
      <c r="AO299" s="1156"/>
      <c r="AP299" s="1156"/>
      <c r="AQ299" s="1156"/>
      <c r="AR299" s="1156"/>
      <c r="AS299" s="1156"/>
      <c r="AT299" s="1156"/>
      <c r="AU299" s="1157"/>
      <c r="AV299" s="1280" t="str">
        <f t="shared" si="37"/>
        <v/>
      </c>
      <c r="AW299" s="1281"/>
      <c r="AX299" s="1281"/>
      <c r="AY299" s="1281"/>
      <c r="AZ299" s="1281"/>
      <c r="BA299" s="1281"/>
      <c r="BB299" s="1281"/>
      <c r="BC299" s="1281"/>
      <c r="BD299" s="1281"/>
      <c r="BE299" s="1281"/>
      <c r="BF299" s="1282"/>
      <c r="BG299" s="1280" t="str">
        <f t="shared" si="38"/>
        <v/>
      </c>
      <c r="BH299" s="1281"/>
      <c r="BI299" s="1281"/>
      <c r="BJ299" s="1281"/>
      <c r="BK299" s="1281"/>
      <c r="BL299" s="1281"/>
      <c r="BM299" s="1281"/>
      <c r="BN299" s="1281"/>
      <c r="BO299" s="1281"/>
      <c r="BP299" s="1281"/>
      <c r="BQ299" s="1282"/>
      <c r="BR299" s="1286"/>
      <c r="BS299" s="1287"/>
      <c r="BT299" s="1287"/>
      <c r="BU299" s="1287"/>
      <c r="BV299" s="1287"/>
      <c r="BW299" s="1287"/>
      <c r="BX299" s="1287"/>
      <c r="BY299" s="1287"/>
      <c r="BZ299" s="1288"/>
      <c r="CA299" s="270"/>
      <c r="CB299" s="3" t="str">
        <f t="shared" si="28"/>
        <v>Riadok bude skrytý.</v>
      </c>
      <c r="CC299" s="271" t="s">
        <v>937</v>
      </c>
      <c r="CW299" s="30">
        <f t="shared" si="39"/>
        <v>1</v>
      </c>
      <c r="CX299" s="32">
        <f>+IF(N285="nedošlo",0,1)</f>
        <v>1</v>
      </c>
      <c r="CY299" s="30">
        <f t="shared" si="40"/>
        <v>0</v>
      </c>
      <c r="CZ299" s="30">
        <f t="shared" si="31"/>
        <v>0</v>
      </c>
      <c r="DA299" s="53">
        <f t="shared" si="42"/>
        <v>0</v>
      </c>
      <c r="DB299" s="2">
        <f t="shared" si="41"/>
        <v>0</v>
      </c>
      <c r="DS299" s="130">
        <f>SI!BY299</f>
        <v>793</v>
      </c>
      <c r="DZ299" s="131">
        <f>SI!BZ299</f>
        <v>0</v>
      </c>
    </row>
    <row r="300" spans="1:130" hidden="1" x14ac:dyDescent="0.25">
      <c r="A300" s="141"/>
      <c r="B300" s="907"/>
      <c r="C300" s="908"/>
      <c r="D300" s="908"/>
      <c r="E300" s="908"/>
      <c r="F300" s="908"/>
      <c r="G300" s="908"/>
      <c r="H300" s="908"/>
      <c r="I300" s="908"/>
      <c r="J300" s="908"/>
      <c r="K300" s="908"/>
      <c r="L300" s="908"/>
      <c r="M300" s="908"/>
      <c r="N300" s="908"/>
      <c r="O300" s="908"/>
      <c r="P300" s="908"/>
      <c r="Q300" s="908"/>
      <c r="R300" s="908"/>
      <c r="S300" s="908"/>
      <c r="T300" s="908"/>
      <c r="U300" s="908"/>
      <c r="V300" s="908"/>
      <c r="W300" s="908"/>
      <c r="X300" s="909"/>
      <c r="Y300" s="1283"/>
      <c r="Z300" s="1284"/>
      <c r="AA300" s="1284"/>
      <c r="AB300" s="1284"/>
      <c r="AC300" s="1284"/>
      <c r="AD300" s="1284"/>
      <c r="AE300" s="1284"/>
      <c r="AF300" s="1284"/>
      <c r="AG300" s="1285"/>
      <c r="AH300" s="1155"/>
      <c r="AI300" s="1156"/>
      <c r="AJ300" s="1156"/>
      <c r="AK300" s="1156"/>
      <c r="AL300" s="1156"/>
      <c r="AM300" s="1156"/>
      <c r="AN300" s="1156"/>
      <c r="AO300" s="1156"/>
      <c r="AP300" s="1156"/>
      <c r="AQ300" s="1156"/>
      <c r="AR300" s="1156"/>
      <c r="AS300" s="1156"/>
      <c r="AT300" s="1156"/>
      <c r="AU300" s="1157"/>
      <c r="AV300" s="1280" t="str">
        <f t="shared" si="37"/>
        <v/>
      </c>
      <c r="AW300" s="1281"/>
      <c r="AX300" s="1281"/>
      <c r="AY300" s="1281"/>
      <c r="AZ300" s="1281"/>
      <c r="BA300" s="1281"/>
      <c r="BB300" s="1281"/>
      <c r="BC300" s="1281"/>
      <c r="BD300" s="1281"/>
      <c r="BE300" s="1281"/>
      <c r="BF300" s="1282"/>
      <c r="BG300" s="1280" t="str">
        <f t="shared" si="38"/>
        <v/>
      </c>
      <c r="BH300" s="1281"/>
      <c r="BI300" s="1281"/>
      <c r="BJ300" s="1281"/>
      <c r="BK300" s="1281"/>
      <c r="BL300" s="1281"/>
      <c r="BM300" s="1281"/>
      <c r="BN300" s="1281"/>
      <c r="BO300" s="1281"/>
      <c r="BP300" s="1281"/>
      <c r="BQ300" s="1282"/>
      <c r="BR300" s="1286"/>
      <c r="BS300" s="1287"/>
      <c r="BT300" s="1287"/>
      <c r="BU300" s="1287"/>
      <c r="BV300" s="1287"/>
      <c r="BW300" s="1287"/>
      <c r="BX300" s="1287"/>
      <c r="BY300" s="1287"/>
      <c r="BZ300" s="1288"/>
      <c r="CA300" s="270"/>
      <c r="CB300" s="3" t="str">
        <f t="shared" si="28"/>
        <v>Riadok bude skrytý.</v>
      </c>
      <c r="CC300" s="271" t="s">
        <v>937</v>
      </c>
      <c r="CW300" s="30">
        <f t="shared" si="39"/>
        <v>1</v>
      </c>
      <c r="CX300" s="32">
        <f>+IF(N285="nedošlo",0,1)</f>
        <v>1</v>
      </c>
      <c r="CY300" s="30">
        <f t="shared" si="40"/>
        <v>0</v>
      </c>
      <c r="CZ300" s="30">
        <f t="shared" si="31"/>
        <v>0</v>
      </c>
      <c r="DA300" s="53">
        <f t="shared" si="42"/>
        <v>0</v>
      </c>
      <c r="DB300" s="2">
        <f t="shared" si="41"/>
        <v>0</v>
      </c>
      <c r="DS300" s="130">
        <f>SI!BY300</f>
        <v>201</v>
      </c>
      <c r="DZ300" s="131">
        <f>SI!BZ300</f>
        <v>0</v>
      </c>
    </row>
    <row r="301" spans="1:130" hidden="1" x14ac:dyDescent="0.25">
      <c r="A301" s="141"/>
      <c r="B301" s="907"/>
      <c r="C301" s="908"/>
      <c r="D301" s="908"/>
      <c r="E301" s="908"/>
      <c r="F301" s="908"/>
      <c r="G301" s="908"/>
      <c r="H301" s="908"/>
      <c r="I301" s="908"/>
      <c r="J301" s="908"/>
      <c r="K301" s="908"/>
      <c r="L301" s="908"/>
      <c r="M301" s="908"/>
      <c r="N301" s="908"/>
      <c r="O301" s="908"/>
      <c r="P301" s="908"/>
      <c r="Q301" s="908"/>
      <c r="R301" s="908"/>
      <c r="S301" s="908"/>
      <c r="T301" s="908"/>
      <c r="U301" s="908"/>
      <c r="V301" s="908"/>
      <c r="W301" s="908"/>
      <c r="X301" s="909"/>
      <c r="Y301" s="1334"/>
      <c r="Z301" s="1335"/>
      <c r="AA301" s="1335"/>
      <c r="AB301" s="1335"/>
      <c r="AC301" s="1335"/>
      <c r="AD301" s="1335"/>
      <c r="AE301" s="1335"/>
      <c r="AF301" s="1335"/>
      <c r="AG301" s="1336"/>
      <c r="AH301" s="1164"/>
      <c r="AI301" s="1165"/>
      <c r="AJ301" s="1165"/>
      <c r="AK301" s="1165"/>
      <c r="AL301" s="1165"/>
      <c r="AM301" s="1165"/>
      <c r="AN301" s="1165"/>
      <c r="AO301" s="1165"/>
      <c r="AP301" s="1165"/>
      <c r="AQ301" s="1165"/>
      <c r="AR301" s="1165"/>
      <c r="AS301" s="1165"/>
      <c r="AT301" s="1165"/>
      <c r="AU301" s="1166"/>
      <c r="AV301" s="1280" t="str">
        <f t="shared" si="37"/>
        <v/>
      </c>
      <c r="AW301" s="1281"/>
      <c r="AX301" s="1281"/>
      <c r="AY301" s="1281"/>
      <c r="AZ301" s="1281"/>
      <c r="BA301" s="1281"/>
      <c r="BB301" s="1281"/>
      <c r="BC301" s="1281"/>
      <c r="BD301" s="1281"/>
      <c r="BE301" s="1281"/>
      <c r="BF301" s="1282"/>
      <c r="BG301" s="1331" t="str">
        <f t="shared" si="38"/>
        <v/>
      </c>
      <c r="BH301" s="1332"/>
      <c r="BI301" s="1332"/>
      <c r="BJ301" s="1332"/>
      <c r="BK301" s="1332"/>
      <c r="BL301" s="1332"/>
      <c r="BM301" s="1332"/>
      <c r="BN301" s="1332"/>
      <c r="BO301" s="1332"/>
      <c r="BP301" s="1332"/>
      <c r="BQ301" s="1333"/>
      <c r="BR301" s="1793"/>
      <c r="BS301" s="1794"/>
      <c r="BT301" s="1794"/>
      <c r="BU301" s="1794"/>
      <c r="BV301" s="1794"/>
      <c r="BW301" s="1794"/>
      <c r="BX301" s="1794"/>
      <c r="BY301" s="1794"/>
      <c r="BZ301" s="1795"/>
      <c r="CA301" s="270"/>
      <c r="CB301" s="3" t="str">
        <f t="shared" si="28"/>
        <v>Riadok bude skrytý.</v>
      </c>
      <c r="CC301" s="271" t="s">
        <v>937</v>
      </c>
      <c r="CW301" s="30">
        <f t="shared" si="39"/>
        <v>1</v>
      </c>
      <c r="CX301" s="32">
        <f>+IF(N285="nedošlo",0,1)</f>
        <v>1</v>
      </c>
      <c r="CY301" s="30">
        <f>+IF(B301="",1,1)</f>
        <v>1</v>
      </c>
      <c r="CZ301" s="30">
        <f t="shared" si="31"/>
        <v>0</v>
      </c>
      <c r="DA301" s="53">
        <f t="shared" si="42"/>
        <v>0</v>
      </c>
      <c r="DB301" s="2">
        <f t="shared" si="41"/>
        <v>0</v>
      </c>
      <c r="DS301" s="130">
        <f>SI!BY301</f>
        <v>113</v>
      </c>
      <c r="DZ301" s="131">
        <f>SI!BZ301</f>
        <v>0</v>
      </c>
    </row>
    <row r="302" spans="1:130" hidden="1" x14ac:dyDescent="0.25">
      <c r="A302" s="141"/>
      <c r="B302" s="598" t="s">
        <v>45</v>
      </c>
      <c r="C302" s="645"/>
      <c r="D302" s="645"/>
      <c r="E302" s="645"/>
      <c r="F302" s="645"/>
      <c r="G302" s="645"/>
      <c r="H302" s="645"/>
      <c r="I302" s="645"/>
      <c r="J302" s="645"/>
      <c r="K302" s="645"/>
      <c r="L302" s="645"/>
      <c r="M302" s="645"/>
      <c r="N302" s="645"/>
      <c r="O302" s="645"/>
      <c r="P302" s="645"/>
      <c r="Q302" s="645"/>
      <c r="R302" s="645"/>
      <c r="S302" s="645"/>
      <c r="T302" s="645"/>
      <c r="U302" s="645"/>
      <c r="V302" s="645"/>
      <c r="W302" s="645"/>
      <c r="X302" s="646"/>
      <c r="Y302" s="598" t="s">
        <v>802</v>
      </c>
      <c r="Z302" s="645"/>
      <c r="AA302" s="645"/>
      <c r="AB302" s="645"/>
      <c r="AC302" s="645"/>
      <c r="AD302" s="645"/>
      <c r="AE302" s="645"/>
      <c r="AF302" s="645"/>
      <c r="AG302" s="646"/>
      <c r="AH302" s="1152">
        <f>+SUM(AH292:AT301)</f>
        <v>0</v>
      </c>
      <c r="AI302" s="1153"/>
      <c r="AJ302" s="1153"/>
      <c r="AK302" s="1153"/>
      <c r="AL302" s="1153"/>
      <c r="AM302" s="1153"/>
      <c r="AN302" s="1153"/>
      <c r="AO302" s="1153"/>
      <c r="AP302" s="1153"/>
      <c r="AQ302" s="1153"/>
      <c r="AR302" s="1153"/>
      <c r="AS302" s="1153"/>
      <c r="AT302" s="1153"/>
      <c r="AU302" s="1154"/>
      <c r="AV302" s="1316">
        <f>+SUM(AV292:BF301)</f>
        <v>0</v>
      </c>
      <c r="AW302" s="1317"/>
      <c r="AX302" s="1317"/>
      <c r="AY302" s="1317"/>
      <c r="AZ302" s="1317"/>
      <c r="BA302" s="1317"/>
      <c r="BB302" s="1317"/>
      <c r="BC302" s="1317"/>
      <c r="BD302" s="1317"/>
      <c r="BE302" s="1317"/>
      <c r="BF302" s="1356"/>
      <c r="BG302" s="1316">
        <f>+SUM(BG292:BQ301)</f>
        <v>0</v>
      </c>
      <c r="BH302" s="1317"/>
      <c r="BI302" s="1317"/>
      <c r="BJ302" s="1317"/>
      <c r="BK302" s="1317"/>
      <c r="BL302" s="1317"/>
      <c r="BM302" s="1317"/>
      <c r="BN302" s="1317"/>
      <c r="BO302" s="1317"/>
      <c r="BP302" s="1317"/>
      <c r="BQ302" s="1318"/>
      <c r="BR302" s="1316">
        <f>+SUM(BR292:BZ301)</f>
        <v>0</v>
      </c>
      <c r="BS302" s="1317"/>
      <c r="BT302" s="1317"/>
      <c r="BU302" s="1317"/>
      <c r="BV302" s="1317"/>
      <c r="BW302" s="1317"/>
      <c r="BX302" s="1317"/>
      <c r="BY302" s="1317"/>
      <c r="BZ302" s="1318"/>
      <c r="CA302" s="270"/>
      <c r="CB302" s="3" t="str">
        <f t="shared" si="28"/>
        <v>Riadok bude skrytý.</v>
      </c>
      <c r="CC302" s="271" t="s">
        <v>937</v>
      </c>
      <c r="CW302" s="30">
        <f t="shared" si="39"/>
        <v>1</v>
      </c>
      <c r="CX302" s="32">
        <f>+IF(N285="nedošlo",0,1)</f>
        <v>1</v>
      </c>
      <c r="CZ302" s="30">
        <f t="shared" si="31"/>
        <v>0</v>
      </c>
      <c r="DA302" s="52">
        <f>+IF(CW302*CX302=0,0,IF(CZ302=0,0,1))</f>
        <v>0</v>
      </c>
      <c r="DB302" s="2">
        <f t="shared" si="41"/>
        <v>0</v>
      </c>
      <c r="DS302" s="130">
        <f>SI!BY302</f>
        <v>192</v>
      </c>
      <c r="DZ302" s="131">
        <f>SI!BZ302</f>
        <v>0</v>
      </c>
    </row>
    <row r="303" spans="1:130" ht="14.95" thickBot="1" x14ac:dyDescent="0.3">
      <c r="A303" s="141"/>
      <c r="CA303" s="270"/>
      <c r="CB303" s="3" t="str">
        <f t="shared" si="28"/>
        <v>Riadok bude vidieť.</v>
      </c>
      <c r="CC303" s="271" t="s">
        <v>832</v>
      </c>
      <c r="CW303" s="30">
        <f t="shared" si="39"/>
        <v>1</v>
      </c>
      <c r="CZ303" s="30">
        <f t="shared" si="31"/>
        <v>1</v>
      </c>
      <c r="DA303" s="30">
        <f t="shared" ref="DA303:DA383" si="43">+IF(CW303+CX303+CY303=0,0,IF(CZ303=0,0,1))</f>
        <v>1</v>
      </c>
      <c r="DB303" s="140">
        <f>+DA303</f>
        <v>1</v>
      </c>
      <c r="DS303" s="130">
        <f>SI!BY303</f>
        <v>1124</v>
      </c>
      <c r="DZ303" s="131">
        <f>SI!BZ303</f>
        <v>0</v>
      </c>
    </row>
    <row r="304" spans="1:130" ht="17" thickBot="1" x14ac:dyDescent="0.35">
      <c r="A304" s="141"/>
      <c r="B304" s="21"/>
      <c r="C304" s="268"/>
      <c r="D304" s="268"/>
      <c r="E304" s="22" t="s">
        <v>48</v>
      </c>
      <c r="F304" s="268"/>
      <c r="G304" s="125"/>
      <c r="H304" s="22"/>
      <c r="I304" s="268"/>
      <c r="J304" s="268"/>
      <c r="K304" s="268"/>
      <c r="L304" s="268"/>
      <c r="M304" s="268"/>
      <c r="N304" s="268"/>
      <c r="O304" s="268"/>
      <c r="P304" s="268"/>
      <c r="Q304" s="268"/>
      <c r="R304" s="268"/>
      <c r="S304" s="268"/>
      <c r="T304" s="268"/>
      <c r="U304" s="268"/>
      <c r="V304" s="268"/>
      <c r="W304" s="268"/>
      <c r="X304" s="268"/>
      <c r="Y304" s="268"/>
      <c r="Z304" s="268"/>
      <c r="AA304" s="268"/>
      <c r="AB304" s="268"/>
      <c r="AC304" s="268"/>
      <c r="AD304" s="268"/>
      <c r="AE304" s="268"/>
      <c r="AF304" s="268"/>
      <c r="AG304" s="268"/>
      <c r="AH304" s="268"/>
      <c r="AI304" s="268"/>
      <c r="AJ304" s="268"/>
      <c r="AK304" s="276"/>
      <c r="AL304" s="276"/>
      <c r="AM304" s="276"/>
      <c r="AN304" s="276"/>
      <c r="AO304" s="276"/>
      <c r="AP304" s="276"/>
      <c r="AQ304" s="276"/>
      <c r="AR304" s="276"/>
      <c r="AS304" s="276"/>
      <c r="AT304" s="276"/>
      <c r="AU304" s="276"/>
      <c r="AV304" s="276"/>
      <c r="AW304" s="276"/>
      <c r="AX304" s="276"/>
      <c r="AY304" s="276"/>
      <c r="AZ304" s="276"/>
      <c r="BA304" s="276"/>
      <c r="BB304" s="276"/>
      <c r="BC304" s="276"/>
      <c r="BD304" s="932" t="str">
        <f>+SI!J2</f>
        <v>Resumo s.r.o.</v>
      </c>
      <c r="BE304" s="932"/>
      <c r="BF304" s="932"/>
      <c r="BG304" s="932"/>
      <c r="BH304" s="932"/>
      <c r="BI304" s="932"/>
      <c r="BJ304" s="932"/>
      <c r="BK304" s="932"/>
      <c r="BL304" s="932"/>
      <c r="BM304" s="932"/>
      <c r="BN304" s="932"/>
      <c r="BO304" s="932"/>
      <c r="BP304" s="932"/>
      <c r="BQ304" s="932"/>
      <c r="BR304" s="932"/>
      <c r="BS304" s="932"/>
      <c r="BT304" s="932"/>
      <c r="BU304" s="932"/>
      <c r="BV304" s="932"/>
      <c r="BW304" s="932"/>
      <c r="BX304" s="932"/>
      <c r="BY304" s="932"/>
      <c r="BZ304" s="933"/>
      <c r="CA304" s="265" t="s">
        <v>773</v>
      </c>
      <c r="CB304" s="3" t="str">
        <f t="shared" si="28"/>
        <v>Riadok bude vidieť.</v>
      </c>
      <c r="CW304" s="49">
        <v>1</v>
      </c>
      <c r="CZ304" s="30">
        <f t="shared" si="31"/>
        <v>1</v>
      </c>
      <c r="DA304" s="30">
        <f t="shared" si="43"/>
        <v>1</v>
      </c>
      <c r="DB304" s="140">
        <f t="shared" ref="DB304:DB367" si="44">+DA304</f>
        <v>1</v>
      </c>
      <c r="DS304" s="130">
        <f>SI!BY304</f>
        <v>111</v>
      </c>
      <c r="DZ304" s="131">
        <f>SI!BZ304</f>
        <v>0</v>
      </c>
    </row>
    <row r="305" spans="1:130" x14ac:dyDescent="0.25">
      <c r="A305" s="141"/>
      <c r="CA305" s="142"/>
      <c r="CB305" s="3" t="str">
        <f t="shared" si="28"/>
        <v>Riadok bude vidieť.</v>
      </c>
      <c r="CW305" s="49">
        <v>1</v>
      </c>
      <c r="CZ305" s="30">
        <f t="shared" si="31"/>
        <v>1</v>
      </c>
      <c r="DA305" s="30">
        <f t="shared" si="43"/>
        <v>1</v>
      </c>
      <c r="DB305" s="140">
        <f t="shared" si="44"/>
        <v>1</v>
      </c>
      <c r="DS305" s="130">
        <f>SI!BY305</f>
        <v>190</v>
      </c>
      <c r="DZ305" s="131">
        <f>SI!BZ305</f>
        <v>0</v>
      </c>
    </row>
    <row r="306" spans="1:130" hidden="1" x14ac:dyDescent="0.25">
      <c r="A306" s="141"/>
      <c r="B306" s="137" t="s">
        <v>863</v>
      </c>
      <c r="J306" s="378" t="s">
        <v>1011</v>
      </c>
      <c r="K306" s="378"/>
      <c r="L306" s="378"/>
      <c r="M306" s="378"/>
      <c r="N306" s="378"/>
      <c r="O306" s="137" t="str">
        <f>+IF($K$52&lt;&gt;"",IF(INT(SQRT((CODE(MID($K$52,1,1)))))*(IF(SI!EE306="",1,SI!EE306))+LEN(SI!J5)=DS306,"súčasťou konsolidovaného celku inej obchodnej spoločnosti.","NEPOVOLENÉ POUŽITIE!"),"NEPOVOLENÉ POUŽITIE!")</f>
        <v>súčasťou konsolidovaného celku inej obchodnej spoločnosti.</v>
      </c>
      <c r="P306" s="38"/>
      <c r="BH306" s="137" t="str">
        <f>+IF(J306="je","Spoločnosť uvádza:","")</f>
        <v/>
      </c>
      <c r="CA306" s="270"/>
      <c r="CB306" s="3" t="str">
        <f t="shared" si="28"/>
        <v>Riadok bude skrytý.</v>
      </c>
      <c r="CC306" s="271" t="s">
        <v>832</v>
      </c>
      <c r="CD306" s="12"/>
      <c r="CG306" s="13"/>
      <c r="CW306" s="30">
        <f>+IF($J$306="nie je",0,1)</f>
        <v>0</v>
      </c>
      <c r="CZ306" s="30">
        <f t="shared" si="31"/>
        <v>1</v>
      </c>
      <c r="DA306" s="30">
        <f t="shared" si="43"/>
        <v>0</v>
      </c>
      <c r="DB306" s="140">
        <f t="shared" si="44"/>
        <v>0</v>
      </c>
      <c r="DS306" s="130">
        <f>SI!BY306</f>
        <v>15</v>
      </c>
      <c r="DZ306" s="131">
        <f>SI!BZ306</f>
        <v>0</v>
      </c>
    </row>
    <row r="307" spans="1:130" x14ac:dyDescent="0.25">
      <c r="A307" s="141"/>
      <c r="B307" s="137" t="str">
        <f>+IF($O$52&lt;&gt;"",IF(CODE(MID($O$52,1,1))*(IF(SI!EE307="",1,SI!EE307))+ROUNDDOWN(LEN(SI!J5)/2,0)=DS307,IF(J306="nie je","Spoločnosť nemá pre túto časť poznámok obsahovú náplň.",""),"NEPOVOLENÉ POUŽITIE!"),"NEPOVOLENÉ POUŽITIE!")</f>
        <v>Spoločnosť nemá pre túto časť poznámok obsahovú náplň.</v>
      </c>
      <c r="CA307" s="270"/>
      <c r="CB307" s="3" t="str">
        <f t="shared" ref="CB307:CB370" si="45">+IF(DB307=0,"Riadok bude skrytý.","Riadok bude vidieť.")</f>
        <v>Riadok bude vidieť.</v>
      </c>
      <c r="CC307" s="271" t="s">
        <v>832</v>
      </c>
      <c r="CW307" s="30">
        <f>+IF($J$306="nie je",1,1)</f>
        <v>1</v>
      </c>
      <c r="CZ307" s="30">
        <f t="shared" si="31"/>
        <v>1</v>
      </c>
      <c r="DA307" s="30">
        <f t="shared" si="43"/>
        <v>1</v>
      </c>
      <c r="DB307" s="140">
        <f t="shared" si="44"/>
        <v>1</v>
      </c>
      <c r="DS307" s="130">
        <f>SI!BY307</f>
        <v>7</v>
      </c>
      <c r="DZ307" s="131">
        <f>SI!BZ307</f>
        <v>0</v>
      </c>
    </row>
    <row r="308" spans="1:130" hidden="1" x14ac:dyDescent="0.25">
      <c r="A308" s="141"/>
      <c r="B308" s="984" t="s">
        <v>865</v>
      </c>
      <c r="C308" s="985"/>
      <c r="D308" s="985"/>
      <c r="E308" s="985"/>
      <c r="F308" s="985"/>
      <c r="G308" s="985"/>
      <c r="H308" s="985"/>
      <c r="I308" s="985"/>
      <c r="J308" s="985"/>
      <c r="K308" s="985"/>
      <c r="L308" s="985"/>
      <c r="M308" s="985"/>
      <c r="N308" s="985"/>
      <c r="O308" s="985"/>
      <c r="P308" s="985"/>
      <c r="Q308" s="985"/>
      <c r="R308" s="985"/>
      <c r="S308" s="985"/>
      <c r="T308" s="985"/>
      <c r="U308" s="985"/>
      <c r="V308" s="985"/>
      <c r="W308" s="985"/>
      <c r="X308" s="985"/>
      <c r="Y308" s="985"/>
      <c r="Z308" s="985"/>
      <c r="AA308" s="985"/>
      <c r="AB308" s="985"/>
      <c r="AC308" s="985"/>
      <c r="AD308" s="985"/>
      <c r="AE308" s="985"/>
      <c r="AF308" s="985"/>
      <c r="AG308" s="985"/>
      <c r="AH308" s="985"/>
      <c r="AI308" s="985"/>
      <c r="AJ308" s="985"/>
      <c r="AK308" s="985"/>
      <c r="AL308" s="985"/>
      <c r="AM308" s="985"/>
      <c r="AN308" s="985"/>
      <c r="AO308" s="985"/>
      <c r="AP308" s="985"/>
      <c r="AQ308" s="985"/>
      <c r="AR308" s="985"/>
      <c r="AS308" s="985"/>
      <c r="AT308" s="985"/>
      <c r="AU308" s="985"/>
      <c r="AV308" s="985"/>
      <c r="AW308" s="985"/>
      <c r="AX308" s="985"/>
      <c r="AY308" s="985"/>
      <c r="AZ308" s="985"/>
      <c r="BA308" s="985"/>
      <c r="BB308" s="985"/>
      <c r="BC308" s="985"/>
      <c r="BD308" s="985"/>
      <c r="BE308" s="985"/>
      <c r="BF308" s="985"/>
      <c r="BG308" s="985"/>
      <c r="BH308" s="985"/>
      <c r="BI308" s="985"/>
      <c r="BJ308" s="985"/>
      <c r="BK308" s="985"/>
      <c r="BL308" s="985"/>
      <c r="BM308" s="985"/>
      <c r="BN308" s="985"/>
      <c r="BO308" s="985"/>
      <c r="BP308" s="985"/>
      <c r="BQ308" s="985"/>
      <c r="BR308" s="985"/>
      <c r="BS308" s="985"/>
      <c r="BT308" s="985"/>
      <c r="BU308" s="985"/>
      <c r="BV308" s="985"/>
      <c r="BW308" s="985"/>
      <c r="BX308" s="985"/>
      <c r="BY308" s="985"/>
      <c r="BZ308" s="986"/>
      <c r="CA308" s="270"/>
      <c r="CB308" s="3" t="str">
        <f t="shared" si="45"/>
        <v>Riadok bude skrytý.</v>
      </c>
      <c r="CC308" s="271" t="s">
        <v>832</v>
      </c>
      <c r="CW308" s="30">
        <f t="shared" ref="CW308:CW332" si="46">+IF($J$306="nie je",0,1)</f>
        <v>0</v>
      </c>
      <c r="CZ308" s="30">
        <f t="shared" si="31"/>
        <v>1</v>
      </c>
      <c r="DA308" s="30">
        <f t="shared" si="43"/>
        <v>0</v>
      </c>
      <c r="DB308" s="140">
        <f t="shared" si="44"/>
        <v>0</v>
      </c>
      <c r="DS308" s="130">
        <f>SI!BY308</f>
        <v>9</v>
      </c>
      <c r="DZ308" s="131">
        <f>SI!BZ308</f>
        <v>0</v>
      </c>
    </row>
    <row r="309" spans="1:130" hidden="1" x14ac:dyDescent="0.25">
      <c r="A309" s="141"/>
      <c r="B309" s="910"/>
      <c r="C309" s="911"/>
      <c r="D309" s="911"/>
      <c r="E309" s="911"/>
      <c r="F309" s="911"/>
      <c r="G309" s="911"/>
      <c r="H309" s="911"/>
      <c r="I309" s="911"/>
      <c r="J309" s="911"/>
      <c r="K309" s="911"/>
      <c r="L309" s="911"/>
      <c r="M309" s="911"/>
      <c r="N309" s="911"/>
      <c r="O309" s="911"/>
      <c r="P309" s="911"/>
      <c r="Q309" s="911"/>
      <c r="R309" s="911"/>
      <c r="S309" s="911"/>
      <c r="T309" s="911"/>
      <c r="U309" s="911"/>
      <c r="V309" s="911"/>
      <c r="W309" s="911"/>
      <c r="X309" s="911"/>
      <c r="Y309" s="911"/>
      <c r="Z309" s="911"/>
      <c r="AA309" s="911"/>
      <c r="AB309" s="911"/>
      <c r="AC309" s="911"/>
      <c r="AD309" s="911"/>
      <c r="AE309" s="911"/>
      <c r="AF309" s="911"/>
      <c r="AG309" s="911"/>
      <c r="AH309" s="911"/>
      <c r="AI309" s="911"/>
      <c r="AJ309" s="911"/>
      <c r="AK309" s="911"/>
      <c r="AL309" s="911"/>
      <c r="AM309" s="911"/>
      <c r="AN309" s="911"/>
      <c r="AO309" s="911"/>
      <c r="AP309" s="911"/>
      <c r="AQ309" s="911"/>
      <c r="AR309" s="911"/>
      <c r="AS309" s="911"/>
      <c r="AT309" s="911"/>
      <c r="AU309" s="911"/>
      <c r="AV309" s="911"/>
      <c r="AW309" s="911"/>
      <c r="AX309" s="911"/>
      <c r="AY309" s="911"/>
      <c r="AZ309" s="911"/>
      <c r="BA309" s="911"/>
      <c r="BB309" s="911"/>
      <c r="BC309" s="911"/>
      <c r="BD309" s="911"/>
      <c r="BE309" s="911"/>
      <c r="BF309" s="911"/>
      <c r="BG309" s="911"/>
      <c r="BH309" s="911"/>
      <c r="BI309" s="911"/>
      <c r="BJ309" s="911"/>
      <c r="BK309" s="911"/>
      <c r="BL309" s="911"/>
      <c r="BM309" s="911"/>
      <c r="BN309" s="911"/>
      <c r="BO309" s="911"/>
      <c r="BP309" s="911"/>
      <c r="BQ309" s="911"/>
      <c r="BR309" s="911"/>
      <c r="BS309" s="911"/>
      <c r="BT309" s="911"/>
      <c r="BU309" s="911"/>
      <c r="BV309" s="911"/>
      <c r="BW309" s="911"/>
      <c r="BX309" s="911"/>
      <c r="BY309" s="911"/>
      <c r="BZ309" s="912"/>
      <c r="CA309" s="270"/>
      <c r="CB309" s="3" t="str">
        <f t="shared" si="45"/>
        <v>Riadok bude skrytý.</v>
      </c>
      <c r="CC309" s="271" t="s">
        <v>832</v>
      </c>
      <c r="CW309" s="30">
        <f t="shared" si="46"/>
        <v>0</v>
      </c>
      <c r="CX309" s="30">
        <f>+IF(B309="",0,1)</f>
        <v>0</v>
      </c>
      <c r="CZ309" s="30">
        <f t="shared" si="31"/>
        <v>1</v>
      </c>
      <c r="DA309" s="52">
        <f t="shared" ref="DA309:DA319" si="47">+IF(CW309*CX309=0,0,IF(CZ309=0,0,1))</f>
        <v>0</v>
      </c>
      <c r="DB309" s="140">
        <f t="shared" si="44"/>
        <v>0</v>
      </c>
      <c r="DS309" s="130">
        <f>SI!BY309</f>
        <v>168</v>
      </c>
      <c r="DZ309" s="131">
        <f>SI!BZ309</f>
        <v>0</v>
      </c>
    </row>
    <row r="310" spans="1:130" hidden="1" x14ac:dyDescent="0.25">
      <c r="A310" s="141"/>
      <c r="B310" s="745"/>
      <c r="C310" s="746"/>
      <c r="D310" s="746"/>
      <c r="E310" s="746"/>
      <c r="F310" s="746"/>
      <c r="G310" s="746"/>
      <c r="H310" s="746"/>
      <c r="I310" s="746"/>
      <c r="J310" s="746"/>
      <c r="K310" s="746"/>
      <c r="L310" s="746"/>
      <c r="M310" s="746"/>
      <c r="N310" s="746"/>
      <c r="O310" s="746"/>
      <c r="P310" s="746"/>
      <c r="Q310" s="746"/>
      <c r="R310" s="746"/>
      <c r="S310" s="746"/>
      <c r="T310" s="746"/>
      <c r="U310" s="746"/>
      <c r="V310" s="746"/>
      <c r="W310" s="746"/>
      <c r="X310" s="746"/>
      <c r="Y310" s="746"/>
      <c r="Z310" s="746"/>
      <c r="AA310" s="746"/>
      <c r="AB310" s="746"/>
      <c r="AC310" s="746"/>
      <c r="AD310" s="746"/>
      <c r="AE310" s="746"/>
      <c r="AF310" s="746"/>
      <c r="AG310" s="746"/>
      <c r="AH310" s="746"/>
      <c r="AI310" s="746"/>
      <c r="AJ310" s="746"/>
      <c r="AK310" s="746"/>
      <c r="AL310" s="746"/>
      <c r="AM310" s="746"/>
      <c r="AN310" s="746"/>
      <c r="AO310" s="746"/>
      <c r="AP310" s="746"/>
      <c r="AQ310" s="746"/>
      <c r="AR310" s="746"/>
      <c r="AS310" s="746"/>
      <c r="AT310" s="746"/>
      <c r="AU310" s="746"/>
      <c r="AV310" s="746"/>
      <c r="AW310" s="746"/>
      <c r="AX310" s="746"/>
      <c r="AY310" s="746"/>
      <c r="AZ310" s="746"/>
      <c r="BA310" s="746"/>
      <c r="BB310" s="746"/>
      <c r="BC310" s="746"/>
      <c r="BD310" s="746"/>
      <c r="BE310" s="746"/>
      <c r="BF310" s="746"/>
      <c r="BG310" s="746"/>
      <c r="BH310" s="746"/>
      <c r="BI310" s="746"/>
      <c r="BJ310" s="746"/>
      <c r="BK310" s="746"/>
      <c r="BL310" s="746"/>
      <c r="BM310" s="746"/>
      <c r="BN310" s="746"/>
      <c r="BO310" s="746"/>
      <c r="BP310" s="746"/>
      <c r="BQ310" s="746"/>
      <c r="BR310" s="746"/>
      <c r="BS310" s="746"/>
      <c r="BT310" s="746"/>
      <c r="BU310" s="746"/>
      <c r="BV310" s="746"/>
      <c r="BW310" s="746"/>
      <c r="BX310" s="746"/>
      <c r="BY310" s="746"/>
      <c r="BZ310" s="747"/>
      <c r="CA310" s="270"/>
      <c r="CB310" s="3" t="str">
        <f t="shared" si="45"/>
        <v>Riadok bude skrytý.</v>
      </c>
      <c r="CC310" s="271" t="s">
        <v>832</v>
      </c>
      <c r="CW310" s="30">
        <f t="shared" si="46"/>
        <v>0</v>
      </c>
      <c r="CX310" s="30">
        <f>+IF(B310="",0,1)</f>
        <v>0</v>
      </c>
      <c r="CZ310" s="30">
        <f t="shared" si="31"/>
        <v>1</v>
      </c>
      <c r="DA310" s="52">
        <f t="shared" si="47"/>
        <v>0</v>
      </c>
      <c r="DB310" s="140">
        <f t="shared" si="44"/>
        <v>0</v>
      </c>
      <c r="DS310" s="130">
        <f>SI!BY310</f>
        <v>635</v>
      </c>
      <c r="DZ310" s="131">
        <f>SI!BZ310</f>
        <v>0</v>
      </c>
    </row>
    <row r="311" spans="1:130" hidden="1" x14ac:dyDescent="0.25">
      <c r="A311" s="141"/>
      <c r="B311" s="984" t="s">
        <v>866</v>
      </c>
      <c r="C311" s="985"/>
      <c r="D311" s="985"/>
      <c r="E311" s="985"/>
      <c r="F311" s="985"/>
      <c r="G311" s="985"/>
      <c r="H311" s="985"/>
      <c r="I311" s="985"/>
      <c r="J311" s="985"/>
      <c r="K311" s="985"/>
      <c r="L311" s="985"/>
      <c r="M311" s="985"/>
      <c r="N311" s="985"/>
      <c r="O311" s="985"/>
      <c r="P311" s="985"/>
      <c r="Q311" s="985"/>
      <c r="R311" s="985"/>
      <c r="S311" s="985"/>
      <c r="T311" s="985"/>
      <c r="U311" s="985"/>
      <c r="V311" s="985"/>
      <c r="W311" s="985"/>
      <c r="X311" s="985"/>
      <c r="Y311" s="985"/>
      <c r="Z311" s="985"/>
      <c r="AA311" s="985"/>
      <c r="AB311" s="985"/>
      <c r="AC311" s="985"/>
      <c r="AD311" s="985"/>
      <c r="AE311" s="985"/>
      <c r="AF311" s="985"/>
      <c r="AG311" s="985"/>
      <c r="AH311" s="985"/>
      <c r="AI311" s="985"/>
      <c r="AJ311" s="985"/>
      <c r="AK311" s="985"/>
      <c r="AL311" s="985"/>
      <c r="AM311" s="985"/>
      <c r="AN311" s="985"/>
      <c r="AO311" s="985"/>
      <c r="AP311" s="985"/>
      <c r="AQ311" s="985"/>
      <c r="AR311" s="985"/>
      <c r="AS311" s="985"/>
      <c r="AT311" s="985"/>
      <c r="AU311" s="985"/>
      <c r="AV311" s="985"/>
      <c r="AW311" s="985"/>
      <c r="AX311" s="985"/>
      <c r="AY311" s="985"/>
      <c r="AZ311" s="985"/>
      <c r="BA311" s="985"/>
      <c r="BB311" s="985"/>
      <c r="BC311" s="985"/>
      <c r="BD311" s="985"/>
      <c r="BE311" s="985"/>
      <c r="BF311" s="985"/>
      <c r="BG311" s="985"/>
      <c r="BH311" s="985"/>
      <c r="BI311" s="985"/>
      <c r="BJ311" s="985"/>
      <c r="BK311" s="985"/>
      <c r="BL311" s="985"/>
      <c r="BM311" s="985"/>
      <c r="BN311" s="985"/>
      <c r="BO311" s="985"/>
      <c r="BP311" s="985"/>
      <c r="BQ311" s="985"/>
      <c r="BR311" s="985"/>
      <c r="BS311" s="985"/>
      <c r="BT311" s="985"/>
      <c r="BU311" s="985"/>
      <c r="BV311" s="985"/>
      <c r="BW311" s="985"/>
      <c r="BX311" s="985"/>
      <c r="BY311" s="985"/>
      <c r="BZ311" s="986"/>
      <c r="CA311" s="270"/>
      <c r="CB311" s="3" t="str">
        <f t="shared" si="45"/>
        <v>Riadok bude skrytý.</v>
      </c>
      <c r="CC311" s="271" t="s">
        <v>832</v>
      </c>
      <c r="CW311" s="30">
        <f t="shared" si="46"/>
        <v>0</v>
      </c>
      <c r="CX311" s="30">
        <f>+IF(B312="",0,1)</f>
        <v>0</v>
      </c>
      <c r="CZ311" s="30">
        <f t="shared" si="31"/>
        <v>1</v>
      </c>
      <c r="DA311" s="52">
        <f t="shared" si="47"/>
        <v>0</v>
      </c>
      <c r="DB311" s="140">
        <f t="shared" si="44"/>
        <v>0</v>
      </c>
      <c r="DS311" s="130">
        <f>SI!BY311</f>
        <v>123</v>
      </c>
      <c r="DZ311" s="131">
        <f>SI!BZ311</f>
        <v>0</v>
      </c>
    </row>
    <row r="312" spans="1:130" hidden="1" x14ac:dyDescent="0.25">
      <c r="A312" s="141"/>
      <c r="B312" s="910"/>
      <c r="C312" s="911"/>
      <c r="D312" s="911"/>
      <c r="E312" s="911"/>
      <c r="F312" s="911"/>
      <c r="G312" s="911"/>
      <c r="H312" s="911"/>
      <c r="I312" s="911"/>
      <c r="J312" s="911"/>
      <c r="K312" s="911"/>
      <c r="L312" s="911"/>
      <c r="M312" s="911"/>
      <c r="N312" s="911"/>
      <c r="O312" s="911"/>
      <c r="P312" s="911"/>
      <c r="Q312" s="911"/>
      <c r="R312" s="911"/>
      <c r="S312" s="911"/>
      <c r="T312" s="911"/>
      <c r="U312" s="911"/>
      <c r="V312" s="911"/>
      <c r="W312" s="911"/>
      <c r="X312" s="911"/>
      <c r="Y312" s="911"/>
      <c r="Z312" s="911"/>
      <c r="AA312" s="911"/>
      <c r="AB312" s="911"/>
      <c r="AC312" s="911"/>
      <c r="AD312" s="911"/>
      <c r="AE312" s="911"/>
      <c r="AF312" s="911"/>
      <c r="AG312" s="911"/>
      <c r="AH312" s="911"/>
      <c r="AI312" s="911"/>
      <c r="AJ312" s="911"/>
      <c r="AK312" s="911"/>
      <c r="AL312" s="911"/>
      <c r="AM312" s="911"/>
      <c r="AN312" s="911"/>
      <c r="AO312" s="911"/>
      <c r="AP312" s="911"/>
      <c r="AQ312" s="911"/>
      <c r="AR312" s="911"/>
      <c r="AS312" s="911"/>
      <c r="AT312" s="911"/>
      <c r="AU312" s="911"/>
      <c r="AV312" s="911"/>
      <c r="AW312" s="911"/>
      <c r="AX312" s="911"/>
      <c r="AY312" s="911"/>
      <c r="AZ312" s="911"/>
      <c r="BA312" s="911"/>
      <c r="BB312" s="911"/>
      <c r="BC312" s="911"/>
      <c r="BD312" s="911"/>
      <c r="BE312" s="911"/>
      <c r="BF312" s="911"/>
      <c r="BG312" s="911"/>
      <c r="BH312" s="911"/>
      <c r="BI312" s="911"/>
      <c r="BJ312" s="911"/>
      <c r="BK312" s="911"/>
      <c r="BL312" s="911"/>
      <c r="BM312" s="911"/>
      <c r="BN312" s="911"/>
      <c r="BO312" s="911"/>
      <c r="BP312" s="911"/>
      <c r="BQ312" s="911"/>
      <c r="BR312" s="911"/>
      <c r="BS312" s="911"/>
      <c r="BT312" s="911"/>
      <c r="BU312" s="911"/>
      <c r="BV312" s="911"/>
      <c r="BW312" s="911"/>
      <c r="BX312" s="911"/>
      <c r="BY312" s="911"/>
      <c r="BZ312" s="912"/>
      <c r="CA312" s="270"/>
      <c r="CB312" s="3" t="str">
        <f t="shared" si="45"/>
        <v>Riadok bude skrytý.</v>
      </c>
      <c r="CC312" s="271" t="s">
        <v>832</v>
      </c>
      <c r="CW312" s="30">
        <f t="shared" si="46"/>
        <v>0</v>
      </c>
      <c r="CX312" s="30">
        <f>+IF(B312="",0,1)</f>
        <v>0</v>
      </c>
      <c r="CZ312" s="30">
        <f t="shared" si="31"/>
        <v>1</v>
      </c>
      <c r="DA312" s="52">
        <f t="shared" si="47"/>
        <v>0</v>
      </c>
      <c r="DB312" s="140">
        <f t="shared" si="44"/>
        <v>0</v>
      </c>
      <c r="DS312" s="130">
        <f>SI!BY312</f>
        <v>618</v>
      </c>
      <c r="DZ312" s="131">
        <f>SI!BZ312</f>
        <v>0</v>
      </c>
    </row>
    <row r="313" spans="1:130" hidden="1" x14ac:dyDescent="0.25">
      <c r="A313" s="141"/>
      <c r="B313" s="964"/>
      <c r="C313" s="965"/>
      <c r="D313" s="965"/>
      <c r="E313" s="965"/>
      <c r="F313" s="965"/>
      <c r="G313" s="965"/>
      <c r="H313" s="965"/>
      <c r="I313" s="965"/>
      <c r="J313" s="965"/>
      <c r="K313" s="965"/>
      <c r="L313" s="965"/>
      <c r="M313" s="965"/>
      <c r="N313" s="965"/>
      <c r="O313" s="965"/>
      <c r="P313" s="965"/>
      <c r="Q313" s="965"/>
      <c r="R313" s="965"/>
      <c r="S313" s="965"/>
      <c r="T313" s="965"/>
      <c r="U313" s="965"/>
      <c r="V313" s="965"/>
      <c r="W313" s="965"/>
      <c r="X313" s="965"/>
      <c r="Y313" s="965"/>
      <c r="Z313" s="965"/>
      <c r="AA313" s="965"/>
      <c r="AB313" s="965"/>
      <c r="AC313" s="965"/>
      <c r="AD313" s="965"/>
      <c r="AE313" s="965"/>
      <c r="AF313" s="965"/>
      <c r="AG313" s="965"/>
      <c r="AH313" s="965"/>
      <c r="AI313" s="965"/>
      <c r="AJ313" s="965"/>
      <c r="AK313" s="965"/>
      <c r="AL313" s="965"/>
      <c r="AM313" s="965"/>
      <c r="AN313" s="965"/>
      <c r="AO313" s="965"/>
      <c r="AP313" s="965"/>
      <c r="AQ313" s="965"/>
      <c r="AR313" s="965"/>
      <c r="AS313" s="965"/>
      <c r="AT313" s="965"/>
      <c r="AU313" s="965"/>
      <c r="AV313" s="965"/>
      <c r="AW313" s="965"/>
      <c r="AX313" s="965"/>
      <c r="AY313" s="965"/>
      <c r="AZ313" s="965"/>
      <c r="BA313" s="965"/>
      <c r="BB313" s="965"/>
      <c r="BC313" s="965"/>
      <c r="BD313" s="965"/>
      <c r="BE313" s="965"/>
      <c r="BF313" s="965"/>
      <c r="BG313" s="965"/>
      <c r="BH313" s="965"/>
      <c r="BI313" s="965"/>
      <c r="BJ313" s="965"/>
      <c r="BK313" s="965"/>
      <c r="BL313" s="965"/>
      <c r="BM313" s="965"/>
      <c r="BN313" s="965"/>
      <c r="BO313" s="965"/>
      <c r="BP313" s="965"/>
      <c r="BQ313" s="965"/>
      <c r="BR313" s="965"/>
      <c r="BS313" s="965"/>
      <c r="BT313" s="965"/>
      <c r="BU313" s="965"/>
      <c r="BV313" s="965"/>
      <c r="BW313" s="965"/>
      <c r="BX313" s="965"/>
      <c r="BY313" s="965"/>
      <c r="BZ313" s="966"/>
      <c r="CA313" s="270"/>
      <c r="CB313" s="3" t="str">
        <f t="shared" si="45"/>
        <v>Riadok bude skrytý.</v>
      </c>
      <c r="CC313" s="271" t="s">
        <v>832</v>
      </c>
      <c r="CW313" s="30">
        <f t="shared" si="46"/>
        <v>0</v>
      </c>
      <c r="CX313" s="30">
        <f>+IF(B313="",0,1)</f>
        <v>0</v>
      </c>
      <c r="CZ313" s="30">
        <f t="shared" si="31"/>
        <v>1</v>
      </c>
      <c r="DA313" s="52">
        <f t="shared" si="47"/>
        <v>0</v>
      </c>
      <c r="DB313" s="140">
        <f t="shared" si="44"/>
        <v>0</v>
      </c>
      <c r="DS313" s="130">
        <f>SI!BY313</f>
        <v>156</v>
      </c>
      <c r="DZ313" s="131">
        <f>SI!BZ313</f>
        <v>0</v>
      </c>
    </row>
    <row r="314" spans="1:130" hidden="1" x14ac:dyDescent="0.25">
      <c r="A314" s="141"/>
      <c r="B314" s="984" t="s">
        <v>867</v>
      </c>
      <c r="C314" s="985"/>
      <c r="D314" s="985"/>
      <c r="E314" s="985"/>
      <c r="F314" s="985"/>
      <c r="G314" s="985"/>
      <c r="H314" s="985"/>
      <c r="I314" s="985"/>
      <c r="J314" s="985"/>
      <c r="K314" s="985"/>
      <c r="L314" s="985"/>
      <c r="M314" s="985"/>
      <c r="N314" s="985"/>
      <c r="O314" s="985"/>
      <c r="P314" s="985"/>
      <c r="Q314" s="985"/>
      <c r="R314" s="985"/>
      <c r="S314" s="985"/>
      <c r="T314" s="985"/>
      <c r="U314" s="985"/>
      <c r="V314" s="985"/>
      <c r="W314" s="985"/>
      <c r="X314" s="985"/>
      <c r="Y314" s="985"/>
      <c r="Z314" s="985"/>
      <c r="AA314" s="985"/>
      <c r="AB314" s="985"/>
      <c r="AC314" s="985"/>
      <c r="AD314" s="985"/>
      <c r="AE314" s="985"/>
      <c r="AF314" s="985"/>
      <c r="AG314" s="985"/>
      <c r="AH314" s="985"/>
      <c r="AI314" s="985"/>
      <c r="AJ314" s="985"/>
      <c r="AK314" s="985"/>
      <c r="AL314" s="985"/>
      <c r="AM314" s="985"/>
      <c r="AN314" s="985"/>
      <c r="AO314" s="985"/>
      <c r="AP314" s="985"/>
      <c r="AQ314" s="985"/>
      <c r="AR314" s="985"/>
      <c r="AS314" s="985"/>
      <c r="AT314" s="985"/>
      <c r="AU314" s="985"/>
      <c r="AV314" s="985"/>
      <c r="AW314" s="985"/>
      <c r="AX314" s="985"/>
      <c r="AY314" s="985"/>
      <c r="AZ314" s="985"/>
      <c r="BA314" s="985"/>
      <c r="BB314" s="985"/>
      <c r="BC314" s="985"/>
      <c r="BD314" s="985"/>
      <c r="BE314" s="985"/>
      <c r="BF314" s="985"/>
      <c r="BG314" s="985"/>
      <c r="BH314" s="985"/>
      <c r="BI314" s="985"/>
      <c r="BJ314" s="985"/>
      <c r="BK314" s="985"/>
      <c r="BL314" s="985"/>
      <c r="BM314" s="985"/>
      <c r="BN314" s="985"/>
      <c r="BO314" s="985"/>
      <c r="BP314" s="985"/>
      <c r="BQ314" s="985"/>
      <c r="BR314" s="985"/>
      <c r="BS314" s="985"/>
      <c r="BT314" s="985"/>
      <c r="BU314" s="985"/>
      <c r="BV314" s="985"/>
      <c r="BW314" s="985"/>
      <c r="BX314" s="985"/>
      <c r="BY314" s="985"/>
      <c r="BZ314" s="986"/>
      <c r="CA314" s="270"/>
      <c r="CB314" s="3" t="str">
        <f t="shared" si="45"/>
        <v>Riadok bude skrytý.</v>
      </c>
      <c r="CC314" s="271" t="s">
        <v>832</v>
      </c>
      <c r="CW314" s="30">
        <f t="shared" si="46"/>
        <v>0</v>
      </c>
      <c r="CX314" s="30">
        <f>+IF(B315="",0,1)</f>
        <v>0</v>
      </c>
      <c r="CZ314" s="30">
        <f t="shared" si="31"/>
        <v>1</v>
      </c>
      <c r="DA314" s="52">
        <f t="shared" si="47"/>
        <v>0</v>
      </c>
      <c r="DB314" s="140">
        <f t="shared" si="44"/>
        <v>0</v>
      </c>
      <c r="DS314" s="130">
        <f>SI!BY314</f>
        <v>1168</v>
      </c>
      <c r="DZ314" s="131">
        <f>SI!BZ314</f>
        <v>0</v>
      </c>
    </row>
    <row r="315" spans="1:130" hidden="1" x14ac:dyDescent="0.25">
      <c r="A315" s="141"/>
      <c r="B315" s="910"/>
      <c r="C315" s="911"/>
      <c r="D315" s="911"/>
      <c r="E315" s="911"/>
      <c r="F315" s="911"/>
      <c r="G315" s="911"/>
      <c r="H315" s="911"/>
      <c r="I315" s="911"/>
      <c r="J315" s="911"/>
      <c r="K315" s="911"/>
      <c r="L315" s="911"/>
      <c r="M315" s="911"/>
      <c r="N315" s="911"/>
      <c r="O315" s="911"/>
      <c r="P315" s="911"/>
      <c r="Q315" s="911"/>
      <c r="R315" s="911"/>
      <c r="S315" s="911"/>
      <c r="T315" s="911"/>
      <c r="U315" s="911"/>
      <c r="V315" s="911"/>
      <c r="W315" s="911"/>
      <c r="X315" s="911"/>
      <c r="Y315" s="911"/>
      <c r="Z315" s="911"/>
      <c r="AA315" s="911"/>
      <c r="AB315" s="911"/>
      <c r="AC315" s="911"/>
      <c r="AD315" s="911"/>
      <c r="AE315" s="911"/>
      <c r="AF315" s="911"/>
      <c r="AG315" s="911"/>
      <c r="AH315" s="911"/>
      <c r="AI315" s="911"/>
      <c r="AJ315" s="911"/>
      <c r="AK315" s="911"/>
      <c r="AL315" s="911"/>
      <c r="AM315" s="911"/>
      <c r="AN315" s="911"/>
      <c r="AO315" s="911"/>
      <c r="AP315" s="911"/>
      <c r="AQ315" s="911"/>
      <c r="AR315" s="911"/>
      <c r="AS315" s="911"/>
      <c r="AT315" s="911"/>
      <c r="AU315" s="911"/>
      <c r="AV315" s="911"/>
      <c r="AW315" s="911"/>
      <c r="AX315" s="911"/>
      <c r="AY315" s="911"/>
      <c r="AZ315" s="911"/>
      <c r="BA315" s="911"/>
      <c r="BB315" s="911"/>
      <c r="BC315" s="911"/>
      <c r="BD315" s="911"/>
      <c r="BE315" s="911"/>
      <c r="BF315" s="911"/>
      <c r="BG315" s="911"/>
      <c r="BH315" s="911"/>
      <c r="BI315" s="911"/>
      <c r="BJ315" s="911"/>
      <c r="BK315" s="911"/>
      <c r="BL315" s="911"/>
      <c r="BM315" s="911"/>
      <c r="BN315" s="911"/>
      <c r="BO315" s="911"/>
      <c r="BP315" s="911"/>
      <c r="BQ315" s="911"/>
      <c r="BR315" s="911"/>
      <c r="BS315" s="911"/>
      <c r="BT315" s="911"/>
      <c r="BU315" s="911"/>
      <c r="BV315" s="911"/>
      <c r="BW315" s="911"/>
      <c r="BX315" s="911"/>
      <c r="BY315" s="911"/>
      <c r="BZ315" s="912"/>
      <c r="CA315" s="270"/>
      <c r="CB315" s="3" t="str">
        <f t="shared" si="45"/>
        <v>Riadok bude skrytý.</v>
      </c>
      <c r="CC315" s="271" t="s">
        <v>832</v>
      </c>
      <c r="CW315" s="30">
        <f t="shared" si="46"/>
        <v>0</v>
      </c>
      <c r="CX315" s="30">
        <f>+IF(B315="",0,1)</f>
        <v>0</v>
      </c>
      <c r="CZ315" s="30">
        <f t="shared" si="31"/>
        <v>1</v>
      </c>
      <c r="DA315" s="52">
        <f t="shared" si="47"/>
        <v>0</v>
      </c>
      <c r="DB315" s="140">
        <f t="shared" si="44"/>
        <v>0</v>
      </c>
      <c r="DS315" s="130">
        <f>SI!BY315</f>
        <v>200</v>
      </c>
      <c r="DZ315" s="131">
        <f>SI!BZ315</f>
        <v>0</v>
      </c>
    </row>
    <row r="316" spans="1:130" hidden="1" x14ac:dyDescent="0.25">
      <c r="A316" s="141"/>
      <c r="B316" s="964"/>
      <c r="C316" s="965"/>
      <c r="D316" s="965"/>
      <c r="E316" s="965"/>
      <c r="F316" s="965"/>
      <c r="G316" s="965"/>
      <c r="H316" s="965"/>
      <c r="I316" s="965"/>
      <c r="J316" s="965"/>
      <c r="K316" s="965"/>
      <c r="L316" s="965"/>
      <c r="M316" s="965"/>
      <c r="N316" s="965"/>
      <c r="O316" s="965"/>
      <c r="P316" s="965"/>
      <c r="Q316" s="965"/>
      <c r="R316" s="965"/>
      <c r="S316" s="965"/>
      <c r="T316" s="965"/>
      <c r="U316" s="965"/>
      <c r="V316" s="965"/>
      <c r="W316" s="965"/>
      <c r="X316" s="965"/>
      <c r="Y316" s="965"/>
      <c r="Z316" s="965"/>
      <c r="AA316" s="965"/>
      <c r="AB316" s="965"/>
      <c r="AC316" s="965"/>
      <c r="AD316" s="965"/>
      <c r="AE316" s="965"/>
      <c r="AF316" s="965"/>
      <c r="AG316" s="965"/>
      <c r="AH316" s="965"/>
      <c r="AI316" s="965"/>
      <c r="AJ316" s="965"/>
      <c r="AK316" s="965"/>
      <c r="AL316" s="965"/>
      <c r="AM316" s="965"/>
      <c r="AN316" s="965"/>
      <c r="AO316" s="965"/>
      <c r="AP316" s="965"/>
      <c r="AQ316" s="965"/>
      <c r="AR316" s="965"/>
      <c r="AS316" s="965"/>
      <c r="AT316" s="965"/>
      <c r="AU316" s="965"/>
      <c r="AV316" s="965"/>
      <c r="AW316" s="965"/>
      <c r="AX316" s="965"/>
      <c r="AY316" s="965"/>
      <c r="AZ316" s="965"/>
      <c r="BA316" s="965"/>
      <c r="BB316" s="965"/>
      <c r="BC316" s="965"/>
      <c r="BD316" s="965"/>
      <c r="BE316" s="965"/>
      <c r="BF316" s="965"/>
      <c r="BG316" s="965"/>
      <c r="BH316" s="965"/>
      <c r="BI316" s="965"/>
      <c r="BJ316" s="965"/>
      <c r="BK316" s="965"/>
      <c r="BL316" s="965"/>
      <c r="BM316" s="965"/>
      <c r="BN316" s="965"/>
      <c r="BO316" s="965"/>
      <c r="BP316" s="965"/>
      <c r="BQ316" s="965"/>
      <c r="BR316" s="965"/>
      <c r="BS316" s="965"/>
      <c r="BT316" s="965"/>
      <c r="BU316" s="965"/>
      <c r="BV316" s="965"/>
      <c r="BW316" s="965"/>
      <c r="BX316" s="965"/>
      <c r="BY316" s="965"/>
      <c r="BZ316" s="966"/>
      <c r="CA316" s="270"/>
      <c r="CB316" s="3" t="str">
        <f t="shared" si="45"/>
        <v>Riadok bude skrytý.</v>
      </c>
      <c r="CC316" s="271" t="s">
        <v>832</v>
      </c>
      <c r="CW316" s="30">
        <f t="shared" si="46"/>
        <v>0</v>
      </c>
      <c r="CX316" s="30">
        <f>+IF(B316="",0,1)</f>
        <v>0</v>
      </c>
      <c r="CZ316" s="30">
        <f t="shared" si="31"/>
        <v>1</v>
      </c>
      <c r="DA316" s="52">
        <f t="shared" si="47"/>
        <v>0</v>
      </c>
      <c r="DB316" s="140">
        <f t="shared" si="44"/>
        <v>0</v>
      </c>
      <c r="DS316" s="130">
        <f>SI!BY316</f>
        <v>124</v>
      </c>
      <c r="DZ316" s="131">
        <f>SI!BZ316</f>
        <v>0</v>
      </c>
    </row>
    <row r="317" spans="1:130" hidden="1" x14ac:dyDescent="0.25">
      <c r="A317" s="141"/>
      <c r="B317" s="984" t="s">
        <v>868</v>
      </c>
      <c r="C317" s="985"/>
      <c r="D317" s="985"/>
      <c r="E317" s="985"/>
      <c r="F317" s="985"/>
      <c r="G317" s="985"/>
      <c r="H317" s="985"/>
      <c r="I317" s="985"/>
      <c r="J317" s="985"/>
      <c r="K317" s="985"/>
      <c r="L317" s="985"/>
      <c r="M317" s="985"/>
      <c r="N317" s="985"/>
      <c r="O317" s="985"/>
      <c r="P317" s="985"/>
      <c r="Q317" s="985"/>
      <c r="R317" s="985"/>
      <c r="S317" s="985"/>
      <c r="T317" s="985"/>
      <c r="U317" s="985"/>
      <c r="V317" s="985"/>
      <c r="W317" s="985"/>
      <c r="X317" s="985"/>
      <c r="Y317" s="985"/>
      <c r="Z317" s="985"/>
      <c r="AA317" s="985"/>
      <c r="AB317" s="985"/>
      <c r="AC317" s="985"/>
      <c r="AD317" s="985"/>
      <c r="AE317" s="985"/>
      <c r="AF317" s="985"/>
      <c r="AG317" s="985"/>
      <c r="AH317" s="985"/>
      <c r="AI317" s="985"/>
      <c r="AJ317" s="985"/>
      <c r="AK317" s="985"/>
      <c r="AL317" s="985"/>
      <c r="AM317" s="985"/>
      <c r="AN317" s="985"/>
      <c r="AO317" s="985"/>
      <c r="AP317" s="985"/>
      <c r="AQ317" s="985"/>
      <c r="AR317" s="985"/>
      <c r="AS317" s="985"/>
      <c r="AT317" s="985"/>
      <c r="AU317" s="985"/>
      <c r="AV317" s="985"/>
      <c r="AW317" s="985"/>
      <c r="AX317" s="985"/>
      <c r="AY317" s="985"/>
      <c r="AZ317" s="985"/>
      <c r="BA317" s="985"/>
      <c r="BB317" s="985"/>
      <c r="BC317" s="985"/>
      <c r="BD317" s="985"/>
      <c r="BE317" s="985"/>
      <c r="BF317" s="985"/>
      <c r="BG317" s="985"/>
      <c r="BH317" s="985"/>
      <c r="BI317" s="985"/>
      <c r="BJ317" s="985"/>
      <c r="BK317" s="985"/>
      <c r="BL317" s="985"/>
      <c r="BM317" s="985"/>
      <c r="BN317" s="985"/>
      <c r="BO317" s="985"/>
      <c r="BP317" s="985"/>
      <c r="BQ317" s="985"/>
      <c r="BR317" s="985"/>
      <c r="BS317" s="985"/>
      <c r="BT317" s="985"/>
      <c r="BU317" s="985"/>
      <c r="BV317" s="985"/>
      <c r="BW317" s="985"/>
      <c r="BX317" s="985"/>
      <c r="BY317" s="985"/>
      <c r="BZ317" s="986"/>
      <c r="CA317" s="270"/>
      <c r="CB317" s="3" t="str">
        <f t="shared" si="45"/>
        <v>Riadok bude skrytý.</v>
      </c>
      <c r="CC317" s="271" t="s">
        <v>832</v>
      </c>
      <c r="CW317" s="30">
        <f t="shared" si="46"/>
        <v>0</v>
      </c>
      <c r="CX317" s="30">
        <f>+IF(B318="",0,1)</f>
        <v>0</v>
      </c>
      <c r="CZ317" s="30">
        <f t="shared" si="31"/>
        <v>1</v>
      </c>
      <c r="DA317" s="52">
        <f t="shared" si="47"/>
        <v>0</v>
      </c>
      <c r="DB317" s="140">
        <f t="shared" si="44"/>
        <v>0</v>
      </c>
      <c r="DS317" s="130">
        <f>SI!BY317</f>
        <v>125</v>
      </c>
      <c r="DZ317" s="131">
        <f>SI!BZ317</f>
        <v>0</v>
      </c>
    </row>
    <row r="318" spans="1:130" hidden="1" x14ac:dyDescent="0.25">
      <c r="A318" s="141"/>
      <c r="B318" s="910"/>
      <c r="C318" s="911"/>
      <c r="D318" s="911"/>
      <c r="E318" s="911"/>
      <c r="F318" s="911"/>
      <c r="G318" s="911"/>
      <c r="H318" s="911"/>
      <c r="I318" s="911"/>
      <c r="J318" s="911"/>
      <c r="K318" s="911"/>
      <c r="L318" s="911"/>
      <c r="M318" s="911"/>
      <c r="N318" s="911"/>
      <c r="O318" s="911"/>
      <c r="P318" s="911"/>
      <c r="Q318" s="911"/>
      <c r="R318" s="911"/>
      <c r="S318" s="911"/>
      <c r="T318" s="911"/>
      <c r="U318" s="911"/>
      <c r="V318" s="911"/>
      <c r="W318" s="911"/>
      <c r="X318" s="911"/>
      <c r="Y318" s="911"/>
      <c r="Z318" s="911"/>
      <c r="AA318" s="911"/>
      <c r="AB318" s="911"/>
      <c r="AC318" s="911"/>
      <c r="AD318" s="911"/>
      <c r="AE318" s="911"/>
      <c r="AF318" s="911"/>
      <c r="AG318" s="911"/>
      <c r="AH318" s="911"/>
      <c r="AI318" s="911"/>
      <c r="AJ318" s="911"/>
      <c r="AK318" s="911"/>
      <c r="AL318" s="911"/>
      <c r="AM318" s="911"/>
      <c r="AN318" s="911"/>
      <c r="AO318" s="911"/>
      <c r="AP318" s="911"/>
      <c r="AQ318" s="911"/>
      <c r="AR318" s="911"/>
      <c r="AS318" s="911"/>
      <c r="AT318" s="911"/>
      <c r="AU318" s="911"/>
      <c r="AV318" s="911"/>
      <c r="AW318" s="911"/>
      <c r="AX318" s="911"/>
      <c r="AY318" s="911"/>
      <c r="AZ318" s="911"/>
      <c r="BA318" s="911"/>
      <c r="BB318" s="911"/>
      <c r="BC318" s="911"/>
      <c r="BD318" s="911"/>
      <c r="BE318" s="911"/>
      <c r="BF318" s="911"/>
      <c r="BG318" s="911"/>
      <c r="BH318" s="911"/>
      <c r="BI318" s="911"/>
      <c r="BJ318" s="911"/>
      <c r="BK318" s="911"/>
      <c r="BL318" s="911"/>
      <c r="BM318" s="911"/>
      <c r="BN318" s="911"/>
      <c r="BO318" s="911"/>
      <c r="BP318" s="911"/>
      <c r="BQ318" s="911"/>
      <c r="BR318" s="911"/>
      <c r="BS318" s="911"/>
      <c r="BT318" s="911"/>
      <c r="BU318" s="911"/>
      <c r="BV318" s="911"/>
      <c r="BW318" s="911"/>
      <c r="BX318" s="911"/>
      <c r="BY318" s="911"/>
      <c r="BZ318" s="912"/>
      <c r="CA318" s="270"/>
      <c r="CB318" s="3" t="str">
        <f t="shared" si="45"/>
        <v>Riadok bude skrytý.</v>
      </c>
      <c r="CC318" s="271" t="s">
        <v>832</v>
      </c>
      <c r="CW318" s="30">
        <f t="shared" si="46"/>
        <v>0</v>
      </c>
      <c r="CX318" s="30">
        <f>+IF(B318="",0,1)</f>
        <v>0</v>
      </c>
      <c r="CZ318" s="30">
        <f t="shared" si="31"/>
        <v>1</v>
      </c>
      <c r="DA318" s="52">
        <f t="shared" si="47"/>
        <v>0</v>
      </c>
      <c r="DB318" s="140">
        <f t="shared" si="44"/>
        <v>0</v>
      </c>
      <c r="DS318" s="130">
        <f>SI!BY318</f>
        <v>174</v>
      </c>
      <c r="DZ318" s="131">
        <f>SI!BZ318</f>
        <v>0</v>
      </c>
    </row>
    <row r="319" spans="1:130" hidden="1" x14ac:dyDescent="0.25">
      <c r="A319" s="141"/>
      <c r="B319" s="964"/>
      <c r="C319" s="965"/>
      <c r="D319" s="965"/>
      <c r="E319" s="965"/>
      <c r="F319" s="965"/>
      <c r="G319" s="965"/>
      <c r="H319" s="965"/>
      <c r="I319" s="965"/>
      <c r="J319" s="965"/>
      <c r="K319" s="965"/>
      <c r="L319" s="965"/>
      <c r="M319" s="965"/>
      <c r="N319" s="965"/>
      <c r="O319" s="965"/>
      <c r="P319" s="965"/>
      <c r="Q319" s="965"/>
      <c r="R319" s="965"/>
      <c r="S319" s="965"/>
      <c r="T319" s="965"/>
      <c r="U319" s="965"/>
      <c r="V319" s="965"/>
      <c r="W319" s="965"/>
      <c r="X319" s="965"/>
      <c r="Y319" s="965"/>
      <c r="Z319" s="965"/>
      <c r="AA319" s="965"/>
      <c r="AB319" s="965"/>
      <c r="AC319" s="965"/>
      <c r="AD319" s="965"/>
      <c r="AE319" s="965"/>
      <c r="AF319" s="965"/>
      <c r="AG319" s="965"/>
      <c r="AH319" s="965"/>
      <c r="AI319" s="965"/>
      <c r="AJ319" s="965"/>
      <c r="AK319" s="965"/>
      <c r="AL319" s="965"/>
      <c r="AM319" s="965"/>
      <c r="AN319" s="965"/>
      <c r="AO319" s="965"/>
      <c r="AP319" s="965"/>
      <c r="AQ319" s="965"/>
      <c r="AR319" s="965"/>
      <c r="AS319" s="965"/>
      <c r="AT319" s="965"/>
      <c r="AU319" s="965"/>
      <c r="AV319" s="965"/>
      <c r="AW319" s="965"/>
      <c r="AX319" s="965"/>
      <c r="AY319" s="965"/>
      <c r="AZ319" s="965"/>
      <c r="BA319" s="965"/>
      <c r="BB319" s="965"/>
      <c r="BC319" s="965"/>
      <c r="BD319" s="965"/>
      <c r="BE319" s="965"/>
      <c r="BF319" s="965"/>
      <c r="BG319" s="965"/>
      <c r="BH319" s="965"/>
      <c r="BI319" s="965"/>
      <c r="BJ319" s="965"/>
      <c r="BK319" s="965"/>
      <c r="BL319" s="965"/>
      <c r="BM319" s="965"/>
      <c r="BN319" s="965"/>
      <c r="BO319" s="965"/>
      <c r="BP319" s="965"/>
      <c r="BQ319" s="965"/>
      <c r="BR319" s="965"/>
      <c r="BS319" s="965"/>
      <c r="BT319" s="965"/>
      <c r="BU319" s="965"/>
      <c r="BV319" s="965"/>
      <c r="BW319" s="965"/>
      <c r="BX319" s="965"/>
      <c r="BY319" s="965"/>
      <c r="BZ319" s="966"/>
      <c r="CA319" s="270"/>
      <c r="CB319" s="3" t="str">
        <f t="shared" si="45"/>
        <v>Riadok bude skrytý.</v>
      </c>
      <c r="CC319" s="271" t="s">
        <v>832</v>
      </c>
      <c r="CW319" s="30">
        <f t="shared" si="46"/>
        <v>0</v>
      </c>
      <c r="CX319" s="30">
        <f>+IF(B319="",0,1)</f>
        <v>0</v>
      </c>
      <c r="CZ319" s="30">
        <f t="shared" si="31"/>
        <v>1</v>
      </c>
      <c r="DA319" s="52">
        <f t="shared" si="47"/>
        <v>0</v>
      </c>
      <c r="DB319" s="140">
        <f t="shared" si="44"/>
        <v>0</v>
      </c>
      <c r="DS319" s="130">
        <f>SI!BY319</f>
        <v>164</v>
      </c>
      <c r="DZ319" s="131">
        <f>SI!BZ319</f>
        <v>0</v>
      </c>
    </row>
    <row r="320" spans="1:130" hidden="1" x14ac:dyDescent="0.25">
      <c r="A320" s="141"/>
      <c r="B320" s="984" t="s">
        <v>864</v>
      </c>
      <c r="C320" s="985"/>
      <c r="D320" s="985"/>
      <c r="E320" s="985"/>
      <c r="F320" s="985"/>
      <c r="G320" s="985"/>
      <c r="H320" s="985"/>
      <c r="I320" s="985"/>
      <c r="J320" s="985"/>
      <c r="K320" s="985"/>
      <c r="L320" s="985"/>
      <c r="M320" s="985"/>
      <c r="N320" s="985"/>
      <c r="O320" s="985"/>
      <c r="P320" s="985"/>
      <c r="Q320" s="985"/>
      <c r="R320" s="985"/>
      <c r="S320" s="985"/>
      <c r="T320" s="985"/>
      <c r="U320" s="985"/>
      <c r="V320" s="985"/>
      <c r="W320" s="985"/>
      <c r="X320" s="985"/>
      <c r="Y320" s="985"/>
      <c r="Z320" s="985"/>
      <c r="AA320" s="985"/>
      <c r="AB320" s="985"/>
      <c r="AC320" s="985"/>
      <c r="AD320" s="985"/>
      <c r="AE320" s="985"/>
      <c r="AF320" s="985"/>
      <c r="AG320" s="985"/>
      <c r="AH320" s="985"/>
      <c r="AI320" s="985"/>
      <c r="AJ320" s="985"/>
      <c r="AK320" s="985"/>
      <c r="AL320" s="985"/>
      <c r="AM320" s="985"/>
      <c r="AN320" s="985"/>
      <c r="AO320" s="985"/>
      <c r="AP320" s="985"/>
      <c r="AQ320" s="985"/>
      <c r="AR320" s="985"/>
      <c r="AS320" s="985"/>
      <c r="AT320" s="985"/>
      <c r="AU320" s="985"/>
      <c r="AV320" s="985"/>
      <c r="AW320" s="985"/>
      <c r="AX320" s="985"/>
      <c r="AY320" s="985"/>
      <c r="AZ320" s="985"/>
      <c r="BA320" s="985"/>
      <c r="BB320" s="985"/>
      <c r="BC320" s="985"/>
      <c r="BD320" s="985"/>
      <c r="BE320" s="985"/>
      <c r="BF320" s="985"/>
      <c r="BG320" s="985"/>
      <c r="BH320" s="985"/>
      <c r="BI320" s="985"/>
      <c r="BJ320" s="985"/>
      <c r="BK320" s="985"/>
      <c r="BL320" s="985"/>
      <c r="BM320" s="985"/>
      <c r="BN320" s="985"/>
      <c r="BO320" s="985"/>
      <c r="BP320" s="985"/>
      <c r="BQ320" s="985"/>
      <c r="BR320" s="985"/>
      <c r="BS320" s="985"/>
      <c r="BT320" s="985"/>
      <c r="BU320" s="985"/>
      <c r="BV320" s="985"/>
      <c r="BW320" s="985"/>
      <c r="BX320" s="985"/>
      <c r="BY320" s="985"/>
      <c r="BZ320" s="986"/>
      <c r="CA320" s="270"/>
      <c r="CB320" s="3" t="str">
        <f t="shared" si="45"/>
        <v>Riadok bude skrytý.</v>
      </c>
      <c r="CC320" s="271" t="s">
        <v>832</v>
      </c>
      <c r="CW320" s="30">
        <f t="shared" si="46"/>
        <v>0</v>
      </c>
      <c r="CZ320" s="30">
        <f t="shared" si="31"/>
        <v>1</v>
      </c>
      <c r="DA320" s="30">
        <f t="shared" si="43"/>
        <v>0</v>
      </c>
      <c r="DB320" s="140">
        <f t="shared" si="44"/>
        <v>0</v>
      </c>
      <c r="DS320" s="130">
        <f>SI!BY320</f>
        <v>157</v>
      </c>
      <c r="DZ320" s="131">
        <f>SI!BZ320</f>
        <v>0</v>
      </c>
    </row>
    <row r="321" spans="1:130" hidden="1" x14ac:dyDescent="0.25">
      <c r="A321" s="141"/>
      <c r="B321" s="1871" t="s">
        <v>924</v>
      </c>
      <c r="C321" s="1872"/>
      <c r="D321" s="1872"/>
      <c r="E321" s="1872"/>
      <c r="F321" s="1872"/>
      <c r="G321" s="1872"/>
      <c r="H321" s="1872"/>
      <c r="I321" s="1872"/>
      <c r="J321" s="1872"/>
      <c r="K321" s="1872"/>
      <c r="L321" s="1872"/>
      <c r="M321" s="1872"/>
      <c r="N321" s="1872"/>
      <c r="O321" s="1872"/>
      <c r="P321" s="1872"/>
      <c r="Q321" s="1872"/>
      <c r="R321" s="1872"/>
      <c r="S321" s="1872"/>
      <c r="T321" s="1872"/>
      <c r="U321" s="1872"/>
      <c r="V321" s="994" t="str">
        <f>+IF(B321="nie","","Spoločnosť uvádza nasledujúce informácie:")</f>
        <v>Spoločnosť uvádza nasledujúce informácie:</v>
      </c>
      <c r="W321" s="994"/>
      <c r="X321" s="994"/>
      <c r="Y321" s="994"/>
      <c r="Z321" s="994"/>
      <c r="AA321" s="994"/>
      <c r="AB321" s="994"/>
      <c r="AC321" s="994"/>
      <c r="AD321" s="994"/>
      <c r="AE321" s="994"/>
      <c r="AF321" s="994"/>
      <c r="AG321" s="994"/>
      <c r="AH321" s="994"/>
      <c r="AI321" s="994"/>
      <c r="AJ321" s="994"/>
      <c r="AK321" s="994"/>
      <c r="AL321" s="994"/>
      <c r="AM321" s="994"/>
      <c r="AN321" s="994"/>
      <c r="AO321" s="994"/>
      <c r="AP321" s="994"/>
      <c r="AQ321" s="994"/>
      <c r="AR321" s="994"/>
      <c r="AS321" s="994"/>
      <c r="AT321" s="994"/>
      <c r="AU321" s="994"/>
      <c r="AV321" s="994"/>
      <c r="AW321" s="994"/>
      <c r="AX321" s="994"/>
      <c r="AY321" s="994"/>
      <c r="AZ321" s="994"/>
      <c r="BA321" s="994"/>
      <c r="BB321" s="994"/>
      <c r="BC321" s="994"/>
      <c r="BD321" s="994"/>
      <c r="BE321" s="994"/>
      <c r="BF321" s="994"/>
      <c r="BG321" s="994"/>
      <c r="BH321" s="994"/>
      <c r="BI321" s="994"/>
      <c r="BJ321" s="994"/>
      <c r="BK321" s="994"/>
      <c r="BL321" s="994"/>
      <c r="BM321" s="994"/>
      <c r="BN321" s="994"/>
      <c r="BO321" s="994"/>
      <c r="BP321" s="994"/>
      <c r="BQ321" s="994"/>
      <c r="BR321" s="994"/>
      <c r="BS321" s="994"/>
      <c r="BT321" s="994"/>
      <c r="BU321" s="994"/>
      <c r="BV321" s="994"/>
      <c r="BW321" s="994"/>
      <c r="BX321" s="994"/>
      <c r="BY321" s="994"/>
      <c r="BZ321" s="995"/>
      <c r="CA321" s="270"/>
      <c r="CB321" s="3" t="str">
        <f t="shared" si="45"/>
        <v>Riadok bude skrytý.</v>
      </c>
      <c r="CC321" s="271" t="s">
        <v>832</v>
      </c>
      <c r="CW321" s="30">
        <f t="shared" si="46"/>
        <v>0</v>
      </c>
      <c r="CZ321" s="30">
        <f t="shared" si="31"/>
        <v>1</v>
      </c>
      <c r="DA321" s="30">
        <f t="shared" si="43"/>
        <v>0</v>
      </c>
      <c r="DB321" s="140">
        <f t="shared" si="44"/>
        <v>0</v>
      </c>
      <c r="DS321" s="130">
        <f>SI!BY321</f>
        <v>136</v>
      </c>
      <c r="DZ321" s="131">
        <f>SI!BZ321</f>
        <v>0</v>
      </c>
    </row>
    <row r="322" spans="1:130" hidden="1" x14ac:dyDescent="0.25">
      <c r="A322" s="141"/>
      <c r="B322" s="1774" t="str">
        <f>+IF(B321="nie","",IF(B321="áno (podľa § 22 ods.12)","Obchodné mená a sídla dcérskych ÚJ:","Obchodné meno a sídlo materskej ÚJ zostavujúcej konsolidovanú ÚZ do ktorej je zahrnutá Spoločnosť a všetky jej dcérske ÚJ:"))</f>
        <v>Obchodné meno a sídlo materskej ÚJ zostavujúcej konsolidovanú ÚZ do ktorej je zahrnutá Spoločnosť a všetky jej dcérske ÚJ:</v>
      </c>
      <c r="C322" s="1775"/>
      <c r="D322" s="1775"/>
      <c r="E322" s="1775"/>
      <c r="F322" s="1775"/>
      <c r="G322" s="1775"/>
      <c r="H322" s="1775"/>
      <c r="I322" s="1775"/>
      <c r="J322" s="1775"/>
      <c r="K322" s="1775"/>
      <c r="L322" s="1775"/>
      <c r="M322" s="1775"/>
      <c r="N322" s="1775"/>
      <c r="O322" s="1775"/>
      <c r="P322" s="1775"/>
      <c r="Q322" s="1775"/>
      <c r="R322" s="1775"/>
      <c r="S322" s="1775"/>
      <c r="T322" s="1775"/>
      <c r="U322" s="1775"/>
      <c r="V322" s="1775"/>
      <c r="W322" s="1775"/>
      <c r="X322" s="1775"/>
      <c r="Y322" s="1775"/>
      <c r="Z322" s="1775"/>
      <c r="AA322" s="1775"/>
      <c r="AB322" s="1775"/>
      <c r="AC322" s="1775"/>
      <c r="AD322" s="1775"/>
      <c r="AE322" s="1775"/>
      <c r="AF322" s="1775"/>
      <c r="AG322" s="1775"/>
      <c r="AH322" s="1775"/>
      <c r="AI322" s="1775"/>
      <c r="AJ322" s="1775"/>
      <c r="AK322" s="1775"/>
      <c r="AL322" s="1775"/>
      <c r="AM322" s="1775"/>
      <c r="AN322" s="1775"/>
      <c r="AO322" s="1775"/>
      <c r="AP322" s="1775"/>
      <c r="AQ322" s="1775"/>
      <c r="AR322" s="1775"/>
      <c r="AS322" s="1775"/>
      <c r="AT322" s="1775"/>
      <c r="AU322" s="1775"/>
      <c r="AV322" s="1775"/>
      <c r="AW322" s="1775"/>
      <c r="AX322" s="1775"/>
      <c r="AY322" s="1775"/>
      <c r="AZ322" s="1775"/>
      <c r="BA322" s="1775"/>
      <c r="BB322" s="1775"/>
      <c r="BC322" s="1775"/>
      <c r="BD322" s="1775"/>
      <c r="BE322" s="1775"/>
      <c r="BF322" s="1775"/>
      <c r="BG322" s="1775"/>
      <c r="BH322" s="1775"/>
      <c r="BI322" s="1775"/>
      <c r="BJ322" s="1775"/>
      <c r="BK322" s="1775"/>
      <c r="BL322" s="1775"/>
      <c r="BM322" s="1775"/>
      <c r="BN322" s="1775"/>
      <c r="BO322" s="1775"/>
      <c r="BP322" s="1775"/>
      <c r="BQ322" s="1775"/>
      <c r="BR322" s="1775"/>
      <c r="BS322" s="1775"/>
      <c r="BT322" s="1775"/>
      <c r="BU322" s="1775"/>
      <c r="BV322" s="1775"/>
      <c r="BW322" s="1775"/>
      <c r="BX322" s="1775"/>
      <c r="BY322" s="1775"/>
      <c r="BZ322" s="1776"/>
      <c r="CA322" s="270"/>
      <c r="CB322" s="3" t="str">
        <f t="shared" si="45"/>
        <v>Riadok bude skrytý.</v>
      </c>
      <c r="CC322" s="271" t="s">
        <v>832</v>
      </c>
      <c r="CW322" s="30">
        <f t="shared" si="46"/>
        <v>0</v>
      </c>
      <c r="CX322" s="30">
        <f>+IF($B$321="nie",0,1)</f>
        <v>1</v>
      </c>
      <c r="CZ322" s="30">
        <f t="shared" si="31"/>
        <v>1</v>
      </c>
      <c r="DA322" s="52">
        <f>+IF(CW322*CX322=0,0,IF(CZ322=0,0,1))</f>
        <v>0</v>
      </c>
      <c r="DB322" s="140">
        <f t="shared" si="44"/>
        <v>0</v>
      </c>
      <c r="DS322" s="130">
        <f>SI!BY322</f>
        <v>147</v>
      </c>
      <c r="DZ322" s="131">
        <f>SI!BZ322</f>
        <v>0</v>
      </c>
    </row>
    <row r="323" spans="1:130" hidden="1" x14ac:dyDescent="0.25">
      <c r="A323" s="141"/>
      <c r="B323" s="742"/>
      <c r="C323" s="743"/>
      <c r="D323" s="743"/>
      <c r="E323" s="743"/>
      <c r="F323" s="743"/>
      <c r="G323" s="743"/>
      <c r="H323" s="743"/>
      <c r="I323" s="743"/>
      <c r="J323" s="743"/>
      <c r="K323" s="743"/>
      <c r="L323" s="743"/>
      <c r="M323" s="743"/>
      <c r="N323" s="743"/>
      <c r="O323" s="743"/>
      <c r="P323" s="743"/>
      <c r="Q323" s="743"/>
      <c r="R323" s="743"/>
      <c r="S323" s="743"/>
      <c r="T323" s="743"/>
      <c r="U323" s="743"/>
      <c r="V323" s="743"/>
      <c r="W323" s="743"/>
      <c r="X323" s="743"/>
      <c r="Y323" s="743"/>
      <c r="Z323" s="743"/>
      <c r="AA323" s="743"/>
      <c r="AB323" s="743"/>
      <c r="AC323" s="743"/>
      <c r="AD323" s="743"/>
      <c r="AE323" s="743"/>
      <c r="AF323" s="743"/>
      <c r="AG323" s="743"/>
      <c r="AH323" s="743"/>
      <c r="AI323" s="743"/>
      <c r="AJ323" s="743"/>
      <c r="AK323" s="743"/>
      <c r="AL323" s="743"/>
      <c r="AM323" s="743"/>
      <c r="AN323" s="743"/>
      <c r="AO323" s="743"/>
      <c r="AP323" s="743"/>
      <c r="AQ323" s="743"/>
      <c r="AR323" s="743"/>
      <c r="AS323" s="743"/>
      <c r="AT323" s="743"/>
      <c r="AU323" s="743"/>
      <c r="AV323" s="743"/>
      <c r="AW323" s="743"/>
      <c r="AX323" s="743"/>
      <c r="AY323" s="743"/>
      <c r="AZ323" s="743"/>
      <c r="BA323" s="743"/>
      <c r="BB323" s="743"/>
      <c r="BC323" s="743"/>
      <c r="BD323" s="743"/>
      <c r="BE323" s="743"/>
      <c r="BF323" s="743"/>
      <c r="BG323" s="743"/>
      <c r="BH323" s="743"/>
      <c r="BI323" s="743"/>
      <c r="BJ323" s="743"/>
      <c r="BK323" s="743"/>
      <c r="BL323" s="743"/>
      <c r="BM323" s="743"/>
      <c r="BN323" s="743"/>
      <c r="BO323" s="743"/>
      <c r="BP323" s="743"/>
      <c r="BQ323" s="743"/>
      <c r="BR323" s="743"/>
      <c r="BS323" s="743"/>
      <c r="BT323" s="743"/>
      <c r="BU323" s="743"/>
      <c r="BV323" s="743"/>
      <c r="BW323" s="743"/>
      <c r="BX323" s="743"/>
      <c r="BY323" s="743"/>
      <c r="BZ323" s="744"/>
      <c r="CA323" s="270"/>
      <c r="CB323" s="3" t="str">
        <f t="shared" si="45"/>
        <v>Riadok bude skrytý.</v>
      </c>
      <c r="CC323" s="271" t="s">
        <v>832</v>
      </c>
      <c r="CW323" s="30">
        <f t="shared" si="46"/>
        <v>0</v>
      </c>
      <c r="CX323" s="30">
        <f t="shared" ref="CX323:CX331" si="48">+IF($B$321="nie",0,1)</f>
        <v>1</v>
      </c>
      <c r="CY323" s="30">
        <f t="shared" ref="CY323:CY331" si="49">+IF(B323="",0,1)</f>
        <v>0</v>
      </c>
      <c r="CZ323" s="30">
        <f t="shared" si="31"/>
        <v>1</v>
      </c>
      <c r="DA323" s="53">
        <f t="shared" ref="DA323:DA331" si="50">+IF(CW323*CX323*CY323=0,0,IF(CZ323=0,0,1))</f>
        <v>0</v>
      </c>
      <c r="DB323" s="140">
        <f t="shared" si="44"/>
        <v>0</v>
      </c>
      <c r="DS323" s="130">
        <f>SI!BY323</f>
        <v>140</v>
      </c>
      <c r="DZ323" s="131">
        <f>SI!BZ323</f>
        <v>0</v>
      </c>
    </row>
    <row r="324" spans="1:130" hidden="1" x14ac:dyDescent="0.25">
      <c r="A324" s="141"/>
      <c r="B324" s="742"/>
      <c r="C324" s="743"/>
      <c r="D324" s="743"/>
      <c r="E324" s="743"/>
      <c r="F324" s="743"/>
      <c r="G324" s="743"/>
      <c r="H324" s="743"/>
      <c r="I324" s="743"/>
      <c r="J324" s="743"/>
      <c r="K324" s="743"/>
      <c r="L324" s="743"/>
      <c r="M324" s="743"/>
      <c r="N324" s="743"/>
      <c r="O324" s="743"/>
      <c r="P324" s="743"/>
      <c r="Q324" s="743"/>
      <c r="R324" s="743"/>
      <c r="S324" s="743"/>
      <c r="T324" s="743"/>
      <c r="U324" s="743"/>
      <c r="V324" s="743"/>
      <c r="W324" s="743"/>
      <c r="X324" s="743"/>
      <c r="Y324" s="743"/>
      <c r="Z324" s="743"/>
      <c r="AA324" s="743"/>
      <c r="AB324" s="743"/>
      <c r="AC324" s="743"/>
      <c r="AD324" s="743"/>
      <c r="AE324" s="743"/>
      <c r="AF324" s="743"/>
      <c r="AG324" s="743"/>
      <c r="AH324" s="743"/>
      <c r="AI324" s="743"/>
      <c r="AJ324" s="743"/>
      <c r="AK324" s="743"/>
      <c r="AL324" s="743"/>
      <c r="AM324" s="743"/>
      <c r="AN324" s="743"/>
      <c r="AO324" s="743"/>
      <c r="AP324" s="743"/>
      <c r="AQ324" s="743"/>
      <c r="AR324" s="743"/>
      <c r="AS324" s="743"/>
      <c r="AT324" s="743"/>
      <c r="AU324" s="743"/>
      <c r="AV324" s="743"/>
      <c r="AW324" s="743"/>
      <c r="AX324" s="743"/>
      <c r="AY324" s="743"/>
      <c r="AZ324" s="743"/>
      <c r="BA324" s="743"/>
      <c r="BB324" s="743"/>
      <c r="BC324" s="743"/>
      <c r="BD324" s="743"/>
      <c r="BE324" s="743"/>
      <c r="BF324" s="743"/>
      <c r="BG324" s="743"/>
      <c r="BH324" s="743"/>
      <c r="BI324" s="743"/>
      <c r="BJ324" s="743"/>
      <c r="BK324" s="743"/>
      <c r="BL324" s="743"/>
      <c r="BM324" s="743"/>
      <c r="BN324" s="743"/>
      <c r="BO324" s="743"/>
      <c r="BP324" s="743"/>
      <c r="BQ324" s="743"/>
      <c r="BR324" s="743"/>
      <c r="BS324" s="743"/>
      <c r="BT324" s="743"/>
      <c r="BU324" s="743"/>
      <c r="BV324" s="743"/>
      <c r="BW324" s="743"/>
      <c r="BX324" s="743"/>
      <c r="BY324" s="743"/>
      <c r="BZ324" s="744"/>
      <c r="CA324" s="270"/>
      <c r="CB324" s="3" t="str">
        <f t="shared" si="45"/>
        <v>Riadok bude skrytý.</v>
      </c>
      <c r="CC324" s="271" t="s">
        <v>832</v>
      </c>
      <c r="CW324" s="30">
        <f t="shared" si="46"/>
        <v>0</v>
      </c>
      <c r="CX324" s="30">
        <f t="shared" si="48"/>
        <v>1</v>
      </c>
      <c r="CY324" s="30">
        <f t="shared" si="49"/>
        <v>0</v>
      </c>
      <c r="CZ324" s="30">
        <f t="shared" si="31"/>
        <v>1</v>
      </c>
      <c r="DA324" s="53">
        <f t="shared" si="50"/>
        <v>0</v>
      </c>
      <c r="DB324" s="140">
        <f t="shared" si="44"/>
        <v>0</v>
      </c>
      <c r="DS324" s="130">
        <f>SI!BY324</f>
        <v>189</v>
      </c>
      <c r="DZ324" s="131">
        <f>SI!BZ324</f>
        <v>0</v>
      </c>
    </row>
    <row r="325" spans="1:130" hidden="1" x14ac:dyDescent="0.25">
      <c r="A325" s="141"/>
      <c r="B325" s="742"/>
      <c r="C325" s="743"/>
      <c r="D325" s="743"/>
      <c r="E325" s="743"/>
      <c r="F325" s="743"/>
      <c r="G325" s="743"/>
      <c r="H325" s="743"/>
      <c r="I325" s="743"/>
      <c r="J325" s="743"/>
      <c r="K325" s="743"/>
      <c r="L325" s="743"/>
      <c r="M325" s="743"/>
      <c r="N325" s="743"/>
      <c r="O325" s="743"/>
      <c r="P325" s="743"/>
      <c r="Q325" s="743"/>
      <c r="R325" s="743"/>
      <c r="S325" s="743"/>
      <c r="T325" s="743"/>
      <c r="U325" s="743"/>
      <c r="V325" s="743"/>
      <c r="W325" s="743"/>
      <c r="X325" s="743"/>
      <c r="Y325" s="743"/>
      <c r="Z325" s="743"/>
      <c r="AA325" s="743"/>
      <c r="AB325" s="743"/>
      <c r="AC325" s="743"/>
      <c r="AD325" s="743"/>
      <c r="AE325" s="743"/>
      <c r="AF325" s="743"/>
      <c r="AG325" s="743"/>
      <c r="AH325" s="743"/>
      <c r="AI325" s="743"/>
      <c r="AJ325" s="743"/>
      <c r="AK325" s="743"/>
      <c r="AL325" s="743"/>
      <c r="AM325" s="743"/>
      <c r="AN325" s="743"/>
      <c r="AO325" s="743"/>
      <c r="AP325" s="743"/>
      <c r="AQ325" s="743"/>
      <c r="AR325" s="743"/>
      <c r="AS325" s="743"/>
      <c r="AT325" s="743"/>
      <c r="AU325" s="743"/>
      <c r="AV325" s="743"/>
      <c r="AW325" s="743"/>
      <c r="AX325" s="743"/>
      <c r="AY325" s="743"/>
      <c r="AZ325" s="743"/>
      <c r="BA325" s="743"/>
      <c r="BB325" s="743"/>
      <c r="BC325" s="743"/>
      <c r="BD325" s="743"/>
      <c r="BE325" s="743"/>
      <c r="BF325" s="743"/>
      <c r="BG325" s="743"/>
      <c r="BH325" s="743"/>
      <c r="BI325" s="743"/>
      <c r="BJ325" s="743"/>
      <c r="BK325" s="743"/>
      <c r="BL325" s="743"/>
      <c r="BM325" s="743"/>
      <c r="BN325" s="743"/>
      <c r="BO325" s="743"/>
      <c r="BP325" s="743"/>
      <c r="BQ325" s="743"/>
      <c r="BR325" s="743"/>
      <c r="BS325" s="743"/>
      <c r="BT325" s="743"/>
      <c r="BU325" s="743"/>
      <c r="BV325" s="743"/>
      <c r="BW325" s="743"/>
      <c r="BX325" s="743"/>
      <c r="BY325" s="743"/>
      <c r="BZ325" s="744"/>
      <c r="CA325" s="270"/>
      <c r="CB325" s="3" t="str">
        <f t="shared" si="45"/>
        <v>Riadok bude skrytý.</v>
      </c>
      <c r="CC325" s="271" t="s">
        <v>832</v>
      </c>
      <c r="CW325" s="30">
        <f t="shared" si="46"/>
        <v>0</v>
      </c>
      <c r="CX325" s="30">
        <f t="shared" si="48"/>
        <v>1</v>
      </c>
      <c r="CY325" s="30">
        <f t="shared" si="49"/>
        <v>0</v>
      </c>
      <c r="CZ325" s="30">
        <f t="shared" si="31"/>
        <v>1</v>
      </c>
      <c r="DA325" s="53">
        <f t="shared" si="50"/>
        <v>0</v>
      </c>
      <c r="DB325" s="140">
        <f t="shared" si="44"/>
        <v>0</v>
      </c>
      <c r="DS325" s="130">
        <f>SI!BY325</f>
        <v>187</v>
      </c>
      <c r="DZ325" s="131">
        <f>SI!BZ325</f>
        <v>0</v>
      </c>
    </row>
    <row r="326" spans="1:130" hidden="1" x14ac:dyDescent="0.25">
      <c r="A326" s="141"/>
      <c r="B326" s="742"/>
      <c r="C326" s="743"/>
      <c r="D326" s="743"/>
      <c r="E326" s="743"/>
      <c r="F326" s="743"/>
      <c r="G326" s="743"/>
      <c r="H326" s="743"/>
      <c r="I326" s="743"/>
      <c r="J326" s="743"/>
      <c r="K326" s="743"/>
      <c r="L326" s="743"/>
      <c r="M326" s="743"/>
      <c r="N326" s="743"/>
      <c r="O326" s="743"/>
      <c r="P326" s="743"/>
      <c r="Q326" s="743"/>
      <c r="R326" s="743"/>
      <c r="S326" s="743"/>
      <c r="T326" s="743"/>
      <c r="U326" s="743"/>
      <c r="V326" s="743"/>
      <c r="W326" s="743"/>
      <c r="X326" s="743"/>
      <c r="Y326" s="743"/>
      <c r="Z326" s="743"/>
      <c r="AA326" s="743"/>
      <c r="AB326" s="743"/>
      <c r="AC326" s="743"/>
      <c r="AD326" s="743"/>
      <c r="AE326" s="743"/>
      <c r="AF326" s="743"/>
      <c r="AG326" s="743"/>
      <c r="AH326" s="743"/>
      <c r="AI326" s="743"/>
      <c r="AJ326" s="743"/>
      <c r="AK326" s="743"/>
      <c r="AL326" s="743"/>
      <c r="AM326" s="743"/>
      <c r="AN326" s="743"/>
      <c r="AO326" s="743"/>
      <c r="AP326" s="743"/>
      <c r="AQ326" s="743"/>
      <c r="AR326" s="743"/>
      <c r="AS326" s="743"/>
      <c r="AT326" s="743"/>
      <c r="AU326" s="743"/>
      <c r="AV326" s="743"/>
      <c r="AW326" s="743"/>
      <c r="AX326" s="743"/>
      <c r="AY326" s="743"/>
      <c r="AZ326" s="743"/>
      <c r="BA326" s="743"/>
      <c r="BB326" s="743"/>
      <c r="BC326" s="743"/>
      <c r="BD326" s="743"/>
      <c r="BE326" s="743"/>
      <c r="BF326" s="743"/>
      <c r="BG326" s="743"/>
      <c r="BH326" s="743"/>
      <c r="BI326" s="743"/>
      <c r="BJ326" s="743"/>
      <c r="BK326" s="743"/>
      <c r="BL326" s="743"/>
      <c r="BM326" s="743"/>
      <c r="BN326" s="743"/>
      <c r="BO326" s="743"/>
      <c r="BP326" s="743"/>
      <c r="BQ326" s="743"/>
      <c r="BR326" s="743"/>
      <c r="BS326" s="743"/>
      <c r="BT326" s="743"/>
      <c r="BU326" s="743"/>
      <c r="BV326" s="743"/>
      <c r="BW326" s="743"/>
      <c r="BX326" s="743"/>
      <c r="BY326" s="743"/>
      <c r="BZ326" s="744"/>
      <c r="CA326" s="270"/>
      <c r="CB326" s="3" t="str">
        <f t="shared" si="45"/>
        <v>Riadok bude skrytý.</v>
      </c>
      <c r="CC326" s="271" t="s">
        <v>832</v>
      </c>
      <c r="CW326" s="30">
        <f t="shared" si="46"/>
        <v>0</v>
      </c>
      <c r="CX326" s="30">
        <f t="shared" si="48"/>
        <v>1</v>
      </c>
      <c r="CY326" s="30">
        <f t="shared" si="49"/>
        <v>0</v>
      </c>
      <c r="CZ326" s="30">
        <f t="shared" si="31"/>
        <v>1</v>
      </c>
      <c r="DA326" s="53">
        <f t="shared" si="50"/>
        <v>0</v>
      </c>
      <c r="DB326" s="140">
        <f t="shared" si="44"/>
        <v>0</v>
      </c>
      <c r="DS326" s="130">
        <f>SI!BY326</f>
        <v>133</v>
      </c>
      <c r="DZ326" s="131">
        <f>SI!BZ326</f>
        <v>0</v>
      </c>
    </row>
    <row r="327" spans="1:130" hidden="1" x14ac:dyDescent="0.25">
      <c r="A327" s="141"/>
      <c r="B327" s="742"/>
      <c r="C327" s="743"/>
      <c r="D327" s="743"/>
      <c r="E327" s="743"/>
      <c r="F327" s="743"/>
      <c r="G327" s="743"/>
      <c r="H327" s="743"/>
      <c r="I327" s="743"/>
      <c r="J327" s="743"/>
      <c r="K327" s="743"/>
      <c r="L327" s="743"/>
      <c r="M327" s="743"/>
      <c r="N327" s="743"/>
      <c r="O327" s="743"/>
      <c r="P327" s="743"/>
      <c r="Q327" s="743"/>
      <c r="R327" s="743"/>
      <c r="S327" s="743"/>
      <c r="T327" s="743"/>
      <c r="U327" s="743"/>
      <c r="V327" s="743"/>
      <c r="W327" s="743"/>
      <c r="X327" s="743"/>
      <c r="Y327" s="743"/>
      <c r="Z327" s="743"/>
      <c r="AA327" s="743"/>
      <c r="AB327" s="743"/>
      <c r="AC327" s="743"/>
      <c r="AD327" s="743"/>
      <c r="AE327" s="743"/>
      <c r="AF327" s="743"/>
      <c r="AG327" s="743"/>
      <c r="AH327" s="743"/>
      <c r="AI327" s="743"/>
      <c r="AJ327" s="743"/>
      <c r="AK327" s="743"/>
      <c r="AL327" s="743"/>
      <c r="AM327" s="743"/>
      <c r="AN327" s="743"/>
      <c r="AO327" s="743"/>
      <c r="AP327" s="743"/>
      <c r="AQ327" s="743"/>
      <c r="AR327" s="743"/>
      <c r="AS327" s="743"/>
      <c r="AT327" s="743"/>
      <c r="AU327" s="743"/>
      <c r="AV327" s="743"/>
      <c r="AW327" s="743"/>
      <c r="AX327" s="743"/>
      <c r="AY327" s="743"/>
      <c r="AZ327" s="743"/>
      <c r="BA327" s="743"/>
      <c r="BB327" s="743"/>
      <c r="BC327" s="743"/>
      <c r="BD327" s="743"/>
      <c r="BE327" s="743"/>
      <c r="BF327" s="743"/>
      <c r="BG327" s="743"/>
      <c r="BH327" s="743"/>
      <c r="BI327" s="743"/>
      <c r="BJ327" s="743"/>
      <c r="BK327" s="743"/>
      <c r="BL327" s="743"/>
      <c r="BM327" s="743"/>
      <c r="BN327" s="743"/>
      <c r="BO327" s="743"/>
      <c r="BP327" s="743"/>
      <c r="BQ327" s="743"/>
      <c r="BR327" s="743"/>
      <c r="BS327" s="743"/>
      <c r="BT327" s="743"/>
      <c r="BU327" s="743"/>
      <c r="BV327" s="743"/>
      <c r="BW327" s="743"/>
      <c r="BX327" s="743"/>
      <c r="BY327" s="743"/>
      <c r="BZ327" s="744"/>
      <c r="CA327" s="270"/>
      <c r="CB327" s="3" t="str">
        <f t="shared" si="45"/>
        <v>Riadok bude skrytý.</v>
      </c>
      <c r="CC327" s="271" t="s">
        <v>832</v>
      </c>
      <c r="CW327" s="30">
        <f t="shared" si="46"/>
        <v>0</v>
      </c>
      <c r="CX327" s="30">
        <f t="shared" si="48"/>
        <v>1</v>
      </c>
      <c r="CY327" s="30">
        <f t="shared" si="49"/>
        <v>0</v>
      </c>
      <c r="CZ327" s="30">
        <f t="shared" si="31"/>
        <v>1</v>
      </c>
      <c r="DA327" s="53">
        <f t="shared" si="50"/>
        <v>0</v>
      </c>
      <c r="DB327" s="140">
        <f t="shared" si="44"/>
        <v>0</v>
      </c>
      <c r="DS327" s="130">
        <f>SI!BY327</f>
        <v>197</v>
      </c>
      <c r="DZ327" s="131">
        <f>SI!BZ327</f>
        <v>0</v>
      </c>
    </row>
    <row r="328" spans="1:130" hidden="1" x14ac:dyDescent="0.25">
      <c r="A328" s="141"/>
      <c r="B328" s="742"/>
      <c r="C328" s="743"/>
      <c r="D328" s="743"/>
      <c r="E328" s="743"/>
      <c r="F328" s="743"/>
      <c r="G328" s="743"/>
      <c r="H328" s="743"/>
      <c r="I328" s="743"/>
      <c r="J328" s="743"/>
      <c r="K328" s="743"/>
      <c r="L328" s="743"/>
      <c r="M328" s="743"/>
      <c r="N328" s="743"/>
      <c r="O328" s="743"/>
      <c r="P328" s="743"/>
      <c r="Q328" s="743"/>
      <c r="R328" s="743"/>
      <c r="S328" s="743"/>
      <c r="T328" s="743"/>
      <c r="U328" s="743"/>
      <c r="V328" s="743"/>
      <c r="W328" s="743"/>
      <c r="X328" s="743"/>
      <c r="Y328" s="743"/>
      <c r="Z328" s="743"/>
      <c r="AA328" s="743"/>
      <c r="AB328" s="743"/>
      <c r="AC328" s="743"/>
      <c r="AD328" s="743"/>
      <c r="AE328" s="743"/>
      <c r="AF328" s="743"/>
      <c r="AG328" s="743"/>
      <c r="AH328" s="743"/>
      <c r="AI328" s="743"/>
      <c r="AJ328" s="743"/>
      <c r="AK328" s="743"/>
      <c r="AL328" s="743"/>
      <c r="AM328" s="743"/>
      <c r="AN328" s="743"/>
      <c r="AO328" s="743"/>
      <c r="AP328" s="743"/>
      <c r="AQ328" s="743"/>
      <c r="AR328" s="743"/>
      <c r="AS328" s="743"/>
      <c r="AT328" s="743"/>
      <c r="AU328" s="743"/>
      <c r="AV328" s="743"/>
      <c r="AW328" s="743"/>
      <c r="AX328" s="743"/>
      <c r="AY328" s="743"/>
      <c r="AZ328" s="743"/>
      <c r="BA328" s="743"/>
      <c r="BB328" s="743"/>
      <c r="BC328" s="743"/>
      <c r="BD328" s="743"/>
      <c r="BE328" s="743"/>
      <c r="BF328" s="743"/>
      <c r="BG328" s="743"/>
      <c r="BH328" s="743"/>
      <c r="BI328" s="743"/>
      <c r="BJ328" s="743"/>
      <c r="BK328" s="743"/>
      <c r="BL328" s="743"/>
      <c r="BM328" s="743"/>
      <c r="BN328" s="743"/>
      <c r="BO328" s="743"/>
      <c r="BP328" s="743"/>
      <c r="BQ328" s="743"/>
      <c r="BR328" s="743"/>
      <c r="BS328" s="743"/>
      <c r="BT328" s="743"/>
      <c r="BU328" s="743"/>
      <c r="BV328" s="743"/>
      <c r="BW328" s="743"/>
      <c r="BX328" s="743"/>
      <c r="BY328" s="743"/>
      <c r="BZ328" s="744"/>
      <c r="CA328" s="270"/>
      <c r="CB328" s="3" t="str">
        <f t="shared" si="45"/>
        <v>Riadok bude skrytý.</v>
      </c>
      <c r="CC328" s="271" t="s">
        <v>832</v>
      </c>
      <c r="CW328" s="30">
        <f t="shared" si="46"/>
        <v>0</v>
      </c>
      <c r="CX328" s="30">
        <f t="shared" si="48"/>
        <v>1</v>
      </c>
      <c r="CY328" s="30">
        <f t="shared" si="49"/>
        <v>0</v>
      </c>
      <c r="CZ328" s="30">
        <f t="shared" si="31"/>
        <v>1</v>
      </c>
      <c r="DA328" s="53">
        <f t="shared" si="50"/>
        <v>0</v>
      </c>
      <c r="DB328" s="140">
        <f t="shared" si="44"/>
        <v>0</v>
      </c>
      <c r="DS328" s="130">
        <f>SI!BY328</f>
        <v>118</v>
      </c>
      <c r="DZ328" s="131">
        <f>SI!BZ328</f>
        <v>0</v>
      </c>
    </row>
    <row r="329" spans="1:130" hidden="1" x14ac:dyDescent="0.25">
      <c r="A329" s="141"/>
      <c r="B329" s="742"/>
      <c r="C329" s="743"/>
      <c r="D329" s="743"/>
      <c r="E329" s="743"/>
      <c r="F329" s="743"/>
      <c r="G329" s="743"/>
      <c r="H329" s="743"/>
      <c r="I329" s="743"/>
      <c r="J329" s="743"/>
      <c r="K329" s="743"/>
      <c r="L329" s="743"/>
      <c r="M329" s="743"/>
      <c r="N329" s="743"/>
      <c r="O329" s="743"/>
      <c r="P329" s="743"/>
      <c r="Q329" s="743"/>
      <c r="R329" s="743"/>
      <c r="S329" s="743"/>
      <c r="T329" s="743"/>
      <c r="U329" s="743"/>
      <c r="V329" s="743"/>
      <c r="W329" s="743"/>
      <c r="X329" s="743"/>
      <c r="Y329" s="743"/>
      <c r="Z329" s="743"/>
      <c r="AA329" s="743"/>
      <c r="AB329" s="743"/>
      <c r="AC329" s="743"/>
      <c r="AD329" s="743"/>
      <c r="AE329" s="743"/>
      <c r="AF329" s="743"/>
      <c r="AG329" s="743"/>
      <c r="AH329" s="743"/>
      <c r="AI329" s="743"/>
      <c r="AJ329" s="743"/>
      <c r="AK329" s="743"/>
      <c r="AL329" s="743"/>
      <c r="AM329" s="743"/>
      <c r="AN329" s="743"/>
      <c r="AO329" s="743"/>
      <c r="AP329" s="743"/>
      <c r="AQ329" s="743"/>
      <c r="AR329" s="743"/>
      <c r="AS329" s="743"/>
      <c r="AT329" s="743"/>
      <c r="AU329" s="743"/>
      <c r="AV329" s="743"/>
      <c r="AW329" s="743"/>
      <c r="AX329" s="743"/>
      <c r="AY329" s="743"/>
      <c r="AZ329" s="743"/>
      <c r="BA329" s="743"/>
      <c r="BB329" s="743"/>
      <c r="BC329" s="743"/>
      <c r="BD329" s="743"/>
      <c r="BE329" s="743"/>
      <c r="BF329" s="743"/>
      <c r="BG329" s="743"/>
      <c r="BH329" s="743"/>
      <c r="BI329" s="743"/>
      <c r="BJ329" s="743"/>
      <c r="BK329" s="743"/>
      <c r="BL329" s="743"/>
      <c r="BM329" s="743"/>
      <c r="BN329" s="743"/>
      <c r="BO329" s="743"/>
      <c r="BP329" s="743"/>
      <c r="BQ329" s="743"/>
      <c r="BR329" s="743"/>
      <c r="BS329" s="743"/>
      <c r="BT329" s="743"/>
      <c r="BU329" s="743"/>
      <c r="BV329" s="743"/>
      <c r="BW329" s="743"/>
      <c r="BX329" s="743"/>
      <c r="BY329" s="743"/>
      <c r="BZ329" s="744"/>
      <c r="CA329" s="270"/>
      <c r="CB329" s="3" t="str">
        <f t="shared" si="45"/>
        <v>Riadok bude skrytý.</v>
      </c>
      <c r="CC329" s="271" t="s">
        <v>832</v>
      </c>
      <c r="CW329" s="30">
        <f t="shared" si="46"/>
        <v>0</v>
      </c>
      <c r="CX329" s="30">
        <f t="shared" si="48"/>
        <v>1</v>
      </c>
      <c r="CY329" s="30">
        <f t="shared" si="49"/>
        <v>0</v>
      </c>
      <c r="CZ329" s="30">
        <f t="shared" si="31"/>
        <v>1</v>
      </c>
      <c r="DA329" s="53">
        <f t="shared" si="50"/>
        <v>0</v>
      </c>
      <c r="DB329" s="140">
        <f t="shared" si="44"/>
        <v>0</v>
      </c>
      <c r="DS329" s="130">
        <f>SI!BY329</f>
        <v>166</v>
      </c>
      <c r="DZ329" s="131">
        <f>SI!BZ329</f>
        <v>0</v>
      </c>
    </row>
    <row r="330" spans="1:130" hidden="1" x14ac:dyDescent="0.25">
      <c r="A330" s="141"/>
      <c r="B330" s="742"/>
      <c r="C330" s="743"/>
      <c r="D330" s="743"/>
      <c r="E330" s="743"/>
      <c r="F330" s="743"/>
      <c r="G330" s="743"/>
      <c r="H330" s="743"/>
      <c r="I330" s="743"/>
      <c r="J330" s="743"/>
      <c r="K330" s="743"/>
      <c r="L330" s="743"/>
      <c r="M330" s="743"/>
      <c r="N330" s="743"/>
      <c r="O330" s="743"/>
      <c r="P330" s="743"/>
      <c r="Q330" s="743"/>
      <c r="R330" s="743"/>
      <c r="S330" s="743"/>
      <c r="T330" s="743"/>
      <c r="U330" s="743"/>
      <c r="V330" s="743"/>
      <c r="W330" s="743"/>
      <c r="X330" s="743"/>
      <c r="Y330" s="743"/>
      <c r="Z330" s="743"/>
      <c r="AA330" s="743"/>
      <c r="AB330" s="743"/>
      <c r="AC330" s="743"/>
      <c r="AD330" s="743"/>
      <c r="AE330" s="743"/>
      <c r="AF330" s="743"/>
      <c r="AG330" s="743"/>
      <c r="AH330" s="743"/>
      <c r="AI330" s="743"/>
      <c r="AJ330" s="743"/>
      <c r="AK330" s="743"/>
      <c r="AL330" s="743"/>
      <c r="AM330" s="743"/>
      <c r="AN330" s="743"/>
      <c r="AO330" s="743"/>
      <c r="AP330" s="743"/>
      <c r="AQ330" s="743"/>
      <c r="AR330" s="743"/>
      <c r="AS330" s="743"/>
      <c r="AT330" s="743"/>
      <c r="AU330" s="743"/>
      <c r="AV330" s="743"/>
      <c r="AW330" s="743"/>
      <c r="AX330" s="743"/>
      <c r="AY330" s="743"/>
      <c r="AZ330" s="743"/>
      <c r="BA330" s="743"/>
      <c r="BB330" s="743"/>
      <c r="BC330" s="743"/>
      <c r="BD330" s="743"/>
      <c r="BE330" s="743"/>
      <c r="BF330" s="743"/>
      <c r="BG330" s="743"/>
      <c r="BH330" s="743"/>
      <c r="BI330" s="743"/>
      <c r="BJ330" s="743"/>
      <c r="BK330" s="743"/>
      <c r="BL330" s="743"/>
      <c r="BM330" s="743"/>
      <c r="BN330" s="743"/>
      <c r="BO330" s="743"/>
      <c r="BP330" s="743"/>
      <c r="BQ330" s="743"/>
      <c r="BR330" s="743"/>
      <c r="BS330" s="743"/>
      <c r="BT330" s="743"/>
      <c r="BU330" s="743"/>
      <c r="BV330" s="743"/>
      <c r="BW330" s="743"/>
      <c r="BX330" s="743"/>
      <c r="BY330" s="743"/>
      <c r="BZ330" s="744"/>
      <c r="CA330" s="270"/>
      <c r="CB330" s="3" t="str">
        <f t="shared" si="45"/>
        <v>Riadok bude skrytý.</v>
      </c>
      <c r="CC330" s="271" t="s">
        <v>832</v>
      </c>
      <c r="CW330" s="30">
        <f t="shared" si="46"/>
        <v>0</v>
      </c>
      <c r="CX330" s="30">
        <f t="shared" si="48"/>
        <v>1</v>
      </c>
      <c r="CY330" s="30">
        <f t="shared" si="49"/>
        <v>0</v>
      </c>
      <c r="CZ330" s="30">
        <f t="shared" si="31"/>
        <v>1</v>
      </c>
      <c r="DA330" s="53">
        <f t="shared" si="50"/>
        <v>0</v>
      </c>
      <c r="DB330" s="140">
        <f t="shared" si="44"/>
        <v>0</v>
      </c>
      <c r="DS330" s="130">
        <f>SI!BY330</f>
        <v>200</v>
      </c>
      <c r="DZ330" s="131">
        <f>SI!BZ330</f>
        <v>0</v>
      </c>
    </row>
    <row r="331" spans="1:130" hidden="1" x14ac:dyDescent="0.25">
      <c r="A331" s="141"/>
      <c r="B331" s="742"/>
      <c r="C331" s="743"/>
      <c r="D331" s="743"/>
      <c r="E331" s="743"/>
      <c r="F331" s="743"/>
      <c r="G331" s="743"/>
      <c r="H331" s="743"/>
      <c r="I331" s="743"/>
      <c r="J331" s="743"/>
      <c r="K331" s="743"/>
      <c r="L331" s="743"/>
      <c r="M331" s="743"/>
      <c r="N331" s="743"/>
      <c r="O331" s="743"/>
      <c r="P331" s="743"/>
      <c r="Q331" s="743"/>
      <c r="R331" s="743"/>
      <c r="S331" s="743"/>
      <c r="T331" s="743"/>
      <c r="U331" s="743"/>
      <c r="V331" s="743"/>
      <c r="W331" s="743"/>
      <c r="X331" s="743"/>
      <c r="Y331" s="743"/>
      <c r="Z331" s="743"/>
      <c r="AA331" s="743"/>
      <c r="AB331" s="743"/>
      <c r="AC331" s="743"/>
      <c r="AD331" s="743"/>
      <c r="AE331" s="743"/>
      <c r="AF331" s="743"/>
      <c r="AG331" s="743"/>
      <c r="AH331" s="743"/>
      <c r="AI331" s="743"/>
      <c r="AJ331" s="743"/>
      <c r="AK331" s="743"/>
      <c r="AL331" s="743"/>
      <c r="AM331" s="743"/>
      <c r="AN331" s="743"/>
      <c r="AO331" s="743"/>
      <c r="AP331" s="743"/>
      <c r="AQ331" s="743"/>
      <c r="AR331" s="743"/>
      <c r="AS331" s="743"/>
      <c r="AT331" s="743"/>
      <c r="AU331" s="743"/>
      <c r="AV331" s="743"/>
      <c r="AW331" s="743"/>
      <c r="AX331" s="743"/>
      <c r="AY331" s="743"/>
      <c r="AZ331" s="743"/>
      <c r="BA331" s="743"/>
      <c r="BB331" s="743"/>
      <c r="BC331" s="743"/>
      <c r="BD331" s="743"/>
      <c r="BE331" s="743"/>
      <c r="BF331" s="743"/>
      <c r="BG331" s="743"/>
      <c r="BH331" s="743"/>
      <c r="BI331" s="743"/>
      <c r="BJ331" s="743"/>
      <c r="BK331" s="743"/>
      <c r="BL331" s="743"/>
      <c r="BM331" s="743"/>
      <c r="BN331" s="743"/>
      <c r="BO331" s="743"/>
      <c r="BP331" s="743"/>
      <c r="BQ331" s="743"/>
      <c r="BR331" s="743"/>
      <c r="BS331" s="743"/>
      <c r="BT331" s="743"/>
      <c r="BU331" s="743"/>
      <c r="BV331" s="743"/>
      <c r="BW331" s="743"/>
      <c r="BX331" s="743"/>
      <c r="BY331" s="743"/>
      <c r="BZ331" s="744"/>
      <c r="CA331" s="270"/>
      <c r="CB331" s="3" t="str">
        <f t="shared" si="45"/>
        <v>Riadok bude skrytý.</v>
      </c>
      <c r="CC331" s="271" t="s">
        <v>832</v>
      </c>
      <c r="CW331" s="30">
        <f t="shared" si="46"/>
        <v>0</v>
      </c>
      <c r="CX331" s="30">
        <f t="shared" si="48"/>
        <v>1</v>
      </c>
      <c r="CY331" s="30">
        <f t="shared" si="49"/>
        <v>0</v>
      </c>
      <c r="CZ331" s="30">
        <f t="shared" si="31"/>
        <v>1</v>
      </c>
      <c r="DA331" s="53">
        <f t="shared" si="50"/>
        <v>0</v>
      </c>
      <c r="DB331" s="140">
        <f t="shared" si="44"/>
        <v>0</v>
      </c>
      <c r="DS331" s="130">
        <f>SI!BY331</f>
        <v>114</v>
      </c>
      <c r="DZ331" s="131">
        <f>SI!BZ331</f>
        <v>0</v>
      </c>
    </row>
    <row r="332" spans="1:130" hidden="1" x14ac:dyDescent="0.25">
      <c r="A332" s="141"/>
      <c r="B332" s="964"/>
      <c r="C332" s="965"/>
      <c r="D332" s="965"/>
      <c r="E332" s="965"/>
      <c r="F332" s="965"/>
      <c r="G332" s="965"/>
      <c r="H332" s="965"/>
      <c r="I332" s="965"/>
      <c r="J332" s="965"/>
      <c r="K332" s="965"/>
      <c r="L332" s="965"/>
      <c r="M332" s="965"/>
      <c r="N332" s="965"/>
      <c r="O332" s="965"/>
      <c r="P332" s="965"/>
      <c r="Q332" s="965"/>
      <c r="R332" s="965"/>
      <c r="S332" s="965"/>
      <c r="T332" s="965"/>
      <c r="U332" s="965"/>
      <c r="V332" s="965"/>
      <c r="W332" s="965"/>
      <c r="X332" s="965"/>
      <c r="Y332" s="965"/>
      <c r="Z332" s="965"/>
      <c r="AA332" s="965"/>
      <c r="AB332" s="965"/>
      <c r="AC332" s="965"/>
      <c r="AD332" s="965"/>
      <c r="AE332" s="965"/>
      <c r="AF332" s="965"/>
      <c r="AG332" s="965"/>
      <c r="AH332" s="965"/>
      <c r="AI332" s="965"/>
      <c r="AJ332" s="965"/>
      <c r="AK332" s="965"/>
      <c r="AL332" s="965"/>
      <c r="AM332" s="965"/>
      <c r="AN332" s="965"/>
      <c r="AO332" s="965"/>
      <c r="AP332" s="965"/>
      <c r="AQ332" s="965"/>
      <c r="AR332" s="965"/>
      <c r="AS332" s="965"/>
      <c r="AT332" s="965"/>
      <c r="AU332" s="965"/>
      <c r="AV332" s="965"/>
      <c r="AW332" s="965"/>
      <c r="AX332" s="965"/>
      <c r="AY332" s="965"/>
      <c r="AZ332" s="965"/>
      <c r="BA332" s="965"/>
      <c r="BB332" s="965"/>
      <c r="BC332" s="965"/>
      <c r="BD332" s="965"/>
      <c r="BE332" s="965"/>
      <c r="BF332" s="965"/>
      <c r="BG332" s="965"/>
      <c r="BH332" s="965"/>
      <c r="BI332" s="965"/>
      <c r="BJ332" s="965"/>
      <c r="BK332" s="965"/>
      <c r="BL332" s="965"/>
      <c r="BM332" s="965"/>
      <c r="BN332" s="965"/>
      <c r="BO332" s="965"/>
      <c r="BP332" s="965"/>
      <c r="BQ332" s="965"/>
      <c r="BR332" s="965"/>
      <c r="BS332" s="965"/>
      <c r="BT332" s="965"/>
      <c r="BU332" s="965"/>
      <c r="BV332" s="965"/>
      <c r="BW332" s="965"/>
      <c r="BX332" s="965"/>
      <c r="BY332" s="965"/>
      <c r="BZ332" s="966"/>
      <c r="CA332" s="270"/>
      <c r="CB332" s="3" t="str">
        <f t="shared" si="45"/>
        <v>Riadok bude skrytý.</v>
      </c>
      <c r="CC332" s="271" t="s">
        <v>832</v>
      </c>
      <c r="CW332" s="30">
        <f t="shared" si="46"/>
        <v>0</v>
      </c>
      <c r="CZ332" s="30">
        <f t="shared" si="31"/>
        <v>1</v>
      </c>
      <c r="DA332" s="30">
        <f t="shared" si="43"/>
        <v>0</v>
      </c>
      <c r="DB332" s="140">
        <f t="shared" si="44"/>
        <v>0</v>
      </c>
      <c r="DS332" s="130">
        <f>SI!BY332</f>
        <v>142</v>
      </c>
      <c r="DZ332" s="131">
        <f>SI!BZ332</f>
        <v>0</v>
      </c>
    </row>
    <row r="333" spans="1:130" ht="14.95" thickBot="1" x14ac:dyDescent="0.3">
      <c r="A333" s="141"/>
      <c r="CA333" s="142"/>
      <c r="CB333" s="3" t="str">
        <f t="shared" si="45"/>
        <v>Riadok bude vidieť.</v>
      </c>
      <c r="CW333" s="49">
        <v>1</v>
      </c>
      <c r="CZ333" s="30">
        <f t="shared" si="31"/>
        <v>1</v>
      </c>
      <c r="DA333" s="30">
        <f t="shared" si="43"/>
        <v>1</v>
      </c>
      <c r="DB333" s="140">
        <f t="shared" si="44"/>
        <v>1</v>
      </c>
      <c r="DS333" s="130">
        <f>SI!BY333</f>
        <v>495</v>
      </c>
      <c r="DZ333" s="131">
        <f>SI!BZ333</f>
        <v>0</v>
      </c>
    </row>
    <row r="334" spans="1:130" ht="17" thickBot="1" x14ac:dyDescent="0.35">
      <c r="A334" s="141"/>
      <c r="B334" s="21"/>
      <c r="C334" s="268"/>
      <c r="D334" s="268"/>
      <c r="E334" s="268"/>
      <c r="F334" s="268"/>
      <c r="G334" s="22" t="s">
        <v>49</v>
      </c>
      <c r="H334" s="22"/>
      <c r="I334" s="268"/>
      <c r="J334" s="268"/>
      <c r="K334" s="268"/>
      <c r="L334" s="268"/>
      <c r="M334" s="268"/>
      <c r="N334" s="268"/>
      <c r="O334" s="268"/>
      <c r="P334" s="268"/>
      <c r="Q334" s="268"/>
      <c r="R334" s="268"/>
      <c r="S334" s="268"/>
      <c r="T334" s="268"/>
      <c r="U334" s="268"/>
      <c r="V334" s="268"/>
      <c r="W334" s="268"/>
      <c r="X334" s="268"/>
      <c r="Y334" s="268"/>
      <c r="Z334" s="268"/>
      <c r="AA334" s="268"/>
      <c r="AB334" s="268"/>
      <c r="AC334" s="268"/>
      <c r="AD334" s="268"/>
      <c r="AE334" s="268"/>
      <c r="AF334" s="268"/>
      <c r="AG334" s="268"/>
      <c r="AH334" s="268"/>
      <c r="AI334" s="268"/>
      <c r="AJ334" s="268"/>
      <c r="AK334" s="276"/>
      <c r="AL334" s="276"/>
      <c r="AM334" s="276"/>
      <c r="AN334" s="276"/>
      <c r="AO334" s="276"/>
      <c r="AP334" s="276"/>
      <c r="AQ334" s="276"/>
      <c r="AR334" s="276"/>
      <c r="AS334" s="276"/>
      <c r="AT334" s="276"/>
      <c r="AU334" s="276"/>
      <c r="AV334" s="276"/>
      <c r="AW334" s="276"/>
      <c r="AX334" s="276"/>
      <c r="AY334" s="276"/>
      <c r="AZ334" s="276"/>
      <c r="BA334" s="276"/>
      <c r="BB334" s="276"/>
      <c r="BC334" s="276"/>
      <c r="BD334" s="276"/>
      <c r="BE334" s="276"/>
      <c r="BF334" s="276"/>
      <c r="BG334" s="276"/>
      <c r="BH334" s="276"/>
      <c r="BI334" s="276"/>
      <c r="BJ334" s="276"/>
      <c r="BK334" s="276"/>
      <c r="BL334" s="276"/>
      <c r="BM334" s="276"/>
      <c r="BN334" s="276"/>
      <c r="BO334" s="268"/>
      <c r="BP334" s="268"/>
      <c r="BQ334" s="278"/>
      <c r="BR334" s="278"/>
      <c r="BS334" s="268"/>
      <c r="BT334" s="268"/>
      <c r="BU334" s="268"/>
      <c r="BV334" s="268"/>
      <c r="BW334" s="268"/>
      <c r="BX334" s="268"/>
      <c r="BY334" s="268"/>
      <c r="BZ334" s="269"/>
      <c r="CA334" s="265" t="s">
        <v>773</v>
      </c>
      <c r="CB334" s="3" t="str">
        <f t="shared" si="45"/>
        <v>Riadok bude vidieť.</v>
      </c>
      <c r="CW334" s="49">
        <v>1</v>
      </c>
      <c r="CZ334" s="30">
        <f t="shared" si="31"/>
        <v>1</v>
      </c>
      <c r="DA334" s="30">
        <f t="shared" si="43"/>
        <v>1</v>
      </c>
      <c r="DB334" s="140">
        <f t="shared" si="44"/>
        <v>1</v>
      </c>
      <c r="DS334" s="130">
        <f>SI!BY334</f>
        <v>475</v>
      </c>
      <c r="DZ334" s="131">
        <f>SI!BZ334</f>
        <v>0</v>
      </c>
    </row>
    <row r="335" spans="1:130" x14ac:dyDescent="0.25">
      <c r="A335" s="141"/>
      <c r="CA335" s="142"/>
      <c r="CB335" s="3" t="str">
        <f t="shared" si="45"/>
        <v>Riadok bude vidieť.</v>
      </c>
      <c r="CW335" s="49">
        <v>1</v>
      </c>
      <c r="CZ335" s="30">
        <f t="shared" si="31"/>
        <v>1</v>
      </c>
      <c r="DA335" s="30">
        <f t="shared" si="43"/>
        <v>1</v>
      </c>
      <c r="DB335" s="140">
        <f t="shared" si="44"/>
        <v>1</v>
      </c>
      <c r="DS335" s="130">
        <f>SI!BY335</f>
        <v>174</v>
      </c>
      <c r="DZ335" s="131">
        <f>SI!BZ335</f>
        <v>0</v>
      </c>
    </row>
    <row r="336" spans="1:130" x14ac:dyDescent="0.25">
      <c r="A336" s="141"/>
      <c r="B336" s="279" t="s">
        <v>859</v>
      </c>
      <c r="C336" s="7" t="str">
        <f>+IF($Q$52&lt;&gt;"",IF((CODE(MID($Q$52,1,1)))*(GCD(121,132))*(IF(SI!EE336="",1,SI!EE336))+(LEN(SI!J5)+LEN(SI!J6))=DS336,"Východiská pre zostavenie účtovnej závierky, vplyv zmeny účtovných zásad na hodnotu majetku,","NEPOVOLENÉ POUŽITIE!"),"NEPOVOLENÉ POUŽITIE!")</f>
        <v>Východiská pre zostavenie účtovnej závierky, vplyv zmeny účtovných zásad na hodnotu majetku,</v>
      </c>
      <c r="D336" s="7"/>
      <c r="E336" s="7"/>
      <c r="F336" s="7"/>
      <c r="G336" s="7"/>
      <c r="H336" s="7"/>
      <c r="I336" s="7"/>
      <c r="J336" s="7"/>
      <c r="CA336" s="270"/>
      <c r="CB336" s="3" t="str">
        <f t="shared" si="45"/>
        <v>Riadok bude vidieť.</v>
      </c>
      <c r="CW336" s="49">
        <v>1</v>
      </c>
      <c r="CZ336" s="30">
        <f t="shared" si="31"/>
        <v>1</v>
      </c>
      <c r="DA336" s="30">
        <f t="shared" si="43"/>
        <v>1</v>
      </c>
      <c r="DB336" s="140">
        <f t="shared" si="44"/>
        <v>1</v>
      </c>
      <c r="DS336" s="130">
        <f>SI!BY336</f>
        <v>20</v>
      </c>
      <c r="DZ336" s="131">
        <f>SI!BZ336</f>
        <v>0</v>
      </c>
    </row>
    <row r="337" spans="1:130" x14ac:dyDescent="0.25">
      <c r="A337" s="141"/>
      <c r="B337" s="6"/>
      <c r="C337" s="7" t="s">
        <v>744</v>
      </c>
      <c r="D337" s="7"/>
      <c r="E337" s="7"/>
      <c r="F337" s="7"/>
      <c r="G337" s="7"/>
      <c r="H337" s="7"/>
      <c r="I337" s="7"/>
      <c r="J337" s="7"/>
      <c r="CA337" s="142"/>
      <c r="CB337" s="3" t="str">
        <f t="shared" si="45"/>
        <v>Riadok bude vidieť.</v>
      </c>
      <c r="CW337" s="49">
        <v>1</v>
      </c>
      <c r="CZ337" s="30">
        <f t="shared" si="31"/>
        <v>1</v>
      </c>
      <c r="DA337" s="30">
        <f t="shared" si="43"/>
        <v>1</v>
      </c>
      <c r="DB337" s="140">
        <f t="shared" si="44"/>
        <v>1</v>
      </c>
      <c r="DS337" s="130">
        <f>SI!BY337</f>
        <v>168</v>
      </c>
      <c r="DZ337" s="131">
        <f>SI!BZ337</f>
        <v>0</v>
      </c>
    </row>
    <row r="338" spans="1:130" x14ac:dyDescent="0.25">
      <c r="A338" s="141"/>
      <c r="CA338" s="142"/>
      <c r="CB338" s="3" t="str">
        <f t="shared" si="45"/>
        <v>Riadok bude vidieť.</v>
      </c>
      <c r="CW338" s="49">
        <v>1</v>
      </c>
      <c r="CZ338" s="30">
        <f t="shared" si="31"/>
        <v>1</v>
      </c>
      <c r="DA338" s="30">
        <f t="shared" si="43"/>
        <v>1</v>
      </c>
      <c r="DB338" s="140">
        <f t="shared" si="44"/>
        <v>1</v>
      </c>
      <c r="DS338" s="130">
        <f>SI!BY338</f>
        <v>1052</v>
      </c>
      <c r="DZ338" s="131">
        <f>SI!BZ338</f>
        <v>0</v>
      </c>
    </row>
    <row r="339" spans="1:130" x14ac:dyDescent="0.25">
      <c r="A339" s="141"/>
      <c r="B339" s="31" t="s">
        <v>756</v>
      </c>
      <c r="C339" s="148"/>
      <c r="D339" s="148"/>
      <c r="E339" s="148"/>
      <c r="F339" s="148"/>
      <c r="G339" s="148"/>
      <c r="H339" s="148"/>
      <c r="I339" s="148"/>
      <c r="J339" s="148"/>
      <c r="K339" s="148"/>
      <c r="L339" s="148"/>
      <c r="M339" s="148"/>
      <c r="O339" s="385" t="s">
        <v>35</v>
      </c>
      <c r="P339" s="385"/>
      <c r="Q339" s="385"/>
      <c r="R339" s="385"/>
      <c r="S339" s="385"/>
      <c r="T339" s="385"/>
      <c r="U339" s="31" t="str">
        <f>+IF($C$52&lt;&gt;"",IF(CODE(MID($C$52,1,1))*(IF(SI!EE339="",1,SI!EE339))+LEN(SI!J2)=DS339,"zostavená za predpokladu nepretržitého trvania Spoločnosti.","NEPOVOLENÉ POUŽITIE!"),"NEPOVOLENÉ POUŽITIE!")</f>
        <v>zostavená za predpokladu nepretržitého trvania Spoločnosti.</v>
      </c>
      <c r="V339" s="280"/>
      <c r="W339" s="280"/>
      <c r="X339" s="280"/>
      <c r="Z339" s="31"/>
      <c r="AA339" s="148"/>
      <c r="AB339" s="148"/>
      <c r="AC339" s="148"/>
      <c r="AD339" s="148"/>
      <c r="AE339" s="148"/>
      <c r="AF339" s="148"/>
      <c r="AG339" s="148"/>
      <c r="AH339" s="148"/>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c r="BI339" s="148"/>
      <c r="BJ339" s="148"/>
      <c r="BK339" s="148"/>
      <c r="BL339" s="148"/>
      <c r="BM339" s="148"/>
      <c r="BN339" s="148"/>
      <c r="BO339" s="148"/>
      <c r="BP339" s="148"/>
      <c r="BQ339" s="148"/>
      <c r="BR339" s="148"/>
      <c r="BS339" s="148"/>
      <c r="BT339" s="148"/>
      <c r="BU339" s="148"/>
      <c r="BV339" s="148"/>
      <c r="BW339" s="148"/>
      <c r="BX339" s="148"/>
      <c r="BY339" s="148"/>
      <c r="BZ339" s="148"/>
      <c r="CA339" s="270"/>
      <c r="CB339" s="3" t="str">
        <f t="shared" si="45"/>
        <v>Riadok bude vidieť.</v>
      </c>
      <c r="CC339" s="271" t="s">
        <v>832</v>
      </c>
      <c r="CW339" s="49">
        <v>1</v>
      </c>
      <c r="CZ339" s="30">
        <f t="shared" si="31"/>
        <v>1</v>
      </c>
      <c r="DA339" s="30">
        <f t="shared" si="43"/>
        <v>1</v>
      </c>
      <c r="DB339" s="140">
        <f t="shared" si="44"/>
        <v>1</v>
      </c>
      <c r="DS339" s="130">
        <f>SI!BY339</f>
        <v>13</v>
      </c>
      <c r="DZ339" s="131">
        <f>SI!BZ339</f>
        <v>0</v>
      </c>
    </row>
    <row r="340" spans="1:130" hidden="1" x14ac:dyDescent="0.25">
      <c r="A340" s="141"/>
      <c r="B340" s="137" t="str">
        <f>+IF(O339="nebola","Dôvod ukončenia trvania Spoločnosti:","")</f>
        <v/>
      </c>
      <c r="AD340" s="987"/>
      <c r="AE340" s="987"/>
      <c r="AF340" s="987"/>
      <c r="AG340" s="987"/>
      <c r="AH340" s="987"/>
      <c r="AI340" s="987"/>
      <c r="AJ340" s="987"/>
      <c r="AK340" s="987"/>
      <c r="AL340" s="987"/>
      <c r="AM340" s="987"/>
      <c r="AN340" s="987"/>
      <c r="AO340" s="987"/>
      <c r="AP340" s="987"/>
      <c r="AQ340" s="987"/>
      <c r="AR340" s="987"/>
      <c r="AS340" s="987"/>
      <c r="AT340" s="987"/>
      <c r="AU340" s="987"/>
      <c r="AV340" s="987"/>
      <c r="AW340" s="987"/>
      <c r="AX340" s="987"/>
      <c r="AY340" s="987"/>
      <c r="AZ340" s="987"/>
      <c r="BA340" s="987"/>
      <c r="BB340" s="987"/>
      <c r="BC340" s="987"/>
      <c r="BD340" s="987"/>
      <c r="BE340" s="987"/>
      <c r="BF340" s="987"/>
      <c r="BG340" s="987"/>
      <c r="BH340" s="987"/>
      <c r="BI340" s="987"/>
      <c r="BJ340" s="987"/>
      <c r="BK340" s="987"/>
      <c r="BL340" s="987"/>
      <c r="BM340" s="987"/>
      <c r="BN340" s="987"/>
      <c r="BO340" s="987"/>
      <c r="BP340" s="987"/>
      <c r="BQ340" s="987"/>
      <c r="BR340" s="987"/>
      <c r="BS340" s="987"/>
      <c r="BT340" s="987"/>
      <c r="BU340" s="987"/>
      <c r="BV340" s="987"/>
      <c r="BW340" s="987"/>
      <c r="BX340" s="987"/>
      <c r="BY340" s="987"/>
      <c r="BZ340" s="987"/>
      <c r="CA340" s="270"/>
      <c r="CB340" s="3" t="str">
        <f t="shared" si="45"/>
        <v>Riadok bude skrytý.</v>
      </c>
      <c r="CC340" s="271" t="s">
        <v>832</v>
      </c>
      <c r="CW340" s="30">
        <f>+IF(O339="bola",0,1)</f>
        <v>0</v>
      </c>
      <c r="CZ340" s="30">
        <f t="shared" ref="CZ340:CZ403" si="51">IF(CC340="",1,IF(CC340="Chcem skryť riadok.",0,1))</f>
        <v>1</v>
      </c>
      <c r="DA340" s="30">
        <f t="shared" si="43"/>
        <v>0</v>
      </c>
      <c r="DB340" s="140">
        <f t="shared" si="44"/>
        <v>0</v>
      </c>
      <c r="DS340" s="130">
        <f>SI!BY340</f>
        <v>552</v>
      </c>
      <c r="DZ340" s="131">
        <f>SI!BZ340</f>
        <v>0</v>
      </c>
    </row>
    <row r="341" spans="1:130" x14ac:dyDescent="0.25">
      <c r="A341" s="141"/>
      <c r="CA341" s="270"/>
      <c r="CB341" s="3" t="str">
        <f t="shared" si="45"/>
        <v>Riadok bude vidieť.</v>
      </c>
      <c r="CC341" s="271" t="s">
        <v>832</v>
      </c>
      <c r="CW341" s="49">
        <v>1</v>
      </c>
      <c r="CZ341" s="30">
        <f t="shared" si="51"/>
        <v>1</v>
      </c>
      <c r="DA341" s="30">
        <f t="shared" si="43"/>
        <v>1</v>
      </c>
      <c r="DB341" s="140">
        <f t="shared" si="44"/>
        <v>1</v>
      </c>
      <c r="DS341" s="130">
        <f>SI!BY341</f>
        <v>121</v>
      </c>
      <c r="DZ341" s="131">
        <f>SI!BZ341</f>
        <v>0</v>
      </c>
    </row>
    <row r="342" spans="1:130" x14ac:dyDescent="0.25">
      <c r="A342" s="141"/>
      <c r="B342" s="12" t="str">
        <f>+IF($K$52&lt;&gt;"",IF(INT(SQRT((CODE(MID($K$52,1,1)))))*(IF(SI!EE342="",1,SI!EE342))+LEN(SI!J5)=DS342,"Účtovné metódy a všeobecné účtovné zásady","NEPOVOLENÉ POUŽITIE!"),"NEPOVOLENÉ POUŽITIE!")</f>
        <v>Účtovné metódy a všeobecné účtovné zásady</v>
      </c>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I342" s="378" t="s">
        <v>1017</v>
      </c>
      <c r="AJ342" s="378"/>
      <c r="AK342" s="378"/>
      <c r="AL342" s="378"/>
      <c r="AM342" s="378"/>
      <c r="AN342" s="378"/>
      <c r="AP342" s="12" t="s">
        <v>799</v>
      </c>
      <c r="AQ342" s="38"/>
      <c r="AR342" s="38"/>
      <c r="AS342" s="38"/>
      <c r="AU342" s="12"/>
      <c r="AV342" s="12"/>
      <c r="AW342" s="12"/>
      <c r="AX342" s="12"/>
      <c r="AY342" s="12"/>
      <c r="AZ342" s="12"/>
      <c r="BA342" s="12"/>
      <c r="BB342" s="12"/>
      <c r="BC342" s="12"/>
      <c r="BD342" s="12"/>
      <c r="BE342" s="12"/>
      <c r="BF342" s="12"/>
      <c r="BG342" s="12"/>
      <c r="BH342" s="12"/>
      <c r="BI342" s="12"/>
      <c r="BJ342" s="12"/>
      <c r="BK342" s="12"/>
      <c r="BL342" s="12"/>
      <c r="BM342" s="12"/>
      <c r="BN342" s="12"/>
      <c r="BO342" s="12"/>
      <c r="BP342" s="12"/>
      <c r="BQ342" s="12"/>
      <c r="BR342" s="12"/>
      <c r="BS342" s="12"/>
      <c r="BT342" s="12"/>
      <c r="BU342" s="12"/>
      <c r="BV342" s="12"/>
      <c r="BW342" s="12"/>
      <c r="BX342" s="12"/>
      <c r="BY342" s="12"/>
      <c r="BZ342" s="12"/>
      <c r="CA342" s="265" t="s">
        <v>773</v>
      </c>
      <c r="CB342" s="3" t="str">
        <f t="shared" si="45"/>
        <v>Riadok bude vidieť.</v>
      </c>
      <c r="CC342" s="271" t="s">
        <v>832</v>
      </c>
      <c r="CW342" s="49">
        <v>1</v>
      </c>
      <c r="CZ342" s="30">
        <f t="shared" si="51"/>
        <v>1</v>
      </c>
      <c r="DA342" s="30">
        <f t="shared" si="43"/>
        <v>1</v>
      </c>
      <c r="DB342" s="140">
        <f t="shared" si="44"/>
        <v>1</v>
      </c>
      <c r="DS342" s="130">
        <f>SI!BY342</f>
        <v>15</v>
      </c>
      <c r="DZ342" s="131">
        <f>SI!BZ342</f>
        <v>0</v>
      </c>
    </row>
    <row r="343" spans="1:130" x14ac:dyDescent="0.25">
      <c r="A343" s="141"/>
      <c r="B343" s="137" t="str">
        <f>+IF(AI342="neboli","Výnimky v konzistentnosti účtovania sú uvedené v tabuľke:","")</f>
        <v/>
      </c>
      <c r="CA343" s="142"/>
      <c r="CB343" s="3" t="str">
        <f t="shared" si="45"/>
        <v>Riadok bude vidieť.</v>
      </c>
      <c r="CC343" s="271" t="s">
        <v>832</v>
      </c>
      <c r="CW343" s="49">
        <v>1</v>
      </c>
      <c r="CZ343" s="30">
        <f t="shared" si="51"/>
        <v>1</v>
      </c>
      <c r="DA343" s="30">
        <f t="shared" si="43"/>
        <v>1</v>
      </c>
      <c r="DB343" s="140">
        <f t="shared" si="44"/>
        <v>1</v>
      </c>
      <c r="DS343" s="130">
        <f>SI!BY343</f>
        <v>0</v>
      </c>
      <c r="DZ343" s="131">
        <f>SI!BZ343</f>
        <v>0</v>
      </c>
    </row>
    <row r="344" spans="1:130" hidden="1" x14ac:dyDescent="0.25">
      <c r="A344" s="141"/>
      <c r="CA344" s="270"/>
      <c r="CB344" s="3" t="str">
        <f t="shared" si="45"/>
        <v>Riadok bude skrytý.</v>
      </c>
      <c r="CC344" s="271" t="s">
        <v>832</v>
      </c>
      <c r="CW344" s="30">
        <f>+IF(AI342="boli",0,1)</f>
        <v>0</v>
      </c>
      <c r="CZ344" s="30">
        <f t="shared" si="51"/>
        <v>1</v>
      </c>
      <c r="DA344" s="30">
        <f t="shared" si="43"/>
        <v>0</v>
      </c>
      <c r="DB344" s="140">
        <f t="shared" si="44"/>
        <v>0</v>
      </c>
      <c r="DS344" s="130">
        <f>SI!BY344</f>
        <v>616</v>
      </c>
      <c r="DZ344" s="131">
        <f>SI!BZ344</f>
        <v>0</v>
      </c>
    </row>
    <row r="345" spans="1:130" ht="21.75" hidden="1" customHeight="1" x14ac:dyDescent="0.25">
      <c r="A345" s="141"/>
      <c r="B345" s="978" t="s">
        <v>778</v>
      </c>
      <c r="C345" s="979"/>
      <c r="D345" s="979"/>
      <c r="E345" s="979"/>
      <c r="F345" s="979"/>
      <c r="G345" s="979"/>
      <c r="H345" s="979"/>
      <c r="I345" s="979"/>
      <c r="J345" s="979"/>
      <c r="K345" s="979"/>
      <c r="L345" s="979"/>
      <c r="M345" s="979"/>
      <c r="N345" s="979"/>
      <c r="O345" s="979"/>
      <c r="P345" s="979"/>
      <c r="Q345" s="979"/>
      <c r="R345" s="979"/>
      <c r="S345" s="979"/>
      <c r="T345" s="979"/>
      <c r="U345" s="979"/>
      <c r="V345" s="979"/>
      <c r="W345" s="979"/>
      <c r="X345" s="979"/>
      <c r="Y345" s="979"/>
      <c r="Z345" s="979"/>
      <c r="AA345" s="980"/>
      <c r="AB345" s="978" t="s">
        <v>779</v>
      </c>
      <c r="AC345" s="979"/>
      <c r="AD345" s="979"/>
      <c r="AE345" s="979"/>
      <c r="AF345" s="979"/>
      <c r="AG345" s="979"/>
      <c r="AH345" s="979"/>
      <c r="AI345" s="979"/>
      <c r="AJ345" s="979"/>
      <c r="AK345" s="979"/>
      <c r="AL345" s="979"/>
      <c r="AM345" s="979"/>
      <c r="AN345" s="979"/>
      <c r="AO345" s="979"/>
      <c r="AP345" s="979"/>
      <c r="AQ345" s="979"/>
      <c r="AR345" s="979"/>
      <c r="AS345" s="979"/>
      <c r="AT345" s="979"/>
      <c r="AU345" s="979"/>
      <c r="AV345" s="979"/>
      <c r="AW345" s="979"/>
      <c r="AX345" s="979"/>
      <c r="AY345" s="979"/>
      <c r="AZ345" s="979"/>
      <c r="BA345" s="979"/>
      <c r="BB345" s="979"/>
      <c r="BC345" s="980"/>
      <c r="BD345" s="988" t="s">
        <v>784</v>
      </c>
      <c r="BE345" s="989"/>
      <c r="BF345" s="989"/>
      <c r="BG345" s="989"/>
      <c r="BH345" s="989"/>
      <c r="BI345" s="989"/>
      <c r="BJ345" s="989"/>
      <c r="BK345" s="989"/>
      <c r="BL345" s="989"/>
      <c r="BM345" s="989"/>
      <c r="BN345" s="989"/>
      <c r="BO345" s="989"/>
      <c r="BP345" s="989"/>
      <c r="BQ345" s="989"/>
      <c r="BR345" s="989"/>
      <c r="BS345" s="989"/>
      <c r="BT345" s="989"/>
      <c r="BU345" s="989"/>
      <c r="BV345" s="989"/>
      <c r="BW345" s="989"/>
      <c r="BX345" s="989"/>
      <c r="BY345" s="989"/>
      <c r="BZ345" s="990"/>
      <c r="CA345" s="281"/>
      <c r="CB345" s="3" t="str">
        <f t="shared" si="45"/>
        <v>Riadok bude skrytý.</v>
      </c>
      <c r="CC345" s="271" t="s">
        <v>832</v>
      </c>
      <c r="CW345" s="32">
        <f t="shared" ref="CW345:CW355" si="52">+IF($AI$342="boli",0,1)</f>
        <v>0</v>
      </c>
      <c r="CZ345" s="30">
        <f t="shared" si="51"/>
        <v>1</v>
      </c>
      <c r="DA345" s="30">
        <f t="shared" si="43"/>
        <v>0</v>
      </c>
      <c r="DB345" s="140">
        <f t="shared" si="44"/>
        <v>0</v>
      </c>
      <c r="DS345" s="130">
        <f>SI!BY345</f>
        <v>128</v>
      </c>
      <c r="DZ345" s="131">
        <f>SI!BZ345</f>
        <v>0</v>
      </c>
    </row>
    <row r="346" spans="1:130" hidden="1" x14ac:dyDescent="0.25">
      <c r="A346" s="141"/>
      <c r="B346" s="958" t="s">
        <v>780</v>
      </c>
      <c r="C346" s="959"/>
      <c r="D346" s="959"/>
      <c r="E346" s="959"/>
      <c r="F346" s="959"/>
      <c r="G346" s="959"/>
      <c r="H346" s="959"/>
      <c r="I346" s="959"/>
      <c r="J346" s="959"/>
      <c r="K346" s="959"/>
      <c r="L346" s="959"/>
      <c r="M346" s="959"/>
      <c r="N346" s="959"/>
      <c r="O346" s="959"/>
      <c r="P346" s="959"/>
      <c r="Q346" s="959"/>
      <c r="R346" s="959"/>
      <c r="S346" s="959"/>
      <c r="T346" s="959"/>
      <c r="U346" s="959"/>
      <c r="V346" s="959"/>
      <c r="W346" s="959"/>
      <c r="X346" s="959"/>
      <c r="Y346" s="959"/>
      <c r="Z346" s="959"/>
      <c r="AA346" s="960"/>
      <c r="AB346" s="991" t="s">
        <v>781</v>
      </c>
      <c r="AC346" s="992"/>
      <c r="AD346" s="992"/>
      <c r="AE346" s="992"/>
      <c r="AF346" s="992"/>
      <c r="AG346" s="992"/>
      <c r="AH346" s="992"/>
      <c r="AI346" s="992"/>
      <c r="AJ346" s="992"/>
      <c r="AK346" s="992"/>
      <c r="AL346" s="992"/>
      <c r="AM346" s="992"/>
      <c r="AN346" s="992"/>
      <c r="AO346" s="992"/>
      <c r="AP346" s="992"/>
      <c r="AQ346" s="992"/>
      <c r="AR346" s="992"/>
      <c r="AS346" s="992"/>
      <c r="AT346" s="992"/>
      <c r="AU346" s="992"/>
      <c r="AV346" s="992"/>
      <c r="AW346" s="992"/>
      <c r="AX346" s="992"/>
      <c r="AY346" s="992"/>
      <c r="AZ346" s="992"/>
      <c r="BA346" s="992"/>
      <c r="BB346" s="992"/>
      <c r="BC346" s="993"/>
      <c r="BD346" s="991" t="s">
        <v>782</v>
      </c>
      <c r="BE346" s="992"/>
      <c r="BF346" s="992"/>
      <c r="BG346" s="992"/>
      <c r="BH346" s="992"/>
      <c r="BI346" s="992"/>
      <c r="BJ346" s="992"/>
      <c r="BK346" s="992"/>
      <c r="BL346" s="992"/>
      <c r="BM346" s="992"/>
      <c r="BN346" s="992"/>
      <c r="BO346" s="992"/>
      <c r="BP346" s="992"/>
      <c r="BQ346" s="992"/>
      <c r="BR346" s="992"/>
      <c r="BS346" s="992"/>
      <c r="BT346" s="992"/>
      <c r="BU346" s="992"/>
      <c r="BV346" s="992"/>
      <c r="BW346" s="992"/>
      <c r="BX346" s="992"/>
      <c r="BY346" s="992"/>
      <c r="BZ346" s="993"/>
      <c r="CA346" s="281"/>
      <c r="CB346" s="3" t="str">
        <f t="shared" si="45"/>
        <v>Riadok bude skrytý.</v>
      </c>
      <c r="CC346" s="271" t="s">
        <v>832</v>
      </c>
      <c r="CW346" s="32">
        <f t="shared" si="52"/>
        <v>0</v>
      </c>
      <c r="CZ346" s="30">
        <f t="shared" si="51"/>
        <v>1</v>
      </c>
      <c r="DA346" s="30">
        <f t="shared" si="43"/>
        <v>0</v>
      </c>
      <c r="DB346" s="140">
        <f t="shared" si="44"/>
        <v>0</v>
      </c>
      <c r="DS346" s="130">
        <f>SI!BY346</f>
        <v>124</v>
      </c>
      <c r="DZ346" s="131">
        <f>SI!BZ346</f>
        <v>0</v>
      </c>
    </row>
    <row r="347" spans="1:130" hidden="1" x14ac:dyDescent="0.25">
      <c r="A347" s="141"/>
      <c r="B347" s="742"/>
      <c r="C347" s="743"/>
      <c r="D347" s="743"/>
      <c r="E347" s="743"/>
      <c r="F347" s="743"/>
      <c r="G347" s="743"/>
      <c r="H347" s="743"/>
      <c r="I347" s="743"/>
      <c r="J347" s="743"/>
      <c r="K347" s="743"/>
      <c r="L347" s="743"/>
      <c r="M347" s="743"/>
      <c r="N347" s="743"/>
      <c r="O347" s="743"/>
      <c r="P347" s="743"/>
      <c r="Q347" s="743"/>
      <c r="R347" s="743"/>
      <c r="S347" s="743"/>
      <c r="T347" s="743"/>
      <c r="U347" s="743"/>
      <c r="V347" s="743"/>
      <c r="W347" s="743"/>
      <c r="X347" s="743"/>
      <c r="Y347" s="743"/>
      <c r="Z347" s="743"/>
      <c r="AA347" s="744"/>
      <c r="AB347" s="1021"/>
      <c r="AC347" s="1022"/>
      <c r="AD347" s="1022"/>
      <c r="AE347" s="1022"/>
      <c r="AF347" s="1022"/>
      <c r="AG347" s="1022"/>
      <c r="AH347" s="1022"/>
      <c r="AI347" s="1022"/>
      <c r="AJ347" s="1022"/>
      <c r="AK347" s="1022"/>
      <c r="AL347" s="1022"/>
      <c r="AM347" s="1022"/>
      <c r="AN347" s="1022"/>
      <c r="AO347" s="1022"/>
      <c r="AP347" s="1022"/>
      <c r="AQ347" s="1022"/>
      <c r="AR347" s="1022"/>
      <c r="AS347" s="1022"/>
      <c r="AT347" s="1022"/>
      <c r="AU347" s="1022"/>
      <c r="AV347" s="1022"/>
      <c r="AW347" s="1022"/>
      <c r="AX347" s="1022"/>
      <c r="AY347" s="1022"/>
      <c r="AZ347" s="1022"/>
      <c r="BA347" s="1022"/>
      <c r="BB347" s="1022"/>
      <c r="BC347" s="1023"/>
      <c r="BD347" s="1021"/>
      <c r="BE347" s="1022"/>
      <c r="BF347" s="1022"/>
      <c r="BG347" s="1022"/>
      <c r="BH347" s="1022"/>
      <c r="BI347" s="1022"/>
      <c r="BJ347" s="1022"/>
      <c r="BK347" s="1022"/>
      <c r="BL347" s="1022"/>
      <c r="BM347" s="1022"/>
      <c r="BN347" s="1022"/>
      <c r="BO347" s="1022"/>
      <c r="BP347" s="1022"/>
      <c r="BQ347" s="1022"/>
      <c r="BR347" s="1022"/>
      <c r="BS347" s="1022"/>
      <c r="BT347" s="1022"/>
      <c r="BU347" s="1022"/>
      <c r="BV347" s="1022"/>
      <c r="BW347" s="1022"/>
      <c r="BX347" s="1022"/>
      <c r="BY347" s="1022"/>
      <c r="BZ347" s="1023"/>
      <c r="CA347" s="281"/>
      <c r="CB347" s="3" t="str">
        <f t="shared" si="45"/>
        <v>Riadok bude skrytý.</v>
      </c>
      <c r="CC347" s="271" t="s">
        <v>832</v>
      </c>
      <c r="CW347" s="32">
        <f t="shared" si="52"/>
        <v>0</v>
      </c>
      <c r="CX347" s="30">
        <f t="shared" ref="CX347:CX354" si="53">+IF(B347="",0,1)</f>
        <v>0</v>
      </c>
      <c r="CZ347" s="30">
        <f t="shared" si="51"/>
        <v>1</v>
      </c>
      <c r="DA347" s="52">
        <f t="shared" ref="DA347:DA355" si="54">+IF(CW347*CX347=0,0,IF(CZ347=0,0,1))</f>
        <v>0</v>
      </c>
      <c r="DB347" s="140">
        <f t="shared" si="44"/>
        <v>0</v>
      </c>
      <c r="DS347" s="130">
        <f>SI!BY347</f>
        <v>190</v>
      </c>
      <c r="DZ347" s="131">
        <f>SI!BZ347</f>
        <v>0</v>
      </c>
    </row>
    <row r="348" spans="1:130" hidden="1" x14ac:dyDescent="0.25">
      <c r="A348" s="141"/>
      <c r="B348" s="742"/>
      <c r="C348" s="743"/>
      <c r="D348" s="743"/>
      <c r="E348" s="743"/>
      <c r="F348" s="743"/>
      <c r="G348" s="743"/>
      <c r="H348" s="743"/>
      <c r="I348" s="743"/>
      <c r="J348" s="743"/>
      <c r="K348" s="743"/>
      <c r="L348" s="743"/>
      <c r="M348" s="743"/>
      <c r="N348" s="743"/>
      <c r="O348" s="743"/>
      <c r="P348" s="743"/>
      <c r="Q348" s="743"/>
      <c r="R348" s="743"/>
      <c r="S348" s="743"/>
      <c r="T348" s="743"/>
      <c r="U348" s="743"/>
      <c r="V348" s="743"/>
      <c r="W348" s="743"/>
      <c r="X348" s="743"/>
      <c r="Y348" s="743"/>
      <c r="Z348" s="743"/>
      <c r="AA348" s="744"/>
      <c r="AB348" s="1021"/>
      <c r="AC348" s="1022"/>
      <c r="AD348" s="1022"/>
      <c r="AE348" s="1022"/>
      <c r="AF348" s="1022"/>
      <c r="AG348" s="1022"/>
      <c r="AH348" s="1022"/>
      <c r="AI348" s="1022"/>
      <c r="AJ348" s="1022"/>
      <c r="AK348" s="1022"/>
      <c r="AL348" s="1022"/>
      <c r="AM348" s="1022"/>
      <c r="AN348" s="1022"/>
      <c r="AO348" s="1022"/>
      <c r="AP348" s="1022"/>
      <c r="AQ348" s="1022"/>
      <c r="AR348" s="1022"/>
      <c r="AS348" s="1022"/>
      <c r="AT348" s="1022"/>
      <c r="AU348" s="1022"/>
      <c r="AV348" s="1022"/>
      <c r="AW348" s="1022"/>
      <c r="AX348" s="1022"/>
      <c r="AY348" s="1022"/>
      <c r="AZ348" s="1022"/>
      <c r="BA348" s="1022"/>
      <c r="BB348" s="1022"/>
      <c r="BC348" s="1023"/>
      <c r="BD348" s="1021"/>
      <c r="BE348" s="1022"/>
      <c r="BF348" s="1022"/>
      <c r="BG348" s="1022"/>
      <c r="BH348" s="1022"/>
      <c r="BI348" s="1022"/>
      <c r="BJ348" s="1022"/>
      <c r="BK348" s="1022"/>
      <c r="BL348" s="1022"/>
      <c r="BM348" s="1022"/>
      <c r="BN348" s="1022"/>
      <c r="BO348" s="1022"/>
      <c r="BP348" s="1022"/>
      <c r="BQ348" s="1022"/>
      <c r="BR348" s="1022"/>
      <c r="BS348" s="1022"/>
      <c r="BT348" s="1022"/>
      <c r="BU348" s="1022"/>
      <c r="BV348" s="1022"/>
      <c r="BW348" s="1022"/>
      <c r="BX348" s="1022"/>
      <c r="BY348" s="1022"/>
      <c r="BZ348" s="1023"/>
      <c r="CA348" s="281"/>
      <c r="CB348" s="3" t="str">
        <f t="shared" si="45"/>
        <v>Riadok bude skrytý.</v>
      </c>
      <c r="CC348" s="271" t="s">
        <v>832</v>
      </c>
      <c r="CW348" s="32">
        <f t="shared" si="52"/>
        <v>0</v>
      </c>
      <c r="CX348" s="30">
        <f t="shared" si="53"/>
        <v>0</v>
      </c>
      <c r="CZ348" s="30">
        <f t="shared" si="51"/>
        <v>1</v>
      </c>
      <c r="DA348" s="52">
        <f t="shared" si="54"/>
        <v>0</v>
      </c>
      <c r="DB348" s="140">
        <f t="shared" si="44"/>
        <v>0</v>
      </c>
      <c r="DS348" s="130">
        <f>SI!BY348</f>
        <v>524</v>
      </c>
      <c r="DZ348" s="131">
        <f>SI!BZ348</f>
        <v>0</v>
      </c>
    </row>
    <row r="349" spans="1:130" hidden="1" x14ac:dyDescent="0.25">
      <c r="A349" s="141"/>
      <c r="B349" s="742"/>
      <c r="C349" s="743"/>
      <c r="D349" s="743"/>
      <c r="E349" s="743"/>
      <c r="F349" s="743"/>
      <c r="G349" s="743"/>
      <c r="H349" s="743"/>
      <c r="I349" s="743"/>
      <c r="J349" s="743"/>
      <c r="K349" s="743"/>
      <c r="L349" s="743"/>
      <c r="M349" s="743"/>
      <c r="N349" s="743"/>
      <c r="O349" s="743"/>
      <c r="P349" s="743"/>
      <c r="Q349" s="743"/>
      <c r="R349" s="743"/>
      <c r="S349" s="743"/>
      <c r="T349" s="743"/>
      <c r="U349" s="743"/>
      <c r="V349" s="743"/>
      <c r="W349" s="743"/>
      <c r="X349" s="743"/>
      <c r="Y349" s="743"/>
      <c r="Z349" s="743"/>
      <c r="AA349" s="744"/>
      <c r="AB349" s="1021"/>
      <c r="AC349" s="1022"/>
      <c r="AD349" s="1022"/>
      <c r="AE349" s="1022"/>
      <c r="AF349" s="1022"/>
      <c r="AG349" s="1022"/>
      <c r="AH349" s="1022"/>
      <c r="AI349" s="1022"/>
      <c r="AJ349" s="1022"/>
      <c r="AK349" s="1022"/>
      <c r="AL349" s="1022"/>
      <c r="AM349" s="1022"/>
      <c r="AN349" s="1022"/>
      <c r="AO349" s="1022"/>
      <c r="AP349" s="1022"/>
      <c r="AQ349" s="1022"/>
      <c r="AR349" s="1022"/>
      <c r="AS349" s="1022"/>
      <c r="AT349" s="1022"/>
      <c r="AU349" s="1022"/>
      <c r="AV349" s="1022"/>
      <c r="AW349" s="1022"/>
      <c r="AX349" s="1022"/>
      <c r="AY349" s="1022"/>
      <c r="AZ349" s="1022"/>
      <c r="BA349" s="1022"/>
      <c r="BB349" s="1022"/>
      <c r="BC349" s="1023"/>
      <c r="BD349" s="1021"/>
      <c r="BE349" s="1022"/>
      <c r="BF349" s="1022"/>
      <c r="BG349" s="1022"/>
      <c r="BH349" s="1022"/>
      <c r="BI349" s="1022"/>
      <c r="BJ349" s="1022"/>
      <c r="BK349" s="1022"/>
      <c r="BL349" s="1022"/>
      <c r="BM349" s="1022"/>
      <c r="BN349" s="1022"/>
      <c r="BO349" s="1022"/>
      <c r="BP349" s="1022"/>
      <c r="BQ349" s="1022"/>
      <c r="BR349" s="1022"/>
      <c r="BS349" s="1022"/>
      <c r="BT349" s="1022"/>
      <c r="BU349" s="1022"/>
      <c r="BV349" s="1022"/>
      <c r="BW349" s="1022"/>
      <c r="BX349" s="1022"/>
      <c r="BY349" s="1022"/>
      <c r="BZ349" s="1023"/>
      <c r="CA349" s="281"/>
      <c r="CB349" s="3" t="str">
        <f t="shared" si="45"/>
        <v>Riadok bude skrytý.</v>
      </c>
      <c r="CC349" s="271" t="s">
        <v>832</v>
      </c>
      <c r="CW349" s="32">
        <f t="shared" si="52"/>
        <v>0</v>
      </c>
      <c r="CX349" s="30">
        <f t="shared" si="53"/>
        <v>0</v>
      </c>
      <c r="CZ349" s="30">
        <f t="shared" si="51"/>
        <v>1</v>
      </c>
      <c r="DA349" s="52">
        <f t="shared" si="54"/>
        <v>0</v>
      </c>
      <c r="DB349" s="140">
        <f t="shared" si="44"/>
        <v>0</v>
      </c>
      <c r="DS349" s="130">
        <f>SI!BY349</f>
        <v>147</v>
      </c>
      <c r="DZ349" s="131">
        <f>SI!BZ349</f>
        <v>0</v>
      </c>
    </row>
    <row r="350" spans="1:130" hidden="1" x14ac:dyDescent="0.25">
      <c r="A350" s="141"/>
      <c r="B350" s="742"/>
      <c r="C350" s="743"/>
      <c r="D350" s="743"/>
      <c r="E350" s="743"/>
      <c r="F350" s="743"/>
      <c r="G350" s="743"/>
      <c r="H350" s="743"/>
      <c r="I350" s="743"/>
      <c r="J350" s="743"/>
      <c r="K350" s="743"/>
      <c r="L350" s="743"/>
      <c r="M350" s="743"/>
      <c r="N350" s="743"/>
      <c r="O350" s="743"/>
      <c r="P350" s="743"/>
      <c r="Q350" s="743"/>
      <c r="R350" s="743"/>
      <c r="S350" s="743"/>
      <c r="T350" s="743"/>
      <c r="U350" s="743"/>
      <c r="V350" s="743"/>
      <c r="W350" s="743"/>
      <c r="X350" s="743"/>
      <c r="Y350" s="743"/>
      <c r="Z350" s="743"/>
      <c r="AA350" s="744"/>
      <c r="AB350" s="1021"/>
      <c r="AC350" s="1022"/>
      <c r="AD350" s="1022"/>
      <c r="AE350" s="1022"/>
      <c r="AF350" s="1022"/>
      <c r="AG350" s="1022"/>
      <c r="AH350" s="1022"/>
      <c r="AI350" s="1022"/>
      <c r="AJ350" s="1022"/>
      <c r="AK350" s="1022"/>
      <c r="AL350" s="1022"/>
      <c r="AM350" s="1022"/>
      <c r="AN350" s="1022"/>
      <c r="AO350" s="1022"/>
      <c r="AP350" s="1022"/>
      <c r="AQ350" s="1022"/>
      <c r="AR350" s="1022"/>
      <c r="AS350" s="1022"/>
      <c r="AT350" s="1022"/>
      <c r="AU350" s="1022"/>
      <c r="AV350" s="1022"/>
      <c r="AW350" s="1022"/>
      <c r="AX350" s="1022"/>
      <c r="AY350" s="1022"/>
      <c r="AZ350" s="1022"/>
      <c r="BA350" s="1022"/>
      <c r="BB350" s="1022"/>
      <c r="BC350" s="1023"/>
      <c r="BD350" s="1021"/>
      <c r="BE350" s="1022"/>
      <c r="BF350" s="1022"/>
      <c r="BG350" s="1022"/>
      <c r="BH350" s="1022"/>
      <c r="BI350" s="1022"/>
      <c r="BJ350" s="1022"/>
      <c r="BK350" s="1022"/>
      <c r="BL350" s="1022"/>
      <c r="BM350" s="1022"/>
      <c r="BN350" s="1022"/>
      <c r="BO350" s="1022"/>
      <c r="BP350" s="1022"/>
      <c r="BQ350" s="1022"/>
      <c r="BR350" s="1022"/>
      <c r="BS350" s="1022"/>
      <c r="BT350" s="1022"/>
      <c r="BU350" s="1022"/>
      <c r="BV350" s="1022"/>
      <c r="BW350" s="1022"/>
      <c r="BX350" s="1022"/>
      <c r="BY350" s="1022"/>
      <c r="BZ350" s="1023"/>
      <c r="CA350" s="281"/>
      <c r="CB350" s="3" t="str">
        <f t="shared" si="45"/>
        <v>Riadok bude skrytý.</v>
      </c>
      <c r="CC350" s="271" t="s">
        <v>832</v>
      </c>
      <c r="CW350" s="32">
        <f t="shared" si="52"/>
        <v>0</v>
      </c>
      <c r="CX350" s="30">
        <f t="shared" si="53"/>
        <v>0</v>
      </c>
      <c r="CZ350" s="30">
        <f t="shared" si="51"/>
        <v>1</v>
      </c>
      <c r="DA350" s="52">
        <f t="shared" si="54"/>
        <v>0</v>
      </c>
      <c r="DB350" s="140">
        <f t="shared" si="44"/>
        <v>0</v>
      </c>
      <c r="DS350" s="130">
        <f>SI!BY350</f>
        <v>529</v>
      </c>
      <c r="DZ350" s="131">
        <f>SI!BZ350</f>
        <v>0</v>
      </c>
    </row>
    <row r="351" spans="1:130" hidden="1" x14ac:dyDescent="0.25">
      <c r="A351" s="141"/>
      <c r="B351" s="742"/>
      <c r="C351" s="743"/>
      <c r="D351" s="743"/>
      <c r="E351" s="743"/>
      <c r="F351" s="743"/>
      <c r="G351" s="743"/>
      <c r="H351" s="743"/>
      <c r="I351" s="743"/>
      <c r="J351" s="743"/>
      <c r="K351" s="743"/>
      <c r="L351" s="743"/>
      <c r="M351" s="743"/>
      <c r="N351" s="743"/>
      <c r="O351" s="743"/>
      <c r="P351" s="743"/>
      <c r="Q351" s="743"/>
      <c r="R351" s="743"/>
      <c r="S351" s="743"/>
      <c r="T351" s="743"/>
      <c r="U351" s="743"/>
      <c r="V351" s="743"/>
      <c r="W351" s="743"/>
      <c r="X351" s="743"/>
      <c r="Y351" s="743"/>
      <c r="Z351" s="743"/>
      <c r="AA351" s="744"/>
      <c r="AB351" s="1021"/>
      <c r="AC351" s="1022"/>
      <c r="AD351" s="1022"/>
      <c r="AE351" s="1022"/>
      <c r="AF351" s="1022"/>
      <c r="AG351" s="1022"/>
      <c r="AH351" s="1022"/>
      <c r="AI351" s="1022"/>
      <c r="AJ351" s="1022"/>
      <c r="AK351" s="1022"/>
      <c r="AL351" s="1022"/>
      <c r="AM351" s="1022"/>
      <c r="AN351" s="1022"/>
      <c r="AO351" s="1022"/>
      <c r="AP351" s="1022"/>
      <c r="AQ351" s="1022"/>
      <c r="AR351" s="1022"/>
      <c r="AS351" s="1022"/>
      <c r="AT351" s="1022"/>
      <c r="AU351" s="1022"/>
      <c r="AV351" s="1022"/>
      <c r="AW351" s="1022"/>
      <c r="AX351" s="1022"/>
      <c r="AY351" s="1022"/>
      <c r="AZ351" s="1022"/>
      <c r="BA351" s="1022"/>
      <c r="BB351" s="1022"/>
      <c r="BC351" s="1023"/>
      <c r="BD351" s="1021"/>
      <c r="BE351" s="1022"/>
      <c r="BF351" s="1022"/>
      <c r="BG351" s="1022"/>
      <c r="BH351" s="1022"/>
      <c r="BI351" s="1022"/>
      <c r="BJ351" s="1022"/>
      <c r="BK351" s="1022"/>
      <c r="BL351" s="1022"/>
      <c r="BM351" s="1022"/>
      <c r="BN351" s="1022"/>
      <c r="BO351" s="1022"/>
      <c r="BP351" s="1022"/>
      <c r="BQ351" s="1022"/>
      <c r="BR351" s="1022"/>
      <c r="BS351" s="1022"/>
      <c r="BT351" s="1022"/>
      <c r="BU351" s="1022"/>
      <c r="BV351" s="1022"/>
      <c r="BW351" s="1022"/>
      <c r="BX351" s="1022"/>
      <c r="BY351" s="1022"/>
      <c r="BZ351" s="1023"/>
      <c r="CA351" s="281"/>
      <c r="CB351" s="3" t="str">
        <f t="shared" si="45"/>
        <v>Riadok bude skrytý.</v>
      </c>
      <c r="CC351" s="271" t="s">
        <v>832</v>
      </c>
      <c r="CW351" s="32">
        <f t="shared" si="52"/>
        <v>0</v>
      </c>
      <c r="CX351" s="30">
        <f t="shared" si="53"/>
        <v>0</v>
      </c>
      <c r="CZ351" s="30">
        <f t="shared" si="51"/>
        <v>1</v>
      </c>
      <c r="DA351" s="52">
        <f t="shared" si="54"/>
        <v>0</v>
      </c>
      <c r="DB351" s="140">
        <f t="shared" si="44"/>
        <v>0</v>
      </c>
      <c r="DS351" s="130">
        <f>SI!BY351</f>
        <v>140</v>
      </c>
      <c r="DZ351" s="131">
        <f>SI!BZ351</f>
        <v>0</v>
      </c>
    </row>
    <row r="352" spans="1:130" hidden="1" x14ac:dyDescent="0.25">
      <c r="A352" s="141"/>
      <c r="B352" s="742"/>
      <c r="C352" s="743"/>
      <c r="D352" s="743"/>
      <c r="E352" s="743"/>
      <c r="F352" s="743"/>
      <c r="G352" s="743"/>
      <c r="H352" s="743"/>
      <c r="I352" s="743"/>
      <c r="J352" s="743"/>
      <c r="K352" s="743"/>
      <c r="L352" s="743"/>
      <c r="M352" s="743"/>
      <c r="N352" s="743"/>
      <c r="O352" s="743"/>
      <c r="P352" s="743"/>
      <c r="Q352" s="743"/>
      <c r="R352" s="743"/>
      <c r="S352" s="743"/>
      <c r="T352" s="743"/>
      <c r="U352" s="743"/>
      <c r="V352" s="743"/>
      <c r="W352" s="743"/>
      <c r="X352" s="743"/>
      <c r="Y352" s="743"/>
      <c r="Z352" s="743"/>
      <c r="AA352" s="744"/>
      <c r="AB352" s="1021"/>
      <c r="AC352" s="1022"/>
      <c r="AD352" s="1022"/>
      <c r="AE352" s="1022"/>
      <c r="AF352" s="1022"/>
      <c r="AG352" s="1022"/>
      <c r="AH352" s="1022"/>
      <c r="AI352" s="1022"/>
      <c r="AJ352" s="1022"/>
      <c r="AK352" s="1022"/>
      <c r="AL352" s="1022"/>
      <c r="AM352" s="1022"/>
      <c r="AN352" s="1022"/>
      <c r="AO352" s="1022"/>
      <c r="AP352" s="1022"/>
      <c r="AQ352" s="1022"/>
      <c r="AR352" s="1022"/>
      <c r="AS352" s="1022"/>
      <c r="AT352" s="1022"/>
      <c r="AU352" s="1022"/>
      <c r="AV352" s="1022"/>
      <c r="AW352" s="1022"/>
      <c r="AX352" s="1022"/>
      <c r="AY352" s="1022"/>
      <c r="AZ352" s="1022"/>
      <c r="BA352" s="1022"/>
      <c r="BB352" s="1022"/>
      <c r="BC352" s="1023"/>
      <c r="BD352" s="1021"/>
      <c r="BE352" s="1022"/>
      <c r="BF352" s="1022"/>
      <c r="BG352" s="1022"/>
      <c r="BH352" s="1022"/>
      <c r="BI352" s="1022"/>
      <c r="BJ352" s="1022"/>
      <c r="BK352" s="1022"/>
      <c r="BL352" s="1022"/>
      <c r="BM352" s="1022"/>
      <c r="BN352" s="1022"/>
      <c r="BO352" s="1022"/>
      <c r="BP352" s="1022"/>
      <c r="BQ352" s="1022"/>
      <c r="BR352" s="1022"/>
      <c r="BS352" s="1022"/>
      <c r="BT352" s="1022"/>
      <c r="BU352" s="1022"/>
      <c r="BV352" s="1022"/>
      <c r="BW352" s="1022"/>
      <c r="BX352" s="1022"/>
      <c r="BY352" s="1022"/>
      <c r="BZ352" s="1023"/>
      <c r="CA352" s="281"/>
      <c r="CB352" s="3" t="str">
        <f t="shared" si="45"/>
        <v>Riadok bude skrytý.</v>
      </c>
      <c r="CC352" s="271" t="s">
        <v>832</v>
      </c>
      <c r="CW352" s="32">
        <f t="shared" si="52"/>
        <v>0</v>
      </c>
      <c r="CX352" s="30">
        <f t="shared" si="53"/>
        <v>0</v>
      </c>
      <c r="CZ352" s="30">
        <f t="shared" si="51"/>
        <v>1</v>
      </c>
      <c r="DA352" s="52">
        <f t="shared" si="54"/>
        <v>0</v>
      </c>
      <c r="DB352" s="140">
        <f t="shared" si="44"/>
        <v>0</v>
      </c>
      <c r="DS352" s="130">
        <f>SI!BY352</f>
        <v>297</v>
      </c>
      <c r="DZ352" s="131">
        <f>SI!BZ352</f>
        <v>0</v>
      </c>
    </row>
    <row r="353" spans="1:130" hidden="1" x14ac:dyDescent="0.25">
      <c r="A353" s="141"/>
      <c r="B353" s="1373"/>
      <c r="C353" s="1374"/>
      <c r="D353" s="1374"/>
      <c r="E353" s="1374"/>
      <c r="F353" s="1374"/>
      <c r="G353" s="1374"/>
      <c r="H353" s="1374"/>
      <c r="I353" s="1374"/>
      <c r="J353" s="1374"/>
      <c r="K353" s="1374"/>
      <c r="L353" s="1374"/>
      <c r="M353" s="1374"/>
      <c r="N353" s="1374"/>
      <c r="O353" s="1374"/>
      <c r="P353" s="1374"/>
      <c r="Q353" s="1374"/>
      <c r="R353" s="1374"/>
      <c r="S353" s="1374"/>
      <c r="T353" s="1374"/>
      <c r="U353" s="1374"/>
      <c r="V353" s="1374"/>
      <c r="W353" s="1374"/>
      <c r="X353" s="1374"/>
      <c r="Y353" s="1374"/>
      <c r="Z353" s="1374"/>
      <c r="AA353" s="1375"/>
      <c r="AB353" s="1021"/>
      <c r="AC353" s="1022"/>
      <c r="AD353" s="1022"/>
      <c r="AE353" s="1022"/>
      <c r="AF353" s="1022"/>
      <c r="AG353" s="1022"/>
      <c r="AH353" s="1022"/>
      <c r="AI353" s="1022"/>
      <c r="AJ353" s="1022"/>
      <c r="AK353" s="1022"/>
      <c r="AL353" s="1022"/>
      <c r="AM353" s="1022"/>
      <c r="AN353" s="1022"/>
      <c r="AO353" s="1022"/>
      <c r="AP353" s="1022"/>
      <c r="AQ353" s="1022"/>
      <c r="AR353" s="1022"/>
      <c r="AS353" s="1022"/>
      <c r="AT353" s="1022"/>
      <c r="AU353" s="1022"/>
      <c r="AV353" s="1022"/>
      <c r="AW353" s="1022"/>
      <c r="AX353" s="1022"/>
      <c r="AY353" s="1022"/>
      <c r="AZ353" s="1022"/>
      <c r="BA353" s="1022"/>
      <c r="BB353" s="1022"/>
      <c r="BC353" s="1023"/>
      <c r="BD353" s="1021"/>
      <c r="BE353" s="1022"/>
      <c r="BF353" s="1022"/>
      <c r="BG353" s="1022"/>
      <c r="BH353" s="1022"/>
      <c r="BI353" s="1022"/>
      <c r="BJ353" s="1022"/>
      <c r="BK353" s="1022"/>
      <c r="BL353" s="1022"/>
      <c r="BM353" s="1022"/>
      <c r="BN353" s="1022"/>
      <c r="BO353" s="1022"/>
      <c r="BP353" s="1022"/>
      <c r="BQ353" s="1022"/>
      <c r="BR353" s="1022"/>
      <c r="BS353" s="1022"/>
      <c r="BT353" s="1022"/>
      <c r="BU353" s="1022"/>
      <c r="BV353" s="1022"/>
      <c r="BW353" s="1022"/>
      <c r="BX353" s="1022"/>
      <c r="BY353" s="1022"/>
      <c r="BZ353" s="1023"/>
      <c r="CA353" s="281"/>
      <c r="CB353" s="3" t="str">
        <f t="shared" si="45"/>
        <v>Riadok bude skrytý.</v>
      </c>
      <c r="CC353" s="271" t="s">
        <v>832</v>
      </c>
      <c r="CW353" s="32">
        <f t="shared" si="52"/>
        <v>0</v>
      </c>
      <c r="CX353" s="30">
        <f t="shared" si="53"/>
        <v>0</v>
      </c>
      <c r="CZ353" s="30">
        <f t="shared" si="51"/>
        <v>1</v>
      </c>
      <c r="DA353" s="52">
        <f t="shared" si="54"/>
        <v>0</v>
      </c>
      <c r="DB353" s="140">
        <f t="shared" si="44"/>
        <v>0</v>
      </c>
      <c r="DS353" s="130">
        <f>SI!BY353</f>
        <v>124</v>
      </c>
      <c r="DZ353" s="131">
        <f>SI!BZ353</f>
        <v>0</v>
      </c>
    </row>
    <row r="354" spans="1:130" hidden="1" x14ac:dyDescent="0.25">
      <c r="A354" s="141"/>
      <c r="B354" s="742"/>
      <c r="C354" s="743"/>
      <c r="D354" s="743"/>
      <c r="E354" s="743"/>
      <c r="F354" s="743"/>
      <c r="G354" s="743"/>
      <c r="H354" s="743"/>
      <c r="I354" s="743"/>
      <c r="J354" s="743"/>
      <c r="K354" s="743"/>
      <c r="L354" s="743"/>
      <c r="M354" s="743"/>
      <c r="N354" s="743"/>
      <c r="O354" s="743"/>
      <c r="P354" s="743"/>
      <c r="Q354" s="743"/>
      <c r="R354" s="743"/>
      <c r="S354" s="743"/>
      <c r="T354" s="743"/>
      <c r="U354" s="743"/>
      <c r="V354" s="743"/>
      <c r="W354" s="743"/>
      <c r="X354" s="743"/>
      <c r="Y354" s="743"/>
      <c r="Z354" s="743"/>
      <c r="AA354" s="744"/>
      <c r="AB354" s="1021"/>
      <c r="AC354" s="1022"/>
      <c r="AD354" s="1022"/>
      <c r="AE354" s="1022"/>
      <c r="AF354" s="1022"/>
      <c r="AG354" s="1022"/>
      <c r="AH354" s="1022"/>
      <c r="AI354" s="1022"/>
      <c r="AJ354" s="1022"/>
      <c r="AK354" s="1022"/>
      <c r="AL354" s="1022"/>
      <c r="AM354" s="1022"/>
      <c r="AN354" s="1022"/>
      <c r="AO354" s="1022"/>
      <c r="AP354" s="1022"/>
      <c r="AQ354" s="1022"/>
      <c r="AR354" s="1022"/>
      <c r="AS354" s="1022"/>
      <c r="AT354" s="1022"/>
      <c r="AU354" s="1022"/>
      <c r="AV354" s="1022"/>
      <c r="AW354" s="1022"/>
      <c r="AX354" s="1022"/>
      <c r="AY354" s="1022"/>
      <c r="AZ354" s="1022"/>
      <c r="BA354" s="1022"/>
      <c r="BB354" s="1022"/>
      <c r="BC354" s="1023"/>
      <c r="BD354" s="1021"/>
      <c r="BE354" s="1022"/>
      <c r="BF354" s="1022"/>
      <c r="BG354" s="1022"/>
      <c r="BH354" s="1022"/>
      <c r="BI354" s="1022"/>
      <c r="BJ354" s="1022"/>
      <c r="BK354" s="1022"/>
      <c r="BL354" s="1022"/>
      <c r="BM354" s="1022"/>
      <c r="BN354" s="1022"/>
      <c r="BO354" s="1022"/>
      <c r="BP354" s="1022"/>
      <c r="BQ354" s="1022"/>
      <c r="BR354" s="1022"/>
      <c r="BS354" s="1022"/>
      <c r="BT354" s="1022"/>
      <c r="BU354" s="1022"/>
      <c r="BV354" s="1022"/>
      <c r="BW354" s="1022"/>
      <c r="BX354" s="1022"/>
      <c r="BY354" s="1022"/>
      <c r="BZ354" s="1023"/>
      <c r="CA354" s="281"/>
      <c r="CB354" s="3" t="str">
        <f t="shared" si="45"/>
        <v>Riadok bude skrytý.</v>
      </c>
      <c r="CC354" s="271" t="s">
        <v>832</v>
      </c>
      <c r="CW354" s="32">
        <f t="shared" si="52"/>
        <v>0</v>
      </c>
      <c r="CX354" s="30">
        <f t="shared" si="53"/>
        <v>0</v>
      </c>
      <c r="CZ354" s="30">
        <f t="shared" si="51"/>
        <v>1</v>
      </c>
      <c r="DA354" s="52">
        <f t="shared" si="54"/>
        <v>0</v>
      </c>
      <c r="DB354" s="140">
        <f t="shared" si="44"/>
        <v>0</v>
      </c>
      <c r="DS354" s="130">
        <f>SI!BY354</f>
        <v>180</v>
      </c>
      <c r="DZ354" s="131">
        <f>SI!BZ354</f>
        <v>0</v>
      </c>
    </row>
    <row r="355" spans="1:130" hidden="1" x14ac:dyDescent="0.25">
      <c r="A355" s="141"/>
      <c r="B355" s="745"/>
      <c r="C355" s="746"/>
      <c r="D355" s="746"/>
      <c r="E355" s="746"/>
      <c r="F355" s="746"/>
      <c r="G355" s="746"/>
      <c r="H355" s="746"/>
      <c r="I355" s="746"/>
      <c r="J355" s="746"/>
      <c r="K355" s="746"/>
      <c r="L355" s="746"/>
      <c r="M355" s="746"/>
      <c r="N355" s="746"/>
      <c r="O355" s="746"/>
      <c r="P355" s="746"/>
      <c r="Q355" s="746"/>
      <c r="R355" s="746"/>
      <c r="S355" s="746"/>
      <c r="T355" s="746"/>
      <c r="U355" s="746"/>
      <c r="V355" s="746"/>
      <c r="W355" s="746"/>
      <c r="X355" s="746"/>
      <c r="Y355" s="746"/>
      <c r="Z355" s="746"/>
      <c r="AA355" s="747"/>
      <c r="AB355" s="1030"/>
      <c r="AC355" s="1031"/>
      <c r="AD355" s="1031"/>
      <c r="AE355" s="1031"/>
      <c r="AF355" s="1031"/>
      <c r="AG355" s="1031"/>
      <c r="AH355" s="1031"/>
      <c r="AI355" s="1031"/>
      <c r="AJ355" s="1031"/>
      <c r="AK355" s="1031"/>
      <c r="AL355" s="1031"/>
      <c r="AM355" s="1031"/>
      <c r="AN355" s="1031"/>
      <c r="AO355" s="1031"/>
      <c r="AP355" s="1031"/>
      <c r="AQ355" s="1031"/>
      <c r="AR355" s="1031"/>
      <c r="AS355" s="1031"/>
      <c r="AT355" s="1031"/>
      <c r="AU355" s="1031"/>
      <c r="AV355" s="1031"/>
      <c r="AW355" s="1031"/>
      <c r="AX355" s="1031"/>
      <c r="AY355" s="1031"/>
      <c r="AZ355" s="1031"/>
      <c r="BA355" s="1031"/>
      <c r="BB355" s="1031"/>
      <c r="BC355" s="1032"/>
      <c r="BD355" s="1030"/>
      <c r="BE355" s="1031"/>
      <c r="BF355" s="1031"/>
      <c r="BG355" s="1031"/>
      <c r="BH355" s="1031"/>
      <c r="BI355" s="1031"/>
      <c r="BJ355" s="1031"/>
      <c r="BK355" s="1031"/>
      <c r="BL355" s="1031"/>
      <c r="BM355" s="1031"/>
      <c r="BN355" s="1031"/>
      <c r="BO355" s="1031"/>
      <c r="BP355" s="1031"/>
      <c r="BQ355" s="1031"/>
      <c r="BR355" s="1031"/>
      <c r="BS355" s="1031"/>
      <c r="BT355" s="1031"/>
      <c r="BU355" s="1031"/>
      <c r="BV355" s="1031"/>
      <c r="BW355" s="1031"/>
      <c r="BX355" s="1031"/>
      <c r="BY355" s="1031"/>
      <c r="BZ355" s="1032"/>
      <c r="CA355" s="281"/>
      <c r="CB355" s="3" t="str">
        <f t="shared" si="45"/>
        <v>Riadok bude skrytý.</v>
      </c>
      <c r="CC355" s="271" t="s">
        <v>832</v>
      </c>
      <c r="CW355" s="32">
        <f t="shared" si="52"/>
        <v>0</v>
      </c>
      <c r="CX355" s="30">
        <f>+IF(B355="",1,1)</f>
        <v>1</v>
      </c>
      <c r="CZ355" s="30">
        <f t="shared" si="51"/>
        <v>1</v>
      </c>
      <c r="DA355" s="52">
        <f t="shared" si="54"/>
        <v>0</v>
      </c>
      <c r="DB355" s="140">
        <f t="shared" si="44"/>
        <v>0</v>
      </c>
      <c r="DS355" s="130">
        <f>SI!BY355</f>
        <v>189</v>
      </c>
      <c r="DZ355" s="131">
        <f>SI!BZ355</f>
        <v>0</v>
      </c>
    </row>
    <row r="356" spans="1:130" hidden="1" x14ac:dyDescent="0.25">
      <c r="A356" s="141"/>
      <c r="B356" s="1777"/>
      <c r="C356" s="1777"/>
      <c r="D356" s="1777"/>
      <c r="E356" s="1777"/>
      <c r="F356" s="1777"/>
      <c r="G356" s="1777"/>
      <c r="H356" s="1777"/>
      <c r="I356" s="1777"/>
      <c r="J356" s="1777"/>
      <c r="K356" s="1777"/>
      <c r="L356" s="1777"/>
      <c r="M356" s="1777"/>
      <c r="N356" s="1777"/>
      <c r="O356" s="1777"/>
      <c r="P356" s="1777"/>
      <c r="Q356" s="1777"/>
      <c r="R356" s="1777"/>
      <c r="S356" s="1777"/>
      <c r="T356" s="1777"/>
      <c r="U356" s="1777"/>
      <c r="V356" s="1777"/>
      <c r="W356" s="1777"/>
      <c r="X356" s="1777"/>
      <c r="Y356" s="1777"/>
      <c r="Z356" s="1777"/>
      <c r="AA356" s="1777"/>
      <c r="AB356" s="1777"/>
      <c r="AC356" s="1777"/>
      <c r="AD356" s="1777"/>
      <c r="AE356" s="1777"/>
      <c r="AF356" s="1777"/>
      <c r="AG356" s="1777"/>
      <c r="AH356" s="1777"/>
      <c r="AI356" s="1777"/>
      <c r="AJ356" s="1777"/>
      <c r="AK356" s="1777"/>
      <c r="AL356" s="1777"/>
      <c r="AM356" s="1777"/>
      <c r="AN356" s="1777"/>
      <c r="AO356" s="1777"/>
      <c r="AP356" s="1777"/>
      <c r="AQ356" s="1777"/>
      <c r="AR356" s="1777"/>
      <c r="AS356" s="1777"/>
      <c r="AT356" s="1777"/>
      <c r="AU356" s="1777"/>
      <c r="AV356" s="1777"/>
      <c r="AW356" s="1777"/>
      <c r="AX356" s="1777"/>
      <c r="AY356" s="1777"/>
      <c r="AZ356" s="1777"/>
      <c r="BA356" s="1777"/>
      <c r="BB356" s="1777"/>
      <c r="BC356" s="1777"/>
      <c r="BD356" s="1777"/>
      <c r="BE356" s="1777"/>
      <c r="BF356" s="1777"/>
      <c r="BG356" s="1777"/>
      <c r="BH356" s="1777"/>
      <c r="BI356" s="1777"/>
      <c r="BJ356" s="1777"/>
      <c r="BK356" s="1777"/>
      <c r="BL356" s="1777"/>
      <c r="BM356" s="1777"/>
      <c r="BN356" s="1777"/>
      <c r="BO356" s="1777"/>
      <c r="BP356" s="1777"/>
      <c r="BQ356" s="1777"/>
      <c r="BR356" s="1777"/>
      <c r="BS356" s="1777"/>
      <c r="BT356" s="1777"/>
      <c r="BU356" s="1777"/>
      <c r="BV356" s="1777"/>
      <c r="BW356" s="1777"/>
      <c r="BX356" s="1777"/>
      <c r="BY356" s="1777"/>
      <c r="BZ356" s="1777"/>
      <c r="CA356" s="281"/>
      <c r="CB356" s="3" t="str">
        <f t="shared" si="45"/>
        <v>Riadok bude skrytý.</v>
      </c>
      <c r="CC356" s="271" t="s">
        <v>832</v>
      </c>
      <c r="CW356" s="30">
        <f>+IF(AI342="boli",0,1)</f>
        <v>0</v>
      </c>
      <c r="CZ356" s="30">
        <f t="shared" si="51"/>
        <v>1</v>
      </c>
      <c r="DA356" s="30">
        <f t="shared" si="43"/>
        <v>0</v>
      </c>
      <c r="DB356" s="140">
        <f t="shared" si="44"/>
        <v>0</v>
      </c>
      <c r="DS356" s="130">
        <f>SI!BY356</f>
        <v>617</v>
      </c>
      <c r="DZ356" s="131">
        <f>SI!BZ356</f>
        <v>0</v>
      </c>
    </row>
    <row r="357" spans="1:130" x14ac:dyDescent="0.25">
      <c r="A357" s="141"/>
      <c r="B357" s="279" t="s">
        <v>859</v>
      </c>
      <c r="C357" s="1792" t="str">
        <f>+IF($K$52&lt;&gt;"",IF(INT(SQRT((CODE(MID($K$52,1,1)))))*(IF(SI!EE357="",1,SI!EE357))+LEN(SI!J5)=DS357,"Ocenenie, odpisové plány DNM a DHM (obstaraného kúpou, vlastnou činnosťou, inak)","NEPOVOLENÉ POUŽITIE!"),"NEPOVOLENÉ POUŽITIE!")</f>
        <v>Ocenenie, odpisové plány DNM a DHM (obstaraného kúpou, vlastnou činnosťou, inak)</v>
      </c>
      <c r="D357" s="1792"/>
      <c r="E357" s="1792"/>
      <c r="F357" s="1792"/>
      <c r="G357" s="1792"/>
      <c r="H357" s="1792"/>
      <c r="I357" s="1792"/>
      <c r="J357" s="1792"/>
      <c r="K357" s="1792"/>
      <c r="L357" s="1792"/>
      <c r="M357" s="1792"/>
      <c r="N357" s="1792"/>
      <c r="O357" s="1792"/>
      <c r="P357" s="1792"/>
      <c r="Q357" s="1792"/>
      <c r="R357" s="1792"/>
      <c r="S357" s="1792"/>
      <c r="T357" s="1792"/>
      <c r="U357" s="1792"/>
      <c r="V357" s="1792"/>
      <c r="W357" s="1792"/>
      <c r="X357" s="1792"/>
      <c r="Y357" s="1792"/>
      <c r="Z357" s="1792"/>
      <c r="AA357" s="1792"/>
      <c r="AB357" s="1792"/>
      <c r="AC357" s="1792"/>
      <c r="AD357" s="1792"/>
      <c r="AE357" s="1792"/>
      <c r="AF357" s="1792"/>
      <c r="AG357" s="1792"/>
      <c r="AH357" s="1792"/>
      <c r="AI357" s="1792"/>
      <c r="AJ357" s="1792"/>
      <c r="AK357" s="1792"/>
      <c r="AL357" s="1792"/>
      <c r="AM357" s="1792"/>
      <c r="AN357" s="1792"/>
      <c r="AO357" s="1792"/>
      <c r="AP357" s="1792"/>
      <c r="AQ357" s="1792"/>
      <c r="AR357" s="1792"/>
      <c r="AS357" s="1792"/>
      <c r="AT357" s="1792"/>
      <c r="AU357" s="1792"/>
      <c r="AV357" s="1792"/>
      <c r="AW357" s="1792"/>
      <c r="AX357" s="1792"/>
      <c r="AY357" s="1792"/>
      <c r="AZ357" s="1792"/>
      <c r="BA357" s="1792"/>
      <c r="BB357" s="1792"/>
      <c r="BC357" s="1792"/>
      <c r="BD357" s="1792"/>
      <c r="BE357" s="1792"/>
      <c r="BF357" s="1792"/>
      <c r="BG357" s="1792"/>
      <c r="BH357" s="1792"/>
      <c r="BI357" s="1792"/>
      <c r="BJ357" s="1792"/>
      <c r="BK357" s="1792"/>
      <c r="BL357" s="1792"/>
      <c r="BM357" s="1792"/>
      <c r="BN357" s="1792"/>
      <c r="BO357" s="1792"/>
      <c r="BP357" s="1792"/>
      <c r="BQ357" s="1792"/>
      <c r="BR357" s="1792"/>
      <c r="BS357" s="1792"/>
      <c r="BT357" s="1792"/>
      <c r="BU357" s="1792"/>
      <c r="BV357" s="1792"/>
      <c r="BW357" s="1792"/>
      <c r="BX357" s="1792"/>
      <c r="BY357" s="1792"/>
      <c r="BZ357" s="1792"/>
      <c r="CA357" s="265" t="s">
        <v>773</v>
      </c>
      <c r="CB357" s="3" t="str">
        <f t="shared" si="45"/>
        <v>Riadok bude vidieť.</v>
      </c>
      <c r="CC357" s="271" t="s">
        <v>832</v>
      </c>
      <c r="CW357" s="134">
        <f>+IF(SUM(CW358:CW377)=0,0,1)</f>
        <v>1</v>
      </c>
      <c r="CZ357" s="30">
        <f t="shared" si="51"/>
        <v>1</v>
      </c>
      <c r="DA357" s="30">
        <f t="shared" si="43"/>
        <v>1</v>
      </c>
      <c r="DB357" s="140">
        <f t="shared" si="44"/>
        <v>1</v>
      </c>
      <c r="DS357" s="130">
        <f>SI!BY357</f>
        <v>15</v>
      </c>
      <c r="DZ357" s="131">
        <f>SI!BZ357</f>
        <v>0</v>
      </c>
    </row>
    <row r="358" spans="1:130" x14ac:dyDescent="0.25">
      <c r="A358" s="141"/>
      <c r="B358" s="379" t="s">
        <v>50</v>
      </c>
      <c r="C358" s="379"/>
      <c r="D358" s="379"/>
      <c r="E358" s="379"/>
      <c r="F358" s="379"/>
      <c r="G358" s="379"/>
      <c r="H358" s="379"/>
      <c r="I358" s="379"/>
      <c r="J358" s="379"/>
      <c r="K358" s="379"/>
      <c r="L358" s="379"/>
      <c r="M358" s="379"/>
      <c r="N358" s="379"/>
      <c r="O358" s="379"/>
      <c r="P358" s="379"/>
      <c r="Q358" s="379"/>
      <c r="R358" s="379"/>
      <c r="S358" s="379"/>
      <c r="T358" s="379"/>
      <c r="U358" s="379"/>
      <c r="V358" s="379"/>
      <c r="W358" s="379"/>
      <c r="X358" s="379"/>
      <c r="Y358" s="379"/>
      <c r="Z358" s="379"/>
      <c r="AA358" s="379"/>
      <c r="AB358" s="379"/>
      <c r="AC358" s="379"/>
      <c r="AD358" s="379"/>
      <c r="AE358" s="379"/>
      <c r="AF358" s="379"/>
      <c r="AG358" s="379"/>
      <c r="AH358" s="379"/>
      <c r="AI358" s="379"/>
      <c r="AJ358" s="379"/>
      <c r="AK358" s="379"/>
      <c r="AL358" s="379"/>
      <c r="AM358" s="379"/>
      <c r="AN358" s="379"/>
      <c r="AO358" s="379"/>
      <c r="AP358" s="379"/>
      <c r="AQ358" s="379"/>
      <c r="AR358" s="379"/>
      <c r="AS358" s="379"/>
      <c r="AT358" s="379"/>
      <c r="AU358" s="379"/>
      <c r="AV358" s="379"/>
      <c r="AW358" s="379"/>
      <c r="AX358" s="379"/>
      <c r="AY358" s="379"/>
      <c r="AZ358" s="379"/>
      <c r="BA358" s="379"/>
      <c r="BB358" s="379"/>
      <c r="BC358" s="379"/>
      <c r="BD358" s="379"/>
      <c r="BE358" s="379"/>
      <c r="BF358" s="379"/>
      <c r="BG358" s="379"/>
      <c r="BH358" s="379"/>
      <c r="BI358" s="379"/>
      <c r="BJ358" s="379"/>
      <c r="BK358" s="379"/>
      <c r="BL358" s="379"/>
      <c r="BM358" s="379"/>
      <c r="BN358" s="379"/>
      <c r="BO358" s="379"/>
      <c r="BP358" s="379"/>
      <c r="BQ358" s="379"/>
      <c r="BR358" s="379"/>
      <c r="BS358" s="379"/>
      <c r="BT358" s="379"/>
      <c r="BU358" s="379"/>
      <c r="BV358" s="379"/>
      <c r="BW358" s="379"/>
      <c r="BX358" s="379"/>
      <c r="BY358" s="379"/>
      <c r="BZ358" s="379"/>
      <c r="CA358" s="281"/>
      <c r="CB358" s="3" t="str">
        <f t="shared" si="45"/>
        <v>Riadok bude vidieť.</v>
      </c>
      <c r="CC358" s="271" t="s">
        <v>832</v>
      </c>
      <c r="CW358" s="30">
        <f t="shared" ref="CW358:CW377" si="55">+IF(B358="",0,1)</f>
        <v>1</v>
      </c>
      <c r="CZ358" s="30">
        <f t="shared" si="51"/>
        <v>1</v>
      </c>
      <c r="DA358" s="30">
        <f t="shared" si="43"/>
        <v>1</v>
      </c>
      <c r="DB358" s="140">
        <f t="shared" si="44"/>
        <v>1</v>
      </c>
      <c r="DS358" s="130">
        <f>SI!BY358</f>
        <v>172</v>
      </c>
      <c r="DZ358" s="131">
        <f>SI!BZ358</f>
        <v>0</v>
      </c>
    </row>
    <row r="359" spans="1:130" x14ac:dyDescent="0.25">
      <c r="A359" s="141"/>
      <c r="B359" s="379" t="s">
        <v>51</v>
      </c>
      <c r="C359" s="379"/>
      <c r="D359" s="379"/>
      <c r="E359" s="379"/>
      <c r="F359" s="379"/>
      <c r="G359" s="379"/>
      <c r="H359" s="379"/>
      <c r="I359" s="379"/>
      <c r="J359" s="379"/>
      <c r="K359" s="379"/>
      <c r="L359" s="379"/>
      <c r="M359" s="379"/>
      <c r="N359" s="379"/>
      <c r="O359" s="379"/>
      <c r="P359" s="379"/>
      <c r="Q359" s="379"/>
      <c r="R359" s="379"/>
      <c r="S359" s="379"/>
      <c r="T359" s="379"/>
      <c r="U359" s="379"/>
      <c r="V359" s="379"/>
      <c r="W359" s="379"/>
      <c r="X359" s="379"/>
      <c r="Y359" s="379"/>
      <c r="Z359" s="379"/>
      <c r="AA359" s="379"/>
      <c r="AB359" s="379"/>
      <c r="AC359" s="379"/>
      <c r="AD359" s="379"/>
      <c r="AE359" s="379"/>
      <c r="AF359" s="379"/>
      <c r="AG359" s="379"/>
      <c r="AH359" s="379"/>
      <c r="AI359" s="379"/>
      <c r="AJ359" s="379"/>
      <c r="AK359" s="379"/>
      <c r="AL359" s="379"/>
      <c r="AM359" s="379"/>
      <c r="AN359" s="379"/>
      <c r="AO359" s="379"/>
      <c r="AP359" s="379"/>
      <c r="AQ359" s="379"/>
      <c r="AR359" s="379"/>
      <c r="AS359" s="379"/>
      <c r="AT359" s="379"/>
      <c r="AU359" s="379"/>
      <c r="AV359" s="379"/>
      <c r="AW359" s="379"/>
      <c r="AX359" s="379"/>
      <c r="AY359" s="379"/>
      <c r="AZ359" s="379"/>
      <c r="BA359" s="379"/>
      <c r="BB359" s="379"/>
      <c r="BC359" s="379"/>
      <c r="BD359" s="379"/>
      <c r="BE359" s="379"/>
      <c r="BF359" s="379"/>
      <c r="BG359" s="379"/>
      <c r="BH359" s="379"/>
      <c r="BI359" s="379"/>
      <c r="BJ359" s="379"/>
      <c r="BK359" s="379"/>
      <c r="BL359" s="379"/>
      <c r="BM359" s="379"/>
      <c r="BN359" s="379"/>
      <c r="BO359" s="379"/>
      <c r="BP359" s="379"/>
      <c r="BQ359" s="379"/>
      <c r="BR359" s="379"/>
      <c r="BS359" s="379"/>
      <c r="BT359" s="379"/>
      <c r="BU359" s="379"/>
      <c r="BV359" s="379"/>
      <c r="BW359" s="379"/>
      <c r="BX359" s="379"/>
      <c r="BY359" s="379"/>
      <c r="BZ359" s="379"/>
      <c r="CA359" s="281"/>
      <c r="CB359" s="3" t="str">
        <f t="shared" si="45"/>
        <v>Riadok bude vidieť.</v>
      </c>
      <c r="CC359" s="271" t="s">
        <v>832</v>
      </c>
      <c r="CW359" s="30">
        <f t="shared" si="55"/>
        <v>1</v>
      </c>
      <c r="CZ359" s="30">
        <f t="shared" si="51"/>
        <v>1</v>
      </c>
      <c r="DA359" s="30">
        <f t="shared" si="43"/>
        <v>1</v>
      </c>
      <c r="DB359" s="140">
        <f t="shared" si="44"/>
        <v>1</v>
      </c>
      <c r="DS359" s="130">
        <f>SI!BY359</f>
        <v>184</v>
      </c>
      <c r="DZ359" s="131">
        <f>SI!BZ359</f>
        <v>0</v>
      </c>
    </row>
    <row r="360" spans="1:130" x14ac:dyDescent="0.25">
      <c r="A360" s="141"/>
      <c r="B360" s="379" t="s">
        <v>52</v>
      </c>
      <c r="C360" s="379"/>
      <c r="D360" s="379"/>
      <c r="E360" s="379"/>
      <c r="F360" s="379"/>
      <c r="G360" s="379"/>
      <c r="H360" s="379"/>
      <c r="I360" s="379"/>
      <c r="J360" s="379"/>
      <c r="K360" s="379"/>
      <c r="L360" s="379"/>
      <c r="M360" s="379"/>
      <c r="N360" s="379"/>
      <c r="O360" s="379"/>
      <c r="P360" s="379"/>
      <c r="Q360" s="379"/>
      <c r="R360" s="379"/>
      <c r="S360" s="379"/>
      <c r="T360" s="379"/>
      <c r="U360" s="379"/>
      <c r="V360" s="379"/>
      <c r="W360" s="379"/>
      <c r="X360" s="379"/>
      <c r="Y360" s="379"/>
      <c r="Z360" s="379"/>
      <c r="AA360" s="379"/>
      <c r="AB360" s="379"/>
      <c r="AC360" s="379"/>
      <c r="AD360" s="379"/>
      <c r="AE360" s="379"/>
      <c r="AF360" s="379"/>
      <c r="AG360" s="379"/>
      <c r="AH360" s="379"/>
      <c r="AI360" s="379"/>
      <c r="AJ360" s="379"/>
      <c r="AK360" s="379"/>
      <c r="AL360" s="379"/>
      <c r="AM360" s="379"/>
      <c r="AN360" s="379"/>
      <c r="AO360" s="379"/>
      <c r="AP360" s="379"/>
      <c r="AQ360" s="379"/>
      <c r="AR360" s="379"/>
      <c r="AS360" s="379"/>
      <c r="AT360" s="379"/>
      <c r="AU360" s="379"/>
      <c r="AV360" s="379"/>
      <c r="AW360" s="379"/>
      <c r="AX360" s="379"/>
      <c r="AY360" s="379"/>
      <c r="AZ360" s="379"/>
      <c r="BA360" s="379"/>
      <c r="BB360" s="379"/>
      <c r="BC360" s="379"/>
      <c r="BD360" s="379"/>
      <c r="BE360" s="379"/>
      <c r="BF360" s="379"/>
      <c r="BG360" s="379"/>
      <c r="BH360" s="379"/>
      <c r="BI360" s="379"/>
      <c r="BJ360" s="379"/>
      <c r="BK360" s="379"/>
      <c r="BL360" s="379"/>
      <c r="BM360" s="379"/>
      <c r="BN360" s="379"/>
      <c r="BO360" s="379"/>
      <c r="BP360" s="379"/>
      <c r="BQ360" s="379"/>
      <c r="BR360" s="379"/>
      <c r="BS360" s="379"/>
      <c r="BT360" s="379"/>
      <c r="BU360" s="379"/>
      <c r="BV360" s="379"/>
      <c r="BW360" s="379"/>
      <c r="BX360" s="379"/>
      <c r="BY360" s="379"/>
      <c r="BZ360" s="379"/>
      <c r="CA360" s="281"/>
      <c r="CB360" s="3" t="str">
        <f t="shared" si="45"/>
        <v>Riadok bude vidieť.</v>
      </c>
      <c r="CC360" s="271" t="s">
        <v>832</v>
      </c>
      <c r="CW360" s="30">
        <f t="shared" si="55"/>
        <v>1</v>
      </c>
      <c r="CZ360" s="30">
        <f t="shared" si="51"/>
        <v>1</v>
      </c>
      <c r="DA360" s="30">
        <f t="shared" si="43"/>
        <v>1</v>
      </c>
      <c r="DB360" s="140">
        <f t="shared" si="44"/>
        <v>1</v>
      </c>
      <c r="DS360" s="130">
        <f>SI!BY360</f>
        <v>146</v>
      </c>
      <c r="DZ360" s="131">
        <f>SI!BZ360</f>
        <v>0</v>
      </c>
    </row>
    <row r="361" spans="1:130" x14ac:dyDescent="0.25">
      <c r="A361" s="141"/>
      <c r="B361" s="379" t="s">
        <v>53</v>
      </c>
      <c r="C361" s="379"/>
      <c r="D361" s="379"/>
      <c r="E361" s="379"/>
      <c r="F361" s="379"/>
      <c r="G361" s="379"/>
      <c r="H361" s="379"/>
      <c r="I361" s="379"/>
      <c r="J361" s="379"/>
      <c r="K361" s="379"/>
      <c r="L361" s="379"/>
      <c r="M361" s="379"/>
      <c r="N361" s="379"/>
      <c r="O361" s="379"/>
      <c r="P361" s="379"/>
      <c r="Q361" s="379"/>
      <c r="R361" s="379"/>
      <c r="S361" s="379"/>
      <c r="T361" s="379"/>
      <c r="U361" s="379"/>
      <c r="V361" s="379"/>
      <c r="W361" s="379"/>
      <c r="X361" s="379"/>
      <c r="Y361" s="379"/>
      <c r="Z361" s="379"/>
      <c r="AA361" s="379"/>
      <c r="AB361" s="379"/>
      <c r="AC361" s="379"/>
      <c r="AD361" s="379"/>
      <c r="AE361" s="379"/>
      <c r="AF361" s="379"/>
      <c r="AG361" s="379"/>
      <c r="AH361" s="379"/>
      <c r="AI361" s="379"/>
      <c r="AJ361" s="379"/>
      <c r="AK361" s="379"/>
      <c r="AL361" s="379"/>
      <c r="AM361" s="379"/>
      <c r="AN361" s="379"/>
      <c r="AO361" s="379"/>
      <c r="AP361" s="379"/>
      <c r="AQ361" s="379"/>
      <c r="AR361" s="379"/>
      <c r="AS361" s="379"/>
      <c r="AT361" s="379"/>
      <c r="AU361" s="379"/>
      <c r="AV361" s="379"/>
      <c r="AW361" s="379"/>
      <c r="AX361" s="379"/>
      <c r="AY361" s="379"/>
      <c r="AZ361" s="379"/>
      <c r="BA361" s="379"/>
      <c r="BB361" s="379"/>
      <c r="BC361" s="379"/>
      <c r="BD361" s="379"/>
      <c r="BE361" s="379"/>
      <c r="BF361" s="379"/>
      <c r="BG361" s="379"/>
      <c r="BH361" s="379"/>
      <c r="BI361" s="379"/>
      <c r="BJ361" s="379"/>
      <c r="BK361" s="379"/>
      <c r="BL361" s="379"/>
      <c r="BM361" s="379"/>
      <c r="BN361" s="379"/>
      <c r="BO361" s="379"/>
      <c r="BP361" s="379"/>
      <c r="BQ361" s="379"/>
      <c r="BR361" s="379"/>
      <c r="BS361" s="379"/>
      <c r="BT361" s="379"/>
      <c r="BU361" s="379"/>
      <c r="BV361" s="379"/>
      <c r="BW361" s="379"/>
      <c r="BX361" s="379"/>
      <c r="BY361" s="379"/>
      <c r="BZ361" s="379"/>
      <c r="CA361" s="281"/>
      <c r="CB361" s="3" t="str">
        <f t="shared" si="45"/>
        <v>Riadok bude vidieť.</v>
      </c>
      <c r="CC361" s="271" t="s">
        <v>832</v>
      </c>
      <c r="CW361" s="30">
        <f t="shared" si="55"/>
        <v>1</v>
      </c>
      <c r="CZ361" s="30">
        <f t="shared" si="51"/>
        <v>1</v>
      </c>
      <c r="DA361" s="30">
        <f t="shared" si="43"/>
        <v>1</v>
      </c>
      <c r="DB361" s="140">
        <f t="shared" si="44"/>
        <v>1</v>
      </c>
      <c r="DS361" s="130">
        <f>SI!BY361</f>
        <v>1195</v>
      </c>
      <c r="DZ361" s="131">
        <f>SI!BZ361</f>
        <v>0</v>
      </c>
    </row>
    <row r="362" spans="1:130" x14ac:dyDescent="0.25">
      <c r="A362" s="141"/>
      <c r="B362" s="379" t="s">
        <v>54</v>
      </c>
      <c r="C362" s="379"/>
      <c r="D362" s="379"/>
      <c r="E362" s="379"/>
      <c r="F362" s="379"/>
      <c r="G362" s="379"/>
      <c r="H362" s="379"/>
      <c r="I362" s="379"/>
      <c r="J362" s="379"/>
      <c r="K362" s="379"/>
      <c r="L362" s="379"/>
      <c r="M362" s="379"/>
      <c r="N362" s="379"/>
      <c r="O362" s="379"/>
      <c r="P362" s="379"/>
      <c r="Q362" s="379"/>
      <c r="R362" s="379"/>
      <c r="S362" s="379"/>
      <c r="T362" s="379"/>
      <c r="U362" s="379"/>
      <c r="V362" s="379"/>
      <c r="W362" s="379"/>
      <c r="X362" s="379"/>
      <c r="Y362" s="379"/>
      <c r="Z362" s="379"/>
      <c r="AA362" s="379"/>
      <c r="AB362" s="379"/>
      <c r="AC362" s="379"/>
      <c r="AD362" s="379"/>
      <c r="AE362" s="379"/>
      <c r="AF362" s="379"/>
      <c r="AG362" s="379"/>
      <c r="AH362" s="379"/>
      <c r="AI362" s="379"/>
      <c r="AJ362" s="379"/>
      <c r="AK362" s="379"/>
      <c r="AL362" s="379"/>
      <c r="AM362" s="379"/>
      <c r="AN362" s="379"/>
      <c r="AO362" s="379"/>
      <c r="AP362" s="379"/>
      <c r="AQ362" s="379"/>
      <c r="AR362" s="379"/>
      <c r="AS362" s="379"/>
      <c r="AT362" s="379"/>
      <c r="AU362" s="379"/>
      <c r="AV362" s="379"/>
      <c r="AW362" s="379"/>
      <c r="AX362" s="379"/>
      <c r="AY362" s="379"/>
      <c r="AZ362" s="379"/>
      <c r="BA362" s="379"/>
      <c r="BB362" s="379"/>
      <c r="BC362" s="379"/>
      <c r="BD362" s="379"/>
      <c r="BE362" s="379"/>
      <c r="BF362" s="379"/>
      <c r="BG362" s="379"/>
      <c r="BH362" s="379"/>
      <c r="BI362" s="379"/>
      <c r="BJ362" s="379"/>
      <c r="BK362" s="379"/>
      <c r="BL362" s="379"/>
      <c r="BM362" s="379"/>
      <c r="BN362" s="379"/>
      <c r="BO362" s="379"/>
      <c r="BP362" s="379"/>
      <c r="BQ362" s="379"/>
      <c r="BR362" s="379"/>
      <c r="BS362" s="379"/>
      <c r="BT362" s="379"/>
      <c r="BU362" s="379"/>
      <c r="BV362" s="379"/>
      <c r="BW362" s="379"/>
      <c r="BX362" s="379"/>
      <c r="BY362" s="379"/>
      <c r="BZ362" s="379"/>
      <c r="CA362" s="281"/>
      <c r="CB362" s="3" t="str">
        <f t="shared" si="45"/>
        <v>Riadok bude vidieť.</v>
      </c>
      <c r="CC362" s="271" t="s">
        <v>832</v>
      </c>
      <c r="CW362" s="30">
        <f t="shared" si="55"/>
        <v>1</v>
      </c>
      <c r="CZ362" s="30">
        <f t="shared" si="51"/>
        <v>1</v>
      </c>
      <c r="DA362" s="30">
        <f t="shared" si="43"/>
        <v>1</v>
      </c>
      <c r="DB362" s="140">
        <f t="shared" si="44"/>
        <v>1</v>
      </c>
      <c r="DS362" s="130">
        <f>SI!BY362</f>
        <v>5</v>
      </c>
      <c r="DZ362" s="131">
        <f>SI!BZ362</f>
        <v>0</v>
      </c>
    </row>
    <row r="363" spans="1:130" x14ac:dyDescent="0.25">
      <c r="A363" s="141"/>
      <c r="B363" s="379" t="s">
        <v>55</v>
      </c>
      <c r="C363" s="379"/>
      <c r="D363" s="379"/>
      <c r="E363" s="379"/>
      <c r="F363" s="379"/>
      <c r="G363" s="379"/>
      <c r="H363" s="379"/>
      <c r="I363" s="379"/>
      <c r="J363" s="379"/>
      <c r="K363" s="379"/>
      <c r="L363" s="379"/>
      <c r="M363" s="379"/>
      <c r="N363" s="379"/>
      <c r="O363" s="379"/>
      <c r="P363" s="379"/>
      <c r="Q363" s="379"/>
      <c r="R363" s="379"/>
      <c r="S363" s="379"/>
      <c r="T363" s="379"/>
      <c r="U363" s="379"/>
      <c r="V363" s="379"/>
      <c r="W363" s="379"/>
      <c r="X363" s="379"/>
      <c r="Y363" s="379"/>
      <c r="Z363" s="379"/>
      <c r="AA363" s="379"/>
      <c r="AB363" s="379"/>
      <c r="AC363" s="379"/>
      <c r="AD363" s="379"/>
      <c r="AE363" s="379"/>
      <c r="AF363" s="379"/>
      <c r="AG363" s="379"/>
      <c r="AH363" s="379"/>
      <c r="AI363" s="379"/>
      <c r="AJ363" s="379"/>
      <c r="AK363" s="379"/>
      <c r="AL363" s="379"/>
      <c r="AM363" s="379"/>
      <c r="AN363" s="379"/>
      <c r="AO363" s="379"/>
      <c r="AP363" s="379"/>
      <c r="AQ363" s="379"/>
      <c r="AR363" s="379"/>
      <c r="AS363" s="379"/>
      <c r="AT363" s="379"/>
      <c r="AU363" s="379"/>
      <c r="AV363" s="379"/>
      <c r="AW363" s="379"/>
      <c r="AX363" s="379"/>
      <c r="AY363" s="379"/>
      <c r="AZ363" s="379"/>
      <c r="BA363" s="379"/>
      <c r="BB363" s="379"/>
      <c r="BC363" s="379"/>
      <c r="BD363" s="379"/>
      <c r="BE363" s="379"/>
      <c r="BF363" s="379"/>
      <c r="BG363" s="379"/>
      <c r="BH363" s="379"/>
      <c r="BI363" s="379"/>
      <c r="BJ363" s="379"/>
      <c r="BK363" s="379"/>
      <c r="BL363" s="379"/>
      <c r="BM363" s="379"/>
      <c r="BN363" s="379"/>
      <c r="BO363" s="379"/>
      <c r="BP363" s="379"/>
      <c r="BQ363" s="379"/>
      <c r="BR363" s="379"/>
      <c r="BS363" s="379"/>
      <c r="BT363" s="379"/>
      <c r="BU363" s="379"/>
      <c r="BV363" s="379"/>
      <c r="BW363" s="379"/>
      <c r="BX363" s="379"/>
      <c r="BY363" s="379"/>
      <c r="BZ363" s="379"/>
      <c r="CA363" s="281"/>
      <c r="CB363" s="3" t="str">
        <f t="shared" si="45"/>
        <v>Riadok bude vidieť.</v>
      </c>
      <c r="CC363" s="271" t="s">
        <v>832</v>
      </c>
      <c r="CW363" s="30">
        <f t="shared" si="55"/>
        <v>1</v>
      </c>
      <c r="CZ363" s="30">
        <f t="shared" si="51"/>
        <v>1</v>
      </c>
      <c r="DA363" s="30">
        <f t="shared" si="43"/>
        <v>1</v>
      </c>
      <c r="DB363" s="140">
        <f t="shared" si="44"/>
        <v>1</v>
      </c>
      <c r="DS363" s="130">
        <f>SI!BY363</f>
        <v>1008</v>
      </c>
      <c r="DZ363" s="131">
        <f>SI!BZ363</f>
        <v>0</v>
      </c>
    </row>
    <row r="364" spans="1:130" x14ac:dyDescent="0.25">
      <c r="A364" s="141"/>
      <c r="B364" s="379" t="s">
        <v>56</v>
      </c>
      <c r="C364" s="379"/>
      <c r="D364" s="379"/>
      <c r="E364" s="379"/>
      <c r="F364" s="379"/>
      <c r="G364" s="379"/>
      <c r="H364" s="379"/>
      <c r="I364" s="379"/>
      <c r="J364" s="379"/>
      <c r="K364" s="379"/>
      <c r="L364" s="379"/>
      <c r="M364" s="379"/>
      <c r="N364" s="379"/>
      <c r="O364" s="379"/>
      <c r="P364" s="379"/>
      <c r="Q364" s="379"/>
      <c r="R364" s="379"/>
      <c r="S364" s="379"/>
      <c r="T364" s="379"/>
      <c r="U364" s="379"/>
      <c r="V364" s="379"/>
      <c r="W364" s="379"/>
      <c r="X364" s="379"/>
      <c r="Y364" s="379"/>
      <c r="Z364" s="379"/>
      <c r="AA364" s="379"/>
      <c r="AB364" s="379"/>
      <c r="AC364" s="379"/>
      <c r="AD364" s="379"/>
      <c r="AE364" s="379"/>
      <c r="AF364" s="379"/>
      <c r="AG364" s="379"/>
      <c r="AH364" s="379"/>
      <c r="AI364" s="379"/>
      <c r="AJ364" s="379"/>
      <c r="AK364" s="379"/>
      <c r="AL364" s="379"/>
      <c r="AM364" s="379"/>
      <c r="AN364" s="379"/>
      <c r="AO364" s="379"/>
      <c r="AP364" s="379"/>
      <c r="AQ364" s="379"/>
      <c r="AR364" s="379"/>
      <c r="AS364" s="379"/>
      <c r="AT364" s="379"/>
      <c r="AU364" s="379"/>
      <c r="AV364" s="379"/>
      <c r="AW364" s="379"/>
      <c r="AX364" s="379"/>
      <c r="AY364" s="379"/>
      <c r="AZ364" s="379"/>
      <c r="BA364" s="379"/>
      <c r="BB364" s="379"/>
      <c r="BC364" s="379"/>
      <c r="BD364" s="379"/>
      <c r="BE364" s="379"/>
      <c r="BF364" s="379"/>
      <c r="BG364" s="379"/>
      <c r="BH364" s="379"/>
      <c r="BI364" s="379"/>
      <c r="BJ364" s="379"/>
      <c r="BK364" s="379"/>
      <c r="BL364" s="379"/>
      <c r="BM364" s="379"/>
      <c r="BN364" s="379"/>
      <c r="BO364" s="379"/>
      <c r="BP364" s="379"/>
      <c r="BQ364" s="379"/>
      <c r="BR364" s="379"/>
      <c r="BS364" s="379"/>
      <c r="BT364" s="379"/>
      <c r="BU364" s="379"/>
      <c r="BV364" s="379"/>
      <c r="BW364" s="379"/>
      <c r="BX364" s="379"/>
      <c r="BY364" s="379"/>
      <c r="BZ364" s="379"/>
      <c r="CA364" s="281"/>
      <c r="CB364" s="3" t="str">
        <f t="shared" si="45"/>
        <v>Riadok bude vidieť.</v>
      </c>
      <c r="CC364" s="271" t="s">
        <v>832</v>
      </c>
      <c r="CW364" s="30">
        <f t="shared" si="55"/>
        <v>1</v>
      </c>
      <c r="CZ364" s="30">
        <f t="shared" si="51"/>
        <v>1</v>
      </c>
      <c r="DA364" s="30">
        <f t="shared" si="43"/>
        <v>1</v>
      </c>
      <c r="DB364" s="140">
        <f t="shared" si="44"/>
        <v>1</v>
      </c>
      <c r="DS364" s="130">
        <f>SI!BY364</f>
        <v>173</v>
      </c>
      <c r="DZ364" s="131">
        <f>SI!BZ364</f>
        <v>0</v>
      </c>
    </row>
    <row r="365" spans="1:130" x14ac:dyDescent="0.25">
      <c r="A365" s="141"/>
      <c r="B365" s="1421" t="s">
        <v>706</v>
      </c>
      <c r="C365" s="1421"/>
      <c r="D365" s="1421"/>
      <c r="E365" s="1421"/>
      <c r="F365" s="1421"/>
      <c r="G365" s="1421"/>
      <c r="H365" s="1421"/>
      <c r="I365" s="1421"/>
      <c r="J365" s="1421"/>
      <c r="K365" s="1421"/>
      <c r="L365" s="1421"/>
      <c r="M365" s="1421"/>
      <c r="N365" s="1421"/>
      <c r="O365" s="1421"/>
      <c r="P365" s="1421"/>
      <c r="Q365" s="1421"/>
      <c r="R365" s="1421"/>
      <c r="S365" s="1421"/>
      <c r="T365" s="1421"/>
      <c r="U365" s="1421"/>
      <c r="V365" s="1421"/>
      <c r="W365" s="1421"/>
      <c r="X365" s="1421"/>
      <c r="Y365" s="1421"/>
      <c r="Z365" s="1421"/>
      <c r="AA365" s="1421"/>
      <c r="AB365" s="1421"/>
      <c r="AC365" s="1421"/>
      <c r="AD365" s="1421"/>
      <c r="AE365" s="1421"/>
      <c r="AF365" s="1421"/>
      <c r="AG365" s="1421"/>
      <c r="AH365" s="1421"/>
      <c r="AI365" s="1421"/>
      <c r="AJ365" s="1421"/>
      <c r="AK365" s="1421"/>
      <c r="AL365" s="1421"/>
      <c r="AM365" s="1421"/>
      <c r="AN365" s="1421"/>
      <c r="AO365" s="1421"/>
      <c r="AP365" s="1421"/>
      <c r="AQ365" s="1421"/>
      <c r="AR365" s="1421"/>
      <c r="AS365" s="1421"/>
      <c r="AT365" s="1421"/>
      <c r="AU365" s="1421"/>
      <c r="AV365" s="1421"/>
      <c r="AW365" s="1421"/>
      <c r="AX365" s="1421"/>
      <c r="AY365" s="1421"/>
      <c r="AZ365" s="1421"/>
      <c r="BA365" s="1421"/>
      <c r="BB365" s="1421"/>
      <c r="BC365" s="1421"/>
      <c r="BD365" s="1421"/>
      <c r="BE365" s="1421"/>
      <c r="BF365" s="1421"/>
      <c r="BG365" s="1421"/>
      <c r="BH365" s="1421"/>
      <c r="BI365" s="1421"/>
      <c r="BJ365" s="1421"/>
      <c r="BK365" s="1421"/>
      <c r="BL365" s="1421"/>
      <c r="BM365" s="1421"/>
      <c r="BN365" s="1421"/>
      <c r="BO365" s="1421"/>
      <c r="BP365" s="1421"/>
      <c r="BQ365" s="1421"/>
      <c r="BR365" s="1421"/>
      <c r="BS365" s="1421"/>
      <c r="BT365" s="1421"/>
      <c r="BU365" s="1421"/>
      <c r="BV365" s="1421"/>
      <c r="BW365" s="1421"/>
      <c r="BX365" s="1421"/>
      <c r="BY365" s="1421"/>
      <c r="BZ365" s="1421"/>
      <c r="CA365" s="281"/>
      <c r="CB365" s="3" t="str">
        <f t="shared" si="45"/>
        <v>Riadok bude vidieť.</v>
      </c>
      <c r="CC365" s="271" t="s">
        <v>832</v>
      </c>
      <c r="CW365" s="30">
        <f t="shared" si="55"/>
        <v>1</v>
      </c>
      <c r="CZ365" s="30">
        <f t="shared" si="51"/>
        <v>1</v>
      </c>
      <c r="DA365" s="30">
        <f t="shared" si="43"/>
        <v>1</v>
      </c>
      <c r="DB365" s="140">
        <f t="shared" si="44"/>
        <v>1</v>
      </c>
      <c r="DS365" s="130">
        <f>SI!BY365</f>
        <v>446</v>
      </c>
      <c r="DZ365" s="131">
        <f>SI!BZ365</f>
        <v>0</v>
      </c>
    </row>
    <row r="366" spans="1:130" x14ac:dyDescent="0.25">
      <c r="A366" s="141"/>
      <c r="B366" s="406" t="s">
        <v>925</v>
      </c>
      <c r="C366" s="406"/>
      <c r="D366" s="406"/>
      <c r="E366" s="406"/>
      <c r="F366" s="406"/>
      <c r="G366" s="406"/>
      <c r="H366" s="406"/>
      <c r="I366" s="406"/>
      <c r="J366" s="406"/>
      <c r="K366" s="406"/>
      <c r="L366" s="406"/>
      <c r="M366" s="406"/>
      <c r="N366" s="406"/>
      <c r="O366" s="406"/>
      <c r="P366" s="406"/>
      <c r="Q366" s="406"/>
      <c r="R366" s="406"/>
      <c r="S366" s="406"/>
      <c r="T366" s="406"/>
      <c r="U366" s="406"/>
      <c r="V366" s="406"/>
      <c r="W366" s="406"/>
      <c r="X366" s="406"/>
      <c r="Y366" s="406"/>
      <c r="Z366" s="406"/>
      <c r="AA366" s="406"/>
      <c r="AB366" s="406"/>
      <c r="AC366" s="406"/>
      <c r="AD366" s="406"/>
      <c r="AE366" s="406"/>
      <c r="AF366" s="406"/>
      <c r="AG366" s="406"/>
      <c r="AH366" s="406"/>
      <c r="AI366" s="406"/>
      <c r="AJ366" s="406"/>
      <c r="AK366" s="406"/>
      <c r="AL366" s="406"/>
      <c r="AM366" s="406"/>
      <c r="AN366" s="406"/>
      <c r="AO366" s="406"/>
      <c r="AP366" s="406"/>
      <c r="AQ366" s="406"/>
      <c r="AR366" s="406"/>
      <c r="AS366" s="406"/>
      <c r="AT366" s="406"/>
      <c r="AU366" s="406"/>
      <c r="AV366" s="406"/>
      <c r="AW366" s="406"/>
      <c r="AX366" s="406"/>
      <c r="AY366" s="406"/>
      <c r="AZ366" s="406"/>
      <c r="BA366" s="406"/>
      <c r="BB366" s="406"/>
      <c r="BC366" s="406"/>
      <c r="BD366" s="406"/>
      <c r="BE366" s="406"/>
      <c r="BF366" s="406"/>
      <c r="BG366" s="406"/>
      <c r="BH366" s="406"/>
      <c r="BI366" s="406"/>
      <c r="BJ366" s="406"/>
      <c r="BK366" s="406"/>
      <c r="BL366" s="406"/>
      <c r="BM366" s="406"/>
      <c r="BN366" s="406"/>
      <c r="BO366" s="406"/>
      <c r="BP366" s="406"/>
      <c r="BQ366" s="406"/>
      <c r="BR366" s="406"/>
      <c r="BS366" s="406"/>
      <c r="BT366" s="406"/>
      <c r="BU366" s="406"/>
      <c r="BV366" s="406"/>
      <c r="BW366" s="406"/>
      <c r="BX366" s="406"/>
      <c r="BY366" s="406"/>
      <c r="BZ366" s="406"/>
      <c r="CA366" s="281"/>
      <c r="CB366" s="3" t="str">
        <f t="shared" si="45"/>
        <v>Riadok bude vidieť.</v>
      </c>
      <c r="CC366" s="271" t="s">
        <v>832</v>
      </c>
      <c r="CW366" s="30">
        <f t="shared" si="55"/>
        <v>1</v>
      </c>
      <c r="CZ366" s="30">
        <f t="shared" si="51"/>
        <v>1</v>
      </c>
      <c r="DA366" s="30">
        <f t="shared" si="43"/>
        <v>1</v>
      </c>
      <c r="DB366" s="140">
        <f t="shared" si="44"/>
        <v>1</v>
      </c>
      <c r="DS366" s="130">
        <f>SI!BY366</f>
        <v>128</v>
      </c>
      <c r="DZ366" s="131">
        <f>SI!BZ366</f>
        <v>0</v>
      </c>
    </row>
    <row r="367" spans="1:130" hidden="1" x14ac:dyDescent="0.25">
      <c r="A367" s="141"/>
      <c r="B367" s="379"/>
      <c r="C367" s="379"/>
      <c r="D367" s="379"/>
      <c r="E367" s="379"/>
      <c r="F367" s="379"/>
      <c r="G367" s="379"/>
      <c r="H367" s="379"/>
      <c r="I367" s="379"/>
      <c r="J367" s="379"/>
      <c r="K367" s="379"/>
      <c r="L367" s="379"/>
      <c r="M367" s="379"/>
      <c r="N367" s="379"/>
      <c r="O367" s="379"/>
      <c r="P367" s="379"/>
      <c r="Q367" s="379"/>
      <c r="R367" s="379"/>
      <c r="S367" s="379"/>
      <c r="T367" s="379"/>
      <c r="U367" s="379"/>
      <c r="V367" s="379"/>
      <c r="W367" s="379"/>
      <c r="X367" s="379"/>
      <c r="Y367" s="379"/>
      <c r="Z367" s="379"/>
      <c r="AA367" s="379"/>
      <c r="AB367" s="379"/>
      <c r="AC367" s="379"/>
      <c r="AD367" s="379"/>
      <c r="AE367" s="379"/>
      <c r="AF367" s="379"/>
      <c r="AG367" s="379"/>
      <c r="AH367" s="379"/>
      <c r="AI367" s="379"/>
      <c r="AJ367" s="379"/>
      <c r="AK367" s="379"/>
      <c r="AL367" s="379"/>
      <c r="AM367" s="379"/>
      <c r="AN367" s="379"/>
      <c r="AO367" s="379"/>
      <c r="AP367" s="379"/>
      <c r="AQ367" s="379"/>
      <c r="AR367" s="379"/>
      <c r="AS367" s="379"/>
      <c r="AT367" s="379"/>
      <c r="AU367" s="379"/>
      <c r="AV367" s="379"/>
      <c r="AW367" s="379"/>
      <c r="AX367" s="379"/>
      <c r="AY367" s="379"/>
      <c r="AZ367" s="379"/>
      <c r="BA367" s="379"/>
      <c r="BB367" s="379"/>
      <c r="BC367" s="379"/>
      <c r="BD367" s="379"/>
      <c r="BE367" s="379"/>
      <c r="BF367" s="379"/>
      <c r="BG367" s="379"/>
      <c r="BH367" s="379"/>
      <c r="BI367" s="379"/>
      <c r="BJ367" s="379"/>
      <c r="BK367" s="379"/>
      <c r="BL367" s="379"/>
      <c r="BM367" s="379"/>
      <c r="BN367" s="379"/>
      <c r="BO367" s="379"/>
      <c r="BP367" s="379"/>
      <c r="BQ367" s="379"/>
      <c r="BR367" s="379"/>
      <c r="BS367" s="379"/>
      <c r="BT367" s="379"/>
      <c r="BU367" s="379"/>
      <c r="BV367" s="379"/>
      <c r="BW367" s="379"/>
      <c r="BX367" s="379"/>
      <c r="BY367" s="379"/>
      <c r="BZ367" s="379"/>
      <c r="CA367" s="281"/>
      <c r="CB367" s="3" t="str">
        <f t="shared" si="45"/>
        <v>Riadok bude skrytý.</v>
      </c>
      <c r="CC367" s="271" t="s">
        <v>832</v>
      </c>
      <c r="CW367" s="30">
        <f t="shared" si="55"/>
        <v>0</v>
      </c>
      <c r="CZ367" s="30">
        <f t="shared" si="51"/>
        <v>1</v>
      </c>
      <c r="DA367" s="30">
        <f t="shared" si="43"/>
        <v>0</v>
      </c>
      <c r="DB367" s="140">
        <f t="shared" si="44"/>
        <v>0</v>
      </c>
      <c r="DS367" s="130">
        <f>SI!BY367</f>
        <v>326</v>
      </c>
      <c r="DZ367" s="131">
        <f>SI!BZ367</f>
        <v>0</v>
      </c>
    </row>
    <row r="368" spans="1:130" hidden="1" x14ac:dyDescent="0.25">
      <c r="A368" s="141"/>
      <c r="B368" s="379"/>
      <c r="C368" s="379"/>
      <c r="D368" s="379"/>
      <c r="E368" s="379"/>
      <c r="F368" s="379"/>
      <c r="G368" s="379"/>
      <c r="H368" s="379"/>
      <c r="I368" s="379"/>
      <c r="J368" s="379"/>
      <c r="K368" s="379"/>
      <c r="L368" s="379"/>
      <c r="M368" s="379"/>
      <c r="N368" s="379"/>
      <c r="O368" s="379"/>
      <c r="P368" s="379"/>
      <c r="Q368" s="379"/>
      <c r="R368" s="379"/>
      <c r="S368" s="379"/>
      <c r="T368" s="379"/>
      <c r="U368" s="379"/>
      <c r="V368" s="379"/>
      <c r="W368" s="379"/>
      <c r="X368" s="379"/>
      <c r="Y368" s="379"/>
      <c r="Z368" s="379"/>
      <c r="AA368" s="379"/>
      <c r="AB368" s="379"/>
      <c r="AC368" s="379"/>
      <c r="AD368" s="379"/>
      <c r="AE368" s="379"/>
      <c r="AF368" s="379"/>
      <c r="AG368" s="379"/>
      <c r="AH368" s="379"/>
      <c r="AI368" s="379"/>
      <c r="AJ368" s="379"/>
      <c r="AK368" s="379"/>
      <c r="AL368" s="379"/>
      <c r="AM368" s="379"/>
      <c r="AN368" s="379"/>
      <c r="AO368" s="379"/>
      <c r="AP368" s="379"/>
      <c r="AQ368" s="379"/>
      <c r="AR368" s="379"/>
      <c r="AS368" s="379"/>
      <c r="AT368" s="379"/>
      <c r="AU368" s="379"/>
      <c r="AV368" s="379"/>
      <c r="AW368" s="379"/>
      <c r="AX368" s="379"/>
      <c r="AY368" s="379"/>
      <c r="AZ368" s="379"/>
      <c r="BA368" s="379"/>
      <c r="BB368" s="379"/>
      <c r="BC368" s="379"/>
      <c r="BD368" s="379"/>
      <c r="BE368" s="379"/>
      <c r="BF368" s="379"/>
      <c r="BG368" s="379"/>
      <c r="BH368" s="379"/>
      <c r="BI368" s="379"/>
      <c r="BJ368" s="379"/>
      <c r="BK368" s="379"/>
      <c r="BL368" s="379"/>
      <c r="BM368" s="379"/>
      <c r="BN368" s="379"/>
      <c r="BO368" s="379"/>
      <c r="BP368" s="379"/>
      <c r="BQ368" s="379"/>
      <c r="BR368" s="379"/>
      <c r="BS368" s="379"/>
      <c r="BT368" s="379"/>
      <c r="BU368" s="379"/>
      <c r="BV368" s="379"/>
      <c r="BW368" s="379"/>
      <c r="BX368" s="379"/>
      <c r="BY368" s="379"/>
      <c r="BZ368" s="379"/>
      <c r="CA368" s="281"/>
      <c r="CB368" s="3" t="str">
        <f t="shared" si="45"/>
        <v>Riadok bude skrytý.</v>
      </c>
      <c r="CC368" s="271" t="s">
        <v>832</v>
      </c>
      <c r="CW368" s="30">
        <f t="shared" si="55"/>
        <v>0</v>
      </c>
      <c r="CZ368" s="30">
        <f t="shared" si="51"/>
        <v>1</v>
      </c>
      <c r="DA368" s="30">
        <f t="shared" si="43"/>
        <v>0</v>
      </c>
      <c r="DB368" s="140">
        <f t="shared" ref="DB368:DB431" si="56">+DA368</f>
        <v>0</v>
      </c>
      <c r="DS368" s="130">
        <f>SI!BY368</f>
        <v>189</v>
      </c>
      <c r="DZ368" s="131">
        <f>SI!BZ368</f>
        <v>0</v>
      </c>
    </row>
    <row r="369" spans="1:130" hidden="1" x14ac:dyDescent="0.25">
      <c r="A369" s="141"/>
      <c r="B369" s="379"/>
      <c r="C369" s="379"/>
      <c r="D369" s="379"/>
      <c r="E369" s="379"/>
      <c r="F369" s="379"/>
      <c r="G369" s="379"/>
      <c r="H369" s="379"/>
      <c r="I369" s="379"/>
      <c r="J369" s="379"/>
      <c r="K369" s="379"/>
      <c r="L369" s="379"/>
      <c r="M369" s="379"/>
      <c r="N369" s="379"/>
      <c r="O369" s="379"/>
      <c r="P369" s="379"/>
      <c r="Q369" s="379"/>
      <c r="R369" s="379"/>
      <c r="S369" s="379"/>
      <c r="T369" s="379"/>
      <c r="U369" s="379"/>
      <c r="V369" s="379"/>
      <c r="W369" s="379"/>
      <c r="X369" s="379"/>
      <c r="Y369" s="379"/>
      <c r="Z369" s="379"/>
      <c r="AA369" s="379"/>
      <c r="AB369" s="379"/>
      <c r="AC369" s="379"/>
      <c r="AD369" s="379"/>
      <c r="AE369" s="379"/>
      <c r="AF369" s="379"/>
      <c r="AG369" s="379"/>
      <c r="AH369" s="379"/>
      <c r="AI369" s="379"/>
      <c r="AJ369" s="379"/>
      <c r="AK369" s="379"/>
      <c r="AL369" s="379"/>
      <c r="AM369" s="379"/>
      <c r="AN369" s="379"/>
      <c r="AO369" s="379"/>
      <c r="AP369" s="379"/>
      <c r="AQ369" s="379"/>
      <c r="AR369" s="379"/>
      <c r="AS369" s="379"/>
      <c r="AT369" s="379"/>
      <c r="AU369" s="379"/>
      <c r="AV369" s="379"/>
      <c r="AW369" s="379"/>
      <c r="AX369" s="379"/>
      <c r="AY369" s="379"/>
      <c r="AZ369" s="379"/>
      <c r="BA369" s="379"/>
      <c r="BB369" s="379"/>
      <c r="BC369" s="379"/>
      <c r="BD369" s="379"/>
      <c r="BE369" s="379"/>
      <c r="BF369" s="379"/>
      <c r="BG369" s="379"/>
      <c r="BH369" s="379"/>
      <c r="BI369" s="379"/>
      <c r="BJ369" s="379"/>
      <c r="BK369" s="379"/>
      <c r="BL369" s="379"/>
      <c r="BM369" s="379"/>
      <c r="BN369" s="379"/>
      <c r="BO369" s="379"/>
      <c r="BP369" s="379"/>
      <c r="BQ369" s="379"/>
      <c r="BR369" s="379"/>
      <c r="BS369" s="379"/>
      <c r="BT369" s="379"/>
      <c r="BU369" s="379"/>
      <c r="BV369" s="379"/>
      <c r="BW369" s="379"/>
      <c r="BX369" s="379"/>
      <c r="BY369" s="379"/>
      <c r="BZ369" s="379"/>
      <c r="CA369" s="281"/>
      <c r="CB369" s="3" t="str">
        <f t="shared" si="45"/>
        <v>Riadok bude skrytý.</v>
      </c>
      <c r="CC369" s="271" t="s">
        <v>832</v>
      </c>
      <c r="CW369" s="30">
        <f t="shared" si="55"/>
        <v>0</v>
      </c>
      <c r="CZ369" s="30">
        <f t="shared" si="51"/>
        <v>1</v>
      </c>
      <c r="DA369" s="30">
        <f t="shared" si="43"/>
        <v>0</v>
      </c>
      <c r="DB369" s="140">
        <f t="shared" si="56"/>
        <v>0</v>
      </c>
      <c r="DS369" s="130">
        <f>SI!BY369</f>
        <v>716</v>
      </c>
      <c r="DZ369" s="131">
        <f>SI!BZ369</f>
        <v>0</v>
      </c>
    </row>
    <row r="370" spans="1:130" hidden="1" x14ac:dyDescent="0.25">
      <c r="A370" s="141"/>
      <c r="B370" s="379"/>
      <c r="C370" s="379"/>
      <c r="D370" s="379"/>
      <c r="E370" s="379"/>
      <c r="F370" s="379"/>
      <c r="G370" s="379"/>
      <c r="H370" s="379"/>
      <c r="I370" s="379"/>
      <c r="J370" s="379"/>
      <c r="K370" s="379"/>
      <c r="L370" s="379"/>
      <c r="M370" s="379"/>
      <c r="N370" s="379"/>
      <c r="O370" s="379"/>
      <c r="P370" s="379"/>
      <c r="Q370" s="379"/>
      <c r="R370" s="379"/>
      <c r="S370" s="379"/>
      <c r="T370" s="379"/>
      <c r="U370" s="379"/>
      <c r="V370" s="379"/>
      <c r="W370" s="379"/>
      <c r="X370" s="379"/>
      <c r="Y370" s="379"/>
      <c r="Z370" s="379"/>
      <c r="AA370" s="379"/>
      <c r="AB370" s="379"/>
      <c r="AC370" s="379"/>
      <c r="AD370" s="379"/>
      <c r="AE370" s="379"/>
      <c r="AF370" s="379"/>
      <c r="AG370" s="379"/>
      <c r="AH370" s="379"/>
      <c r="AI370" s="379"/>
      <c r="AJ370" s="379"/>
      <c r="AK370" s="379"/>
      <c r="AL370" s="379"/>
      <c r="AM370" s="379"/>
      <c r="AN370" s="379"/>
      <c r="AO370" s="379"/>
      <c r="AP370" s="379"/>
      <c r="AQ370" s="379"/>
      <c r="AR370" s="379"/>
      <c r="AS370" s="379"/>
      <c r="AT370" s="379"/>
      <c r="AU370" s="379"/>
      <c r="AV370" s="379"/>
      <c r="AW370" s="379"/>
      <c r="AX370" s="379"/>
      <c r="AY370" s="379"/>
      <c r="AZ370" s="379"/>
      <c r="BA370" s="379"/>
      <c r="BB370" s="379"/>
      <c r="BC370" s="379"/>
      <c r="BD370" s="379"/>
      <c r="BE370" s="379"/>
      <c r="BF370" s="379"/>
      <c r="BG370" s="379"/>
      <c r="BH370" s="379"/>
      <c r="BI370" s="379"/>
      <c r="BJ370" s="379"/>
      <c r="BK370" s="379"/>
      <c r="BL370" s="379"/>
      <c r="BM370" s="379"/>
      <c r="BN370" s="379"/>
      <c r="BO370" s="379"/>
      <c r="BP370" s="379"/>
      <c r="BQ370" s="379"/>
      <c r="BR370" s="379"/>
      <c r="BS370" s="379"/>
      <c r="BT370" s="379"/>
      <c r="BU370" s="379"/>
      <c r="BV370" s="379"/>
      <c r="BW370" s="379"/>
      <c r="BX370" s="379"/>
      <c r="BY370" s="379"/>
      <c r="BZ370" s="379"/>
      <c r="CA370" s="281"/>
      <c r="CB370" s="3" t="str">
        <f t="shared" si="45"/>
        <v>Riadok bude skrytý.</v>
      </c>
      <c r="CC370" s="271" t="s">
        <v>832</v>
      </c>
      <c r="CW370" s="30">
        <f t="shared" si="55"/>
        <v>0</v>
      </c>
      <c r="CZ370" s="30">
        <f t="shared" si="51"/>
        <v>1</v>
      </c>
      <c r="DA370" s="30">
        <f t="shared" si="43"/>
        <v>0</v>
      </c>
      <c r="DB370" s="140">
        <f t="shared" si="56"/>
        <v>0</v>
      </c>
      <c r="DS370" s="130">
        <f>SI!BY370</f>
        <v>105</v>
      </c>
      <c r="DZ370" s="131">
        <f>SI!BZ370</f>
        <v>0</v>
      </c>
    </row>
    <row r="371" spans="1:130" hidden="1" x14ac:dyDescent="0.25">
      <c r="A371" s="141"/>
      <c r="B371" s="379"/>
      <c r="C371" s="379"/>
      <c r="D371" s="379"/>
      <c r="E371" s="379"/>
      <c r="F371" s="379"/>
      <c r="G371" s="379"/>
      <c r="H371" s="379"/>
      <c r="I371" s="379"/>
      <c r="J371" s="379"/>
      <c r="K371" s="379"/>
      <c r="L371" s="379"/>
      <c r="M371" s="379"/>
      <c r="N371" s="379"/>
      <c r="O371" s="379"/>
      <c r="P371" s="379"/>
      <c r="Q371" s="379"/>
      <c r="R371" s="379"/>
      <c r="S371" s="379"/>
      <c r="T371" s="379"/>
      <c r="U371" s="379"/>
      <c r="V371" s="379"/>
      <c r="W371" s="379"/>
      <c r="X371" s="379"/>
      <c r="Y371" s="379"/>
      <c r="Z371" s="379"/>
      <c r="AA371" s="379"/>
      <c r="AB371" s="379"/>
      <c r="AC371" s="379"/>
      <c r="AD371" s="379"/>
      <c r="AE371" s="379"/>
      <c r="AF371" s="379"/>
      <c r="AG371" s="379"/>
      <c r="AH371" s="379"/>
      <c r="AI371" s="379"/>
      <c r="AJ371" s="379"/>
      <c r="AK371" s="379"/>
      <c r="AL371" s="379"/>
      <c r="AM371" s="379"/>
      <c r="AN371" s="379"/>
      <c r="AO371" s="379"/>
      <c r="AP371" s="379"/>
      <c r="AQ371" s="379"/>
      <c r="AR371" s="379"/>
      <c r="AS371" s="379"/>
      <c r="AT371" s="379"/>
      <c r="AU371" s="379"/>
      <c r="AV371" s="379"/>
      <c r="AW371" s="379"/>
      <c r="AX371" s="379"/>
      <c r="AY371" s="379"/>
      <c r="AZ371" s="379"/>
      <c r="BA371" s="379"/>
      <c r="BB371" s="379"/>
      <c r="BC371" s="379"/>
      <c r="BD371" s="379"/>
      <c r="BE371" s="379"/>
      <c r="BF371" s="379"/>
      <c r="BG371" s="379"/>
      <c r="BH371" s="379"/>
      <c r="BI371" s="379"/>
      <c r="BJ371" s="379"/>
      <c r="BK371" s="379"/>
      <c r="BL371" s="379"/>
      <c r="BM371" s="379"/>
      <c r="BN371" s="379"/>
      <c r="BO371" s="379"/>
      <c r="BP371" s="379"/>
      <c r="BQ371" s="379"/>
      <c r="BR371" s="379"/>
      <c r="BS371" s="379"/>
      <c r="BT371" s="379"/>
      <c r="BU371" s="379"/>
      <c r="BV371" s="379"/>
      <c r="BW371" s="379"/>
      <c r="BX371" s="379"/>
      <c r="BY371" s="379"/>
      <c r="BZ371" s="379"/>
      <c r="CA371" s="281"/>
      <c r="CB371" s="3" t="str">
        <f t="shared" ref="CB371:CB434" si="57">+IF(DB371=0,"Riadok bude skrytý.","Riadok bude vidieť.")</f>
        <v>Riadok bude skrytý.</v>
      </c>
      <c r="CC371" s="271" t="s">
        <v>832</v>
      </c>
      <c r="CW371" s="30">
        <f t="shared" si="55"/>
        <v>0</v>
      </c>
      <c r="CZ371" s="30">
        <f t="shared" si="51"/>
        <v>1</v>
      </c>
      <c r="DA371" s="30">
        <f t="shared" si="43"/>
        <v>0</v>
      </c>
      <c r="DB371" s="140">
        <f t="shared" si="56"/>
        <v>0</v>
      </c>
      <c r="DS371" s="130">
        <f>SI!BY371</f>
        <v>650</v>
      </c>
      <c r="DZ371" s="131">
        <f>SI!BZ371</f>
        <v>0</v>
      </c>
    </row>
    <row r="372" spans="1:130" hidden="1" x14ac:dyDescent="0.25">
      <c r="A372" s="141"/>
      <c r="B372" s="379"/>
      <c r="C372" s="379"/>
      <c r="D372" s="379"/>
      <c r="E372" s="379"/>
      <c r="F372" s="379"/>
      <c r="G372" s="379"/>
      <c r="H372" s="379"/>
      <c r="I372" s="379"/>
      <c r="J372" s="379"/>
      <c r="K372" s="379"/>
      <c r="L372" s="379"/>
      <c r="M372" s="379"/>
      <c r="N372" s="379"/>
      <c r="O372" s="379"/>
      <c r="P372" s="379"/>
      <c r="Q372" s="379"/>
      <c r="R372" s="379"/>
      <c r="S372" s="379"/>
      <c r="T372" s="379"/>
      <c r="U372" s="379"/>
      <c r="V372" s="379"/>
      <c r="W372" s="379"/>
      <c r="X372" s="379"/>
      <c r="Y372" s="379"/>
      <c r="Z372" s="379"/>
      <c r="AA372" s="379"/>
      <c r="AB372" s="379"/>
      <c r="AC372" s="379"/>
      <c r="AD372" s="379"/>
      <c r="AE372" s="379"/>
      <c r="AF372" s="379"/>
      <c r="AG372" s="379"/>
      <c r="AH372" s="379"/>
      <c r="AI372" s="379"/>
      <c r="AJ372" s="379"/>
      <c r="AK372" s="379"/>
      <c r="AL372" s="379"/>
      <c r="AM372" s="379"/>
      <c r="AN372" s="379"/>
      <c r="AO372" s="379"/>
      <c r="AP372" s="379"/>
      <c r="AQ372" s="379"/>
      <c r="AR372" s="379"/>
      <c r="AS372" s="379"/>
      <c r="AT372" s="379"/>
      <c r="AU372" s="379"/>
      <c r="AV372" s="379"/>
      <c r="AW372" s="379"/>
      <c r="AX372" s="379"/>
      <c r="AY372" s="379"/>
      <c r="AZ372" s="379"/>
      <c r="BA372" s="379"/>
      <c r="BB372" s="379"/>
      <c r="BC372" s="379"/>
      <c r="BD372" s="379"/>
      <c r="BE372" s="379"/>
      <c r="BF372" s="379"/>
      <c r="BG372" s="379"/>
      <c r="BH372" s="379"/>
      <c r="BI372" s="379"/>
      <c r="BJ372" s="379"/>
      <c r="BK372" s="379"/>
      <c r="BL372" s="379"/>
      <c r="BM372" s="379"/>
      <c r="BN372" s="379"/>
      <c r="BO372" s="379"/>
      <c r="BP372" s="379"/>
      <c r="BQ372" s="379"/>
      <c r="BR372" s="379"/>
      <c r="BS372" s="379"/>
      <c r="BT372" s="379"/>
      <c r="BU372" s="379"/>
      <c r="BV372" s="379"/>
      <c r="BW372" s="379"/>
      <c r="BX372" s="379"/>
      <c r="BY372" s="379"/>
      <c r="BZ372" s="379"/>
      <c r="CA372" s="281"/>
      <c r="CB372" s="3" t="str">
        <f t="shared" si="57"/>
        <v>Riadok bude skrytý.</v>
      </c>
      <c r="CC372" s="271" t="s">
        <v>832</v>
      </c>
      <c r="CW372" s="30">
        <f t="shared" si="55"/>
        <v>0</v>
      </c>
      <c r="CZ372" s="30">
        <f t="shared" si="51"/>
        <v>1</v>
      </c>
      <c r="DA372" s="30">
        <f t="shared" si="43"/>
        <v>0</v>
      </c>
      <c r="DB372" s="140">
        <f t="shared" si="56"/>
        <v>0</v>
      </c>
      <c r="DS372" s="130">
        <f>SI!BY372</f>
        <v>155</v>
      </c>
      <c r="DZ372" s="131">
        <f>SI!BZ372</f>
        <v>0</v>
      </c>
    </row>
    <row r="373" spans="1:130" hidden="1" x14ac:dyDescent="0.25">
      <c r="A373" s="141"/>
      <c r="B373" s="379"/>
      <c r="C373" s="379"/>
      <c r="D373" s="379"/>
      <c r="E373" s="379"/>
      <c r="F373" s="379"/>
      <c r="G373" s="379"/>
      <c r="H373" s="379"/>
      <c r="I373" s="379"/>
      <c r="J373" s="379"/>
      <c r="K373" s="379"/>
      <c r="L373" s="379"/>
      <c r="M373" s="379"/>
      <c r="N373" s="379"/>
      <c r="O373" s="379"/>
      <c r="P373" s="379"/>
      <c r="Q373" s="379"/>
      <c r="R373" s="379"/>
      <c r="S373" s="379"/>
      <c r="T373" s="379"/>
      <c r="U373" s="379"/>
      <c r="V373" s="379"/>
      <c r="W373" s="379"/>
      <c r="X373" s="379"/>
      <c r="Y373" s="379"/>
      <c r="Z373" s="379"/>
      <c r="AA373" s="379"/>
      <c r="AB373" s="379"/>
      <c r="AC373" s="379"/>
      <c r="AD373" s="379"/>
      <c r="AE373" s="379"/>
      <c r="AF373" s="379"/>
      <c r="AG373" s="379"/>
      <c r="AH373" s="379"/>
      <c r="AI373" s="379"/>
      <c r="AJ373" s="379"/>
      <c r="AK373" s="379"/>
      <c r="AL373" s="379"/>
      <c r="AM373" s="379"/>
      <c r="AN373" s="379"/>
      <c r="AO373" s="379"/>
      <c r="AP373" s="379"/>
      <c r="AQ373" s="379"/>
      <c r="AR373" s="379"/>
      <c r="AS373" s="379"/>
      <c r="AT373" s="379"/>
      <c r="AU373" s="379"/>
      <c r="AV373" s="379"/>
      <c r="AW373" s="379"/>
      <c r="AX373" s="379"/>
      <c r="AY373" s="379"/>
      <c r="AZ373" s="379"/>
      <c r="BA373" s="379"/>
      <c r="BB373" s="379"/>
      <c r="BC373" s="379"/>
      <c r="BD373" s="379"/>
      <c r="BE373" s="379"/>
      <c r="BF373" s="379"/>
      <c r="BG373" s="379"/>
      <c r="BH373" s="379"/>
      <c r="BI373" s="379"/>
      <c r="BJ373" s="379"/>
      <c r="BK373" s="379"/>
      <c r="BL373" s="379"/>
      <c r="BM373" s="379"/>
      <c r="BN373" s="379"/>
      <c r="BO373" s="379"/>
      <c r="BP373" s="379"/>
      <c r="BQ373" s="379"/>
      <c r="BR373" s="379"/>
      <c r="BS373" s="379"/>
      <c r="BT373" s="379"/>
      <c r="BU373" s="379"/>
      <c r="BV373" s="379"/>
      <c r="BW373" s="379"/>
      <c r="BX373" s="379"/>
      <c r="BY373" s="379"/>
      <c r="BZ373" s="379"/>
      <c r="CA373" s="281"/>
      <c r="CB373" s="3" t="str">
        <f t="shared" si="57"/>
        <v>Riadok bude skrytý.</v>
      </c>
      <c r="CC373" s="271" t="s">
        <v>832</v>
      </c>
      <c r="CW373" s="30">
        <f t="shared" si="55"/>
        <v>0</v>
      </c>
      <c r="CZ373" s="30">
        <f t="shared" si="51"/>
        <v>1</v>
      </c>
      <c r="DA373" s="30">
        <f t="shared" si="43"/>
        <v>0</v>
      </c>
      <c r="DB373" s="140">
        <f t="shared" si="56"/>
        <v>0</v>
      </c>
      <c r="DS373" s="130">
        <f>SI!BY373</f>
        <v>185</v>
      </c>
      <c r="DZ373" s="131">
        <f>SI!BZ373</f>
        <v>0</v>
      </c>
    </row>
    <row r="374" spans="1:130" hidden="1" x14ac:dyDescent="0.25">
      <c r="A374" s="141"/>
      <c r="B374" s="379"/>
      <c r="C374" s="379"/>
      <c r="D374" s="379"/>
      <c r="E374" s="379"/>
      <c r="F374" s="379"/>
      <c r="G374" s="379"/>
      <c r="H374" s="379"/>
      <c r="I374" s="379"/>
      <c r="J374" s="379"/>
      <c r="K374" s="379"/>
      <c r="L374" s="379"/>
      <c r="M374" s="379"/>
      <c r="N374" s="379"/>
      <c r="O374" s="379"/>
      <c r="P374" s="379"/>
      <c r="Q374" s="379"/>
      <c r="R374" s="379"/>
      <c r="S374" s="379"/>
      <c r="T374" s="379"/>
      <c r="U374" s="379"/>
      <c r="V374" s="379"/>
      <c r="W374" s="379"/>
      <c r="X374" s="379"/>
      <c r="Y374" s="379"/>
      <c r="Z374" s="379"/>
      <c r="AA374" s="379"/>
      <c r="AB374" s="379"/>
      <c r="AC374" s="379"/>
      <c r="AD374" s="379"/>
      <c r="AE374" s="379"/>
      <c r="AF374" s="379"/>
      <c r="AG374" s="379"/>
      <c r="AH374" s="379"/>
      <c r="AI374" s="379"/>
      <c r="AJ374" s="379"/>
      <c r="AK374" s="379"/>
      <c r="AL374" s="379"/>
      <c r="AM374" s="379"/>
      <c r="AN374" s="379"/>
      <c r="AO374" s="379"/>
      <c r="AP374" s="379"/>
      <c r="AQ374" s="379"/>
      <c r="AR374" s="379"/>
      <c r="AS374" s="379"/>
      <c r="AT374" s="379"/>
      <c r="AU374" s="379"/>
      <c r="AV374" s="379"/>
      <c r="AW374" s="379"/>
      <c r="AX374" s="379"/>
      <c r="AY374" s="379"/>
      <c r="AZ374" s="379"/>
      <c r="BA374" s="379"/>
      <c r="BB374" s="379"/>
      <c r="BC374" s="379"/>
      <c r="BD374" s="379"/>
      <c r="BE374" s="379"/>
      <c r="BF374" s="379"/>
      <c r="BG374" s="379"/>
      <c r="BH374" s="379"/>
      <c r="BI374" s="379"/>
      <c r="BJ374" s="379"/>
      <c r="BK374" s="379"/>
      <c r="BL374" s="379"/>
      <c r="BM374" s="379"/>
      <c r="BN374" s="379"/>
      <c r="BO374" s="379"/>
      <c r="BP374" s="379"/>
      <c r="BQ374" s="379"/>
      <c r="BR374" s="379"/>
      <c r="BS374" s="379"/>
      <c r="BT374" s="379"/>
      <c r="BU374" s="379"/>
      <c r="BV374" s="379"/>
      <c r="BW374" s="379"/>
      <c r="BX374" s="379"/>
      <c r="BY374" s="379"/>
      <c r="BZ374" s="379"/>
      <c r="CA374" s="281"/>
      <c r="CB374" s="3" t="str">
        <f t="shared" si="57"/>
        <v>Riadok bude skrytý.</v>
      </c>
      <c r="CC374" s="271" t="s">
        <v>832</v>
      </c>
      <c r="CW374" s="30">
        <f t="shared" si="55"/>
        <v>0</v>
      </c>
      <c r="CZ374" s="30">
        <f t="shared" si="51"/>
        <v>1</v>
      </c>
      <c r="DA374" s="30">
        <f t="shared" si="43"/>
        <v>0</v>
      </c>
      <c r="DB374" s="140">
        <f t="shared" si="56"/>
        <v>0</v>
      </c>
      <c r="DS374" s="130">
        <f>SI!BY374</f>
        <v>254</v>
      </c>
      <c r="DZ374" s="131">
        <f>SI!BZ374</f>
        <v>0</v>
      </c>
    </row>
    <row r="375" spans="1:130" hidden="1" x14ac:dyDescent="0.25">
      <c r="A375" s="141"/>
      <c r="B375" s="379"/>
      <c r="C375" s="379"/>
      <c r="D375" s="379"/>
      <c r="E375" s="379"/>
      <c r="F375" s="379"/>
      <c r="G375" s="379"/>
      <c r="H375" s="379"/>
      <c r="I375" s="379"/>
      <c r="J375" s="379"/>
      <c r="K375" s="379"/>
      <c r="L375" s="379"/>
      <c r="M375" s="379"/>
      <c r="N375" s="379"/>
      <c r="O375" s="379"/>
      <c r="P375" s="379"/>
      <c r="Q375" s="379"/>
      <c r="R375" s="379"/>
      <c r="S375" s="379"/>
      <c r="T375" s="379"/>
      <c r="U375" s="379"/>
      <c r="V375" s="379"/>
      <c r="W375" s="379"/>
      <c r="X375" s="379"/>
      <c r="Y375" s="379"/>
      <c r="Z375" s="379"/>
      <c r="AA375" s="379"/>
      <c r="AB375" s="379"/>
      <c r="AC375" s="379"/>
      <c r="AD375" s="379"/>
      <c r="AE375" s="379"/>
      <c r="AF375" s="379"/>
      <c r="AG375" s="379"/>
      <c r="AH375" s="379"/>
      <c r="AI375" s="379"/>
      <c r="AJ375" s="379"/>
      <c r="AK375" s="379"/>
      <c r="AL375" s="379"/>
      <c r="AM375" s="379"/>
      <c r="AN375" s="379"/>
      <c r="AO375" s="379"/>
      <c r="AP375" s="379"/>
      <c r="AQ375" s="379"/>
      <c r="AR375" s="379"/>
      <c r="AS375" s="379"/>
      <c r="AT375" s="379"/>
      <c r="AU375" s="379"/>
      <c r="AV375" s="379"/>
      <c r="AW375" s="379"/>
      <c r="AX375" s="379"/>
      <c r="AY375" s="379"/>
      <c r="AZ375" s="379"/>
      <c r="BA375" s="379"/>
      <c r="BB375" s="379"/>
      <c r="BC375" s="379"/>
      <c r="BD375" s="379"/>
      <c r="BE375" s="379"/>
      <c r="BF375" s="379"/>
      <c r="BG375" s="379"/>
      <c r="BH375" s="379"/>
      <c r="BI375" s="379"/>
      <c r="BJ375" s="379"/>
      <c r="BK375" s="379"/>
      <c r="BL375" s="379"/>
      <c r="BM375" s="379"/>
      <c r="BN375" s="379"/>
      <c r="BO375" s="379"/>
      <c r="BP375" s="379"/>
      <c r="BQ375" s="379"/>
      <c r="BR375" s="379"/>
      <c r="BS375" s="379"/>
      <c r="BT375" s="379"/>
      <c r="BU375" s="379"/>
      <c r="BV375" s="379"/>
      <c r="BW375" s="379"/>
      <c r="BX375" s="379"/>
      <c r="BY375" s="379"/>
      <c r="BZ375" s="379"/>
      <c r="CA375" s="281"/>
      <c r="CB375" s="3" t="str">
        <f t="shared" si="57"/>
        <v>Riadok bude skrytý.</v>
      </c>
      <c r="CC375" s="271" t="s">
        <v>832</v>
      </c>
      <c r="CW375" s="30">
        <f t="shared" si="55"/>
        <v>0</v>
      </c>
      <c r="CZ375" s="30">
        <f t="shared" si="51"/>
        <v>1</v>
      </c>
      <c r="DA375" s="30">
        <f t="shared" si="43"/>
        <v>0</v>
      </c>
      <c r="DB375" s="140">
        <f t="shared" si="56"/>
        <v>0</v>
      </c>
      <c r="DS375" s="130">
        <f>SI!BY375</f>
        <v>129</v>
      </c>
      <c r="DZ375" s="131">
        <f>SI!BZ375</f>
        <v>0</v>
      </c>
    </row>
    <row r="376" spans="1:130" hidden="1" x14ac:dyDescent="0.25">
      <c r="A376" s="141"/>
      <c r="B376" s="379"/>
      <c r="C376" s="379"/>
      <c r="D376" s="379"/>
      <c r="E376" s="379"/>
      <c r="F376" s="379"/>
      <c r="G376" s="379"/>
      <c r="H376" s="379"/>
      <c r="I376" s="379"/>
      <c r="J376" s="379"/>
      <c r="K376" s="379"/>
      <c r="L376" s="379"/>
      <c r="M376" s="379"/>
      <c r="N376" s="379"/>
      <c r="O376" s="379"/>
      <c r="P376" s="379"/>
      <c r="Q376" s="379"/>
      <c r="R376" s="379"/>
      <c r="S376" s="379"/>
      <c r="T376" s="379"/>
      <c r="U376" s="379"/>
      <c r="V376" s="379"/>
      <c r="W376" s="379"/>
      <c r="X376" s="379"/>
      <c r="Y376" s="379"/>
      <c r="Z376" s="379"/>
      <c r="AA376" s="379"/>
      <c r="AB376" s="379"/>
      <c r="AC376" s="379"/>
      <c r="AD376" s="379"/>
      <c r="AE376" s="379"/>
      <c r="AF376" s="379"/>
      <c r="AG376" s="379"/>
      <c r="AH376" s="379"/>
      <c r="AI376" s="379"/>
      <c r="AJ376" s="379"/>
      <c r="AK376" s="379"/>
      <c r="AL376" s="379"/>
      <c r="AM376" s="379"/>
      <c r="AN376" s="379"/>
      <c r="AO376" s="379"/>
      <c r="AP376" s="379"/>
      <c r="AQ376" s="379"/>
      <c r="AR376" s="379"/>
      <c r="AS376" s="379"/>
      <c r="AT376" s="379"/>
      <c r="AU376" s="379"/>
      <c r="AV376" s="379"/>
      <c r="AW376" s="379"/>
      <c r="AX376" s="379"/>
      <c r="AY376" s="379"/>
      <c r="AZ376" s="379"/>
      <c r="BA376" s="379"/>
      <c r="BB376" s="379"/>
      <c r="BC376" s="379"/>
      <c r="BD376" s="379"/>
      <c r="BE376" s="379"/>
      <c r="BF376" s="379"/>
      <c r="BG376" s="379"/>
      <c r="BH376" s="379"/>
      <c r="BI376" s="379"/>
      <c r="BJ376" s="379"/>
      <c r="BK376" s="379"/>
      <c r="BL376" s="379"/>
      <c r="BM376" s="379"/>
      <c r="BN376" s="379"/>
      <c r="BO376" s="379"/>
      <c r="BP376" s="379"/>
      <c r="BQ376" s="379"/>
      <c r="BR376" s="379"/>
      <c r="BS376" s="379"/>
      <c r="BT376" s="379"/>
      <c r="BU376" s="379"/>
      <c r="BV376" s="379"/>
      <c r="BW376" s="379"/>
      <c r="BX376" s="379"/>
      <c r="BY376" s="379"/>
      <c r="BZ376" s="379"/>
      <c r="CA376" s="281"/>
      <c r="CB376" s="3" t="str">
        <f t="shared" si="57"/>
        <v>Riadok bude skrytý.</v>
      </c>
      <c r="CC376" s="271" t="s">
        <v>832</v>
      </c>
      <c r="CW376" s="30">
        <f t="shared" si="55"/>
        <v>0</v>
      </c>
      <c r="CZ376" s="30">
        <f t="shared" si="51"/>
        <v>1</v>
      </c>
      <c r="DA376" s="30">
        <f t="shared" si="43"/>
        <v>0</v>
      </c>
      <c r="DB376" s="140">
        <f t="shared" si="56"/>
        <v>0</v>
      </c>
      <c r="DS376" s="130">
        <f>SI!BY376</f>
        <v>718</v>
      </c>
      <c r="DZ376" s="131">
        <f>SI!BZ376</f>
        <v>0</v>
      </c>
    </row>
    <row r="377" spans="1:130" hidden="1" x14ac:dyDescent="0.25">
      <c r="A377" s="141"/>
      <c r="B377" s="379"/>
      <c r="C377" s="379"/>
      <c r="D377" s="379"/>
      <c r="E377" s="379"/>
      <c r="F377" s="379"/>
      <c r="G377" s="379"/>
      <c r="H377" s="379"/>
      <c r="I377" s="379"/>
      <c r="J377" s="379"/>
      <c r="K377" s="379"/>
      <c r="L377" s="379"/>
      <c r="M377" s="379"/>
      <c r="N377" s="379"/>
      <c r="O377" s="379"/>
      <c r="P377" s="379"/>
      <c r="Q377" s="379"/>
      <c r="R377" s="379"/>
      <c r="S377" s="379"/>
      <c r="T377" s="379"/>
      <c r="U377" s="379"/>
      <c r="V377" s="379"/>
      <c r="W377" s="379"/>
      <c r="X377" s="379"/>
      <c r="Y377" s="379"/>
      <c r="Z377" s="379"/>
      <c r="AA377" s="379"/>
      <c r="AB377" s="379"/>
      <c r="AC377" s="379"/>
      <c r="AD377" s="379"/>
      <c r="AE377" s="379"/>
      <c r="AF377" s="379"/>
      <c r="AG377" s="379"/>
      <c r="AH377" s="379"/>
      <c r="AI377" s="379"/>
      <c r="AJ377" s="379"/>
      <c r="AK377" s="379"/>
      <c r="AL377" s="379"/>
      <c r="AM377" s="379"/>
      <c r="AN377" s="379"/>
      <c r="AO377" s="379"/>
      <c r="AP377" s="379"/>
      <c r="AQ377" s="379"/>
      <c r="AR377" s="379"/>
      <c r="AS377" s="379"/>
      <c r="AT377" s="379"/>
      <c r="AU377" s="379"/>
      <c r="AV377" s="379"/>
      <c r="AW377" s="379"/>
      <c r="AX377" s="379"/>
      <c r="AY377" s="379"/>
      <c r="AZ377" s="379"/>
      <c r="BA377" s="379"/>
      <c r="BB377" s="379"/>
      <c r="BC377" s="379"/>
      <c r="BD377" s="379"/>
      <c r="BE377" s="379"/>
      <c r="BF377" s="379"/>
      <c r="BG377" s="379"/>
      <c r="BH377" s="379"/>
      <c r="BI377" s="379"/>
      <c r="BJ377" s="379"/>
      <c r="BK377" s="379"/>
      <c r="BL377" s="379"/>
      <c r="BM377" s="379"/>
      <c r="BN377" s="379"/>
      <c r="BO377" s="379"/>
      <c r="BP377" s="379"/>
      <c r="BQ377" s="379"/>
      <c r="BR377" s="379"/>
      <c r="BS377" s="379"/>
      <c r="BT377" s="379"/>
      <c r="BU377" s="379"/>
      <c r="BV377" s="379"/>
      <c r="BW377" s="379"/>
      <c r="BX377" s="379"/>
      <c r="BY377" s="379"/>
      <c r="BZ377" s="379"/>
      <c r="CA377" s="281"/>
      <c r="CB377" s="3" t="str">
        <f t="shared" si="57"/>
        <v>Riadok bude skrytý.</v>
      </c>
      <c r="CC377" s="271" t="s">
        <v>832</v>
      </c>
      <c r="CW377" s="30">
        <f t="shared" si="55"/>
        <v>0</v>
      </c>
      <c r="CZ377" s="30">
        <f t="shared" si="51"/>
        <v>1</v>
      </c>
      <c r="DA377" s="30">
        <f>+IF(CW377+CX377+CY377=0,0,IF(CZ377=0,0,1))</f>
        <v>0</v>
      </c>
      <c r="DB377" s="140">
        <f t="shared" si="56"/>
        <v>0</v>
      </c>
      <c r="DS377" s="130">
        <f>SI!BY377</f>
        <v>125</v>
      </c>
      <c r="DZ377" s="131">
        <f>SI!BZ377</f>
        <v>0</v>
      </c>
    </row>
    <row r="378" spans="1:130" hidden="1" x14ac:dyDescent="0.25">
      <c r="A378" s="141"/>
      <c r="B378" s="1777"/>
      <c r="C378" s="1777"/>
      <c r="D378" s="1777"/>
      <c r="E378" s="1777"/>
      <c r="F378" s="1777"/>
      <c r="G378" s="1777"/>
      <c r="H378" s="1777"/>
      <c r="I378" s="1777"/>
      <c r="J378" s="1777"/>
      <c r="K378" s="1777"/>
      <c r="L378" s="1777"/>
      <c r="M378" s="1777"/>
      <c r="N378" s="1777"/>
      <c r="O378" s="1777"/>
      <c r="P378" s="1777"/>
      <c r="Q378" s="1777"/>
      <c r="R378" s="1777"/>
      <c r="S378" s="1777"/>
      <c r="T378" s="1777"/>
      <c r="U378" s="1777"/>
      <c r="V378" s="1777"/>
      <c r="W378" s="1777"/>
      <c r="X378" s="1777"/>
      <c r="Y378" s="1777"/>
      <c r="Z378" s="1777"/>
      <c r="AA378" s="1777"/>
      <c r="AB378" s="1777"/>
      <c r="AC378" s="1777"/>
      <c r="AD378" s="1777"/>
      <c r="AE378" s="1777"/>
      <c r="AF378" s="1777"/>
      <c r="AG378" s="1777"/>
      <c r="AH378" s="1777"/>
      <c r="AI378" s="1777"/>
      <c r="AJ378" s="1777"/>
      <c r="AK378" s="1777"/>
      <c r="AL378" s="1777"/>
      <c r="AM378" s="1777"/>
      <c r="AN378" s="1777"/>
      <c r="AO378" s="1777"/>
      <c r="AP378" s="1777"/>
      <c r="AQ378" s="1777"/>
      <c r="AR378" s="1777"/>
      <c r="AS378" s="1777"/>
      <c r="AT378" s="1777"/>
      <c r="AU378" s="1777"/>
      <c r="AV378" s="1777"/>
      <c r="AW378" s="1777"/>
      <c r="AX378" s="1777"/>
      <c r="AY378" s="1777"/>
      <c r="AZ378" s="1777"/>
      <c r="BA378" s="1777"/>
      <c r="BB378" s="1777"/>
      <c r="BC378" s="1777"/>
      <c r="BD378" s="1777"/>
      <c r="BE378" s="1777"/>
      <c r="BF378" s="1777"/>
      <c r="BG378" s="1777"/>
      <c r="BH378" s="1777"/>
      <c r="BI378" s="1777"/>
      <c r="BJ378" s="1777"/>
      <c r="BK378" s="1777"/>
      <c r="BL378" s="1777"/>
      <c r="BM378" s="1777"/>
      <c r="BN378" s="1777"/>
      <c r="BO378" s="1777"/>
      <c r="BP378" s="1777"/>
      <c r="BQ378" s="1777"/>
      <c r="BR378" s="1777"/>
      <c r="BS378" s="1777"/>
      <c r="BT378" s="1777"/>
      <c r="BU378" s="1777"/>
      <c r="BV378" s="1777"/>
      <c r="BW378" s="1777"/>
      <c r="BX378" s="1777"/>
      <c r="BY378" s="1777"/>
      <c r="BZ378" s="1777"/>
      <c r="CA378" s="282"/>
      <c r="CB378" s="3" t="str">
        <f t="shared" si="57"/>
        <v>Riadok bude skrytý.</v>
      </c>
      <c r="CC378" s="271" t="s">
        <v>832</v>
      </c>
      <c r="CW378" s="134">
        <f>+IF(SUM(CW383:CW392)=0,0,1)</f>
        <v>0</v>
      </c>
      <c r="CZ378" s="30">
        <f t="shared" si="51"/>
        <v>1</v>
      </c>
      <c r="DA378" s="30">
        <f>+IF(CW378+CX378+CY378=0,0,IF(CZ378=0,0,1))</f>
        <v>0</v>
      </c>
      <c r="DB378" s="140">
        <f t="shared" si="56"/>
        <v>0</v>
      </c>
      <c r="DS378" s="130">
        <f>SI!BY378</f>
        <v>260</v>
      </c>
      <c r="DZ378" s="131">
        <f>SI!BZ378</f>
        <v>0</v>
      </c>
    </row>
    <row r="379" spans="1:130" hidden="1" x14ac:dyDescent="0.25">
      <c r="A379" s="141"/>
      <c r="B379" s="137" t="str">
        <f>+IF($Q$52&lt;&gt;"",IF((CODE(MID($Q$52,1,1)))*(GCD(121,132))*(IF(SI!EE379="",1,SI!EE379))+(LEN(SI!J5)+LEN(SI!J6))=DS379,"Predpokladaná doba používania, metóda odpisovania a odpisová sadzba sú uvedené v  tabuľke:","NEPOVOLENÉ POUŽITIE!"),"NEPOVOLENÉ POUŽITIE!")</f>
        <v>Predpokladaná doba používania, metóda odpisovania a odpisová sadzba sú uvedené v  tabuľke:</v>
      </c>
      <c r="CA379" s="281"/>
      <c r="CB379" s="3" t="str">
        <f t="shared" si="57"/>
        <v>Riadok bude skrytý.</v>
      </c>
      <c r="CC379" s="271" t="s">
        <v>832</v>
      </c>
      <c r="CW379" s="30">
        <f>+IF(SUM(CW383:CW392)=0,0,1)</f>
        <v>0</v>
      </c>
      <c r="CZ379" s="30">
        <f t="shared" si="51"/>
        <v>1</v>
      </c>
      <c r="DA379" s="30">
        <f t="shared" si="43"/>
        <v>0</v>
      </c>
      <c r="DB379" s="140">
        <f t="shared" si="56"/>
        <v>0</v>
      </c>
      <c r="DS379" s="130">
        <f>SI!BY379</f>
        <v>20</v>
      </c>
      <c r="DZ379" s="131">
        <f>SI!BZ379</f>
        <v>0</v>
      </c>
    </row>
    <row r="380" spans="1:130" hidden="1" x14ac:dyDescent="0.25">
      <c r="A380" s="141"/>
      <c r="B380" s="1777"/>
      <c r="C380" s="1777"/>
      <c r="D380" s="1777"/>
      <c r="E380" s="1777"/>
      <c r="F380" s="1777"/>
      <c r="G380" s="1777"/>
      <c r="H380" s="1777"/>
      <c r="I380" s="1777"/>
      <c r="J380" s="1777"/>
      <c r="K380" s="1777"/>
      <c r="L380" s="1777"/>
      <c r="M380" s="1777"/>
      <c r="N380" s="1777"/>
      <c r="O380" s="1777"/>
      <c r="P380" s="1777"/>
      <c r="Q380" s="1777"/>
      <c r="R380" s="1777"/>
      <c r="S380" s="1777"/>
      <c r="T380" s="1777"/>
      <c r="U380" s="1777"/>
      <c r="V380" s="1777"/>
      <c r="W380" s="1777"/>
      <c r="X380" s="1777"/>
      <c r="Y380" s="1777"/>
      <c r="Z380" s="1777"/>
      <c r="AA380" s="1777"/>
      <c r="AB380" s="1777"/>
      <c r="AC380" s="1777"/>
      <c r="AD380" s="1777"/>
      <c r="AE380" s="1777"/>
      <c r="AF380" s="1777"/>
      <c r="AG380" s="1777"/>
      <c r="AH380" s="1777"/>
      <c r="AI380" s="1777"/>
      <c r="AJ380" s="1777"/>
      <c r="AK380" s="1777"/>
      <c r="AL380" s="1777"/>
      <c r="AM380" s="1777"/>
      <c r="AN380" s="1777"/>
      <c r="AO380" s="1777"/>
      <c r="AP380" s="1777"/>
      <c r="AQ380" s="1777"/>
      <c r="AR380" s="1777"/>
      <c r="AS380" s="1777"/>
      <c r="AT380" s="1777"/>
      <c r="AU380" s="1777"/>
      <c r="AV380" s="1777"/>
      <c r="AW380" s="1777"/>
      <c r="AX380" s="1777"/>
      <c r="AY380" s="1777"/>
      <c r="AZ380" s="1777"/>
      <c r="BA380" s="1777"/>
      <c r="BB380" s="1777"/>
      <c r="BC380" s="1777"/>
      <c r="BD380" s="1777"/>
      <c r="BE380" s="1777"/>
      <c r="BF380" s="1777"/>
      <c r="BG380" s="1777"/>
      <c r="BH380" s="1777"/>
      <c r="BI380" s="1777"/>
      <c r="BJ380" s="1777"/>
      <c r="BK380" s="1777"/>
      <c r="BL380" s="1777"/>
      <c r="BM380" s="1777"/>
      <c r="BN380" s="1777"/>
      <c r="BO380" s="1777"/>
      <c r="BP380" s="1777"/>
      <c r="BQ380" s="1777"/>
      <c r="BR380" s="1777"/>
      <c r="BS380" s="1777"/>
      <c r="BT380" s="1777"/>
      <c r="BU380" s="1777"/>
      <c r="BV380" s="1777"/>
      <c r="BW380" s="1777"/>
      <c r="BX380" s="1777"/>
      <c r="BY380" s="1777"/>
      <c r="BZ380" s="1777"/>
      <c r="CA380" s="282"/>
      <c r="CB380" s="3" t="str">
        <f t="shared" si="57"/>
        <v>Riadok bude skrytý.</v>
      </c>
      <c r="CC380" s="271" t="s">
        <v>832</v>
      </c>
      <c r="CW380" s="30">
        <f>+IF(SUM(CW383:CW392)=0,0,1)</f>
        <v>0</v>
      </c>
      <c r="CZ380" s="30">
        <f t="shared" si="51"/>
        <v>1</v>
      </c>
      <c r="DA380" s="30">
        <f t="shared" si="43"/>
        <v>0</v>
      </c>
      <c r="DB380" s="140">
        <f t="shared" si="56"/>
        <v>0</v>
      </c>
      <c r="DS380" s="130">
        <f>SI!BY380</f>
        <v>743</v>
      </c>
      <c r="DZ380" s="131">
        <f>SI!BZ380</f>
        <v>0</v>
      </c>
    </row>
    <row r="381" spans="1:130" ht="18" hidden="1" customHeight="1" x14ac:dyDescent="0.25">
      <c r="A381" s="141"/>
      <c r="B381" s="1786" t="s">
        <v>783</v>
      </c>
      <c r="C381" s="1787"/>
      <c r="D381" s="1787"/>
      <c r="E381" s="1787"/>
      <c r="F381" s="1787"/>
      <c r="G381" s="1787"/>
      <c r="H381" s="1787"/>
      <c r="I381" s="1787"/>
      <c r="J381" s="1787"/>
      <c r="K381" s="1787"/>
      <c r="L381" s="1787"/>
      <c r="M381" s="1787"/>
      <c r="N381" s="1787"/>
      <c r="O381" s="1787"/>
      <c r="P381" s="1787"/>
      <c r="Q381" s="1787"/>
      <c r="R381" s="1787"/>
      <c r="S381" s="1787"/>
      <c r="T381" s="1787"/>
      <c r="U381" s="1787"/>
      <c r="V381" s="1787"/>
      <c r="W381" s="1787"/>
      <c r="X381" s="1787"/>
      <c r="Y381" s="1787"/>
      <c r="Z381" s="1787"/>
      <c r="AA381" s="1787"/>
      <c r="AB381" s="1787"/>
      <c r="AC381" s="1787"/>
      <c r="AD381" s="1787"/>
      <c r="AE381" s="1787"/>
      <c r="AF381" s="1787"/>
      <c r="AG381" s="1787"/>
      <c r="AH381" s="1787"/>
      <c r="AI381" s="1787"/>
      <c r="AJ381" s="1787"/>
      <c r="AK381" s="1787"/>
      <c r="AL381" s="1787"/>
      <c r="AM381" s="1787"/>
      <c r="AN381" s="1787"/>
      <c r="AO381" s="1787"/>
      <c r="AP381" s="1787"/>
      <c r="AQ381" s="1787"/>
      <c r="AR381" s="1787"/>
      <c r="AS381" s="1787"/>
      <c r="AT381" s="1788"/>
      <c r="AU381" s="543" t="s">
        <v>59</v>
      </c>
      <c r="AV381" s="544"/>
      <c r="AW381" s="544"/>
      <c r="AX381" s="544"/>
      <c r="AY381" s="544"/>
      <c r="AZ381" s="544"/>
      <c r="BA381" s="544"/>
      <c r="BB381" s="544"/>
      <c r="BC381" s="544"/>
      <c r="BD381" s="544"/>
      <c r="BE381" s="545"/>
      <c r="BF381" s="543" t="s">
        <v>60</v>
      </c>
      <c r="BG381" s="544"/>
      <c r="BH381" s="544"/>
      <c r="BI381" s="544"/>
      <c r="BJ381" s="544"/>
      <c r="BK381" s="544"/>
      <c r="BL381" s="544"/>
      <c r="BM381" s="544"/>
      <c r="BN381" s="544"/>
      <c r="BO381" s="544"/>
      <c r="BP381" s="545"/>
      <c r="BQ381" s="543" t="s">
        <v>705</v>
      </c>
      <c r="BR381" s="544"/>
      <c r="BS381" s="544"/>
      <c r="BT381" s="544"/>
      <c r="BU381" s="544"/>
      <c r="BV381" s="544"/>
      <c r="BW381" s="544"/>
      <c r="BX381" s="544"/>
      <c r="BY381" s="544"/>
      <c r="BZ381" s="545"/>
      <c r="CA381" s="265" t="s">
        <v>773</v>
      </c>
      <c r="CB381" s="3" t="str">
        <f t="shared" si="57"/>
        <v>Riadok bude skrytý.</v>
      </c>
      <c r="CC381" s="271" t="s">
        <v>832</v>
      </c>
      <c r="CW381" s="32">
        <f>+IF(SUM(CW383:CW392)=0,0,1)</f>
        <v>0</v>
      </c>
      <c r="CZ381" s="30">
        <f t="shared" si="51"/>
        <v>1</v>
      </c>
      <c r="DA381" s="30">
        <f t="shared" si="43"/>
        <v>0</v>
      </c>
      <c r="DB381" s="140">
        <f t="shared" si="56"/>
        <v>0</v>
      </c>
      <c r="DS381" s="130">
        <f>SI!BY381</f>
        <v>137</v>
      </c>
      <c r="DZ381" s="131">
        <f>SI!BZ381</f>
        <v>0</v>
      </c>
    </row>
    <row r="382" spans="1:130" ht="18" hidden="1" customHeight="1" x14ac:dyDescent="0.25">
      <c r="A382" s="141"/>
      <c r="B382" s="1789"/>
      <c r="C382" s="1790"/>
      <c r="D382" s="1790"/>
      <c r="E382" s="1790"/>
      <c r="F382" s="1790"/>
      <c r="G382" s="1790"/>
      <c r="H382" s="1790"/>
      <c r="I382" s="1790"/>
      <c r="J382" s="1790"/>
      <c r="K382" s="1790"/>
      <c r="L382" s="1790"/>
      <c r="M382" s="1790"/>
      <c r="N382" s="1790"/>
      <c r="O382" s="1790"/>
      <c r="P382" s="1790"/>
      <c r="Q382" s="1790"/>
      <c r="R382" s="1790"/>
      <c r="S382" s="1790"/>
      <c r="T382" s="1790"/>
      <c r="U382" s="1790"/>
      <c r="V382" s="1790"/>
      <c r="W382" s="1790"/>
      <c r="X382" s="1790"/>
      <c r="Y382" s="1790"/>
      <c r="Z382" s="1790"/>
      <c r="AA382" s="1790"/>
      <c r="AB382" s="1790"/>
      <c r="AC382" s="1790"/>
      <c r="AD382" s="1790"/>
      <c r="AE382" s="1790"/>
      <c r="AF382" s="1790"/>
      <c r="AG382" s="1790"/>
      <c r="AH382" s="1790"/>
      <c r="AI382" s="1790"/>
      <c r="AJ382" s="1790"/>
      <c r="AK382" s="1790"/>
      <c r="AL382" s="1790"/>
      <c r="AM382" s="1790"/>
      <c r="AN382" s="1790"/>
      <c r="AO382" s="1790"/>
      <c r="AP382" s="1790"/>
      <c r="AQ382" s="1790"/>
      <c r="AR382" s="1790"/>
      <c r="AS382" s="1790"/>
      <c r="AT382" s="1791"/>
      <c r="AU382" s="546"/>
      <c r="AV382" s="547"/>
      <c r="AW382" s="547"/>
      <c r="AX382" s="547"/>
      <c r="AY382" s="547"/>
      <c r="AZ382" s="547"/>
      <c r="BA382" s="547"/>
      <c r="BB382" s="547"/>
      <c r="BC382" s="547"/>
      <c r="BD382" s="547"/>
      <c r="BE382" s="548"/>
      <c r="BF382" s="546"/>
      <c r="BG382" s="547"/>
      <c r="BH382" s="547"/>
      <c r="BI382" s="547"/>
      <c r="BJ382" s="547"/>
      <c r="BK382" s="547"/>
      <c r="BL382" s="547"/>
      <c r="BM382" s="547"/>
      <c r="BN382" s="547"/>
      <c r="BO382" s="547"/>
      <c r="BP382" s="548"/>
      <c r="BQ382" s="546"/>
      <c r="BR382" s="547"/>
      <c r="BS382" s="547"/>
      <c r="BT382" s="547"/>
      <c r="BU382" s="547"/>
      <c r="BV382" s="547"/>
      <c r="BW382" s="547"/>
      <c r="BX382" s="547"/>
      <c r="BY382" s="547"/>
      <c r="BZ382" s="548"/>
      <c r="CA382" s="270"/>
      <c r="CB382" s="3" t="str">
        <f t="shared" si="57"/>
        <v>Riadok bude skrytý.</v>
      </c>
      <c r="CC382" s="271" t="s">
        <v>832</v>
      </c>
      <c r="CW382" s="32">
        <f>+IF(SUM(CW383:CW392)=0,0,1)</f>
        <v>0</v>
      </c>
      <c r="CZ382" s="30">
        <f t="shared" si="51"/>
        <v>1</v>
      </c>
      <c r="DA382" s="30">
        <f t="shared" si="43"/>
        <v>0</v>
      </c>
      <c r="DB382" s="140">
        <f t="shared" si="56"/>
        <v>0</v>
      </c>
      <c r="DS382" s="130">
        <f>SI!BY382</f>
        <v>290</v>
      </c>
      <c r="DZ382" s="131">
        <f>SI!BZ382</f>
        <v>0</v>
      </c>
    </row>
    <row r="383" spans="1:130" hidden="1" x14ac:dyDescent="0.25">
      <c r="A383" s="141"/>
      <c r="B383" s="958"/>
      <c r="C383" s="959"/>
      <c r="D383" s="959"/>
      <c r="E383" s="959"/>
      <c r="F383" s="959"/>
      <c r="G383" s="959"/>
      <c r="H383" s="959"/>
      <c r="I383" s="959"/>
      <c r="J383" s="959"/>
      <c r="K383" s="959"/>
      <c r="L383" s="959"/>
      <c r="M383" s="959"/>
      <c r="N383" s="959"/>
      <c r="O383" s="959"/>
      <c r="P383" s="959"/>
      <c r="Q383" s="959"/>
      <c r="R383" s="959"/>
      <c r="S383" s="959"/>
      <c r="T383" s="959"/>
      <c r="U383" s="959"/>
      <c r="V383" s="959"/>
      <c r="W383" s="959"/>
      <c r="X383" s="959"/>
      <c r="Y383" s="959"/>
      <c r="Z383" s="959"/>
      <c r="AA383" s="959"/>
      <c r="AB383" s="959"/>
      <c r="AC383" s="959"/>
      <c r="AD383" s="959"/>
      <c r="AE383" s="959"/>
      <c r="AF383" s="959"/>
      <c r="AG383" s="959"/>
      <c r="AH383" s="959"/>
      <c r="AI383" s="959"/>
      <c r="AJ383" s="959"/>
      <c r="AK383" s="959"/>
      <c r="AL383" s="959"/>
      <c r="AM383" s="959"/>
      <c r="AN383" s="959"/>
      <c r="AO383" s="959"/>
      <c r="AP383" s="959"/>
      <c r="AQ383" s="959"/>
      <c r="AR383" s="959"/>
      <c r="AS383" s="959"/>
      <c r="AT383" s="960"/>
      <c r="AU383" s="1364"/>
      <c r="AV383" s="1365"/>
      <c r="AW383" s="1365"/>
      <c r="AX383" s="1365"/>
      <c r="AY383" s="1365"/>
      <c r="AZ383" s="1365"/>
      <c r="BA383" s="1365"/>
      <c r="BB383" s="1365"/>
      <c r="BC383" s="1365"/>
      <c r="BD383" s="1365"/>
      <c r="BE383" s="1366"/>
      <c r="BF383" s="1364"/>
      <c r="BG383" s="1365"/>
      <c r="BH383" s="1365"/>
      <c r="BI383" s="1365"/>
      <c r="BJ383" s="1365"/>
      <c r="BK383" s="1365"/>
      <c r="BL383" s="1365"/>
      <c r="BM383" s="1365"/>
      <c r="BN383" s="1365"/>
      <c r="BO383" s="1365"/>
      <c r="BP383" s="1366"/>
      <c r="BQ383" s="1367"/>
      <c r="BR383" s="1368"/>
      <c r="BS383" s="1368"/>
      <c r="BT383" s="1368"/>
      <c r="BU383" s="1368"/>
      <c r="BV383" s="1368"/>
      <c r="BW383" s="1368"/>
      <c r="BX383" s="1368"/>
      <c r="BY383" s="1368"/>
      <c r="BZ383" s="1369"/>
      <c r="CA383" s="270"/>
      <c r="CB383" s="3" t="str">
        <f t="shared" si="57"/>
        <v>Riadok bude skrytý.</v>
      </c>
      <c r="CC383" s="271" t="s">
        <v>832</v>
      </c>
      <c r="CW383" s="32">
        <f t="shared" ref="CW383:CW391" si="58">+IF(B383="",0,1)</f>
        <v>0</v>
      </c>
      <c r="CZ383" s="30">
        <f t="shared" si="51"/>
        <v>1</v>
      </c>
      <c r="DA383" s="30">
        <f t="shared" si="43"/>
        <v>0</v>
      </c>
      <c r="DB383" s="140">
        <f t="shared" si="56"/>
        <v>0</v>
      </c>
      <c r="DS383" s="130">
        <f>SI!BY383</f>
        <v>179</v>
      </c>
      <c r="DZ383" s="131">
        <f>SI!BZ383</f>
        <v>0</v>
      </c>
    </row>
    <row r="384" spans="1:130" hidden="1" x14ac:dyDescent="0.25">
      <c r="A384" s="141"/>
      <c r="B384" s="910"/>
      <c r="C384" s="911"/>
      <c r="D384" s="911"/>
      <c r="E384" s="911"/>
      <c r="F384" s="911"/>
      <c r="G384" s="911"/>
      <c r="H384" s="911"/>
      <c r="I384" s="911"/>
      <c r="J384" s="911"/>
      <c r="K384" s="911"/>
      <c r="L384" s="911"/>
      <c r="M384" s="911"/>
      <c r="N384" s="911"/>
      <c r="O384" s="911"/>
      <c r="P384" s="911"/>
      <c r="Q384" s="911"/>
      <c r="R384" s="911"/>
      <c r="S384" s="911"/>
      <c r="T384" s="911"/>
      <c r="U384" s="911"/>
      <c r="V384" s="911"/>
      <c r="W384" s="911"/>
      <c r="X384" s="911"/>
      <c r="Y384" s="911"/>
      <c r="Z384" s="911"/>
      <c r="AA384" s="911"/>
      <c r="AB384" s="911"/>
      <c r="AC384" s="911"/>
      <c r="AD384" s="911"/>
      <c r="AE384" s="911"/>
      <c r="AF384" s="911"/>
      <c r="AG384" s="911"/>
      <c r="AH384" s="911"/>
      <c r="AI384" s="911"/>
      <c r="AJ384" s="911"/>
      <c r="AK384" s="911"/>
      <c r="AL384" s="911"/>
      <c r="AM384" s="911"/>
      <c r="AN384" s="911"/>
      <c r="AO384" s="911"/>
      <c r="AP384" s="911"/>
      <c r="AQ384" s="911"/>
      <c r="AR384" s="911"/>
      <c r="AS384" s="911"/>
      <c r="AT384" s="912"/>
      <c r="AU384" s="1310"/>
      <c r="AV384" s="1311"/>
      <c r="AW384" s="1311"/>
      <c r="AX384" s="1311"/>
      <c r="AY384" s="1311"/>
      <c r="AZ384" s="1311"/>
      <c r="BA384" s="1311"/>
      <c r="BB384" s="1311"/>
      <c r="BC384" s="1311"/>
      <c r="BD384" s="1311"/>
      <c r="BE384" s="1312"/>
      <c r="BF384" s="1313"/>
      <c r="BG384" s="1314"/>
      <c r="BH384" s="1314"/>
      <c r="BI384" s="1314"/>
      <c r="BJ384" s="1314"/>
      <c r="BK384" s="1314"/>
      <c r="BL384" s="1314"/>
      <c r="BM384" s="1314"/>
      <c r="BN384" s="1314"/>
      <c r="BO384" s="1314"/>
      <c r="BP384" s="1315"/>
      <c r="BQ384" s="1361"/>
      <c r="BR384" s="1362"/>
      <c r="BS384" s="1362"/>
      <c r="BT384" s="1362"/>
      <c r="BU384" s="1362"/>
      <c r="BV384" s="1362"/>
      <c r="BW384" s="1362"/>
      <c r="BX384" s="1362"/>
      <c r="BY384" s="1362"/>
      <c r="BZ384" s="1363"/>
      <c r="CA384" s="270"/>
      <c r="CB384" s="3" t="str">
        <f t="shared" si="57"/>
        <v>Riadok bude skrytý.</v>
      </c>
      <c r="CC384" s="271" t="s">
        <v>832</v>
      </c>
      <c r="CW384" s="32">
        <f t="shared" si="58"/>
        <v>0</v>
      </c>
      <c r="CZ384" s="30">
        <f t="shared" si="51"/>
        <v>1</v>
      </c>
      <c r="DA384" s="30">
        <f t="shared" ref="DA384:DA449" si="59">+IF(CW384+CX384+CY384=0,0,IF(CZ384=0,0,1))</f>
        <v>0</v>
      </c>
      <c r="DB384" s="140">
        <f t="shared" si="56"/>
        <v>0</v>
      </c>
      <c r="DS384" s="130">
        <f>SI!BY384</f>
        <v>5</v>
      </c>
      <c r="DZ384" s="131">
        <f>SI!BZ384</f>
        <v>0</v>
      </c>
    </row>
    <row r="385" spans="1:130" hidden="1" x14ac:dyDescent="0.25">
      <c r="A385" s="141"/>
      <c r="B385" s="910"/>
      <c r="C385" s="911"/>
      <c r="D385" s="911"/>
      <c r="E385" s="911"/>
      <c r="F385" s="911"/>
      <c r="G385" s="911"/>
      <c r="H385" s="911"/>
      <c r="I385" s="911"/>
      <c r="J385" s="911"/>
      <c r="K385" s="911"/>
      <c r="L385" s="911"/>
      <c r="M385" s="911"/>
      <c r="N385" s="911"/>
      <c r="O385" s="911"/>
      <c r="P385" s="911"/>
      <c r="Q385" s="911"/>
      <c r="R385" s="911"/>
      <c r="S385" s="911"/>
      <c r="T385" s="911"/>
      <c r="U385" s="911"/>
      <c r="V385" s="911"/>
      <c r="W385" s="911"/>
      <c r="X385" s="911"/>
      <c r="Y385" s="911"/>
      <c r="Z385" s="911"/>
      <c r="AA385" s="911"/>
      <c r="AB385" s="911"/>
      <c r="AC385" s="911"/>
      <c r="AD385" s="911"/>
      <c r="AE385" s="911"/>
      <c r="AF385" s="911"/>
      <c r="AG385" s="911"/>
      <c r="AH385" s="911"/>
      <c r="AI385" s="911"/>
      <c r="AJ385" s="911"/>
      <c r="AK385" s="911"/>
      <c r="AL385" s="911"/>
      <c r="AM385" s="911"/>
      <c r="AN385" s="911"/>
      <c r="AO385" s="911"/>
      <c r="AP385" s="911"/>
      <c r="AQ385" s="911"/>
      <c r="AR385" s="911"/>
      <c r="AS385" s="911"/>
      <c r="AT385" s="912"/>
      <c r="AU385" s="1310"/>
      <c r="AV385" s="1311"/>
      <c r="AW385" s="1311"/>
      <c r="AX385" s="1311"/>
      <c r="AY385" s="1311"/>
      <c r="AZ385" s="1311"/>
      <c r="BA385" s="1311"/>
      <c r="BB385" s="1311"/>
      <c r="BC385" s="1311"/>
      <c r="BD385" s="1311"/>
      <c r="BE385" s="1312"/>
      <c r="BF385" s="1313"/>
      <c r="BG385" s="1314"/>
      <c r="BH385" s="1314"/>
      <c r="BI385" s="1314"/>
      <c r="BJ385" s="1314"/>
      <c r="BK385" s="1314"/>
      <c r="BL385" s="1314"/>
      <c r="BM385" s="1314"/>
      <c r="BN385" s="1314"/>
      <c r="BO385" s="1314"/>
      <c r="BP385" s="1315"/>
      <c r="BQ385" s="1361"/>
      <c r="BR385" s="1362"/>
      <c r="BS385" s="1362"/>
      <c r="BT385" s="1362"/>
      <c r="BU385" s="1362"/>
      <c r="BV385" s="1362"/>
      <c r="BW385" s="1362"/>
      <c r="BX385" s="1362"/>
      <c r="BY385" s="1362"/>
      <c r="BZ385" s="1363"/>
      <c r="CA385" s="270"/>
      <c r="CB385" s="3" t="str">
        <f t="shared" si="57"/>
        <v>Riadok bude skrytý.</v>
      </c>
      <c r="CC385" s="271" t="s">
        <v>832</v>
      </c>
      <c r="CW385" s="32">
        <f t="shared" si="58"/>
        <v>0</v>
      </c>
      <c r="CZ385" s="30">
        <f t="shared" si="51"/>
        <v>1</v>
      </c>
      <c r="DA385" s="30">
        <f t="shared" si="59"/>
        <v>0</v>
      </c>
      <c r="DB385" s="140">
        <f t="shared" si="56"/>
        <v>0</v>
      </c>
      <c r="DS385" s="130">
        <f>SI!BY385</f>
        <v>99</v>
      </c>
      <c r="DZ385" s="131">
        <f>SI!BZ385</f>
        <v>0</v>
      </c>
    </row>
    <row r="386" spans="1:130" hidden="1" x14ac:dyDescent="0.25">
      <c r="A386" s="141"/>
      <c r="B386" s="910"/>
      <c r="C386" s="911"/>
      <c r="D386" s="911"/>
      <c r="E386" s="911"/>
      <c r="F386" s="911"/>
      <c r="G386" s="911"/>
      <c r="H386" s="911"/>
      <c r="I386" s="911"/>
      <c r="J386" s="911"/>
      <c r="K386" s="911"/>
      <c r="L386" s="911"/>
      <c r="M386" s="911"/>
      <c r="N386" s="911"/>
      <c r="O386" s="911"/>
      <c r="P386" s="911"/>
      <c r="Q386" s="911"/>
      <c r="R386" s="911"/>
      <c r="S386" s="911"/>
      <c r="T386" s="911"/>
      <c r="U386" s="911"/>
      <c r="V386" s="911"/>
      <c r="W386" s="911"/>
      <c r="X386" s="911"/>
      <c r="Y386" s="911"/>
      <c r="Z386" s="911"/>
      <c r="AA386" s="911"/>
      <c r="AB386" s="911"/>
      <c r="AC386" s="911"/>
      <c r="AD386" s="911"/>
      <c r="AE386" s="911"/>
      <c r="AF386" s="911"/>
      <c r="AG386" s="911"/>
      <c r="AH386" s="911"/>
      <c r="AI386" s="911"/>
      <c r="AJ386" s="911"/>
      <c r="AK386" s="911"/>
      <c r="AL386" s="911"/>
      <c r="AM386" s="911"/>
      <c r="AN386" s="911"/>
      <c r="AO386" s="911"/>
      <c r="AP386" s="911"/>
      <c r="AQ386" s="911"/>
      <c r="AR386" s="911"/>
      <c r="AS386" s="911"/>
      <c r="AT386" s="912"/>
      <c r="AU386" s="1310"/>
      <c r="AV386" s="1311"/>
      <c r="AW386" s="1311"/>
      <c r="AX386" s="1311"/>
      <c r="AY386" s="1311"/>
      <c r="AZ386" s="1311"/>
      <c r="BA386" s="1311"/>
      <c r="BB386" s="1311"/>
      <c r="BC386" s="1311"/>
      <c r="BD386" s="1311"/>
      <c r="BE386" s="1312"/>
      <c r="BF386" s="1313"/>
      <c r="BG386" s="1314"/>
      <c r="BH386" s="1314"/>
      <c r="BI386" s="1314"/>
      <c r="BJ386" s="1314"/>
      <c r="BK386" s="1314"/>
      <c r="BL386" s="1314"/>
      <c r="BM386" s="1314"/>
      <c r="BN386" s="1314"/>
      <c r="BO386" s="1314"/>
      <c r="BP386" s="1315"/>
      <c r="BQ386" s="1361"/>
      <c r="BR386" s="1362"/>
      <c r="BS386" s="1362"/>
      <c r="BT386" s="1362"/>
      <c r="BU386" s="1362"/>
      <c r="BV386" s="1362"/>
      <c r="BW386" s="1362"/>
      <c r="BX386" s="1362"/>
      <c r="BY386" s="1362"/>
      <c r="BZ386" s="1363"/>
      <c r="CA386" s="270"/>
      <c r="CB386" s="3" t="str">
        <f t="shared" si="57"/>
        <v>Riadok bude skrytý.</v>
      </c>
      <c r="CC386" s="271" t="s">
        <v>832</v>
      </c>
      <c r="CW386" s="32">
        <f t="shared" si="58"/>
        <v>0</v>
      </c>
      <c r="CZ386" s="30">
        <f t="shared" si="51"/>
        <v>1</v>
      </c>
      <c r="DA386" s="30">
        <f t="shared" si="59"/>
        <v>0</v>
      </c>
      <c r="DB386" s="140">
        <f t="shared" si="56"/>
        <v>0</v>
      </c>
      <c r="DS386" s="130">
        <f>SI!BY386</f>
        <v>105</v>
      </c>
      <c r="DZ386" s="131">
        <f>SI!BZ386</f>
        <v>0</v>
      </c>
    </row>
    <row r="387" spans="1:130" hidden="1" x14ac:dyDescent="0.25">
      <c r="A387" s="141"/>
      <c r="B387" s="910"/>
      <c r="C387" s="911"/>
      <c r="D387" s="911"/>
      <c r="E387" s="911"/>
      <c r="F387" s="911"/>
      <c r="G387" s="911"/>
      <c r="H387" s="911"/>
      <c r="I387" s="911"/>
      <c r="J387" s="911"/>
      <c r="K387" s="911"/>
      <c r="L387" s="911"/>
      <c r="M387" s="911"/>
      <c r="N387" s="911"/>
      <c r="O387" s="911"/>
      <c r="P387" s="911"/>
      <c r="Q387" s="911"/>
      <c r="R387" s="911"/>
      <c r="S387" s="911"/>
      <c r="T387" s="911"/>
      <c r="U387" s="911"/>
      <c r="V387" s="911"/>
      <c r="W387" s="911"/>
      <c r="X387" s="911"/>
      <c r="Y387" s="911"/>
      <c r="Z387" s="911"/>
      <c r="AA387" s="911"/>
      <c r="AB387" s="911"/>
      <c r="AC387" s="911"/>
      <c r="AD387" s="911"/>
      <c r="AE387" s="911"/>
      <c r="AF387" s="911"/>
      <c r="AG387" s="911"/>
      <c r="AH387" s="911"/>
      <c r="AI387" s="911"/>
      <c r="AJ387" s="911"/>
      <c r="AK387" s="911"/>
      <c r="AL387" s="911"/>
      <c r="AM387" s="911"/>
      <c r="AN387" s="911"/>
      <c r="AO387" s="911"/>
      <c r="AP387" s="911"/>
      <c r="AQ387" s="911"/>
      <c r="AR387" s="911"/>
      <c r="AS387" s="911"/>
      <c r="AT387" s="912"/>
      <c r="AU387" s="1310"/>
      <c r="AV387" s="1311"/>
      <c r="AW387" s="1311"/>
      <c r="AX387" s="1311"/>
      <c r="AY387" s="1311"/>
      <c r="AZ387" s="1311"/>
      <c r="BA387" s="1311"/>
      <c r="BB387" s="1311"/>
      <c r="BC387" s="1311"/>
      <c r="BD387" s="1311"/>
      <c r="BE387" s="1312"/>
      <c r="BF387" s="1313"/>
      <c r="BG387" s="1314"/>
      <c r="BH387" s="1314"/>
      <c r="BI387" s="1314"/>
      <c r="BJ387" s="1314"/>
      <c r="BK387" s="1314"/>
      <c r="BL387" s="1314"/>
      <c r="BM387" s="1314"/>
      <c r="BN387" s="1314"/>
      <c r="BO387" s="1314"/>
      <c r="BP387" s="1315"/>
      <c r="BQ387" s="1361"/>
      <c r="BR387" s="1362"/>
      <c r="BS387" s="1362"/>
      <c r="BT387" s="1362"/>
      <c r="BU387" s="1362"/>
      <c r="BV387" s="1362"/>
      <c r="BW387" s="1362"/>
      <c r="BX387" s="1362"/>
      <c r="BY387" s="1362"/>
      <c r="BZ387" s="1363"/>
      <c r="CA387" s="270"/>
      <c r="CB387" s="3" t="str">
        <f t="shared" si="57"/>
        <v>Riadok bude skrytý.</v>
      </c>
      <c r="CC387" s="271" t="s">
        <v>832</v>
      </c>
      <c r="CW387" s="32">
        <f t="shared" si="58"/>
        <v>0</v>
      </c>
      <c r="CZ387" s="30">
        <f t="shared" si="51"/>
        <v>1</v>
      </c>
      <c r="DA387" s="30">
        <f t="shared" si="59"/>
        <v>0</v>
      </c>
      <c r="DB387" s="140">
        <f t="shared" si="56"/>
        <v>0</v>
      </c>
      <c r="DS387" s="130">
        <f>SI!BY387</f>
        <v>204</v>
      </c>
      <c r="DZ387" s="131">
        <f>SI!BZ387</f>
        <v>0</v>
      </c>
    </row>
    <row r="388" spans="1:130" hidden="1" x14ac:dyDescent="0.25">
      <c r="A388" s="141"/>
      <c r="B388" s="910"/>
      <c r="C388" s="911"/>
      <c r="D388" s="911"/>
      <c r="E388" s="911"/>
      <c r="F388" s="911"/>
      <c r="G388" s="911"/>
      <c r="H388" s="911"/>
      <c r="I388" s="911"/>
      <c r="J388" s="911"/>
      <c r="K388" s="911"/>
      <c r="L388" s="911"/>
      <c r="M388" s="911"/>
      <c r="N388" s="911"/>
      <c r="O388" s="911"/>
      <c r="P388" s="911"/>
      <c r="Q388" s="911"/>
      <c r="R388" s="911"/>
      <c r="S388" s="911"/>
      <c r="T388" s="911"/>
      <c r="U388" s="911"/>
      <c r="V388" s="911"/>
      <c r="W388" s="911"/>
      <c r="X388" s="911"/>
      <c r="Y388" s="911"/>
      <c r="Z388" s="911"/>
      <c r="AA388" s="911"/>
      <c r="AB388" s="911"/>
      <c r="AC388" s="911"/>
      <c r="AD388" s="911"/>
      <c r="AE388" s="911"/>
      <c r="AF388" s="911"/>
      <c r="AG388" s="911"/>
      <c r="AH388" s="911"/>
      <c r="AI388" s="911"/>
      <c r="AJ388" s="911"/>
      <c r="AK388" s="911"/>
      <c r="AL388" s="911"/>
      <c r="AM388" s="911"/>
      <c r="AN388" s="911"/>
      <c r="AO388" s="911"/>
      <c r="AP388" s="911"/>
      <c r="AQ388" s="911"/>
      <c r="AR388" s="911"/>
      <c r="AS388" s="911"/>
      <c r="AT388" s="912"/>
      <c r="AU388" s="1310"/>
      <c r="AV388" s="1311"/>
      <c r="AW388" s="1311"/>
      <c r="AX388" s="1311"/>
      <c r="AY388" s="1311"/>
      <c r="AZ388" s="1311"/>
      <c r="BA388" s="1311"/>
      <c r="BB388" s="1311"/>
      <c r="BC388" s="1311"/>
      <c r="BD388" s="1311"/>
      <c r="BE388" s="1312"/>
      <c r="BF388" s="1313"/>
      <c r="BG388" s="1314"/>
      <c r="BH388" s="1314"/>
      <c r="BI388" s="1314"/>
      <c r="BJ388" s="1314"/>
      <c r="BK388" s="1314"/>
      <c r="BL388" s="1314"/>
      <c r="BM388" s="1314"/>
      <c r="BN388" s="1314"/>
      <c r="BO388" s="1314"/>
      <c r="BP388" s="1315"/>
      <c r="BQ388" s="1361"/>
      <c r="BR388" s="1362"/>
      <c r="BS388" s="1362"/>
      <c r="BT388" s="1362"/>
      <c r="BU388" s="1362"/>
      <c r="BV388" s="1362"/>
      <c r="BW388" s="1362"/>
      <c r="BX388" s="1362"/>
      <c r="BY388" s="1362"/>
      <c r="BZ388" s="1363"/>
      <c r="CA388" s="270"/>
      <c r="CB388" s="3" t="str">
        <f t="shared" si="57"/>
        <v>Riadok bude skrytý.</v>
      </c>
      <c r="CC388" s="271" t="s">
        <v>832</v>
      </c>
      <c r="CW388" s="32">
        <f t="shared" si="58"/>
        <v>0</v>
      </c>
      <c r="CZ388" s="30">
        <f t="shared" si="51"/>
        <v>1</v>
      </c>
      <c r="DA388" s="30">
        <f t="shared" si="59"/>
        <v>0</v>
      </c>
      <c r="DB388" s="140">
        <f t="shared" si="56"/>
        <v>0</v>
      </c>
      <c r="DS388" s="130">
        <f>SI!BY388</f>
        <v>662</v>
      </c>
      <c r="DZ388" s="131">
        <f>SI!BZ388</f>
        <v>0</v>
      </c>
    </row>
    <row r="389" spans="1:130" hidden="1" x14ac:dyDescent="0.25">
      <c r="A389" s="141"/>
      <c r="B389" s="910"/>
      <c r="C389" s="911"/>
      <c r="D389" s="911"/>
      <c r="E389" s="911"/>
      <c r="F389" s="911"/>
      <c r="G389" s="911"/>
      <c r="H389" s="911"/>
      <c r="I389" s="911"/>
      <c r="J389" s="911"/>
      <c r="K389" s="911"/>
      <c r="L389" s="911"/>
      <c r="M389" s="911"/>
      <c r="N389" s="911"/>
      <c r="O389" s="911"/>
      <c r="P389" s="911"/>
      <c r="Q389" s="911"/>
      <c r="R389" s="911"/>
      <c r="S389" s="911"/>
      <c r="T389" s="911"/>
      <c r="U389" s="911"/>
      <c r="V389" s="911"/>
      <c r="W389" s="911"/>
      <c r="X389" s="911"/>
      <c r="Y389" s="911"/>
      <c r="Z389" s="911"/>
      <c r="AA389" s="911"/>
      <c r="AB389" s="911"/>
      <c r="AC389" s="911"/>
      <c r="AD389" s="911"/>
      <c r="AE389" s="911"/>
      <c r="AF389" s="911"/>
      <c r="AG389" s="911"/>
      <c r="AH389" s="911"/>
      <c r="AI389" s="911"/>
      <c r="AJ389" s="911"/>
      <c r="AK389" s="911"/>
      <c r="AL389" s="911"/>
      <c r="AM389" s="911"/>
      <c r="AN389" s="911"/>
      <c r="AO389" s="911"/>
      <c r="AP389" s="911"/>
      <c r="AQ389" s="911"/>
      <c r="AR389" s="911"/>
      <c r="AS389" s="911"/>
      <c r="AT389" s="912"/>
      <c r="AU389" s="1310"/>
      <c r="AV389" s="1311"/>
      <c r="AW389" s="1311"/>
      <c r="AX389" s="1311"/>
      <c r="AY389" s="1311"/>
      <c r="AZ389" s="1311"/>
      <c r="BA389" s="1311"/>
      <c r="BB389" s="1311"/>
      <c r="BC389" s="1311"/>
      <c r="BD389" s="1311"/>
      <c r="BE389" s="1312"/>
      <c r="BF389" s="1313"/>
      <c r="BG389" s="1314"/>
      <c r="BH389" s="1314"/>
      <c r="BI389" s="1314"/>
      <c r="BJ389" s="1314"/>
      <c r="BK389" s="1314"/>
      <c r="BL389" s="1314"/>
      <c r="BM389" s="1314"/>
      <c r="BN389" s="1314"/>
      <c r="BO389" s="1314"/>
      <c r="BP389" s="1315"/>
      <c r="BQ389" s="1361"/>
      <c r="BR389" s="1362"/>
      <c r="BS389" s="1362"/>
      <c r="BT389" s="1362"/>
      <c r="BU389" s="1362"/>
      <c r="BV389" s="1362"/>
      <c r="BW389" s="1362"/>
      <c r="BX389" s="1362"/>
      <c r="BY389" s="1362"/>
      <c r="BZ389" s="1363"/>
      <c r="CA389" s="270"/>
      <c r="CB389" s="3" t="str">
        <f t="shared" si="57"/>
        <v>Riadok bude skrytý.</v>
      </c>
      <c r="CC389" s="271" t="s">
        <v>832</v>
      </c>
      <c r="CW389" s="32">
        <f t="shared" si="58"/>
        <v>0</v>
      </c>
      <c r="CZ389" s="30">
        <f t="shared" si="51"/>
        <v>1</v>
      </c>
      <c r="DA389" s="30">
        <f t="shared" si="59"/>
        <v>0</v>
      </c>
      <c r="DB389" s="140">
        <f t="shared" si="56"/>
        <v>0</v>
      </c>
      <c r="DS389" s="130">
        <f>SI!BY389</f>
        <v>109</v>
      </c>
      <c r="DZ389" s="131">
        <f>SI!BZ389</f>
        <v>0</v>
      </c>
    </row>
    <row r="390" spans="1:130" hidden="1" x14ac:dyDescent="0.25">
      <c r="A390" s="141"/>
      <c r="B390" s="910"/>
      <c r="C390" s="911"/>
      <c r="D390" s="911"/>
      <c r="E390" s="911"/>
      <c r="F390" s="911"/>
      <c r="G390" s="911"/>
      <c r="H390" s="911"/>
      <c r="I390" s="911"/>
      <c r="J390" s="911"/>
      <c r="K390" s="911"/>
      <c r="L390" s="911"/>
      <c r="M390" s="911"/>
      <c r="N390" s="911"/>
      <c r="O390" s="911"/>
      <c r="P390" s="911"/>
      <c r="Q390" s="911"/>
      <c r="R390" s="911"/>
      <c r="S390" s="911"/>
      <c r="T390" s="911"/>
      <c r="U390" s="911"/>
      <c r="V390" s="911"/>
      <c r="W390" s="911"/>
      <c r="X390" s="911"/>
      <c r="Y390" s="911"/>
      <c r="Z390" s="911"/>
      <c r="AA390" s="911"/>
      <c r="AB390" s="911"/>
      <c r="AC390" s="911"/>
      <c r="AD390" s="911"/>
      <c r="AE390" s="911"/>
      <c r="AF390" s="911"/>
      <c r="AG390" s="911"/>
      <c r="AH390" s="911"/>
      <c r="AI390" s="911"/>
      <c r="AJ390" s="911"/>
      <c r="AK390" s="911"/>
      <c r="AL390" s="911"/>
      <c r="AM390" s="911"/>
      <c r="AN390" s="911"/>
      <c r="AO390" s="911"/>
      <c r="AP390" s="911"/>
      <c r="AQ390" s="911"/>
      <c r="AR390" s="911"/>
      <c r="AS390" s="911"/>
      <c r="AT390" s="912"/>
      <c r="AU390" s="1310"/>
      <c r="AV390" s="1311"/>
      <c r="AW390" s="1311"/>
      <c r="AX390" s="1311"/>
      <c r="AY390" s="1311"/>
      <c r="AZ390" s="1311"/>
      <c r="BA390" s="1311"/>
      <c r="BB390" s="1311"/>
      <c r="BC390" s="1311"/>
      <c r="BD390" s="1311"/>
      <c r="BE390" s="1312"/>
      <c r="BF390" s="1313"/>
      <c r="BG390" s="1314"/>
      <c r="BH390" s="1314"/>
      <c r="BI390" s="1314"/>
      <c r="BJ390" s="1314"/>
      <c r="BK390" s="1314"/>
      <c r="BL390" s="1314"/>
      <c r="BM390" s="1314"/>
      <c r="BN390" s="1314"/>
      <c r="BO390" s="1314"/>
      <c r="BP390" s="1315"/>
      <c r="BQ390" s="1361"/>
      <c r="BR390" s="1362"/>
      <c r="BS390" s="1362"/>
      <c r="BT390" s="1362"/>
      <c r="BU390" s="1362"/>
      <c r="BV390" s="1362"/>
      <c r="BW390" s="1362"/>
      <c r="BX390" s="1362"/>
      <c r="BY390" s="1362"/>
      <c r="BZ390" s="1363"/>
      <c r="CA390" s="270"/>
      <c r="CB390" s="3" t="str">
        <f t="shared" si="57"/>
        <v>Riadok bude skrytý.</v>
      </c>
      <c r="CC390" s="271" t="s">
        <v>832</v>
      </c>
      <c r="CW390" s="32">
        <f t="shared" si="58"/>
        <v>0</v>
      </c>
      <c r="CZ390" s="30">
        <f t="shared" si="51"/>
        <v>1</v>
      </c>
      <c r="DA390" s="30">
        <f t="shared" si="59"/>
        <v>0</v>
      </c>
      <c r="DB390" s="140">
        <f t="shared" si="56"/>
        <v>0</v>
      </c>
      <c r="DS390" s="130">
        <f>SI!BY390</f>
        <v>367</v>
      </c>
      <c r="DZ390" s="131">
        <f>SI!BZ390</f>
        <v>0</v>
      </c>
    </row>
    <row r="391" spans="1:130" hidden="1" x14ac:dyDescent="0.25">
      <c r="A391" s="141"/>
      <c r="B391" s="910"/>
      <c r="C391" s="911"/>
      <c r="D391" s="911"/>
      <c r="E391" s="911"/>
      <c r="F391" s="911"/>
      <c r="G391" s="911"/>
      <c r="H391" s="911"/>
      <c r="I391" s="911"/>
      <c r="J391" s="911"/>
      <c r="K391" s="911"/>
      <c r="L391" s="911"/>
      <c r="M391" s="911"/>
      <c r="N391" s="911"/>
      <c r="O391" s="911"/>
      <c r="P391" s="911"/>
      <c r="Q391" s="911"/>
      <c r="R391" s="911"/>
      <c r="S391" s="911"/>
      <c r="T391" s="911"/>
      <c r="U391" s="911"/>
      <c r="V391" s="911"/>
      <c r="W391" s="911"/>
      <c r="X391" s="911"/>
      <c r="Y391" s="911"/>
      <c r="Z391" s="911"/>
      <c r="AA391" s="911"/>
      <c r="AB391" s="911"/>
      <c r="AC391" s="911"/>
      <c r="AD391" s="911"/>
      <c r="AE391" s="911"/>
      <c r="AF391" s="911"/>
      <c r="AG391" s="911"/>
      <c r="AH391" s="911"/>
      <c r="AI391" s="911"/>
      <c r="AJ391" s="911"/>
      <c r="AK391" s="911"/>
      <c r="AL391" s="911"/>
      <c r="AM391" s="911"/>
      <c r="AN391" s="911"/>
      <c r="AO391" s="911"/>
      <c r="AP391" s="911"/>
      <c r="AQ391" s="911"/>
      <c r="AR391" s="911"/>
      <c r="AS391" s="911"/>
      <c r="AT391" s="912"/>
      <c r="AU391" s="1310"/>
      <c r="AV391" s="1311"/>
      <c r="AW391" s="1311"/>
      <c r="AX391" s="1311"/>
      <c r="AY391" s="1311"/>
      <c r="AZ391" s="1311"/>
      <c r="BA391" s="1311"/>
      <c r="BB391" s="1311"/>
      <c r="BC391" s="1311"/>
      <c r="BD391" s="1311"/>
      <c r="BE391" s="1312"/>
      <c r="BF391" s="1313"/>
      <c r="BG391" s="1314"/>
      <c r="BH391" s="1314"/>
      <c r="BI391" s="1314"/>
      <c r="BJ391" s="1314"/>
      <c r="BK391" s="1314"/>
      <c r="BL391" s="1314"/>
      <c r="BM391" s="1314"/>
      <c r="BN391" s="1314"/>
      <c r="BO391" s="1314"/>
      <c r="BP391" s="1315"/>
      <c r="BQ391" s="1361"/>
      <c r="BR391" s="1362"/>
      <c r="BS391" s="1362"/>
      <c r="BT391" s="1362"/>
      <c r="BU391" s="1362"/>
      <c r="BV391" s="1362"/>
      <c r="BW391" s="1362"/>
      <c r="BX391" s="1362"/>
      <c r="BY391" s="1362"/>
      <c r="BZ391" s="1363"/>
      <c r="CA391" s="270"/>
      <c r="CB391" s="3" t="str">
        <f t="shared" si="57"/>
        <v>Riadok bude skrytý.</v>
      </c>
      <c r="CC391" s="271" t="s">
        <v>832</v>
      </c>
      <c r="CW391" s="32">
        <f t="shared" si="58"/>
        <v>0</v>
      </c>
      <c r="CZ391" s="30">
        <f t="shared" si="51"/>
        <v>1</v>
      </c>
      <c r="DA391" s="30">
        <f t="shared" si="59"/>
        <v>0</v>
      </c>
      <c r="DB391" s="140">
        <f t="shared" si="56"/>
        <v>0</v>
      </c>
      <c r="DS391" s="130">
        <f>SI!BY391</f>
        <v>104</v>
      </c>
      <c r="DZ391" s="131">
        <f>SI!BZ391</f>
        <v>0</v>
      </c>
    </row>
    <row r="392" spans="1:130" hidden="1" x14ac:dyDescent="0.25">
      <c r="A392" s="141"/>
      <c r="B392" s="745"/>
      <c r="C392" s="746"/>
      <c r="D392" s="746"/>
      <c r="E392" s="746"/>
      <c r="F392" s="746"/>
      <c r="G392" s="746"/>
      <c r="H392" s="746"/>
      <c r="I392" s="746"/>
      <c r="J392" s="746"/>
      <c r="K392" s="746"/>
      <c r="L392" s="746"/>
      <c r="M392" s="746"/>
      <c r="N392" s="746"/>
      <c r="O392" s="746"/>
      <c r="P392" s="746"/>
      <c r="Q392" s="746"/>
      <c r="R392" s="746"/>
      <c r="S392" s="746"/>
      <c r="T392" s="746"/>
      <c r="U392" s="746"/>
      <c r="V392" s="746"/>
      <c r="W392" s="746"/>
      <c r="X392" s="746"/>
      <c r="Y392" s="746"/>
      <c r="Z392" s="746"/>
      <c r="AA392" s="746"/>
      <c r="AB392" s="746"/>
      <c r="AC392" s="746"/>
      <c r="AD392" s="746"/>
      <c r="AE392" s="746"/>
      <c r="AF392" s="746"/>
      <c r="AG392" s="746"/>
      <c r="AH392" s="746"/>
      <c r="AI392" s="746"/>
      <c r="AJ392" s="746"/>
      <c r="AK392" s="746"/>
      <c r="AL392" s="746"/>
      <c r="AM392" s="746"/>
      <c r="AN392" s="746"/>
      <c r="AO392" s="746"/>
      <c r="AP392" s="746"/>
      <c r="AQ392" s="746"/>
      <c r="AR392" s="746"/>
      <c r="AS392" s="746"/>
      <c r="AT392" s="747"/>
      <c r="AU392" s="1845"/>
      <c r="AV392" s="1846"/>
      <c r="AW392" s="1846"/>
      <c r="AX392" s="1846"/>
      <c r="AY392" s="1846"/>
      <c r="AZ392" s="1846"/>
      <c r="BA392" s="1846"/>
      <c r="BB392" s="1846"/>
      <c r="BC392" s="1846"/>
      <c r="BD392" s="1846"/>
      <c r="BE392" s="1847"/>
      <c r="BF392" s="1848"/>
      <c r="BG392" s="1849"/>
      <c r="BH392" s="1849"/>
      <c r="BI392" s="1849"/>
      <c r="BJ392" s="1849"/>
      <c r="BK392" s="1849"/>
      <c r="BL392" s="1849"/>
      <c r="BM392" s="1849"/>
      <c r="BN392" s="1849"/>
      <c r="BO392" s="1849"/>
      <c r="BP392" s="1850"/>
      <c r="BQ392" s="1867"/>
      <c r="BR392" s="1868"/>
      <c r="BS392" s="1868"/>
      <c r="BT392" s="1868"/>
      <c r="BU392" s="1868"/>
      <c r="BV392" s="1868"/>
      <c r="BW392" s="1868"/>
      <c r="BX392" s="1868"/>
      <c r="BY392" s="1868"/>
      <c r="BZ392" s="1869"/>
      <c r="CA392" s="270"/>
      <c r="CB392" s="3" t="str">
        <f t="shared" si="57"/>
        <v>Riadok bude skrytý.</v>
      </c>
      <c r="CC392" s="271" t="s">
        <v>832</v>
      </c>
      <c r="CW392" s="32">
        <f>+IF(B383&amp;B384&amp;B385&amp;B386&amp;B387&amp;B388&amp;B389&amp;B390&amp;B391&amp;B392="",0,1)</f>
        <v>0</v>
      </c>
      <c r="CZ392" s="30">
        <f t="shared" si="51"/>
        <v>1</v>
      </c>
      <c r="DA392" s="30">
        <f t="shared" si="59"/>
        <v>0</v>
      </c>
      <c r="DB392" s="140">
        <f t="shared" si="56"/>
        <v>0</v>
      </c>
      <c r="DS392" s="130">
        <f>SI!BY392</f>
        <v>934</v>
      </c>
      <c r="DZ392" s="131">
        <f>SI!BZ392</f>
        <v>0</v>
      </c>
    </row>
    <row r="393" spans="1:130" x14ac:dyDescent="0.25">
      <c r="A393" s="141"/>
      <c r="B393" s="1777"/>
      <c r="C393" s="1777"/>
      <c r="D393" s="1777"/>
      <c r="E393" s="1777"/>
      <c r="F393" s="1777"/>
      <c r="G393" s="1777"/>
      <c r="H393" s="1777"/>
      <c r="I393" s="1777"/>
      <c r="J393" s="1777"/>
      <c r="K393" s="1777"/>
      <c r="L393" s="1777"/>
      <c r="M393" s="1777"/>
      <c r="N393" s="1777"/>
      <c r="O393" s="1777"/>
      <c r="P393" s="1777"/>
      <c r="Q393" s="1777"/>
      <c r="R393" s="1777"/>
      <c r="S393" s="1777"/>
      <c r="T393" s="1777"/>
      <c r="U393" s="1777"/>
      <c r="V393" s="1777"/>
      <c r="W393" s="1777"/>
      <c r="X393" s="1777"/>
      <c r="Y393" s="1777"/>
      <c r="Z393" s="1777"/>
      <c r="AA393" s="1777"/>
      <c r="AB393" s="1777"/>
      <c r="AC393" s="1777"/>
      <c r="AD393" s="1777"/>
      <c r="AE393" s="1777"/>
      <c r="AF393" s="1777"/>
      <c r="AG393" s="1777"/>
      <c r="AH393" s="1777"/>
      <c r="AI393" s="1777"/>
      <c r="AJ393" s="1777"/>
      <c r="AK393" s="1777"/>
      <c r="AL393" s="1777"/>
      <c r="AM393" s="1777"/>
      <c r="AN393" s="1777"/>
      <c r="AO393" s="1777"/>
      <c r="AP393" s="1777"/>
      <c r="AQ393" s="1777"/>
      <c r="AR393" s="1777"/>
      <c r="AS393" s="1777"/>
      <c r="AT393" s="1777"/>
      <c r="AU393" s="1777"/>
      <c r="AV393" s="1777"/>
      <c r="AW393" s="1777"/>
      <c r="AX393" s="1777"/>
      <c r="AY393" s="1777"/>
      <c r="AZ393" s="1777"/>
      <c r="BA393" s="1777"/>
      <c r="BB393" s="1777"/>
      <c r="BC393" s="1777"/>
      <c r="BD393" s="1777"/>
      <c r="BE393" s="1777"/>
      <c r="BF393" s="1777"/>
      <c r="BG393" s="1777"/>
      <c r="BH393" s="1777"/>
      <c r="BI393" s="1777"/>
      <c r="BJ393" s="1777"/>
      <c r="BK393" s="1777"/>
      <c r="BL393" s="1777"/>
      <c r="BM393" s="1777"/>
      <c r="BN393" s="1777"/>
      <c r="BO393" s="1777"/>
      <c r="BP393" s="1777"/>
      <c r="BQ393" s="1777"/>
      <c r="BR393" s="1777"/>
      <c r="BS393" s="1777"/>
      <c r="BT393" s="1777"/>
      <c r="BU393" s="1777"/>
      <c r="BV393" s="1777"/>
      <c r="BW393" s="1777"/>
      <c r="BX393" s="1777"/>
      <c r="BY393" s="1777"/>
      <c r="BZ393" s="1777"/>
      <c r="CA393" s="281"/>
      <c r="CB393" s="3" t="str">
        <f t="shared" si="57"/>
        <v>Riadok bude vidieť.</v>
      </c>
      <c r="CC393" s="271" t="s">
        <v>832</v>
      </c>
      <c r="CW393" s="30">
        <f>+IF(SUM(CW394:CW413)=0,0,1)</f>
        <v>1</v>
      </c>
      <c r="CZ393" s="30">
        <f t="shared" si="51"/>
        <v>1</v>
      </c>
      <c r="DA393" s="30">
        <f t="shared" si="59"/>
        <v>1</v>
      </c>
      <c r="DB393" s="140">
        <f t="shared" si="56"/>
        <v>1</v>
      </c>
      <c r="DS393" s="130">
        <f>SI!BY393</f>
        <v>180</v>
      </c>
      <c r="DZ393" s="131">
        <f>SI!BZ393</f>
        <v>0</v>
      </c>
    </row>
    <row r="394" spans="1:130" x14ac:dyDescent="0.25">
      <c r="A394" s="141"/>
      <c r="B394" s="379" t="s">
        <v>61</v>
      </c>
      <c r="C394" s="379"/>
      <c r="D394" s="379"/>
      <c r="E394" s="379"/>
      <c r="F394" s="379"/>
      <c r="G394" s="379"/>
      <c r="H394" s="379"/>
      <c r="I394" s="379"/>
      <c r="J394" s="379"/>
      <c r="K394" s="379"/>
      <c r="L394" s="379"/>
      <c r="M394" s="379"/>
      <c r="N394" s="379"/>
      <c r="O394" s="379"/>
      <c r="P394" s="379"/>
      <c r="Q394" s="379"/>
      <c r="R394" s="379"/>
      <c r="S394" s="379"/>
      <c r="T394" s="379"/>
      <c r="U394" s="379"/>
      <c r="V394" s="379"/>
      <c r="W394" s="379"/>
      <c r="X394" s="379"/>
      <c r="Y394" s="379"/>
      <c r="Z394" s="379"/>
      <c r="AA394" s="379"/>
      <c r="AB394" s="379"/>
      <c r="AC394" s="379"/>
      <c r="AD394" s="379"/>
      <c r="AE394" s="379"/>
      <c r="AF394" s="379"/>
      <c r="AG394" s="379"/>
      <c r="AH394" s="379"/>
      <c r="AI394" s="379"/>
      <c r="AJ394" s="379"/>
      <c r="AK394" s="379"/>
      <c r="AL394" s="379"/>
      <c r="AM394" s="379"/>
      <c r="AN394" s="379"/>
      <c r="AO394" s="379"/>
      <c r="AP394" s="379"/>
      <c r="AQ394" s="379"/>
      <c r="AR394" s="379"/>
      <c r="AS394" s="379"/>
      <c r="AT394" s="379"/>
      <c r="AU394" s="379"/>
      <c r="AV394" s="379"/>
      <c r="AW394" s="379"/>
      <c r="AX394" s="379"/>
      <c r="AY394" s="379"/>
      <c r="AZ394" s="379"/>
      <c r="BA394" s="379"/>
      <c r="BB394" s="379"/>
      <c r="BC394" s="379"/>
      <c r="BD394" s="379"/>
      <c r="BE394" s="379"/>
      <c r="BF394" s="379"/>
      <c r="BG394" s="379"/>
      <c r="BH394" s="379"/>
      <c r="BI394" s="379"/>
      <c r="BJ394" s="379"/>
      <c r="BK394" s="379"/>
      <c r="BL394" s="379"/>
      <c r="BM394" s="379"/>
      <c r="BN394" s="379"/>
      <c r="BO394" s="379"/>
      <c r="BP394" s="379"/>
      <c r="BQ394" s="379"/>
      <c r="BR394" s="379"/>
      <c r="BS394" s="379"/>
      <c r="BT394" s="379"/>
      <c r="BU394" s="379"/>
      <c r="BV394" s="379"/>
      <c r="BW394" s="379"/>
      <c r="BX394" s="379"/>
      <c r="BY394" s="379"/>
      <c r="BZ394" s="379"/>
      <c r="CA394" s="265" t="s">
        <v>773</v>
      </c>
      <c r="CB394" s="3" t="str">
        <f t="shared" si="57"/>
        <v>Riadok bude vidieť.</v>
      </c>
      <c r="CC394" s="271" t="s">
        <v>832</v>
      </c>
      <c r="CW394" s="30">
        <f t="shared" ref="CW394:CW413" si="60">+IF(B394="",0,1)</f>
        <v>1</v>
      </c>
      <c r="CZ394" s="30">
        <f t="shared" si="51"/>
        <v>1</v>
      </c>
      <c r="DA394" s="30">
        <f t="shared" si="59"/>
        <v>1</v>
      </c>
      <c r="DB394" s="140">
        <f t="shared" si="56"/>
        <v>1</v>
      </c>
      <c r="DS394" s="130">
        <f>SI!BY394</f>
        <v>313</v>
      </c>
      <c r="DZ394" s="131">
        <f>SI!BZ394</f>
        <v>0</v>
      </c>
    </row>
    <row r="395" spans="1:130" x14ac:dyDescent="0.25">
      <c r="A395" s="141"/>
      <c r="B395" s="379" t="s">
        <v>56</v>
      </c>
      <c r="C395" s="379"/>
      <c r="D395" s="379"/>
      <c r="E395" s="379"/>
      <c r="F395" s="379"/>
      <c r="G395" s="379"/>
      <c r="H395" s="379"/>
      <c r="I395" s="379"/>
      <c r="J395" s="379"/>
      <c r="K395" s="379"/>
      <c r="L395" s="379"/>
      <c r="M395" s="379"/>
      <c r="N395" s="379"/>
      <c r="O395" s="379"/>
      <c r="P395" s="379"/>
      <c r="Q395" s="379"/>
      <c r="R395" s="379"/>
      <c r="S395" s="379"/>
      <c r="T395" s="379"/>
      <c r="U395" s="379"/>
      <c r="V395" s="379"/>
      <c r="W395" s="379"/>
      <c r="X395" s="379"/>
      <c r="Y395" s="379"/>
      <c r="Z395" s="379"/>
      <c r="AA395" s="379"/>
      <c r="AB395" s="379"/>
      <c r="AC395" s="379"/>
      <c r="AD395" s="379"/>
      <c r="AE395" s="379"/>
      <c r="AF395" s="379"/>
      <c r="AG395" s="379"/>
      <c r="AH395" s="379"/>
      <c r="AI395" s="379"/>
      <c r="AJ395" s="379"/>
      <c r="AK395" s="379"/>
      <c r="AL395" s="379"/>
      <c r="AM395" s="379"/>
      <c r="AN395" s="379"/>
      <c r="AO395" s="379"/>
      <c r="AP395" s="379"/>
      <c r="AQ395" s="379"/>
      <c r="AR395" s="379"/>
      <c r="AS395" s="379"/>
      <c r="AT395" s="379"/>
      <c r="AU395" s="379"/>
      <c r="AV395" s="379"/>
      <c r="AW395" s="379"/>
      <c r="AX395" s="379"/>
      <c r="AY395" s="379"/>
      <c r="AZ395" s="379"/>
      <c r="BA395" s="379"/>
      <c r="BB395" s="379"/>
      <c r="BC395" s="379"/>
      <c r="BD395" s="379"/>
      <c r="BE395" s="379"/>
      <c r="BF395" s="379"/>
      <c r="BG395" s="379"/>
      <c r="BH395" s="379"/>
      <c r="BI395" s="379"/>
      <c r="BJ395" s="379"/>
      <c r="BK395" s="379"/>
      <c r="BL395" s="379"/>
      <c r="BM395" s="379"/>
      <c r="BN395" s="379"/>
      <c r="BO395" s="379"/>
      <c r="BP395" s="379"/>
      <c r="BQ395" s="379"/>
      <c r="BR395" s="379"/>
      <c r="BS395" s="379"/>
      <c r="BT395" s="379"/>
      <c r="BU395" s="379"/>
      <c r="BV395" s="379"/>
      <c r="BW395" s="379"/>
      <c r="BX395" s="379"/>
      <c r="BY395" s="379"/>
      <c r="BZ395" s="379"/>
      <c r="CA395" s="281"/>
      <c r="CB395" s="3" t="str">
        <f t="shared" si="57"/>
        <v>Riadok bude vidieť.</v>
      </c>
      <c r="CC395" s="271" t="s">
        <v>832</v>
      </c>
      <c r="CW395" s="30">
        <f t="shared" si="60"/>
        <v>1</v>
      </c>
      <c r="CZ395" s="30">
        <f t="shared" si="51"/>
        <v>1</v>
      </c>
      <c r="DA395" s="30">
        <f t="shared" si="59"/>
        <v>1</v>
      </c>
      <c r="DB395" s="140">
        <f t="shared" si="56"/>
        <v>1</v>
      </c>
      <c r="DS395" s="130">
        <f>SI!BY395</f>
        <v>134</v>
      </c>
      <c r="DZ395" s="131">
        <f>SI!BZ395</f>
        <v>0</v>
      </c>
    </row>
    <row r="396" spans="1:130" x14ac:dyDescent="0.25">
      <c r="A396" s="141"/>
      <c r="B396" s="379" t="s">
        <v>800</v>
      </c>
      <c r="C396" s="379"/>
      <c r="D396" s="379"/>
      <c r="E396" s="379"/>
      <c r="F396" s="379"/>
      <c r="G396" s="379"/>
      <c r="H396" s="379"/>
      <c r="I396" s="379"/>
      <c r="J396" s="379"/>
      <c r="K396" s="379"/>
      <c r="L396" s="379"/>
      <c r="M396" s="379"/>
      <c r="N396" s="379"/>
      <c r="O396" s="379"/>
      <c r="P396" s="379"/>
      <c r="Q396" s="379"/>
      <c r="R396" s="379"/>
      <c r="S396" s="379"/>
      <c r="T396" s="379"/>
      <c r="U396" s="379"/>
      <c r="V396" s="379"/>
      <c r="W396" s="379"/>
      <c r="X396" s="379"/>
      <c r="Y396" s="379"/>
      <c r="Z396" s="379"/>
      <c r="AA396" s="379"/>
      <c r="AB396" s="379"/>
      <c r="AC396" s="379"/>
      <c r="AD396" s="379"/>
      <c r="AE396" s="379"/>
      <c r="AF396" s="379"/>
      <c r="AG396" s="379"/>
      <c r="AH396" s="379"/>
      <c r="AI396" s="379"/>
      <c r="AJ396" s="379"/>
      <c r="AK396" s="379"/>
      <c r="AL396" s="379"/>
      <c r="AM396" s="379"/>
      <c r="AN396" s="379"/>
      <c r="AO396" s="379"/>
      <c r="AP396" s="379"/>
      <c r="AQ396" s="379"/>
      <c r="AR396" s="379"/>
      <c r="AS396" s="379"/>
      <c r="AT396" s="379"/>
      <c r="AU396" s="379"/>
      <c r="AV396" s="379"/>
      <c r="AW396" s="379"/>
      <c r="AX396" s="379"/>
      <c r="AY396" s="379"/>
      <c r="AZ396" s="379"/>
      <c r="BA396" s="379"/>
      <c r="BB396" s="379"/>
      <c r="BC396" s="379"/>
      <c r="BD396" s="379"/>
      <c r="BE396" s="379"/>
      <c r="BF396" s="379"/>
      <c r="BG396" s="379"/>
      <c r="BH396" s="379"/>
      <c r="BI396" s="379"/>
      <c r="BJ396" s="379"/>
      <c r="BK396" s="379"/>
      <c r="BL396" s="379"/>
      <c r="BM396" s="379"/>
      <c r="BN396" s="379"/>
      <c r="BO396" s="379"/>
      <c r="BP396" s="379"/>
      <c r="BQ396" s="379"/>
      <c r="BR396" s="379"/>
      <c r="BS396" s="379"/>
      <c r="BT396" s="379"/>
      <c r="BU396" s="379"/>
      <c r="BV396" s="379"/>
      <c r="BW396" s="379"/>
      <c r="BX396" s="379"/>
      <c r="BY396" s="379"/>
      <c r="BZ396" s="379"/>
      <c r="CA396" s="281"/>
      <c r="CB396" s="3" t="str">
        <f t="shared" si="57"/>
        <v>Riadok bude vidieť.</v>
      </c>
      <c r="CC396" s="271" t="s">
        <v>832</v>
      </c>
      <c r="CW396" s="30">
        <f t="shared" si="60"/>
        <v>1</v>
      </c>
      <c r="CZ396" s="30">
        <f t="shared" si="51"/>
        <v>1</v>
      </c>
      <c r="DA396" s="30">
        <f t="shared" si="59"/>
        <v>1</v>
      </c>
      <c r="DB396" s="140">
        <f t="shared" si="56"/>
        <v>1</v>
      </c>
      <c r="DS396" s="130">
        <f>SI!BY396</f>
        <v>119</v>
      </c>
      <c r="DZ396" s="131">
        <f>SI!BZ396</f>
        <v>0</v>
      </c>
    </row>
    <row r="397" spans="1:130" x14ac:dyDescent="0.25">
      <c r="A397" s="141"/>
      <c r="B397" s="406" t="s">
        <v>926</v>
      </c>
      <c r="C397" s="406"/>
      <c r="D397" s="406"/>
      <c r="E397" s="406"/>
      <c r="F397" s="406"/>
      <c r="G397" s="406"/>
      <c r="H397" s="406"/>
      <c r="I397" s="406"/>
      <c r="J397" s="406"/>
      <c r="K397" s="406"/>
      <c r="L397" s="406"/>
      <c r="M397" s="406"/>
      <c r="N397" s="406"/>
      <c r="O397" s="406"/>
      <c r="P397" s="406"/>
      <c r="Q397" s="406"/>
      <c r="R397" s="406"/>
      <c r="S397" s="406"/>
      <c r="T397" s="406"/>
      <c r="U397" s="406"/>
      <c r="V397" s="406"/>
      <c r="W397" s="406"/>
      <c r="X397" s="406"/>
      <c r="Y397" s="406"/>
      <c r="Z397" s="406"/>
      <c r="AA397" s="406"/>
      <c r="AB397" s="406"/>
      <c r="AC397" s="406"/>
      <c r="AD397" s="406"/>
      <c r="AE397" s="406"/>
      <c r="AF397" s="406"/>
      <c r="AG397" s="406"/>
      <c r="AH397" s="406"/>
      <c r="AI397" s="406"/>
      <c r="AJ397" s="406"/>
      <c r="AK397" s="406"/>
      <c r="AL397" s="406"/>
      <c r="AM397" s="406"/>
      <c r="AN397" s="406"/>
      <c r="AO397" s="406"/>
      <c r="AP397" s="406"/>
      <c r="AQ397" s="406"/>
      <c r="AR397" s="406"/>
      <c r="AS397" s="406"/>
      <c r="AT397" s="406"/>
      <c r="AU397" s="406"/>
      <c r="AV397" s="406"/>
      <c r="AW397" s="406"/>
      <c r="AX397" s="406"/>
      <c r="AY397" s="406"/>
      <c r="AZ397" s="406"/>
      <c r="BA397" s="406"/>
      <c r="BB397" s="406"/>
      <c r="BC397" s="406"/>
      <c r="BD397" s="406"/>
      <c r="BE397" s="406"/>
      <c r="BF397" s="406"/>
      <c r="BG397" s="406"/>
      <c r="BH397" s="406"/>
      <c r="BI397" s="406"/>
      <c r="BJ397" s="406"/>
      <c r="BK397" s="406"/>
      <c r="BL397" s="406"/>
      <c r="BM397" s="406"/>
      <c r="BN397" s="406"/>
      <c r="BO397" s="406"/>
      <c r="BP397" s="406"/>
      <c r="BQ397" s="406"/>
      <c r="BR397" s="406"/>
      <c r="BS397" s="406"/>
      <c r="BT397" s="406"/>
      <c r="BU397" s="406"/>
      <c r="BV397" s="406"/>
      <c r="BW397" s="406"/>
      <c r="BX397" s="406"/>
      <c r="BY397" s="406"/>
      <c r="BZ397" s="406"/>
      <c r="CA397" s="281"/>
      <c r="CB397" s="3" t="str">
        <f t="shared" si="57"/>
        <v>Riadok bude vidieť.</v>
      </c>
      <c r="CC397" s="271" t="s">
        <v>832</v>
      </c>
      <c r="CW397" s="30">
        <f t="shared" si="60"/>
        <v>1</v>
      </c>
      <c r="CZ397" s="30">
        <f t="shared" si="51"/>
        <v>1</v>
      </c>
      <c r="DA397" s="30">
        <f t="shared" si="59"/>
        <v>1</v>
      </c>
      <c r="DB397" s="140">
        <f t="shared" si="56"/>
        <v>1</v>
      </c>
      <c r="DS397" s="130">
        <f>SI!BY397</f>
        <v>151</v>
      </c>
      <c r="DZ397" s="131">
        <f>SI!BZ397</f>
        <v>0</v>
      </c>
    </row>
    <row r="398" spans="1:130" hidden="1" x14ac:dyDescent="0.25">
      <c r="A398" s="141"/>
      <c r="B398" s="379"/>
      <c r="C398" s="379"/>
      <c r="D398" s="379"/>
      <c r="E398" s="379"/>
      <c r="F398" s="379"/>
      <c r="G398" s="379"/>
      <c r="H398" s="379"/>
      <c r="I398" s="379"/>
      <c r="J398" s="379"/>
      <c r="K398" s="379"/>
      <c r="L398" s="379"/>
      <c r="M398" s="379"/>
      <c r="N398" s="379"/>
      <c r="O398" s="379"/>
      <c r="P398" s="379"/>
      <c r="Q398" s="379"/>
      <c r="R398" s="379"/>
      <c r="S398" s="379"/>
      <c r="T398" s="379"/>
      <c r="U398" s="379"/>
      <c r="V398" s="379"/>
      <c r="W398" s="379"/>
      <c r="X398" s="379"/>
      <c r="Y398" s="379"/>
      <c r="Z398" s="379"/>
      <c r="AA398" s="379"/>
      <c r="AB398" s="379"/>
      <c r="AC398" s="379"/>
      <c r="AD398" s="379"/>
      <c r="AE398" s="379"/>
      <c r="AF398" s="379"/>
      <c r="AG398" s="379"/>
      <c r="AH398" s="379"/>
      <c r="AI398" s="379"/>
      <c r="AJ398" s="379"/>
      <c r="AK398" s="379"/>
      <c r="AL398" s="379"/>
      <c r="AM398" s="379"/>
      <c r="AN398" s="379"/>
      <c r="AO398" s="379"/>
      <c r="AP398" s="379"/>
      <c r="AQ398" s="379"/>
      <c r="AR398" s="379"/>
      <c r="AS398" s="379"/>
      <c r="AT398" s="379"/>
      <c r="AU398" s="379"/>
      <c r="AV398" s="379"/>
      <c r="AW398" s="379"/>
      <c r="AX398" s="379"/>
      <c r="AY398" s="379"/>
      <c r="AZ398" s="379"/>
      <c r="BA398" s="379"/>
      <c r="BB398" s="379"/>
      <c r="BC398" s="379"/>
      <c r="BD398" s="379"/>
      <c r="BE398" s="379"/>
      <c r="BF398" s="379"/>
      <c r="BG398" s="379"/>
      <c r="BH398" s="379"/>
      <c r="BI398" s="379"/>
      <c r="BJ398" s="379"/>
      <c r="BK398" s="379"/>
      <c r="BL398" s="379"/>
      <c r="BM398" s="379"/>
      <c r="BN398" s="379"/>
      <c r="BO398" s="379"/>
      <c r="BP398" s="379"/>
      <c r="BQ398" s="379"/>
      <c r="BR398" s="379"/>
      <c r="BS398" s="379"/>
      <c r="BT398" s="379"/>
      <c r="BU398" s="379"/>
      <c r="BV398" s="379"/>
      <c r="BW398" s="379"/>
      <c r="BX398" s="379"/>
      <c r="BY398" s="379"/>
      <c r="BZ398" s="379"/>
      <c r="CA398" s="281"/>
      <c r="CB398" s="3" t="str">
        <f t="shared" si="57"/>
        <v>Riadok bude skrytý.</v>
      </c>
      <c r="CC398" s="271" t="s">
        <v>832</v>
      </c>
      <c r="CW398" s="30">
        <f t="shared" si="60"/>
        <v>0</v>
      </c>
      <c r="CZ398" s="30">
        <f t="shared" si="51"/>
        <v>1</v>
      </c>
      <c r="DA398" s="30">
        <f t="shared" si="59"/>
        <v>0</v>
      </c>
      <c r="DB398" s="140">
        <f t="shared" si="56"/>
        <v>0</v>
      </c>
      <c r="DS398" s="130">
        <f>SI!BY398</f>
        <v>133</v>
      </c>
      <c r="DZ398" s="131">
        <f>SI!BZ398</f>
        <v>0</v>
      </c>
    </row>
    <row r="399" spans="1:130" hidden="1" x14ac:dyDescent="0.25">
      <c r="A399" s="141"/>
      <c r="B399" s="379"/>
      <c r="C399" s="379"/>
      <c r="D399" s="379"/>
      <c r="E399" s="379"/>
      <c r="F399" s="379"/>
      <c r="G399" s="379"/>
      <c r="H399" s="379"/>
      <c r="I399" s="379"/>
      <c r="J399" s="379"/>
      <c r="K399" s="379"/>
      <c r="L399" s="379"/>
      <c r="M399" s="379"/>
      <c r="N399" s="379"/>
      <c r="O399" s="379"/>
      <c r="P399" s="379"/>
      <c r="Q399" s="379"/>
      <c r="R399" s="379"/>
      <c r="S399" s="379"/>
      <c r="T399" s="379"/>
      <c r="U399" s="379"/>
      <c r="V399" s="379"/>
      <c r="W399" s="379"/>
      <c r="X399" s="379"/>
      <c r="Y399" s="379"/>
      <c r="Z399" s="379"/>
      <c r="AA399" s="379"/>
      <c r="AB399" s="379"/>
      <c r="AC399" s="379"/>
      <c r="AD399" s="379"/>
      <c r="AE399" s="379"/>
      <c r="AF399" s="379"/>
      <c r="AG399" s="379"/>
      <c r="AH399" s="379"/>
      <c r="AI399" s="379"/>
      <c r="AJ399" s="379"/>
      <c r="AK399" s="379"/>
      <c r="AL399" s="379"/>
      <c r="AM399" s="379"/>
      <c r="AN399" s="379"/>
      <c r="AO399" s="379"/>
      <c r="AP399" s="379"/>
      <c r="AQ399" s="379"/>
      <c r="AR399" s="379"/>
      <c r="AS399" s="379"/>
      <c r="AT399" s="379"/>
      <c r="AU399" s="379"/>
      <c r="AV399" s="379"/>
      <c r="AW399" s="379"/>
      <c r="AX399" s="379"/>
      <c r="AY399" s="379"/>
      <c r="AZ399" s="379"/>
      <c r="BA399" s="379"/>
      <c r="BB399" s="379"/>
      <c r="BC399" s="379"/>
      <c r="BD399" s="379"/>
      <c r="BE399" s="379"/>
      <c r="BF399" s="379"/>
      <c r="BG399" s="379"/>
      <c r="BH399" s="379"/>
      <c r="BI399" s="379"/>
      <c r="BJ399" s="379"/>
      <c r="BK399" s="379"/>
      <c r="BL399" s="379"/>
      <c r="BM399" s="379"/>
      <c r="BN399" s="379"/>
      <c r="BO399" s="379"/>
      <c r="BP399" s="379"/>
      <c r="BQ399" s="379"/>
      <c r="BR399" s="379"/>
      <c r="BS399" s="379"/>
      <c r="BT399" s="379"/>
      <c r="BU399" s="379"/>
      <c r="BV399" s="379"/>
      <c r="BW399" s="379"/>
      <c r="BX399" s="379"/>
      <c r="BY399" s="379"/>
      <c r="BZ399" s="379"/>
      <c r="CA399" s="281"/>
      <c r="CB399" s="3" t="str">
        <f t="shared" si="57"/>
        <v>Riadok bude skrytý.</v>
      </c>
      <c r="CC399" s="271" t="s">
        <v>832</v>
      </c>
      <c r="CW399" s="30">
        <f t="shared" si="60"/>
        <v>0</v>
      </c>
      <c r="CZ399" s="30">
        <f t="shared" si="51"/>
        <v>1</v>
      </c>
      <c r="DA399" s="30">
        <f t="shared" si="59"/>
        <v>0</v>
      </c>
      <c r="DB399" s="140">
        <f t="shared" si="56"/>
        <v>0</v>
      </c>
      <c r="DS399" s="130">
        <f>SI!BY399</f>
        <v>315</v>
      </c>
      <c r="DZ399" s="131">
        <f>SI!BZ399</f>
        <v>0</v>
      </c>
    </row>
    <row r="400" spans="1:130" hidden="1" x14ac:dyDescent="0.25">
      <c r="A400" s="141"/>
      <c r="B400" s="379"/>
      <c r="C400" s="379"/>
      <c r="D400" s="379"/>
      <c r="E400" s="379"/>
      <c r="F400" s="379"/>
      <c r="G400" s="379"/>
      <c r="H400" s="379"/>
      <c r="I400" s="379"/>
      <c r="J400" s="379"/>
      <c r="K400" s="379"/>
      <c r="L400" s="379"/>
      <c r="M400" s="379"/>
      <c r="N400" s="379"/>
      <c r="O400" s="379"/>
      <c r="P400" s="379"/>
      <c r="Q400" s="379"/>
      <c r="R400" s="379"/>
      <c r="S400" s="379"/>
      <c r="T400" s="379"/>
      <c r="U400" s="379"/>
      <c r="V400" s="379"/>
      <c r="W400" s="379"/>
      <c r="X400" s="379"/>
      <c r="Y400" s="379"/>
      <c r="Z400" s="379"/>
      <c r="AA400" s="379"/>
      <c r="AB400" s="379"/>
      <c r="AC400" s="379"/>
      <c r="AD400" s="379"/>
      <c r="AE400" s="379"/>
      <c r="AF400" s="379"/>
      <c r="AG400" s="379"/>
      <c r="AH400" s="379"/>
      <c r="AI400" s="379"/>
      <c r="AJ400" s="379"/>
      <c r="AK400" s="379"/>
      <c r="AL400" s="379"/>
      <c r="AM400" s="379"/>
      <c r="AN400" s="379"/>
      <c r="AO400" s="379"/>
      <c r="AP400" s="379"/>
      <c r="AQ400" s="379"/>
      <c r="AR400" s="379"/>
      <c r="AS400" s="379"/>
      <c r="AT400" s="379"/>
      <c r="AU400" s="379"/>
      <c r="AV400" s="379"/>
      <c r="AW400" s="379"/>
      <c r="AX400" s="379"/>
      <c r="AY400" s="379"/>
      <c r="AZ400" s="379"/>
      <c r="BA400" s="379"/>
      <c r="BB400" s="379"/>
      <c r="BC400" s="379"/>
      <c r="BD400" s="379"/>
      <c r="BE400" s="379"/>
      <c r="BF400" s="379"/>
      <c r="BG400" s="379"/>
      <c r="BH400" s="379"/>
      <c r="BI400" s="379"/>
      <c r="BJ400" s="379"/>
      <c r="BK400" s="379"/>
      <c r="BL400" s="379"/>
      <c r="BM400" s="379"/>
      <c r="BN400" s="379"/>
      <c r="BO400" s="379"/>
      <c r="BP400" s="379"/>
      <c r="BQ400" s="379"/>
      <c r="BR400" s="379"/>
      <c r="BS400" s="379"/>
      <c r="BT400" s="379"/>
      <c r="BU400" s="379"/>
      <c r="BV400" s="379"/>
      <c r="BW400" s="379"/>
      <c r="BX400" s="379"/>
      <c r="BY400" s="379"/>
      <c r="BZ400" s="379"/>
      <c r="CA400" s="281"/>
      <c r="CB400" s="3" t="str">
        <f t="shared" si="57"/>
        <v>Riadok bude skrytý.</v>
      </c>
      <c r="CC400" s="271" t="s">
        <v>832</v>
      </c>
      <c r="CW400" s="30">
        <f t="shared" si="60"/>
        <v>0</v>
      </c>
      <c r="CZ400" s="30">
        <f t="shared" si="51"/>
        <v>1</v>
      </c>
      <c r="DA400" s="30">
        <f t="shared" si="59"/>
        <v>0</v>
      </c>
      <c r="DB400" s="140">
        <f t="shared" si="56"/>
        <v>0</v>
      </c>
      <c r="DS400" s="130">
        <f>SI!BY400</f>
        <v>132</v>
      </c>
      <c r="DZ400" s="131">
        <f>SI!BZ400</f>
        <v>0</v>
      </c>
    </row>
    <row r="401" spans="1:130" hidden="1" x14ac:dyDescent="0.25">
      <c r="A401" s="141"/>
      <c r="B401" s="379"/>
      <c r="C401" s="379"/>
      <c r="D401" s="379"/>
      <c r="E401" s="379"/>
      <c r="F401" s="379"/>
      <c r="G401" s="379"/>
      <c r="H401" s="379"/>
      <c r="I401" s="379"/>
      <c r="J401" s="379"/>
      <c r="K401" s="379"/>
      <c r="L401" s="379"/>
      <c r="M401" s="379"/>
      <c r="N401" s="379"/>
      <c r="O401" s="379"/>
      <c r="P401" s="379"/>
      <c r="Q401" s="379"/>
      <c r="R401" s="379"/>
      <c r="S401" s="379"/>
      <c r="T401" s="379"/>
      <c r="U401" s="379"/>
      <c r="V401" s="379"/>
      <c r="W401" s="379"/>
      <c r="X401" s="379"/>
      <c r="Y401" s="379"/>
      <c r="Z401" s="379"/>
      <c r="AA401" s="379"/>
      <c r="AB401" s="379"/>
      <c r="AC401" s="379"/>
      <c r="AD401" s="379"/>
      <c r="AE401" s="379"/>
      <c r="AF401" s="379"/>
      <c r="AG401" s="379"/>
      <c r="AH401" s="379"/>
      <c r="AI401" s="379"/>
      <c r="AJ401" s="379"/>
      <c r="AK401" s="379"/>
      <c r="AL401" s="379"/>
      <c r="AM401" s="379"/>
      <c r="AN401" s="379"/>
      <c r="AO401" s="379"/>
      <c r="AP401" s="379"/>
      <c r="AQ401" s="379"/>
      <c r="AR401" s="379"/>
      <c r="AS401" s="379"/>
      <c r="AT401" s="379"/>
      <c r="AU401" s="379"/>
      <c r="AV401" s="379"/>
      <c r="AW401" s="379"/>
      <c r="AX401" s="379"/>
      <c r="AY401" s="379"/>
      <c r="AZ401" s="379"/>
      <c r="BA401" s="379"/>
      <c r="BB401" s="379"/>
      <c r="BC401" s="379"/>
      <c r="BD401" s="379"/>
      <c r="BE401" s="379"/>
      <c r="BF401" s="379"/>
      <c r="BG401" s="379"/>
      <c r="BH401" s="379"/>
      <c r="BI401" s="379"/>
      <c r="BJ401" s="379"/>
      <c r="BK401" s="379"/>
      <c r="BL401" s="379"/>
      <c r="BM401" s="379"/>
      <c r="BN401" s="379"/>
      <c r="BO401" s="379"/>
      <c r="BP401" s="379"/>
      <c r="BQ401" s="379"/>
      <c r="BR401" s="379"/>
      <c r="BS401" s="379"/>
      <c r="BT401" s="379"/>
      <c r="BU401" s="379"/>
      <c r="BV401" s="379"/>
      <c r="BW401" s="379"/>
      <c r="BX401" s="379"/>
      <c r="BY401" s="379"/>
      <c r="BZ401" s="379"/>
      <c r="CA401" s="281"/>
      <c r="CB401" s="3" t="str">
        <f t="shared" si="57"/>
        <v>Riadok bude skrytý.</v>
      </c>
      <c r="CC401" s="271" t="s">
        <v>832</v>
      </c>
      <c r="CW401" s="30">
        <f t="shared" si="60"/>
        <v>0</v>
      </c>
      <c r="CZ401" s="30">
        <f t="shared" si="51"/>
        <v>1</v>
      </c>
      <c r="DA401" s="30">
        <f t="shared" si="59"/>
        <v>0</v>
      </c>
      <c r="DB401" s="140">
        <f t="shared" si="56"/>
        <v>0</v>
      </c>
      <c r="DS401" s="130">
        <f>SI!BY401</f>
        <v>676</v>
      </c>
      <c r="DZ401" s="131">
        <f>SI!BZ401</f>
        <v>0</v>
      </c>
    </row>
    <row r="402" spans="1:130" hidden="1" x14ac:dyDescent="0.25">
      <c r="A402" s="141"/>
      <c r="B402" s="379"/>
      <c r="C402" s="379"/>
      <c r="D402" s="379"/>
      <c r="E402" s="379"/>
      <c r="F402" s="379"/>
      <c r="G402" s="379"/>
      <c r="H402" s="379"/>
      <c r="I402" s="379"/>
      <c r="J402" s="379"/>
      <c r="K402" s="379"/>
      <c r="L402" s="379"/>
      <c r="M402" s="379"/>
      <c r="N402" s="379"/>
      <c r="O402" s="379"/>
      <c r="P402" s="379"/>
      <c r="Q402" s="379"/>
      <c r="R402" s="379"/>
      <c r="S402" s="379"/>
      <c r="T402" s="379"/>
      <c r="U402" s="379"/>
      <c r="V402" s="379"/>
      <c r="W402" s="379"/>
      <c r="X402" s="379"/>
      <c r="Y402" s="379"/>
      <c r="Z402" s="379"/>
      <c r="AA402" s="379"/>
      <c r="AB402" s="379"/>
      <c r="AC402" s="379"/>
      <c r="AD402" s="379"/>
      <c r="AE402" s="379"/>
      <c r="AF402" s="379"/>
      <c r="AG402" s="379"/>
      <c r="AH402" s="379"/>
      <c r="AI402" s="379"/>
      <c r="AJ402" s="379"/>
      <c r="AK402" s="379"/>
      <c r="AL402" s="379"/>
      <c r="AM402" s="379"/>
      <c r="AN402" s="379"/>
      <c r="AO402" s="379"/>
      <c r="AP402" s="379"/>
      <c r="AQ402" s="379"/>
      <c r="AR402" s="379"/>
      <c r="AS402" s="379"/>
      <c r="AT402" s="379"/>
      <c r="AU402" s="379"/>
      <c r="AV402" s="379"/>
      <c r="AW402" s="379"/>
      <c r="AX402" s="379"/>
      <c r="AY402" s="379"/>
      <c r="AZ402" s="379"/>
      <c r="BA402" s="379"/>
      <c r="BB402" s="379"/>
      <c r="BC402" s="379"/>
      <c r="BD402" s="379"/>
      <c r="BE402" s="379"/>
      <c r="BF402" s="379"/>
      <c r="BG402" s="379"/>
      <c r="BH402" s="379"/>
      <c r="BI402" s="379"/>
      <c r="BJ402" s="379"/>
      <c r="BK402" s="379"/>
      <c r="BL402" s="379"/>
      <c r="BM402" s="379"/>
      <c r="BN402" s="379"/>
      <c r="BO402" s="379"/>
      <c r="BP402" s="379"/>
      <c r="BQ402" s="379"/>
      <c r="BR402" s="379"/>
      <c r="BS402" s="379"/>
      <c r="BT402" s="379"/>
      <c r="BU402" s="379"/>
      <c r="BV402" s="379"/>
      <c r="BW402" s="379"/>
      <c r="BX402" s="379"/>
      <c r="BY402" s="379"/>
      <c r="BZ402" s="379"/>
      <c r="CA402" s="281"/>
      <c r="CB402" s="3" t="str">
        <f t="shared" si="57"/>
        <v>Riadok bude skrytý.</v>
      </c>
      <c r="CC402" s="271" t="s">
        <v>832</v>
      </c>
      <c r="CW402" s="30">
        <f t="shared" si="60"/>
        <v>0</v>
      </c>
      <c r="CZ402" s="30">
        <f t="shared" si="51"/>
        <v>1</v>
      </c>
      <c r="DA402" s="30">
        <f t="shared" si="59"/>
        <v>0</v>
      </c>
      <c r="DB402" s="140">
        <f t="shared" si="56"/>
        <v>0</v>
      </c>
      <c r="DS402" s="130">
        <f>SI!BY402</f>
        <v>157</v>
      </c>
      <c r="DZ402" s="131">
        <f>SI!BZ402</f>
        <v>0</v>
      </c>
    </row>
    <row r="403" spans="1:130" hidden="1" x14ac:dyDescent="0.25">
      <c r="A403" s="141"/>
      <c r="B403" s="379"/>
      <c r="C403" s="379"/>
      <c r="D403" s="379"/>
      <c r="E403" s="379"/>
      <c r="F403" s="379"/>
      <c r="G403" s="379"/>
      <c r="H403" s="379"/>
      <c r="I403" s="379"/>
      <c r="J403" s="379"/>
      <c r="K403" s="379"/>
      <c r="L403" s="379"/>
      <c r="M403" s="379"/>
      <c r="N403" s="379"/>
      <c r="O403" s="379"/>
      <c r="P403" s="379"/>
      <c r="Q403" s="379"/>
      <c r="R403" s="379"/>
      <c r="S403" s="379"/>
      <c r="T403" s="379"/>
      <c r="U403" s="379"/>
      <c r="V403" s="379"/>
      <c r="W403" s="379"/>
      <c r="X403" s="379"/>
      <c r="Y403" s="379"/>
      <c r="Z403" s="379"/>
      <c r="AA403" s="379"/>
      <c r="AB403" s="379"/>
      <c r="AC403" s="379"/>
      <c r="AD403" s="379"/>
      <c r="AE403" s="379"/>
      <c r="AF403" s="379"/>
      <c r="AG403" s="379"/>
      <c r="AH403" s="379"/>
      <c r="AI403" s="379"/>
      <c r="AJ403" s="379"/>
      <c r="AK403" s="379"/>
      <c r="AL403" s="379"/>
      <c r="AM403" s="379"/>
      <c r="AN403" s="379"/>
      <c r="AO403" s="379"/>
      <c r="AP403" s="379"/>
      <c r="AQ403" s="379"/>
      <c r="AR403" s="379"/>
      <c r="AS403" s="379"/>
      <c r="AT403" s="379"/>
      <c r="AU403" s="379"/>
      <c r="AV403" s="379"/>
      <c r="AW403" s="379"/>
      <c r="AX403" s="379"/>
      <c r="AY403" s="379"/>
      <c r="AZ403" s="379"/>
      <c r="BA403" s="379"/>
      <c r="BB403" s="379"/>
      <c r="BC403" s="379"/>
      <c r="BD403" s="379"/>
      <c r="BE403" s="379"/>
      <c r="BF403" s="379"/>
      <c r="BG403" s="379"/>
      <c r="BH403" s="379"/>
      <c r="BI403" s="379"/>
      <c r="BJ403" s="379"/>
      <c r="BK403" s="379"/>
      <c r="BL403" s="379"/>
      <c r="BM403" s="379"/>
      <c r="BN403" s="379"/>
      <c r="BO403" s="379"/>
      <c r="BP403" s="379"/>
      <c r="BQ403" s="379"/>
      <c r="BR403" s="379"/>
      <c r="BS403" s="379"/>
      <c r="BT403" s="379"/>
      <c r="BU403" s="379"/>
      <c r="BV403" s="379"/>
      <c r="BW403" s="379"/>
      <c r="BX403" s="379"/>
      <c r="BY403" s="379"/>
      <c r="BZ403" s="379"/>
      <c r="CA403" s="281"/>
      <c r="CB403" s="3" t="str">
        <f t="shared" si="57"/>
        <v>Riadok bude skrytý.</v>
      </c>
      <c r="CC403" s="271" t="s">
        <v>832</v>
      </c>
      <c r="CW403" s="30">
        <f t="shared" si="60"/>
        <v>0</v>
      </c>
      <c r="CZ403" s="30">
        <f t="shared" si="51"/>
        <v>1</v>
      </c>
      <c r="DA403" s="30">
        <f t="shared" si="59"/>
        <v>0</v>
      </c>
      <c r="DB403" s="140">
        <f t="shared" si="56"/>
        <v>0</v>
      </c>
      <c r="DS403" s="130">
        <f>SI!BY403</f>
        <v>975</v>
      </c>
      <c r="DZ403" s="131">
        <f>SI!BZ403</f>
        <v>0</v>
      </c>
    </row>
    <row r="404" spans="1:130" hidden="1" x14ac:dyDescent="0.25">
      <c r="A404" s="141"/>
      <c r="B404" s="379"/>
      <c r="C404" s="379"/>
      <c r="D404" s="379"/>
      <c r="E404" s="379"/>
      <c r="F404" s="379"/>
      <c r="G404" s="379"/>
      <c r="H404" s="379"/>
      <c r="I404" s="379"/>
      <c r="J404" s="379"/>
      <c r="K404" s="379"/>
      <c r="L404" s="379"/>
      <c r="M404" s="379"/>
      <c r="N404" s="379"/>
      <c r="O404" s="379"/>
      <c r="P404" s="379"/>
      <c r="Q404" s="379"/>
      <c r="R404" s="379"/>
      <c r="S404" s="379"/>
      <c r="T404" s="379"/>
      <c r="U404" s="379"/>
      <c r="V404" s="379"/>
      <c r="W404" s="379"/>
      <c r="X404" s="379"/>
      <c r="Y404" s="379"/>
      <c r="Z404" s="379"/>
      <c r="AA404" s="379"/>
      <c r="AB404" s="379"/>
      <c r="AC404" s="379"/>
      <c r="AD404" s="379"/>
      <c r="AE404" s="379"/>
      <c r="AF404" s="379"/>
      <c r="AG404" s="379"/>
      <c r="AH404" s="379"/>
      <c r="AI404" s="379"/>
      <c r="AJ404" s="379"/>
      <c r="AK404" s="379"/>
      <c r="AL404" s="379"/>
      <c r="AM404" s="379"/>
      <c r="AN404" s="379"/>
      <c r="AO404" s="379"/>
      <c r="AP404" s="379"/>
      <c r="AQ404" s="379"/>
      <c r="AR404" s="379"/>
      <c r="AS404" s="379"/>
      <c r="AT404" s="379"/>
      <c r="AU404" s="379"/>
      <c r="AV404" s="379"/>
      <c r="AW404" s="379"/>
      <c r="AX404" s="379"/>
      <c r="AY404" s="379"/>
      <c r="AZ404" s="379"/>
      <c r="BA404" s="379"/>
      <c r="BB404" s="379"/>
      <c r="BC404" s="379"/>
      <c r="BD404" s="379"/>
      <c r="BE404" s="379"/>
      <c r="BF404" s="379"/>
      <c r="BG404" s="379"/>
      <c r="BH404" s="379"/>
      <c r="BI404" s="379"/>
      <c r="BJ404" s="379"/>
      <c r="BK404" s="379"/>
      <c r="BL404" s="379"/>
      <c r="BM404" s="379"/>
      <c r="BN404" s="379"/>
      <c r="BO404" s="379"/>
      <c r="BP404" s="379"/>
      <c r="BQ404" s="379"/>
      <c r="BR404" s="379"/>
      <c r="BS404" s="379"/>
      <c r="BT404" s="379"/>
      <c r="BU404" s="379"/>
      <c r="BV404" s="379"/>
      <c r="BW404" s="379"/>
      <c r="BX404" s="379"/>
      <c r="BY404" s="379"/>
      <c r="BZ404" s="379"/>
      <c r="CA404" s="281"/>
      <c r="CB404" s="3" t="str">
        <f t="shared" si="57"/>
        <v>Riadok bude skrytý.</v>
      </c>
      <c r="CC404" s="271" t="s">
        <v>832</v>
      </c>
      <c r="CW404" s="30">
        <f t="shared" si="60"/>
        <v>0</v>
      </c>
      <c r="CZ404" s="30">
        <f t="shared" ref="CZ404:CZ467" si="61">IF(CC404="",1,IF(CC404="Chcem skryť riadok.",0,1))</f>
        <v>1</v>
      </c>
      <c r="DA404" s="30">
        <f t="shared" si="59"/>
        <v>0</v>
      </c>
      <c r="DB404" s="140">
        <f t="shared" si="56"/>
        <v>0</v>
      </c>
      <c r="DS404" s="130">
        <f>SI!BY404</f>
        <v>134</v>
      </c>
      <c r="DZ404" s="131">
        <f>SI!BZ404</f>
        <v>0</v>
      </c>
    </row>
    <row r="405" spans="1:130" hidden="1" x14ac:dyDescent="0.25">
      <c r="A405" s="141"/>
      <c r="B405" s="379"/>
      <c r="C405" s="379"/>
      <c r="D405" s="379"/>
      <c r="E405" s="379"/>
      <c r="F405" s="379"/>
      <c r="G405" s="379"/>
      <c r="H405" s="379"/>
      <c r="I405" s="379"/>
      <c r="J405" s="379"/>
      <c r="K405" s="379"/>
      <c r="L405" s="379"/>
      <c r="M405" s="379"/>
      <c r="N405" s="379"/>
      <c r="O405" s="379"/>
      <c r="P405" s="379"/>
      <c r="Q405" s="379"/>
      <c r="R405" s="379"/>
      <c r="S405" s="379"/>
      <c r="T405" s="379"/>
      <c r="U405" s="379"/>
      <c r="V405" s="379"/>
      <c r="W405" s="379"/>
      <c r="X405" s="379"/>
      <c r="Y405" s="379"/>
      <c r="Z405" s="379"/>
      <c r="AA405" s="379"/>
      <c r="AB405" s="379"/>
      <c r="AC405" s="379"/>
      <c r="AD405" s="379"/>
      <c r="AE405" s="379"/>
      <c r="AF405" s="379"/>
      <c r="AG405" s="379"/>
      <c r="AH405" s="379"/>
      <c r="AI405" s="379"/>
      <c r="AJ405" s="379"/>
      <c r="AK405" s="379"/>
      <c r="AL405" s="379"/>
      <c r="AM405" s="379"/>
      <c r="AN405" s="379"/>
      <c r="AO405" s="379"/>
      <c r="AP405" s="379"/>
      <c r="AQ405" s="379"/>
      <c r="AR405" s="379"/>
      <c r="AS405" s="379"/>
      <c r="AT405" s="379"/>
      <c r="AU405" s="379"/>
      <c r="AV405" s="379"/>
      <c r="AW405" s="379"/>
      <c r="AX405" s="379"/>
      <c r="AY405" s="379"/>
      <c r="AZ405" s="379"/>
      <c r="BA405" s="379"/>
      <c r="BB405" s="379"/>
      <c r="BC405" s="379"/>
      <c r="BD405" s="379"/>
      <c r="BE405" s="379"/>
      <c r="BF405" s="379"/>
      <c r="BG405" s="379"/>
      <c r="BH405" s="379"/>
      <c r="BI405" s="379"/>
      <c r="BJ405" s="379"/>
      <c r="BK405" s="379"/>
      <c r="BL405" s="379"/>
      <c r="BM405" s="379"/>
      <c r="BN405" s="379"/>
      <c r="BO405" s="379"/>
      <c r="BP405" s="379"/>
      <c r="BQ405" s="379"/>
      <c r="BR405" s="379"/>
      <c r="BS405" s="379"/>
      <c r="BT405" s="379"/>
      <c r="BU405" s="379"/>
      <c r="BV405" s="379"/>
      <c r="BW405" s="379"/>
      <c r="BX405" s="379"/>
      <c r="BY405" s="379"/>
      <c r="BZ405" s="379"/>
      <c r="CA405" s="281"/>
      <c r="CB405" s="3" t="str">
        <f t="shared" si="57"/>
        <v>Riadok bude skrytý.</v>
      </c>
      <c r="CC405" s="271" t="s">
        <v>832</v>
      </c>
      <c r="CW405" s="30">
        <f t="shared" si="60"/>
        <v>0</v>
      </c>
      <c r="CZ405" s="30">
        <f t="shared" si="61"/>
        <v>1</v>
      </c>
      <c r="DA405" s="30">
        <f t="shared" si="59"/>
        <v>0</v>
      </c>
      <c r="DB405" s="140">
        <f t="shared" si="56"/>
        <v>0</v>
      </c>
      <c r="DS405" s="130">
        <f>SI!BY405</f>
        <v>528</v>
      </c>
      <c r="DZ405" s="131">
        <f>SI!BZ405</f>
        <v>0</v>
      </c>
    </row>
    <row r="406" spans="1:130" hidden="1" x14ac:dyDescent="0.25">
      <c r="A406" s="141"/>
      <c r="B406" s="379"/>
      <c r="C406" s="379"/>
      <c r="D406" s="379"/>
      <c r="E406" s="379"/>
      <c r="F406" s="379"/>
      <c r="G406" s="379"/>
      <c r="H406" s="379"/>
      <c r="I406" s="379"/>
      <c r="J406" s="379"/>
      <c r="K406" s="379"/>
      <c r="L406" s="379"/>
      <c r="M406" s="379"/>
      <c r="N406" s="379"/>
      <c r="O406" s="379"/>
      <c r="P406" s="379"/>
      <c r="Q406" s="379"/>
      <c r="R406" s="379"/>
      <c r="S406" s="379"/>
      <c r="T406" s="379"/>
      <c r="U406" s="379"/>
      <c r="V406" s="379"/>
      <c r="W406" s="379"/>
      <c r="X406" s="379"/>
      <c r="Y406" s="379"/>
      <c r="Z406" s="379"/>
      <c r="AA406" s="379"/>
      <c r="AB406" s="379"/>
      <c r="AC406" s="379"/>
      <c r="AD406" s="379"/>
      <c r="AE406" s="379"/>
      <c r="AF406" s="379"/>
      <c r="AG406" s="379"/>
      <c r="AH406" s="379"/>
      <c r="AI406" s="379"/>
      <c r="AJ406" s="379"/>
      <c r="AK406" s="379"/>
      <c r="AL406" s="379"/>
      <c r="AM406" s="379"/>
      <c r="AN406" s="379"/>
      <c r="AO406" s="379"/>
      <c r="AP406" s="379"/>
      <c r="AQ406" s="379"/>
      <c r="AR406" s="379"/>
      <c r="AS406" s="379"/>
      <c r="AT406" s="379"/>
      <c r="AU406" s="379"/>
      <c r="AV406" s="379"/>
      <c r="AW406" s="379"/>
      <c r="AX406" s="379"/>
      <c r="AY406" s="379"/>
      <c r="AZ406" s="379"/>
      <c r="BA406" s="379"/>
      <c r="BB406" s="379"/>
      <c r="BC406" s="379"/>
      <c r="BD406" s="379"/>
      <c r="BE406" s="379"/>
      <c r="BF406" s="379"/>
      <c r="BG406" s="379"/>
      <c r="BH406" s="379"/>
      <c r="BI406" s="379"/>
      <c r="BJ406" s="379"/>
      <c r="BK406" s="379"/>
      <c r="BL406" s="379"/>
      <c r="BM406" s="379"/>
      <c r="BN406" s="379"/>
      <c r="BO406" s="379"/>
      <c r="BP406" s="379"/>
      <c r="BQ406" s="379"/>
      <c r="BR406" s="379"/>
      <c r="BS406" s="379"/>
      <c r="BT406" s="379"/>
      <c r="BU406" s="379"/>
      <c r="BV406" s="379"/>
      <c r="BW406" s="379"/>
      <c r="BX406" s="379"/>
      <c r="BY406" s="379"/>
      <c r="BZ406" s="379"/>
      <c r="CA406" s="281"/>
      <c r="CB406" s="3" t="str">
        <f t="shared" si="57"/>
        <v>Riadok bude skrytý.</v>
      </c>
      <c r="CC406" s="271" t="s">
        <v>832</v>
      </c>
      <c r="CW406" s="30">
        <f t="shared" si="60"/>
        <v>0</v>
      </c>
      <c r="CZ406" s="30">
        <f t="shared" si="61"/>
        <v>1</v>
      </c>
      <c r="DA406" s="30">
        <f t="shared" si="59"/>
        <v>0</v>
      </c>
      <c r="DB406" s="140">
        <f t="shared" si="56"/>
        <v>0</v>
      </c>
      <c r="DS406" s="130">
        <f>SI!BY406</f>
        <v>146</v>
      </c>
      <c r="DZ406" s="131">
        <f>SI!BZ406</f>
        <v>0</v>
      </c>
    </row>
    <row r="407" spans="1:130" hidden="1" x14ac:dyDescent="0.25">
      <c r="A407" s="141"/>
      <c r="B407" s="379"/>
      <c r="C407" s="379"/>
      <c r="D407" s="379"/>
      <c r="E407" s="379"/>
      <c r="F407" s="379"/>
      <c r="G407" s="379"/>
      <c r="H407" s="379"/>
      <c r="I407" s="379"/>
      <c r="J407" s="379"/>
      <c r="K407" s="379"/>
      <c r="L407" s="379"/>
      <c r="M407" s="379"/>
      <c r="N407" s="379"/>
      <c r="O407" s="379"/>
      <c r="P407" s="379"/>
      <c r="Q407" s="379"/>
      <c r="R407" s="379"/>
      <c r="S407" s="379"/>
      <c r="T407" s="379"/>
      <c r="U407" s="379"/>
      <c r="V407" s="379"/>
      <c r="W407" s="379"/>
      <c r="X407" s="379"/>
      <c r="Y407" s="379"/>
      <c r="Z407" s="379"/>
      <c r="AA407" s="379"/>
      <c r="AB407" s="379"/>
      <c r="AC407" s="379"/>
      <c r="AD407" s="379"/>
      <c r="AE407" s="379"/>
      <c r="AF407" s="379"/>
      <c r="AG407" s="379"/>
      <c r="AH407" s="379"/>
      <c r="AI407" s="379"/>
      <c r="AJ407" s="379"/>
      <c r="AK407" s="379"/>
      <c r="AL407" s="379"/>
      <c r="AM407" s="379"/>
      <c r="AN407" s="379"/>
      <c r="AO407" s="379"/>
      <c r="AP407" s="379"/>
      <c r="AQ407" s="379"/>
      <c r="AR407" s="379"/>
      <c r="AS407" s="379"/>
      <c r="AT407" s="379"/>
      <c r="AU407" s="379"/>
      <c r="AV407" s="379"/>
      <c r="AW407" s="379"/>
      <c r="AX407" s="379"/>
      <c r="AY407" s="379"/>
      <c r="AZ407" s="379"/>
      <c r="BA407" s="379"/>
      <c r="BB407" s="379"/>
      <c r="BC407" s="379"/>
      <c r="BD407" s="379"/>
      <c r="BE407" s="379"/>
      <c r="BF407" s="379"/>
      <c r="BG407" s="379"/>
      <c r="BH407" s="379"/>
      <c r="BI407" s="379"/>
      <c r="BJ407" s="379"/>
      <c r="BK407" s="379"/>
      <c r="BL407" s="379"/>
      <c r="BM407" s="379"/>
      <c r="BN407" s="379"/>
      <c r="BO407" s="379"/>
      <c r="BP407" s="379"/>
      <c r="BQ407" s="379"/>
      <c r="BR407" s="379"/>
      <c r="BS407" s="379"/>
      <c r="BT407" s="379"/>
      <c r="BU407" s="379"/>
      <c r="BV407" s="379"/>
      <c r="BW407" s="379"/>
      <c r="BX407" s="379"/>
      <c r="BY407" s="379"/>
      <c r="BZ407" s="379"/>
      <c r="CA407" s="281"/>
      <c r="CB407" s="3" t="str">
        <f t="shared" si="57"/>
        <v>Riadok bude skrytý.</v>
      </c>
      <c r="CC407" s="271" t="s">
        <v>832</v>
      </c>
      <c r="CW407" s="30">
        <f t="shared" si="60"/>
        <v>0</v>
      </c>
      <c r="CZ407" s="30">
        <f t="shared" si="61"/>
        <v>1</v>
      </c>
      <c r="DA407" s="30">
        <f t="shared" si="59"/>
        <v>0</v>
      </c>
      <c r="DB407" s="140">
        <f t="shared" si="56"/>
        <v>0</v>
      </c>
      <c r="DS407" s="130">
        <f>SI!BY407</f>
        <v>227</v>
      </c>
      <c r="DZ407" s="131">
        <f>SI!BZ407</f>
        <v>0</v>
      </c>
    </row>
    <row r="408" spans="1:130" hidden="1" x14ac:dyDescent="0.25">
      <c r="A408" s="141"/>
      <c r="B408" s="379"/>
      <c r="C408" s="379"/>
      <c r="D408" s="379"/>
      <c r="E408" s="379"/>
      <c r="F408" s="379"/>
      <c r="G408" s="379"/>
      <c r="H408" s="379"/>
      <c r="I408" s="379"/>
      <c r="J408" s="379"/>
      <c r="K408" s="379"/>
      <c r="L408" s="379"/>
      <c r="M408" s="379"/>
      <c r="N408" s="379"/>
      <c r="O408" s="379"/>
      <c r="P408" s="379"/>
      <c r="Q408" s="379"/>
      <c r="R408" s="379"/>
      <c r="S408" s="379"/>
      <c r="T408" s="379"/>
      <c r="U408" s="379"/>
      <c r="V408" s="379"/>
      <c r="W408" s="379"/>
      <c r="X408" s="379"/>
      <c r="Y408" s="379"/>
      <c r="Z408" s="379"/>
      <c r="AA408" s="379"/>
      <c r="AB408" s="379"/>
      <c r="AC408" s="379"/>
      <c r="AD408" s="379"/>
      <c r="AE408" s="379"/>
      <c r="AF408" s="379"/>
      <c r="AG408" s="379"/>
      <c r="AH408" s="379"/>
      <c r="AI408" s="379"/>
      <c r="AJ408" s="379"/>
      <c r="AK408" s="379"/>
      <c r="AL408" s="379"/>
      <c r="AM408" s="379"/>
      <c r="AN408" s="379"/>
      <c r="AO408" s="379"/>
      <c r="AP408" s="379"/>
      <c r="AQ408" s="379"/>
      <c r="AR408" s="379"/>
      <c r="AS408" s="379"/>
      <c r="AT408" s="379"/>
      <c r="AU408" s="379"/>
      <c r="AV408" s="379"/>
      <c r="AW408" s="379"/>
      <c r="AX408" s="379"/>
      <c r="AY408" s="379"/>
      <c r="AZ408" s="379"/>
      <c r="BA408" s="379"/>
      <c r="BB408" s="379"/>
      <c r="BC408" s="379"/>
      <c r="BD408" s="379"/>
      <c r="BE408" s="379"/>
      <c r="BF408" s="379"/>
      <c r="BG408" s="379"/>
      <c r="BH408" s="379"/>
      <c r="BI408" s="379"/>
      <c r="BJ408" s="379"/>
      <c r="BK408" s="379"/>
      <c r="BL408" s="379"/>
      <c r="BM408" s="379"/>
      <c r="BN408" s="379"/>
      <c r="BO408" s="379"/>
      <c r="BP408" s="379"/>
      <c r="BQ408" s="379"/>
      <c r="BR408" s="379"/>
      <c r="BS408" s="379"/>
      <c r="BT408" s="379"/>
      <c r="BU408" s="379"/>
      <c r="BV408" s="379"/>
      <c r="BW408" s="379"/>
      <c r="BX408" s="379"/>
      <c r="BY408" s="379"/>
      <c r="BZ408" s="379"/>
      <c r="CA408" s="281"/>
      <c r="CB408" s="3" t="str">
        <f t="shared" si="57"/>
        <v>Riadok bude skrytý.</v>
      </c>
      <c r="CC408" s="271" t="s">
        <v>832</v>
      </c>
      <c r="CW408" s="30">
        <f t="shared" si="60"/>
        <v>0</v>
      </c>
      <c r="CZ408" s="30">
        <f t="shared" si="61"/>
        <v>1</v>
      </c>
      <c r="DA408" s="30">
        <f t="shared" si="59"/>
        <v>0</v>
      </c>
      <c r="DB408" s="140">
        <f t="shared" si="56"/>
        <v>0</v>
      </c>
      <c r="DS408" s="130">
        <f>SI!BY408</f>
        <v>167</v>
      </c>
      <c r="DZ408" s="131">
        <f>SI!BZ408</f>
        <v>0</v>
      </c>
    </row>
    <row r="409" spans="1:130" hidden="1" x14ac:dyDescent="0.25">
      <c r="A409" s="141"/>
      <c r="B409" s="379"/>
      <c r="C409" s="379"/>
      <c r="D409" s="379"/>
      <c r="E409" s="379"/>
      <c r="F409" s="379"/>
      <c r="G409" s="379"/>
      <c r="H409" s="379"/>
      <c r="I409" s="379"/>
      <c r="J409" s="379"/>
      <c r="K409" s="379"/>
      <c r="L409" s="379"/>
      <c r="M409" s="379"/>
      <c r="N409" s="379"/>
      <c r="O409" s="379"/>
      <c r="P409" s="379"/>
      <c r="Q409" s="379"/>
      <c r="R409" s="379"/>
      <c r="S409" s="379"/>
      <c r="T409" s="379"/>
      <c r="U409" s="379"/>
      <c r="V409" s="379"/>
      <c r="W409" s="379"/>
      <c r="X409" s="379"/>
      <c r="Y409" s="379"/>
      <c r="Z409" s="379"/>
      <c r="AA409" s="379"/>
      <c r="AB409" s="379"/>
      <c r="AC409" s="379"/>
      <c r="AD409" s="379"/>
      <c r="AE409" s="379"/>
      <c r="AF409" s="379"/>
      <c r="AG409" s="379"/>
      <c r="AH409" s="379"/>
      <c r="AI409" s="379"/>
      <c r="AJ409" s="379"/>
      <c r="AK409" s="379"/>
      <c r="AL409" s="379"/>
      <c r="AM409" s="379"/>
      <c r="AN409" s="379"/>
      <c r="AO409" s="379"/>
      <c r="AP409" s="379"/>
      <c r="AQ409" s="379"/>
      <c r="AR409" s="379"/>
      <c r="AS409" s="379"/>
      <c r="AT409" s="379"/>
      <c r="AU409" s="379"/>
      <c r="AV409" s="379"/>
      <c r="AW409" s="379"/>
      <c r="AX409" s="379"/>
      <c r="AY409" s="379"/>
      <c r="AZ409" s="379"/>
      <c r="BA409" s="379"/>
      <c r="BB409" s="379"/>
      <c r="BC409" s="379"/>
      <c r="BD409" s="379"/>
      <c r="BE409" s="379"/>
      <c r="BF409" s="379"/>
      <c r="BG409" s="379"/>
      <c r="BH409" s="379"/>
      <c r="BI409" s="379"/>
      <c r="BJ409" s="379"/>
      <c r="BK409" s="379"/>
      <c r="BL409" s="379"/>
      <c r="BM409" s="379"/>
      <c r="BN409" s="379"/>
      <c r="BO409" s="379"/>
      <c r="BP409" s="379"/>
      <c r="BQ409" s="379"/>
      <c r="BR409" s="379"/>
      <c r="BS409" s="379"/>
      <c r="BT409" s="379"/>
      <c r="BU409" s="379"/>
      <c r="BV409" s="379"/>
      <c r="BW409" s="379"/>
      <c r="BX409" s="379"/>
      <c r="BY409" s="379"/>
      <c r="BZ409" s="379"/>
      <c r="CA409" s="281"/>
      <c r="CB409" s="3" t="str">
        <f t="shared" si="57"/>
        <v>Riadok bude skrytý.</v>
      </c>
      <c r="CC409" s="271" t="s">
        <v>832</v>
      </c>
      <c r="CW409" s="30">
        <f t="shared" si="60"/>
        <v>0</v>
      </c>
      <c r="CZ409" s="30">
        <f t="shared" si="61"/>
        <v>1</v>
      </c>
      <c r="DA409" s="30">
        <f t="shared" si="59"/>
        <v>0</v>
      </c>
      <c r="DB409" s="140">
        <f t="shared" si="56"/>
        <v>0</v>
      </c>
      <c r="DS409" s="130">
        <f>SI!BY409</f>
        <v>143</v>
      </c>
      <c r="DZ409" s="131">
        <f>SI!BZ409</f>
        <v>0</v>
      </c>
    </row>
    <row r="410" spans="1:130" hidden="1" x14ac:dyDescent="0.25">
      <c r="A410" s="141"/>
      <c r="B410" s="379"/>
      <c r="C410" s="379"/>
      <c r="D410" s="379"/>
      <c r="E410" s="379"/>
      <c r="F410" s="379"/>
      <c r="G410" s="379"/>
      <c r="H410" s="379"/>
      <c r="I410" s="379"/>
      <c r="J410" s="379"/>
      <c r="K410" s="379"/>
      <c r="L410" s="379"/>
      <c r="M410" s="379"/>
      <c r="N410" s="379"/>
      <c r="O410" s="379"/>
      <c r="P410" s="379"/>
      <c r="Q410" s="379"/>
      <c r="R410" s="379"/>
      <c r="S410" s="379"/>
      <c r="T410" s="379"/>
      <c r="U410" s="379"/>
      <c r="V410" s="379"/>
      <c r="W410" s="379"/>
      <c r="X410" s="379"/>
      <c r="Y410" s="379"/>
      <c r="Z410" s="379"/>
      <c r="AA410" s="379"/>
      <c r="AB410" s="379"/>
      <c r="AC410" s="379"/>
      <c r="AD410" s="379"/>
      <c r="AE410" s="379"/>
      <c r="AF410" s="379"/>
      <c r="AG410" s="379"/>
      <c r="AH410" s="379"/>
      <c r="AI410" s="379"/>
      <c r="AJ410" s="379"/>
      <c r="AK410" s="379"/>
      <c r="AL410" s="379"/>
      <c r="AM410" s="379"/>
      <c r="AN410" s="379"/>
      <c r="AO410" s="379"/>
      <c r="AP410" s="379"/>
      <c r="AQ410" s="379"/>
      <c r="AR410" s="379"/>
      <c r="AS410" s="379"/>
      <c r="AT410" s="379"/>
      <c r="AU410" s="379"/>
      <c r="AV410" s="379"/>
      <c r="AW410" s="379"/>
      <c r="AX410" s="379"/>
      <c r="AY410" s="379"/>
      <c r="AZ410" s="379"/>
      <c r="BA410" s="379"/>
      <c r="BB410" s="379"/>
      <c r="BC410" s="379"/>
      <c r="BD410" s="379"/>
      <c r="BE410" s="379"/>
      <c r="BF410" s="379"/>
      <c r="BG410" s="379"/>
      <c r="BH410" s="379"/>
      <c r="BI410" s="379"/>
      <c r="BJ410" s="379"/>
      <c r="BK410" s="379"/>
      <c r="BL410" s="379"/>
      <c r="BM410" s="379"/>
      <c r="BN410" s="379"/>
      <c r="BO410" s="379"/>
      <c r="BP410" s="379"/>
      <c r="BQ410" s="379"/>
      <c r="BR410" s="379"/>
      <c r="BS410" s="379"/>
      <c r="BT410" s="379"/>
      <c r="BU410" s="379"/>
      <c r="BV410" s="379"/>
      <c r="BW410" s="379"/>
      <c r="BX410" s="379"/>
      <c r="BY410" s="379"/>
      <c r="BZ410" s="379"/>
      <c r="CA410" s="281"/>
      <c r="CB410" s="3" t="str">
        <f t="shared" si="57"/>
        <v>Riadok bude skrytý.</v>
      </c>
      <c r="CC410" s="271" t="s">
        <v>832</v>
      </c>
      <c r="CW410" s="30">
        <f t="shared" si="60"/>
        <v>0</v>
      </c>
      <c r="CZ410" s="30">
        <f t="shared" si="61"/>
        <v>1</v>
      </c>
      <c r="DA410" s="30">
        <f t="shared" si="59"/>
        <v>0</v>
      </c>
      <c r="DB410" s="140">
        <f t="shared" si="56"/>
        <v>0</v>
      </c>
      <c r="DS410" s="130">
        <f>SI!BY410</f>
        <v>160</v>
      </c>
      <c r="DZ410" s="131">
        <f>SI!BZ410</f>
        <v>0</v>
      </c>
    </row>
    <row r="411" spans="1:130" hidden="1" x14ac:dyDescent="0.25">
      <c r="A411" s="141"/>
      <c r="B411" s="379"/>
      <c r="C411" s="379"/>
      <c r="D411" s="379"/>
      <c r="E411" s="379"/>
      <c r="F411" s="379"/>
      <c r="G411" s="379"/>
      <c r="H411" s="379"/>
      <c r="I411" s="379"/>
      <c r="J411" s="379"/>
      <c r="K411" s="379"/>
      <c r="L411" s="379"/>
      <c r="M411" s="379"/>
      <c r="N411" s="379"/>
      <c r="O411" s="379"/>
      <c r="P411" s="379"/>
      <c r="Q411" s="379"/>
      <c r="R411" s="379"/>
      <c r="S411" s="379"/>
      <c r="T411" s="379"/>
      <c r="U411" s="379"/>
      <c r="V411" s="379"/>
      <c r="W411" s="379"/>
      <c r="X411" s="379"/>
      <c r="Y411" s="379"/>
      <c r="Z411" s="379"/>
      <c r="AA411" s="379"/>
      <c r="AB411" s="379"/>
      <c r="AC411" s="379"/>
      <c r="AD411" s="379"/>
      <c r="AE411" s="379"/>
      <c r="AF411" s="379"/>
      <c r="AG411" s="379"/>
      <c r="AH411" s="379"/>
      <c r="AI411" s="379"/>
      <c r="AJ411" s="379"/>
      <c r="AK411" s="379"/>
      <c r="AL411" s="379"/>
      <c r="AM411" s="379"/>
      <c r="AN411" s="379"/>
      <c r="AO411" s="379"/>
      <c r="AP411" s="379"/>
      <c r="AQ411" s="379"/>
      <c r="AR411" s="379"/>
      <c r="AS411" s="379"/>
      <c r="AT411" s="379"/>
      <c r="AU411" s="379"/>
      <c r="AV411" s="379"/>
      <c r="AW411" s="379"/>
      <c r="AX411" s="379"/>
      <c r="AY411" s="379"/>
      <c r="AZ411" s="379"/>
      <c r="BA411" s="379"/>
      <c r="BB411" s="379"/>
      <c r="BC411" s="379"/>
      <c r="BD411" s="379"/>
      <c r="BE411" s="379"/>
      <c r="BF411" s="379"/>
      <c r="BG411" s="379"/>
      <c r="BH411" s="379"/>
      <c r="BI411" s="379"/>
      <c r="BJ411" s="379"/>
      <c r="BK411" s="379"/>
      <c r="BL411" s="379"/>
      <c r="BM411" s="379"/>
      <c r="BN411" s="379"/>
      <c r="BO411" s="379"/>
      <c r="BP411" s="379"/>
      <c r="BQ411" s="379"/>
      <c r="BR411" s="379"/>
      <c r="BS411" s="379"/>
      <c r="BT411" s="379"/>
      <c r="BU411" s="379"/>
      <c r="BV411" s="379"/>
      <c r="BW411" s="379"/>
      <c r="BX411" s="379"/>
      <c r="BY411" s="379"/>
      <c r="BZ411" s="379"/>
      <c r="CA411" s="281"/>
      <c r="CB411" s="3" t="str">
        <f t="shared" si="57"/>
        <v>Riadok bude skrytý.</v>
      </c>
      <c r="CC411" s="271" t="s">
        <v>832</v>
      </c>
      <c r="CW411" s="30">
        <f t="shared" si="60"/>
        <v>0</v>
      </c>
      <c r="CZ411" s="30">
        <f t="shared" si="61"/>
        <v>1</v>
      </c>
      <c r="DA411" s="30">
        <f t="shared" si="59"/>
        <v>0</v>
      </c>
      <c r="DB411" s="140">
        <f t="shared" si="56"/>
        <v>0</v>
      </c>
      <c r="DS411" s="130">
        <f>SI!BY411</f>
        <v>975</v>
      </c>
      <c r="DZ411" s="131">
        <f>SI!BZ411</f>
        <v>0</v>
      </c>
    </row>
    <row r="412" spans="1:130" hidden="1" x14ac:dyDescent="0.25">
      <c r="A412" s="141"/>
      <c r="B412" s="379"/>
      <c r="C412" s="379"/>
      <c r="D412" s="379"/>
      <c r="E412" s="379"/>
      <c r="F412" s="379"/>
      <c r="G412" s="379"/>
      <c r="H412" s="379"/>
      <c r="I412" s="379"/>
      <c r="J412" s="379"/>
      <c r="K412" s="379"/>
      <c r="L412" s="379"/>
      <c r="M412" s="379"/>
      <c r="N412" s="379"/>
      <c r="O412" s="379"/>
      <c r="P412" s="379"/>
      <c r="Q412" s="379"/>
      <c r="R412" s="379"/>
      <c r="S412" s="379"/>
      <c r="T412" s="379"/>
      <c r="U412" s="379"/>
      <c r="V412" s="379"/>
      <c r="W412" s="379"/>
      <c r="X412" s="379"/>
      <c r="Y412" s="379"/>
      <c r="Z412" s="379"/>
      <c r="AA412" s="379"/>
      <c r="AB412" s="379"/>
      <c r="AC412" s="379"/>
      <c r="AD412" s="379"/>
      <c r="AE412" s="379"/>
      <c r="AF412" s="379"/>
      <c r="AG412" s="379"/>
      <c r="AH412" s="379"/>
      <c r="AI412" s="379"/>
      <c r="AJ412" s="379"/>
      <c r="AK412" s="379"/>
      <c r="AL412" s="379"/>
      <c r="AM412" s="379"/>
      <c r="AN412" s="379"/>
      <c r="AO412" s="379"/>
      <c r="AP412" s="379"/>
      <c r="AQ412" s="379"/>
      <c r="AR412" s="379"/>
      <c r="AS412" s="379"/>
      <c r="AT412" s="379"/>
      <c r="AU412" s="379"/>
      <c r="AV412" s="379"/>
      <c r="AW412" s="379"/>
      <c r="AX412" s="379"/>
      <c r="AY412" s="379"/>
      <c r="AZ412" s="379"/>
      <c r="BA412" s="379"/>
      <c r="BB412" s="379"/>
      <c r="BC412" s="379"/>
      <c r="BD412" s="379"/>
      <c r="BE412" s="379"/>
      <c r="BF412" s="379"/>
      <c r="BG412" s="379"/>
      <c r="BH412" s="379"/>
      <c r="BI412" s="379"/>
      <c r="BJ412" s="379"/>
      <c r="BK412" s="379"/>
      <c r="BL412" s="379"/>
      <c r="BM412" s="379"/>
      <c r="BN412" s="379"/>
      <c r="BO412" s="379"/>
      <c r="BP412" s="379"/>
      <c r="BQ412" s="379"/>
      <c r="BR412" s="379"/>
      <c r="BS412" s="379"/>
      <c r="BT412" s="379"/>
      <c r="BU412" s="379"/>
      <c r="BV412" s="379"/>
      <c r="BW412" s="379"/>
      <c r="BX412" s="379"/>
      <c r="BY412" s="379"/>
      <c r="BZ412" s="379"/>
      <c r="CA412" s="281"/>
      <c r="CB412" s="3" t="str">
        <f t="shared" si="57"/>
        <v>Riadok bude skrytý.</v>
      </c>
      <c r="CC412" s="271" t="s">
        <v>832</v>
      </c>
      <c r="CW412" s="30">
        <f t="shared" si="60"/>
        <v>0</v>
      </c>
      <c r="CZ412" s="30">
        <f t="shared" si="61"/>
        <v>1</v>
      </c>
      <c r="DA412" s="30">
        <f>+IF(CW412+CX412+CY412=0,0,IF(CZ412=0,0,1))</f>
        <v>0</v>
      </c>
      <c r="DB412" s="140">
        <f t="shared" si="56"/>
        <v>0</v>
      </c>
      <c r="DS412" s="130">
        <f>SI!BY412</f>
        <v>880</v>
      </c>
      <c r="DZ412" s="131">
        <f>SI!BZ412</f>
        <v>0</v>
      </c>
    </row>
    <row r="413" spans="1:130" hidden="1" x14ac:dyDescent="0.25">
      <c r="A413" s="141"/>
      <c r="B413" s="379"/>
      <c r="C413" s="379"/>
      <c r="D413" s="379"/>
      <c r="E413" s="379"/>
      <c r="F413" s="379"/>
      <c r="G413" s="379"/>
      <c r="H413" s="379"/>
      <c r="I413" s="379"/>
      <c r="J413" s="379"/>
      <c r="K413" s="379"/>
      <c r="L413" s="379"/>
      <c r="M413" s="379"/>
      <c r="N413" s="379"/>
      <c r="O413" s="379"/>
      <c r="P413" s="379"/>
      <c r="Q413" s="379"/>
      <c r="R413" s="379"/>
      <c r="S413" s="379"/>
      <c r="T413" s="379"/>
      <c r="U413" s="379"/>
      <c r="V413" s="379"/>
      <c r="W413" s="379"/>
      <c r="X413" s="379"/>
      <c r="Y413" s="379"/>
      <c r="Z413" s="379"/>
      <c r="AA413" s="379"/>
      <c r="AB413" s="379"/>
      <c r="AC413" s="379"/>
      <c r="AD413" s="379"/>
      <c r="AE413" s="379"/>
      <c r="AF413" s="379"/>
      <c r="AG413" s="379"/>
      <c r="AH413" s="379"/>
      <c r="AI413" s="379"/>
      <c r="AJ413" s="379"/>
      <c r="AK413" s="379"/>
      <c r="AL413" s="379"/>
      <c r="AM413" s="379"/>
      <c r="AN413" s="379"/>
      <c r="AO413" s="379"/>
      <c r="AP413" s="379"/>
      <c r="AQ413" s="379"/>
      <c r="AR413" s="379"/>
      <c r="AS413" s="379"/>
      <c r="AT413" s="379"/>
      <c r="AU413" s="379"/>
      <c r="AV413" s="379"/>
      <c r="AW413" s="379"/>
      <c r="AX413" s="379"/>
      <c r="AY413" s="379"/>
      <c r="AZ413" s="379"/>
      <c r="BA413" s="379"/>
      <c r="BB413" s="379"/>
      <c r="BC413" s="379"/>
      <c r="BD413" s="379"/>
      <c r="BE413" s="379"/>
      <c r="BF413" s="379"/>
      <c r="BG413" s="379"/>
      <c r="BH413" s="379"/>
      <c r="BI413" s="379"/>
      <c r="BJ413" s="379"/>
      <c r="BK413" s="379"/>
      <c r="BL413" s="379"/>
      <c r="BM413" s="379"/>
      <c r="BN413" s="379"/>
      <c r="BO413" s="379"/>
      <c r="BP413" s="379"/>
      <c r="BQ413" s="379"/>
      <c r="BR413" s="379"/>
      <c r="BS413" s="379"/>
      <c r="BT413" s="379"/>
      <c r="BU413" s="379"/>
      <c r="BV413" s="379"/>
      <c r="BW413" s="379"/>
      <c r="BX413" s="379"/>
      <c r="BY413" s="379"/>
      <c r="BZ413" s="379"/>
      <c r="CA413" s="281"/>
      <c r="CB413" s="3" t="str">
        <f t="shared" si="57"/>
        <v>Riadok bude skrytý.</v>
      </c>
      <c r="CC413" s="271" t="s">
        <v>832</v>
      </c>
      <c r="CW413" s="30">
        <f t="shared" si="60"/>
        <v>0</v>
      </c>
      <c r="CZ413" s="30">
        <f t="shared" si="61"/>
        <v>1</v>
      </c>
      <c r="DA413" s="30">
        <f>+IF(CW413+CX413+CY413=0,0,IF(CZ413=0,0,1))</f>
        <v>0</v>
      </c>
      <c r="DB413" s="140">
        <f t="shared" si="56"/>
        <v>0</v>
      </c>
      <c r="DS413" s="130">
        <f>SI!BY413</f>
        <v>106</v>
      </c>
      <c r="DZ413" s="131">
        <f>SI!BZ413</f>
        <v>0</v>
      </c>
    </row>
    <row r="414" spans="1:130" hidden="1" x14ac:dyDescent="0.25">
      <c r="A414" s="141"/>
      <c r="B414" s="1777"/>
      <c r="C414" s="1777"/>
      <c r="D414" s="1777"/>
      <c r="E414" s="1777"/>
      <c r="F414" s="1777"/>
      <c r="G414" s="1777"/>
      <c r="H414" s="1777"/>
      <c r="I414" s="1777"/>
      <c r="J414" s="1777"/>
      <c r="K414" s="1777"/>
      <c r="L414" s="1777"/>
      <c r="M414" s="1777"/>
      <c r="N414" s="1777"/>
      <c r="O414" s="1777"/>
      <c r="P414" s="1777"/>
      <c r="Q414" s="1777"/>
      <c r="R414" s="1777"/>
      <c r="S414" s="1777"/>
      <c r="T414" s="1777"/>
      <c r="U414" s="1777"/>
      <c r="V414" s="1777"/>
      <c r="W414" s="1777"/>
      <c r="X414" s="1777"/>
      <c r="Y414" s="1777"/>
      <c r="Z414" s="1777"/>
      <c r="AA414" s="1777"/>
      <c r="AB414" s="1777"/>
      <c r="AC414" s="1777"/>
      <c r="AD414" s="1777"/>
      <c r="AE414" s="1777"/>
      <c r="AF414" s="1777"/>
      <c r="AG414" s="1777"/>
      <c r="AH414" s="1777"/>
      <c r="AI414" s="1777"/>
      <c r="AJ414" s="1777"/>
      <c r="AK414" s="1777"/>
      <c r="AL414" s="1777"/>
      <c r="AM414" s="1777"/>
      <c r="AN414" s="1777"/>
      <c r="AO414" s="1777"/>
      <c r="AP414" s="1777"/>
      <c r="AQ414" s="1777"/>
      <c r="AR414" s="1777"/>
      <c r="AS414" s="1777"/>
      <c r="AT414" s="1777"/>
      <c r="AU414" s="1777"/>
      <c r="AV414" s="1777"/>
      <c r="AW414" s="1777"/>
      <c r="AX414" s="1777"/>
      <c r="AY414" s="1777"/>
      <c r="AZ414" s="1777"/>
      <c r="BA414" s="1777"/>
      <c r="BB414" s="1777"/>
      <c r="BC414" s="1777"/>
      <c r="BD414" s="1777"/>
      <c r="BE414" s="1777"/>
      <c r="BF414" s="1777"/>
      <c r="BG414" s="1777"/>
      <c r="BH414" s="1777"/>
      <c r="BI414" s="1777"/>
      <c r="BJ414" s="1777"/>
      <c r="BK414" s="1777"/>
      <c r="BL414" s="1777"/>
      <c r="BM414" s="1777"/>
      <c r="BN414" s="1777"/>
      <c r="BO414" s="1777"/>
      <c r="BP414" s="1777"/>
      <c r="BQ414" s="1777"/>
      <c r="BR414" s="1777"/>
      <c r="BS414" s="1777"/>
      <c r="BT414" s="1777"/>
      <c r="BU414" s="1777"/>
      <c r="BV414" s="1777"/>
      <c r="BW414" s="1777"/>
      <c r="BX414" s="1777"/>
      <c r="BY414" s="1777"/>
      <c r="BZ414" s="1777"/>
      <c r="CA414" s="282"/>
      <c r="CB414" s="3" t="str">
        <f t="shared" si="57"/>
        <v>Riadok bude skrytý.</v>
      </c>
      <c r="CC414" s="271" t="s">
        <v>832</v>
      </c>
      <c r="CW414" s="134">
        <f>+IF(SUM(CW419:CW428)=0,0,1)</f>
        <v>0</v>
      </c>
      <c r="CZ414" s="30">
        <f t="shared" si="61"/>
        <v>1</v>
      </c>
      <c r="DA414" s="30">
        <f>+IF(CW414+CX414+CY414=0,0,IF(CZ414=0,0,1))</f>
        <v>0</v>
      </c>
      <c r="DB414" s="140">
        <f t="shared" si="56"/>
        <v>0</v>
      </c>
      <c r="DS414" s="130">
        <f>SI!BY414</f>
        <v>945</v>
      </c>
      <c r="DZ414" s="131">
        <f>SI!BZ414</f>
        <v>0</v>
      </c>
    </row>
    <row r="415" spans="1:130" hidden="1" x14ac:dyDescent="0.25">
      <c r="A415" s="141"/>
      <c r="B415" s="137" t="str">
        <f>+IF($C$52&lt;&gt;"",IF(CODE(MID($C$52,1,1))*(IF(SI!EE415="",1,SI!EE415))+LEN(SI!J2)=DS415,"Predpokladaná doba používania, metóda odpisovania a odpisová sadzba sú uvedené v  tabuľke:","NEPOVOLENÉ POUŽITIE!"),"NEPOVOLENÉ POUŽITIE!")</f>
        <v>Predpokladaná doba používania, metóda odpisovania a odpisová sadzba sú uvedené v  tabuľke:</v>
      </c>
      <c r="CA415" s="281"/>
      <c r="CB415" s="3" t="str">
        <f t="shared" si="57"/>
        <v>Riadok bude skrytý.</v>
      </c>
      <c r="CC415" s="271" t="s">
        <v>832</v>
      </c>
      <c r="CW415" s="30">
        <f>+IF(SUM(CW419:CW428)=0,0,1)</f>
        <v>0</v>
      </c>
      <c r="CZ415" s="30">
        <f t="shared" si="61"/>
        <v>1</v>
      </c>
      <c r="DA415" s="30">
        <f>+IF(CW415+CX415+CY415=0,0,IF(CZ415=0,0,1))</f>
        <v>0</v>
      </c>
      <c r="DB415" s="140">
        <f t="shared" si="56"/>
        <v>0</v>
      </c>
      <c r="DS415" s="130">
        <f>SI!BY415</f>
        <v>13</v>
      </c>
      <c r="DZ415" s="131">
        <f>SI!BZ415</f>
        <v>0</v>
      </c>
    </row>
    <row r="416" spans="1:130" hidden="1" x14ac:dyDescent="0.25">
      <c r="A416" s="141"/>
      <c r="B416" s="1777"/>
      <c r="C416" s="1777"/>
      <c r="D416" s="1777"/>
      <c r="E416" s="1777"/>
      <c r="F416" s="1777"/>
      <c r="G416" s="1777"/>
      <c r="H416" s="1777"/>
      <c r="I416" s="1777"/>
      <c r="J416" s="1777"/>
      <c r="K416" s="1777"/>
      <c r="L416" s="1777"/>
      <c r="M416" s="1777"/>
      <c r="N416" s="1777"/>
      <c r="O416" s="1777"/>
      <c r="P416" s="1777"/>
      <c r="Q416" s="1777"/>
      <c r="R416" s="1777"/>
      <c r="S416" s="1777"/>
      <c r="T416" s="1777"/>
      <c r="U416" s="1777"/>
      <c r="V416" s="1777"/>
      <c r="W416" s="1777"/>
      <c r="X416" s="1777"/>
      <c r="Y416" s="1777"/>
      <c r="Z416" s="1777"/>
      <c r="AA416" s="1777"/>
      <c r="AB416" s="1777"/>
      <c r="AC416" s="1777"/>
      <c r="AD416" s="1777"/>
      <c r="AE416" s="1777"/>
      <c r="AF416" s="1777"/>
      <c r="AG416" s="1777"/>
      <c r="AH416" s="1777"/>
      <c r="AI416" s="1777"/>
      <c r="AJ416" s="1777"/>
      <c r="AK416" s="1777"/>
      <c r="AL416" s="1777"/>
      <c r="AM416" s="1777"/>
      <c r="AN416" s="1777"/>
      <c r="AO416" s="1777"/>
      <c r="AP416" s="1777"/>
      <c r="AQ416" s="1777"/>
      <c r="AR416" s="1777"/>
      <c r="AS416" s="1777"/>
      <c r="AT416" s="1777"/>
      <c r="AU416" s="1777"/>
      <c r="AV416" s="1777"/>
      <c r="AW416" s="1777"/>
      <c r="AX416" s="1777"/>
      <c r="AY416" s="1777"/>
      <c r="AZ416" s="1777"/>
      <c r="BA416" s="1777"/>
      <c r="BB416" s="1777"/>
      <c r="BC416" s="1777"/>
      <c r="BD416" s="1777"/>
      <c r="BE416" s="1777"/>
      <c r="BF416" s="1777"/>
      <c r="BG416" s="1777"/>
      <c r="BH416" s="1777"/>
      <c r="BI416" s="1777"/>
      <c r="BJ416" s="1777"/>
      <c r="BK416" s="1777"/>
      <c r="BL416" s="1777"/>
      <c r="BM416" s="1777"/>
      <c r="BN416" s="1777"/>
      <c r="BO416" s="1777"/>
      <c r="BP416" s="1777"/>
      <c r="BQ416" s="1777"/>
      <c r="BR416" s="1777"/>
      <c r="BS416" s="1777"/>
      <c r="BT416" s="1777"/>
      <c r="BU416" s="1777"/>
      <c r="BV416" s="1777"/>
      <c r="BW416" s="1777"/>
      <c r="BX416" s="1777"/>
      <c r="BY416" s="1777"/>
      <c r="BZ416" s="1777"/>
      <c r="CA416" s="282"/>
      <c r="CB416" s="3" t="str">
        <f t="shared" si="57"/>
        <v>Riadok bude skrytý.</v>
      </c>
      <c r="CC416" s="271" t="s">
        <v>832</v>
      </c>
      <c r="CW416" s="30">
        <f>+IF(SUM(CW419:CW428)=0,0,1)</f>
        <v>0</v>
      </c>
      <c r="CZ416" s="30">
        <f t="shared" si="61"/>
        <v>1</v>
      </c>
      <c r="DA416" s="30">
        <f>+IF(CW416+CX416+CY416=0,0,IF(CZ416=0,0,1))</f>
        <v>0</v>
      </c>
      <c r="DB416" s="140">
        <f t="shared" si="56"/>
        <v>0</v>
      </c>
      <c r="DS416" s="130">
        <f>SI!BY416</f>
        <v>249</v>
      </c>
      <c r="DZ416" s="131">
        <f>SI!BZ416</f>
        <v>0</v>
      </c>
    </row>
    <row r="417" spans="1:130" ht="18" hidden="1" customHeight="1" x14ac:dyDescent="0.25">
      <c r="A417" s="141"/>
      <c r="B417" s="1786" t="s">
        <v>783</v>
      </c>
      <c r="C417" s="1787"/>
      <c r="D417" s="1787"/>
      <c r="E417" s="1787"/>
      <c r="F417" s="1787"/>
      <c r="G417" s="1787"/>
      <c r="H417" s="1787"/>
      <c r="I417" s="1787"/>
      <c r="J417" s="1787"/>
      <c r="K417" s="1787"/>
      <c r="L417" s="1787"/>
      <c r="M417" s="1787"/>
      <c r="N417" s="1787"/>
      <c r="O417" s="1787"/>
      <c r="P417" s="1787"/>
      <c r="Q417" s="1787"/>
      <c r="R417" s="1787"/>
      <c r="S417" s="1787"/>
      <c r="T417" s="1787"/>
      <c r="U417" s="1787"/>
      <c r="V417" s="1787"/>
      <c r="W417" s="1787"/>
      <c r="X417" s="1787"/>
      <c r="Y417" s="1787"/>
      <c r="Z417" s="1787"/>
      <c r="AA417" s="1787"/>
      <c r="AB417" s="1787"/>
      <c r="AC417" s="1787"/>
      <c r="AD417" s="1787"/>
      <c r="AE417" s="1787"/>
      <c r="AF417" s="1787"/>
      <c r="AG417" s="1787"/>
      <c r="AH417" s="1787"/>
      <c r="AI417" s="1787"/>
      <c r="AJ417" s="1787"/>
      <c r="AK417" s="1787"/>
      <c r="AL417" s="1787"/>
      <c r="AM417" s="1787"/>
      <c r="AN417" s="1787"/>
      <c r="AO417" s="1787"/>
      <c r="AP417" s="1787"/>
      <c r="AQ417" s="1787"/>
      <c r="AR417" s="1787"/>
      <c r="AS417" s="1787"/>
      <c r="AT417" s="1788"/>
      <c r="AU417" s="543" t="s">
        <v>59</v>
      </c>
      <c r="AV417" s="544"/>
      <c r="AW417" s="544"/>
      <c r="AX417" s="544"/>
      <c r="AY417" s="544"/>
      <c r="AZ417" s="544"/>
      <c r="BA417" s="544"/>
      <c r="BB417" s="544"/>
      <c r="BC417" s="544"/>
      <c r="BD417" s="544"/>
      <c r="BE417" s="545"/>
      <c r="BF417" s="543" t="s">
        <v>60</v>
      </c>
      <c r="BG417" s="544"/>
      <c r="BH417" s="544"/>
      <c r="BI417" s="544"/>
      <c r="BJ417" s="544"/>
      <c r="BK417" s="544"/>
      <c r="BL417" s="544"/>
      <c r="BM417" s="544"/>
      <c r="BN417" s="544"/>
      <c r="BO417" s="544"/>
      <c r="BP417" s="545"/>
      <c r="BQ417" s="543" t="s">
        <v>705</v>
      </c>
      <c r="BR417" s="544"/>
      <c r="BS417" s="544"/>
      <c r="BT417" s="544"/>
      <c r="BU417" s="544"/>
      <c r="BV417" s="544"/>
      <c r="BW417" s="544"/>
      <c r="BX417" s="544"/>
      <c r="BY417" s="544"/>
      <c r="BZ417" s="545"/>
      <c r="CA417" s="265" t="s">
        <v>773</v>
      </c>
      <c r="CB417" s="3" t="str">
        <f t="shared" si="57"/>
        <v>Riadok bude skrytý.</v>
      </c>
      <c r="CC417" s="271" t="s">
        <v>832</v>
      </c>
      <c r="CW417" s="32">
        <f>+IF(SUM(CW419:CW428)=0,0,1)</f>
        <v>0</v>
      </c>
      <c r="CZ417" s="30">
        <f t="shared" si="61"/>
        <v>1</v>
      </c>
      <c r="DA417" s="30">
        <f t="shared" si="59"/>
        <v>0</v>
      </c>
      <c r="DB417" s="140">
        <f t="shared" si="56"/>
        <v>0</v>
      </c>
      <c r="DS417" s="130">
        <f>SI!BY417</f>
        <v>187</v>
      </c>
      <c r="DZ417" s="131">
        <f>SI!BZ417</f>
        <v>0</v>
      </c>
    </row>
    <row r="418" spans="1:130" ht="18" hidden="1" customHeight="1" x14ac:dyDescent="0.25">
      <c r="A418" s="141"/>
      <c r="B418" s="1789"/>
      <c r="C418" s="1790"/>
      <c r="D418" s="1790"/>
      <c r="E418" s="1790"/>
      <c r="F418" s="1790"/>
      <c r="G418" s="1790"/>
      <c r="H418" s="1790"/>
      <c r="I418" s="1790"/>
      <c r="J418" s="1790"/>
      <c r="K418" s="1790"/>
      <c r="L418" s="1790"/>
      <c r="M418" s="1790"/>
      <c r="N418" s="1790"/>
      <c r="O418" s="1790"/>
      <c r="P418" s="1790"/>
      <c r="Q418" s="1790"/>
      <c r="R418" s="1790"/>
      <c r="S418" s="1790"/>
      <c r="T418" s="1790"/>
      <c r="U418" s="1790"/>
      <c r="V418" s="1790"/>
      <c r="W418" s="1790"/>
      <c r="X418" s="1790"/>
      <c r="Y418" s="1790"/>
      <c r="Z418" s="1790"/>
      <c r="AA418" s="1790"/>
      <c r="AB418" s="1790"/>
      <c r="AC418" s="1790"/>
      <c r="AD418" s="1790"/>
      <c r="AE418" s="1790"/>
      <c r="AF418" s="1790"/>
      <c r="AG418" s="1790"/>
      <c r="AH418" s="1790"/>
      <c r="AI418" s="1790"/>
      <c r="AJ418" s="1790"/>
      <c r="AK418" s="1790"/>
      <c r="AL418" s="1790"/>
      <c r="AM418" s="1790"/>
      <c r="AN418" s="1790"/>
      <c r="AO418" s="1790"/>
      <c r="AP418" s="1790"/>
      <c r="AQ418" s="1790"/>
      <c r="AR418" s="1790"/>
      <c r="AS418" s="1790"/>
      <c r="AT418" s="1791"/>
      <c r="AU418" s="546"/>
      <c r="AV418" s="547"/>
      <c r="AW418" s="547"/>
      <c r="AX418" s="547"/>
      <c r="AY418" s="547"/>
      <c r="AZ418" s="547"/>
      <c r="BA418" s="547"/>
      <c r="BB418" s="547"/>
      <c r="BC418" s="547"/>
      <c r="BD418" s="547"/>
      <c r="BE418" s="548"/>
      <c r="BF418" s="546"/>
      <c r="BG418" s="547"/>
      <c r="BH418" s="547"/>
      <c r="BI418" s="547"/>
      <c r="BJ418" s="547"/>
      <c r="BK418" s="547"/>
      <c r="BL418" s="547"/>
      <c r="BM418" s="547"/>
      <c r="BN418" s="547"/>
      <c r="BO418" s="547"/>
      <c r="BP418" s="548"/>
      <c r="BQ418" s="546"/>
      <c r="BR418" s="547"/>
      <c r="BS418" s="547"/>
      <c r="BT418" s="547"/>
      <c r="BU418" s="547"/>
      <c r="BV418" s="547"/>
      <c r="BW418" s="547"/>
      <c r="BX418" s="547"/>
      <c r="BY418" s="547"/>
      <c r="BZ418" s="548"/>
      <c r="CA418" s="270"/>
      <c r="CB418" s="3" t="str">
        <f t="shared" si="57"/>
        <v>Riadok bude skrytý.</v>
      </c>
      <c r="CC418" s="271" t="s">
        <v>832</v>
      </c>
      <c r="CW418" s="32">
        <f>+IF(SUM(CW419:CW428)=0,0,1)</f>
        <v>0</v>
      </c>
      <c r="CZ418" s="30">
        <f t="shared" si="61"/>
        <v>1</v>
      </c>
      <c r="DA418" s="30">
        <f t="shared" si="59"/>
        <v>0</v>
      </c>
      <c r="DB418" s="140">
        <f t="shared" si="56"/>
        <v>0</v>
      </c>
      <c r="DS418" s="130">
        <f>SI!BY418</f>
        <v>666</v>
      </c>
      <c r="DZ418" s="131">
        <f>SI!BZ418</f>
        <v>0</v>
      </c>
    </row>
    <row r="419" spans="1:130" hidden="1" x14ac:dyDescent="0.25">
      <c r="A419" s="141"/>
      <c r="B419" s="958"/>
      <c r="C419" s="959"/>
      <c r="D419" s="959"/>
      <c r="E419" s="959"/>
      <c r="F419" s="959"/>
      <c r="G419" s="959"/>
      <c r="H419" s="959"/>
      <c r="I419" s="959"/>
      <c r="J419" s="959"/>
      <c r="K419" s="959"/>
      <c r="L419" s="959"/>
      <c r="M419" s="959"/>
      <c r="N419" s="959"/>
      <c r="O419" s="959"/>
      <c r="P419" s="959"/>
      <c r="Q419" s="959"/>
      <c r="R419" s="959"/>
      <c r="S419" s="959"/>
      <c r="T419" s="959"/>
      <c r="U419" s="959"/>
      <c r="V419" s="959"/>
      <c r="W419" s="959"/>
      <c r="X419" s="959"/>
      <c r="Y419" s="959"/>
      <c r="Z419" s="959"/>
      <c r="AA419" s="959"/>
      <c r="AB419" s="959"/>
      <c r="AC419" s="959"/>
      <c r="AD419" s="959"/>
      <c r="AE419" s="959"/>
      <c r="AF419" s="959"/>
      <c r="AG419" s="959"/>
      <c r="AH419" s="959"/>
      <c r="AI419" s="959"/>
      <c r="AJ419" s="959"/>
      <c r="AK419" s="959"/>
      <c r="AL419" s="959"/>
      <c r="AM419" s="959"/>
      <c r="AN419" s="959"/>
      <c r="AO419" s="959"/>
      <c r="AP419" s="959"/>
      <c r="AQ419" s="959"/>
      <c r="AR419" s="959"/>
      <c r="AS419" s="959"/>
      <c r="AT419" s="960"/>
      <c r="AU419" s="1364"/>
      <c r="AV419" s="1365"/>
      <c r="AW419" s="1365"/>
      <c r="AX419" s="1365"/>
      <c r="AY419" s="1365"/>
      <c r="AZ419" s="1365"/>
      <c r="BA419" s="1365"/>
      <c r="BB419" s="1365"/>
      <c r="BC419" s="1365"/>
      <c r="BD419" s="1365"/>
      <c r="BE419" s="1366"/>
      <c r="BF419" s="1364"/>
      <c r="BG419" s="1365"/>
      <c r="BH419" s="1365"/>
      <c r="BI419" s="1365"/>
      <c r="BJ419" s="1365"/>
      <c r="BK419" s="1365"/>
      <c r="BL419" s="1365"/>
      <c r="BM419" s="1365"/>
      <c r="BN419" s="1365"/>
      <c r="BO419" s="1365"/>
      <c r="BP419" s="1366"/>
      <c r="BQ419" s="1367"/>
      <c r="BR419" s="1368"/>
      <c r="BS419" s="1368"/>
      <c r="BT419" s="1368"/>
      <c r="BU419" s="1368"/>
      <c r="BV419" s="1368"/>
      <c r="BW419" s="1368"/>
      <c r="BX419" s="1368"/>
      <c r="BY419" s="1368"/>
      <c r="BZ419" s="1369"/>
      <c r="CA419" s="270"/>
      <c r="CB419" s="3" t="str">
        <f t="shared" si="57"/>
        <v>Riadok bude skrytý.</v>
      </c>
      <c r="CC419" s="271" t="s">
        <v>832</v>
      </c>
      <c r="CW419" s="32">
        <f t="shared" ref="CW419:CW427" si="62">+IF(B419="",0,1)</f>
        <v>0</v>
      </c>
      <c r="CZ419" s="30">
        <f t="shared" si="61"/>
        <v>1</v>
      </c>
      <c r="DA419" s="30">
        <f t="shared" si="59"/>
        <v>0</v>
      </c>
      <c r="DB419" s="140">
        <f t="shared" si="56"/>
        <v>0</v>
      </c>
      <c r="DS419" s="130">
        <f>SI!BY419</f>
        <v>132</v>
      </c>
      <c r="DZ419" s="131">
        <f>SI!BZ419</f>
        <v>0</v>
      </c>
    </row>
    <row r="420" spans="1:130" hidden="1" x14ac:dyDescent="0.25">
      <c r="A420" s="141"/>
      <c r="B420" s="910"/>
      <c r="C420" s="911"/>
      <c r="D420" s="911"/>
      <c r="E420" s="911"/>
      <c r="F420" s="911"/>
      <c r="G420" s="911"/>
      <c r="H420" s="911"/>
      <c r="I420" s="911"/>
      <c r="J420" s="911"/>
      <c r="K420" s="911"/>
      <c r="L420" s="911"/>
      <c r="M420" s="911"/>
      <c r="N420" s="911"/>
      <c r="O420" s="911"/>
      <c r="P420" s="911"/>
      <c r="Q420" s="911"/>
      <c r="R420" s="911"/>
      <c r="S420" s="911"/>
      <c r="T420" s="911"/>
      <c r="U420" s="911"/>
      <c r="V420" s="911"/>
      <c r="W420" s="911"/>
      <c r="X420" s="911"/>
      <c r="Y420" s="911"/>
      <c r="Z420" s="911"/>
      <c r="AA420" s="911"/>
      <c r="AB420" s="911"/>
      <c r="AC420" s="911"/>
      <c r="AD420" s="911"/>
      <c r="AE420" s="911"/>
      <c r="AF420" s="911"/>
      <c r="AG420" s="911"/>
      <c r="AH420" s="911"/>
      <c r="AI420" s="911"/>
      <c r="AJ420" s="911"/>
      <c r="AK420" s="911"/>
      <c r="AL420" s="911"/>
      <c r="AM420" s="911"/>
      <c r="AN420" s="911"/>
      <c r="AO420" s="911"/>
      <c r="AP420" s="911"/>
      <c r="AQ420" s="911"/>
      <c r="AR420" s="911"/>
      <c r="AS420" s="911"/>
      <c r="AT420" s="912"/>
      <c r="AU420" s="1310"/>
      <c r="AV420" s="1311"/>
      <c r="AW420" s="1311"/>
      <c r="AX420" s="1311"/>
      <c r="AY420" s="1311"/>
      <c r="AZ420" s="1311"/>
      <c r="BA420" s="1311"/>
      <c r="BB420" s="1311"/>
      <c r="BC420" s="1311"/>
      <c r="BD420" s="1311"/>
      <c r="BE420" s="1312"/>
      <c r="BF420" s="1313"/>
      <c r="BG420" s="1314"/>
      <c r="BH420" s="1314"/>
      <c r="BI420" s="1314"/>
      <c r="BJ420" s="1314"/>
      <c r="BK420" s="1314"/>
      <c r="BL420" s="1314"/>
      <c r="BM420" s="1314"/>
      <c r="BN420" s="1314"/>
      <c r="BO420" s="1314"/>
      <c r="BP420" s="1315"/>
      <c r="BQ420" s="1361"/>
      <c r="BR420" s="1362"/>
      <c r="BS420" s="1362"/>
      <c r="BT420" s="1362"/>
      <c r="BU420" s="1362"/>
      <c r="BV420" s="1362"/>
      <c r="BW420" s="1362"/>
      <c r="BX420" s="1362"/>
      <c r="BY420" s="1362"/>
      <c r="BZ420" s="1363"/>
      <c r="CA420" s="270"/>
      <c r="CB420" s="3" t="str">
        <f t="shared" si="57"/>
        <v>Riadok bude skrytý.</v>
      </c>
      <c r="CC420" s="271" t="s">
        <v>832</v>
      </c>
      <c r="CW420" s="32">
        <f t="shared" si="62"/>
        <v>0</v>
      </c>
      <c r="CZ420" s="30">
        <f t="shared" si="61"/>
        <v>1</v>
      </c>
      <c r="DA420" s="30">
        <f t="shared" si="59"/>
        <v>0</v>
      </c>
      <c r="DB420" s="140">
        <f t="shared" si="56"/>
        <v>0</v>
      </c>
      <c r="DS420" s="130">
        <f>SI!BY420</f>
        <v>925</v>
      </c>
      <c r="DZ420" s="131">
        <f>SI!BZ420</f>
        <v>0</v>
      </c>
    </row>
    <row r="421" spans="1:130" hidden="1" x14ac:dyDescent="0.25">
      <c r="A421" s="141"/>
      <c r="B421" s="910"/>
      <c r="C421" s="911"/>
      <c r="D421" s="911"/>
      <c r="E421" s="911"/>
      <c r="F421" s="911"/>
      <c r="G421" s="911"/>
      <c r="H421" s="911"/>
      <c r="I421" s="911"/>
      <c r="J421" s="911"/>
      <c r="K421" s="911"/>
      <c r="L421" s="911"/>
      <c r="M421" s="911"/>
      <c r="N421" s="911"/>
      <c r="O421" s="911"/>
      <c r="P421" s="911"/>
      <c r="Q421" s="911"/>
      <c r="R421" s="911"/>
      <c r="S421" s="911"/>
      <c r="T421" s="911"/>
      <c r="U421" s="911"/>
      <c r="V421" s="911"/>
      <c r="W421" s="911"/>
      <c r="X421" s="911"/>
      <c r="Y421" s="911"/>
      <c r="Z421" s="911"/>
      <c r="AA421" s="911"/>
      <c r="AB421" s="911"/>
      <c r="AC421" s="911"/>
      <c r="AD421" s="911"/>
      <c r="AE421" s="911"/>
      <c r="AF421" s="911"/>
      <c r="AG421" s="911"/>
      <c r="AH421" s="911"/>
      <c r="AI421" s="911"/>
      <c r="AJ421" s="911"/>
      <c r="AK421" s="911"/>
      <c r="AL421" s="911"/>
      <c r="AM421" s="911"/>
      <c r="AN421" s="911"/>
      <c r="AO421" s="911"/>
      <c r="AP421" s="911"/>
      <c r="AQ421" s="911"/>
      <c r="AR421" s="911"/>
      <c r="AS421" s="911"/>
      <c r="AT421" s="912"/>
      <c r="AU421" s="1310"/>
      <c r="AV421" s="1311"/>
      <c r="AW421" s="1311"/>
      <c r="AX421" s="1311"/>
      <c r="AY421" s="1311"/>
      <c r="AZ421" s="1311"/>
      <c r="BA421" s="1311"/>
      <c r="BB421" s="1311"/>
      <c r="BC421" s="1311"/>
      <c r="BD421" s="1311"/>
      <c r="BE421" s="1312"/>
      <c r="BF421" s="1313"/>
      <c r="BG421" s="1314"/>
      <c r="BH421" s="1314"/>
      <c r="BI421" s="1314"/>
      <c r="BJ421" s="1314"/>
      <c r="BK421" s="1314"/>
      <c r="BL421" s="1314"/>
      <c r="BM421" s="1314"/>
      <c r="BN421" s="1314"/>
      <c r="BO421" s="1314"/>
      <c r="BP421" s="1315"/>
      <c r="BQ421" s="1361"/>
      <c r="BR421" s="1362"/>
      <c r="BS421" s="1362"/>
      <c r="BT421" s="1362"/>
      <c r="BU421" s="1362"/>
      <c r="BV421" s="1362"/>
      <c r="BW421" s="1362"/>
      <c r="BX421" s="1362"/>
      <c r="BY421" s="1362"/>
      <c r="BZ421" s="1363"/>
      <c r="CA421" s="270"/>
      <c r="CB421" s="3" t="str">
        <f t="shared" si="57"/>
        <v>Riadok bude skrytý.</v>
      </c>
      <c r="CC421" s="271" t="s">
        <v>832</v>
      </c>
      <c r="CW421" s="32">
        <f t="shared" si="62"/>
        <v>0</v>
      </c>
      <c r="CZ421" s="30">
        <f t="shared" si="61"/>
        <v>1</v>
      </c>
      <c r="DA421" s="30">
        <f t="shared" si="59"/>
        <v>0</v>
      </c>
      <c r="DB421" s="140">
        <f t="shared" si="56"/>
        <v>0</v>
      </c>
      <c r="DS421" s="130">
        <f>SI!BY421</f>
        <v>151</v>
      </c>
      <c r="DZ421" s="131">
        <f>SI!BZ421</f>
        <v>0</v>
      </c>
    </row>
    <row r="422" spans="1:130" hidden="1" x14ac:dyDescent="0.25">
      <c r="A422" s="141"/>
      <c r="B422" s="910"/>
      <c r="C422" s="911"/>
      <c r="D422" s="911"/>
      <c r="E422" s="911"/>
      <c r="F422" s="911"/>
      <c r="G422" s="911"/>
      <c r="H422" s="911"/>
      <c r="I422" s="911"/>
      <c r="J422" s="911"/>
      <c r="K422" s="911"/>
      <c r="L422" s="911"/>
      <c r="M422" s="911"/>
      <c r="N422" s="911"/>
      <c r="O422" s="911"/>
      <c r="P422" s="911"/>
      <c r="Q422" s="911"/>
      <c r="R422" s="911"/>
      <c r="S422" s="911"/>
      <c r="T422" s="911"/>
      <c r="U422" s="911"/>
      <c r="V422" s="911"/>
      <c r="W422" s="911"/>
      <c r="X422" s="911"/>
      <c r="Y422" s="911"/>
      <c r="Z422" s="911"/>
      <c r="AA422" s="911"/>
      <c r="AB422" s="911"/>
      <c r="AC422" s="911"/>
      <c r="AD422" s="911"/>
      <c r="AE422" s="911"/>
      <c r="AF422" s="911"/>
      <c r="AG422" s="911"/>
      <c r="AH422" s="911"/>
      <c r="AI422" s="911"/>
      <c r="AJ422" s="911"/>
      <c r="AK422" s="911"/>
      <c r="AL422" s="911"/>
      <c r="AM422" s="911"/>
      <c r="AN422" s="911"/>
      <c r="AO422" s="911"/>
      <c r="AP422" s="911"/>
      <c r="AQ422" s="911"/>
      <c r="AR422" s="911"/>
      <c r="AS422" s="911"/>
      <c r="AT422" s="912"/>
      <c r="AU422" s="1310"/>
      <c r="AV422" s="1311"/>
      <c r="AW422" s="1311"/>
      <c r="AX422" s="1311"/>
      <c r="AY422" s="1311"/>
      <c r="AZ422" s="1311"/>
      <c r="BA422" s="1311"/>
      <c r="BB422" s="1311"/>
      <c r="BC422" s="1311"/>
      <c r="BD422" s="1311"/>
      <c r="BE422" s="1312"/>
      <c r="BF422" s="1313"/>
      <c r="BG422" s="1314"/>
      <c r="BH422" s="1314"/>
      <c r="BI422" s="1314"/>
      <c r="BJ422" s="1314"/>
      <c r="BK422" s="1314"/>
      <c r="BL422" s="1314"/>
      <c r="BM422" s="1314"/>
      <c r="BN422" s="1314"/>
      <c r="BO422" s="1314"/>
      <c r="BP422" s="1315"/>
      <c r="BQ422" s="1361"/>
      <c r="BR422" s="1362"/>
      <c r="BS422" s="1362"/>
      <c r="BT422" s="1362"/>
      <c r="BU422" s="1362"/>
      <c r="BV422" s="1362"/>
      <c r="BW422" s="1362"/>
      <c r="BX422" s="1362"/>
      <c r="BY422" s="1362"/>
      <c r="BZ422" s="1363"/>
      <c r="CA422" s="270"/>
      <c r="CB422" s="3" t="str">
        <f t="shared" si="57"/>
        <v>Riadok bude skrytý.</v>
      </c>
      <c r="CC422" s="271" t="s">
        <v>832</v>
      </c>
      <c r="CW422" s="32">
        <f t="shared" si="62"/>
        <v>0</v>
      </c>
      <c r="CZ422" s="30">
        <f t="shared" si="61"/>
        <v>1</v>
      </c>
      <c r="DA422" s="30">
        <f t="shared" si="59"/>
        <v>0</v>
      </c>
      <c r="DB422" s="140">
        <f t="shared" si="56"/>
        <v>0</v>
      </c>
      <c r="DS422" s="130">
        <f>SI!BY422</f>
        <v>3</v>
      </c>
      <c r="DZ422" s="131">
        <f>SI!BZ422</f>
        <v>0</v>
      </c>
    </row>
    <row r="423" spans="1:130" hidden="1" x14ac:dyDescent="0.25">
      <c r="A423" s="141"/>
      <c r="B423" s="910"/>
      <c r="C423" s="911"/>
      <c r="D423" s="911"/>
      <c r="E423" s="911"/>
      <c r="F423" s="911"/>
      <c r="G423" s="911"/>
      <c r="H423" s="911"/>
      <c r="I423" s="911"/>
      <c r="J423" s="911"/>
      <c r="K423" s="911"/>
      <c r="L423" s="911"/>
      <c r="M423" s="911"/>
      <c r="N423" s="911"/>
      <c r="O423" s="911"/>
      <c r="P423" s="911"/>
      <c r="Q423" s="911"/>
      <c r="R423" s="911"/>
      <c r="S423" s="911"/>
      <c r="T423" s="911"/>
      <c r="U423" s="911"/>
      <c r="V423" s="911"/>
      <c r="W423" s="911"/>
      <c r="X423" s="911"/>
      <c r="Y423" s="911"/>
      <c r="Z423" s="911"/>
      <c r="AA423" s="911"/>
      <c r="AB423" s="911"/>
      <c r="AC423" s="911"/>
      <c r="AD423" s="911"/>
      <c r="AE423" s="911"/>
      <c r="AF423" s="911"/>
      <c r="AG423" s="911"/>
      <c r="AH423" s="911"/>
      <c r="AI423" s="911"/>
      <c r="AJ423" s="911"/>
      <c r="AK423" s="911"/>
      <c r="AL423" s="911"/>
      <c r="AM423" s="911"/>
      <c r="AN423" s="911"/>
      <c r="AO423" s="911"/>
      <c r="AP423" s="911"/>
      <c r="AQ423" s="911"/>
      <c r="AR423" s="911"/>
      <c r="AS423" s="911"/>
      <c r="AT423" s="912"/>
      <c r="AU423" s="1310"/>
      <c r="AV423" s="1311"/>
      <c r="AW423" s="1311"/>
      <c r="AX423" s="1311"/>
      <c r="AY423" s="1311"/>
      <c r="AZ423" s="1311"/>
      <c r="BA423" s="1311"/>
      <c r="BB423" s="1311"/>
      <c r="BC423" s="1311"/>
      <c r="BD423" s="1311"/>
      <c r="BE423" s="1312"/>
      <c r="BF423" s="1313"/>
      <c r="BG423" s="1314"/>
      <c r="BH423" s="1314"/>
      <c r="BI423" s="1314"/>
      <c r="BJ423" s="1314"/>
      <c r="BK423" s="1314"/>
      <c r="BL423" s="1314"/>
      <c r="BM423" s="1314"/>
      <c r="BN423" s="1314"/>
      <c r="BO423" s="1314"/>
      <c r="BP423" s="1315"/>
      <c r="BQ423" s="1361"/>
      <c r="BR423" s="1362"/>
      <c r="BS423" s="1362"/>
      <c r="BT423" s="1362"/>
      <c r="BU423" s="1362"/>
      <c r="BV423" s="1362"/>
      <c r="BW423" s="1362"/>
      <c r="BX423" s="1362"/>
      <c r="BY423" s="1362"/>
      <c r="BZ423" s="1363"/>
      <c r="CA423" s="270"/>
      <c r="CB423" s="3" t="str">
        <f t="shared" si="57"/>
        <v>Riadok bude skrytý.</v>
      </c>
      <c r="CC423" s="271" t="s">
        <v>832</v>
      </c>
      <c r="CW423" s="32">
        <f t="shared" si="62"/>
        <v>0</v>
      </c>
      <c r="CZ423" s="30">
        <f t="shared" si="61"/>
        <v>1</v>
      </c>
      <c r="DA423" s="30">
        <f t="shared" si="59"/>
        <v>0</v>
      </c>
      <c r="DB423" s="140">
        <f t="shared" si="56"/>
        <v>0</v>
      </c>
      <c r="DS423" s="130">
        <f>SI!BY423</f>
        <v>175</v>
      </c>
      <c r="DZ423" s="131">
        <f>SI!BZ423</f>
        <v>0</v>
      </c>
    </row>
    <row r="424" spans="1:130" hidden="1" x14ac:dyDescent="0.25">
      <c r="A424" s="141"/>
      <c r="B424" s="910"/>
      <c r="C424" s="911"/>
      <c r="D424" s="911"/>
      <c r="E424" s="911"/>
      <c r="F424" s="911"/>
      <c r="G424" s="911"/>
      <c r="H424" s="911"/>
      <c r="I424" s="911"/>
      <c r="J424" s="911"/>
      <c r="K424" s="911"/>
      <c r="L424" s="911"/>
      <c r="M424" s="911"/>
      <c r="N424" s="911"/>
      <c r="O424" s="911"/>
      <c r="P424" s="911"/>
      <c r="Q424" s="911"/>
      <c r="R424" s="911"/>
      <c r="S424" s="911"/>
      <c r="T424" s="911"/>
      <c r="U424" s="911"/>
      <c r="V424" s="911"/>
      <c r="W424" s="911"/>
      <c r="X424" s="911"/>
      <c r="Y424" s="911"/>
      <c r="Z424" s="911"/>
      <c r="AA424" s="911"/>
      <c r="AB424" s="911"/>
      <c r="AC424" s="911"/>
      <c r="AD424" s="911"/>
      <c r="AE424" s="911"/>
      <c r="AF424" s="911"/>
      <c r="AG424" s="911"/>
      <c r="AH424" s="911"/>
      <c r="AI424" s="911"/>
      <c r="AJ424" s="911"/>
      <c r="AK424" s="911"/>
      <c r="AL424" s="911"/>
      <c r="AM424" s="911"/>
      <c r="AN424" s="911"/>
      <c r="AO424" s="911"/>
      <c r="AP424" s="911"/>
      <c r="AQ424" s="911"/>
      <c r="AR424" s="911"/>
      <c r="AS424" s="911"/>
      <c r="AT424" s="912"/>
      <c r="AU424" s="1310"/>
      <c r="AV424" s="1311"/>
      <c r="AW424" s="1311"/>
      <c r="AX424" s="1311"/>
      <c r="AY424" s="1311"/>
      <c r="AZ424" s="1311"/>
      <c r="BA424" s="1311"/>
      <c r="BB424" s="1311"/>
      <c r="BC424" s="1311"/>
      <c r="BD424" s="1311"/>
      <c r="BE424" s="1312"/>
      <c r="BF424" s="1313"/>
      <c r="BG424" s="1314"/>
      <c r="BH424" s="1314"/>
      <c r="BI424" s="1314"/>
      <c r="BJ424" s="1314"/>
      <c r="BK424" s="1314"/>
      <c r="BL424" s="1314"/>
      <c r="BM424" s="1314"/>
      <c r="BN424" s="1314"/>
      <c r="BO424" s="1314"/>
      <c r="BP424" s="1315"/>
      <c r="BQ424" s="1361"/>
      <c r="BR424" s="1362"/>
      <c r="BS424" s="1362"/>
      <c r="BT424" s="1362"/>
      <c r="BU424" s="1362"/>
      <c r="BV424" s="1362"/>
      <c r="BW424" s="1362"/>
      <c r="BX424" s="1362"/>
      <c r="BY424" s="1362"/>
      <c r="BZ424" s="1363"/>
      <c r="CA424" s="270"/>
      <c r="CB424" s="3" t="str">
        <f t="shared" si="57"/>
        <v>Riadok bude skrytý.</v>
      </c>
      <c r="CC424" s="271" t="s">
        <v>832</v>
      </c>
      <c r="CW424" s="32">
        <f t="shared" si="62"/>
        <v>0</v>
      </c>
      <c r="CZ424" s="30">
        <f t="shared" si="61"/>
        <v>1</v>
      </c>
      <c r="DA424" s="30">
        <f t="shared" si="59"/>
        <v>0</v>
      </c>
      <c r="DB424" s="140">
        <f t="shared" si="56"/>
        <v>0</v>
      </c>
      <c r="DS424" s="130">
        <f>SI!BY424</f>
        <v>133</v>
      </c>
      <c r="DZ424" s="131">
        <f>SI!BZ424</f>
        <v>0</v>
      </c>
    </row>
    <row r="425" spans="1:130" hidden="1" x14ac:dyDescent="0.25">
      <c r="A425" s="141"/>
      <c r="B425" s="910"/>
      <c r="C425" s="911"/>
      <c r="D425" s="911"/>
      <c r="E425" s="911"/>
      <c r="F425" s="911"/>
      <c r="G425" s="911"/>
      <c r="H425" s="911"/>
      <c r="I425" s="911"/>
      <c r="J425" s="911"/>
      <c r="K425" s="911"/>
      <c r="L425" s="911"/>
      <c r="M425" s="911"/>
      <c r="N425" s="911"/>
      <c r="O425" s="911"/>
      <c r="P425" s="911"/>
      <c r="Q425" s="911"/>
      <c r="R425" s="911"/>
      <c r="S425" s="911"/>
      <c r="T425" s="911"/>
      <c r="U425" s="911"/>
      <c r="V425" s="911"/>
      <c r="W425" s="911"/>
      <c r="X425" s="911"/>
      <c r="Y425" s="911"/>
      <c r="Z425" s="911"/>
      <c r="AA425" s="911"/>
      <c r="AB425" s="911"/>
      <c r="AC425" s="911"/>
      <c r="AD425" s="911"/>
      <c r="AE425" s="911"/>
      <c r="AF425" s="911"/>
      <c r="AG425" s="911"/>
      <c r="AH425" s="911"/>
      <c r="AI425" s="911"/>
      <c r="AJ425" s="911"/>
      <c r="AK425" s="911"/>
      <c r="AL425" s="911"/>
      <c r="AM425" s="911"/>
      <c r="AN425" s="911"/>
      <c r="AO425" s="911"/>
      <c r="AP425" s="911"/>
      <c r="AQ425" s="911"/>
      <c r="AR425" s="911"/>
      <c r="AS425" s="911"/>
      <c r="AT425" s="912"/>
      <c r="AU425" s="1310"/>
      <c r="AV425" s="1311"/>
      <c r="AW425" s="1311"/>
      <c r="AX425" s="1311"/>
      <c r="AY425" s="1311"/>
      <c r="AZ425" s="1311"/>
      <c r="BA425" s="1311"/>
      <c r="BB425" s="1311"/>
      <c r="BC425" s="1311"/>
      <c r="BD425" s="1311"/>
      <c r="BE425" s="1312"/>
      <c r="BF425" s="1313"/>
      <c r="BG425" s="1314"/>
      <c r="BH425" s="1314"/>
      <c r="BI425" s="1314"/>
      <c r="BJ425" s="1314"/>
      <c r="BK425" s="1314"/>
      <c r="BL425" s="1314"/>
      <c r="BM425" s="1314"/>
      <c r="BN425" s="1314"/>
      <c r="BO425" s="1314"/>
      <c r="BP425" s="1315"/>
      <c r="BQ425" s="1361"/>
      <c r="BR425" s="1362"/>
      <c r="BS425" s="1362"/>
      <c r="BT425" s="1362"/>
      <c r="BU425" s="1362"/>
      <c r="BV425" s="1362"/>
      <c r="BW425" s="1362"/>
      <c r="BX425" s="1362"/>
      <c r="BY425" s="1362"/>
      <c r="BZ425" s="1363"/>
      <c r="CA425" s="270"/>
      <c r="CB425" s="3" t="str">
        <f t="shared" si="57"/>
        <v>Riadok bude skrytý.</v>
      </c>
      <c r="CC425" s="271" t="s">
        <v>832</v>
      </c>
      <c r="CW425" s="32">
        <f t="shared" si="62"/>
        <v>0</v>
      </c>
      <c r="CZ425" s="30">
        <f t="shared" si="61"/>
        <v>1</v>
      </c>
      <c r="DA425" s="30">
        <f t="shared" si="59"/>
        <v>0</v>
      </c>
      <c r="DB425" s="140">
        <f t="shared" si="56"/>
        <v>0</v>
      </c>
      <c r="DS425" s="130">
        <f>SI!BY425</f>
        <v>176</v>
      </c>
      <c r="DZ425" s="131">
        <f>SI!BZ425</f>
        <v>0</v>
      </c>
    </row>
    <row r="426" spans="1:130" hidden="1" x14ac:dyDescent="0.25">
      <c r="A426" s="141"/>
      <c r="B426" s="910"/>
      <c r="C426" s="911"/>
      <c r="D426" s="911"/>
      <c r="E426" s="911"/>
      <c r="F426" s="911"/>
      <c r="G426" s="911"/>
      <c r="H426" s="911"/>
      <c r="I426" s="911"/>
      <c r="J426" s="911"/>
      <c r="K426" s="911"/>
      <c r="L426" s="911"/>
      <c r="M426" s="911"/>
      <c r="N426" s="911"/>
      <c r="O426" s="911"/>
      <c r="P426" s="911"/>
      <c r="Q426" s="911"/>
      <c r="R426" s="911"/>
      <c r="S426" s="911"/>
      <c r="T426" s="911"/>
      <c r="U426" s="911"/>
      <c r="V426" s="911"/>
      <c r="W426" s="911"/>
      <c r="X426" s="911"/>
      <c r="Y426" s="911"/>
      <c r="Z426" s="911"/>
      <c r="AA426" s="911"/>
      <c r="AB426" s="911"/>
      <c r="AC426" s="911"/>
      <c r="AD426" s="911"/>
      <c r="AE426" s="911"/>
      <c r="AF426" s="911"/>
      <c r="AG426" s="911"/>
      <c r="AH426" s="911"/>
      <c r="AI426" s="911"/>
      <c r="AJ426" s="911"/>
      <c r="AK426" s="911"/>
      <c r="AL426" s="911"/>
      <c r="AM426" s="911"/>
      <c r="AN426" s="911"/>
      <c r="AO426" s="911"/>
      <c r="AP426" s="911"/>
      <c r="AQ426" s="911"/>
      <c r="AR426" s="911"/>
      <c r="AS426" s="911"/>
      <c r="AT426" s="912"/>
      <c r="AU426" s="1310"/>
      <c r="AV426" s="1311"/>
      <c r="AW426" s="1311"/>
      <c r="AX426" s="1311"/>
      <c r="AY426" s="1311"/>
      <c r="AZ426" s="1311"/>
      <c r="BA426" s="1311"/>
      <c r="BB426" s="1311"/>
      <c r="BC426" s="1311"/>
      <c r="BD426" s="1311"/>
      <c r="BE426" s="1312"/>
      <c r="BF426" s="1313"/>
      <c r="BG426" s="1314"/>
      <c r="BH426" s="1314"/>
      <c r="BI426" s="1314"/>
      <c r="BJ426" s="1314"/>
      <c r="BK426" s="1314"/>
      <c r="BL426" s="1314"/>
      <c r="BM426" s="1314"/>
      <c r="BN426" s="1314"/>
      <c r="BO426" s="1314"/>
      <c r="BP426" s="1315"/>
      <c r="BQ426" s="1361"/>
      <c r="BR426" s="1362"/>
      <c r="BS426" s="1362"/>
      <c r="BT426" s="1362"/>
      <c r="BU426" s="1362"/>
      <c r="BV426" s="1362"/>
      <c r="BW426" s="1362"/>
      <c r="BX426" s="1362"/>
      <c r="BY426" s="1362"/>
      <c r="BZ426" s="1363"/>
      <c r="CA426" s="270"/>
      <c r="CB426" s="3" t="str">
        <f t="shared" si="57"/>
        <v>Riadok bude skrytý.</v>
      </c>
      <c r="CC426" s="271" t="s">
        <v>832</v>
      </c>
      <c r="CW426" s="32">
        <f t="shared" si="62"/>
        <v>0</v>
      </c>
      <c r="CZ426" s="30">
        <f t="shared" si="61"/>
        <v>1</v>
      </c>
      <c r="DA426" s="30">
        <f t="shared" si="59"/>
        <v>0</v>
      </c>
      <c r="DB426" s="140">
        <f t="shared" si="56"/>
        <v>0</v>
      </c>
      <c r="DS426" s="130">
        <f>SI!BY426</f>
        <v>623</v>
      </c>
      <c r="DZ426" s="131">
        <f>SI!BZ426</f>
        <v>0</v>
      </c>
    </row>
    <row r="427" spans="1:130" hidden="1" x14ac:dyDescent="0.25">
      <c r="A427" s="141"/>
      <c r="B427" s="910"/>
      <c r="C427" s="911"/>
      <c r="D427" s="911"/>
      <c r="E427" s="911"/>
      <c r="F427" s="911"/>
      <c r="G427" s="911"/>
      <c r="H427" s="911"/>
      <c r="I427" s="911"/>
      <c r="J427" s="911"/>
      <c r="K427" s="911"/>
      <c r="L427" s="911"/>
      <c r="M427" s="911"/>
      <c r="N427" s="911"/>
      <c r="O427" s="911"/>
      <c r="P427" s="911"/>
      <c r="Q427" s="911"/>
      <c r="R427" s="911"/>
      <c r="S427" s="911"/>
      <c r="T427" s="911"/>
      <c r="U427" s="911"/>
      <c r="V427" s="911"/>
      <c r="W427" s="911"/>
      <c r="X427" s="911"/>
      <c r="Y427" s="911"/>
      <c r="Z427" s="911"/>
      <c r="AA427" s="911"/>
      <c r="AB427" s="911"/>
      <c r="AC427" s="911"/>
      <c r="AD427" s="911"/>
      <c r="AE427" s="911"/>
      <c r="AF427" s="911"/>
      <c r="AG427" s="911"/>
      <c r="AH427" s="911"/>
      <c r="AI427" s="911"/>
      <c r="AJ427" s="911"/>
      <c r="AK427" s="911"/>
      <c r="AL427" s="911"/>
      <c r="AM427" s="911"/>
      <c r="AN427" s="911"/>
      <c r="AO427" s="911"/>
      <c r="AP427" s="911"/>
      <c r="AQ427" s="911"/>
      <c r="AR427" s="911"/>
      <c r="AS427" s="911"/>
      <c r="AT427" s="912"/>
      <c r="AU427" s="1310"/>
      <c r="AV427" s="1311"/>
      <c r="AW427" s="1311"/>
      <c r="AX427" s="1311"/>
      <c r="AY427" s="1311"/>
      <c r="AZ427" s="1311"/>
      <c r="BA427" s="1311"/>
      <c r="BB427" s="1311"/>
      <c r="BC427" s="1311"/>
      <c r="BD427" s="1311"/>
      <c r="BE427" s="1312"/>
      <c r="BF427" s="1313"/>
      <c r="BG427" s="1314"/>
      <c r="BH427" s="1314"/>
      <c r="BI427" s="1314"/>
      <c r="BJ427" s="1314"/>
      <c r="BK427" s="1314"/>
      <c r="BL427" s="1314"/>
      <c r="BM427" s="1314"/>
      <c r="BN427" s="1314"/>
      <c r="BO427" s="1314"/>
      <c r="BP427" s="1315"/>
      <c r="BQ427" s="1361"/>
      <c r="BR427" s="1362"/>
      <c r="BS427" s="1362"/>
      <c r="BT427" s="1362"/>
      <c r="BU427" s="1362"/>
      <c r="BV427" s="1362"/>
      <c r="BW427" s="1362"/>
      <c r="BX427" s="1362"/>
      <c r="BY427" s="1362"/>
      <c r="BZ427" s="1363"/>
      <c r="CA427" s="270"/>
      <c r="CB427" s="3" t="str">
        <f t="shared" si="57"/>
        <v>Riadok bude skrytý.</v>
      </c>
      <c r="CC427" s="271" t="s">
        <v>832</v>
      </c>
      <c r="CW427" s="32">
        <f t="shared" si="62"/>
        <v>0</v>
      </c>
      <c r="CZ427" s="30">
        <f t="shared" si="61"/>
        <v>1</v>
      </c>
      <c r="DA427" s="30">
        <f t="shared" si="59"/>
        <v>0</v>
      </c>
      <c r="DB427" s="140">
        <f t="shared" si="56"/>
        <v>0</v>
      </c>
      <c r="DS427" s="130">
        <f>SI!BY427</f>
        <v>144</v>
      </c>
      <c r="DZ427" s="131">
        <f>SI!BZ427</f>
        <v>0</v>
      </c>
    </row>
    <row r="428" spans="1:130" hidden="1" x14ac:dyDescent="0.25">
      <c r="A428" s="141"/>
      <c r="B428" s="745"/>
      <c r="C428" s="746"/>
      <c r="D428" s="746"/>
      <c r="E428" s="746"/>
      <c r="F428" s="746"/>
      <c r="G428" s="746"/>
      <c r="H428" s="746"/>
      <c r="I428" s="746"/>
      <c r="J428" s="746"/>
      <c r="K428" s="746"/>
      <c r="L428" s="746"/>
      <c r="M428" s="746"/>
      <c r="N428" s="746"/>
      <c r="O428" s="746"/>
      <c r="P428" s="746"/>
      <c r="Q428" s="746"/>
      <c r="R428" s="746"/>
      <c r="S428" s="746"/>
      <c r="T428" s="746"/>
      <c r="U428" s="746"/>
      <c r="V428" s="746"/>
      <c r="W428" s="746"/>
      <c r="X428" s="746"/>
      <c r="Y428" s="746"/>
      <c r="Z428" s="746"/>
      <c r="AA428" s="746"/>
      <c r="AB428" s="746"/>
      <c r="AC428" s="746"/>
      <c r="AD428" s="746"/>
      <c r="AE428" s="746"/>
      <c r="AF428" s="746"/>
      <c r="AG428" s="746"/>
      <c r="AH428" s="746"/>
      <c r="AI428" s="746"/>
      <c r="AJ428" s="746"/>
      <c r="AK428" s="746"/>
      <c r="AL428" s="746"/>
      <c r="AM428" s="746"/>
      <c r="AN428" s="746"/>
      <c r="AO428" s="746"/>
      <c r="AP428" s="746"/>
      <c r="AQ428" s="746"/>
      <c r="AR428" s="746"/>
      <c r="AS428" s="746"/>
      <c r="AT428" s="747"/>
      <c r="AU428" s="1845"/>
      <c r="AV428" s="1846"/>
      <c r="AW428" s="1846"/>
      <c r="AX428" s="1846"/>
      <c r="AY428" s="1846"/>
      <c r="AZ428" s="1846"/>
      <c r="BA428" s="1846"/>
      <c r="BB428" s="1846"/>
      <c r="BC428" s="1846"/>
      <c r="BD428" s="1846"/>
      <c r="BE428" s="1847"/>
      <c r="BF428" s="1848"/>
      <c r="BG428" s="1849"/>
      <c r="BH428" s="1849"/>
      <c r="BI428" s="1849"/>
      <c r="BJ428" s="1849"/>
      <c r="BK428" s="1849"/>
      <c r="BL428" s="1849"/>
      <c r="BM428" s="1849"/>
      <c r="BN428" s="1849"/>
      <c r="BO428" s="1849"/>
      <c r="BP428" s="1850"/>
      <c r="BQ428" s="1867"/>
      <c r="BR428" s="1868"/>
      <c r="BS428" s="1868"/>
      <c r="BT428" s="1868"/>
      <c r="BU428" s="1868"/>
      <c r="BV428" s="1868"/>
      <c r="BW428" s="1868"/>
      <c r="BX428" s="1868"/>
      <c r="BY428" s="1868"/>
      <c r="BZ428" s="1869"/>
      <c r="CA428" s="270"/>
      <c r="CB428" s="3" t="str">
        <f t="shared" si="57"/>
        <v>Riadok bude skrytý.</v>
      </c>
      <c r="CC428" s="271" t="s">
        <v>832</v>
      </c>
      <c r="CW428" s="32">
        <f>+IF(B419&amp;B420&amp;B421&amp;B422&amp;B423&amp;B424&amp;B425&amp;B426&amp;B427&amp;B428="",0,1)</f>
        <v>0</v>
      </c>
      <c r="CZ428" s="30">
        <f t="shared" si="61"/>
        <v>1</v>
      </c>
      <c r="DA428" s="30">
        <f t="shared" si="59"/>
        <v>0</v>
      </c>
      <c r="DB428" s="140">
        <f t="shared" si="56"/>
        <v>0</v>
      </c>
      <c r="DS428" s="130">
        <f>SI!BY428</f>
        <v>443</v>
      </c>
      <c r="DZ428" s="131">
        <f>SI!BZ428</f>
        <v>0</v>
      </c>
    </row>
    <row r="429" spans="1:130" x14ac:dyDescent="0.25">
      <c r="A429" s="141"/>
      <c r="CA429" s="270"/>
      <c r="CB429" s="3" t="str">
        <f t="shared" si="57"/>
        <v>Riadok bude vidieť.</v>
      </c>
      <c r="CC429" s="271" t="s">
        <v>832</v>
      </c>
      <c r="CW429" s="32">
        <f>+IF(SUM(CW431:CW450)=0,0,1)</f>
        <v>1</v>
      </c>
      <c r="CZ429" s="30">
        <f t="shared" si="61"/>
        <v>1</v>
      </c>
      <c r="DA429" s="30">
        <f t="shared" si="59"/>
        <v>1</v>
      </c>
      <c r="DB429" s="140">
        <f t="shared" si="56"/>
        <v>1</v>
      </c>
      <c r="DS429" s="130">
        <f>SI!BY429</f>
        <v>185</v>
      </c>
      <c r="DZ429" s="131">
        <f>SI!BZ429</f>
        <v>0</v>
      </c>
    </row>
    <row r="430" spans="1:130" x14ac:dyDescent="0.25">
      <c r="A430" s="141"/>
      <c r="B430" s="279" t="s">
        <v>859</v>
      </c>
      <c r="C430" s="7" t="str">
        <f>+IF($G$52&lt;&gt;"",IF(ROUNDDOWN(CODE(MID($G$52,1,1))*2,0)*(IF(SI!EE430="",1,SI!EE430))+(LEN(SI!J2)+LEN(SI!J3))=DS430,"Ocenenie DFM (cenných papierov, obchodných podielov)","NEPOVOLENÉ POUŽITIE!"),"NEPOVOLENÉ POUŽITIE!")</f>
        <v>Ocenenie DFM (cenných papierov, obchodných podielov)</v>
      </c>
      <c r="D430" s="7"/>
      <c r="E430" s="7"/>
      <c r="F430" s="7"/>
      <c r="CA430" s="265" t="s">
        <v>773</v>
      </c>
      <c r="CB430" s="3" t="str">
        <f t="shared" si="57"/>
        <v>Riadok bude vidieť.</v>
      </c>
      <c r="CC430" s="271" t="s">
        <v>832</v>
      </c>
      <c r="CW430" s="134">
        <f>+IF(SUM(CW431:CW450)=0,0,1)</f>
        <v>1</v>
      </c>
      <c r="CZ430" s="30">
        <f t="shared" si="61"/>
        <v>1</v>
      </c>
      <c r="DA430" s="30">
        <f t="shared" si="59"/>
        <v>1</v>
      </c>
      <c r="DB430" s="140">
        <f t="shared" si="56"/>
        <v>1</v>
      </c>
      <c r="DS430" s="130">
        <f>SI!BY430</f>
        <v>18</v>
      </c>
      <c r="DZ430" s="131">
        <f>SI!BZ430</f>
        <v>0</v>
      </c>
    </row>
    <row r="431" spans="1:130" x14ac:dyDescent="0.25">
      <c r="A431" s="141"/>
      <c r="B431" s="379" t="s">
        <v>63</v>
      </c>
      <c r="C431" s="379"/>
      <c r="D431" s="379"/>
      <c r="E431" s="379"/>
      <c r="F431" s="379"/>
      <c r="G431" s="379"/>
      <c r="H431" s="379"/>
      <c r="I431" s="379"/>
      <c r="J431" s="379"/>
      <c r="K431" s="379"/>
      <c r="L431" s="379"/>
      <c r="M431" s="379"/>
      <c r="N431" s="379"/>
      <c r="O431" s="379"/>
      <c r="P431" s="379"/>
      <c r="Q431" s="379"/>
      <c r="R431" s="379"/>
      <c r="S431" s="379"/>
      <c r="T431" s="379"/>
      <c r="U431" s="379"/>
      <c r="V431" s="379"/>
      <c r="W431" s="379"/>
      <c r="X431" s="379"/>
      <c r="Y431" s="379"/>
      <c r="Z431" s="379"/>
      <c r="AA431" s="379"/>
      <c r="AB431" s="379"/>
      <c r="AC431" s="379"/>
      <c r="AD431" s="379"/>
      <c r="AE431" s="379"/>
      <c r="AF431" s="379"/>
      <c r="AG431" s="379"/>
      <c r="AH431" s="379"/>
      <c r="AI431" s="379"/>
      <c r="AJ431" s="379"/>
      <c r="AK431" s="379"/>
      <c r="AL431" s="379"/>
      <c r="AM431" s="379"/>
      <c r="AN431" s="379"/>
      <c r="AO431" s="379"/>
      <c r="AP431" s="379"/>
      <c r="AQ431" s="379"/>
      <c r="AR431" s="379"/>
      <c r="AS431" s="379"/>
      <c r="AT431" s="379"/>
      <c r="AU431" s="379"/>
      <c r="AV431" s="379"/>
      <c r="AW431" s="379"/>
      <c r="AX431" s="379"/>
      <c r="AY431" s="379"/>
      <c r="AZ431" s="379"/>
      <c r="BA431" s="379"/>
      <c r="BB431" s="379"/>
      <c r="BC431" s="379"/>
      <c r="BD431" s="379"/>
      <c r="BE431" s="379"/>
      <c r="BF431" s="379"/>
      <c r="BG431" s="379"/>
      <c r="BH431" s="379"/>
      <c r="BI431" s="379"/>
      <c r="BJ431" s="379"/>
      <c r="BK431" s="379"/>
      <c r="BL431" s="379"/>
      <c r="BM431" s="379"/>
      <c r="BN431" s="379"/>
      <c r="BO431" s="379"/>
      <c r="BP431" s="379"/>
      <c r="BQ431" s="379"/>
      <c r="BR431" s="379"/>
      <c r="BS431" s="379"/>
      <c r="BT431" s="379"/>
      <c r="BU431" s="379"/>
      <c r="BV431" s="379"/>
      <c r="BW431" s="379"/>
      <c r="BX431" s="379"/>
      <c r="BY431" s="379"/>
      <c r="BZ431" s="379"/>
      <c r="CA431" s="281"/>
      <c r="CB431" s="3" t="str">
        <f t="shared" si="57"/>
        <v>Riadok bude vidieť.</v>
      </c>
      <c r="CC431" s="271" t="s">
        <v>832</v>
      </c>
      <c r="CW431" s="30">
        <f t="shared" ref="CW431:CW450" si="63">+IF(B431="",0,1)</f>
        <v>1</v>
      </c>
      <c r="CZ431" s="30">
        <f t="shared" si="61"/>
        <v>1</v>
      </c>
      <c r="DA431" s="30">
        <f t="shared" si="59"/>
        <v>1</v>
      </c>
      <c r="DB431" s="140">
        <f t="shared" si="56"/>
        <v>1</v>
      </c>
      <c r="DS431" s="130">
        <f>SI!BY431</f>
        <v>153</v>
      </c>
      <c r="DZ431" s="131">
        <f>SI!BZ431</f>
        <v>0</v>
      </c>
    </row>
    <row r="432" spans="1:130" hidden="1" x14ac:dyDescent="0.25">
      <c r="A432" s="141"/>
      <c r="B432" s="379"/>
      <c r="C432" s="379"/>
      <c r="D432" s="379"/>
      <c r="E432" s="379"/>
      <c r="F432" s="379"/>
      <c r="G432" s="379"/>
      <c r="H432" s="379"/>
      <c r="I432" s="379"/>
      <c r="J432" s="379"/>
      <c r="K432" s="379"/>
      <c r="L432" s="379"/>
      <c r="M432" s="379"/>
      <c r="N432" s="379"/>
      <c r="O432" s="379"/>
      <c r="P432" s="379"/>
      <c r="Q432" s="379"/>
      <c r="R432" s="379"/>
      <c r="S432" s="379"/>
      <c r="T432" s="379"/>
      <c r="U432" s="379"/>
      <c r="V432" s="379"/>
      <c r="W432" s="379"/>
      <c r="X432" s="379"/>
      <c r="Y432" s="379"/>
      <c r="Z432" s="379"/>
      <c r="AA432" s="379"/>
      <c r="AB432" s="379"/>
      <c r="AC432" s="379"/>
      <c r="AD432" s="379"/>
      <c r="AE432" s="379"/>
      <c r="AF432" s="379"/>
      <c r="AG432" s="379"/>
      <c r="AH432" s="379"/>
      <c r="AI432" s="379"/>
      <c r="AJ432" s="379"/>
      <c r="AK432" s="379"/>
      <c r="AL432" s="379"/>
      <c r="AM432" s="379"/>
      <c r="AN432" s="379"/>
      <c r="AO432" s="379"/>
      <c r="AP432" s="379"/>
      <c r="AQ432" s="379"/>
      <c r="AR432" s="379"/>
      <c r="AS432" s="379"/>
      <c r="AT432" s="379"/>
      <c r="AU432" s="379"/>
      <c r="AV432" s="379"/>
      <c r="AW432" s="379"/>
      <c r="AX432" s="379"/>
      <c r="AY432" s="379"/>
      <c r="AZ432" s="379"/>
      <c r="BA432" s="379"/>
      <c r="BB432" s="379"/>
      <c r="BC432" s="379"/>
      <c r="BD432" s="379"/>
      <c r="BE432" s="379"/>
      <c r="BF432" s="379"/>
      <c r="BG432" s="379"/>
      <c r="BH432" s="379"/>
      <c r="BI432" s="379"/>
      <c r="BJ432" s="379"/>
      <c r="BK432" s="379"/>
      <c r="BL432" s="379"/>
      <c r="BM432" s="379"/>
      <c r="BN432" s="379"/>
      <c r="BO432" s="379"/>
      <c r="BP432" s="379"/>
      <c r="BQ432" s="379"/>
      <c r="BR432" s="379"/>
      <c r="BS432" s="379"/>
      <c r="BT432" s="379"/>
      <c r="BU432" s="379"/>
      <c r="BV432" s="379"/>
      <c r="BW432" s="379"/>
      <c r="BX432" s="379"/>
      <c r="BY432" s="379"/>
      <c r="BZ432" s="379"/>
      <c r="CA432" s="281"/>
      <c r="CB432" s="3" t="str">
        <f t="shared" si="57"/>
        <v>Riadok bude skrytý.</v>
      </c>
      <c r="CC432" s="271" t="s">
        <v>832</v>
      </c>
      <c r="CW432" s="30">
        <f t="shared" si="63"/>
        <v>0</v>
      </c>
      <c r="CZ432" s="30">
        <f t="shared" si="61"/>
        <v>1</v>
      </c>
      <c r="DA432" s="30">
        <f t="shared" si="59"/>
        <v>0</v>
      </c>
      <c r="DB432" s="140">
        <f t="shared" ref="DB432:DB495" si="64">+DA432</f>
        <v>0</v>
      </c>
      <c r="DS432" s="130">
        <f>SI!BY432</f>
        <v>1103</v>
      </c>
      <c r="DZ432" s="131">
        <f>SI!BZ432</f>
        <v>0</v>
      </c>
    </row>
    <row r="433" spans="1:130" hidden="1" x14ac:dyDescent="0.25">
      <c r="A433" s="141"/>
      <c r="B433" s="379"/>
      <c r="C433" s="379"/>
      <c r="D433" s="379"/>
      <c r="E433" s="379"/>
      <c r="F433" s="379"/>
      <c r="G433" s="379"/>
      <c r="H433" s="379"/>
      <c r="I433" s="379"/>
      <c r="J433" s="379"/>
      <c r="K433" s="379"/>
      <c r="L433" s="379"/>
      <c r="M433" s="379"/>
      <c r="N433" s="379"/>
      <c r="O433" s="379"/>
      <c r="P433" s="379"/>
      <c r="Q433" s="379"/>
      <c r="R433" s="379"/>
      <c r="S433" s="379"/>
      <c r="T433" s="379"/>
      <c r="U433" s="379"/>
      <c r="V433" s="379"/>
      <c r="W433" s="379"/>
      <c r="X433" s="379"/>
      <c r="Y433" s="379"/>
      <c r="Z433" s="379"/>
      <c r="AA433" s="379"/>
      <c r="AB433" s="379"/>
      <c r="AC433" s="379"/>
      <c r="AD433" s="379"/>
      <c r="AE433" s="379"/>
      <c r="AF433" s="379"/>
      <c r="AG433" s="379"/>
      <c r="AH433" s="379"/>
      <c r="AI433" s="379"/>
      <c r="AJ433" s="379"/>
      <c r="AK433" s="379"/>
      <c r="AL433" s="379"/>
      <c r="AM433" s="379"/>
      <c r="AN433" s="379"/>
      <c r="AO433" s="379"/>
      <c r="AP433" s="379"/>
      <c r="AQ433" s="379"/>
      <c r="AR433" s="379"/>
      <c r="AS433" s="379"/>
      <c r="AT433" s="379"/>
      <c r="AU433" s="379"/>
      <c r="AV433" s="379"/>
      <c r="AW433" s="379"/>
      <c r="AX433" s="379"/>
      <c r="AY433" s="379"/>
      <c r="AZ433" s="379"/>
      <c r="BA433" s="379"/>
      <c r="BB433" s="379"/>
      <c r="BC433" s="379"/>
      <c r="BD433" s="379"/>
      <c r="BE433" s="379"/>
      <c r="BF433" s="379"/>
      <c r="BG433" s="379"/>
      <c r="BH433" s="379"/>
      <c r="BI433" s="379"/>
      <c r="BJ433" s="379"/>
      <c r="BK433" s="379"/>
      <c r="BL433" s="379"/>
      <c r="BM433" s="379"/>
      <c r="BN433" s="379"/>
      <c r="BO433" s="379"/>
      <c r="BP433" s="379"/>
      <c r="BQ433" s="379"/>
      <c r="BR433" s="379"/>
      <c r="BS433" s="379"/>
      <c r="BT433" s="379"/>
      <c r="BU433" s="379"/>
      <c r="BV433" s="379"/>
      <c r="BW433" s="379"/>
      <c r="BX433" s="379"/>
      <c r="BY433" s="379"/>
      <c r="BZ433" s="379"/>
      <c r="CA433" s="281"/>
      <c r="CB433" s="3" t="str">
        <f t="shared" si="57"/>
        <v>Riadok bude skrytý.</v>
      </c>
      <c r="CC433" s="271" t="s">
        <v>832</v>
      </c>
      <c r="CW433" s="30">
        <f t="shared" si="63"/>
        <v>0</v>
      </c>
      <c r="CZ433" s="30">
        <f t="shared" si="61"/>
        <v>1</v>
      </c>
      <c r="DA433" s="30">
        <f t="shared" si="59"/>
        <v>0</v>
      </c>
      <c r="DB433" s="140">
        <f t="shared" si="64"/>
        <v>0</v>
      </c>
      <c r="DS433" s="130">
        <f>SI!BY433</f>
        <v>134</v>
      </c>
      <c r="DZ433" s="131">
        <f>SI!BZ433</f>
        <v>0</v>
      </c>
    </row>
    <row r="434" spans="1:130" hidden="1" x14ac:dyDescent="0.25">
      <c r="A434" s="141"/>
      <c r="B434" s="379"/>
      <c r="C434" s="379"/>
      <c r="D434" s="379"/>
      <c r="E434" s="379"/>
      <c r="F434" s="379"/>
      <c r="G434" s="379"/>
      <c r="H434" s="379"/>
      <c r="I434" s="379"/>
      <c r="J434" s="379"/>
      <c r="K434" s="379"/>
      <c r="L434" s="379"/>
      <c r="M434" s="379"/>
      <c r="N434" s="379"/>
      <c r="O434" s="379"/>
      <c r="P434" s="379"/>
      <c r="Q434" s="379"/>
      <c r="R434" s="379"/>
      <c r="S434" s="379"/>
      <c r="T434" s="379"/>
      <c r="U434" s="379"/>
      <c r="V434" s="379"/>
      <c r="W434" s="379"/>
      <c r="X434" s="379"/>
      <c r="Y434" s="379"/>
      <c r="Z434" s="379"/>
      <c r="AA434" s="379"/>
      <c r="AB434" s="379"/>
      <c r="AC434" s="379"/>
      <c r="AD434" s="379"/>
      <c r="AE434" s="379"/>
      <c r="AF434" s="379"/>
      <c r="AG434" s="379"/>
      <c r="AH434" s="379"/>
      <c r="AI434" s="379"/>
      <c r="AJ434" s="379"/>
      <c r="AK434" s="379"/>
      <c r="AL434" s="379"/>
      <c r="AM434" s="379"/>
      <c r="AN434" s="379"/>
      <c r="AO434" s="379"/>
      <c r="AP434" s="379"/>
      <c r="AQ434" s="379"/>
      <c r="AR434" s="379"/>
      <c r="AS434" s="379"/>
      <c r="AT434" s="379"/>
      <c r="AU434" s="379"/>
      <c r="AV434" s="379"/>
      <c r="AW434" s="379"/>
      <c r="AX434" s="379"/>
      <c r="AY434" s="379"/>
      <c r="AZ434" s="379"/>
      <c r="BA434" s="379"/>
      <c r="BB434" s="379"/>
      <c r="BC434" s="379"/>
      <c r="BD434" s="379"/>
      <c r="BE434" s="379"/>
      <c r="BF434" s="379"/>
      <c r="BG434" s="379"/>
      <c r="BH434" s="379"/>
      <c r="BI434" s="379"/>
      <c r="BJ434" s="379"/>
      <c r="BK434" s="379"/>
      <c r="BL434" s="379"/>
      <c r="BM434" s="379"/>
      <c r="BN434" s="379"/>
      <c r="BO434" s="379"/>
      <c r="BP434" s="379"/>
      <c r="BQ434" s="379"/>
      <c r="BR434" s="379"/>
      <c r="BS434" s="379"/>
      <c r="BT434" s="379"/>
      <c r="BU434" s="379"/>
      <c r="BV434" s="379"/>
      <c r="BW434" s="379"/>
      <c r="BX434" s="379"/>
      <c r="BY434" s="379"/>
      <c r="BZ434" s="379"/>
      <c r="CA434" s="281"/>
      <c r="CB434" s="3" t="str">
        <f t="shared" si="57"/>
        <v>Riadok bude skrytý.</v>
      </c>
      <c r="CC434" s="271" t="s">
        <v>832</v>
      </c>
      <c r="CW434" s="30">
        <f t="shared" si="63"/>
        <v>0</v>
      </c>
      <c r="CZ434" s="30">
        <f t="shared" si="61"/>
        <v>1</v>
      </c>
      <c r="DA434" s="30">
        <f t="shared" si="59"/>
        <v>0</v>
      </c>
      <c r="DB434" s="140">
        <f t="shared" si="64"/>
        <v>0</v>
      </c>
      <c r="DS434" s="130">
        <f>SI!BY434</f>
        <v>212</v>
      </c>
      <c r="DZ434" s="131">
        <f>SI!BZ434</f>
        <v>0</v>
      </c>
    </row>
    <row r="435" spans="1:130" hidden="1" x14ac:dyDescent="0.25">
      <c r="A435" s="141"/>
      <c r="B435" s="379"/>
      <c r="C435" s="379"/>
      <c r="D435" s="379"/>
      <c r="E435" s="379"/>
      <c r="F435" s="379"/>
      <c r="G435" s="379"/>
      <c r="H435" s="379"/>
      <c r="I435" s="379"/>
      <c r="J435" s="379"/>
      <c r="K435" s="379"/>
      <c r="L435" s="379"/>
      <c r="M435" s="379"/>
      <c r="N435" s="379"/>
      <c r="O435" s="379"/>
      <c r="P435" s="379"/>
      <c r="Q435" s="379"/>
      <c r="R435" s="379"/>
      <c r="S435" s="379"/>
      <c r="T435" s="379"/>
      <c r="U435" s="379"/>
      <c r="V435" s="379"/>
      <c r="W435" s="379"/>
      <c r="X435" s="379"/>
      <c r="Y435" s="379"/>
      <c r="Z435" s="379"/>
      <c r="AA435" s="379"/>
      <c r="AB435" s="379"/>
      <c r="AC435" s="379"/>
      <c r="AD435" s="379"/>
      <c r="AE435" s="379"/>
      <c r="AF435" s="379"/>
      <c r="AG435" s="379"/>
      <c r="AH435" s="379"/>
      <c r="AI435" s="379"/>
      <c r="AJ435" s="379"/>
      <c r="AK435" s="379"/>
      <c r="AL435" s="379"/>
      <c r="AM435" s="379"/>
      <c r="AN435" s="379"/>
      <c r="AO435" s="379"/>
      <c r="AP435" s="379"/>
      <c r="AQ435" s="379"/>
      <c r="AR435" s="379"/>
      <c r="AS435" s="379"/>
      <c r="AT435" s="379"/>
      <c r="AU435" s="379"/>
      <c r="AV435" s="379"/>
      <c r="AW435" s="379"/>
      <c r="AX435" s="379"/>
      <c r="AY435" s="379"/>
      <c r="AZ435" s="379"/>
      <c r="BA435" s="379"/>
      <c r="BB435" s="379"/>
      <c r="BC435" s="379"/>
      <c r="BD435" s="379"/>
      <c r="BE435" s="379"/>
      <c r="BF435" s="379"/>
      <c r="BG435" s="379"/>
      <c r="BH435" s="379"/>
      <c r="BI435" s="379"/>
      <c r="BJ435" s="379"/>
      <c r="BK435" s="379"/>
      <c r="BL435" s="379"/>
      <c r="BM435" s="379"/>
      <c r="BN435" s="379"/>
      <c r="BO435" s="379"/>
      <c r="BP435" s="379"/>
      <c r="BQ435" s="379"/>
      <c r="BR435" s="379"/>
      <c r="BS435" s="379"/>
      <c r="BT435" s="379"/>
      <c r="BU435" s="379"/>
      <c r="BV435" s="379"/>
      <c r="BW435" s="379"/>
      <c r="BX435" s="379"/>
      <c r="BY435" s="379"/>
      <c r="BZ435" s="379"/>
      <c r="CA435" s="281"/>
      <c r="CB435" s="3" t="str">
        <f t="shared" ref="CB435:CB498" si="65">+IF(DB435=0,"Riadok bude skrytý.","Riadok bude vidieť.")</f>
        <v>Riadok bude skrytý.</v>
      </c>
      <c r="CC435" s="271" t="s">
        <v>832</v>
      </c>
      <c r="CW435" s="30">
        <f t="shared" si="63"/>
        <v>0</v>
      </c>
      <c r="CZ435" s="30">
        <f t="shared" si="61"/>
        <v>1</v>
      </c>
      <c r="DA435" s="30">
        <f t="shared" si="59"/>
        <v>0</v>
      </c>
      <c r="DB435" s="140">
        <f t="shared" si="64"/>
        <v>0</v>
      </c>
      <c r="DS435" s="130">
        <f>SI!BY435</f>
        <v>184</v>
      </c>
      <c r="DZ435" s="131">
        <f>SI!BZ435</f>
        <v>0</v>
      </c>
    </row>
    <row r="436" spans="1:130" hidden="1" x14ac:dyDescent="0.25">
      <c r="A436" s="141"/>
      <c r="B436" s="379"/>
      <c r="C436" s="379"/>
      <c r="D436" s="379"/>
      <c r="E436" s="379"/>
      <c r="F436" s="379"/>
      <c r="G436" s="379"/>
      <c r="H436" s="379"/>
      <c r="I436" s="379"/>
      <c r="J436" s="379"/>
      <c r="K436" s="379"/>
      <c r="L436" s="379"/>
      <c r="M436" s="379"/>
      <c r="N436" s="379"/>
      <c r="O436" s="379"/>
      <c r="P436" s="379"/>
      <c r="Q436" s="379"/>
      <c r="R436" s="379"/>
      <c r="S436" s="379"/>
      <c r="T436" s="379"/>
      <c r="U436" s="379"/>
      <c r="V436" s="379"/>
      <c r="W436" s="379"/>
      <c r="X436" s="379"/>
      <c r="Y436" s="379"/>
      <c r="Z436" s="379"/>
      <c r="AA436" s="379"/>
      <c r="AB436" s="379"/>
      <c r="AC436" s="379"/>
      <c r="AD436" s="379"/>
      <c r="AE436" s="379"/>
      <c r="AF436" s="379"/>
      <c r="AG436" s="379"/>
      <c r="AH436" s="379"/>
      <c r="AI436" s="379"/>
      <c r="AJ436" s="379"/>
      <c r="AK436" s="379"/>
      <c r="AL436" s="379"/>
      <c r="AM436" s="379"/>
      <c r="AN436" s="379"/>
      <c r="AO436" s="379"/>
      <c r="AP436" s="379"/>
      <c r="AQ436" s="379"/>
      <c r="AR436" s="379"/>
      <c r="AS436" s="379"/>
      <c r="AT436" s="379"/>
      <c r="AU436" s="379"/>
      <c r="AV436" s="379"/>
      <c r="AW436" s="379"/>
      <c r="AX436" s="379"/>
      <c r="AY436" s="379"/>
      <c r="AZ436" s="379"/>
      <c r="BA436" s="379"/>
      <c r="BB436" s="379"/>
      <c r="BC436" s="379"/>
      <c r="BD436" s="379"/>
      <c r="BE436" s="379"/>
      <c r="BF436" s="379"/>
      <c r="BG436" s="379"/>
      <c r="BH436" s="379"/>
      <c r="BI436" s="379"/>
      <c r="BJ436" s="379"/>
      <c r="BK436" s="379"/>
      <c r="BL436" s="379"/>
      <c r="BM436" s="379"/>
      <c r="BN436" s="379"/>
      <c r="BO436" s="379"/>
      <c r="BP436" s="379"/>
      <c r="BQ436" s="379"/>
      <c r="BR436" s="379"/>
      <c r="BS436" s="379"/>
      <c r="BT436" s="379"/>
      <c r="BU436" s="379"/>
      <c r="BV436" s="379"/>
      <c r="BW436" s="379"/>
      <c r="BX436" s="379"/>
      <c r="BY436" s="379"/>
      <c r="BZ436" s="379"/>
      <c r="CA436" s="281"/>
      <c r="CB436" s="3" t="str">
        <f t="shared" si="65"/>
        <v>Riadok bude skrytý.</v>
      </c>
      <c r="CC436" s="271" t="s">
        <v>832</v>
      </c>
      <c r="CW436" s="30">
        <f t="shared" si="63"/>
        <v>0</v>
      </c>
      <c r="CZ436" s="30">
        <f t="shared" si="61"/>
        <v>1</v>
      </c>
      <c r="DA436" s="30">
        <f t="shared" si="59"/>
        <v>0</v>
      </c>
      <c r="DB436" s="140">
        <f t="shared" si="64"/>
        <v>0</v>
      </c>
      <c r="DS436" s="130">
        <f>SI!BY436</f>
        <v>159</v>
      </c>
      <c r="DZ436" s="131">
        <f>SI!BZ436</f>
        <v>0</v>
      </c>
    </row>
    <row r="437" spans="1:130" hidden="1" x14ac:dyDescent="0.25">
      <c r="A437" s="141"/>
      <c r="B437" s="379"/>
      <c r="C437" s="379"/>
      <c r="D437" s="379"/>
      <c r="E437" s="379"/>
      <c r="F437" s="379"/>
      <c r="G437" s="379"/>
      <c r="H437" s="379"/>
      <c r="I437" s="379"/>
      <c r="J437" s="379"/>
      <c r="K437" s="379"/>
      <c r="L437" s="379"/>
      <c r="M437" s="379"/>
      <c r="N437" s="379"/>
      <c r="O437" s="379"/>
      <c r="P437" s="379"/>
      <c r="Q437" s="379"/>
      <c r="R437" s="379"/>
      <c r="S437" s="379"/>
      <c r="T437" s="379"/>
      <c r="U437" s="379"/>
      <c r="V437" s="379"/>
      <c r="W437" s="379"/>
      <c r="X437" s="379"/>
      <c r="Y437" s="379"/>
      <c r="Z437" s="379"/>
      <c r="AA437" s="379"/>
      <c r="AB437" s="379"/>
      <c r="AC437" s="379"/>
      <c r="AD437" s="379"/>
      <c r="AE437" s="379"/>
      <c r="AF437" s="379"/>
      <c r="AG437" s="379"/>
      <c r="AH437" s="379"/>
      <c r="AI437" s="379"/>
      <c r="AJ437" s="379"/>
      <c r="AK437" s="379"/>
      <c r="AL437" s="379"/>
      <c r="AM437" s="379"/>
      <c r="AN437" s="379"/>
      <c r="AO437" s="379"/>
      <c r="AP437" s="379"/>
      <c r="AQ437" s="379"/>
      <c r="AR437" s="379"/>
      <c r="AS437" s="379"/>
      <c r="AT437" s="379"/>
      <c r="AU437" s="379"/>
      <c r="AV437" s="379"/>
      <c r="AW437" s="379"/>
      <c r="AX437" s="379"/>
      <c r="AY437" s="379"/>
      <c r="AZ437" s="379"/>
      <c r="BA437" s="379"/>
      <c r="BB437" s="379"/>
      <c r="BC437" s="379"/>
      <c r="BD437" s="379"/>
      <c r="BE437" s="379"/>
      <c r="BF437" s="379"/>
      <c r="BG437" s="379"/>
      <c r="BH437" s="379"/>
      <c r="BI437" s="379"/>
      <c r="BJ437" s="379"/>
      <c r="BK437" s="379"/>
      <c r="BL437" s="379"/>
      <c r="BM437" s="379"/>
      <c r="BN437" s="379"/>
      <c r="BO437" s="379"/>
      <c r="BP437" s="379"/>
      <c r="BQ437" s="379"/>
      <c r="BR437" s="379"/>
      <c r="BS437" s="379"/>
      <c r="BT437" s="379"/>
      <c r="BU437" s="379"/>
      <c r="BV437" s="379"/>
      <c r="BW437" s="379"/>
      <c r="BX437" s="379"/>
      <c r="BY437" s="379"/>
      <c r="BZ437" s="379"/>
      <c r="CA437" s="281"/>
      <c r="CB437" s="3" t="str">
        <f t="shared" si="65"/>
        <v>Riadok bude skrytý.</v>
      </c>
      <c r="CC437" s="271" t="s">
        <v>832</v>
      </c>
      <c r="CW437" s="30">
        <f t="shared" si="63"/>
        <v>0</v>
      </c>
      <c r="CZ437" s="30">
        <f t="shared" si="61"/>
        <v>1</v>
      </c>
      <c r="DA437" s="30">
        <f t="shared" si="59"/>
        <v>0</v>
      </c>
      <c r="DB437" s="140">
        <f t="shared" si="64"/>
        <v>0</v>
      </c>
      <c r="DS437" s="130">
        <f>SI!BY437</f>
        <v>186</v>
      </c>
      <c r="DZ437" s="131">
        <f>SI!BZ437</f>
        <v>0</v>
      </c>
    </row>
    <row r="438" spans="1:130" hidden="1" x14ac:dyDescent="0.25">
      <c r="A438" s="141"/>
      <c r="B438" s="379"/>
      <c r="C438" s="379"/>
      <c r="D438" s="379"/>
      <c r="E438" s="379"/>
      <c r="F438" s="379"/>
      <c r="G438" s="379"/>
      <c r="H438" s="379"/>
      <c r="I438" s="379"/>
      <c r="J438" s="379"/>
      <c r="K438" s="379"/>
      <c r="L438" s="379"/>
      <c r="M438" s="379"/>
      <c r="N438" s="379"/>
      <c r="O438" s="379"/>
      <c r="P438" s="379"/>
      <c r="Q438" s="379"/>
      <c r="R438" s="379"/>
      <c r="S438" s="379"/>
      <c r="T438" s="379"/>
      <c r="U438" s="379"/>
      <c r="V438" s="379"/>
      <c r="W438" s="379"/>
      <c r="X438" s="379"/>
      <c r="Y438" s="379"/>
      <c r="Z438" s="379"/>
      <c r="AA438" s="379"/>
      <c r="AB438" s="379"/>
      <c r="AC438" s="379"/>
      <c r="AD438" s="379"/>
      <c r="AE438" s="379"/>
      <c r="AF438" s="379"/>
      <c r="AG438" s="379"/>
      <c r="AH438" s="379"/>
      <c r="AI438" s="379"/>
      <c r="AJ438" s="379"/>
      <c r="AK438" s="379"/>
      <c r="AL438" s="379"/>
      <c r="AM438" s="379"/>
      <c r="AN438" s="379"/>
      <c r="AO438" s="379"/>
      <c r="AP438" s="379"/>
      <c r="AQ438" s="379"/>
      <c r="AR438" s="379"/>
      <c r="AS438" s="379"/>
      <c r="AT438" s="379"/>
      <c r="AU438" s="379"/>
      <c r="AV438" s="379"/>
      <c r="AW438" s="379"/>
      <c r="AX438" s="379"/>
      <c r="AY438" s="379"/>
      <c r="AZ438" s="379"/>
      <c r="BA438" s="379"/>
      <c r="BB438" s="379"/>
      <c r="BC438" s="379"/>
      <c r="BD438" s="379"/>
      <c r="BE438" s="379"/>
      <c r="BF438" s="379"/>
      <c r="BG438" s="379"/>
      <c r="BH438" s="379"/>
      <c r="BI438" s="379"/>
      <c r="BJ438" s="379"/>
      <c r="BK438" s="379"/>
      <c r="BL438" s="379"/>
      <c r="BM438" s="379"/>
      <c r="BN438" s="379"/>
      <c r="BO438" s="379"/>
      <c r="BP438" s="379"/>
      <c r="BQ438" s="379"/>
      <c r="BR438" s="379"/>
      <c r="BS438" s="379"/>
      <c r="BT438" s="379"/>
      <c r="BU438" s="379"/>
      <c r="BV438" s="379"/>
      <c r="BW438" s="379"/>
      <c r="BX438" s="379"/>
      <c r="BY438" s="379"/>
      <c r="BZ438" s="379"/>
      <c r="CA438" s="281"/>
      <c r="CB438" s="3" t="str">
        <f t="shared" si="65"/>
        <v>Riadok bude skrytý.</v>
      </c>
      <c r="CC438" s="271" t="s">
        <v>832</v>
      </c>
      <c r="CW438" s="30">
        <f t="shared" si="63"/>
        <v>0</v>
      </c>
      <c r="CZ438" s="30">
        <f t="shared" si="61"/>
        <v>1</v>
      </c>
      <c r="DA438" s="30">
        <f t="shared" si="59"/>
        <v>0</v>
      </c>
      <c r="DB438" s="140">
        <f t="shared" si="64"/>
        <v>0</v>
      </c>
      <c r="DS438" s="130">
        <f>SI!BY438</f>
        <v>119</v>
      </c>
      <c r="DZ438" s="131">
        <f>SI!BZ438</f>
        <v>0</v>
      </c>
    </row>
    <row r="439" spans="1:130" hidden="1" x14ac:dyDescent="0.25">
      <c r="A439" s="141"/>
      <c r="B439" s="379"/>
      <c r="C439" s="379"/>
      <c r="D439" s="379"/>
      <c r="E439" s="379"/>
      <c r="F439" s="379"/>
      <c r="G439" s="379"/>
      <c r="H439" s="379"/>
      <c r="I439" s="379"/>
      <c r="J439" s="379"/>
      <c r="K439" s="379"/>
      <c r="L439" s="379"/>
      <c r="M439" s="379"/>
      <c r="N439" s="379"/>
      <c r="O439" s="379"/>
      <c r="P439" s="379"/>
      <c r="Q439" s="379"/>
      <c r="R439" s="379"/>
      <c r="S439" s="379"/>
      <c r="T439" s="379"/>
      <c r="U439" s="379"/>
      <c r="V439" s="379"/>
      <c r="W439" s="379"/>
      <c r="X439" s="379"/>
      <c r="Y439" s="379"/>
      <c r="Z439" s="379"/>
      <c r="AA439" s="379"/>
      <c r="AB439" s="379"/>
      <c r="AC439" s="379"/>
      <c r="AD439" s="379"/>
      <c r="AE439" s="379"/>
      <c r="AF439" s="379"/>
      <c r="AG439" s="379"/>
      <c r="AH439" s="379"/>
      <c r="AI439" s="379"/>
      <c r="AJ439" s="379"/>
      <c r="AK439" s="379"/>
      <c r="AL439" s="379"/>
      <c r="AM439" s="379"/>
      <c r="AN439" s="379"/>
      <c r="AO439" s="379"/>
      <c r="AP439" s="379"/>
      <c r="AQ439" s="379"/>
      <c r="AR439" s="379"/>
      <c r="AS439" s="379"/>
      <c r="AT439" s="379"/>
      <c r="AU439" s="379"/>
      <c r="AV439" s="379"/>
      <c r="AW439" s="379"/>
      <c r="AX439" s="379"/>
      <c r="AY439" s="379"/>
      <c r="AZ439" s="379"/>
      <c r="BA439" s="379"/>
      <c r="BB439" s="379"/>
      <c r="BC439" s="379"/>
      <c r="BD439" s="379"/>
      <c r="BE439" s="379"/>
      <c r="BF439" s="379"/>
      <c r="BG439" s="379"/>
      <c r="BH439" s="379"/>
      <c r="BI439" s="379"/>
      <c r="BJ439" s="379"/>
      <c r="BK439" s="379"/>
      <c r="BL439" s="379"/>
      <c r="BM439" s="379"/>
      <c r="BN439" s="379"/>
      <c r="BO439" s="379"/>
      <c r="BP439" s="379"/>
      <c r="BQ439" s="379"/>
      <c r="BR439" s="379"/>
      <c r="BS439" s="379"/>
      <c r="BT439" s="379"/>
      <c r="BU439" s="379"/>
      <c r="BV439" s="379"/>
      <c r="BW439" s="379"/>
      <c r="BX439" s="379"/>
      <c r="BY439" s="379"/>
      <c r="BZ439" s="379"/>
      <c r="CA439" s="281"/>
      <c r="CB439" s="3" t="str">
        <f t="shared" si="65"/>
        <v>Riadok bude skrytý.</v>
      </c>
      <c r="CC439" s="271" t="s">
        <v>832</v>
      </c>
      <c r="CW439" s="30">
        <f t="shared" si="63"/>
        <v>0</v>
      </c>
      <c r="CZ439" s="30">
        <f t="shared" si="61"/>
        <v>1</v>
      </c>
      <c r="DA439" s="30">
        <f t="shared" si="59"/>
        <v>0</v>
      </c>
      <c r="DB439" s="140">
        <f t="shared" si="64"/>
        <v>0</v>
      </c>
      <c r="DS439" s="130">
        <f>SI!BY439</f>
        <v>328</v>
      </c>
      <c r="DZ439" s="131">
        <f>SI!BZ439</f>
        <v>0</v>
      </c>
    </row>
    <row r="440" spans="1:130" hidden="1" x14ac:dyDescent="0.25">
      <c r="A440" s="141"/>
      <c r="B440" s="379"/>
      <c r="C440" s="379"/>
      <c r="D440" s="379"/>
      <c r="E440" s="379"/>
      <c r="F440" s="379"/>
      <c r="G440" s="379"/>
      <c r="H440" s="379"/>
      <c r="I440" s="379"/>
      <c r="J440" s="379"/>
      <c r="K440" s="379"/>
      <c r="L440" s="379"/>
      <c r="M440" s="379"/>
      <c r="N440" s="379"/>
      <c r="O440" s="379"/>
      <c r="P440" s="379"/>
      <c r="Q440" s="379"/>
      <c r="R440" s="379"/>
      <c r="S440" s="379"/>
      <c r="T440" s="379"/>
      <c r="U440" s="379"/>
      <c r="V440" s="379"/>
      <c r="W440" s="379"/>
      <c r="X440" s="379"/>
      <c r="Y440" s="379"/>
      <c r="Z440" s="379"/>
      <c r="AA440" s="379"/>
      <c r="AB440" s="379"/>
      <c r="AC440" s="379"/>
      <c r="AD440" s="379"/>
      <c r="AE440" s="379"/>
      <c r="AF440" s="379"/>
      <c r="AG440" s="379"/>
      <c r="AH440" s="379"/>
      <c r="AI440" s="379"/>
      <c r="AJ440" s="379"/>
      <c r="AK440" s="379"/>
      <c r="AL440" s="379"/>
      <c r="AM440" s="379"/>
      <c r="AN440" s="379"/>
      <c r="AO440" s="379"/>
      <c r="AP440" s="379"/>
      <c r="AQ440" s="379"/>
      <c r="AR440" s="379"/>
      <c r="AS440" s="379"/>
      <c r="AT440" s="379"/>
      <c r="AU440" s="379"/>
      <c r="AV440" s="379"/>
      <c r="AW440" s="379"/>
      <c r="AX440" s="379"/>
      <c r="AY440" s="379"/>
      <c r="AZ440" s="379"/>
      <c r="BA440" s="379"/>
      <c r="BB440" s="379"/>
      <c r="BC440" s="379"/>
      <c r="BD440" s="379"/>
      <c r="BE440" s="379"/>
      <c r="BF440" s="379"/>
      <c r="BG440" s="379"/>
      <c r="BH440" s="379"/>
      <c r="BI440" s="379"/>
      <c r="BJ440" s="379"/>
      <c r="BK440" s="379"/>
      <c r="BL440" s="379"/>
      <c r="BM440" s="379"/>
      <c r="BN440" s="379"/>
      <c r="BO440" s="379"/>
      <c r="BP440" s="379"/>
      <c r="BQ440" s="379"/>
      <c r="BR440" s="379"/>
      <c r="BS440" s="379"/>
      <c r="BT440" s="379"/>
      <c r="BU440" s="379"/>
      <c r="BV440" s="379"/>
      <c r="BW440" s="379"/>
      <c r="BX440" s="379"/>
      <c r="BY440" s="379"/>
      <c r="BZ440" s="379"/>
      <c r="CA440" s="281"/>
      <c r="CB440" s="3" t="str">
        <f t="shared" si="65"/>
        <v>Riadok bude skrytý.</v>
      </c>
      <c r="CC440" s="271" t="s">
        <v>832</v>
      </c>
      <c r="CW440" s="30">
        <f t="shared" si="63"/>
        <v>0</v>
      </c>
      <c r="CZ440" s="30">
        <f t="shared" si="61"/>
        <v>1</v>
      </c>
      <c r="DA440" s="30">
        <f t="shared" si="59"/>
        <v>0</v>
      </c>
      <c r="DB440" s="140">
        <f t="shared" si="64"/>
        <v>0</v>
      </c>
      <c r="DS440" s="130">
        <f>SI!BY440</f>
        <v>187</v>
      </c>
      <c r="DZ440" s="131">
        <f>SI!BZ440</f>
        <v>0</v>
      </c>
    </row>
    <row r="441" spans="1:130" hidden="1" x14ac:dyDescent="0.25">
      <c r="A441" s="141"/>
      <c r="B441" s="379"/>
      <c r="C441" s="379"/>
      <c r="D441" s="379"/>
      <c r="E441" s="379"/>
      <c r="F441" s="379"/>
      <c r="G441" s="379"/>
      <c r="H441" s="379"/>
      <c r="I441" s="379"/>
      <c r="J441" s="379"/>
      <c r="K441" s="379"/>
      <c r="L441" s="379"/>
      <c r="M441" s="379"/>
      <c r="N441" s="379"/>
      <c r="O441" s="379"/>
      <c r="P441" s="379"/>
      <c r="Q441" s="379"/>
      <c r="R441" s="379"/>
      <c r="S441" s="379"/>
      <c r="T441" s="379"/>
      <c r="U441" s="379"/>
      <c r="V441" s="379"/>
      <c r="W441" s="379"/>
      <c r="X441" s="379"/>
      <c r="Y441" s="379"/>
      <c r="Z441" s="379"/>
      <c r="AA441" s="379"/>
      <c r="AB441" s="379"/>
      <c r="AC441" s="379"/>
      <c r="AD441" s="379"/>
      <c r="AE441" s="379"/>
      <c r="AF441" s="379"/>
      <c r="AG441" s="379"/>
      <c r="AH441" s="379"/>
      <c r="AI441" s="379"/>
      <c r="AJ441" s="379"/>
      <c r="AK441" s="379"/>
      <c r="AL441" s="379"/>
      <c r="AM441" s="379"/>
      <c r="AN441" s="379"/>
      <c r="AO441" s="379"/>
      <c r="AP441" s="379"/>
      <c r="AQ441" s="379"/>
      <c r="AR441" s="379"/>
      <c r="AS441" s="379"/>
      <c r="AT441" s="379"/>
      <c r="AU441" s="379"/>
      <c r="AV441" s="379"/>
      <c r="AW441" s="379"/>
      <c r="AX441" s="379"/>
      <c r="AY441" s="379"/>
      <c r="AZ441" s="379"/>
      <c r="BA441" s="379"/>
      <c r="BB441" s="379"/>
      <c r="BC441" s="379"/>
      <c r="BD441" s="379"/>
      <c r="BE441" s="379"/>
      <c r="BF441" s="379"/>
      <c r="BG441" s="379"/>
      <c r="BH441" s="379"/>
      <c r="BI441" s="379"/>
      <c r="BJ441" s="379"/>
      <c r="BK441" s="379"/>
      <c r="BL441" s="379"/>
      <c r="BM441" s="379"/>
      <c r="BN441" s="379"/>
      <c r="BO441" s="379"/>
      <c r="BP441" s="379"/>
      <c r="BQ441" s="379"/>
      <c r="BR441" s="379"/>
      <c r="BS441" s="379"/>
      <c r="BT441" s="379"/>
      <c r="BU441" s="379"/>
      <c r="BV441" s="379"/>
      <c r="BW441" s="379"/>
      <c r="BX441" s="379"/>
      <c r="BY441" s="379"/>
      <c r="BZ441" s="379"/>
      <c r="CA441" s="281"/>
      <c r="CB441" s="3" t="str">
        <f t="shared" si="65"/>
        <v>Riadok bude skrytý.</v>
      </c>
      <c r="CC441" s="271" t="s">
        <v>832</v>
      </c>
      <c r="CW441" s="30">
        <f t="shared" si="63"/>
        <v>0</v>
      </c>
      <c r="CZ441" s="30">
        <f t="shared" si="61"/>
        <v>1</v>
      </c>
      <c r="DA441" s="30">
        <f t="shared" si="59"/>
        <v>0</v>
      </c>
      <c r="DB441" s="140">
        <f t="shared" si="64"/>
        <v>0</v>
      </c>
      <c r="DS441" s="130">
        <f>SI!BY441</f>
        <v>1029</v>
      </c>
      <c r="DZ441" s="131">
        <f>SI!BZ441</f>
        <v>0</v>
      </c>
    </row>
    <row r="442" spans="1:130" hidden="1" x14ac:dyDescent="0.25">
      <c r="A442" s="141"/>
      <c r="B442" s="379"/>
      <c r="C442" s="379"/>
      <c r="D442" s="379"/>
      <c r="E442" s="379"/>
      <c r="F442" s="379"/>
      <c r="G442" s="379"/>
      <c r="H442" s="379"/>
      <c r="I442" s="379"/>
      <c r="J442" s="379"/>
      <c r="K442" s="379"/>
      <c r="L442" s="379"/>
      <c r="M442" s="379"/>
      <c r="N442" s="379"/>
      <c r="O442" s="379"/>
      <c r="P442" s="379"/>
      <c r="Q442" s="379"/>
      <c r="R442" s="379"/>
      <c r="S442" s="379"/>
      <c r="T442" s="379"/>
      <c r="U442" s="379"/>
      <c r="V442" s="379"/>
      <c r="W442" s="379"/>
      <c r="X442" s="379"/>
      <c r="Y442" s="379"/>
      <c r="Z442" s="379"/>
      <c r="AA442" s="379"/>
      <c r="AB442" s="379"/>
      <c r="AC442" s="379"/>
      <c r="AD442" s="379"/>
      <c r="AE442" s="379"/>
      <c r="AF442" s="379"/>
      <c r="AG442" s="379"/>
      <c r="AH442" s="379"/>
      <c r="AI442" s="379"/>
      <c r="AJ442" s="379"/>
      <c r="AK442" s="379"/>
      <c r="AL442" s="379"/>
      <c r="AM442" s="379"/>
      <c r="AN442" s="379"/>
      <c r="AO442" s="379"/>
      <c r="AP442" s="379"/>
      <c r="AQ442" s="379"/>
      <c r="AR442" s="379"/>
      <c r="AS442" s="379"/>
      <c r="AT442" s="379"/>
      <c r="AU442" s="379"/>
      <c r="AV442" s="379"/>
      <c r="AW442" s="379"/>
      <c r="AX442" s="379"/>
      <c r="AY442" s="379"/>
      <c r="AZ442" s="379"/>
      <c r="BA442" s="379"/>
      <c r="BB442" s="379"/>
      <c r="BC442" s="379"/>
      <c r="BD442" s="379"/>
      <c r="BE442" s="379"/>
      <c r="BF442" s="379"/>
      <c r="BG442" s="379"/>
      <c r="BH442" s="379"/>
      <c r="BI442" s="379"/>
      <c r="BJ442" s="379"/>
      <c r="BK442" s="379"/>
      <c r="BL442" s="379"/>
      <c r="BM442" s="379"/>
      <c r="BN442" s="379"/>
      <c r="BO442" s="379"/>
      <c r="BP442" s="379"/>
      <c r="BQ442" s="379"/>
      <c r="BR442" s="379"/>
      <c r="BS442" s="379"/>
      <c r="BT442" s="379"/>
      <c r="BU442" s="379"/>
      <c r="BV442" s="379"/>
      <c r="BW442" s="379"/>
      <c r="BX442" s="379"/>
      <c r="BY442" s="379"/>
      <c r="BZ442" s="379"/>
      <c r="CA442" s="281"/>
      <c r="CB442" s="3" t="str">
        <f t="shared" si="65"/>
        <v>Riadok bude skrytý.</v>
      </c>
      <c r="CC442" s="271" t="s">
        <v>832</v>
      </c>
      <c r="CW442" s="30">
        <f t="shared" si="63"/>
        <v>0</v>
      </c>
      <c r="CZ442" s="30">
        <f t="shared" si="61"/>
        <v>1</v>
      </c>
      <c r="DA442" s="30">
        <f t="shared" si="59"/>
        <v>0</v>
      </c>
      <c r="DB442" s="140">
        <f t="shared" si="64"/>
        <v>0</v>
      </c>
      <c r="DS442" s="130">
        <f>SI!BY442</f>
        <v>200</v>
      </c>
      <c r="DZ442" s="131">
        <f>SI!BZ442</f>
        <v>0</v>
      </c>
    </row>
    <row r="443" spans="1:130" hidden="1" x14ac:dyDescent="0.25">
      <c r="A443" s="141"/>
      <c r="B443" s="379"/>
      <c r="C443" s="379"/>
      <c r="D443" s="379"/>
      <c r="E443" s="379"/>
      <c r="F443" s="379"/>
      <c r="G443" s="379"/>
      <c r="H443" s="379"/>
      <c r="I443" s="379"/>
      <c r="J443" s="379"/>
      <c r="K443" s="379"/>
      <c r="L443" s="379"/>
      <c r="M443" s="379"/>
      <c r="N443" s="379"/>
      <c r="O443" s="379"/>
      <c r="P443" s="379"/>
      <c r="Q443" s="379"/>
      <c r="R443" s="379"/>
      <c r="S443" s="379"/>
      <c r="T443" s="379"/>
      <c r="U443" s="379"/>
      <c r="V443" s="379"/>
      <c r="W443" s="379"/>
      <c r="X443" s="379"/>
      <c r="Y443" s="379"/>
      <c r="Z443" s="379"/>
      <c r="AA443" s="379"/>
      <c r="AB443" s="379"/>
      <c r="AC443" s="379"/>
      <c r="AD443" s="379"/>
      <c r="AE443" s="379"/>
      <c r="AF443" s="379"/>
      <c r="AG443" s="379"/>
      <c r="AH443" s="379"/>
      <c r="AI443" s="379"/>
      <c r="AJ443" s="379"/>
      <c r="AK443" s="379"/>
      <c r="AL443" s="379"/>
      <c r="AM443" s="379"/>
      <c r="AN443" s="379"/>
      <c r="AO443" s="379"/>
      <c r="AP443" s="379"/>
      <c r="AQ443" s="379"/>
      <c r="AR443" s="379"/>
      <c r="AS443" s="379"/>
      <c r="AT443" s="379"/>
      <c r="AU443" s="379"/>
      <c r="AV443" s="379"/>
      <c r="AW443" s="379"/>
      <c r="AX443" s="379"/>
      <c r="AY443" s="379"/>
      <c r="AZ443" s="379"/>
      <c r="BA443" s="379"/>
      <c r="BB443" s="379"/>
      <c r="BC443" s="379"/>
      <c r="BD443" s="379"/>
      <c r="BE443" s="379"/>
      <c r="BF443" s="379"/>
      <c r="BG443" s="379"/>
      <c r="BH443" s="379"/>
      <c r="BI443" s="379"/>
      <c r="BJ443" s="379"/>
      <c r="BK443" s="379"/>
      <c r="BL443" s="379"/>
      <c r="BM443" s="379"/>
      <c r="BN443" s="379"/>
      <c r="BO443" s="379"/>
      <c r="BP443" s="379"/>
      <c r="BQ443" s="379"/>
      <c r="BR443" s="379"/>
      <c r="BS443" s="379"/>
      <c r="BT443" s="379"/>
      <c r="BU443" s="379"/>
      <c r="BV443" s="379"/>
      <c r="BW443" s="379"/>
      <c r="BX443" s="379"/>
      <c r="BY443" s="379"/>
      <c r="BZ443" s="379"/>
      <c r="CA443" s="281"/>
      <c r="CB443" s="3" t="str">
        <f t="shared" si="65"/>
        <v>Riadok bude skrytý.</v>
      </c>
      <c r="CC443" s="271" t="s">
        <v>832</v>
      </c>
      <c r="CW443" s="30">
        <f t="shared" si="63"/>
        <v>0</v>
      </c>
      <c r="CZ443" s="30">
        <f t="shared" si="61"/>
        <v>1</v>
      </c>
      <c r="DA443" s="30">
        <f t="shared" si="59"/>
        <v>0</v>
      </c>
      <c r="DB443" s="140">
        <f t="shared" si="64"/>
        <v>0</v>
      </c>
      <c r="DS443" s="130">
        <f>SI!BY443</f>
        <v>469</v>
      </c>
      <c r="DZ443" s="131">
        <f>SI!BZ443</f>
        <v>0</v>
      </c>
    </row>
    <row r="444" spans="1:130" hidden="1" x14ac:dyDescent="0.25">
      <c r="A444" s="141"/>
      <c r="B444" s="379"/>
      <c r="C444" s="379"/>
      <c r="D444" s="379"/>
      <c r="E444" s="379"/>
      <c r="F444" s="379"/>
      <c r="G444" s="379"/>
      <c r="H444" s="379"/>
      <c r="I444" s="379"/>
      <c r="J444" s="379"/>
      <c r="K444" s="379"/>
      <c r="L444" s="379"/>
      <c r="M444" s="379"/>
      <c r="N444" s="379"/>
      <c r="O444" s="379"/>
      <c r="P444" s="379"/>
      <c r="Q444" s="379"/>
      <c r="R444" s="379"/>
      <c r="S444" s="379"/>
      <c r="T444" s="379"/>
      <c r="U444" s="379"/>
      <c r="V444" s="379"/>
      <c r="W444" s="379"/>
      <c r="X444" s="379"/>
      <c r="Y444" s="379"/>
      <c r="Z444" s="379"/>
      <c r="AA444" s="379"/>
      <c r="AB444" s="379"/>
      <c r="AC444" s="379"/>
      <c r="AD444" s="379"/>
      <c r="AE444" s="379"/>
      <c r="AF444" s="379"/>
      <c r="AG444" s="379"/>
      <c r="AH444" s="379"/>
      <c r="AI444" s="379"/>
      <c r="AJ444" s="379"/>
      <c r="AK444" s="379"/>
      <c r="AL444" s="379"/>
      <c r="AM444" s="379"/>
      <c r="AN444" s="379"/>
      <c r="AO444" s="379"/>
      <c r="AP444" s="379"/>
      <c r="AQ444" s="379"/>
      <c r="AR444" s="379"/>
      <c r="AS444" s="379"/>
      <c r="AT444" s="379"/>
      <c r="AU444" s="379"/>
      <c r="AV444" s="379"/>
      <c r="AW444" s="379"/>
      <c r="AX444" s="379"/>
      <c r="AY444" s="379"/>
      <c r="AZ444" s="379"/>
      <c r="BA444" s="379"/>
      <c r="BB444" s="379"/>
      <c r="BC444" s="379"/>
      <c r="BD444" s="379"/>
      <c r="BE444" s="379"/>
      <c r="BF444" s="379"/>
      <c r="BG444" s="379"/>
      <c r="BH444" s="379"/>
      <c r="BI444" s="379"/>
      <c r="BJ444" s="379"/>
      <c r="BK444" s="379"/>
      <c r="BL444" s="379"/>
      <c r="BM444" s="379"/>
      <c r="BN444" s="379"/>
      <c r="BO444" s="379"/>
      <c r="BP444" s="379"/>
      <c r="BQ444" s="379"/>
      <c r="BR444" s="379"/>
      <c r="BS444" s="379"/>
      <c r="BT444" s="379"/>
      <c r="BU444" s="379"/>
      <c r="BV444" s="379"/>
      <c r="BW444" s="379"/>
      <c r="BX444" s="379"/>
      <c r="BY444" s="379"/>
      <c r="BZ444" s="379"/>
      <c r="CA444" s="281"/>
      <c r="CB444" s="3" t="str">
        <f t="shared" si="65"/>
        <v>Riadok bude skrytý.</v>
      </c>
      <c r="CC444" s="271" t="s">
        <v>832</v>
      </c>
      <c r="CW444" s="30">
        <f t="shared" si="63"/>
        <v>0</v>
      </c>
      <c r="CZ444" s="30">
        <f t="shared" si="61"/>
        <v>1</v>
      </c>
      <c r="DA444" s="30">
        <f t="shared" si="59"/>
        <v>0</v>
      </c>
      <c r="DB444" s="140">
        <f t="shared" si="64"/>
        <v>0</v>
      </c>
      <c r="DS444" s="130">
        <f>SI!BY444</f>
        <v>185</v>
      </c>
      <c r="DZ444" s="131">
        <f>SI!BZ444</f>
        <v>0</v>
      </c>
    </row>
    <row r="445" spans="1:130" hidden="1" x14ac:dyDescent="0.25">
      <c r="A445" s="141"/>
      <c r="B445" s="379"/>
      <c r="C445" s="379"/>
      <c r="D445" s="379"/>
      <c r="E445" s="379"/>
      <c r="F445" s="379"/>
      <c r="G445" s="379"/>
      <c r="H445" s="379"/>
      <c r="I445" s="379"/>
      <c r="J445" s="379"/>
      <c r="K445" s="379"/>
      <c r="L445" s="379"/>
      <c r="M445" s="379"/>
      <c r="N445" s="379"/>
      <c r="O445" s="379"/>
      <c r="P445" s="379"/>
      <c r="Q445" s="379"/>
      <c r="R445" s="379"/>
      <c r="S445" s="379"/>
      <c r="T445" s="379"/>
      <c r="U445" s="379"/>
      <c r="V445" s="379"/>
      <c r="W445" s="379"/>
      <c r="X445" s="379"/>
      <c r="Y445" s="379"/>
      <c r="Z445" s="379"/>
      <c r="AA445" s="379"/>
      <c r="AB445" s="379"/>
      <c r="AC445" s="379"/>
      <c r="AD445" s="379"/>
      <c r="AE445" s="379"/>
      <c r="AF445" s="379"/>
      <c r="AG445" s="379"/>
      <c r="AH445" s="379"/>
      <c r="AI445" s="379"/>
      <c r="AJ445" s="379"/>
      <c r="AK445" s="379"/>
      <c r="AL445" s="379"/>
      <c r="AM445" s="379"/>
      <c r="AN445" s="379"/>
      <c r="AO445" s="379"/>
      <c r="AP445" s="379"/>
      <c r="AQ445" s="379"/>
      <c r="AR445" s="379"/>
      <c r="AS445" s="379"/>
      <c r="AT445" s="379"/>
      <c r="AU445" s="379"/>
      <c r="AV445" s="379"/>
      <c r="AW445" s="379"/>
      <c r="AX445" s="379"/>
      <c r="AY445" s="379"/>
      <c r="AZ445" s="379"/>
      <c r="BA445" s="379"/>
      <c r="BB445" s="379"/>
      <c r="BC445" s="379"/>
      <c r="BD445" s="379"/>
      <c r="BE445" s="379"/>
      <c r="BF445" s="379"/>
      <c r="BG445" s="379"/>
      <c r="BH445" s="379"/>
      <c r="BI445" s="379"/>
      <c r="BJ445" s="379"/>
      <c r="BK445" s="379"/>
      <c r="BL445" s="379"/>
      <c r="BM445" s="379"/>
      <c r="BN445" s="379"/>
      <c r="BO445" s="379"/>
      <c r="BP445" s="379"/>
      <c r="BQ445" s="379"/>
      <c r="BR445" s="379"/>
      <c r="BS445" s="379"/>
      <c r="BT445" s="379"/>
      <c r="BU445" s="379"/>
      <c r="BV445" s="379"/>
      <c r="BW445" s="379"/>
      <c r="BX445" s="379"/>
      <c r="BY445" s="379"/>
      <c r="BZ445" s="379"/>
      <c r="CA445" s="281"/>
      <c r="CB445" s="3" t="str">
        <f t="shared" si="65"/>
        <v>Riadok bude skrytý.</v>
      </c>
      <c r="CC445" s="271" t="s">
        <v>832</v>
      </c>
      <c r="CW445" s="30">
        <f t="shared" si="63"/>
        <v>0</v>
      </c>
      <c r="CZ445" s="30">
        <f t="shared" si="61"/>
        <v>1</v>
      </c>
      <c r="DA445" s="30">
        <f t="shared" si="59"/>
        <v>0</v>
      </c>
      <c r="DB445" s="140">
        <f t="shared" si="64"/>
        <v>0</v>
      </c>
      <c r="DS445" s="130">
        <f>SI!BY445</f>
        <v>932</v>
      </c>
      <c r="DZ445" s="131">
        <f>SI!BZ445</f>
        <v>0</v>
      </c>
    </row>
    <row r="446" spans="1:130" hidden="1" x14ac:dyDescent="0.25">
      <c r="A446" s="141"/>
      <c r="B446" s="379"/>
      <c r="C446" s="379"/>
      <c r="D446" s="379"/>
      <c r="E446" s="379"/>
      <c r="F446" s="379"/>
      <c r="G446" s="379"/>
      <c r="H446" s="379"/>
      <c r="I446" s="379"/>
      <c r="J446" s="379"/>
      <c r="K446" s="379"/>
      <c r="L446" s="379"/>
      <c r="M446" s="379"/>
      <c r="N446" s="379"/>
      <c r="O446" s="379"/>
      <c r="P446" s="379"/>
      <c r="Q446" s="379"/>
      <c r="R446" s="379"/>
      <c r="S446" s="379"/>
      <c r="T446" s="379"/>
      <c r="U446" s="379"/>
      <c r="V446" s="379"/>
      <c r="W446" s="379"/>
      <c r="X446" s="379"/>
      <c r="Y446" s="379"/>
      <c r="Z446" s="379"/>
      <c r="AA446" s="379"/>
      <c r="AB446" s="379"/>
      <c r="AC446" s="379"/>
      <c r="AD446" s="379"/>
      <c r="AE446" s="379"/>
      <c r="AF446" s="379"/>
      <c r="AG446" s="379"/>
      <c r="AH446" s="379"/>
      <c r="AI446" s="379"/>
      <c r="AJ446" s="379"/>
      <c r="AK446" s="379"/>
      <c r="AL446" s="379"/>
      <c r="AM446" s="379"/>
      <c r="AN446" s="379"/>
      <c r="AO446" s="379"/>
      <c r="AP446" s="379"/>
      <c r="AQ446" s="379"/>
      <c r="AR446" s="379"/>
      <c r="AS446" s="379"/>
      <c r="AT446" s="379"/>
      <c r="AU446" s="379"/>
      <c r="AV446" s="379"/>
      <c r="AW446" s="379"/>
      <c r="AX446" s="379"/>
      <c r="AY446" s="379"/>
      <c r="AZ446" s="379"/>
      <c r="BA446" s="379"/>
      <c r="BB446" s="379"/>
      <c r="BC446" s="379"/>
      <c r="BD446" s="379"/>
      <c r="BE446" s="379"/>
      <c r="BF446" s="379"/>
      <c r="BG446" s="379"/>
      <c r="BH446" s="379"/>
      <c r="BI446" s="379"/>
      <c r="BJ446" s="379"/>
      <c r="BK446" s="379"/>
      <c r="BL446" s="379"/>
      <c r="BM446" s="379"/>
      <c r="BN446" s="379"/>
      <c r="BO446" s="379"/>
      <c r="BP446" s="379"/>
      <c r="BQ446" s="379"/>
      <c r="BR446" s="379"/>
      <c r="BS446" s="379"/>
      <c r="BT446" s="379"/>
      <c r="BU446" s="379"/>
      <c r="BV446" s="379"/>
      <c r="BW446" s="379"/>
      <c r="BX446" s="379"/>
      <c r="BY446" s="379"/>
      <c r="BZ446" s="379"/>
      <c r="CA446" s="281"/>
      <c r="CB446" s="3" t="str">
        <f t="shared" si="65"/>
        <v>Riadok bude skrytý.</v>
      </c>
      <c r="CC446" s="271" t="s">
        <v>832</v>
      </c>
      <c r="CW446" s="30">
        <f t="shared" si="63"/>
        <v>0</v>
      </c>
      <c r="CZ446" s="30">
        <f t="shared" si="61"/>
        <v>1</v>
      </c>
      <c r="DA446" s="30">
        <f t="shared" si="59"/>
        <v>0</v>
      </c>
      <c r="DB446" s="140">
        <f t="shared" si="64"/>
        <v>0</v>
      </c>
      <c r="DS446" s="130">
        <f>SI!BY446</f>
        <v>4</v>
      </c>
      <c r="DZ446" s="131">
        <f>SI!BZ446</f>
        <v>0</v>
      </c>
    </row>
    <row r="447" spans="1:130" hidden="1" x14ac:dyDescent="0.25">
      <c r="A447" s="141"/>
      <c r="B447" s="379"/>
      <c r="C447" s="379"/>
      <c r="D447" s="379"/>
      <c r="E447" s="379"/>
      <c r="F447" s="379"/>
      <c r="G447" s="379"/>
      <c r="H447" s="379"/>
      <c r="I447" s="379"/>
      <c r="J447" s="379"/>
      <c r="K447" s="379"/>
      <c r="L447" s="379"/>
      <c r="M447" s="379"/>
      <c r="N447" s="379"/>
      <c r="O447" s="379"/>
      <c r="P447" s="379"/>
      <c r="Q447" s="379"/>
      <c r="R447" s="379"/>
      <c r="S447" s="379"/>
      <c r="T447" s="379"/>
      <c r="U447" s="379"/>
      <c r="V447" s="379"/>
      <c r="W447" s="379"/>
      <c r="X447" s="379"/>
      <c r="Y447" s="379"/>
      <c r="Z447" s="379"/>
      <c r="AA447" s="379"/>
      <c r="AB447" s="379"/>
      <c r="AC447" s="379"/>
      <c r="AD447" s="379"/>
      <c r="AE447" s="379"/>
      <c r="AF447" s="379"/>
      <c r="AG447" s="379"/>
      <c r="AH447" s="379"/>
      <c r="AI447" s="379"/>
      <c r="AJ447" s="379"/>
      <c r="AK447" s="379"/>
      <c r="AL447" s="379"/>
      <c r="AM447" s="379"/>
      <c r="AN447" s="379"/>
      <c r="AO447" s="379"/>
      <c r="AP447" s="379"/>
      <c r="AQ447" s="379"/>
      <c r="AR447" s="379"/>
      <c r="AS447" s="379"/>
      <c r="AT447" s="379"/>
      <c r="AU447" s="379"/>
      <c r="AV447" s="379"/>
      <c r="AW447" s="379"/>
      <c r="AX447" s="379"/>
      <c r="AY447" s="379"/>
      <c r="AZ447" s="379"/>
      <c r="BA447" s="379"/>
      <c r="BB447" s="379"/>
      <c r="BC447" s="379"/>
      <c r="BD447" s="379"/>
      <c r="BE447" s="379"/>
      <c r="BF447" s="379"/>
      <c r="BG447" s="379"/>
      <c r="BH447" s="379"/>
      <c r="BI447" s="379"/>
      <c r="BJ447" s="379"/>
      <c r="BK447" s="379"/>
      <c r="BL447" s="379"/>
      <c r="BM447" s="379"/>
      <c r="BN447" s="379"/>
      <c r="BO447" s="379"/>
      <c r="BP447" s="379"/>
      <c r="BQ447" s="379"/>
      <c r="BR447" s="379"/>
      <c r="BS447" s="379"/>
      <c r="BT447" s="379"/>
      <c r="BU447" s="379"/>
      <c r="BV447" s="379"/>
      <c r="BW447" s="379"/>
      <c r="BX447" s="379"/>
      <c r="BY447" s="379"/>
      <c r="BZ447" s="379"/>
      <c r="CA447" s="281"/>
      <c r="CB447" s="3" t="str">
        <f t="shared" si="65"/>
        <v>Riadok bude skrytý.</v>
      </c>
      <c r="CC447" s="271" t="s">
        <v>832</v>
      </c>
      <c r="CW447" s="30">
        <f t="shared" si="63"/>
        <v>0</v>
      </c>
      <c r="CZ447" s="30">
        <f t="shared" si="61"/>
        <v>1</v>
      </c>
      <c r="DA447" s="30">
        <f t="shared" si="59"/>
        <v>0</v>
      </c>
      <c r="DB447" s="140">
        <f t="shared" si="64"/>
        <v>0</v>
      </c>
      <c r="DS447" s="130">
        <f>SI!BY447</f>
        <v>675</v>
      </c>
      <c r="DZ447" s="131">
        <f>SI!BZ447</f>
        <v>0</v>
      </c>
    </row>
    <row r="448" spans="1:130" hidden="1" x14ac:dyDescent="0.25">
      <c r="A448" s="141"/>
      <c r="B448" s="379"/>
      <c r="C448" s="379"/>
      <c r="D448" s="379"/>
      <c r="E448" s="379"/>
      <c r="F448" s="379"/>
      <c r="G448" s="379"/>
      <c r="H448" s="379"/>
      <c r="I448" s="379"/>
      <c r="J448" s="379"/>
      <c r="K448" s="379"/>
      <c r="L448" s="379"/>
      <c r="M448" s="379"/>
      <c r="N448" s="379"/>
      <c r="O448" s="379"/>
      <c r="P448" s="379"/>
      <c r="Q448" s="379"/>
      <c r="R448" s="379"/>
      <c r="S448" s="379"/>
      <c r="T448" s="379"/>
      <c r="U448" s="379"/>
      <c r="V448" s="379"/>
      <c r="W448" s="379"/>
      <c r="X448" s="379"/>
      <c r="Y448" s="379"/>
      <c r="Z448" s="379"/>
      <c r="AA448" s="379"/>
      <c r="AB448" s="379"/>
      <c r="AC448" s="379"/>
      <c r="AD448" s="379"/>
      <c r="AE448" s="379"/>
      <c r="AF448" s="379"/>
      <c r="AG448" s="379"/>
      <c r="AH448" s="379"/>
      <c r="AI448" s="379"/>
      <c r="AJ448" s="379"/>
      <c r="AK448" s="379"/>
      <c r="AL448" s="379"/>
      <c r="AM448" s="379"/>
      <c r="AN448" s="379"/>
      <c r="AO448" s="379"/>
      <c r="AP448" s="379"/>
      <c r="AQ448" s="379"/>
      <c r="AR448" s="379"/>
      <c r="AS448" s="379"/>
      <c r="AT448" s="379"/>
      <c r="AU448" s="379"/>
      <c r="AV448" s="379"/>
      <c r="AW448" s="379"/>
      <c r="AX448" s="379"/>
      <c r="AY448" s="379"/>
      <c r="AZ448" s="379"/>
      <c r="BA448" s="379"/>
      <c r="BB448" s="379"/>
      <c r="BC448" s="379"/>
      <c r="BD448" s="379"/>
      <c r="BE448" s="379"/>
      <c r="BF448" s="379"/>
      <c r="BG448" s="379"/>
      <c r="BH448" s="379"/>
      <c r="BI448" s="379"/>
      <c r="BJ448" s="379"/>
      <c r="BK448" s="379"/>
      <c r="BL448" s="379"/>
      <c r="BM448" s="379"/>
      <c r="BN448" s="379"/>
      <c r="BO448" s="379"/>
      <c r="BP448" s="379"/>
      <c r="BQ448" s="379"/>
      <c r="BR448" s="379"/>
      <c r="BS448" s="379"/>
      <c r="BT448" s="379"/>
      <c r="BU448" s="379"/>
      <c r="BV448" s="379"/>
      <c r="BW448" s="379"/>
      <c r="BX448" s="379"/>
      <c r="BY448" s="379"/>
      <c r="BZ448" s="379"/>
      <c r="CA448" s="281"/>
      <c r="CB448" s="3" t="str">
        <f t="shared" si="65"/>
        <v>Riadok bude skrytý.</v>
      </c>
      <c r="CC448" s="271" t="s">
        <v>832</v>
      </c>
      <c r="CW448" s="30">
        <f t="shared" si="63"/>
        <v>0</v>
      </c>
      <c r="CZ448" s="30">
        <f t="shared" si="61"/>
        <v>1</v>
      </c>
      <c r="DA448" s="30">
        <f t="shared" si="59"/>
        <v>0</v>
      </c>
      <c r="DB448" s="140">
        <f t="shared" si="64"/>
        <v>0</v>
      </c>
      <c r="DS448" s="130">
        <f>SI!BY448</f>
        <v>145</v>
      </c>
      <c r="DZ448" s="131">
        <f>SI!BZ448</f>
        <v>0</v>
      </c>
    </row>
    <row r="449" spans="1:130" hidden="1" x14ac:dyDescent="0.25">
      <c r="A449" s="141"/>
      <c r="B449" s="379"/>
      <c r="C449" s="379"/>
      <c r="D449" s="379"/>
      <c r="E449" s="379"/>
      <c r="F449" s="379"/>
      <c r="G449" s="379"/>
      <c r="H449" s="379"/>
      <c r="I449" s="379"/>
      <c r="J449" s="379"/>
      <c r="K449" s="379"/>
      <c r="L449" s="379"/>
      <c r="M449" s="379"/>
      <c r="N449" s="379"/>
      <c r="O449" s="379"/>
      <c r="P449" s="379"/>
      <c r="Q449" s="379"/>
      <c r="R449" s="379"/>
      <c r="S449" s="379"/>
      <c r="T449" s="379"/>
      <c r="U449" s="379"/>
      <c r="V449" s="379"/>
      <c r="W449" s="379"/>
      <c r="X449" s="379"/>
      <c r="Y449" s="379"/>
      <c r="Z449" s="379"/>
      <c r="AA449" s="379"/>
      <c r="AB449" s="379"/>
      <c r="AC449" s="379"/>
      <c r="AD449" s="379"/>
      <c r="AE449" s="379"/>
      <c r="AF449" s="379"/>
      <c r="AG449" s="379"/>
      <c r="AH449" s="379"/>
      <c r="AI449" s="379"/>
      <c r="AJ449" s="379"/>
      <c r="AK449" s="379"/>
      <c r="AL449" s="379"/>
      <c r="AM449" s="379"/>
      <c r="AN449" s="379"/>
      <c r="AO449" s="379"/>
      <c r="AP449" s="379"/>
      <c r="AQ449" s="379"/>
      <c r="AR449" s="379"/>
      <c r="AS449" s="379"/>
      <c r="AT449" s="379"/>
      <c r="AU449" s="379"/>
      <c r="AV449" s="379"/>
      <c r="AW449" s="379"/>
      <c r="AX449" s="379"/>
      <c r="AY449" s="379"/>
      <c r="AZ449" s="379"/>
      <c r="BA449" s="379"/>
      <c r="BB449" s="379"/>
      <c r="BC449" s="379"/>
      <c r="BD449" s="379"/>
      <c r="BE449" s="379"/>
      <c r="BF449" s="379"/>
      <c r="BG449" s="379"/>
      <c r="BH449" s="379"/>
      <c r="BI449" s="379"/>
      <c r="BJ449" s="379"/>
      <c r="BK449" s="379"/>
      <c r="BL449" s="379"/>
      <c r="BM449" s="379"/>
      <c r="BN449" s="379"/>
      <c r="BO449" s="379"/>
      <c r="BP449" s="379"/>
      <c r="BQ449" s="379"/>
      <c r="BR449" s="379"/>
      <c r="BS449" s="379"/>
      <c r="BT449" s="379"/>
      <c r="BU449" s="379"/>
      <c r="BV449" s="379"/>
      <c r="BW449" s="379"/>
      <c r="BX449" s="379"/>
      <c r="BY449" s="379"/>
      <c r="BZ449" s="379"/>
      <c r="CA449" s="281"/>
      <c r="CB449" s="3" t="str">
        <f t="shared" si="65"/>
        <v>Riadok bude skrytý.</v>
      </c>
      <c r="CC449" s="271" t="s">
        <v>832</v>
      </c>
      <c r="CW449" s="30">
        <f t="shared" si="63"/>
        <v>0</v>
      </c>
      <c r="CZ449" s="30">
        <f t="shared" si="61"/>
        <v>1</v>
      </c>
      <c r="DA449" s="30">
        <f t="shared" si="59"/>
        <v>0</v>
      </c>
      <c r="DB449" s="140">
        <f t="shared" si="64"/>
        <v>0</v>
      </c>
      <c r="DS449" s="130">
        <f>SI!BY449</f>
        <v>646</v>
      </c>
      <c r="DZ449" s="131">
        <f>SI!BZ449</f>
        <v>0</v>
      </c>
    </row>
    <row r="450" spans="1:130" hidden="1" x14ac:dyDescent="0.25">
      <c r="A450" s="141"/>
      <c r="B450" s="379"/>
      <c r="C450" s="379"/>
      <c r="D450" s="379"/>
      <c r="E450" s="379"/>
      <c r="F450" s="379"/>
      <c r="G450" s="379"/>
      <c r="H450" s="379"/>
      <c r="I450" s="379"/>
      <c r="J450" s="379"/>
      <c r="K450" s="379"/>
      <c r="L450" s="379"/>
      <c r="M450" s="379"/>
      <c r="N450" s="379"/>
      <c r="O450" s="379"/>
      <c r="P450" s="379"/>
      <c r="Q450" s="379"/>
      <c r="R450" s="379"/>
      <c r="S450" s="379"/>
      <c r="T450" s="379"/>
      <c r="U450" s="379"/>
      <c r="V450" s="379"/>
      <c r="W450" s="379"/>
      <c r="X450" s="379"/>
      <c r="Y450" s="379"/>
      <c r="Z450" s="379"/>
      <c r="AA450" s="379"/>
      <c r="AB450" s="379"/>
      <c r="AC450" s="379"/>
      <c r="AD450" s="379"/>
      <c r="AE450" s="379"/>
      <c r="AF450" s="379"/>
      <c r="AG450" s="379"/>
      <c r="AH450" s="379"/>
      <c r="AI450" s="379"/>
      <c r="AJ450" s="379"/>
      <c r="AK450" s="379"/>
      <c r="AL450" s="379"/>
      <c r="AM450" s="379"/>
      <c r="AN450" s="379"/>
      <c r="AO450" s="379"/>
      <c r="AP450" s="379"/>
      <c r="AQ450" s="379"/>
      <c r="AR450" s="379"/>
      <c r="AS450" s="379"/>
      <c r="AT450" s="379"/>
      <c r="AU450" s="379"/>
      <c r="AV450" s="379"/>
      <c r="AW450" s="379"/>
      <c r="AX450" s="379"/>
      <c r="AY450" s="379"/>
      <c r="AZ450" s="379"/>
      <c r="BA450" s="379"/>
      <c r="BB450" s="379"/>
      <c r="BC450" s="379"/>
      <c r="BD450" s="379"/>
      <c r="BE450" s="379"/>
      <c r="BF450" s="379"/>
      <c r="BG450" s="379"/>
      <c r="BH450" s="379"/>
      <c r="BI450" s="379"/>
      <c r="BJ450" s="379"/>
      <c r="BK450" s="379"/>
      <c r="BL450" s="379"/>
      <c r="BM450" s="379"/>
      <c r="BN450" s="379"/>
      <c r="BO450" s="379"/>
      <c r="BP450" s="379"/>
      <c r="BQ450" s="379"/>
      <c r="BR450" s="379"/>
      <c r="BS450" s="379"/>
      <c r="BT450" s="379"/>
      <c r="BU450" s="379"/>
      <c r="BV450" s="379"/>
      <c r="BW450" s="379"/>
      <c r="BX450" s="379"/>
      <c r="BY450" s="379"/>
      <c r="BZ450" s="379"/>
      <c r="CA450" s="281"/>
      <c r="CB450" s="3" t="str">
        <f t="shared" si="65"/>
        <v>Riadok bude skrytý.</v>
      </c>
      <c r="CC450" s="271" t="s">
        <v>832</v>
      </c>
      <c r="CW450" s="30">
        <f t="shared" si="63"/>
        <v>0</v>
      </c>
      <c r="CZ450" s="30">
        <f t="shared" si="61"/>
        <v>1</v>
      </c>
      <c r="DA450" s="30">
        <f t="shared" ref="DA450:DA513" si="66">+IF(CW450+CX450+CY450=0,0,IF(CZ450=0,0,1))</f>
        <v>0</v>
      </c>
      <c r="DB450" s="140">
        <f t="shared" si="64"/>
        <v>0</v>
      </c>
      <c r="DS450" s="130">
        <f>SI!BY450</f>
        <v>165</v>
      </c>
      <c r="DZ450" s="131">
        <f>SI!BZ450</f>
        <v>0</v>
      </c>
    </row>
    <row r="451" spans="1:130" hidden="1" x14ac:dyDescent="0.25">
      <c r="A451" s="141"/>
      <c r="CA451" s="281"/>
      <c r="CB451" s="3" t="str">
        <f t="shared" si="65"/>
        <v>Riadok bude skrytý.</v>
      </c>
      <c r="CC451" s="271" t="s">
        <v>832</v>
      </c>
      <c r="CW451" s="32">
        <f>+IF(SUM(CW453:CW472)=0,0,1)</f>
        <v>0</v>
      </c>
      <c r="CZ451" s="30">
        <f t="shared" si="61"/>
        <v>1</v>
      </c>
      <c r="DA451" s="30">
        <f t="shared" si="66"/>
        <v>0</v>
      </c>
      <c r="DB451" s="140">
        <f t="shared" si="64"/>
        <v>0</v>
      </c>
      <c r="DS451" s="130">
        <f>SI!BY451</f>
        <v>146</v>
      </c>
      <c r="DZ451" s="131">
        <f>SI!BZ451</f>
        <v>0</v>
      </c>
    </row>
    <row r="452" spans="1:130" hidden="1" x14ac:dyDescent="0.25">
      <c r="A452" s="141"/>
      <c r="B452" s="279" t="s">
        <v>859</v>
      </c>
      <c r="C452" s="7" t="s">
        <v>869</v>
      </c>
      <c r="D452" s="7"/>
      <c r="E452" s="7"/>
      <c r="F452" s="7"/>
      <c r="CA452" s="265" t="s">
        <v>773</v>
      </c>
      <c r="CB452" s="3" t="str">
        <f t="shared" si="65"/>
        <v>Riadok bude skrytý.</v>
      </c>
      <c r="CC452" s="271" t="s">
        <v>832</v>
      </c>
      <c r="CW452" s="134">
        <f>+IF(SUM(CW453:CW472)=0,0,1)</f>
        <v>0</v>
      </c>
      <c r="CZ452" s="30">
        <f t="shared" si="61"/>
        <v>1</v>
      </c>
      <c r="DA452" s="30">
        <f t="shared" si="66"/>
        <v>0</v>
      </c>
      <c r="DB452" s="140">
        <f t="shared" si="64"/>
        <v>0</v>
      </c>
      <c r="DS452" s="130">
        <f>SI!BY452</f>
        <v>689</v>
      </c>
      <c r="DZ452" s="131">
        <f>SI!BZ452</f>
        <v>0</v>
      </c>
    </row>
    <row r="453" spans="1:130" hidden="1" x14ac:dyDescent="0.25">
      <c r="A453" s="141"/>
      <c r="B453" s="379"/>
      <c r="C453" s="379"/>
      <c r="D453" s="379"/>
      <c r="E453" s="379"/>
      <c r="F453" s="379"/>
      <c r="G453" s="379"/>
      <c r="H453" s="379"/>
      <c r="I453" s="379"/>
      <c r="J453" s="379"/>
      <c r="K453" s="379"/>
      <c r="L453" s="379"/>
      <c r="M453" s="379"/>
      <c r="N453" s="379"/>
      <c r="O453" s="379"/>
      <c r="P453" s="379"/>
      <c r="Q453" s="379"/>
      <c r="R453" s="379"/>
      <c r="S453" s="379"/>
      <c r="T453" s="379"/>
      <c r="U453" s="379"/>
      <c r="V453" s="379"/>
      <c r="W453" s="379"/>
      <c r="X453" s="379"/>
      <c r="Y453" s="379"/>
      <c r="Z453" s="379"/>
      <c r="AA453" s="379"/>
      <c r="AB453" s="379"/>
      <c r="AC453" s="379"/>
      <c r="AD453" s="379"/>
      <c r="AE453" s="379"/>
      <c r="AF453" s="379"/>
      <c r="AG453" s="379"/>
      <c r="AH453" s="379"/>
      <c r="AI453" s="379"/>
      <c r="AJ453" s="379"/>
      <c r="AK453" s="379"/>
      <c r="AL453" s="379"/>
      <c r="AM453" s="379"/>
      <c r="AN453" s="379"/>
      <c r="AO453" s="379"/>
      <c r="AP453" s="379"/>
      <c r="AQ453" s="379"/>
      <c r="AR453" s="379"/>
      <c r="AS453" s="379"/>
      <c r="AT453" s="379"/>
      <c r="AU453" s="379"/>
      <c r="AV453" s="379"/>
      <c r="AW453" s="379"/>
      <c r="AX453" s="379"/>
      <c r="AY453" s="379"/>
      <c r="AZ453" s="379"/>
      <c r="BA453" s="379"/>
      <c r="BB453" s="379"/>
      <c r="BC453" s="379"/>
      <c r="BD453" s="379"/>
      <c r="BE453" s="379"/>
      <c r="BF453" s="379"/>
      <c r="BG453" s="379"/>
      <c r="BH453" s="379"/>
      <c r="BI453" s="379"/>
      <c r="BJ453" s="379"/>
      <c r="BK453" s="379"/>
      <c r="BL453" s="379"/>
      <c r="BM453" s="379"/>
      <c r="BN453" s="379"/>
      <c r="BO453" s="379"/>
      <c r="BP453" s="379"/>
      <c r="BQ453" s="379"/>
      <c r="BR453" s="379"/>
      <c r="BS453" s="379"/>
      <c r="BT453" s="379"/>
      <c r="BU453" s="379"/>
      <c r="BV453" s="379"/>
      <c r="BW453" s="379"/>
      <c r="BX453" s="379"/>
      <c r="BY453" s="379"/>
      <c r="BZ453" s="379"/>
      <c r="CA453" s="281"/>
      <c r="CB453" s="3" t="str">
        <f t="shared" si="65"/>
        <v>Riadok bude skrytý.</v>
      </c>
      <c r="CC453" s="271" t="s">
        <v>832</v>
      </c>
      <c r="CW453" s="30">
        <f t="shared" ref="CW453:CW472" si="67">+IF(B453="",0,1)</f>
        <v>0</v>
      </c>
      <c r="CZ453" s="30">
        <f t="shared" si="61"/>
        <v>1</v>
      </c>
      <c r="DA453" s="30">
        <f t="shared" si="66"/>
        <v>0</v>
      </c>
      <c r="DB453" s="140">
        <f t="shared" si="64"/>
        <v>0</v>
      </c>
      <c r="DS453" s="130">
        <f>SI!BY453</f>
        <v>147</v>
      </c>
      <c r="DZ453" s="131">
        <f>SI!BZ453</f>
        <v>0</v>
      </c>
    </row>
    <row r="454" spans="1:130" hidden="1" x14ac:dyDescent="0.25">
      <c r="A454" s="141"/>
      <c r="B454" s="379"/>
      <c r="C454" s="379"/>
      <c r="D454" s="379"/>
      <c r="E454" s="379"/>
      <c r="F454" s="379"/>
      <c r="G454" s="379"/>
      <c r="H454" s="379"/>
      <c r="I454" s="379"/>
      <c r="J454" s="379"/>
      <c r="K454" s="379"/>
      <c r="L454" s="379"/>
      <c r="M454" s="379"/>
      <c r="N454" s="379"/>
      <c r="O454" s="379"/>
      <c r="P454" s="379"/>
      <c r="Q454" s="379"/>
      <c r="R454" s="379"/>
      <c r="S454" s="379"/>
      <c r="T454" s="379"/>
      <c r="U454" s="379"/>
      <c r="V454" s="379"/>
      <c r="W454" s="379"/>
      <c r="X454" s="379"/>
      <c r="Y454" s="379"/>
      <c r="Z454" s="379"/>
      <c r="AA454" s="379"/>
      <c r="AB454" s="379"/>
      <c r="AC454" s="379"/>
      <c r="AD454" s="379"/>
      <c r="AE454" s="379"/>
      <c r="AF454" s="379"/>
      <c r="AG454" s="379"/>
      <c r="AH454" s="379"/>
      <c r="AI454" s="379"/>
      <c r="AJ454" s="379"/>
      <c r="AK454" s="379"/>
      <c r="AL454" s="379"/>
      <c r="AM454" s="379"/>
      <c r="AN454" s="379"/>
      <c r="AO454" s="379"/>
      <c r="AP454" s="379"/>
      <c r="AQ454" s="379"/>
      <c r="AR454" s="379"/>
      <c r="AS454" s="379"/>
      <c r="AT454" s="379"/>
      <c r="AU454" s="379"/>
      <c r="AV454" s="379"/>
      <c r="AW454" s="379"/>
      <c r="AX454" s="379"/>
      <c r="AY454" s="379"/>
      <c r="AZ454" s="379"/>
      <c r="BA454" s="379"/>
      <c r="BB454" s="379"/>
      <c r="BC454" s="379"/>
      <c r="BD454" s="379"/>
      <c r="BE454" s="379"/>
      <c r="BF454" s="379"/>
      <c r="BG454" s="379"/>
      <c r="BH454" s="379"/>
      <c r="BI454" s="379"/>
      <c r="BJ454" s="379"/>
      <c r="BK454" s="379"/>
      <c r="BL454" s="379"/>
      <c r="BM454" s="379"/>
      <c r="BN454" s="379"/>
      <c r="BO454" s="379"/>
      <c r="BP454" s="379"/>
      <c r="BQ454" s="379"/>
      <c r="BR454" s="379"/>
      <c r="BS454" s="379"/>
      <c r="BT454" s="379"/>
      <c r="BU454" s="379"/>
      <c r="BV454" s="379"/>
      <c r="BW454" s="379"/>
      <c r="BX454" s="379"/>
      <c r="BY454" s="379"/>
      <c r="BZ454" s="379"/>
      <c r="CA454" s="281"/>
      <c r="CB454" s="3" t="str">
        <f t="shared" si="65"/>
        <v>Riadok bude skrytý.</v>
      </c>
      <c r="CC454" s="271" t="s">
        <v>832</v>
      </c>
      <c r="CW454" s="30">
        <f t="shared" si="67"/>
        <v>0</v>
      </c>
      <c r="CZ454" s="30">
        <f t="shared" si="61"/>
        <v>1</v>
      </c>
      <c r="DA454" s="30">
        <f t="shared" si="66"/>
        <v>0</v>
      </c>
      <c r="DB454" s="140">
        <f t="shared" si="64"/>
        <v>0</v>
      </c>
      <c r="DS454" s="130">
        <f>SI!BY454</f>
        <v>911</v>
      </c>
      <c r="DZ454" s="131">
        <f>SI!BZ454</f>
        <v>0</v>
      </c>
    </row>
    <row r="455" spans="1:130" hidden="1" x14ac:dyDescent="0.25">
      <c r="A455" s="141"/>
      <c r="B455" s="379"/>
      <c r="C455" s="379"/>
      <c r="D455" s="379"/>
      <c r="E455" s="379"/>
      <c r="F455" s="379"/>
      <c r="G455" s="379"/>
      <c r="H455" s="379"/>
      <c r="I455" s="379"/>
      <c r="J455" s="379"/>
      <c r="K455" s="379"/>
      <c r="L455" s="379"/>
      <c r="M455" s="379"/>
      <c r="N455" s="379"/>
      <c r="O455" s="379"/>
      <c r="P455" s="379"/>
      <c r="Q455" s="379"/>
      <c r="R455" s="379"/>
      <c r="S455" s="379"/>
      <c r="T455" s="379"/>
      <c r="U455" s="379"/>
      <c r="V455" s="379"/>
      <c r="W455" s="379"/>
      <c r="X455" s="379"/>
      <c r="Y455" s="379"/>
      <c r="Z455" s="379"/>
      <c r="AA455" s="379"/>
      <c r="AB455" s="379"/>
      <c r="AC455" s="379"/>
      <c r="AD455" s="379"/>
      <c r="AE455" s="379"/>
      <c r="AF455" s="379"/>
      <c r="AG455" s="379"/>
      <c r="AH455" s="379"/>
      <c r="AI455" s="379"/>
      <c r="AJ455" s="379"/>
      <c r="AK455" s="379"/>
      <c r="AL455" s="379"/>
      <c r="AM455" s="379"/>
      <c r="AN455" s="379"/>
      <c r="AO455" s="379"/>
      <c r="AP455" s="379"/>
      <c r="AQ455" s="379"/>
      <c r="AR455" s="379"/>
      <c r="AS455" s="379"/>
      <c r="AT455" s="379"/>
      <c r="AU455" s="379"/>
      <c r="AV455" s="379"/>
      <c r="AW455" s="379"/>
      <c r="AX455" s="379"/>
      <c r="AY455" s="379"/>
      <c r="AZ455" s="379"/>
      <c r="BA455" s="379"/>
      <c r="BB455" s="379"/>
      <c r="BC455" s="379"/>
      <c r="BD455" s="379"/>
      <c r="BE455" s="379"/>
      <c r="BF455" s="379"/>
      <c r="BG455" s="379"/>
      <c r="BH455" s="379"/>
      <c r="BI455" s="379"/>
      <c r="BJ455" s="379"/>
      <c r="BK455" s="379"/>
      <c r="BL455" s="379"/>
      <c r="BM455" s="379"/>
      <c r="BN455" s="379"/>
      <c r="BO455" s="379"/>
      <c r="BP455" s="379"/>
      <c r="BQ455" s="379"/>
      <c r="BR455" s="379"/>
      <c r="BS455" s="379"/>
      <c r="BT455" s="379"/>
      <c r="BU455" s="379"/>
      <c r="BV455" s="379"/>
      <c r="BW455" s="379"/>
      <c r="BX455" s="379"/>
      <c r="BY455" s="379"/>
      <c r="BZ455" s="379"/>
      <c r="CA455" s="281"/>
      <c r="CB455" s="3" t="str">
        <f t="shared" si="65"/>
        <v>Riadok bude skrytý.</v>
      </c>
      <c r="CC455" s="271" t="s">
        <v>832</v>
      </c>
      <c r="CW455" s="30">
        <f t="shared" si="67"/>
        <v>0</v>
      </c>
      <c r="CZ455" s="30">
        <f t="shared" si="61"/>
        <v>1</v>
      </c>
      <c r="DA455" s="30">
        <f t="shared" si="66"/>
        <v>0</v>
      </c>
      <c r="DB455" s="140">
        <f t="shared" si="64"/>
        <v>0</v>
      </c>
      <c r="DS455" s="130">
        <f>SI!BY455</f>
        <v>200</v>
      </c>
      <c r="DZ455" s="131">
        <f>SI!BZ455</f>
        <v>0</v>
      </c>
    </row>
    <row r="456" spans="1:130" hidden="1" x14ac:dyDescent="0.25">
      <c r="A456" s="141"/>
      <c r="B456" s="379"/>
      <c r="C456" s="379"/>
      <c r="D456" s="379"/>
      <c r="E456" s="379"/>
      <c r="F456" s="379"/>
      <c r="G456" s="379"/>
      <c r="H456" s="379"/>
      <c r="I456" s="379"/>
      <c r="J456" s="379"/>
      <c r="K456" s="379"/>
      <c r="L456" s="379"/>
      <c r="M456" s="379"/>
      <c r="N456" s="379"/>
      <c r="O456" s="379"/>
      <c r="P456" s="379"/>
      <c r="Q456" s="379"/>
      <c r="R456" s="379"/>
      <c r="S456" s="379"/>
      <c r="T456" s="379"/>
      <c r="U456" s="379"/>
      <c r="V456" s="379"/>
      <c r="W456" s="379"/>
      <c r="X456" s="379"/>
      <c r="Y456" s="379"/>
      <c r="Z456" s="379"/>
      <c r="AA456" s="379"/>
      <c r="AB456" s="379"/>
      <c r="AC456" s="379"/>
      <c r="AD456" s="379"/>
      <c r="AE456" s="379"/>
      <c r="AF456" s="379"/>
      <c r="AG456" s="379"/>
      <c r="AH456" s="379"/>
      <c r="AI456" s="379"/>
      <c r="AJ456" s="379"/>
      <c r="AK456" s="379"/>
      <c r="AL456" s="379"/>
      <c r="AM456" s="379"/>
      <c r="AN456" s="379"/>
      <c r="AO456" s="379"/>
      <c r="AP456" s="379"/>
      <c r="AQ456" s="379"/>
      <c r="AR456" s="379"/>
      <c r="AS456" s="379"/>
      <c r="AT456" s="379"/>
      <c r="AU456" s="379"/>
      <c r="AV456" s="379"/>
      <c r="AW456" s="379"/>
      <c r="AX456" s="379"/>
      <c r="AY456" s="379"/>
      <c r="AZ456" s="379"/>
      <c r="BA456" s="379"/>
      <c r="BB456" s="379"/>
      <c r="BC456" s="379"/>
      <c r="BD456" s="379"/>
      <c r="BE456" s="379"/>
      <c r="BF456" s="379"/>
      <c r="BG456" s="379"/>
      <c r="BH456" s="379"/>
      <c r="BI456" s="379"/>
      <c r="BJ456" s="379"/>
      <c r="BK456" s="379"/>
      <c r="BL456" s="379"/>
      <c r="BM456" s="379"/>
      <c r="BN456" s="379"/>
      <c r="BO456" s="379"/>
      <c r="BP456" s="379"/>
      <c r="BQ456" s="379"/>
      <c r="BR456" s="379"/>
      <c r="BS456" s="379"/>
      <c r="BT456" s="379"/>
      <c r="BU456" s="379"/>
      <c r="BV456" s="379"/>
      <c r="BW456" s="379"/>
      <c r="BX456" s="379"/>
      <c r="BY456" s="379"/>
      <c r="BZ456" s="379"/>
      <c r="CA456" s="281"/>
      <c r="CB456" s="3" t="str">
        <f t="shared" si="65"/>
        <v>Riadok bude skrytý.</v>
      </c>
      <c r="CC456" s="271" t="s">
        <v>832</v>
      </c>
      <c r="CW456" s="30">
        <f t="shared" si="67"/>
        <v>0</v>
      </c>
      <c r="CZ456" s="30">
        <f t="shared" si="61"/>
        <v>1</v>
      </c>
      <c r="DA456" s="30">
        <f t="shared" si="66"/>
        <v>0</v>
      </c>
      <c r="DB456" s="140">
        <f t="shared" si="64"/>
        <v>0</v>
      </c>
      <c r="DS456" s="130">
        <f>SI!BY456</f>
        <v>893</v>
      </c>
      <c r="DZ456" s="131">
        <f>SI!BZ456</f>
        <v>0</v>
      </c>
    </row>
    <row r="457" spans="1:130" hidden="1" x14ac:dyDescent="0.25">
      <c r="A457" s="141"/>
      <c r="B457" s="379"/>
      <c r="C457" s="379"/>
      <c r="D457" s="379"/>
      <c r="E457" s="379"/>
      <c r="F457" s="379"/>
      <c r="G457" s="379"/>
      <c r="H457" s="379"/>
      <c r="I457" s="379"/>
      <c r="J457" s="379"/>
      <c r="K457" s="379"/>
      <c r="L457" s="379"/>
      <c r="M457" s="379"/>
      <c r="N457" s="379"/>
      <c r="O457" s="379"/>
      <c r="P457" s="379"/>
      <c r="Q457" s="379"/>
      <c r="R457" s="379"/>
      <c r="S457" s="379"/>
      <c r="T457" s="379"/>
      <c r="U457" s="379"/>
      <c r="V457" s="379"/>
      <c r="W457" s="379"/>
      <c r="X457" s="379"/>
      <c r="Y457" s="379"/>
      <c r="Z457" s="379"/>
      <c r="AA457" s="379"/>
      <c r="AB457" s="379"/>
      <c r="AC457" s="379"/>
      <c r="AD457" s="379"/>
      <c r="AE457" s="379"/>
      <c r="AF457" s="379"/>
      <c r="AG457" s="379"/>
      <c r="AH457" s="379"/>
      <c r="AI457" s="379"/>
      <c r="AJ457" s="379"/>
      <c r="AK457" s="379"/>
      <c r="AL457" s="379"/>
      <c r="AM457" s="379"/>
      <c r="AN457" s="379"/>
      <c r="AO457" s="379"/>
      <c r="AP457" s="379"/>
      <c r="AQ457" s="379"/>
      <c r="AR457" s="379"/>
      <c r="AS457" s="379"/>
      <c r="AT457" s="379"/>
      <c r="AU457" s="379"/>
      <c r="AV457" s="379"/>
      <c r="AW457" s="379"/>
      <c r="AX457" s="379"/>
      <c r="AY457" s="379"/>
      <c r="AZ457" s="379"/>
      <c r="BA457" s="379"/>
      <c r="BB457" s="379"/>
      <c r="BC457" s="379"/>
      <c r="BD457" s="379"/>
      <c r="BE457" s="379"/>
      <c r="BF457" s="379"/>
      <c r="BG457" s="379"/>
      <c r="BH457" s="379"/>
      <c r="BI457" s="379"/>
      <c r="BJ457" s="379"/>
      <c r="BK457" s="379"/>
      <c r="BL457" s="379"/>
      <c r="BM457" s="379"/>
      <c r="BN457" s="379"/>
      <c r="BO457" s="379"/>
      <c r="BP457" s="379"/>
      <c r="BQ457" s="379"/>
      <c r="BR457" s="379"/>
      <c r="BS457" s="379"/>
      <c r="BT457" s="379"/>
      <c r="BU457" s="379"/>
      <c r="BV457" s="379"/>
      <c r="BW457" s="379"/>
      <c r="BX457" s="379"/>
      <c r="BY457" s="379"/>
      <c r="BZ457" s="379"/>
      <c r="CA457" s="281"/>
      <c r="CB457" s="3" t="str">
        <f t="shared" si="65"/>
        <v>Riadok bude skrytý.</v>
      </c>
      <c r="CC457" s="271" t="s">
        <v>832</v>
      </c>
      <c r="CW457" s="30">
        <f t="shared" si="67"/>
        <v>0</v>
      </c>
      <c r="CZ457" s="30">
        <f t="shared" si="61"/>
        <v>1</v>
      </c>
      <c r="DA457" s="30">
        <f t="shared" si="66"/>
        <v>0</v>
      </c>
      <c r="DB457" s="140">
        <f t="shared" si="64"/>
        <v>0</v>
      </c>
      <c r="DS457" s="130">
        <f>SI!BY457</f>
        <v>136</v>
      </c>
      <c r="DZ457" s="131">
        <f>SI!BZ457</f>
        <v>0</v>
      </c>
    </row>
    <row r="458" spans="1:130" hidden="1" x14ac:dyDescent="0.25">
      <c r="A458" s="141"/>
      <c r="B458" s="379"/>
      <c r="C458" s="379"/>
      <c r="D458" s="379"/>
      <c r="E458" s="379"/>
      <c r="F458" s="379"/>
      <c r="G458" s="379"/>
      <c r="H458" s="379"/>
      <c r="I458" s="379"/>
      <c r="J458" s="379"/>
      <c r="K458" s="379"/>
      <c r="L458" s="379"/>
      <c r="M458" s="379"/>
      <c r="N458" s="379"/>
      <c r="O458" s="379"/>
      <c r="P458" s="379"/>
      <c r="Q458" s="379"/>
      <c r="R458" s="379"/>
      <c r="S458" s="379"/>
      <c r="T458" s="379"/>
      <c r="U458" s="379"/>
      <c r="V458" s="379"/>
      <c r="W458" s="379"/>
      <c r="X458" s="379"/>
      <c r="Y458" s="379"/>
      <c r="Z458" s="379"/>
      <c r="AA458" s="379"/>
      <c r="AB458" s="379"/>
      <c r="AC458" s="379"/>
      <c r="AD458" s="379"/>
      <c r="AE458" s="379"/>
      <c r="AF458" s="379"/>
      <c r="AG458" s="379"/>
      <c r="AH458" s="379"/>
      <c r="AI458" s="379"/>
      <c r="AJ458" s="379"/>
      <c r="AK458" s="379"/>
      <c r="AL458" s="379"/>
      <c r="AM458" s="379"/>
      <c r="AN458" s="379"/>
      <c r="AO458" s="379"/>
      <c r="AP458" s="379"/>
      <c r="AQ458" s="379"/>
      <c r="AR458" s="379"/>
      <c r="AS458" s="379"/>
      <c r="AT458" s="379"/>
      <c r="AU458" s="379"/>
      <c r="AV458" s="379"/>
      <c r="AW458" s="379"/>
      <c r="AX458" s="379"/>
      <c r="AY458" s="379"/>
      <c r="AZ458" s="379"/>
      <c r="BA458" s="379"/>
      <c r="BB458" s="379"/>
      <c r="BC458" s="379"/>
      <c r="BD458" s="379"/>
      <c r="BE458" s="379"/>
      <c r="BF458" s="379"/>
      <c r="BG458" s="379"/>
      <c r="BH458" s="379"/>
      <c r="BI458" s="379"/>
      <c r="BJ458" s="379"/>
      <c r="BK458" s="379"/>
      <c r="BL458" s="379"/>
      <c r="BM458" s="379"/>
      <c r="BN458" s="379"/>
      <c r="BO458" s="379"/>
      <c r="BP458" s="379"/>
      <c r="BQ458" s="379"/>
      <c r="BR458" s="379"/>
      <c r="BS458" s="379"/>
      <c r="BT458" s="379"/>
      <c r="BU458" s="379"/>
      <c r="BV458" s="379"/>
      <c r="BW458" s="379"/>
      <c r="BX458" s="379"/>
      <c r="BY458" s="379"/>
      <c r="BZ458" s="379"/>
      <c r="CA458" s="281"/>
      <c r="CB458" s="3" t="str">
        <f t="shared" si="65"/>
        <v>Riadok bude skrytý.</v>
      </c>
      <c r="CC458" s="271" t="s">
        <v>832</v>
      </c>
      <c r="CW458" s="30">
        <f t="shared" si="67"/>
        <v>0</v>
      </c>
      <c r="CZ458" s="30">
        <f t="shared" si="61"/>
        <v>1</v>
      </c>
      <c r="DA458" s="30">
        <f t="shared" si="66"/>
        <v>0</v>
      </c>
      <c r="DB458" s="140">
        <f t="shared" si="64"/>
        <v>0</v>
      </c>
      <c r="DS458" s="130">
        <f>SI!BY458</f>
        <v>621</v>
      </c>
      <c r="DZ458" s="131">
        <f>SI!BZ458</f>
        <v>0</v>
      </c>
    </row>
    <row r="459" spans="1:130" hidden="1" x14ac:dyDescent="0.25">
      <c r="A459" s="141"/>
      <c r="B459" s="379"/>
      <c r="C459" s="379"/>
      <c r="D459" s="379"/>
      <c r="E459" s="379"/>
      <c r="F459" s="379"/>
      <c r="G459" s="379"/>
      <c r="H459" s="379"/>
      <c r="I459" s="379"/>
      <c r="J459" s="379"/>
      <c r="K459" s="379"/>
      <c r="L459" s="379"/>
      <c r="M459" s="379"/>
      <c r="N459" s="379"/>
      <c r="O459" s="379"/>
      <c r="P459" s="379"/>
      <c r="Q459" s="379"/>
      <c r="R459" s="379"/>
      <c r="S459" s="379"/>
      <c r="T459" s="379"/>
      <c r="U459" s="379"/>
      <c r="V459" s="379"/>
      <c r="W459" s="379"/>
      <c r="X459" s="379"/>
      <c r="Y459" s="379"/>
      <c r="Z459" s="379"/>
      <c r="AA459" s="379"/>
      <c r="AB459" s="379"/>
      <c r="AC459" s="379"/>
      <c r="AD459" s="379"/>
      <c r="AE459" s="379"/>
      <c r="AF459" s="379"/>
      <c r="AG459" s="379"/>
      <c r="AH459" s="379"/>
      <c r="AI459" s="379"/>
      <c r="AJ459" s="379"/>
      <c r="AK459" s="379"/>
      <c r="AL459" s="379"/>
      <c r="AM459" s="379"/>
      <c r="AN459" s="379"/>
      <c r="AO459" s="379"/>
      <c r="AP459" s="379"/>
      <c r="AQ459" s="379"/>
      <c r="AR459" s="379"/>
      <c r="AS459" s="379"/>
      <c r="AT459" s="379"/>
      <c r="AU459" s="379"/>
      <c r="AV459" s="379"/>
      <c r="AW459" s="379"/>
      <c r="AX459" s="379"/>
      <c r="AY459" s="379"/>
      <c r="AZ459" s="379"/>
      <c r="BA459" s="379"/>
      <c r="BB459" s="379"/>
      <c r="BC459" s="379"/>
      <c r="BD459" s="379"/>
      <c r="BE459" s="379"/>
      <c r="BF459" s="379"/>
      <c r="BG459" s="379"/>
      <c r="BH459" s="379"/>
      <c r="BI459" s="379"/>
      <c r="BJ459" s="379"/>
      <c r="BK459" s="379"/>
      <c r="BL459" s="379"/>
      <c r="BM459" s="379"/>
      <c r="BN459" s="379"/>
      <c r="BO459" s="379"/>
      <c r="BP459" s="379"/>
      <c r="BQ459" s="379"/>
      <c r="BR459" s="379"/>
      <c r="BS459" s="379"/>
      <c r="BT459" s="379"/>
      <c r="BU459" s="379"/>
      <c r="BV459" s="379"/>
      <c r="BW459" s="379"/>
      <c r="BX459" s="379"/>
      <c r="BY459" s="379"/>
      <c r="BZ459" s="379"/>
      <c r="CA459" s="281"/>
      <c r="CB459" s="3" t="str">
        <f t="shared" si="65"/>
        <v>Riadok bude skrytý.</v>
      </c>
      <c r="CC459" s="271" t="s">
        <v>832</v>
      </c>
      <c r="CW459" s="30">
        <f t="shared" si="67"/>
        <v>0</v>
      </c>
      <c r="CZ459" s="30">
        <f t="shared" si="61"/>
        <v>1</v>
      </c>
      <c r="DA459" s="30">
        <f t="shared" si="66"/>
        <v>0</v>
      </c>
      <c r="DB459" s="140">
        <f t="shared" si="64"/>
        <v>0</v>
      </c>
      <c r="DS459" s="130">
        <f>SI!BY459</f>
        <v>176</v>
      </c>
      <c r="DZ459" s="131">
        <f>SI!BZ459</f>
        <v>0</v>
      </c>
    </row>
    <row r="460" spans="1:130" hidden="1" x14ac:dyDescent="0.25">
      <c r="A460" s="141"/>
      <c r="B460" s="379"/>
      <c r="C460" s="379"/>
      <c r="D460" s="379"/>
      <c r="E460" s="379"/>
      <c r="F460" s="379"/>
      <c r="G460" s="379"/>
      <c r="H460" s="379"/>
      <c r="I460" s="379"/>
      <c r="J460" s="379"/>
      <c r="K460" s="379"/>
      <c r="L460" s="379"/>
      <c r="M460" s="379"/>
      <c r="N460" s="379"/>
      <c r="O460" s="379"/>
      <c r="P460" s="379"/>
      <c r="Q460" s="379"/>
      <c r="R460" s="379"/>
      <c r="S460" s="379"/>
      <c r="T460" s="379"/>
      <c r="U460" s="379"/>
      <c r="V460" s="379"/>
      <c r="W460" s="379"/>
      <c r="X460" s="379"/>
      <c r="Y460" s="379"/>
      <c r="Z460" s="379"/>
      <c r="AA460" s="379"/>
      <c r="AB460" s="379"/>
      <c r="AC460" s="379"/>
      <c r="AD460" s="379"/>
      <c r="AE460" s="379"/>
      <c r="AF460" s="379"/>
      <c r="AG460" s="379"/>
      <c r="AH460" s="379"/>
      <c r="AI460" s="379"/>
      <c r="AJ460" s="379"/>
      <c r="AK460" s="379"/>
      <c r="AL460" s="379"/>
      <c r="AM460" s="379"/>
      <c r="AN460" s="379"/>
      <c r="AO460" s="379"/>
      <c r="AP460" s="379"/>
      <c r="AQ460" s="379"/>
      <c r="AR460" s="379"/>
      <c r="AS460" s="379"/>
      <c r="AT460" s="379"/>
      <c r="AU460" s="379"/>
      <c r="AV460" s="379"/>
      <c r="AW460" s="379"/>
      <c r="AX460" s="379"/>
      <c r="AY460" s="379"/>
      <c r="AZ460" s="379"/>
      <c r="BA460" s="379"/>
      <c r="BB460" s="379"/>
      <c r="BC460" s="379"/>
      <c r="BD460" s="379"/>
      <c r="BE460" s="379"/>
      <c r="BF460" s="379"/>
      <c r="BG460" s="379"/>
      <c r="BH460" s="379"/>
      <c r="BI460" s="379"/>
      <c r="BJ460" s="379"/>
      <c r="BK460" s="379"/>
      <c r="BL460" s="379"/>
      <c r="BM460" s="379"/>
      <c r="BN460" s="379"/>
      <c r="BO460" s="379"/>
      <c r="BP460" s="379"/>
      <c r="BQ460" s="379"/>
      <c r="BR460" s="379"/>
      <c r="BS460" s="379"/>
      <c r="BT460" s="379"/>
      <c r="BU460" s="379"/>
      <c r="BV460" s="379"/>
      <c r="BW460" s="379"/>
      <c r="BX460" s="379"/>
      <c r="BY460" s="379"/>
      <c r="BZ460" s="379"/>
      <c r="CA460" s="281"/>
      <c r="CB460" s="3" t="str">
        <f t="shared" si="65"/>
        <v>Riadok bude skrytý.</v>
      </c>
      <c r="CC460" s="271" t="s">
        <v>832</v>
      </c>
      <c r="CW460" s="30">
        <f t="shared" si="67"/>
        <v>0</v>
      </c>
      <c r="CZ460" s="30">
        <f t="shared" si="61"/>
        <v>1</v>
      </c>
      <c r="DA460" s="30">
        <f t="shared" si="66"/>
        <v>0</v>
      </c>
      <c r="DB460" s="140">
        <f t="shared" si="64"/>
        <v>0</v>
      </c>
      <c r="DS460" s="130">
        <f>SI!BY460</f>
        <v>171</v>
      </c>
      <c r="DZ460" s="131">
        <f>SI!BZ460</f>
        <v>0</v>
      </c>
    </row>
    <row r="461" spans="1:130" hidden="1" x14ac:dyDescent="0.25">
      <c r="A461" s="141"/>
      <c r="B461" s="379"/>
      <c r="C461" s="379"/>
      <c r="D461" s="379"/>
      <c r="E461" s="379"/>
      <c r="F461" s="379"/>
      <c r="G461" s="379"/>
      <c r="H461" s="379"/>
      <c r="I461" s="379"/>
      <c r="J461" s="379"/>
      <c r="K461" s="379"/>
      <c r="L461" s="379"/>
      <c r="M461" s="379"/>
      <c r="N461" s="379"/>
      <c r="O461" s="379"/>
      <c r="P461" s="379"/>
      <c r="Q461" s="379"/>
      <c r="R461" s="379"/>
      <c r="S461" s="379"/>
      <c r="T461" s="379"/>
      <c r="U461" s="379"/>
      <c r="V461" s="379"/>
      <c r="W461" s="379"/>
      <c r="X461" s="379"/>
      <c r="Y461" s="379"/>
      <c r="Z461" s="379"/>
      <c r="AA461" s="379"/>
      <c r="AB461" s="379"/>
      <c r="AC461" s="379"/>
      <c r="AD461" s="379"/>
      <c r="AE461" s="379"/>
      <c r="AF461" s="379"/>
      <c r="AG461" s="379"/>
      <c r="AH461" s="379"/>
      <c r="AI461" s="379"/>
      <c r="AJ461" s="379"/>
      <c r="AK461" s="379"/>
      <c r="AL461" s="379"/>
      <c r="AM461" s="379"/>
      <c r="AN461" s="379"/>
      <c r="AO461" s="379"/>
      <c r="AP461" s="379"/>
      <c r="AQ461" s="379"/>
      <c r="AR461" s="379"/>
      <c r="AS461" s="379"/>
      <c r="AT461" s="379"/>
      <c r="AU461" s="379"/>
      <c r="AV461" s="379"/>
      <c r="AW461" s="379"/>
      <c r="AX461" s="379"/>
      <c r="AY461" s="379"/>
      <c r="AZ461" s="379"/>
      <c r="BA461" s="379"/>
      <c r="BB461" s="379"/>
      <c r="BC461" s="379"/>
      <c r="BD461" s="379"/>
      <c r="BE461" s="379"/>
      <c r="BF461" s="379"/>
      <c r="BG461" s="379"/>
      <c r="BH461" s="379"/>
      <c r="BI461" s="379"/>
      <c r="BJ461" s="379"/>
      <c r="BK461" s="379"/>
      <c r="BL461" s="379"/>
      <c r="BM461" s="379"/>
      <c r="BN461" s="379"/>
      <c r="BO461" s="379"/>
      <c r="BP461" s="379"/>
      <c r="BQ461" s="379"/>
      <c r="BR461" s="379"/>
      <c r="BS461" s="379"/>
      <c r="BT461" s="379"/>
      <c r="BU461" s="379"/>
      <c r="BV461" s="379"/>
      <c r="BW461" s="379"/>
      <c r="BX461" s="379"/>
      <c r="BY461" s="379"/>
      <c r="BZ461" s="379"/>
      <c r="CA461" s="281"/>
      <c r="CB461" s="3" t="str">
        <f t="shared" si="65"/>
        <v>Riadok bude skrytý.</v>
      </c>
      <c r="CC461" s="271" t="s">
        <v>832</v>
      </c>
      <c r="CW461" s="30">
        <f t="shared" si="67"/>
        <v>0</v>
      </c>
      <c r="CZ461" s="30">
        <f t="shared" si="61"/>
        <v>1</v>
      </c>
      <c r="DA461" s="30">
        <f t="shared" si="66"/>
        <v>0</v>
      </c>
      <c r="DB461" s="140">
        <f t="shared" si="64"/>
        <v>0</v>
      </c>
      <c r="DS461" s="130">
        <f>SI!BY461</f>
        <v>185</v>
      </c>
      <c r="DZ461" s="131">
        <f>SI!BZ461</f>
        <v>0</v>
      </c>
    </row>
    <row r="462" spans="1:130" hidden="1" x14ac:dyDescent="0.25">
      <c r="A462" s="141"/>
      <c r="B462" s="379"/>
      <c r="C462" s="379"/>
      <c r="D462" s="379"/>
      <c r="E462" s="379"/>
      <c r="F462" s="379"/>
      <c r="G462" s="379"/>
      <c r="H462" s="379"/>
      <c r="I462" s="379"/>
      <c r="J462" s="379"/>
      <c r="K462" s="379"/>
      <c r="L462" s="379"/>
      <c r="M462" s="379"/>
      <c r="N462" s="379"/>
      <c r="O462" s="379"/>
      <c r="P462" s="379"/>
      <c r="Q462" s="379"/>
      <c r="R462" s="379"/>
      <c r="S462" s="379"/>
      <c r="T462" s="379"/>
      <c r="U462" s="379"/>
      <c r="V462" s="379"/>
      <c r="W462" s="379"/>
      <c r="X462" s="379"/>
      <c r="Y462" s="379"/>
      <c r="Z462" s="379"/>
      <c r="AA462" s="379"/>
      <c r="AB462" s="379"/>
      <c r="AC462" s="379"/>
      <c r="AD462" s="379"/>
      <c r="AE462" s="379"/>
      <c r="AF462" s="379"/>
      <c r="AG462" s="379"/>
      <c r="AH462" s="379"/>
      <c r="AI462" s="379"/>
      <c r="AJ462" s="379"/>
      <c r="AK462" s="379"/>
      <c r="AL462" s="379"/>
      <c r="AM462" s="379"/>
      <c r="AN462" s="379"/>
      <c r="AO462" s="379"/>
      <c r="AP462" s="379"/>
      <c r="AQ462" s="379"/>
      <c r="AR462" s="379"/>
      <c r="AS462" s="379"/>
      <c r="AT462" s="379"/>
      <c r="AU462" s="379"/>
      <c r="AV462" s="379"/>
      <c r="AW462" s="379"/>
      <c r="AX462" s="379"/>
      <c r="AY462" s="379"/>
      <c r="AZ462" s="379"/>
      <c r="BA462" s="379"/>
      <c r="BB462" s="379"/>
      <c r="BC462" s="379"/>
      <c r="BD462" s="379"/>
      <c r="BE462" s="379"/>
      <c r="BF462" s="379"/>
      <c r="BG462" s="379"/>
      <c r="BH462" s="379"/>
      <c r="BI462" s="379"/>
      <c r="BJ462" s="379"/>
      <c r="BK462" s="379"/>
      <c r="BL462" s="379"/>
      <c r="BM462" s="379"/>
      <c r="BN462" s="379"/>
      <c r="BO462" s="379"/>
      <c r="BP462" s="379"/>
      <c r="BQ462" s="379"/>
      <c r="BR462" s="379"/>
      <c r="BS462" s="379"/>
      <c r="BT462" s="379"/>
      <c r="BU462" s="379"/>
      <c r="BV462" s="379"/>
      <c r="BW462" s="379"/>
      <c r="BX462" s="379"/>
      <c r="BY462" s="379"/>
      <c r="BZ462" s="379"/>
      <c r="CA462" s="281"/>
      <c r="CB462" s="3" t="str">
        <f t="shared" si="65"/>
        <v>Riadok bude skrytý.</v>
      </c>
      <c r="CC462" s="271" t="s">
        <v>832</v>
      </c>
      <c r="CW462" s="30">
        <f t="shared" si="67"/>
        <v>0</v>
      </c>
      <c r="CZ462" s="30">
        <f t="shared" si="61"/>
        <v>1</v>
      </c>
      <c r="DA462" s="30">
        <f t="shared" si="66"/>
        <v>0</v>
      </c>
      <c r="DB462" s="140">
        <f t="shared" si="64"/>
        <v>0</v>
      </c>
      <c r="DS462" s="130">
        <f>SI!BY462</f>
        <v>408</v>
      </c>
      <c r="DZ462" s="131">
        <f>SI!BZ462</f>
        <v>0</v>
      </c>
    </row>
    <row r="463" spans="1:130" hidden="1" x14ac:dyDescent="0.25">
      <c r="A463" s="141"/>
      <c r="B463" s="379"/>
      <c r="C463" s="379"/>
      <c r="D463" s="379"/>
      <c r="E463" s="379"/>
      <c r="F463" s="379"/>
      <c r="G463" s="379"/>
      <c r="H463" s="379"/>
      <c r="I463" s="379"/>
      <c r="J463" s="379"/>
      <c r="K463" s="379"/>
      <c r="L463" s="379"/>
      <c r="M463" s="379"/>
      <c r="N463" s="379"/>
      <c r="O463" s="379"/>
      <c r="P463" s="379"/>
      <c r="Q463" s="379"/>
      <c r="R463" s="379"/>
      <c r="S463" s="379"/>
      <c r="T463" s="379"/>
      <c r="U463" s="379"/>
      <c r="V463" s="379"/>
      <c r="W463" s="379"/>
      <c r="X463" s="379"/>
      <c r="Y463" s="379"/>
      <c r="Z463" s="379"/>
      <c r="AA463" s="379"/>
      <c r="AB463" s="379"/>
      <c r="AC463" s="379"/>
      <c r="AD463" s="379"/>
      <c r="AE463" s="379"/>
      <c r="AF463" s="379"/>
      <c r="AG463" s="379"/>
      <c r="AH463" s="379"/>
      <c r="AI463" s="379"/>
      <c r="AJ463" s="379"/>
      <c r="AK463" s="379"/>
      <c r="AL463" s="379"/>
      <c r="AM463" s="379"/>
      <c r="AN463" s="379"/>
      <c r="AO463" s="379"/>
      <c r="AP463" s="379"/>
      <c r="AQ463" s="379"/>
      <c r="AR463" s="379"/>
      <c r="AS463" s="379"/>
      <c r="AT463" s="379"/>
      <c r="AU463" s="379"/>
      <c r="AV463" s="379"/>
      <c r="AW463" s="379"/>
      <c r="AX463" s="379"/>
      <c r="AY463" s="379"/>
      <c r="AZ463" s="379"/>
      <c r="BA463" s="379"/>
      <c r="BB463" s="379"/>
      <c r="BC463" s="379"/>
      <c r="BD463" s="379"/>
      <c r="BE463" s="379"/>
      <c r="BF463" s="379"/>
      <c r="BG463" s="379"/>
      <c r="BH463" s="379"/>
      <c r="BI463" s="379"/>
      <c r="BJ463" s="379"/>
      <c r="BK463" s="379"/>
      <c r="BL463" s="379"/>
      <c r="BM463" s="379"/>
      <c r="BN463" s="379"/>
      <c r="BO463" s="379"/>
      <c r="BP463" s="379"/>
      <c r="BQ463" s="379"/>
      <c r="BR463" s="379"/>
      <c r="BS463" s="379"/>
      <c r="BT463" s="379"/>
      <c r="BU463" s="379"/>
      <c r="BV463" s="379"/>
      <c r="BW463" s="379"/>
      <c r="BX463" s="379"/>
      <c r="BY463" s="379"/>
      <c r="BZ463" s="379"/>
      <c r="CA463" s="281"/>
      <c r="CB463" s="3" t="str">
        <f t="shared" si="65"/>
        <v>Riadok bude skrytý.</v>
      </c>
      <c r="CC463" s="271" t="s">
        <v>832</v>
      </c>
      <c r="CW463" s="30">
        <f t="shared" si="67"/>
        <v>0</v>
      </c>
      <c r="CZ463" s="30">
        <f t="shared" si="61"/>
        <v>1</v>
      </c>
      <c r="DA463" s="30">
        <f t="shared" si="66"/>
        <v>0</v>
      </c>
      <c r="DB463" s="140">
        <f t="shared" si="64"/>
        <v>0</v>
      </c>
      <c r="DS463" s="130">
        <f>SI!BY463</f>
        <v>123</v>
      </c>
      <c r="DZ463" s="131">
        <f>SI!BZ463</f>
        <v>0</v>
      </c>
    </row>
    <row r="464" spans="1:130" hidden="1" x14ac:dyDescent="0.25">
      <c r="A464" s="141"/>
      <c r="B464" s="379"/>
      <c r="C464" s="379"/>
      <c r="D464" s="379"/>
      <c r="E464" s="379"/>
      <c r="F464" s="379"/>
      <c r="G464" s="379"/>
      <c r="H464" s="379"/>
      <c r="I464" s="379"/>
      <c r="J464" s="379"/>
      <c r="K464" s="379"/>
      <c r="L464" s="379"/>
      <c r="M464" s="379"/>
      <c r="N464" s="379"/>
      <c r="O464" s="379"/>
      <c r="P464" s="379"/>
      <c r="Q464" s="379"/>
      <c r="R464" s="379"/>
      <c r="S464" s="379"/>
      <c r="T464" s="379"/>
      <c r="U464" s="379"/>
      <c r="V464" s="379"/>
      <c r="W464" s="379"/>
      <c r="X464" s="379"/>
      <c r="Y464" s="379"/>
      <c r="Z464" s="379"/>
      <c r="AA464" s="379"/>
      <c r="AB464" s="379"/>
      <c r="AC464" s="379"/>
      <c r="AD464" s="379"/>
      <c r="AE464" s="379"/>
      <c r="AF464" s="379"/>
      <c r="AG464" s="379"/>
      <c r="AH464" s="379"/>
      <c r="AI464" s="379"/>
      <c r="AJ464" s="379"/>
      <c r="AK464" s="379"/>
      <c r="AL464" s="379"/>
      <c r="AM464" s="379"/>
      <c r="AN464" s="379"/>
      <c r="AO464" s="379"/>
      <c r="AP464" s="379"/>
      <c r="AQ464" s="379"/>
      <c r="AR464" s="379"/>
      <c r="AS464" s="379"/>
      <c r="AT464" s="379"/>
      <c r="AU464" s="379"/>
      <c r="AV464" s="379"/>
      <c r="AW464" s="379"/>
      <c r="AX464" s="379"/>
      <c r="AY464" s="379"/>
      <c r="AZ464" s="379"/>
      <c r="BA464" s="379"/>
      <c r="BB464" s="379"/>
      <c r="BC464" s="379"/>
      <c r="BD464" s="379"/>
      <c r="BE464" s="379"/>
      <c r="BF464" s="379"/>
      <c r="BG464" s="379"/>
      <c r="BH464" s="379"/>
      <c r="BI464" s="379"/>
      <c r="BJ464" s="379"/>
      <c r="BK464" s="379"/>
      <c r="BL464" s="379"/>
      <c r="BM464" s="379"/>
      <c r="BN464" s="379"/>
      <c r="BO464" s="379"/>
      <c r="BP464" s="379"/>
      <c r="BQ464" s="379"/>
      <c r="BR464" s="379"/>
      <c r="BS464" s="379"/>
      <c r="BT464" s="379"/>
      <c r="BU464" s="379"/>
      <c r="BV464" s="379"/>
      <c r="BW464" s="379"/>
      <c r="BX464" s="379"/>
      <c r="BY464" s="379"/>
      <c r="BZ464" s="379"/>
      <c r="CA464" s="281"/>
      <c r="CB464" s="3" t="str">
        <f t="shared" si="65"/>
        <v>Riadok bude skrytý.</v>
      </c>
      <c r="CC464" s="271" t="s">
        <v>832</v>
      </c>
      <c r="CW464" s="30">
        <f t="shared" si="67"/>
        <v>0</v>
      </c>
      <c r="CZ464" s="30">
        <f t="shared" si="61"/>
        <v>1</v>
      </c>
      <c r="DA464" s="30">
        <f t="shared" si="66"/>
        <v>0</v>
      </c>
      <c r="DB464" s="140">
        <f t="shared" si="64"/>
        <v>0</v>
      </c>
      <c r="DS464" s="130">
        <f>SI!BY464</f>
        <v>144</v>
      </c>
      <c r="DZ464" s="131">
        <f>SI!BZ464</f>
        <v>0</v>
      </c>
    </row>
    <row r="465" spans="1:130" hidden="1" x14ac:dyDescent="0.25">
      <c r="A465" s="141"/>
      <c r="B465" s="379"/>
      <c r="C465" s="379"/>
      <c r="D465" s="379"/>
      <c r="E465" s="379"/>
      <c r="F465" s="379"/>
      <c r="G465" s="379"/>
      <c r="H465" s="379"/>
      <c r="I465" s="379"/>
      <c r="J465" s="379"/>
      <c r="K465" s="379"/>
      <c r="L465" s="379"/>
      <c r="M465" s="379"/>
      <c r="N465" s="379"/>
      <c r="O465" s="379"/>
      <c r="P465" s="379"/>
      <c r="Q465" s="379"/>
      <c r="R465" s="379"/>
      <c r="S465" s="379"/>
      <c r="T465" s="379"/>
      <c r="U465" s="379"/>
      <c r="V465" s="379"/>
      <c r="W465" s="379"/>
      <c r="X465" s="379"/>
      <c r="Y465" s="379"/>
      <c r="Z465" s="379"/>
      <c r="AA465" s="379"/>
      <c r="AB465" s="379"/>
      <c r="AC465" s="379"/>
      <c r="AD465" s="379"/>
      <c r="AE465" s="379"/>
      <c r="AF465" s="379"/>
      <c r="AG465" s="379"/>
      <c r="AH465" s="379"/>
      <c r="AI465" s="379"/>
      <c r="AJ465" s="379"/>
      <c r="AK465" s="379"/>
      <c r="AL465" s="379"/>
      <c r="AM465" s="379"/>
      <c r="AN465" s="379"/>
      <c r="AO465" s="379"/>
      <c r="AP465" s="379"/>
      <c r="AQ465" s="379"/>
      <c r="AR465" s="379"/>
      <c r="AS465" s="379"/>
      <c r="AT465" s="379"/>
      <c r="AU465" s="379"/>
      <c r="AV465" s="379"/>
      <c r="AW465" s="379"/>
      <c r="AX465" s="379"/>
      <c r="AY465" s="379"/>
      <c r="AZ465" s="379"/>
      <c r="BA465" s="379"/>
      <c r="BB465" s="379"/>
      <c r="BC465" s="379"/>
      <c r="BD465" s="379"/>
      <c r="BE465" s="379"/>
      <c r="BF465" s="379"/>
      <c r="BG465" s="379"/>
      <c r="BH465" s="379"/>
      <c r="BI465" s="379"/>
      <c r="BJ465" s="379"/>
      <c r="BK465" s="379"/>
      <c r="BL465" s="379"/>
      <c r="BM465" s="379"/>
      <c r="BN465" s="379"/>
      <c r="BO465" s="379"/>
      <c r="BP465" s="379"/>
      <c r="BQ465" s="379"/>
      <c r="BR465" s="379"/>
      <c r="BS465" s="379"/>
      <c r="BT465" s="379"/>
      <c r="BU465" s="379"/>
      <c r="BV465" s="379"/>
      <c r="BW465" s="379"/>
      <c r="BX465" s="379"/>
      <c r="BY465" s="379"/>
      <c r="BZ465" s="379"/>
      <c r="CA465" s="281"/>
      <c r="CB465" s="3" t="str">
        <f t="shared" si="65"/>
        <v>Riadok bude skrytý.</v>
      </c>
      <c r="CC465" s="271" t="s">
        <v>832</v>
      </c>
      <c r="CW465" s="30">
        <f t="shared" si="67"/>
        <v>0</v>
      </c>
      <c r="CZ465" s="30">
        <f t="shared" si="61"/>
        <v>1</v>
      </c>
      <c r="DA465" s="30">
        <f t="shared" si="66"/>
        <v>0</v>
      </c>
      <c r="DB465" s="140">
        <f t="shared" si="64"/>
        <v>0</v>
      </c>
      <c r="DS465" s="130">
        <f>SI!BY465</f>
        <v>122</v>
      </c>
      <c r="DZ465" s="131">
        <f>SI!BZ465</f>
        <v>0</v>
      </c>
    </row>
    <row r="466" spans="1:130" hidden="1" x14ac:dyDescent="0.25">
      <c r="A466" s="141"/>
      <c r="B466" s="379"/>
      <c r="C466" s="379"/>
      <c r="D466" s="379"/>
      <c r="E466" s="379"/>
      <c r="F466" s="379"/>
      <c r="G466" s="379"/>
      <c r="H466" s="379"/>
      <c r="I466" s="379"/>
      <c r="J466" s="379"/>
      <c r="K466" s="379"/>
      <c r="L466" s="379"/>
      <c r="M466" s="379"/>
      <c r="N466" s="379"/>
      <c r="O466" s="379"/>
      <c r="P466" s="379"/>
      <c r="Q466" s="379"/>
      <c r="R466" s="379"/>
      <c r="S466" s="379"/>
      <c r="T466" s="379"/>
      <c r="U466" s="379"/>
      <c r="V466" s="379"/>
      <c r="W466" s="379"/>
      <c r="X466" s="379"/>
      <c r="Y466" s="379"/>
      <c r="Z466" s="379"/>
      <c r="AA466" s="379"/>
      <c r="AB466" s="379"/>
      <c r="AC466" s="379"/>
      <c r="AD466" s="379"/>
      <c r="AE466" s="379"/>
      <c r="AF466" s="379"/>
      <c r="AG466" s="379"/>
      <c r="AH466" s="379"/>
      <c r="AI466" s="379"/>
      <c r="AJ466" s="379"/>
      <c r="AK466" s="379"/>
      <c r="AL466" s="379"/>
      <c r="AM466" s="379"/>
      <c r="AN466" s="379"/>
      <c r="AO466" s="379"/>
      <c r="AP466" s="379"/>
      <c r="AQ466" s="379"/>
      <c r="AR466" s="379"/>
      <c r="AS466" s="379"/>
      <c r="AT466" s="379"/>
      <c r="AU466" s="379"/>
      <c r="AV466" s="379"/>
      <c r="AW466" s="379"/>
      <c r="AX466" s="379"/>
      <c r="AY466" s="379"/>
      <c r="AZ466" s="379"/>
      <c r="BA466" s="379"/>
      <c r="BB466" s="379"/>
      <c r="BC466" s="379"/>
      <c r="BD466" s="379"/>
      <c r="BE466" s="379"/>
      <c r="BF466" s="379"/>
      <c r="BG466" s="379"/>
      <c r="BH466" s="379"/>
      <c r="BI466" s="379"/>
      <c r="BJ466" s="379"/>
      <c r="BK466" s="379"/>
      <c r="BL466" s="379"/>
      <c r="BM466" s="379"/>
      <c r="BN466" s="379"/>
      <c r="BO466" s="379"/>
      <c r="BP466" s="379"/>
      <c r="BQ466" s="379"/>
      <c r="BR466" s="379"/>
      <c r="BS466" s="379"/>
      <c r="BT466" s="379"/>
      <c r="BU466" s="379"/>
      <c r="BV466" s="379"/>
      <c r="BW466" s="379"/>
      <c r="BX466" s="379"/>
      <c r="BY466" s="379"/>
      <c r="BZ466" s="379"/>
      <c r="CA466" s="281"/>
      <c r="CB466" s="3" t="str">
        <f t="shared" si="65"/>
        <v>Riadok bude skrytý.</v>
      </c>
      <c r="CC466" s="271" t="s">
        <v>832</v>
      </c>
      <c r="CW466" s="30">
        <f t="shared" si="67"/>
        <v>0</v>
      </c>
      <c r="CZ466" s="30">
        <f t="shared" si="61"/>
        <v>1</v>
      </c>
      <c r="DA466" s="30">
        <f t="shared" si="66"/>
        <v>0</v>
      </c>
      <c r="DB466" s="140">
        <f t="shared" si="64"/>
        <v>0</v>
      </c>
      <c r="DS466" s="130">
        <f>SI!BY466</f>
        <v>340</v>
      </c>
      <c r="DZ466" s="131">
        <f>SI!BZ466</f>
        <v>0</v>
      </c>
    </row>
    <row r="467" spans="1:130" hidden="1" x14ac:dyDescent="0.25">
      <c r="A467" s="141"/>
      <c r="B467" s="379"/>
      <c r="C467" s="379"/>
      <c r="D467" s="379"/>
      <c r="E467" s="379"/>
      <c r="F467" s="379"/>
      <c r="G467" s="379"/>
      <c r="H467" s="379"/>
      <c r="I467" s="379"/>
      <c r="J467" s="379"/>
      <c r="K467" s="379"/>
      <c r="L467" s="379"/>
      <c r="M467" s="379"/>
      <c r="N467" s="379"/>
      <c r="O467" s="379"/>
      <c r="P467" s="379"/>
      <c r="Q467" s="379"/>
      <c r="R467" s="379"/>
      <c r="S467" s="379"/>
      <c r="T467" s="379"/>
      <c r="U467" s="379"/>
      <c r="V467" s="379"/>
      <c r="W467" s="379"/>
      <c r="X467" s="379"/>
      <c r="Y467" s="379"/>
      <c r="Z467" s="379"/>
      <c r="AA467" s="379"/>
      <c r="AB467" s="379"/>
      <c r="AC467" s="379"/>
      <c r="AD467" s="379"/>
      <c r="AE467" s="379"/>
      <c r="AF467" s="379"/>
      <c r="AG467" s="379"/>
      <c r="AH467" s="379"/>
      <c r="AI467" s="379"/>
      <c r="AJ467" s="379"/>
      <c r="AK467" s="379"/>
      <c r="AL467" s="379"/>
      <c r="AM467" s="379"/>
      <c r="AN467" s="379"/>
      <c r="AO467" s="379"/>
      <c r="AP467" s="379"/>
      <c r="AQ467" s="379"/>
      <c r="AR467" s="379"/>
      <c r="AS467" s="379"/>
      <c r="AT467" s="379"/>
      <c r="AU467" s="379"/>
      <c r="AV467" s="379"/>
      <c r="AW467" s="379"/>
      <c r="AX467" s="379"/>
      <c r="AY467" s="379"/>
      <c r="AZ467" s="379"/>
      <c r="BA467" s="379"/>
      <c r="BB467" s="379"/>
      <c r="BC467" s="379"/>
      <c r="BD467" s="379"/>
      <c r="BE467" s="379"/>
      <c r="BF467" s="379"/>
      <c r="BG467" s="379"/>
      <c r="BH467" s="379"/>
      <c r="BI467" s="379"/>
      <c r="BJ467" s="379"/>
      <c r="BK467" s="379"/>
      <c r="BL467" s="379"/>
      <c r="BM467" s="379"/>
      <c r="BN467" s="379"/>
      <c r="BO467" s="379"/>
      <c r="BP467" s="379"/>
      <c r="BQ467" s="379"/>
      <c r="BR467" s="379"/>
      <c r="BS467" s="379"/>
      <c r="BT467" s="379"/>
      <c r="BU467" s="379"/>
      <c r="BV467" s="379"/>
      <c r="BW467" s="379"/>
      <c r="BX467" s="379"/>
      <c r="BY467" s="379"/>
      <c r="BZ467" s="379"/>
      <c r="CA467" s="281"/>
      <c r="CB467" s="3" t="str">
        <f t="shared" si="65"/>
        <v>Riadok bude skrytý.</v>
      </c>
      <c r="CC467" s="271" t="s">
        <v>832</v>
      </c>
      <c r="CW467" s="30">
        <f t="shared" si="67"/>
        <v>0</v>
      </c>
      <c r="CZ467" s="30">
        <f t="shared" si="61"/>
        <v>1</v>
      </c>
      <c r="DA467" s="30">
        <f t="shared" si="66"/>
        <v>0</v>
      </c>
      <c r="DB467" s="140">
        <f t="shared" si="64"/>
        <v>0</v>
      </c>
      <c r="DS467" s="130">
        <f>SI!BY467</f>
        <v>151</v>
      </c>
      <c r="DZ467" s="131">
        <f>SI!BZ467</f>
        <v>0</v>
      </c>
    </row>
    <row r="468" spans="1:130" hidden="1" x14ac:dyDescent="0.25">
      <c r="A468" s="141"/>
      <c r="B468" s="379"/>
      <c r="C468" s="379"/>
      <c r="D468" s="379"/>
      <c r="E468" s="379"/>
      <c r="F468" s="379"/>
      <c r="G468" s="379"/>
      <c r="H468" s="379"/>
      <c r="I468" s="379"/>
      <c r="J468" s="379"/>
      <c r="K468" s="379"/>
      <c r="L468" s="379"/>
      <c r="M468" s="379"/>
      <c r="N468" s="379"/>
      <c r="O468" s="379"/>
      <c r="P468" s="379"/>
      <c r="Q468" s="379"/>
      <c r="R468" s="379"/>
      <c r="S468" s="379"/>
      <c r="T468" s="379"/>
      <c r="U468" s="379"/>
      <c r="V468" s="379"/>
      <c r="W468" s="379"/>
      <c r="X468" s="379"/>
      <c r="Y468" s="379"/>
      <c r="Z468" s="379"/>
      <c r="AA468" s="379"/>
      <c r="AB468" s="379"/>
      <c r="AC468" s="379"/>
      <c r="AD468" s="379"/>
      <c r="AE468" s="379"/>
      <c r="AF468" s="379"/>
      <c r="AG468" s="379"/>
      <c r="AH468" s="379"/>
      <c r="AI468" s="379"/>
      <c r="AJ468" s="379"/>
      <c r="AK468" s="379"/>
      <c r="AL468" s="379"/>
      <c r="AM468" s="379"/>
      <c r="AN468" s="379"/>
      <c r="AO468" s="379"/>
      <c r="AP468" s="379"/>
      <c r="AQ468" s="379"/>
      <c r="AR468" s="379"/>
      <c r="AS468" s="379"/>
      <c r="AT468" s="379"/>
      <c r="AU468" s="379"/>
      <c r="AV468" s="379"/>
      <c r="AW468" s="379"/>
      <c r="AX468" s="379"/>
      <c r="AY468" s="379"/>
      <c r="AZ468" s="379"/>
      <c r="BA468" s="379"/>
      <c r="BB468" s="379"/>
      <c r="BC468" s="379"/>
      <c r="BD468" s="379"/>
      <c r="BE468" s="379"/>
      <c r="BF468" s="379"/>
      <c r="BG468" s="379"/>
      <c r="BH468" s="379"/>
      <c r="BI468" s="379"/>
      <c r="BJ468" s="379"/>
      <c r="BK468" s="379"/>
      <c r="BL468" s="379"/>
      <c r="BM468" s="379"/>
      <c r="BN468" s="379"/>
      <c r="BO468" s="379"/>
      <c r="BP468" s="379"/>
      <c r="BQ468" s="379"/>
      <c r="BR468" s="379"/>
      <c r="BS468" s="379"/>
      <c r="BT468" s="379"/>
      <c r="BU468" s="379"/>
      <c r="BV468" s="379"/>
      <c r="BW468" s="379"/>
      <c r="BX468" s="379"/>
      <c r="BY468" s="379"/>
      <c r="BZ468" s="379"/>
      <c r="CA468" s="281"/>
      <c r="CB468" s="3" t="str">
        <f t="shared" si="65"/>
        <v>Riadok bude skrytý.</v>
      </c>
      <c r="CC468" s="271" t="s">
        <v>832</v>
      </c>
      <c r="CW468" s="30">
        <f t="shared" si="67"/>
        <v>0</v>
      </c>
      <c r="CZ468" s="30">
        <f t="shared" ref="CZ468:CZ531" si="68">IF(CC468="",1,IF(CC468="Chcem skryť riadok.",0,1))</f>
        <v>1</v>
      </c>
      <c r="DA468" s="30">
        <f t="shared" si="66"/>
        <v>0</v>
      </c>
      <c r="DB468" s="140">
        <f t="shared" si="64"/>
        <v>0</v>
      </c>
      <c r="DS468" s="130">
        <f>SI!BY468</f>
        <v>418</v>
      </c>
      <c r="DZ468" s="131">
        <f>SI!BZ468</f>
        <v>0</v>
      </c>
    </row>
    <row r="469" spans="1:130" hidden="1" x14ac:dyDescent="0.25">
      <c r="A469" s="141"/>
      <c r="B469" s="379"/>
      <c r="C469" s="379"/>
      <c r="D469" s="379"/>
      <c r="E469" s="379"/>
      <c r="F469" s="379"/>
      <c r="G469" s="379"/>
      <c r="H469" s="379"/>
      <c r="I469" s="379"/>
      <c r="J469" s="379"/>
      <c r="K469" s="379"/>
      <c r="L469" s="379"/>
      <c r="M469" s="379"/>
      <c r="N469" s="379"/>
      <c r="O469" s="379"/>
      <c r="P469" s="379"/>
      <c r="Q469" s="379"/>
      <c r="R469" s="379"/>
      <c r="S469" s="379"/>
      <c r="T469" s="379"/>
      <c r="U469" s="379"/>
      <c r="V469" s="379"/>
      <c r="W469" s="379"/>
      <c r="X469" s="379"/>
      <c r="Y469" s="379"/>
      <c r="Z469" s="379"/>
      <c r="AA469" s="379"/>
      <c r="AB469" s="379"/>
      <c r="AC469" s="379"/>
      <c r="AD469" s="379"/>
      <c r="AE469" s="379"/>
      <c r="AF469" s="379"/>
      <c r="AG469" s="379"/>
      <c r="AH469" s="379"/>
      <c r="AI469" s="379"/>
      <c r="AJ469" s="379"/>
      <c r="AK469" s="379"/>
      <c r="AL469" s="379"/>
      <c r="AM469" s="379"/>
      <c r="AN469" s="379"/>
      <c r="AO469" s="379"/>
      <c r="AP469" s="379"/>
      <c r="AQ469" s="379"/>
      <c r="AR469" s="379"/>
      <c r="AS469" s="379"/>
      <c r="AT469" s="379"/>
      <c r="AU469" s="379"/>
      <c r="AV469" s="379"/>
      <c r="AW469" s="379"/>
      <c r="AX469" s="379"/>
      <c r="AY469" s="379"/>
      <c r="AZ469" s="379"/>
      <c r="BA469" s="379"/>
      <c r="BB469" s="379"/>
      <c r="BC469" s="379"/>
      <c r="BD469" s="379"/>
      <c r="BE469" s="379"/>
      <c r="BF469" s="379"/>
      <c r="BG469" s="379"/>
      <c r="BH469" s="379"/>
      <c r="BI469" s="379"/>
      <c r="BJ469" s="379"/>
      <c r="BK469" s="379"/>
      <c r="BL469" s="379"/>
      <c r="BM469" s="379"/>
      <c r="BN469" s="379"/>
      <c r="BO469" s="379"/>
      <c r="BP469" s="379"/>
      <c r="BQ469" s="379"/>
      <c r="BR469" s="379"/>
      <c r="BS469" s="379"/>
      <c r="BT469" s="379"/>
      <c r="BU469" s="379"/>
      <c r="BV469" s="379"/>
      <c r="BW469" s="379"/>
      <c r="BX469" s="379"/>
      <c r="BY469" s="379"/>
      <c r="BZ469" s="379"/>
      <c r="CA469" s="281"/>
      <c r="CB469" s="3" t="str">
        <f t="shared" si="65"/>
        <v>Riadok bude skrytý.</v>
      </c>
      <c r="CC469" s="271" t="s">
        <v>832</v>
      </c>
      <c r="CW469" s="30">
        <f t="shared" si="67"/>
        <v>0</v>
      </c>
      <c r="CZ469" s="30">
        <f t="shared" si="68"/>
        <v>1</v>
      </c>
      <c r="DA469" s="30">
        <f t="shared" si="66"/>
        <v>0</v>
      </c>
      <c r="DB469" s="140">
        <f t="shared" si="64"/>
        <v>0</v>
      </c>
      <c r="DS469" s="130">
        <f>SI!BY469</f>
        <v>157</v>
      </c>
      <c r="DZ469" s="131">
        <f>SI!BZ469</f>
        <v>0</v>
      </c>
    </row>
    <row r="470" spans="1:130" hidden="1" x14ac:dyDescent="0.25">
      <c r="A470" s="141"/>
      <c r="B470" s="379"/>
      <c r="C470" s="379"/>
      <c r="D470" s="379"/>
      <c r="E470" s="379"/>
      <c r="F470" s="379"/>
      <c r="G470" s="379"/>
      <c r="H470" s="379"/>
      <c r="I470" s="379"/>
      <c r="J470" s="379"/>
      <c r="K470" s="379"/>
      <c r="L470" s="379"/>
      <c r="M470" s="379"/>
      <c r="N470" s="379"/>
      <c r="O470" s="379"/>
      <c r="P470" s="379"/>
      <c r="Q470" s="379"/>
      <c r="R470" s="379"/>
      <c r="S470" s="379"/>
      <c r="T470" s="379"/>
      <c r="U470" s="379"/>
      <c r="V470" s="379"/>
      <c r="W470" s="379"/>
      <c r="X470" s="379"/>
      <c r="Y470" s="379"/>
      <c r="Z470" s="379"/>
      <c r="AA470" s="379"/>
      <c r="AB470" s="379"/>
      <c r="AC470" s="379"/>
      <c r="AD470" s="379"/>
      <c r="AE470" s="379"/>
      <c r="AF470" s="379"/>
      <c r="AG470" s="379"/>
      <c r="AH470" s="379"/>
      <c r="AI470" s="379"/>
      <c r="AJ470" s="379"/>
      <c r="AK470" s="379"/>
      <c r="AL470" s="379"/>
      <c r="AM470" s="379"/>
      <c r="AN470" s="379"/>
      <c r="AO470" s="379"/>
      <c r="AP470" s="379"/>
      <c r="AQ470" s="379"/>
      <c r="AR470" s="379"/>
      <c r="AS470" s="379"/>
      <c r="AT470" s="379"/>
      <c r="AU470" s="379"/>
      <c r="AV470" s="379"/>
      <c r="AW470" s="379"/>
      <c r="AX470" s="379"/>
      <c r="AY470" s="379"/>
      <c r="AZ470" s="379"/>
      <c r="BA470" s="379"/>
      <c r="BB470" s="379"/>
      <c r="BC470" s="379"/>
      <c r="BD470" s="379"/>
      <c r="BE470" s="379"/>
      <c r="BF470" s="379"/>
      <c r="BG470" s="379"/>
      <c r="BH470" s="379"/>
      <c r="BI470" s="379"/>
      <c r="BJ470" s="379"/>
      <c r="BK470" s="379"/>
      <c r="BL470" s="379"/>
      <c r="BM470" s="379"/>
      <c r="BN470" s="379"/>
      <c r="BO470" s="379"/>
      <c r="BP470" s="379"/>
      <c r="BQ470" s="379"/>
      <c r="BR470" s="379"/>
      <c r="BS470" s="379"/>
      <c r="BT470" s="379"/>
      <c r="BU470" s="379"/>
      <c r="BV470" s="379"/>
      <c r="BW470" s="379"/>
      <c r="BX470" s="379"/>
      <c r="BY470" s="379"/>
      <c r="BZ470" s="379"/>
      <c r="CA470" s="281"/>
      <c r="CB470" s="3" t="str">
        <f t="shared" si="65"/>
        <v>Riadok bude skrytý.</v>
      </c>
      <c r="CC470" s="271" t="s">
        <v>832</v>
      </c>
      <c r="CW470" s="30">
        <f t="shared" si="67"/>
        <v>0</v>
      </c>
      <c r="CZ470" s="30">
        <f t="shared" si="68"/>
        <v>1</v>
      </c>
      <c r="DA470" s="30">
        <f t="shared" si="66"/>
        <v>0</v>
      </c>
      <c r="DB470" s="140">
        <f t="shared" si="64"/>
        <v>0</v>
      </c>
      <c r="DS470" s="130">
        <f>SI!BY470</f>
        <v>1112</v>
      </c>
      <c r="DZ470" s="131">
        <f>SI!BZ470</f>
        <v>0</v>
      </c>
    </row>
    <row r="471" spans="1:130" hidden="1" x14ac:dyDescent="0.25">
      <c r="A471" s="141"/>
      <c r="B471" s="379"/>
      <c r="C471" s="379"/>
      <c r="D471" s="379"/>
      <c r="E471" s="379"/>
      <c r="F471" s="379"/>
      <c r="G471" s="379"/>
      <c r="H471" s="379"/>
      <c r="I471" s="379"/>
      <c r="J471" s="379"/>
      <c r="K471" s="379"/>
      <c r="L471" s="379"/>
      <c r="M471" s="379"/>
      <c r="N471" s="379"/>
      <c r="O471" s="379"/>
      <c r="P471" s="379"/>
      <c r="Q471" s="379"/>
      <c r="R471" s="379"/>
      <c r="S471" s="379"/>
      <c r="T471" s="379"/>
      <c r="U471" s="379"/>
      <c r="V471" s="379"/>
      <c r="W471" s="379"/>
      <c r="X471" s="379"/>
      <c r="Y471" s="379"/>
      <c r="Z471" s="379"/>
      <c r="AA471" s="379"/>
      <c r="AB471" s="379"/>
      <c r="AC471" s="379"/>
      <c r="AD471" s="379"/>
      <c r="AE471" s="379"/>
      <c r="AF471" s="379"/>
      <c r="AG471" s="379"/>
      <c r="AH471" s="379"/>
      <c r="AI471" s="379"/>
      <c r="AJ471" s="379"/>
      <c r="AK471" s="379"/>
      <c r="AL471" s="379"/>
      <c r="AM471" s="379"/>
      <c r="AN471" s="379"/>
      <c r="AO471" s="379"/>
      <c r="AP471" s="379"/>
      <c r="AQ471" s="379"/>
      <c r="AR471" s="379"/>
      <c r="AS471" s="379"/>
      <c r="AT471" s="379"/>
      <c r="AU471" s="379"/>
      <c r="AV471" s="379"/>
      <c r="AW471" s="379"/>
      <c r="AX471" s="379"/>
      <c r="AY471" s="379"/>
      <c r="AZ471" s="379"/>
      <c r="BA471" s="379"/>
      <c r="BB471" s="379"/>
      <c r="BC471" s="379"/>
      <c r="BD471" s="379"/>
      <c r="BE471" s="379"/>
      <c r="BF471" s="379"/>
      <c r="BG471" s="379"/>
      <c r="BH471" s="379"/>
      <c r="BI471" s="379"/>
      <c r="BJ471" s="379"/>
      <c r="BK471" s="379"/>
      <c r="BL471" s="379"/>
      <c r="BM471" s="379"/>
      <c r="BN471" s="379"/>
      <c r="BO471" s="379"/>
      <c r="BP471" s="379"/>
      <c r="BQ471" s="379"/>
      <c r="BR471" s="379"/>
      <c r="BS471" s="379"/>
      <c r="BT471" s="379"/>
      <c r="BU471" s="379"/>
      <c r="BV471" s="379"/>
      <c r="BW471" s="379"/>
      <c r="BX471" s="379"/>
      <c r="BY471" s="379"/>
      <c r="BZ471" s="379"/>
      <c r="CA471" s="281"/>
      <c r="CB471" s="3" t="str">
        <f t="shared" si="65"/>
        <v>Riadok bude skrytý.</v>
      </c>
      <c r="CC471" s="271" t="s">
        <v>832</v>
      </c>
      <c r="CW471" s="30">
        <f t="shared" si="67"/>
        <v>0</v>
      </c>
      <c r="CZ471" s="30">
        <f t="shared" si="68"/>
        <v>1</v>
      </c>
      <c r="DA471" s="30">
        <f t="shared" si="66"/>
        <v>0</v>
      </c>
      <c r="DB471" s="140">
        <f t="shared" si="64"/>
        <v>0</v>
      </c>
      <c r="DS471" s="130">
        <f>SI!BY471</f>
        <v>193</v>
      </c>
      <c r="DZ471" s="131">
        <f>SI!BZ471</f>
        <v>0</v>
      </c>
    </row>
    <row r="472" spans="1:130" hidden="1" x14ac:dyDescent="0.25">
      <c r="A472" s="141"/>
      <c r="B472" s="379"/>
      <c r="C472" s="379"/>
      <c r="D472" s="379"/>
      <c r="E472" s="379"/>
      <c r="F472" s="379"/>
      <c r="G472" s="379"/>
      <c r="H472" s="379"/>
      <c r="I472" s="379"/>
      <c r="J472" s="379"/>
      <c r="K472" s="379"/>
      <c r="L472" s="379"/>
      <c r="M472" s="379"/>
      <c r="N472" s="379"/>
      <c r="O472" s="379"/>
      <c r="P472" s="379"/>
      <c r="Q472" s="379"/>
      <c r="R472" s="379"/>
      <c r="S472" s="379"/>
      <c r="T472" s="379"/>
      <c r="U472" s="379"/>
      <c r="V472" s="379"/>
      <c r="W472" s="379"/>
      <c r="X472" s="379"/>
      <c r="Y472" s="379"/>
      <c r="Z472" s="379"/>
      <c r="AA472" s="379"/>
      <c r="AB472" s="379"/>
      <c r="AC472" s="379"/>
      <c r="AD472" s="379"/>
      <c r="AE472" s="379"/>
      <c r="AF472" s="379"/>
      <c r="AG472" s="379"/>
      <c r="AH472" s="379"/>
      <c r="AI472" s="379"/>
      <c r="AJ472" s="379"/>
      <c r="AK472" s="379"/>
      <c r="AL472" s="379"/>
      <c r="AM472" s="379"/>
      <c r="AN472" s="379"/>
      <c r="AO472" s="379"/>
      <c r="AP472" s="379"/>
      <c r="AQ472" s="379"/>
      <c r="AR472" s="379"/>
      <c r="AS472" s="379"/>
      <c r="AT472" s="379"/>
      <c r="AU472" s="379"/>
      <c r="AV472" s="379"/>
      <c r="AW472" s="379"/>
      <c r="AX472" s="379"/>
      <c r="AY472" s="379"/>
      <c r="AZ472" s="379"/>
      <c r="BA472" s="379"/>
      <c r="BB472" s="379"/>
      <c r="BC472" s="379"/>
      <c r="BD472" s="379"/>
      <c r="BE472" s="379"/>
      <c r="BF472" s="379"/>
      <c r="BG472" s="379"/>
      <c r="BH472" s="379"/>
      <c r="BI472" s="379"/>
      <c r="BJ472" s="379"/>
      <c r="BK472" s="379"/>
      <c r="BL472" s="379"/>
      <c r="BM472" s="379"/>
      <c r="BN472" s="379"/>
      <c r="BO472" s="379"/>
      <c r="BP472" s="379"/>
      <c r="BQ472" s="379"/>
      <c r="BR472" s="379"/>
      <c r="BS472" s="379"/>
      <c r="BT472" s="379"/>
      <c r="BU472" s="379"/>
      <c r="BV472" s="379"/>
      <c r="BW472" s="379"/>
      <c r="BX472" s="379"/>
      <c r="BY472" s="379"/>
      <c r="BZ472" s="379"/>
      <c r="CA472" s="281"/>
      <c r="CB472" s="3" t="str">
        <f t="shared" si="65"/>
        <v>Riadok bude skrytý.</v>
      </c>
      <c r="CC472" s="271" t="s">
        <v>832</v>
      </c>
      <c r="CW472" s="30">
        <f t="shared" si="67"/>
        <v>0</v>
      </c>
      <c r="CZ472" s="30">
        <f t="shared" si="68"/>
        <v>1</v>
      </c>
      <c r="DA472" s="30">
        <f t="shared" si="66"/>
        <v>0</v>
      </c>
      <c r="DB472" s="140">
        <f t="shared" si="64"/>
        <v>0</v>
      </c>
      <c r="DS472" s="130">
        <f>SI!BY472</f>
        <v>1129</v>
      </c>
      <c r="DZ472" s="131">
        <f>SI!BZ472</f>
        <v>0</v>
      </c>
    </row>
    <row r="473" spans="1:130" x14ac:dyDescent="0.25">
      <c r="A473" s="141"/>
      <c r="CA473" s="270"/>
      <c r="CB473" s="3" t="str">
        <f t="shared" si="65"/>
        <v>Riadok bude vidieť.</v>
      </c>
      <c r="CC473" s="271" t="s">
        <v>832</v>
      </c>
      <c r="CW473" s="32">
        <f>+IF(SUM(CW475:CW494)=0,0,1)</f>
        <v>1</v>
      </c>
      <c r="CZ473" s="30">
        <f t="shared" si="68"/>
        <v>1</v>
      </c>
      <c r="DA473" s="30">
        <f t="shared" si="66"/>
        <v>1</v>
      </c>
      <c r="DB473" s="140">
        <f t="shared" si="64"/>
        <v>1</v>
      </c>
      <c r="DS473" s="130">
        <f>SI!BY473</f>
        <v>160</v>
      </c>
      <c r="DZ473" s="131">
        <f>SI!BZ473</f>
        <v>0</v>
      </c>
    </row>
    <row r="474" spans="1:130" x14ac:dyDescent="0.25">
      <c r="A474" s="141"/>
      <c r="B474" s="279" t="s">
        <v>859</v>
      </c>
      <c r="C474" s="7" t="str">
        <f>+IF($M$52&lt;&gt;"",IF(SQRT(INT(FACT(DAY(24324))*FACT(DAY(24385))/576))=DS474,"Ocenenie zákazkovej výroby, ocenenie zákazkovej výstavby nehnuteľnosti určenej na predaj","NEPOVOLENÉ POUŽITIE!"),"NEPOVOLENÉ POUŽITIE!")</f>
        <v>Ocenenie zákazkovej výroby, ocenenie zákazkovej výstavby nehnuteľnosti určenej na predaj</v>
      </c>
      <c r="D474" s="7"/>
      <c r="E474" s="7"/>
      <c r="F474" s="7"/>
      <c r="CA474" s="265" t="s">
        <v>773</v>
      </c>
      <c r="CB474" s="3" t="str">
        <f t="shared" si="65"/>
        <v>Riadok bude vidieť.</v>
      </c>
      <c r="CC474" s="271" t="s">
        <v>832</v>
      </c>
      <c r="CW474" s="134">
        <f>+IF(SUM(CW475:CW494)=0,0,1)</f>
        <v>1</v>
      </c>
      <c r="CZ474" s="30">
        <f t="shared" si="68"/>
        <v>1</v>
      </c>
      <c r="DA474" s="30">
        <f t="shared" si="66"/>
        <v>1</v>
      </c>
      <c r="DB474" s="140">
        <f t="shared" si="64"/>
        <v>1</v>
      </c>
      <c r="DS474" s="130">
        <f>SI!BY474</f>
        <v>5</v>
      </c>
      <c r="DZ474" s="131">
        <f>SI!BZ474</f>
        <v>0</v>
      </c>
    </row>
    <row r="475" spans="1:130" x14ac:dyDescent="0.25">
      <c r="A475" s="141"/>
      <c r="B475" s="406" t="s">
        <v>707</v>
      </c>
      <c r="C475" s="406"/>
      <c r="D475" s="406"/>
      <c r="E475" s="406"/>
      <c r="F475" s="406"/>
      <c r="G475" s="406"/>
      <c r="H475" s="406"/>
      <c r="I475" s="406"/>
      <c r="J475" s="406"/>
      <c r="K475" s="406"/>
      <c r="L475" s="406"/>
      <c r="M475" s="406"/>
      <c r="N475" s="406"/>
      <c r="O475" s="406"/>
      <c r="P475" s="406"/>
      <c r="Q475" s="406"/>
      <c r="R475" s="406"/>
      <c r="S475" s="406"/>
      <c r="T475" s="406"/>
      <c r="U475" s="406"/>
      <c r="V475" s="406"/>
      <c r="W475" s="406"/>
      <c r="X475" s="406"/>
      <c r="Y475" s="406"/>
      <c r="Z475" s="406"/>
      <c r="AA475" s="406"/>
      <c r="AB475" s="406"/>
      <c r="AC475" s="406"/>
      <c r="AD475" s="406"/>
      <c r="AE475" s="406"/>
      <c r="AF475" s="406"/>
      <c r="AG475" s="406"/>
      <c r="AH475" s="406"/>
      <c r="AI475" s="406"/>
      <c r="AJ475" s="406"/>
      <c r="AK475" s="406"/>
      <c r="AL475" s="406"/>
      <c r="AM475" s="406"/>
      <c r="AN475" s="406"/>
      <c r="AO475" s="406"/>
      <c r="AP475" s="406"/>
      <c r="AQ475" s="406"/>
      <c r="AR475" s="406"/>
      <c r="AS475" s="406"/>
      <c r="AT475" s="406"/>
      <c r="AU475" s="406"/>
      <c r="AV475" s="406"/>
      <c r="AW475" s="406"/>
      <c r="AX475" s="406"/>
      <c r="AY475" s="406"/>
      <c r="AZ475" s="406"/>
      <c r="BA475" s="406"/>
      <c r="BB475" s="406"/>
      <c r="BC475" s="406"/>
      <c r="BD475" s="406"/>
      <c r="BE475" s="406"/>
      <c r="BF475" s="406"/>
      <c r="BG475" s="406"/>
      <c r="BH475" s="406"/>
      <c r="BI475" s="406"/>
      <c r="BJ475" s="406"/>
      <c r="BK475" s="406"/>
      <c r="BL475" s="406"/>
      <c r="BM475" s="406"/>
      <c r="BN475" s="406"/>
      <c r="BO475" s="406"/>
      <c r="BP475" s="406"/>
      <c r="BQ475" s="406"/>
      <c r="BR475" s="406"/>
      <c r="BS475" s="406"/>
      <c r="BT475" s="406"/>
      <c r="BU475" s="406"/>
      <c r="BV475" s="406"/>
      <c r="BW475" s="406"/>
      <c r="BX475" s="406"/>
      <c r="BY475" s="406"/>
      <c r="BZ475" s="406"/>
      <c r="CA475" s="281"/>
      <c r="CB475" s="3" t="str">
        <f t="shared" si="65"/>
        <v>Riadok bude vidieť.</v>
      </c>
      <c r="CC475" s="271" t="s">
        <v>832</v>
      </c>
      <c r="CW475" s="30">
        <f t="shared" ref="CW475:CW494" si="69">+IF(B475="",0,1)</f>
        <v>1</v>
      </c>
      <c r="CZ475" s="30">
        <f t="shared" si="68"/>
        <v>1</v>
      </c>
      <c r="DA475" s="30">
        <f t="shared" si="66"/>
        <v>1</v>
      </c>
      <c r="DB475" s="140">
        <f t="shared" si="64"/>
        <v>1</v>
      </c>
      <c r="DS475" s="130">
        <f>SI!BY475</f>
        <v>146</v>
      </c>
      <c r="DZ475" s="131">
        <f>SI!BZ475</f>
        <v>0</v>
      </c>
    </row>
    <row r="476" spans="1:130" x14ac:dyDescent="0.25">
      <c r="A476" s="141"/>
      <c r="B476" s="406" t="s">
        <v>65</v>
      </c>
      <c r="C476" s="406"/>
      <c r="D476" s="406"/>
      <c r="E476" s="406"/>
      <c r="F476" s="406"/>
      <c r="G476" s="406"/>
      <c r="H476" s="406"/>
      <c r="I476" s="406"/>
      <c r="J476" s="406"/>
      <c r="K476" s="406"/>
      <c r="L476" s="406"/>
      <c r="M476" s="406"/>
      <c r="N476" s="406"/>
      <c r="O476" s="406"/>
      <c r="P476" s="406"/>
      <c r="Q476" s="406"/>
      <c r="R476" s="406"/>
      <c r="S476" s="406"/>
      <c r="T476" s="406"/>
      <c r="U476" s="406"/>
      <c r="V476" s="406"/>
      <c r="W476" s="406"/>
      <c r="X476" s="406"/>
      <c r="Y476" s="406"/>
      <c r="Z476" s="406"/>
      <c r="AA476" s="406"/>
      <c r="AB476" s="406"/>
      <c r="AC476" s="406"/>
      <c r="AD476" s="406"/>
      <c r="AE476" s="406"/>
      <c r="AF476" s="406"/>
      <c r="AG476" s="406"/>
      <c r="AH476" s="406"/>
      <c r="AI476" s="406"/>
      <c r="AJ476" s="406"/>
      <c r="AK476" s="406"/>
      <c r="AL476" s="406"/>
      <c r="AM476" s="406"/>
      <c r="AN476" s="406"/>
      <c r="AO476" s="406"/>
      <c r="AP476" s="406"/>
      <c r="AQ476" s="406"/>
      <c r="AR476" s="406"/>
      <c r="AS476" s="406"/>
      <c r="AT476" s="406"/>
      <c r="AU476" s="406"/>
      <c r="AV476" s="406"/>
      <c r="AW476" s="406"/>
      <c r="AX476" s="406"/>
      <c r="AY476" s="406"/>
      <c r="AZ476" s="406"/>
      <c r="BA476" s="406"/>
      <c r="BB476" s="406"/>
      <c r="BC476" s="406"/>
      <c r="BD476" s="406"/>
      <c r="BE476" s="406"/>
      <c r="BF476" s="406"/>
      <c r="BG476" s="406"/>
      <c r="BH476" s="406"/>
      <c r="BI476" s="406"/>
      <c r="BJ476" s="406"/>
      <c r="BK476" s="406"/>
      <c r="BL476" s="406"/>
      <c r="BM476" s="406"/>
      <c r="BN476" s="406"/>
      <c r="BO476" s="406"/>
      <c r="BP476" s="406"/>
      <c r="BQ476" s="406"/>
      <c r="BR476" s="406"/>
      <c r="BS476" s="406"/>
      <c r="BT476" s="406"/>
      <c r="BU476" s="406"/>
      <c r="BV476" s="406"/>
      <c r="BW476" s="406"/>
      <c r="BX476" s="406"/>
      <c r="BY476" s="406"/>
      <c r="BZ476" s="406"/>
      <c r="CA476" s="281"/>
      <c r="CB476" s="3" t="str">
        <f t="shared" si="65"/>
        <v>Riadok bude vidieť.</v>
      </c>
      <c r="CC476" s="271" t="s">
        <v>832</v>
      </c>
      <c r="CW476" s="30">
        <f t="shared" si="69"/>
        <v>1</v>
      </c>
      <c r="CZ476" s="30">
        <f t="shared" si="68"/>
        <v>1</v>
      </c>
      <c r="DA476" s="30">
        <f t="shared" si="66"/>
        <v>1</v>
      </c>
      <c r="DB476" s="140">
        <f t="shared" si="64"/>
        <v>1</v>
      </c>
      <c r="DS476" s="130">
        <f>SI!BY476</f>
        <v>109</v>
      </c>
      <c r="DZ476" s="131">
        <f>SI!BZ476</f>
        <v>0</v>
      </c>
    </row>
    <row r="477" spans="1:130" hidden="1" x14ac:dyDescent="0.25">
      <c r="A477" s="141"/>
      <c r="B477" s="406"/>
      <c r="C477" s="406"/>
      <c r="D477" s="406"/>
      <c r="E477" s="406"/>
      <c r="F477" s="406"/>
      <c r="G477" s="406"/>
      <c r="H477" s="406"/>
      <c r="I477" s="406"/>
      <c r="J477" s="406"/>
      <c r="K477" s="406"/>
      <c r="L477" s="406"/>
      <c r="M477" s="406"/>
      <c r="N477" s="406"/>
      <c r="O477" s="406"/>
      <c r="P477" s="406"/>
      <c r="Q477" s="406"/>
      <c r="R477" s="406"/>
      <c r="S477" s="406"/>
      <c r="T477" s="406"/>
      <c r="U477" s="406"/>
      <c r="V477" s="406"/>
      <c r="W477" s="406"/>
      <c r="X477" s="406"/>
      <c r="Y477" s="406"/>
      <c r="Z477" s="406"/>
      <c r="AA477" s="406"/>
      <c r="AB477" s="406"/>
      <c r="AC477" s="406"/>
      <c r="AD477" s="406"/>
      <c r="AE477" s="406"/>
      <c r="AF477" s="406"/>
      <c r="AG477" s="406"/>
      <c r="AH477" s="406"/>
      <c r="AI477" s="406"/>
      <c r="AJ477" s="406"/>
      <c r="AK477" s="406"/>
      <c r="AL477" s="406"/>
      <c r="AM477" s="406"/>
      <c r="AN477" s="406"/>
      <c r="AO477" s="406"/>
      <c r="AP477" s="406"/>
      <c r="AQ477" s="406"/>
      <c r="AR477" s="406"/>
      <c r="AS477" s="406"/>
      <c r="AT477" s="406"/>
      <c r="AU477" s="406"/>
      <c r="AV477" s="406"/>
      <c r="AW477" s="406"/>
      <c r="AX477" s="406"/>
      <c r="AY477" s="406"/>
      <c r="AZ477" s="406"/>
      <c r="BA477" s="406"/>
      <c r="BB477" s="406"/>
      <c r="BC477" s="406"/>
      <c r="BD477" s="406"/>
      <c r="BE477" s="406"/>
      <c r="BF477" s="406"/>
      <c r="BG477" s="406"/>
      <c r="BH477" s="406"/>
      <c r="BI477" s="406"/>
      <c r="BJ477" s="406"/>
      <c r="BK477" s="406"/>
      <c r="BL477" s="406"/>
      <c r="BM477" s="406"/>
      <c r="BN477" s="406"/>
      <c r="BO477" s="406"/>
      <c r="BP477" s="406"/>
      <c r="BQ477" s="406"/>
      <c r="BR477" s="406"/>
      <c r="BS477" s="406"/>
      <c r="BT477" s="406"/>
      <c r="BU477" s="406"/>
      <c r="BV477" s="406"/>
      <c r="BW477" s="406"/>
      <c r="BX477" s="406"/>
      <c r="BY477" s="406"/>
      <c r="BZ477" s="406"/>
      <c r="CA477" s="281"/>
      <c r="CB477" s="3" t="str">
        <f t="shared" si="65"/>
        <v>Riadok bude skrytý.</v>
      </c>
      <c r="CC477" s="271" t="s">
        <v>832</v>
      </c>
      <c r="CW477" s="30">
        <f t="shared" si="69"/>
        <v>0</v>
      </c>
      <c r="CZ477" s="30">
        <f t="shared" si="68"/>
        <v>1</v>
      </c>
      <c r="DA477" s="30">
        <f t="shared" si="66"/>
        <v>0</v>
      </c>
      <c r="DB477" s="140">
        <f t="shared" si="64"/>
        <v>0</v>
      </c>
      <c r="DS477" s="130">
        <f>SI!BY477</f>
        <v>203</v>
      </c>
      <c r="DZ477" s="131">
        <f>SI!BZ477</f>
        <v>0</v>
      </c>
    </row>
    <row r="478" spans="1:130" hidden="1" x14ac:dyDescent="0.25">
      <c r="A478" s="141"/>
      <c r="B478" s="406"/>
      <c r="C478" s="406"/>
      <c r="D478" s="406"/>
      <c r="E478" s="406"/>
      <c r="F478" s="406"/>
      <c r="G478" s="406"/>
      <c r="H478" s="406"/>
      <c r="I478" s="406"/>
      <c r="J478" s="406"/>
      <c r="K478" s="406"/>
      <c r="L478" s="406"/>
      <c r="M478" s="406"/>
      <c r="N478" s="406"/>
      <c r="O478" s="406"/>
      <c r="P478" s="406"/>
      <c r="Q478" s="406"/>
      <c r="R478" s="406"/>
      <c r="S478" s="406"/>
      <c r="T478" s="406"/>
      <c r="U478" s="406"/>
      <c r="V478" s="406"/>
      <c r="W478" s="406"/>
      <c r="X478" s="406"/>
      <c r="Y478" s="406"/>
      <c r="Z478" s="406"/>
      <c r="AA478" s="406"/>
      <c r="AB478" s="406"/>
      <c r="AC478" s="406"/>
      <c r="AD478" s="406"/>
      <c r="AE478" s="406"/>
      <c r="AF478" s="406"/>
      <c r="AG478" s="406"/>
      <c r="AH478" s="406"/>
      <c r="AI478" s="406"/>
      <c r="AJ478" s="406"/>
      <c r="AK478" s="406"/>
      <c r="AL478" s="406"/>
      <c r="AM478" s="406"/>
      <c r="AN478" s="406"/>
      <c r="AO478" s="406"/>
      <c r="AP478" s="406"/>
      <c r="AQ478" s="406"/>
      <c r="AR478" s="406"/>
      <c r="AS478" s="406"/>
      <c r="AT478" s="406"/>
      <c r="AU478" s="406"/>
      <c r="AV478" s="406"/>
      <c r="AW478" s="406"/>
      <c r="AX478" s="406"/>
      <c r="AY478" s="406"/>
      <c r="AZ478" s="406"/>
      <c r="BA478" s="406"/>
      <c r="BB478" s="406"/>
      <c r="BC478" s="406"/>
      <c r="BD478" s="406"/>
      <c r="BE478" s="406"/>
      <c r="BF478" s="406"/>
      <c r="BG478" s="406"/>
      <c r="BH478" s="406"/>
      <c r="BI478" s="406"/>
      <c r="BJ478" s="406"/>
      <c r="BK478" s="406"/>
      <c r="BL478" s="406"/>
      <c r="BM478" s="406"/>
      <c r="BN478" s="406"/>
      <c r="BO478" s="406"/>
      <c r="BP478" s="406"/>
      <c r="BQ478" s="406"/>
      <c r="BR478" s="406"/>
      <c r="BS478" s="406"/>
      <c r="BT478" s="406"/>
      <c r="BU478" s="406"/>
      <c r="BV478" s="406"/>
      <c r="BW478" s="406"/>
      <c r="BX478" s="406"/>
      <c r="BY478" s="406"/>
      <c r="BZ478" s="406"/>
      <c r="CA478" s="281"/>
      <c r="CB478" s="3" t="str">
        <f t="shared" si="65"/>
        <v>Riadok bude skrytý.</v>
      </c>
      <c r="CC478" s="271" t="s">
        <v>832</v>
      </c>
      <c r="CW478" s="30">
        <f t="shared" si="69"/>
        <v>0</v>
      </c>
      <c r="CZ478" s="30">
        <f t="shared" si="68"/>
        <v>1</v>
      </c>
      <c r="DA478" s="30">
        <f t="shared" si="66"/>
        <v>0</v>
      </c>
      <c r="DB478" s="140">
        <f t="shared" si="64"/>
        <v>0</v>
      </c>
      <c r="DS478" s="130">
        <f>SI!BY478</f>
        <v>148</v>
      </c>
      <c r="DZ478" s="131">
        <f>SI!BZ478</f>
        <v>0</v>
      </c>
    </row>
    <row r="479" spans="1:130" hidden="1" x14ac:dyDescent="0.25">
      <c r="A479" s="141"/>
      <c r="B479" s="406"/>
      <c r="C479" s="406"/>
      <c r="D479" s="406"/>
      <c r="E479" s="406"/>
      <c r="F479" s="406"/>
      <c r="G479" s="406"/>
      <c r="H479" s="406"/>
      <c r="I479" s="406"/>
      <c r="J479" s="406"/>
      <c r="K479" s="406"/>
      <c r="L479" s="406"/>
      <c r="M479" s="406"/>
      <c r="N479" s="406"/>
      <c r="O479" s="406"/>
      <c r="P479" s="406"/>
      <c r="Q479" s="406"/>
      <c r="R479" s="406"/>
      <c r="S479" s="406"/>
      <c r="T479" s="406"/>
      <c r="U479" s="406"/>
      <c r="V479" s="406"/>
      <c r="W479" s="406"/>
      <c r="X479" s="406"/>
      <c r="Y479" s="406"/>
      <c r="Z479" s="406"/>
      <c r="AA479" s="406"/>
      <c r="AB479" s="406"/>
      <c r="AC479" s="406"/>
      <c r="AD479" s="406"/>
      <c r="AE479" s="406"/>
      <c r="AF479" s="406"/>
      <c r="AG479" s="406"/>
      <c r="AH479" s="406"/>
      <c r="AI479" s="406"/>
      <c r="AJ479" s="406"/>
      <c r="AK479" s="406"/>
      <c r="AL479" s="406"/>
      <c r="AM479" s="406"/>
      <c r="AN479" s="406"/>
      <c r="AO479" s="406"/>
      <c r="AP479" s="406"/>
      <c r="AQ479" s="406"/>
      <c r="AR479" s="406"/>
      <c r="AS479" s="406"/>
      <c r="AT479" s="406"/>
      <c r="AU479" s="406"/>
      <c r="AV479" s="406"/>
      <c r="AW479" s="406"/>
      <c r="AX479" s="406"/>
      <c r="AY479" s="406"/>
      <c r="AZ479" s="406"/>
      <c r="BA479" s="406"/>
      <c r="BB479" s="406"/>
      <c r="BC479" s="406"/>
      <c r="BD479" s="406"/>
      <c r="BE479" s="406"/>
      <c r="BF479" s="406"/>
      <c r="BG479" s="406"/>
      <c r="BH479" s="406"/>
      <c r="BI479" s="406"/>
      <c r="BJ479" s="406"/>
      <c r="BK479" s="406"/>
      <c r="BL479" s="406"/>
      <c r="BM479" s="406"/>
      <c r="BN479" s="406"/>
      <c r="BO479" s="406"/>
      <c r="BP479" s="406"/>
      <c r="BQ479" s="406"/>
      <c r="BR479" s="406"/>
      <c r="BS479" s="406"/>
      <c r="BT479" s="406"/>
      <c r="BU479" s="406"/>
      <c r="BV479" s="406"/>
      <c r="BW479" s="406"/>
      <c r="BX479" s="406"/>
      <c r="BY479" s="406"/>
      <c r="BZ479" s="406"/>
      <c r="CA479" s="281"/>
      <c r="CB479" s="3" t="str">
        <f t="shared" si="65"/>
        <v>Riadok bude skrytý.</v>
      </c>
      <c r="CC479" s="271" t="s">
        <v>832</v>
      </c>
      <c r="CW479" s="30">
        <f t="shared" si="69"/>
        <v>0</v>
      </c>
      <c r="CZ479" s="30">
        <f t="shared" si="68"/>
        <v>1</v>
      </c>
      <c r="DA479" s="30">
        <f t="shared" si="66"/>
        <v>0</v>
      </c>
      <c r="DB479" s="140">
        <f t="shared" si="64"/>
        <v>0</v>
      </c>
      <c r="DS479" s="130">
        <f>SI!BY479</f>
        <v>144</v>
      </c>
      <c r="DZ479" s="131">
        <f>SI!BZ479</f>
        <v>0</v>
      </c>
    </row>
    <row r="480" spans="1:130" hidden="1" x14ac:dyDescent="0.25">
      <c r="A480" s="141"/>
      <c r="B480" s="406"/>
      <c r="C480" s="406"/>
      <c r="D480" s="406"/>
      <c r="E480" s="406"/>
      <c r="F480" s="406"/>
      <c r="G480" s="406"/>
      <c r="H480" s="406"/>
      <c r="I480" s="406"/>
      <c r="J480" s="406"/>
      <c r="K480" s="406"/>
      <c r="L480" s="406"/>
      <c r="M480" s="406"/>
      <c r="N480" s="406"/>
      <c r="O480" s="406"/>
      <c r="P480" s="406"/>
      <c r="Q480" s="406"/>
      <c r="R480" s="406"/>
      <c r="S480" s="406"/>
      <c r="T480" s="406"/>
      <c r="U480" s="406"/>
      <c r="V480" s="406"/>
      <c r="W480" s="406"/>
      <c r="X480" s="406"/>
      <c r="Y480" s="406"/>
      <c r="Z480" s="406"/>
      <c r="AA480" s="406"/>
      <c r="AB480" s="406"/>
      <c r="AC480" s="406"/>
      <c r="AD480" s="406"/>
      <c r="AE480" s="406"/>
      <c r="AF480" s="406"/>
      <c r="AG480" s="406"/>
      <c r="AH480" s="406"/>
      <c r="AI480" s="406"/>
      <c r="AJ480" s="406"/>
      <c r="AK480" s="406"/>
      <c r="AL480" s="406"/>
      <c r="AM480" s="406"/>
      <c r="AN480" s="406"/>
      <c r="AO480" s="406"/>
      <c r="AP480" s="406"/>
      <c r="AQ480" s="406"/>
      <c r="AR480" s="406"/>
      <c r="AS480" s="406"/>
      <c r="AT480" s="406"/>
      <c r="AU480" s="406"/>
      <c r="AV480" s="406"/>
      <c r="AW480" s="406"/>
      <c r="AX480" s="406"/>
      <c r="AY480" s="406"/>
      <c r="AZ480" s="406"/>
      <c r="BA480" s="406"/>
      <c r="BB480" s="406"/>
      <c r="BC480" s="406"/>
      <c r="BD480" s="406"/>
      <c r="BE480" s="406"/>
      <c r="BF480" s="406"/>
      <c r="BG480" s="406"/>
      <c r="BH480" s="406"/>
      <c r="BI480" s="406"/>
      <c r="BJ480" s="406"/>
      <c r="BK480" s="406"/>
      <c r="BL480" s="406"/>
      <c r="BM480" s="406"/>
      <c r="BN480" s="406"/>
      <c r="BO480" s="406"/>
      <c r="BP480" s="406"/>
      <c r="BQ480" s="406"/>
      <c r="BR480" s="406"/>
      <c r="BS480" s="406"/>
      <c r="BT480" s="406"/>
      <c r="BU480" s="406"/>
      <c r="BV480" s="406"/>
      <c r="BW480" s="406"/>
      <c r="BX480" s="406"/>
      <c r="BY480" s="406"/>
      <c r="BZ480" s="406"/>
      <c r="CA480" s="281"/>
      <c r="CB480" s="3" t="str">
        <f t="shared" si="65"/>
        <v>Riadok bude skrytý.</v>
      </c>
      <c r="CC480" s="271" t="s">
        <v>832</v>
      </c>
      <c r="CW480" s="30">
        <f t="shared" si="69"/>
        <v>0</v>
      </c>
      <c r="CZ480" s="30">
        <f t="shared" si="68"/>
        <v>1</v>
      </c>
      <c r="DA480" s="30">
        <f t="shared" si="66"/>
        <v>0</v>
      </c>
      <c r="DB480" s="140">
        <f t="shared" si="64"/>
        <v>0</v>
      </c>
      <c r="DS480" s="130">
        <f>SI!BY480</f>
        <v>103</v>
      </c>
      <c r="DZ480" s="131">
        <f>SI!BZ480</f>
        <v>0</v>
      </c>
    </row>
    <row r="481" spans="1:130" hidden="1" x14ac:dyDescent="0.25">
      <c r="A481" s="141"/>
      <c r="B481" s="406"/>
      <c r="C481" s="406"/>
      <c r="D481" s="406"/>
      <c r="E481" s="406"/>
      <c r="F481" s="406"/>
      <c r="G481" s="406"/>
      <c r="H481" s="406"/>
      <c r="I481" s="406"/>
      <c r="J481" s="406"/>
      <c r="K481" s="406"/>
      <c r="L481" s="406"/>
      <c r="M481" s="406"/>
      <c r="N481" s="406"/>
      <c r="O481" s="406"/>
      <c r="P481" s="406"/>
      <c r="Q481" s="406"/>
      <c r="R481" s="406"/>
      <c r="S481" s="406"/>
      <c r="T481" s="406"/>
      <c r="U481" s="406"/>
      <c r="V481" s="406"/>
      <c r="W481" s="406"/>
      <c r="X481" s="406"/>
      <c r="Y481" s="406"/>
      <c r="Z481" s="406"/>
      <c r="AA481" s="406"/>
      <c r="AB481" s="406"/>
      <c r="AC481" s="406"/>
      <c r="AD481" s="406"/>
      <c r="AE481" s="406"/>
      <c r="AF481" s="406"/>
      <c r="AG481" s="406"/>
      <c r="AH481" s="406"/>
      <c r="AI481" s="406"/>
      <c r="AJ481" s="406"/>
      <c r="AK481" s="406"/>
      <c r="AL481" s="406"/>
      <c r="AM481" s="406"/>
      <c r="AN481" s="406"/>
      <c r="AO481" s="406"/>
      <c r="AP481" s="406"/>
      <c r="AQ481" s="406"/>
      <c r="AR481" s="406"/>
      <c r="AS481" s="406"/>
      <c r="AT481" s="406"/>
      <c r="AU481" s="406"/>
      <c r="AV481" s="406"/>
      <c r="AW481" s="406"/>
      <c r="AX481" s="406"/>
      <c r="AY481" s="406"/>
      <c r="AZ481" s="406"/>
      <c r="BA481" s="406"/>
      <c r="BB481" s="406"/>
      <c r="BC481" s="406"/>
      <c r="BD481" s="406"/>
      <c r="BE481" s="406"/>
      <c r="BF481" s="406"/>
      <c r="BG481" s="406"/>
      <c r="BH481" s="406"/>
      <c r="BI481" s="406"/>
      <c r="BJ481" s="406"/>
      <c r="BK481" s="406"/>
      <c r="BL481" s="406"/>
      <c r="BM481" s="406"/>
      <c r="BN481" s="406"/>
      <c r="BO481" s="406"/>
      <c r="BP481" s="406"/>
      <c r="BQ481" s="406"/>
      <c r="BR481" s="406"/>
      <c r="BS481" s="406"/>
      <c r="BT481" s="406"/>
      <c r="BU481" s="406"/>
      <c r="BV481" s="406"/>
      <c r="BW481" s="406"/>
      <c r="BX481" s="406"/>
      <c r="BY481" s="406"/>
      <c r="BZ481" s="406"/>
      <c r="CA481" s="281"/>
      <c r="CB481" s="3" t="str">
        <f t="shared" si="65"/>
        <v>Riadok bude skrytý.</v>
      </c>
      <c r="CC481" s="271" t="s">
        <v>832</v>
      </c>
      <c r="CW481" s="30">
        <f t="shared" si="69"/>
        <v>0</v>
      </c>
      <c r="CZ481" s="30">
        <f t="shared" si="68"/>
        <v>1</v>
      </c>
      <c r="DA481" s="30">
        <f t="shared" si="66"/>
        <v>0</v>
      </c>
      <c r="DB481" s="140">
        <f t="shared" si="64"/>
        <v>0</v>
      </c>
      <c r="DS481" s="130">
        <f>SI!BY481</f>
        <v>184</v>
      </c>
      <c r="DZ481" s="131">
        <f>SI!BZ481</f>
        <v>0</v>
      </c>
    </row>
    <row r="482" spans="1:130" hidden="1" x14ac:dyDescent="0.25">
      <c r="A482" s="141"/>
      <c r="B482" s="406"/>
      <c r="C482" s="406"/>
      <c r="D482" s="406"/>
      <c r="E482" s="406"/>
      <c r="F482" s="406"/>
      <c r="G482" s="406"/>
      <c r="H482" s="406"/>
      <c r="I482" s="406"/>
      <c r="J482" s="406"/>
      <c r="K482" s="406"/>
      <c r="L482" s="406"/>
      <c r="M482" s="406"/>
      <c r="N482" s="406"/>
      <c r="O482" s="406"/>
      <c r="P482" s="406"/>
      <c r="Q482" s="406"/>
      <c r="R482" s="406"/>
      <c r="S482" s="406"/>
      <c r="T482" s="406"/>
      <c r="U482" s="406"/>
      <c r="V482" s="406"/>
      <c r="W482" s="406"/>
      <c r="X482" s="406"/>
      <c r="Y482" s="406"/>
      <c r="Z482" s="406"/>
      <c r="AA482" s="406"/>
      <c r="AB482" s="406"/>
      <c r="AC482" s="406"/>
      <c r="AD482" s="406"/>
      <c r="AE482" s="406"/>
      <c r="AF482" s="406"/>
      <c r="AG482" s="406"/>
      <c r="AH482" s="406"/>
      <c r="AI482" s="406"/>
      <c r="AJ482" s="406"/>
      <c r="AK482" s="406"/>
      <c r="AL482" s="406"/>
      <c r="AM482" s="406"/>
      <c r="AN482" s="406"/>
      <c r="AO482" s="406"/>
      <c r="AP482" s="406"/>
      <c r="AQ482" s="406"/>
      <c r="AR482" s="406"/>
      <c r="AS482" s="406"/>
      <c r="AT482" s="406"/>
      <c r="AU482" s="406"/>
      <c r="AV482" s="406"/>
      <c r="AW482" s="406"/>
      <c r="AX482" s="406"/>
      <c r="AY482" s="406"/>
      <c r="AZ482" s="406"/>
      <c r="BA482" s="406"/>
      <c r="BB482" s="406"/>
      <c r="BC482" s="406"/>
      <c r="BD482" s="406"/>
      <c r="BE482" s="406"/>
      <c r="BF482" s="406"/>
      <c r="BG482" s="406"/>
      <c r="BH482" s="406"/>
      <c r="BI482" s="406"/>
      <c r="BJ482" s="406"/>
      <c r="BK482" s="406"/>
      <c r="BL482" s="406"/>
      <c r="BM482" s="406"/>
      <c r="BN482" s="406"/>
      <c r="BO482" s="406"/>
      <c r="BP482" s="406"/>
      <c r="BQ482" s="406"/>
      <c r="BR482" s="406"/>
      <c r="BS482" s="406"/>
      <c r="BT482" s="406"/>
      <c r="BU482" s="406"/>
      <c r="BV482" s="406"/>
      <c r="BW482" s="406"/>
      <c r="BX482" s="406"/>
      <c r="BY482" s="406"/>
      <c r="BZ482" s="406"/>
      <c r="CA482" s="281"/>
      <c r="CB482" s="3" t="str">
        <f t="shared" si="65"/>
        <v>Riadok bude skrytý.</v>
      </c>
      <c r="CC482" s="271" t="s">
        <v>832</v>
      </c>
      <c r="CW482" s="30">
        <f t="shared" si="69"/>
        <v>0</v>
      </c>
      <c r="CZ482" s="30">
        <f t="shared" si="68"/>
        <v>1</v>
      </c>
      <c r="DA482" s="30">
        <f t="shared" si="66"/>
        <v>0</v>
      </c>
      <c r="DB482" s="140">
        <f t="shared" si="64"/>
        <v>0</v>
      </c>
      <c r="DS482" s="130">
        <f>SI!BY482</f>
        <v>127</v>
      </c>
      <c r="DZ482" s="131">
        <f>SI!BZ482</f>
        <v>0</v>
      </c>
    </row>
    <row r="483" spans="1:130" hidden="1" x14ac:dyDescent="0.25">
      <c r="A483" s="141"/>
      <c r="B483" s="406"/>
      <c r="C483" s="406"/>
      <c r="D483" s="406"/>
      <c r="E483" s="406"/>
      <c r="F483" s="406"/>
      <c r="G483" s="406"/>
      <c r="H483" s="406"/>
      <c r="I483" s="406"/>
      <c r="J483" s="406"/>
      <c r="K483" s="406"/>
      <c r="L483" s="406"/>
      <c r="M483" s="406"/>
      <c r="N483" s="406"/>
      <c r="O483" s="406"/>
      <c r="P483" s="406"/>
      <c r="Q483" s="406"/>
      <c r="R483" s="406"/>
      <c r="S483" s="406"/>
      <c r="T483" s="406"/>
      <c r="U483" s="406"/>
      <c r="V483" s="406"/>
      <c r="W483" s="406"/>
      <c r="X483" s="406"/>
      <c r="Y483" s="406"/>
      <c r="Z483" s="406"/>
      <c r="AA483" s="406"/>
      <c r="AB483" s="406"/>
      <c r="AC483" s="406"/>
      <c r="AD483" s="406"/>
      <c r="AE483" s="406"/>
      <c r="AF483" s="406"/>
      <c r="AG483" s="406"/>
      <c r="AH483" s="406"/>
      <c r="AI483" s="406"/>
      <c r="AJ483" s="406"/>
      <c r="AK483" s="406"/>
      <c r="AL483" s="406"/>
      <c r="AM483" s="406"/>
      <c r="AN483" s="406"/>
      <c r="AO483" s="406"/>
      <c r="AP483" s="406"/>
      <c r="AQ483" s="406"/>
      <c r="AR483" s="406"/>
      <c r="AS483" s="406"/>
      <c r="AT483" s="406"/>
      <c r="AU483" s="406"/>
      <c r="AV483" s="406"/>
      <c r="AW483" s="406"/>
      <c r="AX483" s="406"/>
      <c r="AY483" s="406"/>
      <c r="AZ483" s="406"/>
      <c r="BA483" s="406"/>
      <c r="BB483" s="406"/>
      <c r="BC483" s="406"/>
      <c r="BD483" s="406"/>
      <c r="BE483" s="406"/>
      <c r="BF483" s="406"/>
      <c r="BG483" s="406"/>
      <c r="BH483" s="406"/>
      <c r="BI483" s="406"/>
      <c r="BJ483" s="406"/>
      <c r="BK483" s="406"/>
      <c r="BL483" s="406"/>
      <c r="BM483" s="406"/>
      <c r="BN483" s="406"/>
      <c r="BO483" s="406"/>
      <c r="BP483" s="406"/>
      <c r="BQ483" s="406"/>
      <c r="BR483" s="406"/>
      <c r="BS483" s="406"/>
      <c r="BT483" s="406"/>
      <c r="BU483" s="406"/>
      <c r="BV483" s="406"/>
      <c r="BW483" s="406"/>
      <c r="BX483" s="406"/>
      <c r="BY483" s="406"/>
      <c r="BZ483" s="406"/>
      <c r="CA483" s="281"/>
      <c r="CB483" s="3" t="str">
        <f t="shared" si="65"/>
        <v>Riadok bude skrytý.</v>
      </c>
      <c r="CC483" s="271" t="s">
        <v>832</v>
      </c>
      <c r="CW483" s="30">
        <f t="shared" si="69"/>
        <v>0</v>
      </c>
      <c r="CZ483" s="30">
        <f t="shared" si="68"/>
        <v>1</v>
      </c>
      <c r="DA483" s="30">
        <f t="shared" si="66"/>
        <v>0</v>
      </c>
      <c r="DB483" s="140">
        <f t="shared" si="64"/>
        <v>0</v>
      </c>
      <c r="DS483" s="130">
        <f>SI!BY483</f>
        <v>197</v>
      </c>
      <c r="DZ483" s="131">
        <f>SI!BZ483</f>
        <v>0</v>
      </c>
    </row>
    <row r="484" spans="1:130" hidden="1" x14ac:dyDescent="0.25">
      <c r="A484" s="141"/>
      <c r="B484" s="406"/>
      <c r="C484" s="406"/>
      <c r="D484" s="406"/>
      <c r="E484" s="406"/>
      <c r="F484" s="406"/>
      <c r="G484" s="406"/>
      <c r="H484" s="406"/>
      <c r="I484" s="406"/>
      <c r="J484" s="406"/>
      <c r="K484" s="406"/>
      <c r="L484" s="406"/>
      <c r="M484" s="406"/>
      <c r="N484" s="406"/>
      <c r="O484" s="406"/>
      <c r="P484" s="406"/>
      <c r="Q484" s="406"/>
      <c r="R484" s="406"/>
      <c r="S484" s="406"/>
      <c r="T484" s="406"/>
      <c r="U484" s="406"/>
      <c r="V484" s="406"/>
      <c r="W484" s="406"/>
      <c r="X484" s="406"/>
      <c r="Y484" s="406"/>
      <c r="Z484" s="406"/>
      <c r="AA484" s="406"/>
      <c r="AB484" s="406"/>
      <c r="AC484" s="406"/>
      <c r="AD484" s="406"/>
      <c r="AE484" s="406"/>
      <c r="AF484" s="406"/>
      <c r="AG484" s="406"/>
      <c r="AH484" s="406"/>
      <c r="AI484" s="406"/>
      <c r="AJ484" s="406"/>
      <c r="AK484" s="406"/>
      <c r="AL484" s="406"/>
      <c r="AM484" s="406"/>
      <c r="AN484" s="406"/>
      <c r="AO484" s="406"/>
      <c r="AP484" s="406"/>
      <c r="AQ484" s="406"/>
      <c r="AR484" s="406"/>
      <c r="AS484" s="406"/>
      <c r="AT484" s="406"/>
      <c r="AU484" s="406"/>
      <c r="AV484" s="406"/>
      <c r="AW484" s="406"/>
      <c r="AX484" s="406"/>
      <c r="AY484" s="406"/>
      <c r="AZ484" s="406"/>
      <c r="BA484" s="406"/>
      <c r="BB484" s="406"/>
      <c r="BC484" s="406"/>
      <c r="BD484" s="406"/>
      <c r="BE484" s="406"/>
      <c r="BF484" s="406"/>
      <c r="BG484" s="406"/>
      <c r="BH484" s="406"/>
      <c r="BI484" s="406"/>
      <c r="BJ484" s="406"/>
      <c r="BK484" s="406"/>
      <c r="BL484" s="406"/>
      <c r="BM484" s="406"/>
      <c r="BN484" s="406"/>
      <c r="BO484" s="406"/>
      <c r="BP484" s="406"/>
      <c r="BQ484" s="406"/>
      <c r="BR484" s="406"/>
      <c r="BS484" s="406"/>
      <c r="BT484" s="406"/>
      <c r="BU484" s="406"/>
      <c r="BV484" s="406"/>
      <c r="BW484" s="406"/>
      <c r="BX484" s="406"/>
      <c r="BY484" s="406"/>
      <c r="BZ484" s="406"/>
      <c r="CA484" s="281"/>
      <c r="CB484" s="3" t="str">
        <f t="shared" si="65"/>
        <v>Riadok bude skrytý.</v>
      </c>
      <c r="CC484" s="271" t="s">
        <v>832</v>
      </c>
      <c r="CW484" s="30">
        <f t="shared" si="69"/>
        <v>0</v>
      </c>
      <c r="CZ484" s="30">
        <f t="shared" si="68"/>
        <v>1</v>
      </c>
      <c r="DA484" s="30">
        <f t="shared" si="66"/>
        <v>0</v>
      </c>
      <c r="DB484" s="140">
        <f t="shared" si="64"/>
        <v>0</v>
      </c>
      <c r="DS484" s="130">
        <f>SI!BY484</f>
        <v>184</v>
      </c>
      <c r="DZ484" s="131">
        <f>SI!BZ484</f>
        <v>0</v>
      </c>
    </row>
    <row r="485" spans="1:130" hidden="1" x14ac:dyDescent="0.25">
      <c r="A485" s="141"/>
      <c r="B485" s="406"/>
      <c r="C485" s="406"/>
      <c r="D485" s="406"/>
      <c r="E485" s="406"/>
      <c r="F485" s="406"/>
      <c r="G485" s="406"/>
      <c r="H485" s="406"/>
      <c r="I485" s="406"/>
      <c r="J485" s="406"/>
      <c r="K485" s="406"/>
      <c r="L485" s="406"/>
      <c r="M485" s="406"/>
      <c r="N485" s="406"/>
      <c r="O485" s="406"/>
      <c r="P485" s="406"/>
      <c r="Q485" s="406"/>
      <c r="R485" s="406"/>
      <c r="S485" s="406"/>
      <c r="T485" s="406"/>
      <c r="U485" s="406"/>
      <c r="V485" s="406"/>
      <c r="W485" s="406"/>
      <c r="X485" s="406"/>
      <c r="Y485" s="406"/>
      <c r="Z485" s="406"/>
      <c r="AA485" s="406"/>
      <c r="AB485" s="406"/>
      <c r="AC485" s="406"/>
      <c r="AD485" s="406"/>
      <c r="AE485" s="406"/>
      <c r="AF485" s="406"/>
      <c r="AG485" s="406"/>
      <c r="AH485" s="406"/>
      <c r="AI485" s="406"/>
      <c r="AJ485" s="406"/>
      <c r="AK485" s="406"/>
      <c r="AL485" s="406"/>
      <c r="AM485" s="406"/>
      <c r="AN485" s="406"/>
      <c r="AO485" s="406"/>
      <c r="AP485" s="406"/>
      <c r="AQ485" s="406"/>
      <c r="AR485" s="406"/>
      <c r="AS485" s="406"/>
      <c r="AT485" s="406"/>
      <c r="AU485" s="406"/>
      <c r="AV485" s="406"/>
      <c r="AW485" s="406"/>
      <c r="AX485" s="406"/>
      <c r="AY485" s="406"/>
      <c r="AZ485" s="406"/>
      <c r="BA485" s="406"/>
      <c r="BB485" s="406"/>
      <c r="BC485" s="406"/>
      <c r="BD485" s="406"/>
      <c r="BE485" s="406"/>
      <c r="BF485" s="406"/>
      <c r="BG485" s="406"/>
      <c r="BH485" s="406"/>
      <c r="BI485" s="406"/>
      <c r="BJ485" s="406"/>
      <c r="BK485" s="406"/>
      <c r="BL485" s="406"/>
      <c r="BM485" s="406"/>
      <c r="BN485" s="406"/>
      <c r="BO485" s="406"/>
      <c r="BP485" s="406"/>
      <c r="BQ485" s="406"/>
      <c r="BR485" s="406"/>
      <c r="BS485" s="406"/>
      <c r="BT485" s="406"/>
      <c r="BU485" s="406"/>
      <c r="BV485" s="406"/>
      <c r="BW485" s="406"/>
      <c r="BX485" s="406"/>
      <c r="BY485" s="406"/>
      <c r="BZ485" s="406"/>
      <c r="CA485" s="281"/>
      <c r="CB485" s="3" t="str">
        <f t="shared" si="65"/>
        <v>Riadok bude skrytý.</v>
      </c>
      <c r="CC485" s="271" t="s">
        <v>832</v>
      </c>
      <c r="CW485" s="30">
        <f t="shared" si="69"/>
        <v>0</v>
      </c>
      <c r="CZ485" s="30">
        <f t="shared" si="68"/>
        <v>1</v>
      </c>
      <c r="DA485" s="30">
        <f t="shared" si="66"/>
        <v>0</v>
      </c>
      <c r="DB485" s="140">
        <f t="shared" si="64"/>
        <v>0</v>
      </c>
      <c r="DS485" s="130">
        <f>SI!BY485</f>
        <v>891</v>
      </c>
      <c r="DZ485" s="131">
        <f>SI!BZ485</f>
        <v>0</v>
      </c>
    </row>
    <row r="486" spans="1:130" hidden="1" x14ac:dyDescent="0.25">
      <c r="A486" s="141"/>
      <c r="B486" s="406"/>
      <c r="C486" s="406"/>
      <c r="D486" s="406"/>
      <c r="E486" s="406"/>
      <c r="F486" s="406"/>
      <c r="G486" s="406"/>
      <c r="H486" s="406"/>
      <c r="I486" s="406"/>
      <c r="J486" s="406"/>
      <c r="K486" s="406"/>
      <c r="L486" s="406"/>
      <c r="M486" s="406"/>
      <c r="N486" s="406"/>
      <c r="O486" s="406"/>
      <c r="P486" s="406"/>
      <c r="Q486" s="406"/>
      <c r="R486" s="406"/>
      <c r="S486" s="406"/>
      <c r="T486" s="406"/>
      <c r="U486" s="406"/>
      <c r="V486" s="406"/>
      <c r="W486" s="406"/>
      <c r="X486" s="406"/>
      <c r="Y486" s="406"/>
      <c r="Z486" s="406"/>
      <c r="AA486" s="406"/>
      <c r="AB486" s="406"/>
      <c r="AC486" s="406"/>
      <c r="AD486" s="406"/>
      <c r="AE486" s="406"/>
      <c r="AF486" s="406"/>
      <c r="AG486" s="406"/>
      <c r="AH486" s="406"/>
      <c r="AI486" s="406"/>
      <c r="AJ486" s="406"/>
      <c r="AK486" s="406"/>
      <c r="AL486" s="406"/>
      <c r="AM486" s="406"/>
      <c r="AN486" s="406"/>
      <c r="AO486" s="406"/>
      <c r="AP486" s="406"/>
      <c r="AQ486" s="406"/>
      <c r="AR486" s="406"/>
      <c r="AS486" s="406"/>
      <c r="AT486" s="406"/>
      <c r="AU486" s="406"/>
      <c r="AV486" s="406"/>
      <c r="AW486" s="406"/>
      <c r="AX486" s="406"/>
      <c r="AY486" s="406"/>
      <c r="AZ486" s="406"/>
      <c r="BA486" s="406"/>
      <c r="BB486" s="406"/>
      <c r="BC486" s="406"/>
      <c r="BD486" s="406"/>
      <c r="BE486" s="406"/>
      <c r="BF486" s="406"/>
      <c r="BG486" s="406"/>
      <c r="BH486" s="406"/>
      <c r="BI486" s="406"/>
      <c r="BJ486" s="406"/>
      <c r="BK486" s="406"/>
      <c r="BL486" s="406"/>
      <c r="BM486" s="406"/>
      <c r="BN486" s="406"/>
      <c r="BO486" s="406"/>
      <c r="BP486" s="406"/>
      <c r="BQ486" s="406"/>
      <c r="BR486" s="406"/>
      <c r="BS486" s="406"/>
      <c r="BT486" s="406"/>
      <c r="BU486" s="406"/>
      <c r="BV486" s="406"/>
      <c r="BW486" s="406"/>
      <c r="BX486" s="406"/>
      <c r="BY486" s="406"/>
      <c r="BZ486" s="406"/>
      <c r="CA486" s="281"/>
      <c r="CB486" s="3" t="str">
        <f t="shared" si="65"/>
        <v>Riadok bude skrytý.</v>
      </c>
      <c r="CC486" s="271" t="s">
        <v>832</v>
      </c>
      <c r="CW486" s="30">
        <f t="shared" si="69"/>
        <v>0</v>
      </c>
      <c r="CZ486" s="30">
        <f t="shared" si="68"/>
        <v>1</v>
      </c>
      <c r="DA486" s="30">
        <f t="shared" si="66"/>
        <v>0</v>
      </c>
      <c r="DB486" s="140">
        <f t="shared" si="64"/>
        <v>0</v>
      </c>
      <c r="DS486" s="130">
        <f>SI!BY486</f>
        <v>1</v>
      </c>
      <c r="DZ486" s="131">
        <f>SI!BZ486</f>
        <v>0</v>
      </c>
    </row>
    <row r="487" spans="1:130" hidden="1" x14ac:dyDescent="0.25">
      <c r="A487" s="141"/>
      <c r="B487" s="406"/>
      <c r="C487" s="406"/>
      <c r="D487" s="406"/>
      <c r="E487" s="406"/>
      <c r="F487" s="406"/>
      <c r="G487" s="406"/>
      <c r="H487" s="406"/>
      <c r="I487" s="406"/>
      <c r="J487" s="406"/>
      <c r="K487" s="406"/>
      <c r="L487" s="406"/>
      <c r="M487" s="406"/>
      <c r="N487" s="406"/>
      <c r="O487" s="406"/>
      <c r="P487" s="406"/>
      <c r="Q487" s="406"/>
      <c r="R487" s="406"/>
      <c r="S487" s="406"/>
      <c r="T487" s="406"/>
      <c r="U487" s="406"/>
      <c r="V487" s="406"/>
      <c r="W487" s="406"/>
      <c r="X487" s="406"/>
      <c r="Y487" s="406"/>
      <c r="Z487" s="406"/>
      <c r="AA487" s="406"/>
      <c r="AB487" s="406"/>
      <c r="AC487" s="406"/>
      <c r="AD487" s="406"/>
      <c r="AE487" s="406"/>
      <c r="AF487" s="406"/>
      <c r="AG487" s="406"/>
      <c r="AH487" s="406"/>
      <c r="AI487" s="406"/>
      <c r="AJ487" s="406"/>
      <c r="AK487" s="406"/>
      <c r="AL487" s="406"/>
      <c r="AM487" s="406"/>
      <c r="AN487" s="406"/>
      <c r="AO487" s="406"/>
      <c r="AP487" s="406"/>
      <c r="AQ487" s="406"/>
      <c r="AR487" s="406"/>
      <c r="AS487" s="406"/>
      <c r="AT487" s="406"/>
      <c r="AU487" s="406"/>
      <c r="AV487" s="406"/>
      <c r="AW487" s="406"/>
      <c r="AX487" s="406"/>
      <c r="AY487" s="406"/>
      <c r="AZ487" s="406"/>
      <c r="BA487" s="406"/>
      <c r="BB487" s="406"/>
      <c r="BC487" s="406"/>
      <c r="BD487" s="406"/>
      <c r="BE487" s="406"/>
      <c r="BF487" s="406"/>
      <c r="BG487" s="406"/>
      <c r="BH487" s="406"/>
      <c r="BI487" s="406"/>
      <c r="BJ487" s="406"/>
      <c r="BK487" s="406"/>
      <c r="BL487" s="406"/>
      <c r="BM487" s="406"/>
      <c r="BN487" s="406"/>
      <c r="BO487" s="406"/>
      <c r="BP487" s="406"/>
      <c r="BQ487" s="406"/>
      <c r="BR487" s="406"/>
      <c r="BS487" s="406"/>
      <c r="BT487" s="406"/>
      <c r="BU487" s="406"/>
      <c r="BV487" s="406"/>
      <c r="BW487" s="406"/>
      <c r="BX487" s="406"/>
      <c r="BY487" s="406"/>
      <c r="BZ487" s="406"/>
      <c r="CA487" s="281"/>
      <c r="CB487" s="3" t="str">
        <f t="shared" si="65"/>
        <v>Riadok bude skrytý.</v>
      </c>
      <c r="CC487" s="271" t="s">
        <v>832</v>
      </c>
      <c r="CW487" s="30">
        <f t="shared" si="69"/>
        <v>0</v>
      </c>
      <c r="CZ487" s="30">
        <f t="shared" si="68"/>
        <v>1</v>
      </c>
      <c r="DA487" s="30">
        <f t="shared" si="66"/>
        <v>0</v>
      </c>
      <c r="DB487" s="140">
        <f t="shared" si="64"/>
        <v>0</v>
      </c>
      <c r="DS487" s="130">
        <f>SI!BY487</f>
        <v>832</v>
      </c>
      <c r="DZ487" s="131">
        <f>SI!BZ487</f>
        <v>0</v>
      </c>
    </row>
    <row r="488" spans="1:130" hidden="1" x14ac:dyDescent="0.25">
      <c r="A488" s="141"/>
      <c r="B488" s="406"/>
      <c r="C488" s="406"/>
      <c r="D488" s="406"/>
      <c r="E488" s="406"/>
      <c r="F488" s="406"/>
      <c r="G488" s="406"/>
      <c r="H488" s="406"/>
      <c r="I488" s="406"/>
      <c r="J488" s="406"/>
      <c r="K488" s="406"/>
      <c r="L488" s="406"/>
      <c r="M488" s="406"/>
      <c r="N488" s="406"/>
      <c r="O488" s="406"/>
      <c r="P488" s="406"/>
      <c r="Q488" s="406"/>
      <c r="R488" s="406"/>
      <c r="S488" s="406"/>
      <c r="T488" s="406"/>
      <c r="U488" s="406"/>
      <c r="V488" s="406"/>
      <c r="W488" s="406"/>
      <c r="X488" s="406"/>
      <c r="Y488" s="406"/>
      <c r="Z488" s="406"/>
      <c r="AA488" s="406"/>
      <c r="AB488" s="406"/>
      <c r="AC488" s="406"/>
      <c r="AD488" s="406"/>
      <c r="AE488" s="406"/>
      <c r="AF488" s="406"/>
      <c r="AG488" s="406"/>
      <c r="AH488" s="406"/>
      <c r="AI488" s="406"/>
      <c r="AJ488" s="406"/>
      <c r="AK488" s="406"/>
      <c r="AL488" s="406"/>
      <c r="AM488" s="406"/>
      <c r="AN488" s="406"/>
      <c r="AO488" s="406"/>
      <c r="AP488" s="406"/>
      <c r="AQ488" s="406"/>
      <c r="AR488" s="406"/>
      <c r="AS488" s="406"/>
      <c r="AT488" s="406"/>
      <c r="AU488" s="406"/>
      <c r="AV488" s="406"/>
      <c r="AW488" s="406"/>
      <c r="AX488" s="406"/>
      <c r="AY488" s="406"/>
      <c r="AZ488" s="406"/>
      <c r="BA488" s="406"/>
      <c r="BB488" s="406"/>
      <c r="BC488" s="406"/>
      <c r="BD488" s="406"/>
      <c r="BE488" s="406"/>
      <c r="BF488" s="406"/>
      <c r="BG488" s="406"/>
      <c r="BH488" s="406"/>
      <c r="BI488" s="406"/>
      <c r="BJ488" s="406"/>
      <c r="BK488" s="406"/>
      <c r="BL488" s="406"/>
      <c r="BM488" s="406"/>
      <c r="BN488" s="406"/>
      <c r="BO488" s="406"/>
      <c r="BP488" s="406"/>
      <c r="BQ488" s="406"/>
      <c r="BR488" s="406"/>
      <c r="BS488" s="406"/>
      <c r="BT488" s="406"/>
      <c r="BU488" s="406"/>
      <c r="BV488" s="406"/>
      <c r="BW488" s="406"/>
      <c r="BX488" s="406"/>
      <c r="BY488" s="406"/>
      <c r="BZ488" s="406"/>
      <c r="CA488" s="281"/>
      <c r="CB488" s="3" t="str">
        <f t="shared" si="65"/>
        <v>Riadok bude skrytý.</v>
      </c>
      <c r="CC488" s="271" t="s">
        <v>832</v>
      </c>
      <c r="CW488" s="30">
        <f t="shared" si="69"/>
        <v>0</v>
      </c>
      <c r="CZ488" s="30">
        <f t="shared" si="68"/>
        <v>1</v>
      </c>
      <c r="DA488" s="30">
        <f t="shared" si="66"/>
        <v>0</v>
      </c>
      <c r="DB488" s="140">
        <f t="shared" si="64"/>
        <v>0</v>
      </c>
      <c r="DS488" s="130">
        <f>SI!BY488</f>
        <v>175</v>
      </c>
      <c r="DZ488" s="131">
        <f>SI!BZ488</f>
        <v>0</v>
      </c>
    </row>
    <row r="489" spans="1:130" hidden="1" x14ac:dyDescent="0.25">
      <c r="A489" s="141"/>
      <c r="B489" s="406"/>
      <c r="C489" s="406"/>
      <c r="D489" s="406"/>
      <c r="E489" s="406"/>
      <c r="F489" s="406"/>
      <c r="G489" s="406"/>
      <c r="H489" s="406"/>
      <c r="I489" s="406"/>
      <c r="J489" s="406"/>
      <c r="K489" s="406"/>
      <c r="L489" s="406"/>
      <c r="M489" s="406"/>
      <c r="N489" s="406"/>
      <c r="O489" s="406"/>
      <c r="P489" s="406"/>
      <c r="Q489" s="406"/>
      <c r="R489" s="406"/>
      <c r="S489" s="406"/>
      <c r="T489" s="406"/>
      <c r="U489" s="406"/>
      <c r="V489" s="406"/>
      <c r="W489" s="406"/>
      <c r="X489" s="406"/>
      <c r="Y489" s="406"/>
      <c r="Z489" s="406"/>
      <c r="AA489" s="406"/>
      <c r="AB489" s="406"/>
      <c r="AC489" s="406"/>
      <c r="AD489" s="406"/>
      <c r="AE489" s="406"/>
      <c r="AF489" s="406"/>
      <c r="AG489" s="406"/>
      <c r="AH489" s="406"/>
      <c r="AI489" s="406"/>
      <c r="AJ489" s="406"/>
      <c r="AK489" s="406"/>
      <c r="AL489" s="406"/>
      <c r="AM489" s="406"/>
      <c r="AN489" s="406"/>
      <c r="AO489" s="406"/>
      <c r="AP489" s="406"/>
      <c r="AQ489" s="406"/>
      <c r="AR489" s="406"/>
      <c r="AS489" s="406"/>
      <c r="AT489" s="406"/>
      <c r="AU489" s="406"/>
      <c r="AV489" s="406"/>
      <c r="AW489" s="406"/>
      <c r="AX489" s="406"/>
      <c r="AY489" s="406"/>
      <c r="AZ489" s="406"/>
      <c r="BA489" s="406"/>
      <c r="BB489" s="406"/>
      <c r="BC489" s="406"/>
      <c r="BD489" s="406"/>
      <c r="BE489" s="406"/>
      <c r="BF489" s="406"/>
      <c r="BG489" s="406"/>
      <c r="BH489" s="406"/>
      <c r="BI489" s="406"/>
      <c r="BJ489" s="406"/>
      <c r="BK489" s="406"/>
      <c r="BL489" s="406"/>
      <c r="BM489" s="406"/>
      <c r="BN489" s="406"/>
      <c r="BO489" s="406"/>
      <c r="BP489" s="406"/>
      <c r="BQ489" s="406"/>
      <c r="BR489" s="406"/>
      <c r="BS489" s="406"/>
      <c r="BT489" s="406"/>
      <c r="BU489" s="406"/>
      <c r="BV489" s="406"/>
      <c r="BW489" s="406"/>
      <c r="BX489" s="406"/>
      <c r="BY489" s="406"/>
      <c r="BZ489" s="406"/>
      <c r="CA489" s="281"/>
      <c r="CB489" s="3" t="str">
        <f t="shared" si="65"/>
        <v>Riadok bude skrytý.</v>
      </c>
      <c r="CC489" s="271" t="s">
        <v>832</v>
      </c>
      <c r="CW489" s="30">
        <f t="shared" si="69"/>
        <v>0</v>
      </c>
      <c r="CZ489" s="30">
        <f t="shared" si="68"/>
        <v>1</v>
      </c>
      <c r="DA489" s="30">
        <f t="shared" si="66"/>
        <v>0</v>
      </c>
      <c r="DB489" s="140">
        <f t="shared" si="64"/>
        <v>0</v>
      </c>
      <c r="DS489" s="130">
        <f>SI!BY489</f>
        <v>397</v>
      </c>
      <c r="DZ489" s="131">
        <f>SI!BZ489</f>
        <v>0</v>
      </c>
    </row>
    <row r="490" spans="1:130" hidden="1" x14ac:dyDescent="0.25">
      <c r="A490" s="141"/>
      <c r="B490" s="406"/>
      <c r="C490" s="406"/>
      <c r="D490" s="406"/>
      <c r="E490" s="406"/>
      <c r="F490" s="406"/>
      <c r="G490" s="406"/>
      <c r="H490" s="406"/>
      <c r="I490" s="406"/>
      <c r="J490" s="406"/>
      <c r="K490" s="406"/>
      <c r="L490" s="406"/>
      <c r="M490" s="406"/>
      <c r="N490" s="406"/>
      <c r="O490" s="406"/>
      <c r="P490" s="406"/>
      <c r="Q490" s="406"/>
      <c r="R490" s="406"/>
      <c r="S490" s="406"/>
      <c r="T490" s="406"/>
      <c r="U490" s="406"/>
      <c r="V490" s="406"/>
      <c r="W490" s="406"/>
      <c r="X490" s="406"/>
      <c r="Y490" s="406"/>
      <c r="Z490" s="406"/>
      <c r="AA490" s="406"/>
      <c r="AB490" s="406"/>
      <c r="AC490" s="406"/>
      <c r="AD490" s="406"/>
      <c r="AE490" s="406"/>
      <c r="AF490" s="406"/>
      <c r="AG490" s="406"/>
      <c r="AH490" s="406"/>
      <c r="AI490" s="406"/>
      <c r="AJ490" s="406"/>
      <c r="AK490" s="406"/>
      <c r="AL490" s="406"/>
      <c r="AM490" s="406"/>
      <c r="AN490" s="406"/>
      <c r="AO490" s="406"/>
      <c r="AP490" s="406"/>
      <c r="AQ490" s="406"/>
      <c r="AR490" s="406"/>
      <c r="AS490" s="406"/>
      <c r="AT490" s="406"/>
      <c r="AU490" s="406"/>
      <c r="AV490" s="406"/>
      <c r="AW490" s="406"/>
      <c r="AX490" s="406"/>
      <c r="AY490" s="406"/>
      <c r="AZ490" s="406"/>
      <c r="BA490" s="406"/>
      <c r="BB490" s="406"/>
      <c r="BC490" s="406"/>
      <c r="BD490" s="406"/>
      <c r="BE490" s="406"/>
      <c r="BF490" s="406"/>
      <c r="BG490" s="406"/>
      <c r="BH490" s="406"/>
      <c r="BI490" s="406"/>
      <c r="BJ490" s="406"/>
      <c r="BK490" s="406"/>
      <c r="BL490" s="406"/>
      <c r="BM490" s="406"/>
      <c r="BN490" s="406"/>
      <c r="BO490" s="406"/>
      <c r="BP490" s="406"/>
      <c r="BQ490" s="406"/>
      <c r="BR490" s="406"/>
      <c r="BS490" s="406"/>
      <c r="BT490" s="406"/>
      <c r="BU490" s="406"/>
      <c r="BV490" s="406"/>
      <c r="BW490" s="406"/>
      <c r="BX490" s="406"/>
      <c r="BY490" s="406"/>
      <c r="BZ490" s="406"/>
      <c r="CA490" s="281"/>
      <c r="CB490" s="3" t="str">
        <f t="shared" si="65"/>
        <v>Riadok bude skrytý.</v>
      </c>
      <c r="CC490" s="271" t="s">
        <v>832</v>
      </c>
      <c r="CW490" s="30">
        <f t="shared" si="69"/>
        <v>0</v>
      </c>
      <c r="CZ490" s="30">
        <f t="shared" si="68"/>
        <v>1</v>
      </c>
      <c r="DA490" s="30">
        <f t="shared" si="66"/>
        <v>0</v>
      </c>
      <c r="DB490" s="140">
        <f t="shared" si="64"/>
        <v>0</v>
      </c>
      <c r="DS490" s="130">
        <f>SI!BY490</f>
        <v>113</v>
      </c>
      <c r="DZ490" s="131">
        <f>SI!BZ490</f>
        <v>0</v>
      </c>
    </row>
    <row r="491" spans="1:130" hidden="1" x14ac:dyDescent="0.25">
      <c r="A491" s="141"/>
      <c r="B491" s="406"/>
      <c r="C491" s="406"/>
      <c r="D491" s="406"/>
      <c r="E491" s="406"/>
      <c r="F491" s="406"/>
      <c r="G491" s="406"/>
      <c r="H491" s="406"/>
      <c r="I491" s="406"/>
      <c r="J491" s="406"/>
      <c r="K491" s="406"/>
      <c r="L491" s="406"/>
      <c r="M491" s="406"/>
      <c r="N491" s="406"/>
      <c r="O491" s="406"/>
      <c r="P491" s="406"/>
      <c r="Q491" s="406"/>
      <c r="R491" s="406"/>
      <c r="S491" s="406"/>
      <c r="T491" s="406"/>
      <c r="U491" s="406"/>
      <c r="V491" s="406"/>
      <c r="W491" s="406"/>
      <c r="X491" s="406"/>
      <c r="Y491" s="406"/>
      <c r="Z491" s="406"/>
      <c r="AA491" s="406"/>
      <c r="AB491" s="406"/>
      <c r="AC491" s="406"/>
      <c r="AD491" s="406"/>
      <c r="AE491" s="406"/>
      <c r="AF491" s="406"/>
      <c r="AG491" s="406"/>
      <c r="AH491" s="406"/>
      <c r="AI491" s="406"/>
      <c r="AJ491" s="406"/>
      <c r="AK491" s="406"/>
      <c r="AL491" s="406"/>
      <c r="AM491" s="406"/>
      <c r="AN491" s="406"/>
      <c r="AO491" s="406"/>
      <c r="AP491" s="406"/>
      <c r="AQ491" s="406"/>
      <c r="AR491" s="406"/>
      <c r="AS491" s="406"/>
      <c r="AT491" s="406"/>
      <c r="AU491" s="406"/>
      <c r="AV491" s="406"/>
      <c r="AW491" s="406"/>
      <c r="AX491" s="406"/>
      <c r="AY491" s="406"/>
      <c r="AZ491" s="406"/>
      <c r="BA491" s="406"/>
      <c r="BB491" s="406"/>
      <c r="BC491" s="406"/>
      <c r="BD491" s="406"/>
      <c r="BE491" s="406"/>
      <c r="BF491" s="406"/>
      <c r="BG491" s="406"/>
      <c r="BH491" s="406"/>
      <c r="BI491" s="406"/>
      <c r="BJ491" s="406"/>
      <c r="BK491" s="406"/>
      <c r="BL491" s="406"/>
      <c r="BM491" s="406"/>
      <c r="BN491" s="406"/>
      <c r="BO491" s="406"/>
      <c r="BP491" s="406"/>
      <c r="BQ491" s="406"/>
      <c r="BR491" s="406"/>
      <c r="BS491" s="406"/>
      <c r="BT491" s="406"/>
      <c r="BU491" s="406"/>
      <c r="BV491" s="406"/>
      <c r="BW491" s="406"/>
      <c r="BX491" s="406"/>
      <c r="BY491" s="406"/>
      <c r="BZ491" s="406"/>
      <c r="CA491" s="281"/>
      <c r="CB491" s="3" t="str">
        <f t="shared" si="65"/>
        <v>Riadok bude skrytý.</v>
      </c>
      <c r="CC491" s="271" t="s">
        <v>832</v>
      </c>
      <c r="CW491" s="30">
        <f t="shared" si="69"/>
        <v>0</v>
      </c>
      <c r="CZ491" s="30">
        <f t="shared" si="68"/>
        <v>1</v>
      </c>
      <c r="DA491" s="30">
        <f t="shared" si="66"/>
        <v>0</v>
      </c>
      <c r="DB491" s="140">
        <f t="shared" si="64"/>
        <v>0</v>
      </c>
      <c r="DS491" s="130">
        <f>SI!BY491</f>
        <v>293</v>
      </c>
      <c r="DZ491" s="131">
        <f>SI!BZ491</f>
        <v>0</v>
      </c>
    </row>
    <row r="492" spans="1:130" hidden="1" x14ac:dyDescent="0.25">
      <c r="A492" s="141"/>
      <c r="B492" s="406"/>
      <c r="C492" s="406"/>
      <c r="D492" s="406"/>
      <c r="E492" s="406"/>
      <c r="F492" s="406"/>
      <c r="G492" s="406"/>
      <c r="H492" s="406"/>
      <c r="I492" s="406"/>
      <c r="J492" s="406"/>
      <c r="K492" s="406"/>
      <c r="L492" s="406"/>
      <c r="M492" s="406"/>
      <c r="N492" s="406"/>
      <c r="O492" s="406"/>
      <c r="P492" s="406"/>
      <c r="Q492" s="406"/>
      <c r="R492" s="406"/>
      <c r="S492" s="406"/>
      <c r="T492" s="406"/>
      <c r="U492" s="406"/>
      <c r="V492" s="406"/>
      <c r="W492" s="406"/>
      <c r="X492" s="406"/>
      <c r="Y492" s="406"/>
      <c r="Z492" s="406"/>
      <c r="AA492" s="406"/>
      <c r="AB492" s="406"/>
      <c r="AC492" s="406"/>
      <c r="AD492" s="406"/>
      <c r="AE492" s="406"/>
      <c r="AF492" s="406"/>
      <c r="AG492" s="406"/>
      <c r="AH492" s="406"/>
      <c r="AI492" s="406"/>
      <c r="AJ492" s="406"/>
      <c r="AK492" s="406"/>
      <c r="AL492" s="406"/>
      <c r="AM492" s="406"/>
      <c r="AN492" s="406"/>
      <c r="AO492" s="406"/>
      <c r="AP492" s="406"/>
      <c r="AQ492" s="406"/>
      <c r="AR492" s="406"/>
      <c r="AS492" s="406"/>
      <c r="AT492" s="406"/>
      <c r="AU492" s="406"/>
      <c r="AV492" s="406"/>
      <c r="AW492" s="406"/>
      <c r="AX492" s="406"/>
      <c r="AY492" s="406"/>
      <c r="AZ492" s="406"/>
      <c r="BA492" s="406"/>
      <c r="BB492" s="406"/>
      <c r="BC492" s="406"/>
      <c r="BD492" s="406"/>
      <c r="BE492" s="406"/>
      <c r="BF492" s="406"/>
      <c r="BG492" s="406"/>
      <c r="BH492" s="406"/>
      <c r="BI492" s="406"/>
      <c r="BJ492" s="406"/>
      <c r="BK492" s="406"/>
      <c r="BL492" s="406"/>
      <c r="BM492" s="406"/>
      <c r="BN492" s="406"/>
      <c r="BO492" s="406"/>
      <c r="BP492" s="406"/>
      <c r="BQ492" s="406"/>
      <c r="BR492" s="406"/>
      <c r="BS492" s="406"/>
      <c r="BT492" s="406"/>
      <c r="BU492" s="406"/>
      <c r="BV492" s="406"/>
      <c r="BW492" s="406"/>
      <c r="BX492" s="406"/>
      <c r="BY492" s="406"/>
      <c r="BZ492" s="406"/>
      <c r="CA492" s="281"/>
      <c r="CB492" s="3" t="str">
        <f t="shared" si="65"/>
        <v>Riadok bude skrytý.</v>
      </c>
      <c r="CC492" s="271" t="s">
        <v>832</v>
      </c>
      <c r="CW492" s="30">
        <f t="shared" si="69"/>
        <v>0</v>
      </c>
      <c r="CZ492" s="30">
        <f t="shared" si="68"/>
        <v>1</v>
      </c>
      <c r="DA492" s="30">
        <f t="shared" si="66"/>
        <v>0</v>
      </c>
      <c r="DB492" s="140">
        <f t="shared" si="64"/>
        <v>0</v>
      </c>
      <c r="DS492" s="130">
        <f>SI!BY492</f>
        <v>120</v>
      </c>
      <c r="DZ492" s="131">
        <f>SI!BZ492</f>
        <v>0</v>
      </c>
    </row>
    <row r="493" spans="1:130" hidden="1" x14ac:dyDescent="0.25">
      <c r="A493" s="141"/>
      <c r="B493" s="406"/>
      <c r="C493" s="406"/>
      <c r="D493" s="406"/>
      <c r="E493" s="406"/>
      <c r="F493" s="406"/>
      <c r="G493" s="406"/>
      <c r="H493" s="406"/>
      <c r="I493" s="406"/>
      <c r="J493" s="406"/>
      <c r="K493" s="406"/>
      <c r="L493" s="406"/>
      <c r="M493" s="406"/>
      <c r="N493" s="406"/>
      <c r="O493" s="406"/>
      <c r="P493" s="406"/>
      <c r="Q493" s="406"/>
      <c r="R493" s="406"/>
      <c r="S493" s="406"/>
      <c r="T493" s="406"/>
      <c r="U493" s="406"/>
      <c r="V493" s="406"/>
      <c r="W493" s="406"/>
      <c r="X493" s="406"/>
      <c r="Y493" s="406"/>
      <c r="Z493" s="406"/>
      <c r="AA493" s="406"/>
      <c r="AB493" s="406"/>
      <c r="AC493" s="406"/>
      <c r="AD493" s="406"/>
      <c r="AE493" s="406"/>
      <c r="AF493" s="406"/>
      <c r="AG493" s="406"/>
      <c r="AH493" s="406"/>
      <c r="AI493" s="406"/>
      <c r="AJ493" s="406"/>
      <c r="AK493" s="406"/>
      <c r="AL493" s="406"/>
      <c r="AM493" s="406"/>
      <c r="AN493" s="406"/>
      <c r="AO493" s="406"/>
      <c r="AP493" s="406"/>
      <c r="AQ493" s="406"/>
      <c r="AR493" s="406"/>
      <c r="AS493" s="406"/>
      <c r="AT493" s="406"/>
      <c r="AU493" s="406"/>
      <c r="AV493" s="406"/>
      <c r="AW493" s="406"/>
      <c r="AX493" s="406"/>
      <c r="AY493" s="406"/>
      <c r="AZ493" s="406"/>
      <c r="BA493" s="406"/>
      <c r="BB493" s="406"/>
      <c r="BC493" s="406"/>
      <c r="BD493" s="406"/>
      <c r="BE493" s="406"/>
      <c r="BF493" s="406"/>
      <c r="BG493" s="406"/>
      <c r="BH493" s="406"/>
      <c r="BI493" s="406"/>
      <c r="BJ493" s="406"/>
      <c r="BK493" s="406"/>
      <c r="BL493" s="406"/>
      <c r="BM493" s="406"/>
      <c r="BN493" s="406"/>
      <c r="BO493" s="406"/>
      <c r="BP493" s="406"/>
      <c r="BQ493" s="406"/>
      <c r="BR493" s="406"/>
      <c r="BS493" s="406"/>
      <c r="BT493" s="406"/>
      <c r="BU493" s="406"/>
      <c r="BV493" s="406"/>
      <c r="BW493" s="406"/>
      <c r="BX493" s="406"/>
      <c r="BY493" s="406"/>
      <c r="BZ493" s="406"/>
      <c r="CA493" s="281"/>
      <c r="CB493" s="3" t="str">
        <f t="shared" si="65"/>
        <v>Riadok bude skrytý.</v>
      </c>
      <c r="CC493" s="271" t="s">
        <v>832</v>
      </c>
      <c r="CW493" s="30">
        <f t="shared" si="69"/>
        <v>0</v>
      </c>
      <c r="CZ493" s="30">
        <f t="shared" si="68"/>
        <v>1</v>
      </c>
      <c r="DA493" s="30">
        <f t="shared" si="66"/>
        <v>0</v>
      </c>
      <c r="DB493" s="140">
        <f t="shared" si="64"/>
        <v>0</v>
      </c>
      <c r="DS493" s="130">
        <f>SI!BY493</f>
        <v>182</v>
      </c>
      <c r="DZ493" s="131">
        <f>SI!BZ493</f>
        <v>0</v>
      </c>
    </row>
    <row r="494" spans="1:130" hidden="1" x14ac:dyDescent="0.25">
      <c r="A494" s="141"/>
      <c r="B494" s="406"/>
      <c r="C494" s="406"/>
      <c r="D494" s="406"/>
      <c r="E494" s="406"/>
      <c r="F494" s="406"/>
      <c r="G494" s="406"/>
      <c r="H494" s="406"/>
      <c r="I494" s="406"/>
      <c r="J494" s="406"/>
      <c r="K494" s="406"/>
      <c r="L494" s="406"/>
      <c r="M494" s="406"/>
      <c r="N494" s="406"/>
      <c r="O494" s="406"/>
      <c r="P494" s="406"/>
      <c r="Q494" s="406"/>
      <c r="R494" s="406"/>
      <c r="S494" s="406"/>
      <c r="T494" s="406"/>
      <c r="U494" s="406"/>
      <c r="V494" s="406"/>
      <c r="W494" s="406"/>
      <c r="X494" s="406"/>
      <c r="Y494" s="406"/>
      <c r="Z494" s="406"/>
      <c r="AA494" s="406"/>
      <c r="AB494" s="406"/>
      <c r="AC494" s="406"/>
      <c r="AD494" s="406"/>
      <c r="AE494" s="406"/>
      <c r="AF494" s="406"/>
      <c r="AG494" s="406"/>
      <c r="AH494" s="406"/>
      <c r="AI494" s="406"/>
      <c r="AJ494" s="406"/>
      <c r="AK494" s="406"/>
      <c r="AL494" s="406"/>
      <c r="AM494" s="406"/>
      <c r="AN494" s="406"/>
      <c r="AO494" s="406"/>
      <c r="AP494" s="406"/>
      <c r="AQ494" s="406"/>
      <c r="AR494" s="406"/>
      <c r="AS494" s="406"/>
      <c r="AT494" s="406"/>
      <c r="AU494" s="406"/>
      <c r="AV494" s="406"/>
      <c r="AW494" s="406"/>
      <c r="AX494" s="406"/>
      <c r="AY494" s="406"/>
      <c r="AZ494" s="406"/>
      <c r="BA494" s="406"/>
      <c r="BB494" s="406"/>
      <c r="BC494" s="406"/>
      <c r="BD494" s="406"/>
      <c r="BE494" s="406"/>
      <c r="BF494" s="406"/>
      <c r="BG494" s="406"/>
      <c r="BH494" s="406"/>
      <c r="BI494" s="406"/>
      <c r="BJ494" s="406"/>
      <c r="BK494" s="406"/>
      <c r="BL494" s="406"/>
      <c r="BM494" s="406"/>
      <c r="BN494" s="406"/>
      <c r="BO494" s="406"/>
      <c r="BP494" s="406"/>
      <c r="BQ494" s="406"/>
      <c r="BR494" s="406"/>
      <c r="BS494" s="406"/>
      <c r="BT494" s="406"/>
      <c r="BU494" s="406"/>
      <c r="BV494" s="406"/>
      <c r="BW494" s="406"/>
      <c r="BX494" s="406"/>
      <c r="BY494" s="406"/>
      <c r="BZ494" s="406"/>
      <c r="CA494" s="281"/>
      <c r="CB494" s="3" t="str">
        <f t="shared" si="65"/>
        <v>Riadok bude skrytý.</v>
      </c>
      <c r="CC494" s="271" t="s">
        <v>832</v>
      </c>
      <c r="CW494" s="30">
        <f t="shared" si="69"/>
        <v>0</v>
      </c>
      <c r="CZ494" s="30">
        <f t="shared" si="68"/>
        <v>1</v>
      </c>
      <c r="DA494" s="30">
        <f t="shared" si="66"/>
        <v>0</v>
      </c>
      <c r="DB494" s="140">
        <f t="shared" si="64"/>
        <v>0</v>
      </c>
      <c r="DS494" s="130">
        <f>SI!BY494</f>
        <v>153</v>
      </c>
      <c r="DZ494" s="131">
        <f>SI!BZ494</f>
        <v>0</v>
      </c>
    </row>
    <row r="495" spans="1:130" x14ac:dyDescent="0.25">
      <c r="A495" s="141"/>
      <c r="CA495" s="270"/>
      <c r="CB495" s="3" t="str">
        <f t="shared" si="65"/>
        <v>Riadok bude vidieť.</v>
      </c>
      <c r="CC495" s="271" t="s">
        <v>832</v>
      </c>
      <c r="CW495" s="32">
        <f>+IF(SUM(CW497:CW516)=0,0,1)</f>
        <v>1</v>
      </c>
      <c r="CZ495" s="30">
        <f t="shared" si="68"/>
        <v>1</v>
      </c>
      <c r="DA495" s="30">
        <f t="shared" si="66"/>
        <v>1</v>
      </c>
      <c r="DB495" s="140">
        <f t="shared" si="64"/>
        <v>1</v>
      </c>
      <c r="DS495" s="130">
        <f>SI!BY495</f>
        <v>1098</v>
      </c>
      <c r="DZ495" s="131">
        <f>SI!BZ495</f>
        <v>0</v>
      </c>
    </row>
    <row r="496" spans="1:130" x14ac:dyDescent="0.25">
      <c r="A496" s="141"/>
      <c r="B496" s="279" t="s">
        <v>859</v>
      </c>
      <c r="C496" s="7" t="str">
        <f>+IF($E$52&lt;&gt;"",IF(ROUNDDOWN(CODE(MID($E$52,1,1))/10,0)*(IF(SI!EE496="",1,SI!EE496))+(LEN(SI!J2)+2)=DS496,"Ocenenie pohľadávok","NEPOVOLENÉ POUŽITIE!"),"NEPOVOLENÉ POUŽITIE!")</f>
        <v>Ocenenie pohľadávok</v>
      </c>
      <c r="D496" s="7"/>
      <c r="E496" s="7"/>
      <c r="F496" s="7"/>
      <c r="CA496" s="265" t="s">
        <v>773</v>
      </c>
      <c r="CB496" s="3" t="str">
        <f t="shared" si="65"/>
        <v>Riadok bude vidieť.</v>
      </c>
      <c r="CC496" s="271" t="s">
        <v>832</v>
      </c>
      <c r="CW496" s="134">
        <f>+IF(SUM(CW497:CW516)=0,0,1)</f>
        <v>1</v>
      </c>
      <c r="CZ496" s="30">
        <f t="shared" si="68"/>
        <v>1</v>
      </c>
      <c r="DA496" s="30">
        <f t="shared" si="66"/>
        <v>1</v>
      </c>
      <c r="DB496" s="140">
        <f t="shared" ref="DB496:DB559" si="70">+DA496</f>
        <v>1</v>
      </c>
      <c r="DS496" s="130">
        <f>SI!BY496</f>
        <v>15</v>
      </c>
      <c r="DZ496" s="131">
        <f>SI!BZ496</f>
        <v>0</v>
      </c>
    </row>
    <row r="497" spans="1:130" x14ac:dyDescent="0.25">
      <c r="A497" s="141"/>
      <c r="B497" s="406" t="s">
        <v>67</v>
      </c>
      <c r="C497" s="406"/>
      <c r="D497" s="406"/>
      <c r="E497" s="406"/>
      <c r="F497" s="406"/>
      <c r="G497" s="406"/>
      <c r="H497" s="406"/>
      <c r="I497" s="406"/>
      <c r="J497" s="406"/>
      <c r="K497" s="406"/>
      <c r="L497" s="406"/>
      <c r="M497" s="406"/>
      <c r="N497" s="406"/>
      <c r="O497" s="406"/>
      <c r="P497" s="406"/>
      <c r="Q497" s="406"/>
      <c r="R497" s="406"/>
      <c r="S497" s="406"/>
      <c r="T497" s="406"/>
      <c r="U497" s="406"/>
      <c r="V497" s="406"/>
      <c r="W497" s="406"/>
      <c r="X497" s="406"/>
      <c r="Y497" s="406"/>
      <c r="Z497" s="406"/>
      <c r="AA497" s="406"/>
      <c r="AB497" s="406"/>
      <c r="AC497" s="406"/>
      <c r="AD497" s="406"/>
      <c r="AE497" s="406"/>
      <c r="AF497" s="406"/>
      <c r="AG497" s="406"/>
      <c r="AH497" s="406"/>
      <c r="AI497" s="406"/>
      <c r="AJ497" s="406"/>
      <c r="AK497" s="406"/>
      <c r="AL497" s="406"/>
      <c r="AM497" s="406"/>
      <c r="AN497" s="406"/>
      <c r="AO497" s="406"/>
      <c r="AP497" s="406"/>
      <c r="AQ497" s="406"/>
      <c r="AR497" s="406"/>
      <c r="AS497" s="406"/>
      <c r="AT497" s="406"/>
      <c r="AU497" s="406"/>
      <c r="AV497" s="406"/>
      <c r="AW497" s="406"/>
      <c r="AX497" s="406"/>
      <c r="AY497" s="406"/>
      <c r="AZ497" s="406"/>
      <c r="BA497" s="406"/>
      <c r="BB497" s="406"/>
      <c r="BC497" s="406"/>
      <c r="BD497" s="406"/>
      <c r="BE497" s="406"/>
      <c r="BF497" s="406"/>
      <c r="BG497" s="406"/>
      <c r="BH497" s="406"/>
      <c r="BI497" s="406"/>
      <c r="BJ497" s="406"/>
      <c r="BK497" s="406"/>
      <c r="BL497" s="406"/>
      <c r="BM497" s="406"/>
      <c r="BN497" s="406"/>
      <c r="BO497" s="406"/>
      <c r="BP497" s="406"/>
      <c r="BQ497" s="406"/>
      <c r="BR497" s="406"/>
      <c r="BS497" s="406"/>
      <c r="BT497" s="406"/>
      <c r="BU497" s="406"/>
      <c r="BV497" s="406"/>
      <c r="BW497" s="406"/>
      <c r="BX497" s="406"/>
      <c r="BY497" s="406"/>
      <c r="BZ497" s="406"/>
      <c r="CA497" s="281"/>
      <c r="CB497" s="3" t="str">
        <f t="shared" si="65"/>
        <v>Riadok bude vidieť.</v>
      </c>
      <c r="CC497" s="271" t="s">
        <v>832</v>
      </c>
      <c r="CW497" s="30">
        <f t="shared" ref="CW497:CW516" si="71">+IF(B497="",0,1)</f>
        <v>1</v>
      </c>
      <c r="CZ497" s="30">
        <f t="shared" si="68"/>
        <v>1</v>
      </c>
      <c r="DA497" s="30">
        <f t="shared" si="66"/>
        <v>1</v>
      </c>
      <c r="DB497" s="140">
        <f t="shared" si="70"/>
        <v>1</v>
      </c>
      <c r="DS497" s="130">
        <f>SI!BY497</f>
        <v>227</v>
      </c>
      <c r="DZ497" s="131">
        <f>SI!BZ497</f>
        <v>0</v>
      </c>
    </row>
    <row r="498" spans="1:130" x14ac:dyDescent="0.25">
      <c r="A498" s="141"/>
      <c r="B498" s="406" t="s">
        <v>68</v>
      </c>
      <c r="C498" s="406"/>
      <c r="D498" s="406"/>
      <c r="E498" s="406"/>
      <c r="F498" s="406"/>
      <c r="G498" s="406"/>
      <c r="H498" s="406"/>
      <c r="I498" s="406"/>
      <c r="J498" s="406"/>
      <c r="K498" s="406"/>
      <c r="L498" s="406"/>
      <c r="M498" s="406"/>
      <c r="N498" s="406"/>
      <c r="O498" s="406"/>
      <c r="P498" s="406"/>
      <c r="Q498" s="406"/>
      <c r="R498" s="406"/>
      <c r="S498" s="406"/>
      <c r="T498" s="406"/>
      <c r="U498" s="406"/>
      <c r="V498" s="406"/>
      <c r="W498" s="406"/>
      <c r="X498" s="406"/>
      <c r="Y498" s="406"/>
      <c r="Z498" s="406"/>
      <c r="AA498" s="406"/>
      <c r="AB498" s="406"/>
      <c r="AC498" s="406"/>
      <c r="AD498" s="406"/>
      <c r="AE498" s="406"/>
      <c r="AF498" s="406"/>
      <c r="AG498" s="406"/>
      <c r="AH498" s="406"/>
      <c r="AI498" s="406"/>
      <c r="AJ498" s="406"/>
      <c r="AK498" s="406"/>
      <c r="AL498" s="406"/>
      <c r="AM498" s="406"/>
      <c r="AN498" s="406"/>
      <c r="AO498" s="406"/>
      <c r="AP498" s="406"/>
      <c r="AQ498" s="406"/>
      <c r="AR498" s="406"/>
      <c r="AS498" s="406"/>
      <c r="AT498" s="406"/>
      <c r="AU498" s="406"/>
      <c r="AV498" s="406"/>
      <c r="AW498" s="406"/>
      <c r="AX498" s="406"/>
      <c r="AY498" s="406"/>
      <c r="AZ498" s="406"/>
      <c r="BA498" s="406"/>
      <c r="BB498" s="406"/>
      <c r="BC498" s="406"/>
      <c r="BD498" s="406"/>
      <c r="BE498" s="406"/>
      <c r="BF498" s="406"/>
      <c r="BG498" s="406"/>
      <c r="BH498" s="406"/>
      <c r="BI498" s="406"/>
      <c r="BJ498" s="406"/>
      <c r="BK498" s="406"/>
      <c r="BL498" s="406"/>
      <c r="BM498" s="406"/>
      <c r="BN498" s="406"/>
      <c r="BO498" s="406"/>
      <c r="BP498" s="406"/>
      <c r="BQ498" s="406"/>
      <c r="BR498" s="406"/>
      <c r="BS498" s="406"/>
      <c r="BT498" s="406"/>
      <c r="BU498" s="406"/>
      <c r="BV498" s="406"/>
      <c r="BW498" s="406"/>
      <c r="BX498" s="406"/>
      <c r="BY498" s="406"/>
      <c r="BZ498" s="406"/>
      <c r="CA498" s="281"/>
      <c r="CB498" s="3" t="str">
        <f t="shared" si="65"/>
        <v>Riadok bude vidieť.</v>
      </c>
      <c r="CC498" s="271" t="s">
        <v>832</v>
      </c>
      <c r="CW498" s="30">
        <f t="shared" si="71"/>
        <v>1</v>
      </c>
      <c r="CZ498" s="30">
        <f t="shared" si="68"/>
        <v>1</v>
      </c>
      <c r="DA498" s="30">
        <f t="shared" si="66"/>
        <v>1</v>
      </c>
      <c r="DB498" s="140">
        <f t="shared" si="70"/>
        <v>1</v>
      </c>
      <c r="DS498" s="130">
        <f>SI!BY498</f>
        <v>1067</v>
      </c>
      <c r="DZ498" s="131">
        <f>SI!BZ498</f>
        <v>0</v>
      </c>
    </row>
    <row r="499" spans="1:130" x14ac:dyDescent="0.25">
      <c r="A499" s="141"/>
      <c r="B499" s="406" t="s">
        <v>69</v>
      </c>
      <c r="C499" s="406"/>
      <c r="D499" s="406"/>
      <c r="E499" s="406"/>
      <c r="F499" s="406"/>
      <c r="G499" s="406"/>
      <c r="H499" s="406"/>
      <c r="I499" s="406"/>
      <c r="J499" s="406"/>
      <c r="K499" s="406"/>
      <c r="L499" s="406"/>
      <c r="M499" s="406"/>
      <c r="N499" s="406"/>
      <c r="O499" s="406"/>
      <c r="P499" s="406"/>
      <c r="Q499" s="406"/>
      <c r="R499" s="406"/>
      <c r="S499" s="406"/>
      <c r="T499" s="406"/>
      <c r="U499" s="406"/>
      <c r="V499" s="406"/>
      <c r="W499" s="406"/>
      <c r="X499" s="406"/>
      <c r="Y499" s="406"/>
      <c r="Z499" s="406"/>
      <c r="AA499" s="406"/>
      <c r="AB499" s="406"/>
      <c r="AC499" s="406"/>
      <c r="AD499" s="406"/>
      <c r="AE499" s="406"/>
      <c r="AF499" s="406"/>
      <c r="AG499" s="406"/>
      <c r="AH499" s="406"/>
      <c r="AI499" s="406"/>
      <c r="AJ499" s="406"/>
      <c r="AK499" s="406"/>
      <c r="AL499" s="406"/>
      <c r="AM499" s="406"/>
      <c r="AN499" s="406"/>
      <c r="AO499" s="406"/>
      <c r="AP499" s="406"/>
      <c r="AQ499" s="406"/>
      <c r="AR499" s="406"/>
      <c r="AS499" s="406"/>
      <c r="AT499" s="406"/>
      <c r="AU499" s="406"/>
      <c r="AV499" s="406"/>
      <c r="AW499" s="406"/>
      <c r="AX499" s="406"/>
      <c r="AY499" s="406"/>
      <c r="AZ499" s="406"/>
      <c r="BA499" s="406"/>
      <c r="BB499" s="406"/>
      <c r="BC499" s="406"/>
      <c r="BD499" s="406"/>
      <c r="BE499" s="406"/>
      <c r="BF499" s="406"/>
      <c r="BG499" s="406"/>
      <c r="BH499" s="406"/>
      <c r="BI499" s="406"/>
      <c r="BJ499" s="406"/>
      <c r="BK499" s="406"/>
      <c r="BL499" s="406"/>
      <c r="BM499" s="406"/>
      <c r="BN499" s="406"/>
      <c r="BO499" s="406"/>
      <c r="BP499" s="406"/>
      <c r="BQ499" s="406"/>
      <c r="BR499" s="406"/>
      <c r="BS499" s="406"/>
      <c r="BT499" s="406"/>
      <c r="BU499" s="406"/>
      <c r="BV499" s="406"/>
      <c r="BW499" s="406"/>
      <c r="BX499" s="406"/>
      <c r="BY499" s="406"/>
      <c r="BZ499" s="406"/>
      <c r="CA499" s="281"/>
      <c r="CB499" s="3" t="str">
        <f t="shared" ref="CB499:CB562" si="72">+IF(DB499=0,"Riadok bude skrytý.","Riadok bude vidieť.")</f>
        <v>Riadok bude vidieť.</v>
      </c>
      <c r="CC499" s="271" t="s">
        <v>832</v>
      </c>
      <c r="CW499" s="30">
        <f t="shared" si="71"/>
        <v>1</v>
      </c>
      <c r="CZ499" s="30">
        <f t="shared" si="68"/>
        <v>1</v>
      </c>
      <c r="DA499" s="30">
        <f t="shared" si="66"/>
        <v>1</v>
      </c>
      <c r="DB499" s="140">
        <f t="shared" si="70"/>
        <v>1</v>
      </c>
      <c r="DS499" s="130">
        <f>SI!BY499</f>
        <v>174</v>
      </c>
      <c r="DZ499" s="131">
        <f>SI!BZ499</f>
        <v>0</v>
      </c>
    </row>
    <row r="500" spans="1:130" hidden="1" x14ac:dyDescent="0.25">
      <c r="A500" s="141"/>
      <c r="B500" s="406"/>
      <c r="C500" s="406"/>
      <c r="D500" s="406"/>
      <c r="E500" s="406"/>
      <c r="F500" s="406"/>
      <c r="G500" s="406"/>
      <c r="H500" s="406"/>
      <c r="I500" s="406"/>
      <c r="J500" s="406"/>
      <c r="K500" s="406"/>
      <c r="L500" s="406"/>
      <c r="M500" s="406"/>
      <c r="N500" s="406"/>
      <c r="O500" s="406"/>
      <c r="P500" s="406"/>
      <c r="Q500" s="406"/>
      <c r="R500" s="406"/>
      <c r="S500" s="406"/>
      <c r="T500" s="406"/>
      <c r="U500" s="406"/>
      <c r="V500" s="406"/>
      <c r="W500" s="406"/>
      <c r="X500" s="406"/>
      <c r="Y500" s="406"/>
      <c r="Z500" s="406"/>
      <c r="AA500" s="406"/>
      <c r="AB500" s="406"/>
      <c r="AC500" s="406"/>
      <c r="AD500" s="406"/>
      <c r="AE500" s="406"/>
      <c r="AF500" s="406"/>
      <c r="AG500" s="406"/>
      <c r="AH500" s="406"/>
      <c r="AI500" s="406"/>
      <c r="AJ500" s="406"/>
      <c r="AK500" s="406"/>
      <c r="AL500" s="406"/>
      <c r="AM500" s="406"/>
      <c r="AN500" s="406"/>
      <c r="AO500" s="406"/>
      <c r="AP500" s="406"/>
      <c r="AQ500" s="406"/>
      <c r="AR500" s="406"/>
      <c r="AS500" s="406"/>
      <c r="AT500" s="406"/>
      <c r="AU500" s="406"/>
      <c r="AV500" s="406"/>
      <c r="AW500" s="406"/>
      <c r="AX500" s="406"/>
      <c r="AY500" s="406"/>
      <c r="AZ500" s="406"/>
      <c r="BA500" s="406"/>
      <c r="BB500" s="406"/>
      <c r="BC500" s="406"/>
      <c r="BD500" s="406"/>
      <c r="BE500" s="406"/>
      <c r="BF500" s="406"/>
      <c r="BG500" s="406"/>
      <c r="BH500" s="406"/>
      <c r="BI500" s="406"/>
      <c r="BJ500" s="406"/>
      <c r="BK500" s="406"/>
      <c r="BL500" s="406"/>
      <c r="BM500" s="406"/>
      <c r="BN500" s="406"/>
      <c r="BO500" s="406"/>
      <c r="BP500" s="406"/>
      <c r="BQ500" s="406"/>
      <c r="BR500" s="406"/>
      <c r="BS500" s="406"/>
      <c r="BT500" s="406"/>
      <c r="BU500" s="406"/>
      <c r="BV500" s="406"/>
      <c r="BW500" s="406"/>
      <c r="BX500" s="406"/>
      <c r="BY500" s="406"/>
      <c r="BZ500" s="406"/>
      <c r="CA500" s="281"/>
      <c r="CB500" s="3" t="str">
        <f t="shared" si="72"/>
        <v>Riadok bude skrytý.</v>
      </c>
      <c r="CC500" s="271" t="s">
        <v>832</v>
      </c>
      <c r="CW500" s="30">
        <f t="shared" si="71"/>
        <v>0</v>
      </c>
      <c r="CZ500" s="30">
        <f t="shared" si="68"/>
        <v>1</v>
      </c>
      <c r="DA500" s="30">
        <f t="shared" si="66"/>
        <v>0</v>
      </c>
      <c r="DB500" s="140">
        <f t="shared" si="70"/>
        <v>0</v>
      </c>
      <c r="DS500" s="130">
        <f>SI!BY500</f>
        <v>144</v>
      </c>
      <c r="DZ500" s="131">
        <f>SI!BZ500</f>
        <v>0</v>
      </c>
    </row>
    <row r="501" spans="1:130" hidden="1" x14ac:dyDescent="0.25">
      <c r="A501" s="141"/>
      <c r="B501" s="406"/>
      <c r="C501" s="406"/>
      <c r="D501" s="406"/>
      <c r="E501" s="406"/>
      <c r="F501" s="406"/>
      <c r="G501" s="406"/>
      <c r="H501" s="406"/>
      <c r="I501" s="406"/>
      <c r="J501" s="406"/>
      <c r="K501" s="406"/>
      <c r="L501" s="406"/>
      <c r="M501" s="406"/>
      <c r="N501" s="406"/>
      <c r="O501" s="406"/>
      <c r="P501" s="406"/>
      <c r="Q501" s="406"/>
      <c r="R501" s="406"/>
      <c r="S501" s="406"/>
      <c r="T501" s="406"/>
      <c r="U501" s="406"/>
      <c r="V501" s="406"/>
      <c r="W501" s="406"/>
      <c r="X501" s="406"/>
      <c r="Y501" s="406"/>
      <c r="Z501" s="406"/>
      <c r="AA501" s="406"/>
      <c r="AB501" s="406"/>
      <c r="AC501" s="406"/>
      <c r="AD501" s="406"/>
      <c r="AE501" s="406"/>
      <c r="AF501" s="406"/>
      <c r="AG501" s="406"/>
      <c r="AH501" s="406"/>
      <c r="AI501" s="406"/>
      <c r="AJ501" s="406"/>
      <c r="AK501" s="406"/>
      <c r="AL501" s="406"/>
      <c r="AM501" s="406"/>
      <c r="AN501" s="406"/>
      <c r="AO501" s="406"/>
      <c r="AP501" s="406"/>
      <c r="AQ501" s="406"/>
      <c r="AR501" s="406"/>
      <c r="AS501" s="406"/>
      <c r="AT501" s="406"/>
      <c r="AU501" s="406"/>
      <c r="AV501" s="406"/>
      <c r="AW501" s="406"/>
      <c r="AX501" s="406"/>
      <c r="AY501" s="406"/>
      <c r="AZ501" s="406"/>
      <c r="BA501" s="406"/>
      <c r="BB501" s="406"/>
      <c r="BC501" s="406"/>
      <c r="BD501" s="406"/>
      <c r="BE501" s="406"/>
      <c r="BF501" s="406"/>
      <c r="BG501" s="406"/>
      <c r="BH501" s="406"/>
      <c r="BI501" s="406"/>
      <c r="BJ501" s="406"/>
      <c r="BK501" s="406"/>
      <c r="BL501" s="406"/>
      <c r="BM501" s="406"/>
      <c r="BN501" s="406"/>
      <c r="BO501" s="406"/>
      <c r="BP501" s="406"/>
      <c r="BQ501" s="406"/>
      <c r="BR501" s="406"/>
      <c r="BS501" s="406"/>
      <c r="BT501" s="406"/>
      <c r="BU501" s="406"/>
      <c r="BV501" s="406"/>
      <c r="BW501" s="406"/>
      <c r="BX501" s="406"/>
      <c r="BY501" s="406"/>
      <c r="BZ501" s="406"/>
      <c r="CA501" s="281"/>
      <c r="CB501" s="3" t="str">
        <f t="shared" si="72"/>
        <v>Riadok bude skrytý.</v>
      </c>
      <c r="CC501" s="271" t="s">
        <v>832</v>
      </c>
      <c r="CW501" s="30">
        <f t="shared" si="71"/>
        <v>0</v>
      </c>
      <c r="CZ501" s="30">
        <f t="shared" si="68"/>
        <v>1</v>
      </c>
      <c r="DA501" s="30">
        <f t="shared" si="66"/>
        <v>0</v>
      </c>
      <c r="DB501" s="140">
        <f t="shared" si="70"/>
        <v>0</v>
      </c>
      <c r="DS501" s="130">
        <f>SI!BY501</f>
        <v>185</v>
      </c>
      <c r="DZ501" s="131">
        <f>SI!BZ501</f>
        <v>0</v>
      </c>
    </row>
    <row r="502" spans="1:130" hidden="1" x14ac:dyDescent="0.25">
      <c r="A502" s="141"/>
      <c r="B502" s="406"/>
      <c r="C502" s="406"/>
      <c r="D502" s="406"/>
      <c r="E502" s="406"/>
      <c r="F502" s="406"/>
      <c r="G502" s="406"/>
      <c r="H502" s="406"/>
      <c r="I502" s="406"/>
      <c r="J502" s="406"/>
      <c r="K502" s="406"/>
      <c r="L502" s="406"/>
      <c r="M502" s="406"/>
      <c r="N502" s="406"/>
      <c r="O502" s="406"/>
      <c r="P502" s="406"/>
      <c r="Q502" s="406"/>
      <c r="R502" s="406"/>
      <c r="S502" s="406"/>
      <c r="T502" s="406"/>
      <c r="U502" s="406"/>
      <c r="V502" s="406"/>
      <c r="W502" s="406"/>
      <c r="X502" s="406"/>
      <c r="Y502" s="406"/>
      <c r="Z502" s="406"/>
      <c r="AA502" s="406"/>
      <c r="AB502" s="406"/>
      <c r="AC502" s="406"/>
      <c r="AD502" s="406"/>
      <c r="AE502" s="406"/>
      <c r="AF502" s="406"/>
      <c r="AG502" s="406"/>
      <c r="AH502" s="406"/>
      <c r="AI502" s="406"/>
      <c r="AJ502" s="406"/>
      <c r="AK502" s="406"/>
      <c r="AL502" s="406"/>
      <c r="AM502" s="406"/>
      <c r="AN502" s="406"/>
      <c r="AO502" s="406"/>
      <c r="AP502" s="406"/>
      <c r="AQ502" s="406"/>
      <c r="AR502" s="406"/>
      <c r="AS502" s="406"/>
      <c r="AT502" s="406"/>
      <c r="AU502" s="406"/>
      <c r="AV502" s="406"/>
      <c r="AW502" s="406"/>
      <c r="AX502" s="406"/>
      <c r="AY502" s="406"/>
      <c r="AZ502" s="406"/>
      <c r="BA502" s="406"/>
      <c r="BB502" s="406"/>
      <c r="BC502" s="406"/>
      <c r="BD502" s="406"/>
      <c r="BE502" s="406"/>
      <c r="BF502" s="406"/>
      <c r="BG502" s="406"/>
      <c r="BH502" s="406"/>
      <c r="BI502" s="406"/>
      <c r="BJ502" s="406"/>
      <c r="BK502" s="406"/>
      <c r="BL502" s="406"/>
      <c r="BM502" s="406"/>
      <c r="BN502" s="406"/>
      <c r="BO502" s="406"/>
      <c r="BP502" s="406"/>
      <c r="BQ502" s="406"/>
      <c r="BR502" s="406"/>
      <c r="BS502" s="406"/>
      <c r="BT502" s="406"/>
      <c r="BU502" s="406"/>
      <c r="BV502" s="406"/>
      <c r="BW502" s="406"/>
      <c r="BX502" s="406"/>
      <c r="BY502" s="406"/>
      <c r="BZ502" s="406"/>
      <c r="CA502" s="281"/>
      <c r="CB502" s="3" t="str">
        <f t="shared" si="72"/>
        <v>Riadok bude skrytý.</v>
      </c>
      <c r="CC502" s="271" t="s">
        <v>832</v>
      </c>
      <c r="CW502" s="30">
        <f t="shared" si="71"/>
        <v>0</v>
      </c>
      <c r="CZ502" s="30">
        <f t="shared" si="68"/>
        <v>1</v>
      </c>
      <c r="DA502" s="30">
        <f t="shared" si="66"/>
        <v>0</v>
      </c>
      <c r="DB502" s="140">
        <f t="shared" si="70"/>
        <v>0</v>
      </c>
      <c r="DS502" s="130">
        <f>SI!BY502</f>
        <v>547</v>
      </c>
      <c r="DZ502" s="131">
        <f>SI!BZ502</f>
        <v>0</v>
      </c>
    </row>
    <row r="503" spans="1:130" hidden="1" x14ac:dyDescent="0.25">
      <c r="A503" s="141"/>
      <c r="B503" s="406"/>
      <c r="C503" s="406"/>
      <c r="D503" s="406"/>
      <c r="E503" s="406"/>
      <c r="F503" s="406"/>
      <c r="G503" s="406"/>
      <c r="H503" s="406"/>
      <c r="I503" s="406"/>
      <c r="J503" s="406"/>
      <c r="K503" s="406"/>
      <c r="L503" s="406"/>
      <c r="M503" s="406"/>
      <c r="N503" s="406"/>
      <c r="O503" s="406"/>
      <c r="P503" s="406"/>
      <c r="Q503" s="406"/>
      <c r="R503" s="406"/>
      <c r="S503" s="406"/>
      <c r="T503" s="406"/>
      <c r="U503" s="406"/>
      <c r="V503" s="406"/>
      <c r="W503" s="406"/>
      <c r="X503" s="406"/>
      <c r="Y503" s="406"/>
      <c r="Z503" s="406"/>
      <c r="AA503" s="406"/>
      <c r="AB503" s="406"/>
      <c r="AC503" s="406"/>
      <c r="AD503" s="406"/>
      <c r="AE503" s="406"/>
      <c r="AF503" s="406"/>
      <c r="AG503" s="406"/>
      <c r="AH503" s="406"/>
      <c r="AI503" s="406"/>
      <c r="AJ503" s="406"/>
      <c r="AK503" s="406"/>
      <c r="AL503" s="406"/>
      <c r="AM503" s="406"/>
      <c r="AN503" s="406"/>
      <c r="AO503" s="406"/>
      <c r="AP503" s="406"/>
      <c r="AQ503" s="406"/>
      <c r="AR503" s="406"/>
      <c r="AS503" s="406"/>
      <c r="AT503" s="406"/>
      <c r="AU503" s="406"/>
      <c r="AV503" s="406"/>
      <c r="AW503" s="406"/>
      <c r="AX503" s="406"/>
      <c r="AY503" s="406"/>
      <c r="AZ503" s="406"/>
      <c r="BA503" s="406"/>
      <c r="BB503" s="406"/>
      <c r="BC503" s="406"/>
      <c r="BD503" s="406"/>
      <c r="BE503" s="406"/>
      <c r="BF503" s="406"/>
      <c r="BG503" s="406"/>
      <c r="BH503" s="406"/>
      <c r="BI503" s="406"/>
      <c r="BJ503" s="406"/>
      <c r="BK503" s="406"/>
      <c r="BL503" s="406"/>
      <c r="BM503" s="406"/>
      <c r="BN503" s="406"/>
      <c r="BO503" s="406"/>
      <c r="BP503" s="406"/>
      <c r="BQ503" s="406"/>
      <c r="BR503" s="406"/>
      <c r="BS503" s="406"/>
      <c r="BT503" s="406"/>
      <c r="BU503" s="406"/>
      <c r="BV503" s="406"/>
      <c r="BW503" s="406"/>
      <c r="BX503" s="406"/>
      <c r="BY503" s="406"/>
      <c r="BZ503" s="406"/>
      <c r="CA503" s="281"/>
      <c r="CB503" s="3" t="str">
        <f t="shared" si="72"/>
        <v>Riadok bude skrytý.</v>
      </c>
      <c r="CC503" s="271" t="s">
        <v>832</v>
      </c>
      <c r="CW503" s="30">
        <f t="shared" si="71"/>
        <v>0</v>
      </c>
      <c r="CZ503" s="30">
        <f t="shared" si="68"/>
        <v>1</v>
      </c>
      <c r="DA503" s="30">
        <f t="shared" si="66"/>
        <v>0</v>
      </c>
      <c r="DB503" s="140">
        <f t="shared" si="70"/>
        <v>0</v>
      </c>
      <c r="DS503" s="130">
        <f>SI!BY503</f>
        <v>191</v>
      </c>
      <c r="DZ503" s="131">
        <f>SI!BZ503</f>
        <v>0</v>
      </c>
    </row>
    <row r="504" spans="1:130" hidden="1" x14ac:dyDescent="0.25">
      <c r="A504" s="141"/>
      <c r="B504" s="406"/>
      <c r="C504" s="406"/>
      <c r="D504" s="406"/>
      <c r="E504" s="406"/>
      <c r="F504" s="406"/>
      <c r="G504" s="406"/>
      <c r="H504" s="406"/>
      <c r="I504" s="406"/>
      <c r="J504" s="406"/>
      <c r="K504" s="406"/>
      <c r="L504" s="406"/>
      <c r="M504" s="406"/>
      <c r="N504" s="406"/>
      <c r="O504" s="406"/>
      <c r="P504" s="406"/>
      <c r="Q504" s="406"/>
      <c r="R504" s="406"/>
      <c r="S504" s="406"/>
      <c r="T504" s="406"/>
      <c r="U504" s="406"/>
      <c r="V504" s="406"/>
      <c r="W504" s="406"/>
      <c r="X504" s="406"/>
      <c r="Y504" s="406"/>
      <c r="Z504" s="406"/>
      <c r="AA504" s="406"/>
      <c r="AB504" s="406"/>
      <c r="AC504" s="406"/>
      <c r="AD504" s="406"/>
      <c r="AE504" s="406"/>
      <c r="AF504" s="406"/>
      <c r="AG504" s="406"/>
      <c r="AH504" s="406"/>
      <c r="AI504" s="406"/>
      <c r="AJ504" s="406"/>
      <c r="AK504" s="406"/>
      <c r="AL504" s="406"/>
      <c r="AM504" s="406"/>
      <c r="AN504" s="406"/>
      <c r="AO504" s="406"/>
      <c r="AP504" s="406"/>
      <c r="AQ504" s="406"/>
      <c r="AR504" s="406"/>
      <c r="AS504" s="406"/>
      <c r="AT504" s="406"/>
      <c r="AU504" s="406"/>
      <c r="AV504" s="406"/>
      <c r="AW504" s="406"/>
      <c r="AX504" s="406"/>
      <c r="AY504" s="406"/>
      <c r="AZ504" s="406"/>
      <c r="BA504" s="406"/>
      <c r="BB504" s="406"/>
      <c r="BC504" s="406"/>
      <c r="BD504" s="406"/>
      <c r="BE504" s="406"/>
      <c r="BF504" s="406"/>
      <c r="BG504" s="406"/>
      <c r="BH504" s="406"/>
      <c r="BI504" s="406"/>
      <c r="BJ504" s="406"/>
      <c r="BK504" s="406"/>
      <c r="BL504" s="406"/>
      <c r="BM504" s="406"/>
      <c r="BN504" s="406"/>
      <c r="BO504" s="406"/>
      <c r="BP504" s="406"/>
      <c r="BQ504" s="406"/>
      <c r="BR504" s="406"/>
      <c r="BS504" s="406"/>
      <c r="BT504" s="406"/>
      <c r="BU504" s="406"/>
      <c r="BV504" s="406"/>
      <c r="BW504" s="406"/>
      <c r="BX504" s="406"/>
      <c r="BY504" s="406"/>
      <c r="BZ504" s="406"/>
      <c r="CA504" s="281"/>
      <c r="CB504" s="3" t="str">
        <f t="shared" si="72"/>
        <v>Riadok bude skrytý.</v>
      </c>
      <c r="CC504" s="271" t="s">
        <v>832</v>
      </c>
      <c r="CW504" s="30">
        <f t="shared" si="71"/>
        <v>0</v>
      </c>
      <c r="CZ504" s="30">
        <f t="shared" si="68"/>
        <v>1</v>
      </c>
      <c r="DA504" s="30">
        <f t="shared" si="66"/>
        <v>0</v>
      </c>
      <c r="DB504" s="140">
        <f t="shared" si="70"/>
        <v>0</v>
      </c>
      <c r="DS504" s="130">
        <f>SI!BY504</f>
        <v>596</v>
      </c>
      <c r="DZ504" s="131">
        <f>SI!BZ504</f>
        <v>0</v>
      </c>
    </row>
    <row r="505" spans="1:130" hidden="1" x14ac:dyDescent="0.25">
      <c r="A505" s="141"/>
      <c r="B505" s="406"/>
      <c r="C505" s="406"/>
      <c r="D505" s="406"/>
      <c r="E505" s="406"/>
      <c r="F505" s="406"/>
      <c r="G505" s="406"/>
      <c r="H505" s="406"/>
      <c r="I505" s="406"/>
      <c r="J505" s="406"/>
      <c r="K505" s="406"/>
      <c r="L505" s="406"/>
      <c r="M505" s="406"/>
      <c r="N505" s="406"/>
      <c r="O505" s="406"/>
      <c r="P505" s="406"/>
      <c r="Q505" s="406"/>
      <c r="R505" s="406"/>
      <c r="S505" s="406"/>
      <c r="T505" s="406"/>
      <c r="U505" s="406"/>
      <c r="V505" s="406"/>
      <c r="W505" s="406"/>
      <c r="X505" s="406"/>
      <c r="Y505" s="406"/>
      <c r="Z505" s="406"/>
      <c r="AA505" s="406"/>
      <c r="AB505" s="406"/>
      <c r="AC505" s="406"/>
      <c r="AD505" s="406"/>
      <c r="AE505" s="406"/>
      <c r="AF505" s="406"/>
      <c r="AG505" s="406"/>
      <c r="AH505" s="406"/>
      <c r="AI505" s="406"/>
      <c r="AJ505" s="406"/>
      <c r="AK505" s="406"/>
      <c r="AL505" s="406"/>
      <c r="AM505" s="406"/>
      <c r="AN505" s="406"/>
      <c r="AO505" s="406"/>
      <c r="AP505" s="406"/>
      <c r="AQ505" s="406"/>
      <c r="AR505" s="406"/>
      <c r="AS505" s="406"/>
      <c r="AT505" s="406"/>
      <c r="AU505" s="406"/>
      <c r="AV505" s="406"/>
      <c r="AW505" s="406"/>
      <c r="AX505" s="406"/>
      <c r="AY505" s="406"/>
      <c r="AZ505" s="406"/>
      <c r="BA505" s="406"/>
      <c r="BB505" s="406"/>
      <c r="BC505" s="406"/>
      <c r="BD505" s="406"/>
      <c r="BE505" s="406"/>
      <c r="BF505" s="406"/>
      <c r="BG505" s="406"/>
      <c r="BH505" s="406"/>
      <c r="BI505" s="406"/>
      <c r="BJ505" s="406"/>
      <c r="BK505" s="406"/>
      <c r="BL505" s="406"/>
      <c r="BM505" s="406"/>
      <c r="BN505" s="406"/>
      <c r="BO505" s="406"/>
      <c r="BP505" s="406"/>
      <c r="BQ505" s="406"/>
      <c r="BR505" s="406"/>
      <c r="BS505" s="406"/>
      <c r="BT505" s="406"/>
      <c r="BU505" s="406"/>
      <c r="BV505" s="406"/>
      <c r="BW505" s="406"/>
      <c r="BX505" s="406"/>
      <c r="BY505" s="406"/>
      <c r="BZ505" s="406"/>
      <c r="CA505" s="281"/>
      <c r="CB505" s="3" t="str">
        <f t="shared" si="72"/>
        <v>Riadok bude skrytý.</v>
      </c>
      <c r="CC505" s="271" t="s">
        <v>832</v>
      </c>
      <c r="CW505" s="30">
        <f t="shared" si="71"/>
        <v>0</v>
      </c>
      <c r="CZ505" s="30">
        <f t="shared" si="68"/>
        <v>1</v>
      </c>
      <c r="DA505" s="30">
        <f t="shared" si="66"/>
        <v>0</v>
      </c>
      <c r="DB505" s="140">
        <f t="shared" si="70"/>
        <v>0</v>
      </c>
      <c r="DS505" s="130">
        <f>SI!BY505</f>
        <v>167</v>
      </c>
      <c r="DZ505" s="131">
        <f>SI!BZ505</f>
        <v>0</v>
      </c>
    </row>
    <row r="506" spans="1:130" hidden="1" x14ac:dyDescent="0.25">
      <c r="A506" s="141"/>
      <c r="B506" s="406"/>
      <c r="C506" s="406"/>
      <c r="D506" s="406"/>
      <c r="E506" s="406"/>
      <c r="F506" s="406"/>
      <c r="G506" s="406"/>
      <c r="H506" s="406"/>
      <c r="I506" s="406"/>
      <c r="J506" s="406"/>
      <c r="K506" s="406"/>
      <c r="L506" s="406"/>
      <c r="M506" s="406"/>
      <c r="N506" s="406"/>
      <c r="O506" s="406"/>
      <c r="P506" s="406"/>
      <c r="Q506" s="406"/>
      <c r="R506" s="406"/>
      <c r="S506" s="406"/>
      <c r="T506" s="406"/>
      <c r="U506" s="406"/>
      <c r="V506" s="406"/>
      <c r="W506" s="406"/>
      <c r="X506" s="406"/>
      <c r="Y506" s="406"/>
      <c r="Z506" s="406"/>
      <c r="AA506" s="406"/>
      <c r="AB506" s="406"/>
      <c r="AC506" s="406"/>
      <c r="AD506" s="406"/>
      <c r="AE506" s="406"/>
      <c r="AF506" s="406"/>
      <c r="AG506" s="406"/>
      <c r="AH506" s="406"/>
      <c r="AI506" s="406"/>
      <c r="AJ506" s="406"/>
      <c r="AK506" s="406"/>
      <c r="AL506" s="406"/>
      <c r="AM506" s="406"/>
      <c r="AN506" s="406"/>
      <c r="AO506" s="406"/>
      <c r="AP506" s="406"/>
      <c r="AQ506" s="406"/>
      <c r="AR506" s="406"/>
      <c r="AS506" s="406"/>
      <c r="AT506" s="406"/>
      <c r="AU506" s="406"/>
      <c r="AV506" s="406"/>
      <c r="AW506" s="406"/>
      <c r="AX506" s="406"/>
      <c r="AY506" s="406"/>
      <c r="AZ506" s="406"/>
      <c r="BA506" s="406"/>
      <c r="BB506" s="406"/>
      <c r="BC506" s="406"/>
      <c r="BD506" s="406"/>
      <c r="BE506" s="406"/>
      <c r="BF506" s="406"/>
      <c r="BG506" s="406"/>
      <c r="BH506" s="406"/>
      <c r="BI506" s="406"/>
      <c r="BJ506" s="406"/>
      <c r="BK506" s="406"/>
      <c r="BL506" s="406"/>
      <c r="BM506" s="406"/>
      <c r="BN506" s="406"/>
      <c r="BO506" s="406"/>
      <c r="BP506" s="406"/>
      <c r="BQ506" s="406"/>
      <c r="BR506" s="406"/>
      <c r="BS506" s="406"/>
      <c r="BT506" s="406"/>
      <c r="BU506" s="406"/>
      <c r="BV506" s="406"/>
      <c r="BW506" s="406"/>
      <c r="BX506" s="406"/>
      <c r="BY506" s="406"/>
      <c r="BZ506" s="406"/>
      <c r="CA506" s="281"/>
      <c r="CB506" s="3" t="str">
        <f t="shared" si="72"/>
        <v>Riadok bude skrytý.</v>
      </c>
      <c r="CC506" s="271" t="s">
        <v>832</v>
      </c>
      <c r="CW506" s="30">
        <f t="shared" si="71"/>
        <v>0</v>
      </c>
      <c r="CZ506" s="30">
        <f t="shared" si="68"/>
        <v>1</v>
      </c>
      <c r="DA506" s="30">
        <f t="shared" si="66"/>
        <v>0</v>
      </c>
      <c r="DB506" s="140">
        <f t="shared" si="70"/>
        <v>0</v>
      </c>
      <c r="DS506" s="130">
        <f>SI!BY506</f>
        <v>1096</v>
      </c>
      <c r="DZ506" s="131">
        <f>SI!BZ506</f>
        <v>0</v>
      </c>
    </row>
    <row r="507" spans="1:130" hidden="1" x14ac:dyDescent="0.25">
      <c r="A507" s="141"/>
      <c r="B507" s="406"/>
      <c r="C507" s="406"/>
      <c r="D507" s="406"/>
      <c r="E507" s="406"/>
      <c r="F507" s="406"/>
      <c r="G507" s="406"/>
      <c r="H507" s="406"/>
      <c r="I507" s="406"/>
      <c r="J507" s="406"/>
      <c r="K507" s="406"/>
      <c r="L507" s="406"/>
      <c r="M507" s="406"/>
      <c r="N507" s="406"/>
      <c r="O507" s="406"/>
      <c r="P507" s="406"/>
      <c r="Q507" s="406"/>
      <c r="R507" s="406"/>
      <c r="S507" s="406"/>
      <c r="T507" s="406"/>
      <c r="U507" s="406"/>
      <c r="V507" s="406"/>
      <c r="W507" s="406"/>
      <c r="X507" s="406"/>
      <c r="Y507" s="406"/>
      <c r="Z507" s="406"/>
      <c r="AA507" s="406"/>
      <c r="AB507" s="406"/>
      <c r="AC507" s="406"/>
      <c r="AD507" s="406"/>
      <c r="AE507" s="406"/>
      <c r="AF507" s="406"/>
      <c r="AG507" s="406"/>
      <c r="AH507" s="406"/>
      <c r="AI507" s="406"/>
      <c r="AJ507" s="406"/>
      <c r="AK507" s="406"/>
      <c r="AL507" s="406"/>
      <c r="AM507" s="406"/>
      <c r="AN507" s="406"/>
      <c r="AO507" s="406"/>
      <c r="AP507" s="406"/>
      <c r="AQ507" s="406"/>
      <c r="AR507" s="406"/>
      <c r="AS507" s="406"/>
      <c r="AT507" s="406"/>
      <c r="AU507" s="406"/>
      <c r="AV507" s="406"/>
      <c r="AW507" s="406"/>
      <c r="AX507" s="406"/>
      <c r="AY507" s="406"/>
      <c r="AZ507" s="406"/>
      <c r="BA507" s="406"/>
      <c r="BB507" s="406"/>
      <c r="BC507" s="406"/>
      <c r="BD507" s="406"/>
      <c r="BE507" s="406"/>
      <c r="BF507" s="406"/>
      <c r="BG507" s="406"/>
      <c r="BH507" s="406"/>
      <c r="BI507" s="406"/>
      <c r="BJ507" s="406"/>
      <c r="BK507" s="406"/>
      <c r="BL507" s="406"/>
      <c r="BM507" s="406"/>
      <c r="BN507" s="406"/>
      <c r="BO507" s="406"/>
      <c r="BP507" s="406"/>
      <c r="BQ507" s="406"/>
      <c r="BR507" s="406"/>
      <c r="BS507" s="406"/>
      <c r="BT507" s="406"/>
      <c r="BU507" s="406"/>
      <c r="BV507" s="406"/>
      <c r="BW507" s="406"/>
      <c r="BX507" s="406"/>
      <c r="BY507" s="406"/>
      <c r="BZ507" s="406"/>
      <c r="CA507" s="281"/>
      <c r="CB507" s="3" t="str">
        <f t="shared" si="72"/>
        <v>Riadok bude skrytý.</v>
      </c>
      <c r="CC507" s="271" t="s">
        <v>832</v>
      </c>
      <c r="CW507" s="30">
        <f t="shared" si="71"/>
        <v>0</v>
      </c>
      <c r="CZ507" s="30">
        <f t="shared" si="68"/>
        <v>1</v>
      </c>
      <c r="DA507" s="30">
        <f t="shared" si="66"/>
        <v>0</v>
      </c>
      <c r="DB507" s="140">
        <f t="shared" si="70"/>
        <v>0</v>
      </c>
      <c r="DS507" s="130">
        <f>SI!BY507</f>
        <v>122</v>
      </c>
      <c r="DZ507" s="131">
        <f>SI!BZ507</f>
        <v>0</v>
      </c>
    </row>
    <row r="508" spans="1:130" hidden="1" x14ac:dyDescent="0.25">
      <c r="A508" s="141"/>
      <c r="B508" s="406"/>
      <c r="C508" s="406"/>
      <c r="D508" s="406"/>
      <c r="E508" s="406"/>
      <c r="F508" s="406"/>
      <c r="G508" s="406"/>
      <c r="H508" s="406"/>
      <c r="I508" s="406"/>
      <c r="J508" s="406"/>
      <c r="K508" s="406"/>
      <c r="L508" s="406"/>
      <c r="M508" s="406"/>
      <c r="N508" s="406"/>
      <c r="O508" s="406"/>
      <c r="P508" s="406"/>
      <c r="Q508" s="406"/>
      <c r="R508" s="406"/>
      <c r="S508" s="406"/>
      <c r="T508" s="406"/>
      <c r="U508" s="406"/>
      <c r="V508" s="406"/>
      <c r="W508" s="406"/>
      <c r="X508" s="406"/>
      <c r="Y508" s="406"/>
      <c r="Z508" s="406"/>
      <c r="AA508" s="406"/>
      <c r="AB508" s="406"/>
      <c r="AC508" s="406"/>
      <c r="AD508" s="406"/>
      <c r="AE508" s="406"/>
      <c r="AF508" s="406"/>
      <c r="AG508" s="406"/>
      <c r="AH508" s="406"/>
      <c r="AI508" s="406"/>
      <c r="AJ508" s="406"/>
      <c r="AK508" s="406"/>
      <c r="AL508" s="406"/>
      <c r="AM508" s="406"/>
      <c r="AN508" s="406"/>
      <c r="AO508" s="406"/>
      <c r="AP508" s="406"/>
      <c r="AQ508" s="406"/>
      <c r="AR508" s="406"/>
      <c r="AS508" s="406"/>
      <c r="AT508" s="406"/>
      <c r="AU508" s="406"/>
      <c r="AV508" s="406"/>
      <c r="AW508" s="406"/>
      <c r="AX508" s="406"/>
      <c r="AY508" s="406"/>
      <c r="AZ508" s="406"/>
      <c r="BA508" s="406"/>
      <c r="BB508" s="406"/>
      <c r="BC508" s="406"/>
      <c r="BD508" s="406"/>
      <c r="BE508" s="406"/>
      <c r="BF508" s="406"/>
      <c r="BG508" s="406"/>
      <c r="BH508" s="406"/>
      <c r="BI508" s="406"/>
      <c r="BJ508" s="406"/>
      <c r="BK508" s="406"/>
      <c r="BL508" s="406"/>
      <c r="BM508" s="406"/>
      <c r="BN508" s="406"/>
      <c r="BO508" s="406"/>
      <c r="BP508" s="406"/>
      <c r="BQ508" s="406"/>
      <c r="BR508" s="406"/>
      <c r="BS508" s="406"/>
      <c r="BT508" s="406"/>
      <c r="BU508" s="406"/>
      <c r="BV508" s="406"/>
      <c r="BW508" s="406"/>
      <c r="BX508" s="406"/>
      <c r="BY508" s="406"/>
      <c r="BZ508" s="406"/>
      <c r="CA508" s="281"/>
      <c r="CB508" s="3" t="str">
        <f t="shared" si="72"/>
        <v>Riadok bude skrytý.</v>
      </c>
      <c r="CC508" s="271" t="s">
        <v>832</v>
      </c>
      <c r="CW508" s="30">
        <f t="shared" si="71"/>
        <v>0</v>
      </c>
      <c r="CZ508" s="30">
        <f t="shared" si="68"/>
        <v>1</v>
      </c>
      <c r="DA508" s="30">
        <f t="shared" si="66"/>
        <v>0</v>
      </c>
      <c r="DB508" s="140">
        <f t="shared" si="70"/>
        <v>0</v>
      </c>
      <c r="DS508" s="130">
        <f>SI!BY508</f>
        <v>616</v>
      </c>
      <c r="DZ508" s="131">
        <f>SI!BZ508</f>
        <v>0</v>
      </c>
    </row>
    <row r="509" spans="1:130" hidden="1" x14ac:dyDescent="0.25">
      <c r="A509" s="141"/>
      <c r="B509" s="406"/>
      <c r="C509" s="406"/>
      <c r="D509" s="406"/>
      <c r="E509" s="406"/>
      <c r="F509" s="406"/>
      <c r="G509" s="406"/>
      <c r="H509" s="406"/>
      <c r="I509" s="406"/>
      <c r="J509" s="406"/>
      <c r="K509" s="406"/>
      <c r="L509" s="406"/>
      <c r="M509" s="406"/>
      <c r="N509" s="406"/>
      <c r="O509" s="406"/>
      <c r="P509" s="406"/>
      <c r="Q509" s="406"/>
      <c r="R509" s="406"/>
      <c r="S509" s="406"/>
      <c r="T509" s="406"/>
      <c r="U509" s="406"/>
      <c r="V509" s="406"/>
      <c r="W509" s="406"/>
      <c r="X509" s="406"/>
      <c r="Y509" s="406"/>
      <c r="Z509" s="406"/>
      <c r="AA509" s="406"/>
      <c r="AB509" s="406"/>
      <c r="AC509" s="406"/>
      <c r="AD509" s="406"/>
      <c r="AE509" s="406"/>
      <c r="AF509" s="406"/>
      <c r="AG509" s="406"/>
      <c r="AH509" s="406"/>
      <c r="AI509" s="406"/>
      <c r="AJ509" s="406"/>
      <c r="AK509" s="406"/>
      <c r="AL509" s="406"/>
      <c r="AM509" s="406"/>
      <c r="AN509" s="406"/>
      <c r="AO509" s="406"/>
      <c r="AP509" s="406"/>
      <c r="AQ509" s="406"/>
      <c r="AR509" s="406"/>
      <c r="AS509" s="406"/>
      <c r="AT509" s="406"/>
      <c r="AU509" s="406"/>
      <c r="AV509" s="406"/>
      <c r="AW509" s="406"/>
      <c r="AX509" s="406"/>
      <c r="AY509" s="406"/>
      <c r="AZ509" s="406"/>
      <c r="BA509" s="406"/>
      <c r="BB509" s="406"/>
      <c r="BC509" s="406"/>
      <c r="BD509" s="406"/>
      <c r="BE509" s="406"/>
      <c r="BF509" s="406"/>
      <c r="BG509" s="406"/>
      <c r="BH509" s="406"/>
      <c r="BI509" s="406"/>
      <c r="BJ509" s="406"/>
      <c r="BK509" s="406"/>
      <c r="BL509" s="406"/>
      <c r="BM509" s="406"/>
      <c r="BN509" s="406"/>
      <c r="BO509" s="406"/>
      <c r="BP509" s="406"/>
      <c r="BQ509" s="406"/>
      <c r="BR509" s="406"/>
      <c r="BS509" s="406"/>
      <c r="BT509" s="406"/>
      <c r="BU509" s="406"/>
      <c r="BV509" s="406"/>
      <c r="BW509" s="406"/>
      <c r="BX509" s="406"/>
      <c r="BY509" s="406"/>
      <c r="BZ509" s="406"/>
      <c r="CA509" s="281"/>
      <c r="CB509" s="3" t="str">
        <f t="shared" si="72"/>
        <v>Riadok bude skrytý.</v>
      </c>
      <c r="CC509" s="271" t="s">
        <v>832</v>
      </c>
      <c r="CW509" s="30">
        <f t="shared" si="71"/>
        <v>0</v>
      </c>
      <c r="CZ509" s="30">
        <f t="shared" si="68"/>
        <v>1</v>
      </c>
      <c r="DA509" s="30">
        <f t="shared" si="66"/>
        <v>0</v>
      </c>
      <c r="DB509" s="140">
        <f t="shared" si="70"/>
        <v>0</v>
      </c>
      <c r="DS509" s="130">
        <f>SI!BY509</f>
        <v>105</v>
      </c>
      <c r="DZ509" s="131">
        <f>SI!BZ509</f>
        <v>0</v>
      </c>
    </row>
    <row r="510" spans="1:130" hidden="1" x14ac:dyDescent="0.25">
      <c r="A510" s="141"/>
      <c r="B510" s="406"/>
      <c r="C510" s="406"/>
      <c r="D510" s="406"/>
      <c r="E510" s="406"/>
      <c r="F510" s="406"/>
      <c r="G510" s="406"/>
      <c r="H510" s="406"/>
      <c r="I510" s="406"/>
      <c r="J510" s="406"/>
      <c r="K510" s="406"/>
      <c r="L510" s="406"/>
      <c r="M510" s="406"/>
      <c r="N510" s="406"/>
      <c r="O510" s="406"/>
      <c r="P510" s="406"/>
      <c r="Q510" s="406"/>
      <c r="R510" s="406"/>
      <c r="S510" s="406"/>
      <c r="T510" s="406"/>
      <c r="U510" s="406"/>
      <c r="V510" s="406"/>
      <c r="W510" s="406"/>
      <c r="X510" s="406"/>
      <c r="Y510" s="406"/>
      <c r="Z510" s="406"/>
      <c r="AA510" s="406"/>
      <c r="AB510" s="406"/>
      <c r="AC510" s="406"/>
      <c r="AD510" s="406"/>
      <c r="AE510" s="406"/>
      <c r="AF510" s="406"/>
      <c r="AG510" s="406"/>
      <c r="AH510" s="406"/>
      <c r="AI510" s="406"/>
      <c r="AJ510" s="406"/>
      <c r="AK510" s="406"/>
      <c r="AL510" s="406"/>
      <c r="AM510" s="406"/>
      <c r="AN510" s="406"/>
      <c r="AO510" s="406"/>
      <c r="AP510" s="406"/>
      <c r="AQ510" s="406"/>
      <c r="AR510" s="406"/>
      <c r="AS510" s="406"/>
      <c r="AT510" s="406"/>
      <c r="AU510" s="406"/>
      <c r="AV510" s="406"/>
      <c r="AW510" s="406"/>
      <c r="AX510" s="406"/>
      <c r="AY510" s="406"/>
      <c r="AZ510" s="406"/>
      <c r="BA510" s="406"/>
      <c r="BB510" s="406"/>
      <c r="BC510" s="406"/>
      <c r="BD510" s="406"/>
      <c r="BE510" s="406"/>
      <c r="BF510" s="406"/>
      <c r="BG510" s="406"/>
      <c r="BH510" s="406"/>
      <c r="BI510" s="406"/>
      <c r="BJ510" s="406"/>
      <c r="BK510" s="406"/>
      <c r="BL510" s="406"/>
      <c r="BM510" s="406"/>
      <c r="BN510" s="406"/>
      <c r="BO510" s="406"/>
      <c r="BP510" s="406"/>
      <c r="BQ510" s="406"/>
      <c r="BR510" s="406"/>
      <c r="BS510" s="406"/>
      <c r="BT510" s="406"/>
      <c r="BU510" s="406"/>
      <c r="BV510" s="406"/>
      <c r="BW510" s="406"/>
      <c r="BX510" s="406"/>
      <c r="BY510" s="406"/>
      <c r="BZ510" s="406"/>
      <c r="CA510" s="281"/>
      <c r="CB510" s="3" t="str">
        <f t="shared" si="72"/>
        <v>Riadok bude skrytý.</v>
      </c>
      <c r="CC510" s="271" t="s">
        <v>832</v>
      </c>
      <c r="CW510" s="30">
        <f t="shared" si="71"/>
        <v>0</v>
      </c>
      <c r="CZ510" s="30">
        <f t="shared" si="68"/>
        <v>1</v>
      </c>
      <c r="DA510" s="30">
        <f t="shared" si="66"/>
        <v>0</v>
      </c>
      <c r="DB510" s="140">
        <f t="shared" si="70"/>
        <v>0</v>
      </c>
      <c r="DS510" s="130">
        <f>SI!BY510</f>
        <v>148</v>
      </c>
      <c r="DZ510" s="131">
        <f>SI!BZ510</f>
        <v>0</v>
      </c>
    </row>
    <row r="511" spans="1:130" hidden="1" x14ac:dyDescent="0.25">
      <c r="A511" s="141"/>
      <c r="B511" s="406"/>
      <c r="C511" s="406"/>
      <c r="D511" s="406"/>
      <c r="E511" s="406"/>
      <c r="F511" s="406"/>
      <c r="G511" s="406"/>
      <c r="H511" s="406"/>
      <c r="I511" s="406"/>
      <c r="J511" s="406"/>
      <c r="K511" s="406"/>
      <c r="L511" s="406"/>
      <c r="M511" s="406"/>
      <c r="N511" s="406"/>
      <c r="O511" s="406"/>
      <c r="P511" s="406"/>
      <c r="Q511" s="406"/>
      <c r="R511" s="406"/>
      <c r="S511" s="406"/>
      <c r="T511" s="406"/>
      <c r="U511" s="406"/>
      <c r="V511" s="406"/>
      <c r="W511" s="406"/>
      <c r="X511" s="406"/>
      <c r="Y511" s="406"/>
      <c r="Z511" s="406"/>
      <c r="AA511" s="406"/>
      <c r="AB511" s="406"/>
      <c r="AC511" s="406"/>
      <c r="AD511" s="406"/>
      <c r="AE511" s="406"/>
      <c r="AF511" s="406"/>
      <c r="AG511" s="406"/>
      <c r="AH511" s="406"/>
      <c r="AI511" s="406"/>
      <c r="AJ511" s="406"/>
      <c r="AK511" s="406"/>
      <c r="AL511" s="406"/>
      <c r="AM511" s="406"/>
      <c r="AN511" s="406"/>
      <c r="AO511" s="406"/>
      <c r="AP511" s="406"/>
      <c r="AQ511" s="406"/>
      <c r="AR511" s="406"/>
      <c r="AS511" s="406"/>
      <c r="AT511" s="406"/>
      <c r="AU511" s="406"/>
      <c r="AV511" s="406"/>
      <c r="AW511" s="406"/>
      <c r="AX511" s="406"/>
      <c r="AY511" s="406"/>
      <c r="AZ511" s="406"/>
      <c r="BA511" s="406"/>
      <c r="BB511" s="406"/>
      <c r="BC511" s="406"/>
      <c r="BD511" s="406"/>
      <c r="BE511" s="406"/>
      <c r="BF511" s="406"/>
      <c r="BG511" s="406"/>
      <c r="BH511" s="406"/>
      <c r="BI511" s="406"/>
      <c r="BJ511" s="406"/>
      <c r="BK511" s="406"/>
      <c r="BL511" s="406"/>
      <c r="BM511" s="406"/>
      <c r="BN511" s="406"/>
      <c r="BO511" s="406"/>
      <c r="BP511" s="406"/>
      <c r="BQ511" s="406"/>
      <c r="BR511" s="406"/>
      <c r="BS511" s="406"/>
      <c r="BT511" s="406"/>
      <c r="BU511" s="406"/>
      <c r="BV511" s="406"/>
      <c r="BW511" s="406"/>
      <c r="BX511" s="406"/>
      <c r="BY511" s="406"/>
      <c r="BZ511" s="406"/>
      <c r="CA511" s="281"/>
      <c r="CB511" s="3" t="str">
        <f t="shared" si="72"/>
        <v>Riadok bude skrytý.</v>
      </c>
      <c r="CC511" s="271" t="s">
        <v>832</v>
      </c>
      <c r="CW511" s="30">
        <f t="shared" si="71"/>
        <v>0</v>
      </c>
      <c r="CZ511" s="30">
        <f t="shared" si="68"/>
        <v>1</v>
      </c>
      <c r="DA511" s="30">
        <f t="shared" si="66"/>
        <v>0</v>
      </c>
      <c r="DB511" s="140">
        <f t="shared" si="70"/>
        <v>0</v>
      </c>
      <c r="DS511" s="130">
        <f>SI!BY511</f>
        <v>199</v>
      </c>
      <c r="DZ511" s="131">
        <f>SI!BZ511</f>
        <v>0</v>
      </c>
    </row>
    <row r="512" spans="1:130" hidden="1" x14ac:dyDescent="0.25">
      <c r="A512" s="141"/>
      <c r="B512" s="406"/>
      <c r="C512" s="406"/>
      <c r="D512" s="406"/>
      <c r="E512" s="406"/>
      <c r="F512" s="406"/>
      <c r="G512" s="406"/>
      <c r="H512" s="406"/>
      <c r="I512" s="406"/>
      <c r="J512" s="406"/>
      <c r="K512" s="406"/>
      <c r="L512" s="406"/>
      <c r="M512" s="406"/>
      <c r="N512" s="406"/>
      <c r="O512" s="406"/>
      <c r="P512" s="406"/>
      <c r="Q512" s="406"/>
      <c r="R512" s="406"/>
      <c r="S512" s="406"/>
      <c r="T512" s="406"/>
      <c r="U512" s="406"/>
      <c r="V512" s="406"/>
      <c r="W512" s="406"/>
      <c r="X512" s="406"/>
      <c r="Y512" s="406"/>
      <c r="Z512" s="406"/>
      <c r="AA512" s="406"/>
      <c r="AB512" s="406"/>
      <c r="AC512" s="406"/>
      <c r="AD512" s="406"/>
      <c r="AE512" s="406"/>
      <c r="AF512" s="406"/>
      <c r="AG512" s="406"/>
      <c r="AH512" s="406"/>
      <c r="AI512" s="406"/>
      <c r="AJ512" s="406"/>
      <c r="AK512" s="406"/>
      <c r="AL512" s="406"/>
      <c r="AM512" s="406"/>
      <c r="AN512" s="406"/>
      <c r="AO512" s="406"/>
      <c r="AP512" s="406"/>
      <c r="AQ512" s="406"/>
      <c r="AR512" s="406"/>
      <c r="AS512" s="406"/>
      <c r="AT512" s="406"/>
      <c r="AU512" s="406"/>
      <c r="AV512" s="406"/>
      <c r="AW512" s="406"/>
      <c r="AX512" s="406"/>
      <c r="AY512" s="406"/>
      <c r="AZ512" s="406"/>
      <c r="BA512" s="406"/>
      <c r="BB512" s="406"/>
      <c r="BC512" s="406"/>
      <c r="BD512" s="406"/>
      <c r="BE512" s="406"/>
      <c r="BF512" s="406"/>
      <c r="BG512" s="406"/>
      <c r="BH512" s="406"/>
      <c r="BI512" s="406"/>
      <c r="BJ512" s="406"/>
      <c r="BK512" s="406"/>
      <c r="BL512" s="406"/>
      <c r="BM512" s="406"/>
      <c r="BN512" s="406"/>
      <c r="BO512" s="406"/>
      <c r="BP512" s="406"/>
      <c r="BQ512" s="406"/>
      <c r="BR512" s="406"/>
      <c r="BS512" s="406"/>
      <c r="BT512" s="406"/>
      <c r="BU512" s="406"/>
      <c r="BV512" s="406"/>
      <c r="BW512" s="406"/>
      <c r="BX512" s="406"/>
      <c r="BY512" s="406"/>
      <c r="BZ512" s="406"/>
      <c r="CA512" s="281"/>
      <c r="CB512" s="3" t="str">
        <f t="shared" si="72"/>
        <v>Riadok bude skrytý.</v>
      </c>
      <c r="CC512" s="271" t="s">
        <v>832</v>
      </c>
      <c r="CW512" s="30">
        <f t="shared" si="71"/>
        <v>0</v>
      </c>
      <c r="CZ512" s="30">
        <f t="shared" si="68"/>
        <v>1</v>
      </c>
      <c r="DA512" s="30">
        <f t="shared" si="66"/>
        <v>0</v>
      </c>
      <c r="DB512" s="140">
        <f t="shared" si="70"/>
        <v>0</v>
      </c>
      <c r="DS512" s="130">
        <f>SI!BY512</f>
        <v>855</v>
      </c>
      <c r="DZ512" s="131">
        <f>SI!BZ512</f>
        <v>0</v>
      </c>
    </row>
    <row r="513" spans="1:130" hidden="1" x14ac:dyDescent="0.25">
      <c r="A513" s="141"/>
      <c r="B513" s="406"/>
      <c r="C513" s="406"/>
      <c r="D513" s="406"/>
      <c r="E513" s="406"/>
      <c r="F513" s="406"/>
      <c r="G513" s="406"/>
      <c r="H513" s="406"/>
      <c r="I513" s="406"/>
      <c r="J513" s="406"/>
      <c r="K513" s="406"/>
      <c r="L513" s="406"/>
      <c r="M513" s="406"/>
      <c r="N513" s="406"/>
      <c r="O513" s="406"/>
      <c r="P513" s="406"/>
      <c r="Q513" s="406"/>
      <c r="R513" s="406"/>
      <c r="S513" s="406"/>
      <c r="T513" s="406"/>
      <c r="U513" s="406"/>
      <c r="V513" s="406"/>
      <c r="W513" s="406"/>
      <c r="X513" s="406"/>
      <c r="Y513" s="406"/>
      <c r="Z513" s="406"/>
      <c r="AA513" s="406"/>
      <c r="AB513" s="406"/>
      <c r="AC513" s="406"/>
      <c r="AD513" s="406"/>
      <c r="AE513" s="406"/>
      <c r="AF513" s="406"/>
      <c r="AG513" s="406"/>
      <c r="AH513" s="406"/>
      <c r="AI513" s="406"/>
      <c r="AJ513" s="406"/>
      <c r="AK513" s="406"/>
      <c r="AL513" s="406"/>
      <c r="AM513" s="406"/>
      <c r="AN513" s="406"/>
      <c r="AO513" s="406"/>
      <c r="AP513" s="406"/>
      <c r="AQ513" s="406"/>
      <c r="AR513" s="406"/>
      <c r="AS513" s="406"/>
      <c r="AT513" s="406"/>
      <c r="AU513" s="406"/>
      <c r="AV513" s="406"/>
      <c r="AW513" s="406"/>
      <c r="AX513" s="406"/>
      <c r="AY513" s="406"/>
      <c r="AZ513" s="406"/>
      <c r="BA513" s="406"/>
      <c r="BB513" s="406"/>
      <c r="BC513" s="406"/>
      <c r="BD513" s="406"/>
      <c r="BE513" s="406"/>
      <c r="BF513" s="406"/>
      <c r="BG513" s="406"/>
      <c r="BH513" s="406"/>
      <c r="BI513" s="406"/>
      <c r="BJ513" s="406"/>
      <c r="BK513" s="406"/>
      <c r="BL513" s="406"/>
      <c r="BM513" s="406"/>
      <c r="BN513" s="406"/>
      <c r="BO513" s="406"/>
      <c r="BP513" s="406"/>
      <c r="BQ513" s="406"/>
      <c r="BR513" s="406"/>
      <c r="BS513" s="406"/>
      <c r="BT513" s="406"/>
      <c r="BU513" s="406"/>
      <c r="BV513" s="406"/>
      <c r="BW513" s="406"/>
      <c r="BX513" s="406"/>
      <c r="BY513" s="406"/>
      <c r="BZ513" s="406"/>
      <c r="CA513" s="281"/>
      <c r="CB513" s="3" t="str">
        <f t="shared" si="72"/>
        <v>Riadok bude skrytý.</v>
      </c>
      <c r="CC513" s="271" t="s">
        <v>832</v>
      </c>
      <c r="CW513" s="30">
        <f t="shared" si="71"/>
        <v>0</v>
      </c>
      <c r="CZ513" s="30">
        <f t="shared" si="68"/>
        <v>1</v>
      </c>
      <c r="DA513" s="30">
        <f t="shared" si="66"/>
        <v>0</v>
      </c>
      <c r="DB513" s="140">
        <f t="shared" si="70"/>
        <v>0</v>
      </c>
      <c r="DS513" s="130">
        <f>SI!BY513</f>
        <v>126</v>
      </c>
      <c r="DZ513" s="131">
        <f>SI!BZ513</f>
        <v>0</v>
      </c>
    </row>
    <row r="514" spans="1:130" hidden="1" x14ac:dyDescent="0.25">
      <c r="A514" s="141"/>
      <c r="B514" s="406"/>
      <c r="C514" s="406"/>
      <c r="D514" s="406"/>
      <c r="E514" s="406"/>
      <c r="F514" s="406"/>
      <c r="G514" s="406"/>
      <c r="H514" s="406"/>
      <c r="I514" s="406"/>
      <c r="J514" s="406"/>
      <c r="K514" s="406"/>
      <c r="L514" s="406"/>
      <c r="M514" s="406"/>
      <c r="N514" s="406"/>
      <c r="O514" s="406"/>
      <c r="P514" s="406"/>
      <c r="Q514" s="406"/>
      <c r="R514" s="406"/>
      <c r="S514" s="406"/>
      <c r="T514" s="406"/>
      <c r="U514" s="406"/>
      <c r="V514" s="406"/>
      <c r="W514" s="406"/>
      <c r="X514" s="406"/>
      <c r="Y514" s="406"/>
      <c r="Z514" s="406"/>
      <c r="AA514" s="406"/>
      <c r="AB514" s="406"/>
      <c r="AC514" s="406"/>
      <c r="AD514" s="406"/>
      <c r="AE514" s="406"/>
      <c r="AF514" s="406"/>
      <c r="AG514" s="406"/>
      <c r="AH514" s="406"/>
      <c r="AI514" s="406"/>
      <c r="AJ514" s="406"/>
      <c r="AK514" s="406"/>
      <c r="AL514" s="406"/>
      <c r="AM514" s="406"/>
      <c r="AN514" s="406"/>
      <c r="AO514" s="406"/>
      <c r="AP514" s="406"/>
      <c r="AQ514" s="406"/>
      <c r="AR514" s="406"/>
      <c r="AS514" s="406"/>
      <c r="AT514" s="406"/>
      <c r="AU514" s="406"/>
      <c r="AV514" s="406"/>
      <c r="AW514" s="406"/>
      <c r="AX514" s="406"/>
      <c r="AY514" s="406"/>
      <c r="AZ514" s="406"/>
      <c r="BA514" s="406"/>
      <c r="BB514" s="406"/>
      <c r="BC514" s="406"/>
      <c r="BD514" s="406"/>
      <c r="BE514" s="406"/>
      <c r="BF514" s="406"/>
      <c r="BG514" s="406"/>
      <c r="BH514" s="406"/>
      <c r="BI514" s="406"/>
      <c r="BJ514" s="406"/>
      <c r="BK514" s="406"/>
      <c r="BL514" s="406"/>
      <c r="BM514" s="406"/>
      <c r="BN514" s="406"/>
      <c r="BO514" s="406"/>
      <c r="BP514" s="406"/>
      <c r="BQ514" s="406"/>
      <c r="BR514" s="406"/>
      <c r="BS514" s="406"/>
      <c r="BT514" s="406"/>
      <c r="BU514" s="406"/>
      <c r="BV514" s="406"/>
      <c r="BW514" s="406"/>
      <c r="BX514" s="406"/>
      <c r="BY514" s="406"/>
      <c r="BZ514" s="406"/>
      <c r="CA514" s="281"/>
      <c r="CB514" s="3" t="str">
        <f t="shared" si="72"/>
        <v>Riadok bude skrytý.</v>
      </c>
      <c r="CC514" s="271" t="s">
        <v>832</v>
      </c>
      <c r="CW514" s="30">
        <f t="shared" si="71"/>
        <v>0</v>
      </c>
      <c r="CZ514" s="30">
        <f t="shared" si="68"/>
        <v>1</v>
      </c>
      <c r="DA514" s="30">
        <f t="shared" ref="DA514:DA577" si="73">+IF(CW514+CX514+CY514=0,0,IF(CZ514=0,0,1))</f>
        <v>0</v>
      </c>
      <c r="DB514" s="140">
        <f t="shared" si="70"/>
        <v>0</v>
      </c>
      <c r="DS514" s="130">
        <f>SI!BY514</f>
        <v>822</v>
      </c>
      <c r="DZ514" s="131">
        <f>SI!BZ514</f>
        <v>0</v>
      </c>
    </row>
    <row r="515" spans="1:130" hidden="1" x14ac:dyDescent="0.25">
      <c r="A515" s="141"/>
      <c r="B515" s="406"/>
      <c r="C515" s="406"/>
      <c r="D515" s="406"/>
      <c r="E515" s="406"/>
      <c r="F515" s="406"/>
      <c r="G515" s="406"/>
      <c r="H515" s="406"/>
      <c r="I515" s="406"/>
      <c r="J515" s="406"/>
      <c r="K515" s="406"/>
      <c r="L515" s="406"/>
      <c r="M515" s="406"/>
      <c r="N515" s="406"/>
      <c r="O515" s="406"/>
      <c r="P515" s="406"/>
      <c r="Q515" s="406"/>
      <c r="R515" s="406"/>
      <c r="S515" s="406"/>
      <c r="T515" s="406"/>
      <c r="U515" s="406"/>
      <c r="V515" s="406"/>
      <c r="W515" s="406"/>
      <c r="X515" s="406"/>
      <c r="Y515" s="406"/>
      <c r="Z515" s="406"/>
      <c r="AA515" s="406"/>
      <c r="AB515" s="406"/>
      <c r="AC515" s="406"/>
      <c r="AD515" s="406"/>
      <c r="AE515" s="406"/>
      <c r="AF515" s="406"/>
      <c r="AG515" s="406"/>
      <c r="AH515" s="406"/>
      <c r="AI515" s="406"/>
      <c r="AJ515" s="406"/>
      <c r="AK515" s="406"/>
      <c r="AL515" s="406"/>
      <c r="AM515" s="406"/>
      <c r="AN515" s="406"/>
      <c r="AO515" s="406"/>
      <c r="AP515" s="406"/>
      <c r="AQ515" s="406"/>
      <c r="AR515" s="406"/>
      <c r="AS515" s="406"/>
      <c r="AT515" s="406"/>
      <c r="AU515" s="406"/>
      <c r="AV515" s="406"/>
      <c r="AW515" s="406"/>
      <c r="AX515" s="406"/>
      <c r="AY515" s="406"/>
      <c r="AZ515" s="406"/>
      <c r="BA515" s="406"/>
      <c r="BB515" s="406"/>
      <c r="BC515" s="406"/>
      <c r="BD515" s="406"/>
      <c r="BE515" s="406"/>
      <c r="BF515" s="406"/>
      <c r="BG515" s="406"/>
      <c r="BH515" s="406"/>
      <c r="BI515" s="406"/>
      <c r="BJ515" s="406"/>
      <c r="BK515" s="406"/>
      <c r="BL515" s="406"/>
      <c r="BM515" s="406"/>
      <c r="BN515" s="406"/>
      <c r="BO515" s="406"/>
      <c r="BP515" s="406"/>
      <c r="BQ515" s="406"/>
      <c r="BR515" s="406"/>
      <c r="BS515" s="406"/>
      <c r="BT515" s="406"/>
      <c r="BU515" s="406"/>
      <c r="BV515" s="406"/>
      <c r="BW515" s="406"/>
      <c r="BX515" s="406"/>
      <c r="BY515" s="406"/>
      <c r="BZ515" s="406"/>
      <c r="CA515" s="281"/>
      <c r="CB515" s="3" t="str">
        <f t="shared" si="72"/>
        <v>Riadok bude skrytý.</v>
      </c>
      <c r="CC515" s="271" t="s">
        <v>832</v>
      </c>
      <c r="CW515" s="30">
        <f t="shared" si="71"/>
        <v>0</v>
      </c>
      <c r="CZ515" s="30">
        <f t="shared" si="68"/>
        <v>1</v>
      </c>
      <c r="DA515" s="30">
        <f t="shared" si="73"/>
        <v>0</v>
      </c>
      <c r="DB515" s="140">
        <f t="shared" si="70"/>
        <v>0</v>
      </c>
      <c r="DS515" s="130">
        <f>SI!BY515</f>
        <v>185</v>
      </c>
      <c r="DZ515" s="131">
        <f>SI!BZ515</f>
        <v>0</v>
      </c>
    </row>
    <row r="516" spans="1:130" hidden="1" x14ac:dyDescent="0.25">
      <c r="A516" s="141"/>
      <c r="B516" s="406"/>
      <c r="C516" s="406"/>
      <c r="D516" s="406"/>
      <c r="E516" s="406"/>
      <c r="F516" s="406"/>
      <c r="G516" s="406"/>
      <c r="H516" s="406"/>
      <c r="I516" s="406"/>
      <c r="J516" s="406"/>
      <c r="K516" s="406"/>
      <c r="L516" s="406"/>
      <c r="M516" s="406"/>
      <c r="N516" s="406"/>
      <c r="O516" s="406"/>
      <c r="P516" s="406"/>
      <c r="Q516" s="406"/>
      <c r="R516" s="406"/>
      <c r="S516" s="406"/>
      <c r="T516" s="406"/>
      <c r="U516" s="406"/>
      <c r="V516" s="406"/>
      <c r="W516" s="406"/>
      <c r="X516" s="406"/>
      <c r="Y516" s="406"/>
      <c r="Z516" s="406"/>
      <c r="AA516" s="406"/>
      <c r="AB516" s="406"/>
      <c r="AC516" s="406"/>
      <c r="AD516" s="406"/>
      <c r="AE516" s="406"/>
      <c r="AF516" s="406"/>
      <c r="AG516" s="406"/>
      <c r="AH516" s="406"/>
      <c r="AI516" s="406"/>
      <c r="AJ516" s="406"/>
      <c r="AK516" s="406"/>
      <c r="AL516" s="406"/>
      <c r="AM516" s="406"/>
      <c r="AN516" s="406"/>
      <c r="AO516" s="406"/>
      <c r="AP516" s="406"/>
      <c r="AQ516" s="406"/>
      <c r="AR516" s="406"/>
      <c r="AS516" s="406"/>
      <c r="AT516" s="406"/>
      <c r="AU516" s="406"/>
      <c r="AV516" s="406"/>
      <c r="AW516" s="406"/>
      <c r="AX516" s="406"/>
      <c r="AY516" s="406"/>
      <c r="AZ516" s="406"/>
      <c r="BA516" s="406"/>
      <c r="BB516" s="406"/>
      <c r="BC516" s="406"/>
      <c r="BD516" s="406"/>
      <c r="BE516" s="406"/>
      <c r="BF516" s="406"/>
      <c r="BG516" s="406"/>
      <c r="BH516" s="406"/>
      <c r="BI516" s="406"/>
      <c r="BJ516" s="406"/>
      <c r="BK516" s="406"/>
      <c r="BL516" s="406"/>
      <c r="BM516" s="406"/>
      <c r="BN516" s="406"/>
      <c r="BO516" s="406"/>
      <c r="BP516" s="406"/>
      <c r="BQ516" s="406"/>
      <c r="BR516" s="406"/>
      <c r="BS516" s="406"/>
      <c r="BT516" s="406"/>
      <c r="BU516" s="406"/>
      <c r="BV516" s="406"/>
      <c r="BW516" s="406"/>
      <c r="BX516" s="406"/>
      <c r="BY516" s="406"/>
      <c r="BZ516" s="406"/>
      <c r="CA516" s="281"/>
      <c r="CB516" s="3" t="str">
        <f t="shared" si="72"/>
        <v>Riadok bude skrytý.</v>
      </c>
      <c r="CC516" s="271" t="s">
        <v>832</v>
      </c>
      <c r="CW516" s="30">
        <f t="shared" si="71"/>
        <v>0</v>
      </c>
      <c r="CZ516" s="30">
        <f t="shared" si="68"/>
        <v>1</v>
      </c>
      <c r="DA516" s="30">
        <f t="shared" si="73"/>
        <v>0</v>
      </c>
      <c r="DB516" s="140">
        <f t="shared" si="70"/>
        <v>0</v>
      </c>
      <c r="DS516" s="130">
        <f>SI!BY516</f>
        <v>321</v>
      </c>
      <c r="DZ516" s="131">
        <f>SI!BZ516</f>
        <v>0</v>
      </c>
    </row>
    <row r="517" spans="1:130" x14ac:dyDescent="0.25">
      <c r="A517" s="141"/>
      <c r="CA517" s="270"/>
      <c r="CB517" s="3" t="str">
        <f t="shared" si="72"/>
        <v>Riadok bude vidieť.</v>
      </c>
      <c r="CC517" s="271" t="s">
        <v>832</v>
      </c>
      <c r="CW517" s="32">
        <f>+IF(SUM(CW519:CW538)=0,0,1)</f>
        <v>1</v>
      </c>
      <c r="CZ517" s="30">
        <f t="shared" si="68"/>
        <v>1</v>
      </c>
      <c r="DA517" s="30">
        <f t="shared" si="73"/>
        <v>1</v>
      </c>
      <c r="DB517" s="140">
        <f t="shared" si="70"/>
        <v>1</v>
      </c>
      <c r="DS517" s="130">
        <f>SI!BY517</f>
        <v>126</v>
      </c>
      <c r="DZ517" s="131">
        <f>SI!BZ517</f>
        <v>0</v>
      </c>
    </row>
    <row r="518" spans="1:130" x14ac:dyDescent="0.25">
      <c r="A518" s="141"/>
      <c r="B518" s="279" t="s">
        <v>859</v>
      </c>
      <c r="C518" s="1792" t="str">
        <f>+IF($G$52&lt;&gt;"",IF(ROUNDDOWN(CODE(MID($G$52,1,1))*2,0)*(IF(SI!EE518="",1,SI!EE518))+(LEN(SI!J2)+LEN(SI!J3))=DS518,"Ocenenie krátkodobého finančného majetku (peňažných prostriedkov, cenín, CP na obchodovanie)","NEPOVOLENÉ POUŽITIE!"),"NEPOVOLENÉ POUŽITIE!")</f>
        <v>Ocenenie krátkodobého finančného majetku (peňažných prostriedkov, cenín, CP na obchodovanie)</v>
      </c>
      <c r="D518" s="1792"/>
      <c r="E518" s="1792"/>
      <c r="F518" s="1792"/>
      <c r="G518" s="1792"/>
      <c r="H518" s="1792"/>
      <c r="I518" s="1792"/>
      <c r="J518" s="1792"/>
      <c r="K518" s="1792"/>
      <c r="L518" s="1792"/>
      <c r="M518" s="1792"/>
      <c r="N518" s="1792"/>
      <c r="O518" s="1792"/>
      <c r="P518" s="1792"/>
      <c r="Q518" s="1792"/>
      <c r="R518" s="1792"/>
      <c r="S518" s="1792"/>
      <c r="T518" s="1792"/>
      <c r="U518" s="1792"/>
      <c r="V518" s="1792"/>
      <c r="W518" s="1792"/>
      <c r="X518" s="1792"/>
      <c r="Y518" s="1792"/>
      <c r="Z518" s="1792"/>
      <c r="AA518" s="1792"/>
      <c r="AB518" s="1792"/>
      <c r="AC518" s="1792"/>
      <c r="AD518" s="1792"/>
      <c r="AE518" s="1792"/>
      <c r="AF518" s="1792"/>
      <c r="AG518" s="1792"/>
      <c r="AH518" s="1792"/>
      <c r="AI518" s="1792"/>
      <c r="AJ518" s="1792"/>
      <c r="AK518" s="1792"/>
      <c r="AL518" s="1792"/>
      <c r="AM518" s="1792"/>
      <c r="AN518" s="1792"/>
      <c r="AO518" s="1792"/>
      <c r="AP518" s="1792"/>
      <c r="AQ518" s="1792"/>
      <c r="AR518" s="1792"/>
      <c r="AS518" s="1792"/>
      <c r="AT518" s="1792"/>
      <c r="AU518" s="1792"/>
      <c r="AV518" s="1792"/>
      <c r="AW518" s="1792"/>
      <c r="AX518" s="1792"/>
      <c r="AY518" s="1792"/>
      <c r="AZ518" s="1792"/>
      <c r="BA518" s="1792"/>
      <c r="BB518" s="1792"/>
      <c r="BC518" s="1792"/>
      <c r="BD518" s="1792"/>
      <c r="BE518" s="1792"/>
      <c r="BF518" s="1792"/>
      <c r="BG518" s="1792"/>
      <c r="BH518" s="1792"/>
      <c r="BI518" s="1792"/>
      <c r="BJ518" s="1792"/>
      <c r="BK518" s="1792"/>
      <c r="BL518" s="1792"/>
      <c r="BM518" s="1792"/>
      <c r="BN518" s="1792"/>
      <c r="BO518" s="1792"/>
      <c r="BP518" s="1792"/>
      <c r="BQ518" s="1792"/>
      <c r="BR518" s="1792"/>
      <c r="BS518" s="1792"/>
      <c r="BT518" s="1792"/>
      <c r="BU518" s="1792"/>
      <c r="BV518" s="1792"/>
      <c r="BW518" s="1792"/>
      <c r="BX518" s="1792"/>
      <c r="BY518" s="1792"/>
      <c r="BZ518" s="1792"/>
      <c r="CA518" s="265" t="s">
        <v>773</v>
      </c>
      <c r="CB518" s="3" t="str">
        <f t="shared" si="72"/>
        <v>Riadok bude vidieť.</v>
      </c>
      <c r="CC518" s="271" t="s">
        <v>832</v>
      </c>
      <c r="CW518" s="134">
        <f>+IF(SUM(CW519:CW538)=0,0,1)</f>
        <v>1</v>
      </c>
      <c r="CZ518" s="30">
        <f t="shared" si="68"/>
        <v>1</v>
      </c>
      <c r="DA518" s="30">
        <f t="shared" si="73"/>
        <v>1</v>
      </c>
      <c r="DB518" s="140">
        <f t="shared" si="70"/>
        <v>1</v>
      </c>
      <c r="DS518" s="130">
        <f>SI!BY518</f>
        <v>18</v>
      </c>
      <c r="DZ518" s="131">
        <f>SI!BZ518</f>
        <v>0</v>
      </c>
    </row>
    <row r="519" spans="1:130" x14ac:dyDescent="0.25">
      <c r="A519" s="141"/>
      <c r="B519" s="406" t="s">
        <v>708</v>
      </c>
      <c r="C519" s="406"/>
      <c r="D519" s="406"/>
      <c r="E519" s="406"/>
      <c r="F519" s="406"/>
      <c r="G519" s="406"/>
      <c r="H519" s="406"/>
      <c r="I519" s="406"/>
      <c r="J519" s="406"/>
      <c r="K519" s="406"/>
      <c r="L519" s="406"/>
      <c r="M519" s="406"/>
      <c r="N519" s="406"/>
      <c r="O519" s="406"/>
      <c r="P519" s="406"/>
      <c r="Q519" s="406"/>
      <c r="R519" s="406"/>
      <c r="S519" s="406"/>
      <c r="T519" s="406"/>
      <c r="U519" s="406"/>
      <c r="V519" s="406"/>
      <c r="W519" s="406"/>
      <c r="X519" s="406"/>
      <c r="Y519" s="406"/>
      <c r="Z519" s="406"/>
      <c r="AA519" s="406"/>
      <c r="AB519" s="406"/>
      <c r="AC519" s="406"/>
      <c r="AD519" s="406"/>
      <c r="AE519" s="406"/>
      <c r="AF519" s="406"/>
      <c r="AG519" s="406"/>
      <c r="AH519" s="406"/>
      <c r="AI519" s="406"/>
      <c r="AJ519" s="406"/>
      <c r="AK519" s="406"/>
      <c r="AL519" s="406"/>
      <c r="AM519" s="406"/>
      <c r="AN519" s="406"/>
      <c r="AO519" s="406"/>
      <c r="AP519" s="406"/>
      <c r="AQ519" s="406"/>
      <c r="AR519" s="406"/>
      <c r="AS519" s="406"/>
      <c r="AT519" s="406"/>
      <c r="AU519" s="406"/>
      <c r="AV519" s="406"/>
      <c r="AW519" s="406"/>
      <c r="AX519" s="406"/>
      <c r="AY519" s="406"/>
      <c r="AZ519" s="406"/>
      <c r="BA519" s="406"/>
      <c r="BB519" s="406"/>
      <c r="BC519" s="406"/>
      <c r="BD519" s="406"/>
      <c r="BE519" s="406"/>
      <c r="BF519" s="406"/>
      <c r="BG519" s="406"/>
      <c r="BH519" s="406"/>
      <c r="BI519" s="406"/>
      <c r="BJ519" s="406"/>
      <c r="BK519" s="406"/>
      <c r="BL519" s="406"/>
      <c r="BM519" s="406"/>
      <c r="BN519" s="406"/>
      <c r="BO519" s="406"/>
      <c r="BP519" s="406"/>
      <c r="BQ519" s="406"/>
      <c r="BR519" s="406"/>
      <c r="BS519" s="406"/>
      <c r="BT519" s="406"/>
      <c r="BU519" s="406"/>
      <c r="BV519" s="406"/>
      <c r="BW519" s="406"/>
      <c r="BX519" s="406"/>
      <c r="BY519" s="406"/>
      <c r="BZ519" s="406"/>
      <c r="CA519" s="281"/>
      <c r="CB519" s="3" t="str">
        <f t="shared" si="72"/>
        <v>Riadok bude vidieť.</v>
      </c>
      <c r="CC519" s="271" t="s">
        <v>832</v>
      </c>
      <c r="CW519" s="30">
        <f t="shared" ref="CW519:CW538" si="74">+IF(B519="",0,1)</f>
        <v>1</v>
      </c>
      <c r="CZ519" s="30">
        <f t="shared" si="68"/>
        <v>1</v>
      </c>
      <c r="DA519" s="30">
        <f t="shared" si="73"/>
        <v>1</v>
      </c>
      <c r="DB519" s="140">
        <f t="shared" si="70"/>
        <v>1</v>
      </c>
      <c r="DS519" s="130">
        <f>SI!BY519</f>
        <v>198</v>
      </c>
      <c r="DZ519" s="131">
        <f>SI!BZ519</f>
        <v>0</v>
      </c>
    </row>
    <row r="520" spans="1:130" x14ac:dyDescent="0.25">
      <c r="A520" s="141"/>
      <c r="B520" s="406" t="s">
        <v>709</v>
      </c>
      <c r="C520" s="406"/>
      <c r="D520" s="406"/>
      <c r="E520" s="406"/>
      <c r="F520" s="406"/>
      <c r="G520" s="406"/>
      <c r="H520" s="406"/>
      <c r="I520" s="406"/>
      <c r="J520" s="406"/>
      <c r="K520" s="406"/>
      <c r="L520" s="406"/>
      <c r="M520" s="406"/>
      <c r="N520" s="406"/>
      <c r="O520" s="406"/>
      <c r="P520" s="406"/>
      <c r="Q520" s="406"/>
      <c r="R520" s="406"/>
      <c r="S520" s="406"/>
      <c r="T520" s="406"/>
      <c r="U520" s="406"/>
      <c r="V520" s="406"/>
      <c r="W520" s="406"/>
      <c r="X520" s="406"/>
      <c r="Y520" s="406"/>
      <c r="Z520" s="406"/>
      <c r="AA520" s="406"/>
      <c r="AB520" s="406"/>
      <c r="AC520" s="406"/>
      <c r="AD520" s="406"/>
      <c r="AE520" s="406"/>
      <c r="AF520" s="406"/>
      <c r="AG520" s="406"/>
      <c r="AH520" s="406"/>
      <c r="AI520" s="406"/>
      <c r="AJ520" s="406"/>
      <c r="AK520" s="406"/>
      <c r="AL520" s="406"/>
      <c r="AM520" s="406"/>
      <c r="AN520" s="406"/>
      <c r="AO520" s="406"/>
      <c r="AP520" s="406"/>
      <c r="AQ520" s="406"/>
      <c r="AR520" s="406"/>
      <c r="AS520" s="406"/>
      <c r="AT520" s="406"/>
      <c r="AU520" s="406"/>
      <c r="AV520" s="406"/>
      <c r="AW520" s="406"/>
      <c r="AX520" s="406"/>
      <c r="AY520" s="406"/>
      <c r="AZ520" s="406"/>
      <c r="BA520" s="406"/>
      <c r="BB520" s="406"/>
      <c r="BC520" s="406"/>
      <c r="BD520" s="406"/>
      <c r="BE520" s="406"/>
      <c r="BF520" s="406"/>
      <c r="BG520" s="406"/>
      <c r="BH520" s="406"/>
      <c r="BI520" s="406"/>
      <c r="BJ520" s="406"/>
      <c r="BK520" s="406"/>
      <c r="BL520" s="406"/>
      <c r="BM520" s="406"/>
      <c r="BN520" s="406"/>
      <c r="BO520" s="406"/>
      <c r="BP520" s="406"/>
      <c r="BQ520" s="406"/>
      <c r="BR520" s="406"/>
      <c r="BS520" s="406"/>
      <c r="BT520" s="406"/>
      <c r="BU520" s="406"/>
      <c r="BV520" s="406"/>
      <c r="BW520" s="406"/>
      <c r="BX520" s="406"/>
      <c r="BY520" s="406"/>
      <c r="BZ520" s="406"/>
      <c r="CA520" s="281"/>
      <c r="CB520" s="3" t="str">
        <f t="shared" si="72"/>
        <v>Riadok bude vidieť.</v>
      </c>
      <c r="CC520" s="271" t="s">
        <v>832</v>
      </c>
      <c r="CW520" s="30">
        <f t="shared" si="74"/>
        <v>1</v>
      </c>
      <c r="CZ520" s="30">
        <f t="shared" si="68"/>
        <v>1</v>
      </c>
      <c r="DA520" s="30">
        <f t="shared" si="73"/>
        <v>1</v>
      </c>
      <c r="DB520" s="140">
        <f t="shared" si="70"/>
        <v>1</v>
      </c>
      <c r="DS520" s="130">
        <f>SI!BY520</f>
        <v>633</v>
      </c>
      <c r="DZ520" s="131">
        <f>SI!BZ520</f>
        <v>0</v>
      </c>
    </row>
    <row r="521" spans="1:130" x14ac:dyDescent="0.25">
      <c r="A521" s="141"/>
      <c r="B521" s="406" t="s">
        <v>850</v>
      </c>
      <c r="C521" s="406"/>
      <c r="D521" s="406"/>
      <c r="E521" s="406"/>
      <c r="F521" s="406"/>
      <c r="G521" s="406"/>
      <c r="H521" s="406"/>
      <c r="I521" s="406"/>
      <c r="J521" s="406"/>
      <c r="K521" s="406"/>
      <c r="L521" s="406"/>
      <c r="M521" s="406"/>
      <c r="N521" s="406"/>
      <c r="O521" s="406"/>
      <c r="P521" s="406"/>
      <c r="Q521" s="406"/>
      <c r="R521" s="406"/>
      <c r="S521" s="406"/>
      <c r="T521" s="406"/>
      <c r="U521" s="406"/>
      <c r="V521" s="406"/>
      <c r="W521" s="406"/>
      <c r="X521" s="406"/>
      <c r="Y521" s="406"/>
      <c r="Z521" s="406"/>
      <c r="AA521" s="406"/>
      <c r="AB521" s="406"/>
      <c r="AC521" s="406"/>
      <c r="AD521" s="406"/>
      <c r="AE521" s="406"/>
      <c r="AF521" s="406"/>
      <c r="AG521" s="406"/>
      <c r="AH521" s="406"/>
      <c r="AI521" s="406"/>
      <c r="AJ521" s="406"/>
      <c r="AK521" s="406"/>
      <c r="AL521" s="406"/>
      <c r="AM521" s="406"/>
      <c r="AN521" s="406"/>
      <c r="AO521" s="406"/>
      <c r="AP521" s="406"/>
      <c r="AQ521" s="406"/>
      <c r="AR521" s="406"/>
      <c r="AS521" s="406"/>
      <c r="AT521" s="406"/>
      <c r="AU521" s="406"/>
      <c r="AV521" s="406"/>
      <c r="AW521" s="406"/>
      <c r="AX521" s="406"/>
      <c r="AY521" s="406"/>
      <c r="AZ521" s="406"/>
      <c r="BA521" s="406"/>
      <c r="BB521" s="406"/>
      <c r="BC521" s="406"/>
      <c r="BD521" s="406"/>
      <c r="BE521" s="406"/>
      <c r="BF521" s="406"/>
      <c r="BG521" s="406"/>
      <c r="BH521" s="406"/>
      <c r="BI521" s="406"/>
      <c r="BJ521" s="406"/>
      <c r="BK521" s="406"/>
      <c r="BL521" s="406"/>
      <c r="BM521" s="406"/>
      <c r="BN521" s="406"/>
      <c r="BO521" s="406"/>
      <c r="BP521" s="406"/>
      <c r="BQ521" s="406"/>
      <c r="BR521" s="406"/>
      <c r="BS521" s="406"/>
      <c r="BT521" s="406"/>
      <c r="BU521" s="406"/>
      <c r="BV521" s="406"/>
      <c r="BW521" s="406"/>
      <c r="BX521" s="406"/>
      <c r="BY521" s="406"/>
      <c r="BZ521" s="406"/>
      <c r="CA521" s="281"/>
      <c r="CB521" s="3" t="str">
        <f t="shared" si="72"/>
        <v>Riadok bude vidieť.</v>
      </c>
      <c r="CC521" s="271" t="s">
        <v>832</v>
      </c>
      <c r="CW521" s="30">
        <f t="shared" si="74"/>
        <v>1</v>
      </c>
      <c r="CZ521" s="30">
        <f t="shared" si="68"/>
        <v>1</v>
      </c>
      <c r="DA521" s="30">
        <f t="shared" si="73"/>
        <v>1</v>
      </c>
      <c r="DB521" s="140">
        <f t="shared" si="70"/>
        <v>1</v>
      </c>
      <c r="DS521" s="130">
        <f>SI!BY521</f>
        <v>181</v>
      </c>
      <c r="DZ521" s="131">
        <f>SI!BZ521</f>
        <v>0</v>
      </c>
    </row>
    <row r="522" spans="1:130" x14ac:dyDescent="0.25">
      <c r="A522" s="141"/>
      <c r="B522" s="406" t="s">
        <v>851</v>
      </c>
      <c r="C522" s="406"/>
      <c r="D522" s="406"/>
      <c r="E522" s="406"/>
      <c r="F522" s="406"/>
      <c r="G522" s="406"/>
      <c r="H522" s="406"/>
      <c r="I522" s="406"/>
      <c r="J522" s="406"/>
      <c r="K522" s="406"/>
      <c r="L522" s="406"/>
      <c r="M522" s="406"/>
      <c r="N522" s="406"/>
      <c r="O522" s="406"/>
      <c r="P522" s="406"/>
      <c r="Q522" s="406"/>
      <c r="R522" s="406"/>
      <c r="S522" s="406"/>
      <c r="T522" s="406"/>
      <c r="U522" s="406"/>
      <c r="V522" s="406"/>
      <c r="W522" s="406"/>
      <c r="X522" s="406"/>
      <c r="Y522" s="406"/>
      <c r="Z522" s="406"/>
      <c r="AA522" s="406"/>
      <c r="AB522" s="406"/>
      <c r="AC522" s="406"/>
      <c r="AD522" s="406"/>
      <c r="AE522" s="406"/>
      <c r="AF522" s="406"/>
      <c r="AG522" s="406"/>
      <c r="AH522" s="406"/>
      <c r="AI522" s="406"/>
      <c r="AJ522" s="406"/>
      <c r="AK522" s="406"/>
      <c r="AL522" s="406"/>
      <c r="AM522" s="406"/>
      <c r="AN522" s="406"/>
      <c r="AO522" s="406"/>
      <c r="AP522" s="406"/>
      <c r="AQ522" s="406"/>
      <c r="AR522" s="406"/>
      <c r="AS522" s="406"/>
      <c r="AT522" s="406"/>
      <c r="AU522" s="406"/>
      <c r="AV522" s="406"/>
      <c r="AW522" s="406"/>
      <c r="AX522" s="406"/>
      <c r="AY522" s="406"/>
      <c r="AZ522" s="406"/>
      <c r="BA522" s="406"/>
      <c r="BB522" s="406"/>
      <c r="BC522" s="406"/>
      <c r="BD522" s="406"/>
      <c r="BE522" s="406"/>
      <c r="BF522" s="406"/>
      <c r="BG522" s="406"/>
      <c r="BH522" s="406"/>
      <c r="BI522" s="406"/>
      <c r="BJ522" s="406"/>
      <c r="BK522" s="406"/>
      <c r="BL522" s="406"/>
      <c r="BM522" s="406"/>
      <c r="BN522" s="406"/>
      <c r="BO522" s="406"/>
      <c r="BP522" s="406"/>
      <c r="BQ522" s="406"/>
      <c r="BR522" s="406"/>
      <c r="BS522" s="406"/>
      <c r="BT522" s="406"/>
      <c r="BU522" s="406"/>
      <c r="BV522" s="406"/>
      <c r="BW522" s="406"/>
      <c r="BX522" s="406"/>
      <c r="BY522" s="406"/>
      <c r="BZ522" s="406"/>
      <c r="CA522" s="281"/>
      <c r="CB522" s="3" t="str">
        <f t="shared" si="72"/>
        <v>Riadok bude vidieť.</v>
      </c>
      <c r="CC522" s="271" t="s">
        <v>832</v>
      </c>
      <c r="CW522" s="30">
        <f t="shared" si="74"/>
        <v>1</v>
      </c>
      <c r="CZ522" s="30">
        <f t="shared" si="68"/>
        <v>1</v>
      </c>
      <c r="DA522" s="30">
        <f t="shared" si="73"/>
        <v>1</v>
      </c>
      <c r="DB522" s="140">
        <f t="shared" si="70"/>
        <v>1</v>
      </c>
      <c r="DS522" s="130">
        <f>SI!BY522</f>
        <v>9</v>
      </c>
      <c r="DZ522" s="131">
        <f>SI!BZ522</f>
        <v>0</v>
      </c>
    </row>
    <row r="523" spans="1:130" hidden="1" x14ac:dyDescent="0.25">
      <c r="A523" s="141"/>
      <c r="B523" s="406"/>
      <c r="C523" s="406"/>
      <c r="D523" s="406"/>
      <c r="E523" s="406"/>
      <c r="F523" s="406"/>
      <c r="G523" s="406"/>
      <c r="H523" s="406"/>
      <c r="I523" s="406"/>
      <c r="J523" s="406"/>
      <c r="K523" s="406"/>
      <c r="L523" s="406"/>
      <c r="M523" s="406"/>
      <c r="N523" s="406"/>
      <c r="O523" s="406"/>
      <c r="P523" s="406"/>
      <c r="Q523" s="406"/>
      <c r="R523" s="406"/>
      <c r="S523" s="406"/>
      <c r="T523" s="406"/>
      <c r="U523" s="406"/>
      <c r="V523" s="406"/>
      <c r="W523" s="406"/>
      <c r="X523" s="406"/>
      <c r="Y523" s="406"/>
      <c r="Z523" s="406"/>
      <c r="AA523" s="406"/>
      <c r="AB523" s="406"/>
      <c r="AC523" s="406"/>
      <c r="AD523" s="406"/>
      <c r="AE523" s="406"/>
      <c r="AF523" s="406"/>
      <c r="AG523" s="406"/>
      <c r="AH523" s="406"/>
      <c r="AI523" s="406"/>
      <c r="AJ523" s="406"/>
      <c r="AK523" s="406"/>
      <c r="AL523" s="406"/>
      <c r="AM523" s="406"/>
      <c r="AN523" s="406"/>
      <c r="AO523" s="406"/>
      <c r="AP523" s="406"/>
      <c r="AQ523" s="406"/>
      <c r="AR523" s="406"/>
      <c r="AS523" s="406"/>
      <c r="AT523" s="406"/>
      <c r="AU523" s="406"/>
      <c r="AV523" s="406"/>
      <c r="AW523" s="406"/>
      <c r="AX523" s="406"/>
      <c r="AY523" s="406"/>
      <c r="AZ523" s="406"/>
      <c r="BA523" s="406"/>
      <c r="BB523" s="406"/>
      <c r="BC523" s="406"/>
      <c r="BD523" s="406"/>
      <c r="BE523" s="406"/>
      <c r="BF523" s="406"/>
      <c r="BG523" s="406"/>
      <c r="BH523" s="406"/>
      <c r="BI523" s="406"/>
      <c r="BJ523" s="406"/>
      <c r="BK523" s="406"/>
      <c r="BL523" s="406"/>
      <c r="BM523" s="406"/>
      <c r="BN523" s="406"/>
      <c r="BO523" s="406"/>
      <c r="BP523" s="406"/>
      <c r="BQ523" s="406"/>
      <c r="BR523" s="406"/>
      <c r="BS523" s="406"/>
      <c r="BT523" s="406"/>
      <c r="BU523" s="406"/>
      <c r="BV523" s="406"/>
      <c r="BW523" s="406"/>
      <c r="BX523" s="406"/>
      <c r="BY523" s="406"/>
      <c r="BZ523" s="406"/>
      <c r="CA523" s="281"/>
      <c r="CB523" s="3" t="str">
        <f t="shared" si="72"/>
        <v>Riadok bude skrytý.</v>
      </c>
      <c r="CC523" s="271" t="s">
        <v>832</v>
      </c>
      <c r="CW523" s="30">
        <f t="shared" si="74"/>
        <v>0</v>
      </c>
      <c r="CZ523" s="30">
        <f t="shared" si="68"/>
        <v>1</v>
      </c>
      <c r="DA523" s="30">
        <f t="shared" si="73"/>
        <v>0</v>
      </c>
      <c r="DB523" s="140">
        <f t="shared" si="70"/>
        <v>0</v>
      </c>
      <c r="DS523" s="130">
        <f>SI!BY523</f>
        <v>183</v>
      </c>
      <c r="DZ523" s="131">
        <f>SI!BZ523</f>
        <v>0</v>
      </c>
    </row>
    <row r="524" spans="1:130" hidden="1" x14ac:dyDescent="0.25">
      <c r="A524" s="141"/>
      <c r="B524" s="406"/>
      <c r="C524" s="406"/>
      <c r="D524" s="406"/>
      <c r="E524" s="406"/>
      <c r="F524" s="406"/>
      <c r="G524" s="406"/>
      <c r="H524" s="406"/>
      <c r="I524" s="406"/>
      <c r="J524" s="406"/>
      <c r="K524" s="406"/>
      <c r="L524" s="406"/>
      <c r="M524" s="406"/>
      <c r="N524" s="406"/>
      <c r="O524" s="406"/>
      <c r="P524" s="406"/>
      <c r="Q524" s="406"/>
      <c r="R524" s="406"/>
      <c r="S524" s="406"/>
      <c r="T524" s="406"/>
      <c r="U524" s="406"/>
      <c r="V524" s="406"/>
      <c r="W524" s="406"/>
      <c r="X524" s="406"/>
      <c r="Y524" s="406"/>
      <c r="Z524" s="406"/>
      <c r="AA524" s="406"/>
      <c r="AB524" s="406"/>
      <c r="AC524" s="406"/>
      <c r="AD524" s="406"/>
      <c r="AE524" s="406"/>
      <c r="AF524" s="406"/>
      <c r="AG524" s="406"/>
      <c r="AH524" s="406"/>
      <c r="AI524" s="406"/>
      <c r="AJ524" s="406"/>
      <c r="AK524" s="406"/>
      <c r="AL524" s="406"/>
      <c r="AM524" s="406"/>
      <c r="AN524" s="406"/>
      <c r="AO524" s="406"/>
      <c r="AP524" s="406"/>
      <c r="AQ524" s="406"/>
      <c r="AR524" s="406"/>
      <c r="AS524" s="406"/>
      <c r="AT524" s="406"/>
      <c r="AU524" s="406"/>
      <c r="AV524" s="406"/>
      <c r="AW524" s="406"/>
      <c r="AX524" s="406"/>
      <c r="AY524" s="406"/>
      <c r="AZ524" s="406"/>
      <c r="BA524" s="406"/>
      <c r="BB524" s="406"/>
      <c r="BC524" s="406"/>
      <c r="BD524" s="406"/>
      <c r="BE524" s="406"/>
      <c r="BF524" s="406"/>
      <c r="BG524" s="406"/>
      <c r="BH524" s="406"/>
      <c r="BI524" s="406"/>
      <c r="BJ524" s="406"/>
      <c r="BK524" s="406"/>
      <c r="BL524" s="406"/>
      <c r="BM524" s="406"/>
      <c r="BN524" s="406"/>
      <c r="BO524" s="406"/>
      <c r="BP524" s="406"/>
      <c r="BQ524" s="406"/>
      <c r="BR524" s="406"/>
      <c r="BS524" s="406"/>
      <c r="BT524" s="406"/>
      <c r="BU524" s="406"/>
      <c r="BV524" s="406"/>
      <c r="BW524" s="406"/>
      <c r="BX524" s="406"/>
      <c r="BY524" s="406"/>
      <c r="BZ524" s="406"/>
      <c r="CA524" s="281"/>
      <c r="CB524" s="3" t="str">
        <f t="shared" si="72"/>
        <v>Riadok bude skrytý.</v>
      </c>
      <c r="CC524" s="271" t="s">
        <v>832</v>
      </c>
      <c r="CW524" s="30">
        <f t="shared" si="74"/>
        <v>0</v>
      </c>
      <c r="CZ524" s="30">
        <f t="shared" si="68"/>
        <v>1</v>
      </c>
      <c r="DA524" s="30">
        <f t="shared" si="73"/>
        <v>0</v>
      </c>
      <c r="DB524" s="140">
        <f t="shared" si="70"/>
        <v>0</v>
      </c>
      <c r="DS524" s="130">
        <f>SI!BY524</f>
        <v>204</v>
      </c>
      <c r="DZ524" s="131">
        <f>SI!BZ524</f>
        <v>0</v>
      </c>
    </row>
    <row r="525" spans="1:130" hidden="1" x14ac:dyDescent="0.25">
      <c r="A525" s="141"/>
      <c r="B525" s="406"/>
      <c r="C525" s="406"/>
      <c r="D525" s="406"/>
      <c r="E525" s="406"/>
      <c r="F525" s="406"/>
      <c r="G525" s="406"/>
      <c r="H525" s="406"/>
      <c r="I525" s="406"/>
      <c r="J525" s="406"/>
      <c r="K525" s="406"/>
      <c r="L525" s="406"/>
      <c r="M525" s="406"/>
      <c r="N525" s="406"/>
      <c r="O525" s="406"/>
      <c r="P525" s="406"/>
      <c r="Q525" s="406"/>
      <c r="R525" s="406"/>
      <c r="S525" s="406"/>
      <c r="T525" s="406"/>
      <c r="U525" s="406"/>
      <c r="V525" s="406"/>
      <c r="W525" s="406"/>
      <c r="X525" s="406"/>
      <c r="Y525" s="406"/>
      <c r="Z525" s="406"/>
      <c r="AA525" s="406"/>
      <c r="AB525" s="406"/>
      <c r="AC525" s="406"/>
      <c r="AD525" s="406"/>
      <c r="AE525" s="406"/>
      <c r="AF525" s="406"/>
      <c r="AG525" s="406"/>
      <c r="AH525" s="406"/>
      <c r="AI525" s="406"/>
      <c r="AJ525" s="406"/>
      <c r="AK525" s="406"/>
      <c r="AL525" s="406"/>
      <c r="AM525" s="406"/>
      <c r="AN525" s="406"/>
      <c r="AO525" s="406"/>
      <c r="AP525" s="406"/>
      <c r="AQ525" s="406"/>
      <c r="AR525" s="406"/>
      <c r="AS525" s="406"/>
      <c r="AT525" s="406"/>
      <c r="AU525" s="406"/>
      <c r="AV525" s="406"/>
      <c r="AW525" s="406"/>
      <c r="AX525" s="406"/>
      <c r="AY525" s="406"/>
      <c r="AZ525" s="406"/>
      <c r="BA525" s="406"/>
      <c r="BB525" s="406"/>
      <c r="BC525" s="406"/>
      <c r="BD525" s="406"/>
      <c r="BE525" s="406"/>
      <c r="BF525" s="406"/>
      <c r="BG525" s="406"/>
      <c r="BH525" s="406"/>
      <c r="BI525" s="406"/>
      <c r="BJ525" s="406"/>
      <c r="BK525" s="406"/>
      <c r="BL525" s="406"/>
      <c r="BM525" s="406"/>
      <c r="BN525" s="406"/>
      <c r="BO525" s="406"/>
      <c r="BP525" s="406"/>
      <c r="BQ525" s="406"/>
      <c r="BR525" s="406"/>
      <c r="BS525" s="406"/>
      <c r="BT525" s="406"/>
      <c r="BU525" s="406"/>
      <c r="BV525" s="406"/>
      <c r="BW525" s="406"/>
      <c r="BX525" s="406"/>
      <c r="BY525" s="406"/>
      <c r="BZ525" s="406"/>
      <c r="CA525" s="281"/>
      <c r="CB525" s="3" t="str">
        <f t="shared" si="72"/>
        <v>Riadok bude skrytý.</v>
      </c>
      <c r="CC525" s="271" t="s">
        <v>832</v>
      </c>
      <c r="CW525" s="30">
        <f t="shared" si="74"/>
        <v>0</v>
      </c>
      <c r="CZ525" s="30">
        <f t="shared" si="68"/>
        <v>1</v>
      </c>
      <c r="DA525" s="30">
        <f t="shared" si="73"/>
        <v>0</v>
      </c>
      <c r="DB525" s="140">
        <f t="shared" si="70"/>
        <v>0</v>
      </c>
      <c r="DS525" s="130">
        <f>SI!BY525</f>
        <v>1058</v>
      </c>
      <c r="DZ525" s="131">
        <f>SI!BZ525</f>
        <v>0</v>
      </c>
    </row>
    <row r="526" spans="1:130" hidden="1" x14ac:dyDescent="0.25">
      <c r="A526" s="141"/>
      <c r="B526" s="406"/>
      <c r="C526" s="406"/>
      <c r="D526" s="406"/>
      <c r="E526" s="406"/>
      <c r="F526" s="406"/>
      <c r="G526" s="406"/>
      <c r="H526" s="406"/>
      <c r="I526" s="406"/>
      <c r="J526" s="406"/>
      <c r="K526" s="406"/>
      <c r="L526" s="406"/>
      <c r="M526" s="406"/>
      <c r="N526" s="406"/>
      <c r="O526" s="406"/>
      <c r="P526" s="406"/>
      <c r="Q526" s="406"/>
      <c r="R526" s="406"/>
      <c r="S526" s="406"/>
      <c r="T526" s="406"/>
      <c r="U526" s="406"/>
      <c r="V526" s="406"/>
      <c r="W526" s="406"/>
      <c r="X526" s="406"/>
      <c r="Y526" s="406"/>
      <c r="Z526" s="406"/>
      <c r="AA526" s="406"/>
      <c r="AB526" s="406"/>
      <c r="AC526" s="406"/>
      <c r="AD526" s="406"/>
      <c r="AE526" s="406"/>
      <c r="AF526" s="406"/>
      <c r="AG526" s="406"/>
      <c r="AH526" s="406"/>
      <c r="AI526" s="406"/>
      <c r="AJ526" s="406"/>
      <c r="AK526" s="406"/>
      <c r="AL526" s="406"/>
      <c r="AM526" s="406"/>
      <c r="AN526" s="406"/>
      <c r="AO526" s="406"/>
      <c r="AP526" s="406"/>
      <c r="AQ526" s="406"/>
      <c r="AR526" s="406"/>
      <c r="AS526" s="406"/>
      <c r="AT526" s="406"/>
      <c r="AU526" s="406"/>
      <c r="AV526" s="406"/>
      <c r="AW526" s="406"/>
      <c r="AX526" s="406"/>
      <c r="AY526" s="406"/>
      <c r="AZ526" s="406"/>
      <c r="BA526" s="406"/>
      <c r="BB526" s="406"/>
      <c r="BC526" s="406"/>
      <c r="BD526" s="406"/>
      <c r="BE526" s="406"/>
      <c r="BF526" s="406"/>
      <c r="BG526" s="406"/>
      <c r="BH526" s="406"/>
      <c r="BI526" s="406"/>
      <c r="BJ526" s="406"/>
      <c r="BK526" s="406"/>
      <c r="BL526" s="406"/>
      <c r="BM526" s="406"/>
      <c r="BN526" s="406"/>
      <c r="BO526" s="406"/>
      <c r="BP526" s="406"/>
      <c r="BQ526" s="406"/>
      <c r="BR526" s="406"/>
      <c r="BS526" s="406"/>
      <c r="BT526" s="406"/>
      <c r="BU526" s="406"/>
      <c r="BV526" s="406"/>
      <c r="BW526" s="406"/>
      <c r="BX526" s="406"/>
      <c r="BY526" s="406"/>
      <c r="BZ526" s="406"/>
      <c r="CA526" s="281"/>
      <c r="CB526" s="3" t="str">
        <f t="shared" si="72"/>
        <v>Riadok bude skrytý.</v>
      </c>
      <c r="CC526" s="271" t="s">
        <v>832</v>
      </c>
      <c r="CW526" s="30">
        <f t="shared" si="74"/>
        <v>0</v>
      </c>
      <c r="CZ526" s="30">
        <f t="shared" si="68"/>
        <v>1</v>
      </c>
      <c r="DA526" s="30">
        <f t="shared" si="73"/>
        <v>0</v>
      </c>
      <c r="DB526" s="140">
        <f t="shared" si="70"/>
        <v>0</v>
      </c>
      <c r="DS526" s="130">
        <f>SI!BY526</f>
        <v>133</v>
      </c>
      <c r="DZ526" s="131">
        <f>SI!BZ526</f>
        <v>0</v>
      </c>
    </row>
    <row r="527" spans="1:130" hidden="1" x14ac:dyDescent="0.25">
      <c r="A527" s="141"/>
      <c r="B527" s="406"/>
      <c r="C527" s="406"/>
      <c r="D527" s="406"/>
      <c r="E527" s="406"/>
      <c r="F527" s="406"/>
      <c r="G527" s="406"/>
      <c r="H527" s="406"/>
      <c r="I527" s="406"/>
      <c r="J527" s="406"/>
      <c r="K527" s="406"/>
      <c r="L527" s="406"/>
      <c r="M527" s="406"/>
      <c r="N527" s="406"/>
      <c r="O527" s="406"/>
      <c r="P527" s="406"/>
      <c r="Q527" s="406"/>
      <c r="R527" s="406"/>
      <c r="S527" s="406"/>
      <c r="T527" s="406"/>
      <c r="U527" s="406"/>
      <c r="V527" s="406"/>
      <c r="W527" s="406"/>
      <c r="X527" s="406"/>
      <c r="Y527" s="406"/>
      <c r="Z527" s="406"/>
      <c r="AA527" s="406"/>
      <c r="AB527" s="406"/>
      <c r="AC527" s="406"/>
      <c r="AD527" s="406"/>
      <c r="AE527" s="406"/>
      <c r="AF527" s="406"/>
      <c r="AG527" s="406"/>
      <c r="AH527" s="406"/>
      <c r="AI527" s="406"/>
      <c r="AJ527" s="406"/>
      <c r="AK527" s="406"/>
      <c r="AL527" s="406"/>
      <c r="AM527" s="406"/>
      <c r="AN527" s="406"/>
      <c r="AO527" s="406"/>
      <c r="AP527" s="406"/>
      <c r="AQ527" s="406"/>
      <c r="AR527" s="406"/>
      <c r="AS527" s="406"/>
      <c r="AT527" s="406"/>
      <c r="AU527" s="406"/>
      <c r="AV527" s="406"/>
      <c r="AW527" s="406"/>
      <c r="AX527" s="406"/>
      <c r="AY527" s="406"/>
      <c r="AZ527" s="406"/>
      <c r="BA527" s="406"/>
      <c r="BB527" s="406"/>
      <c r="BC527" s="406"/>
      <c r="BD527" s="406"/>
      <c r="BE527" s="406"/>
      <c r="BF527" s="406"/>
      <c r="BG527" s="406"/>
      <c r="BH527" s="406"/>
      <c r="BI527" s="406"/>
      <c r="BJ527" s="406"/>
      <c r="BK527" s="406"/>
      <c r="BL527" s="406"/>
      <c r="BM527" s="406"/>
      <c r="BN527" s="406"/>
      <c r="BO527" s="406"/>
      <c r="BP527" s="406"/>
      <c r="BQ527" s="406"/>
      <c r="BR527" s="406"/>
      <c r="BS527" s="406"/>
      <c r="BT527" s="406"/>
      <c r="BU527" s="406"/>
      <c r="BV527" s="406"/>
      <c r="BW527" s="406"/>
      <c r="BX527" s="406"/>
      <c r="BY527" s="406"/>
      <c r="BZ527" s="406"/>
      <c r="CA527" s="281"/>
      <c r="CB527" s="3" t="str">
        <f t="shared" si="72"/>
        <v>Riadok bude skrytý.</v>
      </c>
      <c r="CC527" s="271" t="s">
        <v>832</v>
      </c>
      <c r="CW527" s="30">
        <f t="shared" si="74"/>
        <v>0</v>
      </c>
      <c r="CZ527" s="30">
        <f t="shared" si="68"/>
        <v>1</v>
      </c>
      <c r="DA527" s="30">
        <f t="shared" si="73"/>
        <v>0</v>
      </c>
      <c r="DB527" s="140">
        <f t="shared" si="70"/>
        <v>0</v>
      </c>
      <c r="DS527" s="130">
        <f>SI!BY527</f>
        <v>925</v>
      </c>
      <c r="DZ527" s="131">
        <f>SI!BZ527</f>
        <v>0</v>
      </c>
    </row>
    <row r="528" spans="1:130" hidden="1" x14ac:dyDescent="0.25">
      <c r="A528" s="141"/>
      <c r="B528" s="406"/>
      <c r="C528" s="406"/>
      <c r="D528" s="406"/>
      <c r="E528" s="406"/>
      <c r="F528" s="406"/>
      <c r="G528" s="406"/>
      <c r="H528" s="406"/>
      <c r="I528" s="406"/>
      <c r="J528" s="406"/>
      <c r="K528" s="406"/>
      <c r="L528" s="406"/>
      <c r="M528" s="406"/>
      <c r="N528" s="406"/>
      <c r="O528" s="406"/>
      <c r="P528" s="406"/>
      <c r="Q528" s="406"/>
      <c r="R528" s="406"/>
      <c r="S528" s="406"/>
      <c r="T528" s="406"/>
      <c r="U528" s="406"/>
      <c r="V528" s="406"/>
      <c r="W528" s="406"/>
      <c r="X528" s="406"/>
      <c r="Y528" s="406"/>
      <c r="Z528" s="406"/>
      <c r="AA528" s="406"/>
      <c r="AB528" s="406"/>
      <c r="AC528" s="406"/>
      <c r="AD528" s="406"/>
      <c r="AE528" s="406"/>
      <c r="AF528" s="406"/>
      <c r="AG528" s="406"/>
      <c r="AH528" s="406"/>
      <c r="AI528" s="406"/>
      <c r="AJ528" s="406"/>
      <c r="AK528" s="406"/>
      <c r="AL528" s="406"/>
      <c r="AM528" s="406"/>
      <c r="AN528" s="406"/>
      <c r="AO528" s="406"/>
      <c r="AP528" s="406"/>
      <c r="AQ528" s="406"/>
      <c r="AR528" s="406"/>
      <c r="AS528" s="406"/>
      <c r="AT528" s="406"/>
      <c r="AU528" s="406"/>
      <c r="AV528" s="406"/>
      <c r="AW528" s="406"/>
      <c r="AX528" s="406"/>
      <c r="AY528" s="406"/>
      <c r="AZ528" s="406"/>
      <c r="BA528" s="406"/>
      <c r="BB528" s="406"/>
      <c r="BC528" s="406"/>
      <c r="BD528" s="406"/>
      <c r="BE528" s="406"/>
      <c r="BF528" s="406"/>
      <c r="BG528" s="406"/>
      <c r="BH528" s="406"/>
      <c r="BI528" s="406"/>
      <c r="BJ528" s="406"/>
      <c r="BK528" s="406"/>
      <c r="BL528" s="406"/>
      <c r="BM528" s="406"/>
      <c r="BN528" s="406"/>
      <c r="BO528" s="406"/>
      <c r="BP528" s="406"/>
      <c r="BQ528" s="406"/>
      <c r="BR528" s="406"/>
      <c r="BS528" s="406"/>
      <c r="BT528" s="406"/>
      <c r="BU528" s="406"/>
      <c r="BV528" s="406"/>
      <c r="BW528" s="406"/>
      <c r="BX528" s="406"/>
      <c r="BY528" s="406"/>
      <c r="BZ528" s="406"/>
      <c r="CA528" s="281"/>
      <c r="CB528" s="3" t="str">
        <f t="shared" si="72"/>
        <v>Riadok bude skrytý.</v>
      </c>
      <c r="CC528" s="271" t="s">
        <v>832</v>
      </c>
      <c r="CW528" s="30">
        <f t="shared" si="74"/>
        <v>0</v>
      </c>
      <c r="CZ528" s="30">
        <f t="shared" si="68"/>
        <v>1</v>
      </c>
      <c r="DA528" s="30">
        <f t="shared" si="73"/>
        <v>0</v>
      </c>
      <c r="DB528" s="140">
        <f t="shared" si="70"/>
        <v>0</v>
      </c>
      <c r="DS528" s="130">
        <f>SI!BY528</f>
        <v>152</v>
      </c>
      <c r="DZ528" s="131">
        <f>SI!BZ528</f>
        <v>0</v>
      </c>
    </row>
    <row r="529" spans="1:130" hidden="1" x14ac:dyDescent="0.25">
      <c r="A529" s="141"/>
      <c r="B529" s="406"/>
      <c r="C529" s="406"/>
      <c r="D529" s="406"/>
      <c r="E529" s="406"/>
      <c r="F529" s="406"/>
      <c r="G529" s="406"/>
      <c r="H529" s="406"/>
      <c r="I529" s="406"/>
      <c r="J529" s="406"/>
      <c r="K529" s="406"/>
      <c r="L529" s="406"/>
      <c r="M529" s="406"/>
      <c r="N529" s="406"/>
      <c r="O529" s="406"/>
      <c r="P529" s="406"/>
      <c r="Q529" s="406"/>
      <c r="R529" s="406"/>
      <c r="S529" s="406"/>
      <c r="T529" s="406"/>
      <c r="U529" s="406"/>
      <c r="V529" s="406"/>
      <c r="W529" s="406"/>
      <c r="X529" s="406"/>
      <c r="Y529" s="406"/>
      <c r="Z529" s="406"/>
      <c r="AA529" s="406"/>
      <c r="AB529" s="406"/>
      <c r="AC529" s="406"/>
      <c r="AD529" s="406"/>
      <c r="AE529" s="406"/>
      <c r="AF529" s="406"/>
      <c r="AG529" s="406"/>
      <c r="AH529" s="406"/>
      <c r="AI529" s="406"/>
      <c r="AJ529" s="406"/>
      <c r="AK529" s="406"/>
      <c r="AL529" s="406"/>
      <c r="AM529" s="406"/>
      <c r="AN529" s="406"/>
      <c r="AO529" s="406"/>
      <c r="AP529" s="406"/>
      <c r="AQ529" s="406"/>
      <c r="AR529" s="406"/>
      <c r="AS529" s="406"/>
      <c r="AT529" s="406"/>
      <c r="AU529" s="406"/>
      <c r="AV529" s="406"/>
      <c r="AW529" s="406"/>
      <c r="AX529" s="406"/>
      <c r="AY529" s="406"/>
      <c r="AZ529" s="406"/>
      <c r="BA529" s="406"/>
      <c r="BB529" s="406"/>
      <c r="BC529" s="406"/>
      <c r="BD529" s="406"/>
      <c r="BE529" s="406"/>
      <c r="BF529" s="406"/>
      <c r="BG529" s="406"/>
      <c r="BH529" s="406"/>
      <c r="BI529" s="406"/>
      <c r="BJ529" s="406"/>
      <c r="BK529" s="406"/>
      <c r="BL529" s="406"/>
      <c r="BM529" s="406"/>
      <c r="BN529" s="406"/>
      <c r="BO529" s="406"/>
      <c r="BP529" s="406"/>
      <c r="BQ529" s="406"/>
      <c r="BR529" s="406"/>
      <c r="BS529" s="406"/>
      <c r="BT529" s="406"/>
      <c r="BU529" s="406"/>
      <c r="BV529" s="406"/>
      <c r="BW529" s="406"/>
      <c r="BX529" s="406"/>
      <c r="BY529" s="406"/>
      <c r="BZ529" s="406"/>
      <c r="CA529" s="281"/>
      <c r="CB529" s="3" t="str">
        <f t="shared" si="72"/>
        <v>Riadok bude skrytý.</v>
      </c>
      <c r="CC529" s="271" t="s">
        <v>832</v>
      </c>
      <c r="CW529" s="30">
        <f t="shared" si="74"/>
        <v>0</v>
      </c>
      <c r="CZ529" s="30">
        <f t="shared" si="68"/>
        <v>1</v>
      </c>
      <c r="DA529" s="30">
        <f t="shared" si="73"/>
        <v>0</v>
      </c>
      <c r="DB529" s="140">
        <f t="shared" si="70"/>
        <v>0</v>
      </c>
      <c r="DS529" s="130">
        <f>SI!BY529</f>
        <v>1105</v>
      </c>
      <c r="DZ529" s="131">
        <f>SI!BZ529</f>
        <v>0</v>
      </c>
    </row>
    <row r="530" spans="1:130" hidden="1" x14ac:dyDescent="0.25">
      <c r="A530" s="141"/>
      <c r="B530" s="406"/>
      <c r="C530" s="406"/>
      <c r="D530" s="406"/>
      <c r="E530" s="406"/>
      <c r="F530" s="406"/>
      <c r="G530" s="406"/>
      <c r="H530" s="406"/>
      <c r="I530" s="406"/>
      <c r="J530" s="406"/>
      <c r="K530" s="406"/>
      <c r="L530" s="406"/>
      <c r="M530" s="406"/>
      <c r="N530" s="406"/>
      <c r="O530" s="406"/>
      <c r="P530" s="406"/>
      <c r="Q530" s="406"/>
      <c r="R530" s="406"/>
      <c r="S530" s="406"/>
      <c r="T530" s="406"/>
      <c r="U530" s="406"/>
      <c r="V530" s="406"/>
      <c r="W530" s="406"/>
      <c r="X530" s="406"/>
      <c r="Y530" s="406"/>
      <c r="Z530" s="406"/>
      <c r="AA530" s="406"/>
      <c r="AB530" s="406"/>
      <c r="AC530" s="406"/>
      <c r="AD530" s="406"/>
      <c r="AE530" s="406"/>
      <c r="AF530" s="406"/>
      <c r="AG530" s="406"/>
      <c r="AH530" s="406"/>
      <c r="AI530" s="406"/>
      <c r="AJ530" s="406"/>
      <c r="AK530" s="406"/>
      <c r="AL530" s="406"/>
      <c r="AM530" s="406"/>
      <c r="AN530" s="406"/>
      <c r="AO530" s="406"/>
      <c r="AP530" s="406"/>
      <c r="AQ530" s="406"/>
      <c r="AR530" s="406"/>
      <c r="AS530" s="406"/>
      <c r="AT530" s="406"/>
      <c r="AU530" s="406"/>
      <c r="AV530" s="406"/>
      <c r="AW530" s="406"/>
      <c r="AX530" s="406"/>
      <c r="AY530" s="406"/>
      <c r="AZ530" s="406"/>
      <c r="BA530" s="406"/>
      <c r="BB530" s="406"/>
      <c r="BC530" s="406"/>
      <c r="BD530" s="406"/>
      <c r="BE530" s="406"/>
      <c r="BF530" s="406"/>
      <c r="BG530" s="406"/>
      <c r="BH530" s="406"/>
      <c r="BI530" s="406"/>
      <c r="BJ530" s="406"/>
      <c r="BK530" s="406"/>
      <c r="BL530" s="406"/>
      <c r="BM530" s="406"/>
      <c r="BN530" s="406"/>
      <c r="BO530" s="406"/>
      <c r="BP530" s="406"/>
      <c r="BQ530" s="406"/>
      <c r="BR530" s="406"/>
      <c r="BS530" s="406"/>
      <c r="BT530" s="406"/>
      <c r="BU530" s="406"/>
      <c r="BV530" s="406"/>
      <c r="BW530" s="406"/>
      <c r="BX530" s="406"/>
      <c r="BY530" s="406"/>
      <c r="BZ530" s="406"/>
      <c r="CA530" s="281"/>
      <c r="CB530" s="3" t="str">
        <f t="shared" si="72"/>
        <v>Riadok bude skrytý.</v>
      </c>
      <c r="CC530" s="271" t="s">
        <v>832</v>
      </c>
      <c r="CW530" s="30">
        <f t="shared" si="74"/>
        <v>0</v>
      </c>
      <c r="CZ530" s="30">
        <f t="shared" si="68"/>
        <v>1</v>
      </c>
      <c r="DA530" s="30">
        <f t="shared" si="73"/>
        <v>0</v>
      </c>
      <c r="DB530" s="140">
        <f t="shared" si="70"/>
        <v>0</v>
      </c>
      <c r="DS530" s="130">
        <f>SI!BY530</f>
        <v>125</v>
      </c>
      <c r="DZ530" s="131">
        <f>SI!BZ530</f>
        <v>0</v>
      </c>
    </row>
    <row r="531" spans="1:130" hidden="1" x14ac:dyDescent="0.25">
      <c r="A531" s="141"/>
      <c r="B531" s="406"/>
      <c r="C531" s="406"/>
      <c r="D531" s="406"/>
      <c r="E531" s="406"/>
      <c r="F531" s="406"/>
      <c r="G531" s="406"/>
      <c r="H531" s="406"/>
      <c r="I531" s="406"/>
      <c r="J531" s="406"/>
      <c r="K531" s="406"/>
      <c r="L531" s="406"/>
      <c r="M531" s="406"/>
      <c r="N531" s="406"/>
      <c r="O531" s="406"/>
      <c r="P531" s="406"/>
      <c r="Q531" s="406"/>
      <c r="R531" s="406"/>
      <c r="S531" s="406"/>
      <c r="T531" s="406"/>
      <c r="U531" s="406"/>
      <c r="V531" s="406"/>
      <c r="W531" s="406"/>
      <c r="X531" s="406"/>
      <c r="Y531" s="406"/>
      <c r="Z531" s="406"/>
      <c r="AA531" s="406"/>
      <c r="AB531" s="406"/>
      <c r="AC531" s="406"/>
      <c r="AD531" s="406"/>
      <c r="AE531" s="406"/>
      <c r="AF531" s="406"/>
      <c r="AG531" s="406"/>
      <c r="AH531" s="406"/>
      <c r="AI531" s="406"/>
      <c r="AJ531" s="406"/>
      <c r="AK531" s="406"/>
      <c r="AL531" s="406"/>
      <c r="AM531" s="406"/>
      <c r="AN531" s="406"/>
      <c r="AO531" s="406"/>
      <c r="AP531" s="406"/>
      <c r="AQ531" s="406"/>
      <c r="AR531" s="406"/>
      <c r="AS531" s="406"/>
      <c r="AT531" s="406"/>
      <c r="AU531" s="406"/>
      <c r="AV531" s="406"/>
      <c r="AW531" s="406"/>
      <c r="AX531" s="406"/>
      <c r="AY531" s="406"/>
      <c r="AZ531" s="406"/>
      <c r="BA531" s="406"/>
      <c r="BB531" s="406"/>
      <c r="BC531" s="406"/>
      <c r="BD531" s="406"/>
      <c r="BE531" s="406"/>
      <c r="BF531" s="406"/>
      <c r="BG531" s="406"/>
      <c r="BH531" s="406"/>
      <c r="BI531" s="406"/>
      <c r="BJ531" s="406"/>
      <c r="BK531" s="406"/>
      <c r="BL531" s="406"/>
      <c r="BM531" s="406"/>
      <c r="BN531" s="406"/>
      <c r="BO531" s="406"/>
      <c r="BP531" s="406"/>
      <c r="BQ531" s="406"/>
      <c r="BR531" s="406"/>
      <c r="BS531" s="406"/>
      <c r="BT531" s="406"/>
      <c r="BU531" s="406"/>
      <c r="BV531" s="406"/>
      <c r="BW531" s="406"/>
      <c r="BX531" s="406"/>
      <c r="BY531" s="406"/>
      <c r="BZ531" s="406"/>
      <c r="CA531" s="281"/>
      <c r="CB531" s="3" t="str">
        <f t="shared" si="72"/>
        <v>Riadok bude skrytý.</v>
      </c>
      <c r="CC531" s="271" t="s">
        <v>832</v>
      </c>
      <c r="CW531" s="30">
        <f t="shared" si="74"/>
        <v>0</v>
      </c>
      <c r="CZ531" s="30">
        <f t="shared" si="68"/>
        <v>1</v>
      </c>
      <c r="DA531" s="30">
        <f t="shared" si="73"/>
        <v>0</v>
      </c>
      <c r="DB531" s="140">
        <f t="shared" si="70"/>
        <v>0</v>
      </c>
      <c r="DS531" s="130">
        <f>SI!BY531</f>
        <v>945</v>
      </c>
      <c r="DZ531" s="131">
        <f>SI!BZ531</f>
        <v>0</v>
      </c>
    </row>
    <row r="532" spans="1:130" hidden="1" x14ac:dyDescent="0.25">
      <c r="A532" s="141"/>
      <c r="B532" s="406"/>
      <c r="C532" s="406"/>
      <c r="D532" s="406"/>
      <c r="E532" s="406"/>
      <c r="F532" s="406"/>
      <c r="G532" s="406"/>
      <c r="H532" s="406"/>
      <c r="I532" s="406"/>
      <c r="J532" s="406"/>
      <c r="K532" s="406"/>
      <c r="L532" s="406"/>
      <c r="M532" s="406"/>
      <c r="N532" s="406"/>
      <c r="O532" s="406"/>
      <c r="P532" s="406"/>
      <c r="Q532" s="406"/>
      <c r="R532" s="406"/>
      <c r="S532" s="406"/>
      <c r="T532" s="406"/>
      <c r="U532" s="406"/>
      <c r="V532" s="406"/>
      <c r="W532" s="406"/>
      <c r="X532" s="406"/>
      <c r="Y532" s="406"/>
      <c r="Z532" s="406"/>
      <c r="AA532" s="406"/>
      <c r="AB532" s="406"/>
      <c r="AC532" s="406"/>
      <c r="AD532" s="406"/>
      <c r="AE532" s="406"/>
      <c r="AF532" s="406"/>
      <c r="AG532" s="406"/>
      <c r="AH532" s="406"/>
      <c r="AI532" s="406"/>
      <c r="AJ532" s="406"/>
      <c r="AK532" s="406"/>
      <c r="AL532" s="406"/>
      <c r="AM532" s="406"/>
      <c r="AN532" s="406"/>
      <c r="AO532" s="406"/>
      <c r="AP532" s="406"/>
      <c r="AQ532" s="406"/>
      <c r="AR532" s="406"/>
      <c r="AS532" s="406"/>
      <c r="AT532" s="406"/>
      <c r="AU532" s="406"/>
      <c r="AV532" s="406"/>
      <c r="AW532" s="406"/>
      <c r="AX532" s="406"/>
      <c r="AY532" s="406"/>
      <c r="AZ532" s="406"/>
      <c r="BA532" s="406"/>
      <c r="BB532" s="406"/>
      <c r="BC532" s="406"/>
      <c r="BD532" s="406"/>
      <c r="BE532" s="406"/>
      <c r="BF532" s="406"/>
      <c r="BG532" s="406"/>
      <c r="BH532" s="406"/>
      <c r="BI532" s="406"/>
      <c r="BJ532" s="406"/>
      <c r="BK532" s="406"/>
      <c r="BL532" s="406"/>
      <c r="BM532" s="406"/>
      <c r="BN532" s="406"/>
      <c r="BO532" s="406"/>
      <c r="BP532" s="406"/>
      <c r="BQ532" s="406"/>
      <c r="BR532" s="406"/>
      <c r="BS532" s="406"/>
      <c r="BT532" s="406"/>
      <c r="BU532" s="406"/>
      <c r="BV532" s="406"/>
      <c r="BW532" s="406"/>
      <c r="BX532" s="406"/>
      <c r="BY532" s="406"/>
      <c r="BZ532" s="406"/>
      <c r="CA532" s="281"/>
      <c r="CB532" s="3" t="str">
        <f t="shared" si="72"/>
        <v>Riadok bude skrytý.</v>
      </c>
      <c r="CC532" s="271" t="s">
        <v>832</v>
      </c>
      <c r="CW532" s="30">
        <f t="shared" si="74"/>
        <v>0</v>
      </c>
      <c r="CZ532" s="30">
        <f t="shared" ref="CZ532:CZ595" si="75">IF(CC532="",1,IF(CC532="Chcem skryť riadok.",0,1))</f>
        <v>1</v>
      </c>
      <c r="DA532" s="30">
        <f t="shared" si="73"/>
        <v>0</v>
      </c>
      <c r="DB532" s="140">
        <f t="shared" si="70"/>
        <v>0</v>
      </c>
      <c r="DS532" s="130">
        <f>SI!BY532</f>
        <v>184</v>
      </c>
      <c r="DZ532" s="131">
        <f>SI!BZ532</f>
        <v>0</v>
      </c>
    </row>
    <row r="533" spans="1:130" hidden="1" x14ac:dyDescent="0.25">
      <c r="A533" s="141"/>
      <c r="B533" s="406"/>
      <c r="C533" s="406"/>
      <c r="D533" s="406"/>
      <c r="E533" s="406"/>
      <c r="F533" s="406"/>
      <c r="G533" s="406"/>
      <c r="H533" s="406"/>
      <c r="I533" s="406"/>
      <c r="J533" s="406"/>
      <c r="K533" s="406"/>
      <c r="L533" s="406"/>
      <c r="M533" s="406"/>
      <c r="N533" s="406"/>
      <c r="O533" s="406"/>
      <c r="P533" s="406"/>
      <c r="Q533" s="406"/>
      <c r="R533" s="406"/>
      <c r="S533" s="406"/>
      <c r="T533" s="406"/>
      <c r="U533" s="406"/>
      <c r="V533" s="406"/>
      <c r="W533" s="406"/>
      <c r="X533" s="406"/>
      <c r="Y533" s="406"/>
      <c r="Z533" s="406"/>
      <c r="AA533" s="406"/>
      <c r="AB533" s="406"/>
      <c r="AC533" s="406"/>
      <c r="AD533" s="406"/>
      <c r="AE533" s="406"/>
      <c r="AF533" s="406"/>
      <c r="AG533" s="406"/>
      <c r="AH533" s="406"/>
      <c r="AI533" s="406"/>
      <c r="AJ533" s="406"/>
      <c r="AK533" s="406"/>
      <c r="AL533" s="406"/>
      <c r="AM533" s="406"/>
      <c r="AN533" s="406"/>
      <c r="AO533" s="406"/>
      <c r="AP533" s="406"/>
      <c r="AQ533" s="406"/>
      <c r="AR533" s="406"/>
      <c r="AS533" s="406"/>
      <c r="AT533" s="406"/>
      <c r="AU533" s="406"/>
      <c r="AV533" s="406"/>
      <c r="AW533" s="406"/>
      <c r="AX533" s="406"/>
      <c r="AY533" s="406"/>
      <c r="AZ533" s="406"/>
      <c r="BA533" s="406"/>
      <c r="BB533" s="406"/>
      <c r="BC533" s="406"/>
      <c r="BD533" s="406"/>
      <c r="BE533" s="406"/>
      <c r="BF533" s="406"/>
      <c r="BG533" s="406"/>
      <c r="BH533" s="406"/>
      <c r="BI533" s="406"/>
      <c r="BJ533" s="406"/>
      <c r="BK533" s="406"/>
      <c r="BL533" s="406"/>
      <c r="BM533" s="406"/>
      <c r="BN533" s="406"/>
      <c r="BO533" s="406"/>
      <c r="BP533" s="406"/>
      <c r="BQ533" s="406"/>
      <c r="BR533" s="406"/>
      <c r="BS533" s="406"/>
      <c r="BT533" s="406"/>
      <c r="BU533" s="406"/>
      <c r="BV533" s="406"/>
      <c r="BW533" s="406"/>
      <c r="BX533" s="406"/>
      <c r="BY533" s="406"/>
      <c r="BZ533" s="406"/>
      <c r="CA533" s="281"/>
      <c r="CB533" s="3" t="str">
        <f t="shared" si="72"/>
        <v>Riadok bude skrytý.</v>
      </c>
      <c r="CC533" s="271" t="s">
        <v>832</v>
      </c>
      <c r="CW533" s="30">
        <f t="shared" si="74"/>
        <v>0</v>
      </c>
      <c r="CZ533" s="30">
        <f t="shared" si="75"/>
        <v>1</v>
      </c>
      <c r="DA533" s="30">
        <f t="shared" si="73"/>
        <v>0</v>
      </c>
      <c r="DB533" s="140">
        <f t="shared" si="70"/>
        <v>0</v>
      </c>
      <c r="DS533" s="130">
        <f>SI!BY533</f>
        <v>140</v>
      </c>
      <c r="DZ533" s="131">
        <f>SI!BZ533</f>
        <v>0</v>
      </c>
    </row>
    <row r="534" spans="1:130" hidden="1" x14ac:dyDescent="0.25">
      <c r="A534" s="141"/>
      <c r="B534" s="406"/>
      <c r="C534" s="406"/>
      <c r="D534" s="406"/>
      <c r="E534" s="406"/>
      <c r="F534" s="406"/>
      <c r="G534" s="406"/>
      <c r="H534" s="406"/>
      <c r="I534" s="406"/>
      <c r="J534" s="406"/>
      <c r="K534" s="406"/>
      <c r="L534" s="406"/>
      <c r="M534" s="406"/>
      <c r="N534" s="406"/>
      <c r="O534" s="406"/>
      <c r="P534" s="406"/>
      <c r="Q534" s="406"/>
      <c r="R534" s="406"/>
      <c r="S534" s="406"/>
      <c r="T534" s="406"/>
      <c r="U534" s="406"/>
      <c r="V534" s="406"/>
      <c r="W534" s="406"/>
      <c r="X534" s="406"/>
      <c r="Y534" s="406"/>
      <c r="Z534" s="406"/>
      <c r="AA534" s="406"/>
      <c r="AB534" s="406"/>
      <c r="AC534" s="406"/>
      <c r="AD534" s="406"/>
      <c r="AE534" s="406"/>
      <c r="AF534" s="406"/>
      <c r="AG534" s="406"/>
      <c r="AH534" s="406"/>
      <c r="AI534" s="406"/>
      <c r="AJ534" s="406"/>
      <c r="AK534" s="406"/>
      <c r="AL534" s="406"/>
      <c r="AM534" s="406"/>
      <c r="AN534" s="406"/>
      <c r="AO534" s="406"/>
      <c r="AP534" s="406"/>
      <c r="AQ534" s="406"/>
      <c r="AR534" s="406"/>
      <c r="AS534" s="406"/>
      <c r="AT534" s="406"/>
      <c r="AU534" s="406"/>
      <c r="AV534" s="406"/>
      <c r="AW534" s="406"/>
      <c r="AX534" s="406"/>
      <c r="AY534" s="406"/>
      <c r="AZ534" s="406"/>
      <c r="BA534" s="406"/>
      <c r="BB534" s="406"/>
      <c r="BC534" s="406"/>
      <c r="BD534" s="406"/>
      <c r="BE534" s="406"/>
      <c r="BF534" s="406"/>
      <c r="BG534" s="406"/>
      <c r="BH534" s="406"/>
      <c r="BI534" s="406"/>
      <c r="BJ534" s="406"/>
      <c r="BK534" s="406"/>
      <c r="BL534" s="406"/>
      <c r="BM534" s="406"/>
      <c r="BN534" s="406"/>
      <c r="BO534" s="406"/>
      <c r="BP534" s="406"/>
      <c r="BQ534" s="406"/>
      <c r="BR534" s="406"/>
      <c r="BS534" s="406"/>
      <c r="BT534" s="406"/>
      <c r="BU534" s="406"/>
      <c r="BV534" s="406"/>
      <c r="BW534" s="406"/>
      <c r="BX534" s="406"/>
      <c r="BY534" s="406"/>
      <c r="BZ534" s="406"/>
      <c r="CA534" s="281"/>
      <c r="CB534" s="3" t="str">
        <f t="shared" si="72"/>
        <v>Riadok bude skrytý.</v>
      </c>
      <c r="CC534" s="271" t="s">
        <v>832</v>
      </c>
      <c r="CW534" s="30">
        <f t="shared" si="74"/>
        <v>0</v>
      </c>
      <c r="CZ534" s="30">
        <f t="shared" si="75"/>
        <v>1</v>
      </c>
      <c r="DA534" s="30">
        <f t="shared" si="73"/>
        <v>0</v>
      </c>
      <c r="DB534" s="140">
        <f t="shared" si="70"/>
        <v>0</v>
      </c>
      <c r="DS534" s="130">
        <f>SI!BY534</f>
        <v>160</v>
      </c>
      <c r="DZ534" s="131">
        <f>SI!BZ534</f>
        <v>0</v>
      </c>
    </row>
    <row r="535" spans="1:130" hidden="1" x14ac:dyDescent="0.25">
      <c r="A535" s="141"/>
      <c r="B535" s="406"/>
      <c r="C535" s="406"/>
      <c r="D535" s="406"/>
      <c r="E535" s="406"/>
      <c r="F535" s="406"/>
      <c r="G535" s="406"/>
      <c r="H535" s="406"/>
      <c r="I535" s="406"/>
      <c r="J535" s="406"/>
      <c r="K535" s="406"/>
      <c r="L535" s="406"/>
      <c r="M535" s="406"/>
      <c r="N535" s="406"/>
      <c r="O535" s="406"/>
      <c r="P535" s="406"/>
      <c r="Q535" s="406"/>
      <c r="R535" s="406"/>
      <c r="S535" s="406"/>
      <c r="T535" s="406"/>
      <c r="U535" s="406"/>
      <c r="V535" s="406"/>
      <c r="W535" s="406"/>
      <c r="X535" s="406"/>
      <c r="Y535" s="406"/>
      <c r="Z535" s="406"/>
      <c r="AA535" s="406"/>
      <c r="AB535" s="406"/>
      <c r="AC535" s="406"/>
      <c r="AD535" s="406"/>
      <c r="AE535" s="406"/>
      <c r="AF535" s="406"/>
      <c r="AG535" s="406"/>
      <c r="AH535" s="406"/>
      <c r="AI535" s="406"/>
      <c r="AJ535" s="406"/>
      <c r="AK535" s="406"/>
      <c r="AL535" s="406"/>
      <c r="AM535" s="406"/>
      <c r="AN535" s="406"/>
      <c r="AO535" s="406"/>
      <c r="AP535" s="406"/>
      <c r="AQ535" s="406"/>
      <c r="AR535" s="406"/>
      <c r="AS535" s="406"/>
      <c r="AT535" s="406"/>
      <c r="AU535" s="406"/>
      <c r="AV535" s="406"/>
      <c r="AW535" s="406"/>
      <c r="AX535" s="406"/>
      <c r="AY535" s="406"/>
      <c r="AZ535" s="406"/>
      <c r="BA535" s="406"/>
      <c r="BB535" s="406"/>
      <c r="BC535" s="406"/>
      <c r="BD535" s="406"/>
      <c r="BE535" s="406"/>
      <c r="BF535" s="406"/>
      <c r="BG535" s="406"/>
      <c r="BH535" s="406"/>
      <c r="BI535" s="406"/>
      <c r="BJ535" s="406"/>
      <c r="BK535" s="406"/>
      <c r="BL535" s="406"/>
      <c r="BM535" s="406"/>
      <c r="BN535" s="406"/>
      <c r="BO535" s="406"/>
      <c r="BP535" s="406"/>
      <c r="BQ535" s="406"/>
      <c r="BR535" s="406"/>
      <c r="BS535" s="406"/>
      <c r="BT535" s="406"/>
      <c r="BU535" s="406"/>
      <c r="BV535" s="406"/>
      <c r="BW535" s="406"/>
      <c r="BX535" s="406"/>
      <c r="BY535" s="406"/>
      <c r="BZ535" s="406"/>
      <c r="CA535" s="281"/>
      <c r="CB535" s="3" t="str">
        <f t="shared" si="72"/>
        <v>Riadok bude skrytý.</v>
      </c>
      <c r="CC535" s="271" t="s">
        <v>832</v>
      </c>
      <c r="CW535" s="30">
        <f t="shared" si="74"/>
        <v>0</v>
      </c>
      <c r="CZ535" s="30">
        <f t="shared" si="75"/>
        <v>1</v>
      </c>
      <c r="DA535" s="30">
        <f t="shared" si="73"/>
        <v>0</v>
      </c>
      <c r="DB535" s="140">
        <f t="shared" si="70"/>
        <v>0</v>
      </c>
      <c r="DS535" s="130">
        <f>SI!BY535</f>
        <v>987</v>
      </c>
      <c r="DZ535" s="131">
        <f>SI!BZ535</f>
        <v>0</v>
      </c>
    </row>
    <row r="536" spans="1:130" hidden="1" x14ac:dyDescent="0.25">
      <c r="A536" s="141"/>
      <c r="B536" s="406"/>
      <c r="C536" s="406"/>
      <c r="D536" s="406"/>
      <c r="E536" s="406"/>
      <c r="F536" s="406"/>
      <c r="G536" s="406"/>
      <c r="H536" s="406"/>
      <c r="I536" s="406"/>
      <c r="J536" s="406"/>
      <c r="K536" s="406"/>
      <c r="L536" s="406"/>
      <c r="M536" s="406"/>
      <c r="N536" s="406"/>
      <c r="O536" s="406"/>
      <c r="P536" s="406"/>
      <c r="Q536" s="406"/>
      <c r="R536" s="406"/>
      <c r="S536" s="406"/>
      <c r="T536" s="406"/>
      <c r="U536" s="406"/>
      <c r="V536" s="406"/>
      <c r="W536" s="406"/>
      <c r="X536" s="406"/>
      <c r="Y536" s="406"/>
      <c r="Z536" s="406"/>
      <c r="AA536" s="406"/>
      <c r="AB536" s="406"/>
      <c r="AC536" s="406"/>
      <c r="AD536" s="406"/>
      <c r="AE536" s="406"/>
      <c r="AF536" s="406"/>
      <c r="AG536" s="406"/>
      <c r="AH536" s="406"/>
      <c r="AI536" s="406"/>
      <c r="AJ536" s="406"/>
      <c r="AK536" s="406"/>
      <c r="AL536" s="406"/>
      <c r="AM536" s="406"/>
      <c r="AN536" s="406"/>
      <c r="AO536" s="406"/>
      <c r="AP536" s="406"/>
      <c r="AQ536" s="406"/>
      <c r="AR536" s="406"/>
      <c r="AS536" s="406"/>
      <c r="AT536" s="406"/>
      <c r="AU536" s="406"/>
      <c r="AV536" s="406"/>
      <c r="AW536" s="406"/>
      <c r="AX536" s="406"/>
      <c r="AY536" s="406"/>
      <c r="AZ536" s="406"/>
      <c r="BA536" s="406"/>
      <c r="BB536" s="406"/>
      <c r="BC536" s="406"/>
      <c r="BD536" s="406"/>
      <c r="BE536" s="406"/>
      <c r="BF536" s="406"/>
      <c r="BG536" s="406"/>
      <c r="BH536" s="406"/>
      <c r="BI536" s="406"/>
      <c r="BJ536" s="406"/>
      <c r="BK536" s="406"/>
      <c r="BL536" s="406"/>
      <c r="BM536" s="406"/>
      <c r="BN536" s="406"/>
      <c r="BO536" s="406"/>
      <c r="BP536" s="406"/>
      <c r="BQ536" s="406"/>
      <c r="BR536" s="406"/>
      <c r="BS536" s="406"/>
      <c r="BT536" s="406"/>
      <c r="BU536" s="406"/>
      <c r="BV536" s="406"/>
      <c r="BW536" s="406"/>
      <c r="BX536" s="406"/>
      <c r="BY536" s="406"/>
      <c r="BZ536" s="406"/>
      <c r="CA536" s="281"/>
      <c r="CB536" s="3" t="str">
        <f t="shared" si="72"/>
        <v>Riadok bude skrytý.</v>
      </c>
      <c r="CC536" s="271" t="s">
        <v>832</v>
      </c>
      <c r="CW536" s="30">
        <f t="shared" si="74"/>
        <v>0</v>
      </c>
      <c r="CZ536" s="30">
        <f t="shared" si="75"/>
        <v>1</v>
      </c>
      <c r="DA536" s="30">
        <f t="shared" si="73"/>
        <v>0</v>
      </c>
      <c r="DB536" s="140">
        <f t="shared" si="70"/>
        <v>0</v>
      </c>
      <c r="DS536" s="130">
        <f>SI!BY536</f>
        <v>203</v>
      </c>
      <c r="DZ536" s="131">
        <f>SI!BZ536</f>
        <v>0</v>
      </c>
    </row>
    <row r="537" spans="1:130" hidden="1" x14ac:dyDescent="0.25">
      <c r="A537" s="141"/>
      <c r="B537" s="406"/>
      <c r="C537" s="406"/>
      <c r="D537" s="406"/>
      <c r="E537" s="406"/>
      <c r="F537" s="406"/>
      <c r="G537" s="406"/>
      <c r="H537" s="406"/>
      <c r="I537" s="406"/>
      <c r="J537" s="406"/>
      <c r="K537" s="406"/>
      <c r="L537" s="406"/>
      <c r="M537" s="406"/>
      <c r="N537" s="406"/>
      <c r="O537" s="406"/>
      <c r="P537" s="406"/>
      <c r="Q537" s="406"/>
      <c r="R537" s="406"/>
      <c r="S537" s="406"/>
      <c r="T537" s="406"/>
      <c r="U537" s="406"/>
      <c r="V537" s="406"/>
      <c r="W537" s="406"/>
      <c r="X537" s="406"/>
      <c r="Y537" s="406"/>
      <c r="Z537" s="406"/>
      <c r="AA537" s="406"/>
      <c r="AB537" s="406"/>
      <c r="AC537" s="406"/>
      <c r="AD537" s="406"/>
      <c r="AE537" s="406"/>
      <c r="AF537" s="406"/>
      <c r="AG537" s="406"/>
      <c r="AH537" s="406"/>
      <c r="AI537" s="406"/>
      <c r="AJ537" s="406"/>
      <c r="AK537" s="406"/>
      <c r="AL537" s="406"/>
      <c r="AM537" s="406"/>
      <c r="AN537" s="406"/>
      <c r="AO537" s="406"/>
      <c r="AP537" s="406"/>
      <c r="AQ537" s="406"/>
      <c r="AR537" s="406"/>
      <c r="AS537" s="406"/>
      <c r="AT537" s="406"/>
      <c r="AU537" s="406"/>
      <c r="AV537" s="406"/>
      <c r="AW537" s="406"/>
      <c r="AX537" s="406"/>
      <c r="AY537" s="406"/>
      <c r="AZ537" s="406"/>
      <c r="BA537" s="406"/>
      <c r="BB537" s="406"/>
      <c r="BC537" s="406"/>
      <c r="BD537" s="406"/>
      <c r="BE537" s="406"/>
      <c r="BF537" s="406"/>
      <c r="BG537" s="406"/>
      <c r="BH537" s="406"/>
      <c r="BI537" s="406"/>
      <c r="BJ537" s="406"/>
      <c r="BK537" s="406"/>
      <c r="BL537" s="406"/>
      <c r="BM537" s="406"/>
      <c r="BN537" s="406"/>
      <c r="BO537" s="406"/>
      <c r="BP537" s="406"/>
      <c r="BQ537" s="406"/>
      <c r="BR537" s="406"/>
      <c r="BS537" s="406"/>
      <c r="BT537" s="406"/>
      <c r="BU537" s="406"/>
      <c r="BV537" s="406"/>
      <c r="BW537" s="406"/>
      <c r="BX537" s="406"/>
      <c r="BY537" s="406"/>
      <c r="BZ537" s="406"/>
      <c r="CA537" s="281"/>
      <c r="CB537" s="3" t="str">
        <f t="shared" si="72"/>
        <v>Riadok bude skrytý.</v>
      </c>
      <c r="CC537" s="271" t="s">
        <v>832</v>
      </c>
      <c r="CW537" s="30">
        <f t="shared" si="74"/>
        <v>0</v>
      </c>
      <c r="CZ537" s="30">
        <f t="shared" si="75"/>
        <v>1</v>
      </c>
      <c r="DA537" s="30">
        <f t="shared" si="73"/>
        <v>0</v>
      </c>
      <c r="DB537" s="140">
        <f t="shared" si="70"/>
        <v>0</v>
      </c>
      <c r="DS537" s="130">
        <f>SI!BY537</f>
        <v>429</v>
      </c>
      <c r="DZ537" s="131">
        <f>SI!BZ537</f>
        <v>0</v>
      </c>
    </row>
    <row r="538" spans="1:130" hidden="1" x14ac:dyDescent="0.25">
      <c r="A538" s="141"/>
      <c r="B538" s="406"/>
      <c r="C538" s="406"/>
      <c r="D538" s="406"/>
      <c r="E538" s="406"/>
      <c r="F538" s="406"/>
      <c r="G538" s="406"/>
      <c r="H538" s="406"/>
      <c r="I538" s="406"/>
      <c r="J538" s="406"/>
      <c r="K538" s="406"/>
      <c r="L538" s="406"/>
      <c r="M538" s="406"/>
      <c r="N538" s="406"/>
      <c r="O538" s="406"/>
      <c r="P538" s="406"/>
      <c r="Q538" s="406"/>
      <c r="R538" s="406"/>
      <c r="S538" s="406"/>
      <c r="T538" s="406"/>
      <c r="U538" s="406"/>
      <c r="V538" s="406"/>
      <c r="W538" s="406"/>
      <c r="X538" s="406"/>
      <c r="Y538" s="406"/>
      <c r="Z538" s="406"/>
      <c r="AA538" s="406"/>
      <c r="AB538" s="406"/>
      <c r="AC538" s="406"/>
      <c r="AD538" s="406"/>
      <c r="AE538" s="406"/>
      <c r="AF538" s="406"/>
      <c r="AG538" s="406"/>
      <c r="AH538" s="406"/>
      <c r="AI538" s="406"/>
      <c r="AJ538" s="406"/>
      <c r="AK538" s="406"/>
      <c r="AL538" s="406"/>
      <c r="AM538" s="406"/>
      <c r="AN538" s="406"/>
      <c r="AO538" s="406"/>
      <c r="AP538" s="406"/>
      <c r="AQ538" s="406"/>
      <c r="AR538" s="406"/>
      <c r="AS538" s="406"/>
      <c r="AT538" s="406"/>
      <c r="AU538" s="406"/>
      <c r="AV538" s="406"/>
      <c r="AW538" s="406"/>
      <c r="AX538" s="406"/>
      <c r="AY538" s="406"/>
      <c r="AZ538" s="406"/>
      <c r="BA538" s="406"/>
      <c r="BB538" s="406"/>
      <c r="BC538" s="406"/>
      <c r="BD538" s="406"/>
      <c r="BE538" s="406"/>
      <c r="BF538" s="406"/>
      <c r="BG538" s="406"/>
      <c r="BH538" s="406"/>
      <c r="BI538" s="406"/>
      <c r="BJ538" s="406"/>
      <c r="BK538" s="406"/>
      <c r="BL538" s="406"/>
      <c r="BM538" s="406"/>
      <c r="BN538" s="406"/>
      <c r="BO538" s="406"/>
      <c r="BP538" s="406"/>
      <c r="BQ538" s="406"/>
      <c r="BR538" s="406"/>
      <c r="BS538" s="406"/>
      <c r="BT538" s="406"/>
      <c r="BU538" s="406"/>
      <c r="BV538" s="406"/>
      <c r="BW538" s="406"/>
      <c r="BX538" s="406"/>
      <c r="BY538" s="406"/>
      <c r="BZ538" s="406"/>
      <c r="CA538" s="281"/>
      <c r="CB538" s="3" t="str">
        <f t="shared" si="72"/>
        <v>Riadok bude skrytý.</v>
      </c>
      <c r="CC538" s="271" t="s">
        <v>832</v>
      </c>
      <c r="CW538" s="30">
        <f t="shared" si="74"/>
        <v>0</v>
      </c>
      <c r="CZ538" s="30">
        <f t="shared" si="75"/>
        <v>1</v>
      </c>
      <c r="DA538" s="30">
        <f t="shared" si="73"/>
        <v>0</v>
      </c>
      <c r="DB538" s="140">
        <f t="shared" si="70"/>
        <v>0</v>
      </c>
      <c r="DS538" s="130">
        <f>SI!BY538</f>
        <v>1116</v>
      </c>
      <c r="DZ538" s="131">
        <f>SI!BZ538</f>
        <v>0</v>
      </c>
    </row>
    <row r="539" spans="1:130" x14ac:dyDescent="0.25">
      <c r="A539" s="141"/>
      <c r="CA539" s="270"/>
      <c r="CB539" s="3" t="str">
        <f t="shared" si="72"/>
        <v>Riadok bude vidieť.</v>
      </c>
      <c r="CC539" s="271" t="s">
        <v>832</v>
      </c>
      <c r="CW539" s="32">
        <f>+IF(SUM(CW541:CW560)=0,0,1)</f>
        <v>1</v>
      </c>
      <c r="CZ539" s="30">
        <f t="shared" si="75"/>
        <v>1</v>
      </c>
      <c r="DA539" s="30">
        <f t="shared" si="73"/>
        <v>1</v>
      </c>
      <c r="DB539" s="140">
        <f t="shared" si="70"/>
        <v>1</v>
      </c>
      <c r="DS539" s="130">
        <f>SI!BY539</f>
        <v>140</v>
      </c>
      <c r="DZ539" s="131">
        <f>SI!BZ539</f>
        <v>0</v>
      </c>
    </row>
    <row r="540" spans="1:130" x14ac:dyDescent="0.25">
      <c r="A540" s="141"/>
      <c r="B540" s="279" t="s">
        <v>859</v>
      </c>
      <c r="C540" s="1873" t="str">
        <f>+IF($K$52&lt;&gt;"",IF(INT(SQRT((CODE(MID($K$52,1,1)))))*(IF(SI!EE540="",1,SI!EE540))+LEN(SI!J5)=DS540,"Ocenenie časového rozlíšenie na strane aktív súvahy (náklady budúcich období a príjmy budúcich období)","NEPOVOLENÉ POUŽITIE!"),"NEPOVOLENÉ POUŽITIE!")</f>
        <v>Ocenenie časového rozlíšenie na strane aktív súvahy (náklady budúcich období a príjmy budúcich období)</v>
      </c>
      <c r="D540" s="1873"/>
      <c r="E540" s="1873"/>
      <c r="F540" s="1873"/>
      <c r="G540" s="1873"/>
      <c r="H540" s="1873"/>
      <c r="I540" s="1873"/>
      <c r="J540" s="1873"/>
      <c r="K540" s="1873"/>
      <c r="L540" s="1873"/>
      <c r="M540" s="1873"/>
      <c r="N540" s="1873"/>
      <c r="O540" s="1873"/>
      <c r="P540" s="1873"/>
      <c r="Q540" s="1873"/>
      <c r="R540" s="1873"/>
      <c r="S540" s="1873"/>
      <c r="T540" s="1873"/>
      <c r="U540" s="1873"/>
      <c r="V540" s="1873"/>
      <c r="W540" s="1873"/>
      <c r="X540" s="1873"/>
      <c r="Y540" s="1873"/>
      <c r="Z540" s="1873"/>
      <c r="AA540" s="1873"/>
      <c r="AB540" s="1873"/>
      <c r="AC540" s="1873"/>
      <c r="AD540" s="1873"/>
      <c r="AE540" s="1873"/>
      <c r="AF540" s="1873"/>
      <c r="AG540" s="1873"/>
      <c r="AH540" s="1873"/>
      <c r="AI540" s="1873"/>
      <c r="AJ540" s="1873"/>
      <c r="AK540" s="1873"/>
      <c r="AL540" s="1873"/>
      <c r="AM540" s="1873"/>
      <c r="AN540" s="1873"/>
      <c r="AO540" s="1873"/>
      <c r="AP540" s="1873"/>
      <c r="AQ540" s="1873"/>
      <c r="AR540" s="1873"/>
      <c r="AS540" s="1873"/>
      <c r="AT540" s="1873"/>
      <c r="AU540" s="1873"/>
      <c r="AV540" s="1873"/>
      <c r="AW540" s="1873"/>
      <c r="AX540" s="1873"/>
      <c r="AY540" s="1873"/>
      <c r="AZ540" s="1873"/>
      <c r="BA540" s="1873"/>
      <c r="BB540" s="1873"/>
      <c r="BC540" s="1873"/>
      <c r="BD540" s="1873"/>
      <c r="BE540" s="1873"/>
      <c r="BF540" s="1873"/>
      <c r="BG540" s="1873"/>
      <c r="BH540" s="1873"/>
      <c r="BI540" s="1873"/>
      <c r="BJ540" s="1873"/>
      <c r="BK540" s="1873"/>
      <c r="BL540" s="1873"/>
      <c r="BM540" s="1873"/>
      <c r="BN540" s="1873"/>
      <c r="BO540" s="1873"/>
      <c r="BP540" s="1873"/>
      <c r="BQ540" s="1873"/>
      <c r="BR540" s="1873"/>
      <c r="BS540" s="1873"/>
      <c r="BT540" s="1873"/>
      <c r="BU540" s="1873"/>
      <c r="BV540" s="1873"/>
      <c r="BW540" s="1873"/>
      <c r="BX540" s="1873"/>
      <c r="BY540" s="1873"/>
      <c r="BZ540" s="1873"/>
      <c r="CA540" s="265" t="s">
        <v>773</v>
      </c>
      <c r="CB540" s="3" t="str">
        <f t="shared" si="72"/>
        <v>Riadok bude vidieť.</v>
      </c>
      <c r="CC540" s="271" t="s">
        <v>832</v>
      </c>
      <c r="CW540" s="134">
        <f>+IF(SUM(CW541:CW560)=0,0,1)</f>
        <v>1</v>
      </c>
      <c r="CZ540" s="30">
        <f t="shared" si="75"/>
        <v>1</v>
      </c>
      <c r="DA540" s="30">
        <f t="shared" si="73"/>
        <v>1</v>
      </c>
      <c r="DB540" s="140">
        <f t="shared" si="70"/>
        <v>1</v>
      </c>
      <c r="DS540" s="130">
        <f>SI!BY540</f>
        <v>15</v>
      </c>
      <c r="DZ540" s="131">
        <f>SI!BZ540</f>
        <v>0</v>
      </c>
    </row>
    <row r="541" spans="1:130" x14ac:dyDescent="0.25">
      <c r="A541" s="141"/>
      <c r="B541" s="406" t="s">
        <v>72</v>
      </c>
      <c r="C541" s="406"/>
      <c r="D541" s="406"/>
      <c r="E541" s="406"/>
      <c r="F541" s="406"/>
      <c r="G541" s="406"/>
      <c r="H541" s="406"/>
      <c r="I541" s="406"/>
      <c r="J541" s="406"/>
      <c r="K541" s="406"/>
      <c r="L541" s="406"/>
      <c r="M541" s="406"/>
      <c r="N541" s="406"/>
      <c r="O541" s="406"/>
      <c r="P541" s="406"/>
      <c r="Q541" s="406"/>
      <c r="R541" s="406"/>
      <c r="S541" s="406"/>
      <c r="T541" s="406"/>
      <c r="U541" s="406"/>
      <c r="V541" s="406"/>
      <c r="W541" s="406"/>
      <c r="X541" s="406"/>
      <c r="Y541" s="406"/>
      <c r="Z541" s="406"/>
      <c r="AA541" s="406"/>
      <c r="AB541" s="406"/>
      <c r="AC541" s="406"/>
      <c r="AD541" s="406"/>
      <c r="AE541" s="406"/>
      <c r="AF541" s="406"/>
      <c r="AG541" s="406"/>
      <c r="AH541" s="406"/>
      <c r="AI541" s="406"/>
      <c r="AJ541" s="406"/>
      <c r="AK541" s="406"/>
      <c r="AL541" s="406"/>
      <c r="AM541" s="406"/>
      <c r="AN541" s="406"/>
      <c r="AO541" s="406"/>
      <c r="AP541" s="406"/>
      <c r="AQ541" s="406"/>
      <c r="AR541" s="406"/>
      <c r="AS541" s="406"/>
      <c r="AT541" s="406"/>
      <c r="AU541" s="406"/>
      <c r="AV541" s="406"/>
      <c r="AW541" s="406"/>
      <c r="AX541" s="406"/>
      <c r="AY541" s="406"/>
      <c r="AZ541" s="406"/>
      <c r="BA541" s="406"/>
      <c r="BB541" s="406"/>
      <c r="BC541" s="406"/>
      <c r="BD541" s="406"/>
      <c r="BE541" s="406"/>
      <c r="BF541" s="406"/>
      <c r="BG541" s="406"/>
      <c r="BH541" s="406"/>
      <c r="BI541" s="406"/>
      <c r="BJ541" s="406"/>
      <c r="BK541" s="406"/>
      <c r="BL541" s="406"/>
      <c r="BM541" s="406"/>
      <c r="BN541" s="406"/>
      <c r="BO541" s="406"/>
      <c r="BP541" s="406"/>
      <c r="BQ541" s="406"/>
      <c r="BR541" s="406"/>
      <c r="BS541" s="406"/>
      <c r="BT541" s="406"/>
      <c r="BU541" s="406"/>
      <c r="BV541" s="406"/>
      <c r="BW541" s="406"/>
      <c r="BX541" s="406"/>
      <c r="BY541" s="406"/>
      <c r="BZ541" s="406"/>
      <c r="CA541" s="281"/>
      <c r="CB541" s="3" t="str">
        <f t="shared" si="72"/>
        <v>Riadok bude vidieť.</v>
      </c>
      <c r="CC541" s="271" t="s">
        <v>832</v>
      </c>
      <c r="CW541" s="30">
        <f t="shared" ref="CW541:CW560" si="76">+IF(B541="",0,1)</f>
        <v>1</v>
      </c>
      <c r="CZ541" s="30">
        <f t="shared" si="75"/>
        <v>1</v>
      </c>
      <c r="DA541" s="30">
        <f t="shared" si="73"/>
        <v>1</v>
      </c>
      <c r="DB541" s="140">
        <f t="shared" si="70"/>
        <v>1</v>
      </c>
      <c r="DS541" s="130">
        <f>SI!BY541</f>
        <v>195</v>
      </c>
      <c r="DZ541" s="131">
        <f>SI!BZ541</f>
        <v>0</v>
      </c>
    </row>
    <row r="542" spans="1:130" x14ac:dyDescent="0.25">
      <c r="A542" s="141"/>
      <c r="B542" s="406" t="s">
        <v>73</v>
      </c>
      <c r="C542" s="406"/>
      <c r="D542" s="406"/>
      <c r="E542" s="406"/>
      <c r="F542" s="406"/>
      <c r="G542" s="406"/>
      <c r="H542" s="406"/>
      <c r="I542" s="406"/>
      <c r="J542" s="406"/>
      <c r="K542" s="406"/>
      <c r="L542" s="406"/>
      <c r="M542" s="406"/>
      <c r="N542" s="406"/>
      <c r="O542" s="406"/>
      <c r="P542" s="406"/>
      <c r="Q542" s="406"/>
      <c r="R542" s="406"/>
      <c r="S542" s="406"/>
      <c r="T542" s="406"/>
      <c r="U542" s="406"/>
      <c r="V542" s="406"/>
      <c r="W542" s="406"/>
      <c r="X542" s="406"/>
      <c r="Y542" s="406"/>
      <c r="Z542" s="406"/>
      <c r="AA542" s="406"/>
      <c r="AB542" s="406"/>
      <c r="AC542" s="406"/>
      <c r="AD542" s="406"/>
      <c r="AE542" s="406"/>
      <c r="AF542" s="406"/>
      <c r="AG542" s="406"/>
      <c r="AH542" s="406"/>
      <c r="AI542" s="406"/>
      <c r="AJ542" s="406"/>
      <c r="AK542" s="406"/>
      <c r="AL542" s="406"/>
      <c r="AM542" s="406"/>
      <c r="AN542" s="406"/>
      <c r="AO542" s="406"/>
      <c r="AP542" s="406"/>
      <c r="AQ542" s="406"/>
      <c r="AR542" s="406"/>
      <c r="AS542" s="406"/>
      <c r="AT542" s="406"/>
      <c r="AU542" s="406"/>
      <c r="AV542" s="406"/>
      <c r="AW542" s="406"/>
      <c r="AX542" s="406"/>
      <c r="AY542" s="406"/>
      <c r="AZ542" s="406"/>
      <c r="BA542" s="406"/>
      <c r="BB542" s="406"/>
      <c r="BC542" s="406"/>
      <c r="BD542" s="406"/>
      <c r="BE542" s="406"/>
      <c r="BF542" s="406"/>
      <c r="BG542" s="406"/>
      <c r="BH542" s="406"/>
      <c r="BI542" s="406"/>
      <c r="BJ542" s="406"/>
      <c r="BK542" s="406"/>
      <c r="BL542" s="406"/>
      <c r="BM542" s="406"/>
      <c r="BN542" s="406"/>
      <c r="BO542" s="406"/>
      <c r="BP542" s="406"/>
      <c r="BQ542" s="406"/>
      <c r="BR542" s="406"/>
      <c r="BS542" s="406"/>
      <c r="BT542" s="406"/>
      <c r="BU542" s="406"/>
      <c r="BV542" s="406"/>
      <c r="BW542" s="406"/>
      <c r="BX542" s="406"/>
      <c r="BY542" s="406"/>
      <c r="BZ542" s="406"/>
      <c r="CA542" s="281"/>
      <c r="CB542" s="3" t="str">
        <f t="shared" si="72"/>
        <v>Riadok bude vidieť.</v>
      </c>
      <c r="CC542" s="271" t="s">
        <v>832</v>
      </c>
      <c r="CW542" s="30">
        <f t="shared" si="76"/>
        <v>1</v>
      </c>
      <c r="CZ542" s="30">
        <f t="shared" si="75"/>
        <v>1</v>
      </c>
      <c r="DA542" s="30">
        <f t="shared" si="73"/>
        <v>1</v>
      </c>
      <c r="DB542" s="140">
        <f t="shared" si="70"/>
        <v>1</v>
      </c>
      <c r="DS542" s="130">
        <f>SI!BY542</f>
        <v>985</v>
      </c>
      <c r="DZ542" s="131">
        <f>SI!BZ542</f>
        <v>0</v>
      </c>
    </row>
    <row r="543" spans="1:130" hidden="1" x14ac:dyDescent="0.25">
      <c r="A543" s="141"/>
      <c r="B543" s="406"/>
      <c r="C543" s="406"/>
      <c r="D543" s="406"/>
      <c r="E543" s="406"/>
      <c r="F543" s="406"/>
      <c r="G543" s="406"/>
      <c r="H543" s="406"/>
      <c r="I543" s="406"/>
      <c r="J543" s="406"/>
      <c r="K543" s="406"/>
      <c r="L543" s="406"/>
      <c r="M543" s="406"/>
      <c r="N543" s="406"/>
      <c r="O543" s="406"/>
      <c r="P543" s="406"/>
      <c r="Q543" s="406"/>
      <c r="R543" s="406"/>
      <c r="S543" s="406"/>
      <c r="T543" s="406"/>
      <c r="U543" s="406"/>
      <c r="V543" s="406"/>
      <c r="W543" s="406"/>
      <c r="X543" s="406"/>
      <c r="Y543" s="406"/>
      <c r="Z543" s="406"/>
      <c r="AA543" s="406"/>
      <c r="AB543" s="406"/>
      <c r="AC543" s="406"/>
      <c r="AD543" s="406"/>
      <c r="AE543" s="406"/>
      <c r="AF543" s="406"/>
      <c r="AG543" s="406"/>
      <c r="AH543" s="406"/>
      <c r="AI543" s="406"/>
      <c r="AJ543" s="406"/>
      <c r="AK543" s="406"/>
      <c r="AL543" s="406"/>
      <c r="AM543" s="406"/>
      <c r="AN543" s="406"/>
      <c r="AO543" s="406"/>
      <c r="AP543" s="406"/>
      <c r="AQ543" s="406"/>
      <c r="AR543" s="406"/>
      <c r="AS543" s="406"/>
      <c r="AT543" s="406"/>
      <c r="AU543" s="406"/>
      <c r="AV543" s="406"/>
      <c r="AW543" s="406"/>
      <c r="AX543" s="406"/>
      <c r="AY543" s="406"/>
      <c r="AZ543" s="406"/>
      <c r="BA543" s="406"/>
      <c r="BB543" s="406"/>
      <c r="BC543" s="406"/>
      <c r="BD543" s="406"/>
      <c r="BE543" s="406"/>
      <c r="BF543" s="406"/>
      <c r="BG543" s="406"/>
      <c r="BH543" s="406"/>
      <c r="BI543" s="406"/>
      <c r="BJ543" s="406"/>
      <c r="BK543" s="406"/>
      <c r="BL543" s="406"/>
      <c r="BM543" s="406"/>
      <c r="BN543" s="406"/>
      <c r="BO543" s="406"/>
      <c r="BP543" s="406"/>
      <c r="BQ543" s="406"/>
      <c r="BR543" s="406"/>
      <c r="BS543" s="406"/>
      <c r="BT543" s="406"/>
      <c r="BU543" s="406"/>
      <c r="BV543" s="406"/>
      <c r="BW543" s="406"/>
      <c r="BX543" s="406"/>
      <c r="BY543" s="406"/>
      <c r="BZ543" s="406"/>
      <c r="CA543" s="281"/>
      <c r="CB543" s="3" t="str">
        <f t="shared" si="72"/>
        <v>Riadok bude skrytý.</v>
      </c>
      <c r="CC543" s="271" t="s">
        <v>832</v>
      </c>
      <c r="CW543" s="30">
        <f t="shared" si="76"/>
        <v>0</v>
      </c>
      <c r="CZ543" s="30">
        <f t="shared" si="75"/>
        <v>1</v>
      </c>
      <c r="DA543" s="30">
        <f t="shared" si="73"/>
        <v>0</v>
      </c>
      <c r="DB543" s="140">
        <f t="shared" si="70"/>
        <v>0</v>
      </c>
      <c r="DS543" s="130">
        <f>SI!BY543</f>
        <v>8</v>
      </c>
      <c r="DZ543" s="131">
        <f>SI!BZ543</f>
        <v>0</v>
      </c>
    </row>
    <row r="544" spans="1:130" hidden="1" x14ac:dyDescent="0.25">
      <c r="A544" s="141"/>
      <c r="B544" s="406"/>
      <c r="C544" s="406"/>
      <c r="D544" s="406"/>
      <c r="E544" s="406"/>
      <c r="F544" s="406"/>
      <c r="G544" s="406"/>
      <c r="H544" s="406"/>
      <c r="I544" s="406"/>
      <c r="J544" s="406"/>
      <c r="K544" s="406"/>
      <c r="L544" s="406"/>
      <c r="M544" s="406"/>
      <c r="N544" s="406"/>
      <c r="O544" s="406"/>
      <c r="P544" s="406"/>
      <c r="Q544" s="406"/>
      <c r="R544" s="406"/>
      <c r="S544" s="406"/>
      <c r="T544" s="406"/>
      <c r="U544" s="406"/>
      <c r="V544" s="406"/>
      <c r="W544" s="406"/>
      <c r="X544" s="406"/>
      <c r="Y544" s="406"/>
      <c r="Z544" s="406"/>
      <c r="AA544" s="406"/>
      <c r="AB544" s="406"/>
      <c r="AC544" s="406"/>
      <c r="AD544" s="406"/>
      <c r="AE544" s="406"/>
      <c r="AF544" s="406"/>
      <c r="AG544" s="406"/>
      <c r="AH544" s="406"/>
      <c r="AI544" s="406"/>
      <c r="AJ544" s="406"/>
      <c r="AK544" s="406"/>
      <c r="AL544" s="406"/>
      <c r="AM544" s="406"/>
      <c r="AN544" s="406"/>
      <c r="AO544" s="406"/>
      <c r="AP544" s="406"/>
      <c r="AQ544" s="406"/>
      <c r="AR544" s="406"/>
      <c r="AS544" s="406"/>
      <c r="AT544" s="406"/>
      <c r="AU544" s="406"/>
      <c r="AV544" s="406"/>
      <c r="AW544" s="406"/>
      <c r="AX544" s="406"/>
      <c r="AY544" s="406"/>
      <c r="AZ544" s="406"/>
      <c r="BA544" s="406"/>
      <c r="BB544" s="406"/>
      <c r="BC544" s="406"/>
      <c r="BD544" s="406"/>
      <c r="BE544" s="406"/>
      <c r="BF544" s="406"/>
      <c r="BG544" s="406"/>
      <c r="BH544" s="406"/>
      <c r="BI544" s="406"/>
      <c r="BJ544" s="406"/>
      <c r="BK544" s="406"/>
      <c r="BL544" s="406"/>
      <c r="BM544" s="406"/>
      <c r="BN544" s="406"/>
      <c r="BO544" s="406"/>
      <c r="BP544" s="406"/>
      <c r="BQ544" s="406"/>
      <c r="BR544" s="406"/>
      <c r="BS544" s="406"/>
      <c r="BT544" s="406"/>
      <c r="BU544" s="406"/>
      <c r="BV544" s="406"/>
      <c r="BW544" s="406"/>
      <c r="BX544" s="406"/>
      <c r="BY544" s="406"/>
      <c r="BZ544" s="406"/>
      <c r="CA544" s="281"/>
      <c r="CB544" s="3" t="str">
        <f t="shared" si="72"/>
        <v>Riadok bude skrytý.</v>
      </c>
      <c r="CC544" s="271" t="s">
        <v>832</v>
      </c>
      <c r="CW544" s="30">
        <f t="shared" si="76"/>
        <v>0</v>
      </c>
      <c r="CZ544" s="30">
        <f t="shared" si="75"/>
        <v>1</v>
      </c>
      <c r="DA544" s="30">
        <f t="shared" si="73"/>
        <v>0</v>
      </c>
      <c r="DB544" s="140">
        <f t="shared" si="70"/>
        <v>0</v>
      </c>
      <c r="DS544" s="130">
        <f>SI!BY544</f>
        <v>1077</v>
      </c>
      <c r="DZ544" s="131">
        <f>SI!BZ544</f>
        <v>0</v>
      </c>
    </row>
    <row r="545" spans="1:130" hidden="1" x14ac:dyDescent="0.25">
      <c r="A545" s="141"/>
      <c r="B545" s="406"/>
      <c r="C545" s="406"/>
      <c r="D545" s="406"/>
      <c r="E545" s="406"/>
      <c r="F545" s="406"/>
      <c r="G545" s="406"/>
      <c r="H545" s="406"/>
      <c r="I545" s="406"/>
      <c r="J545" s="406"/>
      <c r="K545" s="406"/>
      <c r="L545" s="406"/>
      <c r="M545" s="406"/>
      <c r="N545" s="406"/>
      <c r="O545" s="406"/>
      <c r="P545" s="406"/>
      <c r="Q545" s="406"/>
      <c r="R545" s="406"/>
      <c r="S545" s="406"/>
      <c r="T545" s="406"/>
      <c r="U545" s="406"/>
      <c r="V545" s="406"/>
      <c r="W545" s="406"/>
      <c r="X545" s="406"/>
      <c r="Y545" s="406"/>
      <c r="Z545" s="406"/>
      <c r="AA545" s="406"/>
      <c r="AB545" s="406"/>
      <c r="AC545" s="406"/>
      <c r="AD545" s="406"/>
      <c r="AE545" s="406"/>
      <c r="AF545" s="406"/>
      <c r="AG545" s="406"/>
      <c r="AH545" s="406"/>
      <c r="AI545" s="406"/>
      <c r="AJ545" s="406"/>
      <c r="AK545" s="406"/>
      <c r="AL545" s="406"/>
      <c r="AM545" s="406"/>
      <c r="AN545" s="406"/>
      <c r="AO545" s="406"/>
      <c r="AP545" s="406"/>
      <c r="AQ545" s="406"/>
      <c r="AR545" s="406"/>
      <c r="AS545" s="406"/>
      <c r="AT545" s="406"/>
      <c r="AU545" s="406"/>
      <c r="AV545" s="406"/>
      <c r="AW545" s="406"/>
      <c r="AX545" s="406"/>
      <c r="AY545" s="406"/>
      <c r="AZ545" s="406"/>
      <c r="BA545" s="406"/>
      <c r="BB545" s="406"/>
      <c r="BC545" s="406"/>
      <c r="BD545" s="406"/>
      <c r="BE545" s="406"/>
      <c r="BF545" s="406"/>
      <c r="BG545" s="406"/>
      <c r="BH545" s="406"/>
      <c r="BI545" s="406"/>
      <c r="BJ545" s="406"/>
      <c r="BK545" s="406"/>
      <c r="BL545" s="406"/>
      <c r="BM545" s="406"/>
      <c r="BN545" s="406"/>
      <c r="BO545" s="406"/>
      <c r="BP545" s="406"/>
      <c r="BQ545" s="406"/>
      <c r="BR545" s="406"/>
      <c r="BS545" s="406"/>
      <c r="BT545" s="406"/>
      <c r="BU545" s="406"/>
      <c r="BV545" s="406"/>
      <c r="BW545" s="406"/>
      <c r="BX545" s="406"/>
      <c r="BY545" s="406"/>
      <c r="BZ545" s="406"/>
      <c r="CA545" s="281"/>
      <c r="CB545" s="3" t="str">
        <f t="shared" si="72"/>
        <v>Riadok bude skrytý.</v>
      </c>
      <c r="CC545" s="271" t="s">
        <v>832</v>
      </c>
      <c r="CW545" s="30">
        <f t="shared" si="76"/>
        <v>0</v>
      </c>
      <c r="CZ545" s="30">
        <f t="shared" si="75"/>
        <v>1</v>
      </c>
      <c r="DA545" s="30">
        <f t="shared" si="73"/>
        <v>0</v>
      </c>
      <c r="DB545" s="140">
        <f t="shared" si="70"/>
        <v>0</v>
      </c>
      <c r="DS545" s="130">
        <f>SI!BY545</f>
        <v>109</v>
      </c>
      <c r="DZ545" s="131">
        <f>SI!BZ545</f>
        <v>0</v>
      </c>
    </row>
    <row r="546" spans="1:130" hidden="1" x14ac:dyDescent="0.25">
      <c r="A546" s="141"/>
      <c r="B546" s="406"/>
      <c r="C546" s="406"/>
      <c r="D546" s="406"/>
      <c r="E546" s="406"/>
      <c r="F546" s="406"/>
      <c r="G546" s="406"/>
      <c r="H546" s="406"/>
      <c r="I546" s="406"/>
      <c r="J546" s="406"/>
      <c r="K546" s="406"/>
      <c r="L546" s="406"/>
      <c r="M546" s="406"/>
      <c r="N546" s="406"/>
      <c r="O546" s="406"/>
      <c r="P546" s="406"/>
      <c r="Q546" s="406"/>
      <c r="R546" s="406"/>
      <c r="S546" s="406"/>
      <c r="T546" s="406"/>
      <c r="U546" s="406"/>
      <c r="V546" s="406"/>
      <c r="W546" s="406"/>
      <c r="X546" s="406"/>
      <c r="Y546" s="406"/>
      <c r="Z546" s="406"/>
      <c r="AA546" s="406"/>
      <c r="AB546" s="406"/>
      <c r="AC546" s="406"/>
      <c r="AD546" s="406"/>
      <c r="AE546" s="406"/>
      <c r="AF546" s="406"/>
      <c r="AG546" s="406"/>
      <c r="AH546" s="406"/>
      <c r="AI546" s="406"/>
      <c r="AJ546" s="406"/>
      <c r="AK546" s="406"/>
      <c r="AL546" s="406"/>
      <c r="AM546" s="406"/>
      <c r="AN546" s="406"/>
      <c r="AO546" s="406"/>
      <c r="AP546" s="406"/>
      <c r="AQ546" s="406"/>
      <c r="AR546" s="406"/>
      <c r="AS546" s="406"/>
      <c r="AT546" s="406"/>
      <c r="AU546" s="406"/>
      <c r="AV546" s="406"/>
      <c r="AW546" s="406"/>
      <c r="AX546" s="406"/>
      <c r="AY546" s="406"/>
      <c r="AZ546" s="406"/>
      <c r="BA546" s="406"/>
      <c r="BB546" s="406"/>
      <c r="BC546" s="406"/>
      <c r="BD546" s="406"/>
      <c r="BE546" s="406"/>
      <c r="BF546" s="406"/>
      <c r="BG546" s="406"/>
      <c r="BH546" s="406"/>
      <c r="BI546" s="406"/>
      <c r="BJ546" s="406"/>
      <c r="BK546" s="406"/>
      <c r="BL546" s="406"/>
      <c r="BM546" s="406"/>
      <c r="BN546" s="406"/>
      <c r="BO546" s="406"/>
      <c r="BP546" s="406"/>
      <c r="BQ546" s="406"/>
      <c r="BR546" s="406"/>
      <c r="BS546" s="406"/>
      <c r="BT546" s="406"/>
      <c r="BU546" s="406"/>
      <c r="BV546" s="406"/>
      <c r="BW546" s="406"/>
      <c r="BX546" s="406"/>
      <c r="BY546" s="406"/>
      <c r="BZ546" s="406"/>
      <c r="CA546" s="281"/>
      <c r="CB546" s="3" t="str">
        <f t="shared" si="72"/>
        <v>Riadok bude skrytý.</v>
      </c>
      <c r="CC546" s="271" t="s">
        <v>832</v>
      </c>
      <c r="CW546" s="30">
        <f t="shared" si="76"/>
        <v>0</v>
      </c>
      <c r="CZ546" s="30">
        <f t="shared" si="75"/>
        <v>1</v>
      </c>
      <c r="DA546" s="30">
        <f t="shared" si="73"/>
        <v>0</v>
      </c>
      <c r="DB546" s="140">
        <f t="shared" si="70"/>
        <v>0</v>
      </c>
      <c r="DS546" s="130">
        <f>SI!BY546</f>
        <v>909</v>
      </c>
      <c r="DZ546" s="131">
        <f>SI!BZ546</f>
        <v>0</v>
      </c>
    </row>
    <row r="547" spans="1:130" hidden="1" x14ac:dyDescent="0.25">
      <c r="A547" s="141"/>
      <c r="B547" s="406"/>
      <c r="C547" s="406"/>
      <c r="D547" s="406"/>
      <c r="E547" s="406"/>
      <c r="F547" s="406"/>
      <c r="G547" s="406"/>
      <c r="H547" s="406"/>
      <c r="I547" s="406"/>
      <c r="J547" s="406"/>
      <c r="K547" s="406"/>
      <c r="L547" s="406"/>
      <c r="M547" s="406"/>
      <c r="N547" s="406"/>
      <c r="O547" s="406"/>
      <c r="P547" s="406"/>
      <c r="Q547" s="406"/>
      <c r="R547" s="406"/>
      <c r="S547" s="406"/>
      <c r="T547" s="406"/>
      <c r="U547" s="406"/>
      <c r="V547" s="406"/>
      <c r="W547" s="406"/>
      <c r="X547" s="406"/>
      <c r="Y547" s="406"/>
      <c r="Z547" s="406"/>
      <c r="AA547" s="406"/>
      <c r="AB547" s="406"/>
      <c r="AC547" s="406"/>
      <c r="AD547" s="406"/>
      <c r="AE547" s="406"/>
      <c r="AF547" s="406"/>
      <c r="AG547" s="406"/>
      <c r="AH547" s="406"/>
      <c r="AI547" s="406"/>
      <c r="AJ547" s="406"/>
      <c r="AK547" s="406"/>
      <c r="AL547" s="406"/>
      <c r="AM547" s="406"/>
      <c r="AN547" s="406"/>
      <c r="AO547" s="406"/>
      <c r="AP547" s="406"/>
      <c r="AQ547" s="406"/>
      <c r="AR547" s="406"/>
      <c r="AS547" s="406"/>
      <c r="AT547" s="406"/>
      <c r="AU547" s="406"/>
      <c r="AV547" s="406"/>
      <c r="AW547" s="406"/>
      <c r="AX547" s="406"/>
      <c r="AY547" s="406"/>
      <c r="AZ547" s="406"/>
      <c r="BA547" s="406"/>
      <c r="BB547" s="406"/>
      <c r="BC547" s="406"/>
      <c r="BD547" s="406"/>
      <c r="BE547" s="406"/>
      <c r="BF547" s="406"/>
      <c r="BG547" s="406"/>
      <c r="BH547" s="406"/>
      <c r="BI547" s="406"/>
      <c r="BJ547" s="406"/>
      <c r="BK547" s="406"/>
      <c r="BL547" s="406"/>
      <c r="BM547" s="406"/>
      <c r="BN547" s="406"/>
      <c r="BO547" s="406"/>
      <c r="BP547" s="406"/>
      <c r="BQ547" s="406"/>
      <c r="BR547" s="406"/>
      <c r="BS547" s="406"/>
      <c r="BT547" s="406"/>
      <c r="BU547" s="406"/>
      <c r="BV547" s="406"/>
      <c r="BW547" s="406"/>
      <c r="BX547" s="406"/>
      <c r="BY547" s="406"/>
      <c r="BZ547" s="406"/>
      <c r="CA547" s="281"/>
      <c r="CB547" s="3" t="str">
        <f t="shared" si="72"/>
        <v>Riadok bude skrytý.</v>
      </c>
      <c r="CC547" s="271" t="s">
        <v>832</v>
      </c>
      <c r="CW547" s="30">
        <f t="shared" si="76"/>
        <v>0</v>
      </c>
      <c r="CZ547" s="30">
        <f t="shared" si="75"/>
        <v>1</v>
      </c>
      <c r="DA547" s="30">
        <f t="shared" si="73"/>
        <v>0</v>
      </c>
      <c r="DB547" s="140">
        <f t="shared" si="70"/>
        <v>0</v>
      </c>
      <c r="DS547" s="130">
        <f>SI!BY547</f>
        <v>166</v>
      </c>
      <c r="DZ547" s="131">
        <f>SI!BZ547</f>
        <v>0</v>
      </c>
    </row>
    <row r="548" spans="1:130" hidden="1" x14ac:dyDescent="0.25">
      <c r="A548" s="141"/>
      <c r="B548" s="406"/>
      <c r="C548" s="406"/>
      <c r="D548" s="406"/>
      <c r="E548" s="406"/>
      <c r="F548" s="406"/>
      <c r="G548" s="406"/>
      <c r="H548" s="406"/>
      <c r="I548" s="406"/>
      <c r="J548" s="406"/>
      <c r="K548" s="406"/>
      <c r="L548" s="406"/>
      <c r="M548" s="406"/>
      <c r="N548" s="406"/>
      <c r="O548" s="406"/>
      <c r="P548" s="406"/>
      <c r="Q548" s="406"/>
      <c r="R548" s="406"/>
      <c r="S548" s="406"/>
      <c r="T548" s="406"/>
      <c r="U548" s="406"/>
      <c r="V548" s="406"/>
      <c r="W548" s="406"/>
      <c r="X548" s="406"/>
      <c r="Y548" s="406"/>
      <c r="Z548" s="406"/>
      <c r="AA548" s="406"/>
      <c r="AB548" s="406"/>
      <c r="AC548" s="406"/>
      <c r="AD548" s="406"/>
      <c r="AE548" s="406"/>
      <c r="AF548" s="406"/>
      <c r="AG548" s="406"/>
      <c r="AH548" s="406"/>
      <c r="AI548" s="406"/>
      <c r="AJ548" s="406"/>
      <c r="AK548" s="406"/>
      <c r="AL548" s="406"/>
      <c r="AM548" s="406"/>
      <c r="AN548" s="406"/>
      <c r="AO548" s="406"/>
      <c r="AP548" s="406"/>
      <c r="AQ548" s="406"/>
      <c r="AR548" s="406"/>
      <c r="AS548" s="406"/>
      <c r="AT548" s="406"/>
      <c r="AU548" s="406"/>
      <c r="AV548" s="406"/>
      <c r="AW548" s="406"/>
      <c r="AX548" s="406"/>
      <c r="AY548" s="406"/>
      <c r="AZ548" s="406"/>
      <c r="BA548" s="406"/>
      <c r="BB548" s="406"/>
      <c r="BC548" s="406"/>
      <c r="BD548" s="406"/>
      <c r="BE548" s="406"/>
      <c r="BF548" s="406"/>
      <c r="BG548" s="406"/>
      <c r="BH548" s="406"/>
      <c r="BI548" s="406"/>
      <c r="BJ548" s="406"/>
      <c r="BK548" s="406"/>
      <c r="BL548" s="406"/>
      <c r="BM548" s="406"/>
      <c r="BN548" s="406"/>
      <c r="BO548" s="406"/>
      <c r="BP548" s="406"/>
      <c r="BQ548" s="406"/>
      <c r="BR548" s="406"/>
      <c r="BS548" s="406"/>
      <c r="BT548" s="406"/>
      <c r="BU548" s="406"/>
      <c r="BV548" s="406"/>
      <c r="BW548" s="406"/>
      <c r="BX548" s="406"/>
      <c r="BY548" s="406"/>
      <c r="BZ548" s="406"/>
      <c r="CA548" s="281"/>
      <c r="CB548" s="3" t="str">
        <f t="shared" si="72"/>
        <v>Riadok bude skrytý.</v>
      </c>
      <c r="CC548" s="271" t="s">
        <v>832</v>
      </c>
      <c r="CW548" s="30">
        <f t="shared" si="76"/>
        <v>0</v>
      </c>
      <c r="CZ548" s="30">
        <f t="shared" si="75"/>
        <v>1</v>
      </c>
      <c r="DA548" s="30">
        <f t="shared" si="73"/>
        <v>0</v>
      </c>
      <c r="DB548" s="140">
        <f t="shared" si="70"/>
        <v>0</v>
      </c>
      <c r="DS548" s="130">
        <f>SI!BY548</f>
        <v>936</v>
      </c>
      <c r="DZ548" s="131">
        <f>SI!BZ548</f>
        <v>0</v>
      </c>
    </row>
    <row r="549" spans="1:130" hidden="1" x14ac:dyDescent="0.25">
      <c r="A549" s="141"/>
      <c r="B549" s="406"/>
      <c r="C549" s="406"/>
      <c r="D549" s="406"/>
      <c r="E549" s="406"/>
      <c r="F549" s="406"/>
      <c r="G549" s="406"/>
      <c r="H549" s="406"/>
      <c r="I549" s="406"/>
      <c r="J549" s="406"/>
      <c r="K549" s="406"/>
      <c r="L549" s="406"/>
      <c r="M549" s="406"/>
      <c r="N549" s="406"/>
      <c r="O549" s="406"/>
      <c r="P549" s="406"/>
      <c r="Q549" s="406"/>
      <c r="R549" s="406"/>
      <c r="S549" s="406"/>
      <c r="T549" s="406"/>
      <c r="U549" s="406"/>
      <c r="V549" s="406"/>
      <c r="W549" s="406"/>
      <c r="X549" s="406"/>
      <c r="Y549" s="406"/>
      <c r="Z549" s="406"/>
      <c r="AA549" s="406"/>
      <c r="AB549" s="406"/>
      <c r="AC549" s="406"/>
      <c r="AD549" s="406"/>
      <c r="AE549" s="406"/>
      <c r="AF549" s="406"/>
      <c r="AG549" s="406"/>
      <c r="AH549" s="406"/>
      <c r="AI549" s="406"/>
      <c r="AJ549" s="406"/>
      <c r="AK549" s="406"/>
      <c r="AL549" s="406"/>
      <c r="AM549" s="406"/>
      <c r="AN549" s="406"/>
      <c r="AO549" s="406"/>
      <c r="AP549" s="406"/>
      <c r="AQ549" s="406"/>
      <c r="AR549" s="406"/>
      <c r="AS549" s="406"/>
      <c r="AT549" s="406"/>
      <c r="AU549" s="406"/>
      <c r="AV549" s="406"/>
      <c r="AW549" s="406"/>
      <c r="AX549" s="406"/>
      <c r="AY549" s="406"/>
      <c r="AZ549" s="406"/>
      <c r="BA549" s="406"/>
      <c r="BB549" s="406"/>
      <c r="BC549" s="406"/>
      <c r="BD549" s="406"/>
      <c r="BE549" s="406"/>
      <c r="BF549" s="406"/>
      <c r="BG549" s="406"/>
      <c r="BH549" s="406"/>
      <c r="BI549" s="406"/>
      <c r="BJ549" s="406"/>
      <c r="BK549" s="406"/>
      <c r="BL549" s="406"/>
      <c r="BM549" s="406"/>
      <c r="BN549" s="406"/>
      <c r="BO549" s="406"/>
      <c r="BP549" s="406"/>
      <c r="BQ549" s="406"/>
      <c r="BR549" s="406"/>
      <c r="BS549" s="406"/>
      <c r="BT549" s="406"/>
      <c r="BU549" s="406"/>
      <c r="BV549" s="406"/>
      <c r="BW549" s="406"/>
      <c r="BX549" s="406"/>
      <c r="BY549" s="406"/>
      <c r="BZ549" s="406"/>
      <c r="CA549" s="281"/>
      <c r="CB549" s="3" t="str">
        <f t="shared" si="72"/>
        <v>Riadok bude skrytý.</v>
      </c>
      <c r="CC549" s="271" t="s">
        <v>832</v>
      </c>
      <c r="CW549" s="30">
        <f t="shared" si="76"/>
        <v>0</v>
      </c>
      <c r="CZ549" s="30">
        <f t="shared" si="75"/>
        <v>1</v>
      </c>
      <c r="DA549" s="30">
        <f t="shared" si="73"/>
        <v>0</v>
      </c>
      <c r="DB549" s="140">
        <f t="shared" si="70"/>
        <v>0</v>
      </c>
      <c r="DS549" s="130">
        <f>SI!BY549</f>
        <v>128</v>
      </c>
      <c r="DZ549" s="131">
        <f>SI!BZ549</f>
        <v>0</v>
      </c>
    </row>
    <row r="550" spans="1:130" hidden="1" x14ac:dyDescent="0.25">
      <c r="A550" s="141"/>
      <c r="B550" s="406"/>
      <c r="C550" s="406"/>
      <c r="D550" s="406"/>
      <c r="E550" s="406"/>
      <c r="F550" s="406"/>
      <c r="G550" s="406"/>
      <c r="H550" s="406"/>
      <c r="I550" s="406"/>
      <c r="J550" s="406"/>
      <c r="K550" s="406"/>
      <c r="L550" s="406"/>
      <c r="M550" s="406"/>
      <c r="N550" s="406"/>
      <c r="O550" s="406"/>
      <c r="P550" s="406"/>
      <c r="Q550" s="406"/>
      <c r="R550" s="406"/>
      <c r="S550" s="406"/>
      <c r="T550" s="406"/>
      <c r="U550" s="406"/>
      <c r="V550" s="406"/>
      <c r="W550" s="406"/>
      <c r="X550" s="406"/>
      <c r="Y550" s="406"/>
      <c r="Z550" s="406"/>
      <c r="AA550" s="406"/>
      <c r="AB550" s="406"/>
      <c r="AC550" s="406"/>
      <c r="AD550" s="406"/>
      <c r="AE550" s="406"/>
      <c r="AF550" s="406"/>
      <c r="AG550" s="406"/>
      <c r="AH550" s="406"/>
      <c r="AI550" s="406"/>
      <c r="AJ550" s="406"/>
      <c r="AK550" s="406"/>
      <c r="AL550" s="406"/>
      <c r="AM550" s="406"/>
      <c r="AN550" s="406"/>
      <c r="AO550" s="406"/>
      <c r="AP550" s="406"/>
      <c r="AQ550" s="406"/>
      <c r="AR550" s="406"/>
      <c r="AS550" s="406"/>
      <c r="AT550" s="406"/>
      <c r="AU550" s="406"/>
      <c r="AV550" s="406"/>
      <c r="AW550" s="406"/>
      <c r="AX550" s="406"/>
      <c r="AY550" s="406"/>
      <c r="AZ550" s="406"/>
      <c r="BA550" s="406"/>
      <c r="BB550" s="406"/>
      <c r="BC550" s="406"/>
      <c r="BD550" s="406"/>
      <c r="BE550" s="406"/>
      <c r="BF550" s="406"/>
      <c r="BG550" s="406"/>
      <c r="BH550" s="406"/>
      <c r="BI550" s="406"/>
      <c r="BJ550" s="406"/>
      <c r="BK550" s="406"/>
      <c r="BL550" s="406"/>
      <c r="BM550" s="406"/>
      <c r="BN550" s="406"/>
      <c r="BO550" s="406"/>
      <c r="BP550" s="406"/>
      <c r="BQ550" s="406"/>
      <c r="BR550" s="406"/>
      <c r="BS550" s="406"/>
      <c r="BT550" s="406"/>
      <c r="BU550" s="406"/>
      <c r="BV550" s="406"/>
      <c r="BW550" s="406"/>
      <c r="BX550" s="406"/>
      <c r="BY550" s="406"/>
      <c r="BZ550" s="406"/>
      <c r="CA550" s="281"/>
      <c r="CB550" s="3" t="str">
        <f t="shared" si="72"/>
        <v>Riadok bude skrytý.</v>
      </c>
      <c r="CC550" s="271" t="s">
        <v>832</v>
      </c>
      <c r="CW550" s="30">
        <f t="shared" si="76"/>
        <v>0</v>
      </c>
      <c r="CZ550" s="30">
        <f t="shared" si="75"/>
        <v>1</v>
      </c>
      <c r="DA550" s="30">
        <f t="shared" si="73"/>
        <v>0</v>
      </c>
      <c r="DB550" s="140">
        <f t="shared" si="70"/>
        <v>0</v>
      </c>
      <c r="DS550" s="130">
        <f>SI!BY550</f>
        <v>187</v>
      </c>
      <c r="DZ550" s="131">
        <f>SI!BZ550</f>
        <v>0</v>
      </c>
    </row>
    <row r="551" spans="1:130" hidden="1" x14ac:dyDescent="0.25">
      <c r="A551" s="141"/>
      <c r="B551" s="406"/>
      <c r="C551" s="406"/>
      <c r="D551" s="406"/>
      <c r="E551" s="406"/>
      <c r="F551" s="406"/>
      <c r="G551" s="406"/>
      <c r="H551" s="406"/>
      <c r="I551" s="406"/>
      <c r="J551" s="406"/>
      <c r="K551" s="406"/>
      <c r="L551" s="406"/>
      <c r="M551" s="406"/>
      <c r="N551" s="406"/>
      <c r="O551" s="406"/>
      <c r="P551" s="406"/>
      <c r="Q551" s="406"/>
      <c r="R551" s="406"/>
      <c r="S551" s="406"/>
      <c r="T551" s="406"/>
      <c r="U551" s="406"/>
      <c r="V551" s="406"/>
      <c r="W551" s="406"/>
      <c r="X551" s="406"/>
      <c r="Y551" s="406"/>
      <c r="Z551" s="406"/>
      <c r="AA551" s="406"/>
      <c r="AB551" s="406"/>
      <c r="AC551" s="406"/>
      <c r="AD551" s="406"/>
      <c r="AE551" s="406"/>
      <c r="AF551" s="406"/>
      <c r="AG551" s="406"/>
      <c r="AH551" s="406"/>
      <c r="AI551" s="406"/>
      <c r="AJ551" s="406"/>
      <c r="AK551" s="406"/>
      <c r="AL551" s="406"/>
      <c r="AM551" s="406"/>
      <c r="AN551" s="406"/>
      <c r="AO551" s="406"/>
      <c r="AP551" s="406"/>
      <c r="AQ551" s="406"/>
      <c r="AR551" s="406"/>
      <c r="AS551" s="406"/>
      <c r="AT551" s="406"/>
      <c r="AU551" s="406"/>
      <c r="AV551" s="406"/>
      <c r="AW551" s="406"/>
      <c r="AX551" s="406"/>
      <c r="AY551" s="406"/>
      <c r="AZ551" s="406"/>
      <c r="BA551" s="406"/>
      <c r="BB551" s="406"/>
      <c r="BC551" s="406"/>
      <c r="BD551" s="406"/>
      <c r="BE551" s="406"/>
      <c r="BF551" s="406"/>
      <c r="BG551" s="406"/>
      <c r="BH551" s="406"/>
      <c r="BI551" s="406"/>
      <c r="BJ551" s="406"/>
      <c r="BK551" s="406"/>
      <c r="BL551" s="406"/>
      <c r="BM551" s="406"/>
      <c r="BN551" s="406"/>
      <c r="BO551" s="406"/>
      <c r="BP551" s="406"/>
      <c r="BQ551" s="406"/>
      <c r="BR551" s="406"/>
      <c r="BS551" s="406"/>
      <c r="BT551" s="406"/>
      <c r="BU551" s="406"/>
      <c r="BV551" s="406"/>
      <c r="BW551" s="406"/>
      <c r="BX551" s="406"/>
      <c r="BY551" s="406"/>
      <c r="BZ551" s="406"/>
      <c r="CA551" s="281"/>
      <c r="CB551" s="3" t="str">
        <f t="shared" si="72"/>
        <v>Riadok bude skrytý.</v>
      </c>
      <c r="CC551" s="271" t="s">
        <v>832</v>
      </c>
      <c r="CW551" s="30">
        <f t="shared" si="76"/>
        <v>0</v>
      </c>
      <c r="CZ551" s="30">
        <f t="shared" si="75"/>
        <v>1</v>
      </c>
      <c r="DA551" s="30">
        <f t="shared" si="73"/>
        <v>0</v>
      </c>
      <c r="DB551" s="140">
        <f t="shared" si="70"/>
        <v>0</v>
      </c>
      <c r="DS551" s="130">
        <f>SI!BY551</f>
        <v>120</v>
      </c>
      <c r="DZ551" s="131">
        <f>SI!BZ551</f>
        <v>0</v>
      </c>
    </row>
    <row r="552" spans="1:130" hidden="1" x14ac:dyDescent="0.25">
      <c r="A552" s="141"/>
      <c r="B552" s="406"/>
      <c r="C552" s="406"/>
      <c r="D552" s="406"/>
      <c r="E552" s="406"/>
      <c r="F552" s="406"/>
      <c r="G552" s="406"/>
      <c r="H552" s="406"/>
      <c r="I552" s="406"/>
      <c r="J552" s="406"/>
      <c r="K552" s="406"/>
      <c r="L552" s="406"/>
      <c r="M552" s="406"/>
      <c r="N552" s="406"/>
      <c r="O552" s="406"/>
      <c r="P552" s="406"/>
      <c r="Q552" s="406"/>
      <c r="R552" s="406"/>
      <c r="S552" s="406"/>
      <c r="T552" s="406"/>
      <c r="U552" s="406"/>
      <c r="V552" s="406"/>
      <c r="W552" s="406"/>
      <c r="X552" s="406"/>
      <c r="Y552" s="406"/>
      <c r="Z552" s="406"/>
      <c r="AA552" s="406"/>
      <c r="AB552" s="406"/>
      <c r="AC552" s="406"/>
      <c r="AD552" s="406"/>
      <c r="AE552" s="406"/>
      <c r="AF552" s="406"/>
      <c r="AG552" s="406"/>
      <c r="AH552" s="406"/>
      <c r="AI552" s="406"/>
      <c r="AJ552" s="406"/>
      <c r="AK552" s="406"/>
      <c r="AL552" s="406"/>
      <c r="AM552" s="406"/>
      <c r="AN552" s="406"/>
      <c r="AO552" s="406"/>
      <c r="AP552" s="406"/>
      <c r="AQ552" s="406"/>
      <c r="AR552" s="406"/>
      <c r="AS552" s="406"/>
      <c r="AT552" s="406"/>
      <c r="AU552" s="406"/>
      <c r="AV552" s="406"/>
      <c r="AW552" s="406"/>
      <c r="AX552" s="406"/>
      <c r="AY552" s="406"/>
      <c r="AZ552" s="406"/>
      <c r="BA552" s="406"/>
      <c r="BB552" s="406"/>
      <c r="BC552" s="406"/>
      <c r="BD552" s="406"/>
      <c r="BE552" s="406"/>
      <c r="BF552" s="406"/>
      <c r="BG552" s="406"/>
      <c r="BH552" s="406"/>
      <c r="BI552" s="406"/>
      <c r="BJ552" s="406"/>
      <c r="BK552" s="406"/>
      <c r="BL552" s="406"/>
      <c r="BM552" s="406"/>
      <c r="BN552" s="406"/>
      <c r="BO552" s="406"/>
      <c r="BP552" s="406"/>
      <c r="BQ552" s="406"/>
      <c r="BR552" s="406"/>
      <c r="BS552" s="406"/>
      <c r="BT552" s="406"/>
      <c r="BU552" s="406"/>
      <c r="BV552" s="406"/>
      <c r="BW552" s="406"/>
      <c r="BX552" s="406"/>
      <c r="BY552" s="406"/>
      <c r="BZ552" s="406"/>
      <c r="CA552" s="281"/>
      <c r="CB552" s="3" t="str">
        <f t="shared" si="72"/>
        <v>Riadok bude skrytý.</v>
      </c>
      <c r="CC552" s="271" t="s">
        <v>832</v>
      </c>
      <c r="CW552" s="30">
        <f t="shared" si="76"/>
        <v>0</v>
      </c>
      <c r="CZ552" s="30">
        <f t="shared" si="75"/>
        <v>1</v>
      </c>
      <c r="DA552" s="30">
        <f t="shared" si="73"/>
        <v>0</v>
      </c>
      <c r="DB552" s="140">
        <f t="shared" si="70"/>
        <v>0</v>
      </c>
      <c r="DS552" s="130">
        <f>SI!BY552</f>
        <v>260</v>
      </c>
      <c r="DZ552" s="131">
        <f>SI!BZ552</f>
        <v>0</v>
      </c>
    </row>
    <row r="553" spans="1:130" hidden="1" x14ac:dyDescent="0.25">
      <c r="A553" s="141"/>
      <c r="B553" s="406"/>
      <c r="C553" s="406"/>
      <c r="D553" s="406"/>
      <c r="E553" s="406"/>
      <c r="F553" s="406"/>
      <c r="G553" s="406"/>
      <c r="H553" s="406"/>
      <c r="I553" s="406"/>
      <c r="J553" s="406"/>
      <c r="K553" s="406"/>
      <c r="L553" s="406"/>
      <c r="M553" s="406"/>
      <c r="N553" s="406"/>
      <c r="O553" s="406"/>
      <c r="P553" s="406"/>
      <c r="Q553" s="406"/>
      <c r="R553" s="406"/>
      <c r="S553" s="406"/>
      <c r="T553" s="406"/>
      <c r="U553" s="406"/>
      <c r="V553" s="406"/>
      <c r="W553" s="406"/>
      <c r="X553" s="406"/>
      <c r="Y553" s="406"/>
      <c r="Z553" s="406"/>
      <c r="AA553" s="406"/>
      <c r="AB553" s="406"/>
      <c r="AC553" s="406"/>
      <c r="AD553" s="406"/>
      <c r="AE553" s="406"/>
      <c r="AF553" s="406"/>
      <c r="AG553" s="406"/>
      <c r="AH553" s="406"/>
      <c r="AI553" s="406"/>
      <c r="AJ553" s="406"/>
      <c r="AK553" s="406"/>
      <c r="AL553" s="406"/>
      <c r="AM553" s="406"/>
      <c r="AN553" s="406"/>
      <c r="AO553" s="406"/>
      <c r="AP553" s="406"/>
      <c r="AQ553" s="406"/>
      <c r="AR553" s="406"/>
      <c r="AS553" s="406"/>
      <c r="AT553" s="406"/>
      <c r="AU553" s="406"/>
      <c r="AV553" s="406"/>
      <c r="AW553" s="406"/>
      <c r="AX553" s="406"/>
      <c r="AY553" s="406"/>
      <c r="AZ553" s="406"/>
      <c r="BA553" s="406"/>
      <c r="BB553" s="406"/>
      <c r="BC553" s="406"/>
      <c r="BD553" s="406"/>
      <c r="BE553" s="406"/>
      <c r="BF553" s="406"/>
      <c r="BG553" s="406"/>
      <c r="BH553" s="406"/>
      <c r="BI553" s="406"/>
      <c r="BJ553" s="406"/>
      <c r="BK553" s="406"/>
      <c r="BL553" s="406"/>
      <c r="BM553" s="406"/>
      <c r="BN553" s="406"/>
      <c r="BO553" s="406"/>
      <c r="BP553" s="406"/>
      <c r="BQ553" s="406"/>
      <c r="BR553" s="406"/>
      <c r="BS553" s="406"/>
      <c r="BT553" s="406"/>
      <c r="BU553" s="406"/>
      <c r="BV553" s="406"/>
      <c r="BW553" s="406"/>
      <c r="BX553" s="406"/>
      <c r="BY553" s="406"/>
      <c r="BZ553" s="406"/>
      <c r="CA553" s="281"/>
      <c r="CB553" s="3" t="str">
        <f t="shared" si="72"/>
        <v>Riadok bude skrytý.</v>
      </c>
      <c r="CC553" s="271" t="s">
        <v>832</v>
      </c>
      <c r="CW553" s="30">
        <f t="shared" si="76"/>
        <v>0</v>
      </c>
      <c r="CZ553" s="30">
        <f t="shared" si="75"/>
        <v>1</v>
      </c>
      <c r="DA553" s="30">
        <f t="shared" si="73"/>
        <v>0</v>
      </c>
      <c r="DB553" s="140">
        <f t="shared" si="70"/>
        <v>0</v>
      </c>
      <c r="DS553" s="130">
        <f>SI!BY553</f>
        <v>150</v>
      </c>
      <c r="DZ553" s="131">
        <f>SI!BZ553</f>
        <v>0</v>
      </c>
    </row>
    <row r="554" spans="1:130" hidden="1" x14ac:dyDescent="0.25">
      <c r="A554" s="141"/>
      <c r="B554" s="406"/>
      <c r="C554" s="406"/>
      <c r="D554" s="406"/>
      <c r="E554" s="406"/>
      <c r="F554" s="406"/>
      <c r="G554" s="406"/>
      <c r="H554" s="406"/>
      <c r="I554" s="406"/>
      <c r="J554" s="406"/>
      <c r="K554" s="406"/>
      <c r="L554" s="406"/>
      <c r="M554" s="406"/>
      <c r="N554" s="406"/>
      <c r="O554" s="406"/>
      <c r="P554" s="406"/>
      <c r="Q554" s="406"/>
      <c r="R554" s="406"/>
      <c r="S554" s="406"/>
      <c r="T554" s="406"/>
      <c r="U554" s="406"/>
      <c r="V554" s="406"/>
      <c r="W554" s="406"/>
      <c r="X554" s="406"/>
      <c r="Y554" s="406"/>
      <c r="Z554" s="406"/>
      <c r="AA554" s="406"/>
      <c r="AB554" s="406"/>
      <c r="AC554" s="406"/>
      <c r="AD554" s="406"/>
      <c r="AE554" s="406"/>
      <c r="AF554" s="406"/>
      <c r="AG554" s="406"/>
      <c r="AH554" s="406"/>
      <c r="AI554" s="406"/>
      <c r="AJ554" s="406"/>
      <c r="AK554" s="406"/>
      <c r="AL554" s="406"/>
      <c r="AM554" s="406"/>
      <c r="AN554" s="406"/>
      <c r="AO554" s="406"/>
      <c r="AP554" s="406"/>
      <c r="AQ554" s="406"/>
      <c r="AR554" s="406"/>
      <c r="AS554" s="406"/>
      <c r="AT554" s="406"/>
      <c r="AU554" s="406"/>
      <c r="AV554" s="406"/>
      <c r="AW554" s="406"/>
      <c r="AX554" s="406"/>
      <c r="AY554" s="406"/>
      <c r="AZ554" s="406"/>
      <c r="BA554" s="406"/>
      <c r="BB554" s="406"/>
      <c r="BC554" s="406"/>
      <c r="BD554" s="406"/>
      <c r="BE554" s="406"/>
      <c r="BF554" s="406"/>
      <c r="BG554" s="406"/>
      <c r="BH554" s="406"/>
      <c r="BI554" s="406"/>
      <c r="BJ554" s="406"/>
      <c r="BK554" s="406"/>
      <c r="BL554" s="406"/>
      <c r="BM554" s="406"/>
      <c r="BN554" s="406"/>
      <c r="BO554" s="406"/>
      <c r="BP554" s="406"/>
      <c r="BQ554" s="406"/>
      <c r="BR554" s="406"/>
      <c r="BS554" s="406"/>
      <c r="BT554" s="406"/>
      <c r="BU554" s="406"/>
      <c r="BV554" s="406"/>
      <c r="BW554" s="406"/>
      <c r="BX554" s="406"/>
      <c r="BY554" s="406"/>
      <c r="BZ554" s="406"/>
      <c r="CA554" s="281"/>
      <c r="CB554" s="3" t="str">
        <f t="shared" si="72"/>
        <v>Riadok bude skrytý.</v>
      </c>
      <c r="CC554" s="271" t="s">
        <v>832</v>
      </c>
      <c r="CW554" s="30">
        <f t="shared" si="76"/>
        <v>0</v>
      </c>
      <c r="CZ554" s="30">
        <f t="shared" si="75"/>
        <v>1</v>
      </c>
      <c r="DA554" s="30">
        <f t="shared" si="73"/>
        <v>0</v>
      </c>
      <c r="DB554" s="140">
        <f t="shared" si="70"/>
        <v>0</v>
      </c>
      <c r="DS554" s="130">
        <f>SI!BY554</f>
        <v>243</v>
      </c>
      <c r="DZ554" s="131">
        <f>SI!BZ554</f>
        <v>0</v>
      </c>
    </row>
    <row r="555" spans="1:130" hidden="1" x14ac:dyDescent="0.25">
      <c r="A555" s="141"/>
      <c r="B555" s="406"/>
      <c r="C555" s="406"/>
      <c r="D555" s="406"/>
      <c r="E555" s="406"/>
      <c r="F555" s="406"/>
      <c r="G555" s="406"/>
      <c r="H555" s="406"/>
      <c r="I555" s="406"/>
      <c r="J555" s="406"/>
      <c r="K555" s="406"/>
      <c r="L555" s="406"/>
      <c r="M555" s="406"/>
      <c r="N555" s="406"/>
      <c r="O555" s="406"/>
      <c r="P555" s="406"/>
      <c r="Q555" s="406"/>
      <c r="R555" s="406"/>
      <c r="S555" s="406"/>
      <c r="T555" s="406"/>
      <c r="U555" s="406"/>
      <c r="V555" s="406"/>
      <c r="W555" s="406"/>
      <c r="X555" s="406"/>
      <c r="Y555" s="406"/>
      <c r="Z555" s="406"/>
      <c r="AA555" s="406"/>
      <c r="AB555" s="406"/>
      <c r="AC555" s="406"/>
      <c r="AD555" s="406"/>
      <c r="AE555" s="406"/>
      <c r="AF555" s="406"/>
      <c r="AG555" s="406"/>
      <c r="AH555" s="406"/>
      <c r="AI555" s="406"/>
      <c r="AJ555" s="406"/>
      <c r="AK555" s="406"/>
      <c r="AL555" s="406"/>
      <c r="AM555" s="406"/>
      <c r="AN555" s="406"/>
      <c r="AO555" s="406"/>
      <c r="AP555" s="406"/>
      <c r="AQ555" s="406"/>
      <c r="AR555" s="406"/>
      <c r="AS555" s="406"/>
      <c r="AT555" s="406"/>
      <c r="AU555" s="406"/>
      <c r="AV555" s="406"/>
      <c r="AW555" s="406"/>
      <c r="AX555" s="406"/>
      <c r="AY555" s="406"/>
      <c r="AZ555" s="406"/>
      <c r="BA555" s="406"/>
      <c r="BB555" s="406"/>
      <c r="BC555" s="406"/>
      <c r="BD555" s="406"/>
      <c r="BE555" s="406"/>
      <c r="BF555" s="406"/>
      <c r="BG555" s="406"/>
      <c r="BH555" s="406"/>
      <c r="BI555" s="406"/>
      <c r="BJ555" s="406"/>
      <c r="BK555" s="406"/>
      <c r="BL555" s="406"/>
      <c r="BM555" s="406"/>
      <c r="BN555" s="406"/>
      <c r="BO555" s="406"/>
      <c r="BP555" s="406"/>
      <c r="BQ555" s="406"/>
      <c r="BR555" s="406"/>
      <c r="BS555" s="406"/>
      <c r="BT555" s="406"/>
      <c r="BU555" s="406"/>
      <c r="BV555" s="406"/>
      <c r="BW555" s="406"/>
      <c r="BX555" s="406"/>
      <c r="BY555" s="406"/>
      <c r="BZ555" s="406"/>
      <c r="CA555" s="281"/>
      <c r="CB555" s="3" t="str">
        <f t="shared" si="72"/>
        <v>Riadok bude skrytý.</v>
      </c>
      <c r="CC555" s="271" t="s">
        <v>832</v>
      </c>
      <c r="CW555" s="30">
        <f t="shared" si="76"/>
        <v>0</v>
      </c>
      <c r="CZ555" s="30">
        <f t="shared" si="75"/>
        <v>1</v>
      </c>
      <c r="DA555" s="30">
        <f t="shared" si="73"/>
        <v>0</v>
      </c>
      <c r="DB555" s="140">
        <f t="shared" si="70"/>
        <v>0</v>
      </c>
      <c r="DS555" s="130">
        <f>SI!BY555</f>
        <v>133</v>
      </c>
      <c r="DZ555" s="131">
        <f>SI!BZ555</f>
        <v>0</v>
      </c>
    </row>
    <row r="556" spans="1:130" hidden="1" x14ac:dyDescent="0.25">
      <c r="A556" s="141"/>
      <c r="B556" s="406"/>
      <c r="C556" s="406"/>
      <c r="D556" s="406"/>
      <c r="E556" s="406"/>
      <c r="F556" s="406"/>
      <c r="G556" s="406"/>
      <c r="H556" s="406"/>
      <c r="I556" s="406"/>
      <c r="J556" s="406"/>
      <c r="K556" s="406"/>
      <c r="L556" s="406"/>
      <c r="M556" s="406"/>
      <c r="N556" s="406"/>
      <c r="O556" s="406"/>
      <c r="P556" s="406"/>
      <c r="Q556" s="406"/>
      <c r="R556" s="406"/>
      <c r="S556" s="406"/>
      <c r="T556" s="406"/>
      <c r="U556" s="406"/>
      <c r="V556" s="406"/>
      <c r="W556" s="406"/>
      <c r="X556" s="406"/>
      <c r="Y556" s="406"/>
      <c r="Z556" s="406"/>
      <c r="AA556" s="406"/>
      <c r="AB556" s="406"/>
      <c r="AC556" s="406"/>
      <c r="AD556" s="406"/>
      <c r="AE556" s="406"/>
      <c r="AF556" s="406"/>
      <c r="AG556" s="406"/>
      <c r="AH556" s="406"/>
      <c r="AI556" s="406"/>
      <c r="AJ556" s="406"/>
      <c r="AK556" s="406"/>
      <c r="AL556" s="406"/>
      <c r="AM556" s="406"/>
      <c r="AN556" s="406"/>
      <c r="AO556" s="406"/>
      <c r="AP556" s="406"/>
      <c r="AQ556" s="406"/>
      <c r="AR556" s="406"/>
      <c r="AS556" s="406"/>
      <c r="AT556" s="406"/>
      <c r="AU556" s="406"/>
      <c r="AV556" s="406"/>
      <c r="AW556" s="406"/>
      <c r="AX556" s="406"/>
      <c r="AY556" s="406"/>
      <c r="AZ556" s="406"/>
      <c r="BA556" s="406"/>
      <c r="BB556" s="406"/>
      <c r="BC556" s="406"/>
      <c r="BD556" s="406"/>
      <c r="BE556" s="406"/>
      <c r="BF556" s="406"/>
      <c r="BG556" s="406"/>
      <c r="BH556" s="406"/>
      <c r="BI556" s="406"/>
      <c r="BJ556" s="406"/>
      <c r="BK556" s="406"/>
      <c r="BL556" s="406"/>
      <c r="BM556" s="406"/>
      <c r="BN556" s="406"/>
      <c r="BO556" s="406"/>
      <c r="BP556" s="406"/>
      <c r="BQ556" s="406"/>
      <c r="BR556" s="406"/>
      <c r="BS556" s="406"/>
      <c r="BT556" s="406"/>
      <c r="BU556" s="406"/>
      <c r="BV556" s="406"/>
      <c r="BW556" s="406"/>
      <c r="BX556" s="406"/>
      <c r="BY556" s="406"/>
      <c r="BZ556" s="406"/>
      <c r="CA556" s="281"/>
      <c r="CB556" s="3" t="str">
        <f t="shared" si="72"/>
        <v>Riadok bude skrytý.</v>
      </c>
      <c r="CC556" s="271" t="s">
        <v>832</v>
      </c>
      <c r="CW556" s="30">
        <f t="shared" si="76"/>
        <v>0</v>
      </c>
      <c r="CZ556" s="30">
        <f t="shared" si="75"/>
        <v>1</v>
      </c>
      <c r="DA556" s="30">
        <f t="shared" si="73"/>
        <v>0</v>
      </c>
      <c r="DB556" s="140">
        <f t="shared" si="70"/>
        <v>0</v>
      </c>
      <c r="DS556" s="130">
        <f>SI!BY556</f>
        <v>636</v>
      </c>
      <c r="DZ556" s="131">
        <f>SI!BZ556</f>
        <v>0</v>
      </c>
    </row>
    <row r="557" spans="1:130" hidden="1" x14ac:dyDescent="0.25">
      <c r="A557" s="141"/>
      <c r="B557" s="406"/>
      <c r="C557" s="406"/>
      <c r="D557" s="406"/>
      <c r="E557" s="406"/>
      <c r="F557" s="406"/>
      <c r="G557" s="406"/>
      <c r="H557" s="406"/>
      <c r="I557" s="406"/>
      <c r="J557" s="406"/>
      <c r="K557" s="406"/>
      <c r="L557" s="406"/>
      <c r="M557" s="406"/>
      <c r="N557" s="406"/>
      <c r="O557" s="406"/>
      <c r="P557" s="406"/>
      <c r="Q557" s="406"/>
      <c r="R557" s="406"/>
      <c r="S557" s="406"/>
      <c r="T557" s="406"/>
      <c r="U557" s="406"/>
      <c r="V557" s="406"/>
      <c r="W557" s="406"/>
      <c r="X557" s="406"/>
      <c r="Y557" s="406"/>
      <c r="Z557" s="406"/>
      <c r="AA557" s="406"/>
      <c r="AB557" s="406"/>
      <c r="AC557" s="406"/>
      <c r="AD557" s="406"/>
      <c r="AE557" s="406"/>
      <c r="AF557" s="406"/>
      <c r="AG557" s="406"/>
      <c r="AH557" s="406"/>
      <c r="AI557" s="406"/>
      <c r="AJ557" s="406"/>
      <c r="AK557" s="406"/>
      <c r="AL557" s="406"/>
      <c r="AM557" s="406"/>
      <c r="AN557" s="406"/>
      <c r="AO557" s="406"/>
      <c r="AP557" s="406"/>
      <c r="AQ557" s="406"/>
      <c r="AR557" s="406"/>
      <c r="AS557" s="406"/>
      <c r="AT557" s="406"/>
      <c r="AU557" s="406"/>
      <c r="AV557" s="406"/>
      <c r="AW557" s="406"/>
      <c r="AX557" s="406"/>
      <c r="AY557" s="406"/>
      <c r="AZ557" s="406"/>
      <c r="BA557" s="406"/>
      <c r="BB557" s="406"/>
      <c r="BC557" s="406"/>
      <c r="BD557" s="406"/>
      <c r="BE557" s="406"/>
      <c r="BF557" s="406"/>
      <c r="BG557" s="406"/>
      <c r="BH557" s="406"/>
      <c r="BI557" s="406"/>
      <c r="BJ557" s="406"/>
      <c r="BK557" s="406"/>
      <c r="BL557" s="406"/>
      <c r="BM557" s="406"/>
      <c r="BN557" s="406"/>
      <c r="BO557" s="406"/>
      <c r="BP557" s="406"/>
      <c r="BQ557" s="406"/>
      <c r="BR557" s="406"/>
      <c r="BS557" s="406"/>
      <c r="BT557" s="406"/>
      <c r="BU557" s="406"/>
      <c r="BV557" s="406"/>
      <c r="BW557" s="406"/>
      <c r="BX557" s="406"/>
      <c r="BY557" s="406"/>
      <c r="BZ557" s="406"/>
      <c r="CA557" s="281"/>
      <c r="CB557" s="3" t="str">
        <f t="shared" si="72"/>
        <v>Riadok bude skrytý.</v>
      </c>
      <c r="CC557" s="271" t="s">
        <v>832</v>
      </c>
      <c r="CW557" s="30">
        <f t="shared" si="76"/>
        <v>0</v>
      </c>
      <c r="CZ557" s="30">
        <f t="shared" si="75"/>
        <v>1</v>
      </c>
      <c r="DA557" s="30">
        <f t="shared" si="73"/>
        <v>0</v>
      </c>
      <c r="DB557" s="140">
        <f t="shared" si="70"/>
        <v>0</v>
      </c>
      <c r="DS557" s="130">
        <f>SI!BY557</f>
        <v>149</v>
      </c>
      <c r="DZ557" s="131">
        <f>SI!BZ557</f>
        <v>0</v>
      </c>
    </row>
    <row r="558" spans="1:130" hidden="1" x14ac:dyDescent="0.25">
      <c r="A558" s="141"/>
      <c r="B558" s="406"/>
      <c r="C558" s="406"/>
      <c r="D558" s="406"/>
      <c r="E558" s="406"/>
      <c r="F558" s="406"/>
      <c r="G558" s="406"/>
      <c r="H558" s="406"/>
      <c r="I558" s="406"/>
      <c r="J558" s="406"/>
      <c r="K558" s="406"/>
      <c r="L558" s="406"/>
      <c r="M558" s="406"/>
      <c r="N558" s="406"/>
      <c r="O558" s="406"/>
      <c r="P558" s="406"/>
      <c r="Q558" s="406"/>
      <c r="R558" s="406"/>
      <c r="S558" s="406"/>
      <c r="T558" s="406"/>
      <c r="U558" s="406"/>
      <c r="V558" s="406"/>
      <c r="W558" s="406"/>
      <c r="X558" s="406"/>
      <c r="Y558" s="406"/>
      <c r="Z558" s="406"/>
      <c r="AA558" s="406"/>
      <c r="AB558" s="406"/>
      <c r="AC558" s="406"/>
      <c r="AD558" s="406"/>
      <c r="AE558" s="406"/>
      <c r="AF558" s="406"/>
      <c r="AG558" s="406"/>
      <c r="AH558" s="406"/>
      <c r="AI558" s="406"/>
      <c r="AJ558" s="406"/>
      <c r="AK558" s="406"/>
      <c r="AL558" s="406"/>
      <c r="AM558" s="406"/>
      <c r="AN558" s="406"/>
      <c r="AO558" s="406"/>
      <c r="AP558" s="406"/>
      <c r="AQ558" s="406"/>
      <c r="AR558" s="406"/>
      <c r="AS558" s="406"/>
      <c r="AT558" s="406"/>
      <c r="AU558" s="406"/>
      <c r="AV558" s="406"/>
      <c r="AW558" s="406"/>
      <c r="AX558" s="406"/>
      <c r="AY558" s="406"/>
      <c r="AZ558" s="406"/>
      <c r="BA558" s="406"/>
      <c r="BB558" s="406"/>
      <c r="BC558" s="406"/>
      <c r="BD558" s="406"/>
      <c r="BE558" s="406"/>
      <c r="BF558" s="406"/>
      <c r="BG558" s="406"/>
      <c r="BH558" s="406"/>
      <c r="BI558" s="406"/>
      <c r="BJ558" s="406"/>
      <c r="BK558" s="406"/>
      <c r="BL558" s="406"/>
      <c r="BM558" s="406"/>
      <c r="BN558" s="406"/>
      <c r="BO558" s="406"/>
      <c r="BP558" s="406"/>
      <c r="BQ558" s="406"/>
      <c r="BR558" s="406"/>
      <c r="BS558" s="406"/>
      <c r="BT558" s="406"/>
      <c r="BU558" s="406"/>
      <c r="BV558" s="406"/>
      <c r="BW558" s="406"/>
      <c r="BX558" s="406"/>
      <c r="BY558" s="406"/>
      <c r="BZ558" s="406"/>
      <c r="CA558" s="281"/>
      <c r="CB558" s="3" t="str">
        <f t="shared" si="72"/>
        <v>Riadok bude skrytý.</v>
      </c>
      <c r="CC558" s="271" t="s">
        <v>832</v>
      </c>
      <c r="CW558" s="30">
        <f t="shared" si="76"/>
        <v>0</v>
      </c>
      <c r="CZ558" s="30">
        <f t="shared" si="75"/>
        <v>1</v>
      </c>
      <c r="DA558" s="30">
        <f t="shared" si="73"/>
        <v>0</v>
      </c>
      <c r="DB558" s="140">
        <f t="shared" si="70"/>
        <v>0</v>
      </c>
      <c r="DS558" s="130">
        <f>SI!BY558</f>
        <v>957</v>
      </c>
      <c r="DZ558" s="131">
        <f>SI!BZ558</f>
        <v>0</v>
      </c>
    </row>
    <row r="559" spans="1:130" hidden="1" x14ac:dyDescent="0.25">
      <c r="A559" s="141"/>
      <c r="B559" s="406"/>
      <c r="C559" s="406"/>
      <c r="D559" s="406"/>
      <c r="E559" s="406"/>
      <c r="F559" s="406"/>
      <c r="G559" s="406"/>
      <c r="H559" s="406"/>
      <c r="I559" s="406"/>
      <c r="J559" s="406"/>
      <c r="K559" s="406"/>
      <c r="L559" s="406"/>
      <c r="M559" s="406"/>
      <c r="N559" s="406"/>
      <c r="O559" s="406"/>
      <c r="P559" s="406"/>
      <c r="Q559" s="406"/>
      <c r="R559" s="406"/>
      <c r="S559" s="406"/>
      <c r="T559" s="406"/>
      <c r="U559" s="406"/>
      <c r="V559" s="406"/>
      <c r="W559" s="406"/>
      <c r="X559" s="406"/>
      <c r="Y559" s="406"/>
      <c r="Z559" s="406"/>
      <c r="AA559" s="406"/>
      <c r="AB559" s="406"/>
      <c r="AC559" s="406"/>
      <c r="AD559" s="406"/>
      <c r="AE559" s="406"/>
      <c r="AF559" s="406"/>
      <c r="AG559" s="406"/>
      <c r="AH559" s="406"/>
      <c r="AI559" s="406"/>
      <c r="AJ559" s="406"/>
      <c r="AK559" s="406"/>
      <c r="AL559" s="406"/>
      <c r="AM559" s="406"/>
      <c r="AN559" s="406"/>
      <c r="AO559" s="406"/>
      <c r="AP559" s="406"/>
      <c r="AQ559" s="406"/>
      <c r="AR559" s="406"/>
      <c r="AS559" s="406"/>
      <c r="AT559" s="406"/>
      <c r="AU559" s="406"/>
      <c r="AV559" s="406"/>
      <c r="AW559" s="406"/>
      <c r="AX559" s="406"/>
      <c r="AY559" s="406"/>
      <c r="AZ559" s="406"/>
      <c r="BA559" s="406"/>
      <c r="BB559" s="406"/>
      <c r="BC559" s="406"/>
      <c r="BD559" s="406"/>
      <c r="BE559" s="406"/>
      <c r="BF559" s="406"/>
      <c r="BG559" s="406"/>
      <c r="BH559" s="406"/>
      <c r="BI559" s="406"/>
      <c r="BJ559" s="406"/>
      <c r="BK559" s="406"/>
      <c r="BL559" s="406"/>
      <c r="BM559" s="406"/>
      <c r="BN559" s="406"/>
      <c r="BO559" s="406"/>
      <c r="BP559" s="406"/>
      <c r="BQ559" s="406"/>
      <c r="BR559" s="406"/>
      <c r="BS559" s="406"/>
      <c r="BT559" s="406"/>
      <c r="BU559" s="406"/>
      <c r="BV559" s="406"/>
      <c r="BW559" s="406"/>
      <c r="BX559" s="406"/>
      <c r="BY559" s="406"/>
      <c r="BZ559" s="406"/>
      <c r="CA559" s="281"/>
      <c r="CB559" s="3" t="str">
        <f t="shared" si="72"/>
        <v>Riadok bude skrytý.</v>
      </c>
      <c r="CC559" s="271" t="s">
        <v>832</v>
      </c>
      <c r="CW559" s="30">
        <f t="shared" si="76"/>
        <v>0</v>
      </c>
      <c r="CZ559" s="30">
        <f t="shared" si="75"/>
        <v>1</v>
      </c>
      <c r="DA559" s="30">
        <f t="shared" si="73"/>
        <v>0</v>
      </c>
      <c r="DB559" s="140">
        <f t="shared" si="70"/>
        <v>0</v>
      </c>
      <c r="DS559" s="130">
        <f>SI!BY559</f>
        <v>134</v>
      </c>
      <c r="DZ559" s="131">
        <f>SI!BZ559</f>
        <v>0</v>
      </c>
    </row>
    <row r="560" spans="1:130" hidden="1" x14ac:dyDescent="0.25">
      <c r="A560" s="141"/>
      <c r="B560" s="406"/>
      <c r="C560" s="406"/>
      <c r="D560" s="406"/>
      <c r="E560" s="406"/>
      <c r="F560" s="406"/>
      <c r="G560" s="406"/>
      <c r="H560" s="406"/>
      <c r="I560" s="406"/>
      <c r="J560" s="406"/>
      <c r="K560" s="406"/>
      <c r="L560" s="406"/>
      <c r="M560" s="406"/>
      <c r="N560" s="406"/>
      <c r="O560" s="406"/>
      <c r="P560" s="406"/>
      <c r="Q560" s="406"/>
      <c r="R560" s="406"/>
      <c r="S560" s="406"/>
      <c r="T560" s="406"/>
      <c r="U560" s="406"/>
      <c r="V560" s="406"/>
      <c r="W560" s="406"/>
      <c r="X560" s="406"/>
      <c r="Y560" s="406"/>
      <c r="Z560" s="406"/>
      <c r="AA560" s="406"/>
      <c r="AB560" s="406"/>
      <c r="AC560" s="406"/>
      <c r="AD560" s="406"/>
      <c r="AE560" s="406"/>
      <c r="AF560" s="406"/>
      <c r="AG560" s="406"/>
      <c r="AH560" s="406"/>
      <c r="AI560" s="406"/>
      <c r="AJ560" s="406"/>
      <c r="AK560" s="406"/>
      <c r="AL560" s="406"/>
      <c r="AM560" s="406"/>
      <c r="AN560" s="406"/>
      <c r="AO560" s="406"/>
      <c r="AP560" s="406"/>
      <c r="AQ560" s="406"/>
      <c r="AR560" s="406"/>
      <c r="AS560" s="406"/>
      <c r="AT560" s="406"/>
      <c r="AU560" s="406"/>
      <c r="AV560" s="406"/>
      <c r="AW560" s="406"/>
      <c r="AX560" s="406"/>
      <c r="AY560" s="406"/>
      <c r="AZ560" s="406"/>
      <c r="BA560" s="406"/>
      <c r="BB560" s="406"/>
      <c r="BC560" s="406"/>
      <c r="BD560" s="406"/>
      <c r="BE560" s="406"/>
      <c r="BF560" s="406"/>
      <c r="BG560" s="406"/>
      <c r="BH560" s="406"/>
      <c r="BI560" s="406"/>
      <c r="BJ560" s="406"/>
      <c r="BK560" s="406"/>
      <c r="BL560" s="406"/>
      <c r="BM560" s="406"/>
      <c r="BN560" s="406"/>
      <c r="BO560" s="406"/>
      <c r="BP560" s="406"/>
      <c r="BQ560" s="406"/>
      <c r="BR560" s="406"/>
      <c r="BS560" s="406"/>
      <c r="BT560" s="406"/>
      <c r="BU560" s="406"/>
      <c r="BV560" s="406"/>
      <c r="BW560" s="406"/>
      <c r="BX560" s="406"/>
      <c r="BY560" s="406"/>
      <c r="BZ560" s="406"/>
      <c r="CA560" s="281"/>
      <c r="CB560" s="3" t="str">
        <f t="shared" si="72"/>
        <v>Riadok bude skrytý.</v>
      </c>
      <c r="CC560" s="271" t="s">
        <v>832</v>
      </c>
      <c r="CW560" s="30">
        <f t="shared" si="76"/>
        <v>0</v>
      </c>
      <c r="CZ560" s="30">
        <f t="shared" si="75"/>
        <v>1</v>
      </c>
      <c r="DA560" s="30">
        <f t="shared" si="73"/>
        <v>0</v>
      </c>
      <c r="DB560" s="140">
        <f t="shared" ref="DB560:DB623" si="77">+DA560</f>
        <v>0</v>
      </c>
      <c r="DS560" s="130">
        <f>SI!BY560</f>
        <v>155</v>
      </c>
      <c r="DZ560" s="131">
        <f>SI!BZ560</f>
        <v>0</v>
      </c>
    </row>
    <row r="561" spans="1:130" x14ac:dyDescent="0.25">
      <c r="A561" s="141"/>
      <c r="CA561" s="270"/>
      <c r="CB561" s="3" t="str">
        <f t="shared" si="72"/>
        <v>Riadok bude vidieť.</v>
      </c>
      <c r="CC561" s="271" t="s">
        <v>832</v>
      </c>
      <c r="CW561" s="32">
        <f>+IF(SUM(CW563:CW582)=0,0,1)</f>
        <v>1</v>
      </c>
      <c r="CZ561" s="30">
        <f t="shared" si="75"/>
        <v>1</v>
      </c>
      <c r="DA561" s="30">
        <f t="shared" si="73"/>
        <v>1</v>
      </c>
      <c r="DB561" s="140">
        <f t="shared" si="77"/>
        <v>1</v>
      </c>
      <c r="DS561" s="130">
        <f>SI!BY561</f>
        <v>151</v>
      </c>
      <c r="DZ561" s="131">
        <f>SI!BZ561</f>
        <v>0</v>
      </c>
    </row>
    <row r="562" spans="1:130" x14ac:dyDescent="0.25">
      <c r="A562" s="141"/>
      <c r="B562" s="279" t="s">
        <v>859</v>
      </c>
      <c r="C562" s="7" t="str">
        <f>+IF($M$52&lt;&gt;"",IF(SQRT(INT(FACT(DAY(24324))*FACT(DAY(24385))/576))=DS562,"Ocenenie záväzkov (vrátane dlhopisov, pôžičiek, úverov)","NEPOVOLENÉ POUŽITIE!"),"NEPOVOLENÉ POUŽITIE!")</f>
        <v>Ocenenie záväzkov (vrátane dlhopisov, pôžičiek, úverov)</v>
      </c>
      <c r="D562" s="7"/>
      <c r="E562" s="7"/>
      <c r="F562" s="7"/>
      <c r="CA562" s="265" t="s">
        <v>773</v>
      </c>
      <c r="CB562" s="3" t="str">
        <f t="shared" si="72"/>
        <v>Riadok bude vidieť.</v>
      </c>
      <c r="CC562" s="271" t="s">
        <v>832</v>
      </c>
      <c r="CW562" s="134">
        <f>+IF(SUM(CW563:CW582)=0,0,1)</f>
        <v>1</v>
      </c>
      <c r="CZ562" s="30">
        <f t="shared" si="75"/>
        <v>1</v>
      </c>
      <c r="DA562" s="30">
        <f t="shared" si="73"/>
        <v>1</v>
      </c>
      <c r="DB562" s="140">
        <f t="shared" si="77"/>
        <v>1</v>
      </c>
      <c r="DS562" s="130">
        <f>SI!BY562</f>
        <v>5</v>
      </c>
      <c r="DZ562" s="131">
        <f>SI!BZ562</f>
        <v>0</v>
      </c>
    </row>
    <row r="563" spans="1:130" x14ac:dyDescent="0.25">
      <c r="A563" s="141"/>
      <c r="B563" s="379" t="s">
        <v>76</v>
      </c>
      <c r="C563" s="379"/>
      <c r="D563" s="379"/>
      <c r="E563" s="379"/>
      <c r="F563" s="379"/>
      <c r="G563" s="379"/>
      <c r="H563" s="379"/>
      <c r="I563" s="379"/>
      <c r="J563" s="379"/>
      <c r="K563" s="379"/>
      <c r="L563" s="379"/>
      <c r="M563" s="379"/>
      <c r="N563" s="379"/>
      <c r="O563" s="379"/>
      <c r="P563" s="379"/>
      <c r="Q563" s="379"/>
      <c r="R563" s="379"/>
      <c r="S563" s="379"/>
      <c r="T563" s="379"/>
      <c r="U563" s="379"/>
      <c r="V563" s="379"/>
      <c r="W563" s="379"/>
      <c r="X563" s="379"/>
      <c r="Y563" s="379"/>
      <c r="Z563" s="379"/>
      <c r="AA563" s="379"/>
      <c r="AB563" s="379"/>
      <c r="AC563" s="379"/>
      <c r="AD563" s="379"/>
      <c r="AE563" s="379"/>
      <c r="AF563" s="379"/>
      <c r="AG563" s="379"/>
      <c r="AH563" s="379"/>
      <c r="AI563" s="379"/>
      <c r="AJ563" s="379"/>
      <c r="AK563" s="379"/>
      <c r="AL563" s="379"/>
      <c r="AM563" s="379"/>
      <c r="AN563" s="379"/>
      <c r="AO563" s="379"/>
      <c r="AP563" s="379"/>
      <c r="AQ563" s="379"/>
      <c r="AR563" s="379"/>
      <c r="AS563" s="379"/>
      <c r="AT563" s="379"/>
      <c r="AU563" s="379"/>
      <c r="AV563" s="379"/>
      <c r="AW563" s="379"/>
      <c r="AX563" s="379"/>
      <c r="AY563" s="379"/>
      <c r="AZ563" s="379"/>
      <c r="BA563" s="379"/>
      <c r="BB563" s="379"/>
      <c r="BC563" s="379"/>
      <c r="BD563" s="379"/>
      <c r="BE563" s="379"/>
      <c r="BF563" s="379"/>
      <c r="BG563" s="379"/>
      <c r="BH563" s="379"/>
      <c r="BI563" s="379"/>
      <c r="BJ563" s="379"/>
      <c r="BK563" s="379"/>
      <c r="BL563" s="379"/>
      <c r="BM563" s="379"/>
      <c r="BN563" s="379"/>
      <c r="BO563" s="379"/>
      <c r="BP563" s="379"/>
      <c r="BQ563" s="379"/>
      <c r="BR563" s="379"/>
      <c r="BS563" s="379"/>
      <c r="BT563" s="379"/>
      <c r="BU563" s="379"/>
      <c r="BV563" s="379"/>
      <c r="BW563" s="379"/>
      <c r="BX563" s="379"/>
      <c r="BY563" s="379"/>
      <c r="BZ563" s="379"/>
      <c r="CA563" s="281"/>
      <c r="CB563" s="3" t="str">
        <f t="shared" ref="CB563:CB626" si="78">+IF(DB563=0,"Riadok bude skrytý.","Riadok bude vidieť.")</f>
        <v>Riadok bude vidieť.</v>
      </c>
      <c r="CC563" s="271" t="s">
        <v>832</v>
      </c>
      <c r="CW563" s="30">
        <f t="shared" ref="CW563:CW582" si="79">+IF(B563="",0,1)</f>
        <v>1</v>
      </c>
      <c r="CZ563" s="30">
        <f t="shared" si="75"/>
        <v>1</v>
      </c>
      <c r="DA563" s="30">
        <f t="shared" si="73"/>
        <v>1</v>
      </c>
      <c r="DB563" s="140">
        <f t="shared" si="77"/>
        <v>1</v>
      </c>
      <c r="DS563" s="130">
        <f>SI!BY563</f>
        <v>129</v>
      </c>
      <c r="DZ563" s="131">
        <f>SI!BZ563</f>
        <v>0</v>
      </c>
    </row>
    <row r="564" spans="1:130" x14ac:dyDescent="0.25">
      <c r="A564" s="141"/>
      <c r="B564" s="379" t="s">
        <v>77</v>
      </c>
      <c r="C564" s="379"/>
      <c r="D564" s="379"/>
      <c r="E564" s="379"/>
      <c r="F564" s="379"/>
      <c r="G564" s="379"/>
      <c r="H564" s="379"/>
      <c r="I564" s="379"/>
      <c r="J564" s="379"/>
      <c r="K564" s="379"/>
      <c r="L564" s="379"/>
      <c r="M564" s="379"/>
      <c r="N564" s="379"/>
      <c r="O564" s="379"/>
      <c r="P564" s="379"/>
      <c r="Q564" s="379"/>
      <c r="R564" s="379"/>
      <c r="S564" s="379"/>
      <c r="T564" s="379"/>
      <c r="U564" s="379"/>
      <c r="V564" s="379"/>
      <c r="W564" s="379"/>
      <c r="X564" s="379"/>
      <c r="Y564" s="379"/>
      <c r="Z564" s="379"/>
      <c r="AA564" s="379"/>
      <c r="AB564" s="379"/>
      <c r="AC564" s="379"/>
      <c r="AD564" s="379"/>
      <c r="AE564" s="379"/>
      <c r="AF564" s="379"/>
      <c r="AG564" s="379"/>
      <c r="AH564" s="379"/>
      <c r="AI564" s="379"/>
      <c r="AJ564" s="379"/>
      <c r="AK564" s="379"/>
      <c r="AL564" s="379"/>
      <c r="AM564" s="379"/>
      <c r="AN564" s="379"/>
      <c r="AO564" s="379"/>
      <c r="AP564" s="379"/>
      <c r="AQ564" s="379"/>
      <c r="AR564" s="379"/>
      <c r="AS564" s="379"/>
      <c r="AT564" s="379"/>
      <c r="AU564" s="379"/>
      <c r="AV564" s="379"/>
      <c r="AW564" s="379"/>
      <c r="AX564" s="379"/>
      <c r="AY564" s="379"/>
      <c r="AZ564" s="379"/>
      <c r="BA564" s="379"/>
      <c r="BB564" s="379"/>
      <c r="BC564" s="379"/>
      <c r="BD564" s="379"/>
      <c r="BE564" s="379"/>
      <c r="BF564" s="379"/>
      <c r="BG564" s="379"/>
      <c r="BH564" s="379"/>
      <c r="BI564" s="379"/>
      <c r="BJ564" s="379"/>
      <c r="BK564" s="379"/>
      <c r="BL564" s="379"/>
      <c r="BM564" s="379"/>
      <c r="BN564" s="379"/>
      <c r="BO564" s="379"/>
      <c r="BP564" s="379"/>
      <c r="BQ564" s="379"/>
      <c r="BR564" s="379"/>
      <c r="BS564" s="379"/>
      <c r="BT564" s="379"/>
      <c r="BU564" s="379"/>
      <c r="BV564" s="379"/>
      <c r="BW564" s="379"/>
      <c r="BX564" s="379"/>
      <c r="BY564" s="379"/>
      <c r="BZ564" s="379"/>
      <c r="CA564" s="281"/>
      <c r="CB564" s="3" t="str">
        <f t="shared" si="78"/>
        <v>Riadok bude vidieť.</v>
      </c>
      <c r="CC564" s="271" t="s">
        <v>832</v>
      </c>
      <c r="CW564" s="30">
        <f t="shared" si="79"/>
        <v>1</v>
      </c>
      <c r="CZ564" s="30">
        <f t="shared" si="75"/>
        <v>1</v>
      </c>
      <c r="DA564" s="30">
        <f t="shared" si="73"/>
        <v>1</v>
      </c>
      <c r="DB564" s="140">
        <f t="shared" si="77"/>
        <v>1</v>
      </c>
      <c r="DS564" s="130">
        <f>SI!BY564</f>
        <v>115</v>
      </c>
      <c r="DZ564" s="131">
        <f>SI!BZ564</f>
        <v>0</v>
      </c>
    </row>
    <row r="565" spans="1:130" x14ac:dyDescent="0.25">
      <c r="A565" s="141"/>
      <c r="B565" s="379" t="s">
        <v>78</v>
      </c>
      <c r="C565" s="379"/>
      <c r="D565" s="379"/>
      <c r="E565" s="379"/>
      <c r="F565" s="379"/>
      <c r="G565" s="379"/>
      <c r="H565" s="379"/>
      <c r="I565" s="379"/>
      <c r="J565" s="379"/>
      <c r="K565" s="379"/>
      <c r="L565" s="379"/>
      <c r="M565" s="379"/>
      <c r="N565" s="379"/>
      <c r="O565" s="379"/>
      <c r="P565" s="379"/>
      <c r="Q565" s="379"/>
      <c r="R565" s="379"/>
      <c r="S565" s="379"/>
      <c r="T565" s="379"/>
      <c r="U565" s="379"/>
      <c r="V565" s="379"/>
      <c r="W565" s="379"/>
      <c r="X565" s="379"/>
      <c r="Y565" s="379"/>
      <c r="Z565" s="379"/>
      <c r="AA565" s="379"/>
      <c r="AB565" s="379"/>
      <c r="AC565" s="379"/>
      <c r="AD565" s="379"/>
      <c r="AE565" s="379"/>
      <c r="AF565" s="379"/>
      <c r="AG565" s="379"/>
      <c r="AH565" s="379"/>
      <c r="AI565" s="379"/>
      <c r="AJ565" s="379"/>
      <c r="AK565" s="379"/>
      <c r="AL565" s="379"/>
      <c r="AM565" s="379"/>
      <c r="AN565" s="379"/>
      <c r="AO565" s="379"/>
      <c r="AP565" s="379"/>
      <c r="AQ565" s="379"/>
      <c r="AR565" s="379"/>
      <c r="AS565" s="379"/>
      <c r="AT565" s="379"/>
      <c r="AU565" s="379"/>
      <c r="AV565" s="379"/>
      <c r="AW565" s="379"/>
      <c r="AX565" s="379"/>
      <c r="AY565" s="379"/>
      <c r="AZ565" s="379"/>
      <c r="BA565" s="379"/>
      <c r="BB565" s="379"/>
      <c r="BC565" s="379"/>
      <c r="BD565" s="379"/>
      <c r="BE565" s="379"/>
      <c r="BF565" s="379"/>
      <c r="BG565" s="379"/>
      <c r="BH565" s="379"/>
      <c r="BI565" s="379"/>
      <c r="BJ565" s="379"/>
      <c r="BK565" s="379"/>
      <c r="BL565" s="379"/>
      <c r="BM565" s="379"/>
      <c r="BN565" s="379"/>
      <c r="BO565" s="379"/>
      <c r="BP565" s="379"/>
      <c r="BQ565" s="379"/>
      <c r="BR565" s="379"/>
      <c r="BS565" s="379"/>
      <c r="BT565" s="379"/>
      <c r="BU565" s="379"/>
      <c r="BV565" s="379"/>
      <c r="BW565" s="379"/>
      <c r="BX565" s="379"/>
      <c r="BY565" s="379"/>
      <c r="BZ565" s="379"/>
      <c r="CA565" s="281"/>
      <c r="CB565" s="3" t="str">
        <f t="shared" si="78"/>
        <v>Riadok bude vidieť.</v>
      </c>
      <c r="CC565" s="271" t="s">
        <v>832</v>
      </c>
      <c r="CW565" s="30">
        <f t="shared" si="79"/>
        <v>1</v>
      </c>
      <c r="CZ565" s="30">
        <f t="shared" si="75"/>
        <v>1</v>
      </c>
      <c r="DA565" s="30">
        <f t="shared" si="73"/>
        <v>1</v>
      </c>
      <c r="DB565" s="140">
        <f t="shared" si="77"/>
        <v>1</v>
      </c>
      <c r="DS565" s="130">
        <f>SI!BY565</f>
        <v>167</v>
      </c>
      <c r="DZ565" s="131">
        <f>SI!BZ565</f>
        <v>0</v>
      </c>
    </row>
    <row r="566" spans="1:130" hidden="1" x14ac:dyDescent="0.25">
      <c r="A566" s="141"/>
      <c r="B566" s="379"/>
      <c r="C566" s="379"/>
      <c r="D566" s="379"/>
      <c r="E566" s="379"/>
      <c r="F566" s="379"/>
      <c r="G566" s="379"/>
      <c r="H566" s="379"/>
      <c r="I566" s="379"/>
      <c r="J566" s="379"/>
      <c r="K566" s="379"/>
      <c r="L566" s="379"/>
      <c r="M566" s="379"/>
      <c r="N566" s="379"/>
      <c r="O566" s="379"/>
      <c r="P566" s="379"/>
      <c r="Q566" s="379"/>
      <c r="R566" s="379"/>
      <c r="S566" s="379"/>
      <c r="T566" s="379"/>
      <c r="U566" s="379"/>
      <c r="V566" s="379"/>
      <c r="W566" s="379"/>
      <c r="X566" s="379"/>
      <c r="Y566" s="379"/>
      <c r="Z566" s="379"/>
      <c r="AA566" s="379"/>
      <c r="AB566" s="379"/>
      <c r="AC566" s="379"/>
      <c r="AD566" s="379"/>
      <c r="AE566" s="379"/>
      <c r="AF566" s="379"/>
      <c r="AG566" s="379"/>
      <c r="AH566" s="379"/>
      <c r="AI566" s="379"/>
      <c r="AJ566" s="379"/>
      <c r="AK566" s="379"/>
      <c r="AL566" s="379"/>
      <c r="AM566" s="379"/>
      <c r="AN566" s="379"/>
      <c r="AO566" s="379"/>
      <c r="AP566" s="379"/>
      <c r="AQ566" s="379"/>
      <c r="AR566" s="379"/>
      <c r="AS566" s="379"/>
      <c r="AT566" s="379"/>
      <c r="AU566" s="379"/>
      <c r="AV566" s="379"/>
      <c r="AW566" s="379"/>
      <c r="AX566" s="379"/>
      <c r="AY566" s="379"/>
      <c r="AZ566" s="379"/>
      <c r="BA566" s="379"/>
      <c r="BB566" s="379"/>
      <c r="BC566" s="379"/>
      <c r="BD566" s="379"/>
      <c r="BE566" s="379"/>
      <c r="BF566" s="379"/>
      <c r="BG566" s="379"/>
      <c r="BH566" s="379"/>
      <c r="BI566" s="379"/>
      <c r="BJ566" s="379"/>
      <c r="BK566" s="379"/>
      <c r="BL566" s="379"/>
      <c r="BM566" s="379"/>
      <c r="BN566" s="379"/>
      <c r="BO566" s="379"/>
      <c r="BP566" s="379"/>
      <c r="BQ566" s="379"/>
      <c r="BR566" s="379"/>
      <c r="BS566" s="379"/>
      <c r="BT566" s="379"/>
      <c r="BU566" s="379"/>
      <c r="BV566" s="379"/>
      <c r="BW566" s="379"/>
      <c r="BX566" s="379"/>
      <c r="BY566" s="379"/>
      <c r="BZ566" s="379"/>
      <c r="CA566" s="281"/>
      <c r="CB566" s="3" t="str">
        <f t="shared" si="78"/>
        <v>Riadok bude skrytý.</v>
      </c>
      <c r="CC566" s="271" t="s">
        <v>832</v>
      </c>
      <c r="CW566" s="30">
        <f t="shared" si="79"/>
        <v>0</v>
      </c>
      <c r="CZ566" s="30">
        <f t="shared" si="75"/>
        <v>1</v>
      </c>
      <c r="DA566" s="30">
        <f t="shared" si="73"/>
        <v>0</v>
      </c>
      <c r="DB566" s="140">
        <f t="shared" si="77"/>
        <v>0</v>
      </c>
      <c r="DS566" s="130">
        <f>SI!BY566</f>
        <v>192</v>
      </c>
      <c r="DZ566" s="131">
        <f>SI!BZ566</f>
        <v>0</v>
      </c>
    </row>
    <row r="567" spans="1:130" hidden="1" x14ac:dyDescent="0.25">
      <c r="A567" s="141"/>
      <c r="B567" s="379"/>
      <c r="C567" s="379"/>
      <c r="D567" s="379"/>
      <c r="E567" s="379"/>
      <c r="F567" s="379"/>
      <c r="G567" s="379"/>
      <c r="H567" s="379"/>
      <c r="I567" s="379"/>
      <c r="J567" s="379"/>
      <c r="K567" s="379"/>
      <c r="L567" s="379"/>
      <c r="M567" s="379"/>
      <c r="N567" s="379"/>
      <c r="O567" s="379"/>
      <c r="P567" s="379"/>
      <c r="Q567" s="379"/>
      <c r="R567" s="379"/>
      <c r="S567" s="379"/>
      <c r="T567" s="379"/>
      <c r="U567" s="379"/>
      <c r="V567" s="379"/>
      <c r="W567" s="379"/>
      <c r="X567" s="379"/>
      <c r="Y567" s="379"/>
      <c r="Z567" s="379"/>
      <c r="AA567" s="379"/>
      <c r="AB567" s="379"/>
      <c r="AC567" s="379"/>
      <c r="AD567" s="379"/>
      <c r="AE567" s="379"/>
      <c r="AF567" s="379"/>
      <c r="AG567" s="379"/>
      <c r="AH567" s="379"/>
      <c r="AI567" s="379"/>
      <c r="AJ567" s="379"/>
      <c r="AK567" s="379"/>
      <c r="AL567" s="379"/>
      <c r="AM567" s="379"/>
      <c r="AN567" s="379"/>
      <c r="AO567" s="379"/>
      <c r="AP567" s="379"/>
      <c r="AQ567" s="379"/>
      <c r="AR567" s="379"/>
      <c r="AS567" s="379"/>
      <c r="AT567" s="379"/>
      <c r="AU567" s="379"/>
      <c r="AV567" s="379"/>
      <c r="AW567" s="379"/>
      <c r="AX567" s="379"/>
      <c r="AY567" s="379"/>
      <c r="AZ567" s="379"/>
      <c r="BA567" s="379"/>
      <c r="BB567" s="379"/>
      <c r="BC567" s="379"/>
      <c r="BD567" s="379"/>
      <c r="BE567" s="379"/>
      <c r="BF567" s="379"/>
      <c r="BG567" s="379"/>
      <c r="BH567" s="379"/>
      <c r="BI567" s="379"/>
      <c r="BJ567" s="379"/>
      <c r="BK567" s="379"/>
      <c r="BL567" s="379"/>
      <c r="BM567" s="379"/>
      <c r="BN567" s="379"/>
      <c r="BO567" s="379"/>
      <c r="BP567" s="379"/>
      <c r="BQ567" s="379"/>
      <c r="BR567" s="379"/>
      <c r="BS567" s="379"/>
      <c r="BT567" s="379"/>
      <c r="BU567" s="379"/>
      <c r="BV567" s="379"/>
      <c r="BW567" s="379"/>
      <c r="BX567" s="379"/>
      <c r="BY567" s="379"/>
      <c r="BZ567" s="379"/>
      <c r="CA567" s="281"/>
      <c r="CB567" s="3" t="str">
        <f t="shared" si="78"/>
        <v>Riadok bude skrytý.</v>
      </c>
      <c r="CC567" s="271" t="s">
        <v>832</v>
      </c>
      <c r="CW567" s="30">
        <f t="shared" si="79"/>
        <v>0</v>
      </c>
      <c r="CZ567" s="30">
        <f t="shared" si="75"/>
        <v>1</v>
      </c>
      <c r="DA567" s="30">
        <f t="shared" si="73"/>
        <v>0</v>
      </c>
      <c r="DB567" s="140">
        <f t="shared" si="77"/>
        <v>0</v>
      </c>
      <c r="DS567" s="130">
        <f>SI!BY567</f>
        <v>142</v>
      </c>
      <c r="DZ567" s="131">
        <f>SI!BZ567</f>
        <v>0</v>
      </c>
    </row>
    <row r="568" spans="1:130" hidden="1" x14ac:dyDescent="0.25">
      <c r="A568" s="141"/>
      <c r="B568" s="379"/>
      <c r="C568" s="379"/>
      <c r="D568" s="379"/>
      <c r="E568" s="379"/>
      <c r="F568" s="379"/>
      <c r="G568" s="379"/>
      <c r="H568" s="379"/>
      <c r="I568" s="379"/>
      <c r="J568" s="379"/>
      <c r="K568" s="379"/>
      <c r="L568" s="379"/>
      <c r="M568" s="379"/>
      <c r="N568" s="379"/>
      <c r="O568" s="379"/>
      <c r="P568" s="379"/>
      <c r="Q568" s="379"/>
      <c r="R568" s="379"/>
      <c r="S568" s="379"/>
      <c r="T568" s="379"/>
      <c r="U568" s="379"/>
      <c r="V568" s="379"/>
      <c r="W568" s="379"/>
      <c r="X568" s="379"/>
      <c r="Y568" s="379"/>
      <c r="Z568" s="379"/>
      <c r="AA568" s="379"/>
      <c r="AB568" s="379"/>
      <c r="AC568" s="379"/>
      <c r="AD568" s="379"/>
      <c r="AE568" s="379"/>
      <c r="AF568" s="379"/>
      <c r="AG568" s="379"/>
      <c r="AH568" s="379"/>
      <c r="AI568" s="379"/>
      <c r="AJ568" s="379"/>
      <c r="AK568" s="379"/>
      <c r="AL568" s="379"/>
      <c r="AM568" s="379"/>
      <c r="AN568" s="379"/>
      <c r="AO568" s="379"/>
      <c r="AP568" s="379"/>
      <c r="AQ568" s="379"/>
      <c r="AR568" s="379"/>
      <c r="AS568" s="379"/>
      <c r="AT568" s="379"/>
      <c r="AU568" s="379"/>
      <c r="AV568" s="379"/>
      <c r="AW568" s="379"/>
      <c r="AX568" s="379"/>
      <c r="AY568" s="379"/>
      <c r="AZ568" s="379"/>
      <c r="BA568" s="379"/>
      <c r="BB568" s="379"/>
      <c r="BC568" s="379"/>
      <c r="BD568" s="379"/>
      <c r="BE568" s="379"/>
      <c r="BF568" s="379"/>
      <c r="BG568" s="379"/>
      <c r="BH568" s="379"/>
      <c r="BI568" s="379"/>
      <c r="BJ568" s="379"/>
      <c r="BK568" s="379"/>
      <c r="BL568" s="379"/>
      <c r="BM568" s="379"/>
      <c r="BN568" s="379"/>
      <c r="BO568" s="379"/>
      <c r="BP568" s="379"/>
      <c r="BQ568" s="379"/>
      <c r="BR568" s="379"/>
      <c r="BS568" s="379"/>
      <c r="BT568" s="379"/>
      <c r="BU568" s="379"/>
      <c r="BV568" s="379"/>
      <c r="BW568" s="379"/>
      <c r="BX568" s="379"/>
      <c r="BY568" s="379"/>
      <c r="BZ568" s="379"/>
      <c r="CA568" s="281"/>
      <c r="CB568" s="3" t="str">
        <f t="shared" si="78"/>
        <v>Riadok bude skrytý.</v>
      </c>
      <c r="CC568" s="271" t="s">
        <v>832</v>
      </c>
      <c r="CW568" s="30">
        <f t="shared" si="79"/>
        <v>0</v>
      </c>
      <c r="CZ568" s="30">
        <f t="shared" si="75"/>
        <v>1</v>
      </c>
      <c r="DA568" s="30">
        <f t="shared" si="73"/>
        <v>0</v>
      </c>
      <c r="DB568" s="140">
        <f t="shared" si="77"/>
        <v>0</v>
      </c>
      <c r="DS568" s="130">
        <f>SI!BY568</f>
        <v>158</v>
      </c>
      <c r="DZ568" s="131">
        <f>SI!BZ568</f>
        <v>0</v>
      </c>
    </row>
    <row r="569" spans="1:130" hidden="1" x14ac:dyDescent="0.25">
      <c r="A569" s="141"/>
      <c r="B569" s="379"/>
      <c r="C569" s="379"/>
      <c r="D569" s="379"/>
      <c r="E569" s="379"/>
      <c r="F569" s="379"/>
      <c r="G569" s="379"/>
      <c r="H569" s="379"/>
      <c r="I569" s="379"/>
      <c r="J569" s="379"/>
      <c r="K569" s="379"/>
      <c r="L569" s="379"/>
      <c r="M569" s="379"/>
      <c r="N569" s="379"/>
      <c r="O569" s="379"/>
      <c r="P569" s="379"/>
      <c r="Q569" s="379"/>
      <c r="R569" s="379"/>
      <c r="S569" s="379"/>
      <c r="T569" s="379"/>
      <c r="U569" s="379"/>
      <c r="V569" s="379"/>
      <c r="W569" s="379"/>
      <c r="X569" s="379"/>
      <c r="Y569" s="379"/>
      <c r="Z569" s="379"/>
      <c r="AA569" s="379"/>
      <c r="AB569" s="379"/>
      <c r="AC569" s="379"/>
      <c r="AD569" s="379"/>
      <c r="AE569" s="379"/>
      <c r="AF569" s="379"/>
      <c r="AG569" s="379"/>
      <c r="AH569" s="379"/>
      <c r="AI569" s="379"/>
      <c r="AJ569" s="379"/>
      <c r="AK569" s="379"/>
      <c r="AL569" s="379"/>
      <c r="AM569" s="379"/>
      <c r="AN569" s="379"/>
      <c r="AO569" s="379"/>
      <c r="AP569" s="379"/>
      <c r="AQ569" s="379"/>
      <c r="AR569" s="379"/>
      <c r="AS569" s="379"/>
      <c r="AT569" s="379"/>
      <c r="AU569" s="379"/>
      <c r="AV569" s="379"/>
      <c r="AW569" s="379"/>
      <c r="AX569" s="379"/>
      <c r="AY569" s="379"/>
      <c r="AZ569" s="379"/>
      <c r="BA569" s="379"/>
      <c r="BB569" s="379"/>
      <c r="BC569" s="379"/>
      <c r="BD569" s="379"/>
      <c r="BE569" s="379"/>
      <c r="BF569" s="379"/>
      <c r="BG569" s="379"/>
      <c r="BH569" s="379"/>
      <c r="BI569" s="379"/>
      <c r="BJ569" s="379"/>
      <c r="BK569" s="379"/>
      <c r="BL569" s="379"/>
      <c r="BM569" s="379"/>
      <c r="BN569" s="379"/>
      <c r="BO569" s="379"/>
      <c r="BP569" s="379"/>
      <c r="BQ569" s="379"/>
      <c r="BR569" s="379"/>
      <c r="BS569" s="379"/>
      <c r="BT569" s="379"/>
      <c r="BU569" s="379"/>
      <c r="BV569" s="379"/>
      <c r="BW569" s="379"/>
      <c r="BX569" s="379"/>
      <c r="BY569" s="379"/>
      <c r="BZ569" s="379"/>
      <c r="CA569" s="281"/>
      <c r="CB569" s="3" t="str">
        <f t="shared" si="78"/>
        <v>Riadok bude skrytý.</v>
      </c>
      <c r="CC569" s="271" t="s">
        <v>832</v>
      </c>
      <c r="CW569" s="30">
        <f t="shared" si="79"/>
        <v>0</v>
      </c>
      <c r="CZ569" s="30">
        <f t="shared" si="75"/>
        <v>1</v>
      </c>
      <c r="DA569" s="30">
        <f t="shared" si="73"/>
        <v>0</v>
      </c>
      <c r="DB569" s="140">
        <f t="shared" si="77"/>
        <v>0</v>
      </c>
      <c r="DS569" s="130">
        <f>SI!BY569</f>
        <v>198</v>
      </c>
      <c r="DZ569" s="131">
        <f>SI!BZ569</f>
        <v>0</v>
      </c>
    </row>
    <row r="570" spans="1:130" hidden="1" x14ac:dyDescent="0.25">
      <c r="A570" s="141"/>
      <c r="B570" s="379"/>
      <c r="C570" s="379"/>
      <c r="D570" s="379"/>
      <c r="E570" s="379"/>
      <c r="F570" s="379"/>
      <c r="G570" s="379"/>
      <c r="H570" s="379"/>
      <c r="I570" s="379"/>
      <c r="J570" s="379"/>
      <c r="K570" s="379"/>
      <c r="L570" s="379"/>
      <c r="M570" s="379"/>
      <c r="N570" s="379"/>
      <c r="O570" s="379"/>
      <c r="P570" s="379"/>
      <c r="Q570" s="379"/>
      <c r="R570" s="379"/>
      <c r="S570" s="379"/>
      <c r="T570" s="379"/>
      <c r="U570" s="379"/>
      <c r="V570" s="379"/>
      <c r="W570" s="379"/>
      <c r="X570" s="379"/>
      <c r="Y570" s="379"/>
      <c r="Z570" s="379"/>
      <c r="AA570" s="379"/>
      <c r="AB570" s="379"/>
      <c r="AC570" s="379"/>
      <c r="AD570" s="379"/>
      <c r="AE570" s="379"/>
      <c r="AF570" s="379"/>
      <c r="AG570" s="379"/>
      <c r="AH570" s="379"/>
      <c r="AI570" s="379"/>
      <c r="AJ570" s="379"/>
      <c r="AK570" s="379"/>
      <c r="AL570" s="379"/>
      <c r="AM570" s="379"/>
      <c r="AN570" s="379"/>
      <c r="AO570" s="379"/>
      <c r="AP570" s="379"/>
      <c r="AQ570" s="379"/>
      <c r="AR570" s="379"/>
      <c r="AS570" s="379"/>
      <c r="AT570" s="379"/>
      <c r="AU570" s="379"/>
      <c r="AV570" s="379"/>
      <c r="AW570" s="379"/>
      <c r="AX570" s="379"/>
      <c r="AY570" s="379"/>
      <c r="AZ570" s="379"/>
      <c r="BA570" s="379"/>
      <c r="BB570" s="379"/>
      <c r="BC570" s="379"/>
      <c r="BD570" s="379"/>
      <c r="BE570" s="379"/>
      <c r="BF570" s="379"/>
      <c r="BG570" s="379"/>
      <c r="BH570" s="379"/>
      <c r="BI570" s="379"/>
      <c r="BJ570" s="379"/>
      <c r="BK570" s="379"/>
      <c r="BL570" s="379"/>
      <c r="BM570" s="379"/>
      <c r="BN570" s="379"/>
      <c r="BO570" s="379"/>
      <c r="BP570" s="379"/>
      <c r="BQ570" s="379"/>
      <c r="BR570" s="379"/>
      <c r="BS570" s="379"/>
      <c r="BT570" s="379"/>
      <c r="BU570" s="379"/>
      <c r="BV570" s="379"/>
      <c r="BW570" s="379"/>
      <c r="BX570" s="379"/>
      <c r="BY570" s="379"/>
      <c r="BZ570" s="379"/>
      <c r="CA570" s="281"/>
      <c r="CB570" s="3" t="str">
        <f t="shared" si="78"/>
        <v>Riadok bude skrytý.</v>
      </c>
      <c r="CC570" s="271" t="s">
        <v>832</v>
      </c>
      <c r="CW570" s="30">
        <f t="shared" si="79"/>
        <v>0</v>
      </c>
      <c r="CZ570" s="30">
        <f t="shared" si="75"/>
        <v>1</v>
      </c>
      <c r="DA570" s="30">
        <f t="shared" si="73"/>
        <v>0</v>
      </c>
      <c r="DB570" s="140">
        <f t="shared" si="77"/>
        <v>0</v>
      </c>
      <c r="DS570" s="130">
        <f>SI!BY570</f>
        <v>158</v>
      </c>
      <c r="DZ570" s="131">
        <f>SI!BZ570</f>
        <v>0</v>
      </c>
    </row>
    <row r="571" spans="1:130" hidden="1" x14ac:dyDescent="0.25">
      <c r="A571" s="141"/>
      <c r="B571" s="379"/>
      <c r="C571" s="379"/>
      <c r="D571" s="379"/>
      <c r="E571" s="379"/>
      <c r="F571" s="379"/>
      <c r="G571" s="379"/>
      <c r="H571" s="379"/>
      <c r="I571" s="379"/>
      <c r="J571" s="379"/>
      <c r="K571" s="379"/>
      <c r="L571" s="379"/>
      <c r="M571" s="379"/>
      <c r="N571" s="379"/>
      <c r="O571" s="379"/>
      <c r="P571" s="379"/>
      <c r="Q571" s="379"/>
      <c r="R571" s="379"/>
      <c r="S571" s="379"/>
      <c r="T571" s="379"/>
      <c r="U571" s="379"/>
      <c r="V571" s="379"/>
      <c r="W571" s="379"/>
      <c r="X571" s="379"/>
      <c r="Y571" s="379"/>
      <c r="Z571" s="379"/>
      <c r="AA571" s="379"/>
      <c r="AB571" s="379"/>
      <c r="AC571" s="379"/>
      <c r="AD571" s="379"/>
      <c r="AE571" s="379"/>
      <c r="AF571" s="379"/>
      <c r="AG571" s="379"/>
      <c r="AH571" s="379"/>
      <c r="AI571" s="379"/>
      <c r="AJ571" s="379"/>
      <c r="AK571" s="379"/>
      <c r="AL571" s="379"/>
      <c r="AM571" s="379"/>
      <c r="AN571" s="379"/>
      <c r="AO571" s="379"/>
      <c r="AP571" s="379"/>
      <c r="AQ571" s="379"/>
      <c r="AR571" s="379"/>
      <c r="AS571" s="379"/>
      <c r="AT571" s="379"/>
      <c r="AU571" s="379"/>
      <c r="AV571" s="379"/>
      <c r="AW571" s="379"/>
      <c r="AX571" s="379"/>
      <c r="AY571" s="379"/>
      <c r="AZ571" s="379"/>
      <c r="BA571" s="379"/>
      <c r="BB571" s="379"/>
      <c r="BC571" s="379"/>
      <c r="BD571" s="379"/>
      <c r="BE571" s="379"/>
      <c r="BF571" s="379"/>
      <c r="BG571" s="379"/>
      <c r="BH571" s="379"/>
      <c r="BI571" s="379"/>
      <c r="BJ571" s="379"/>
      <c r="BK571" s="379"/>
      <c r="BL571" s="379"/>
      <c r="BM571" s="379"/>
      <c r="BN571" s="379"/>
      <c r="BO571" s="379"/>
      <c r="BP571" s="379"/>
      <c r="BQ571" s="379"/>
      <c r="BR571" s="379"/>
      <c r="BS571" s="379"/>
      <c r="BT571" s="379"/>
      <c r="BU571" s="379"/>
      <c r="BV571" s="379"/>
      <c r="BW571" s="379"/>
      <c r="BX571" s="379"/>
      <c r="BY571" s="379"/>
      <c r="BZ571" s="379"/>
      <c r="CA571" s="281"/>
      <c r="CB571" s="3" t="str">
        <f t="shared" si="78"/>
        <v>Riadok bude skrytý.</v>
      </c>
      <c r="CC571" s="271" t="s">
        <v>832</v>
      </c>
      <c r="CW571" s="30">
        <f t="shared" si="79"/>
        <v>0</v>
      </c>
      <c r="CZ571" s="30">
        <f t="shared" si="75"/>
        <v>1</v>
      </c>
      <c r="DA571" s="30">
        <f t="shared" si="73"/>
        <v>0</v>
      </c>
      <c r="DB571" s="140">
        <f t="shared" si="77"/>
        <v>0</v>
      </c>
      <c r="DS571" s="130">
        <f>SI!BY571</f>
        <v>107</v>
      </c>
      <c r="DZ571" s="131">
        <f>SI!BZ571</f>
        <v>0</v>
      </c>
    </row>
    <row r="572" spans="1:130" hidden="1" x14ac:dyDescent="0.25">
      <c r="A572" s="141"/>
      <c r="B572" s="379"/>
      <c r="C572" s="379"/>
      <c r="D572" s="379"/>
      <c r="E572" s="379"/>
      <c r="F572" s="379"/>
      <c r="G572" s="379"/>
      <c r="H572" s="379"/>
      <c r="I572" s="379"/>
      <c r="J572" s="379"/>
      <c r="K572" s="379"/>
      <c r="L572" s="379"/>
      <c r="M572" s="379"/>
      <c r="N572" s="379"/>
      <c r="O572" s="379"/>
      <c r="P572" s="379"/>
      <c r="Q572" s="379"/>
      <c r="R572" s="379"/>
      <c r="S572" s="379"/>
      <c r="T572" s="379"/>
      <c r="U572" s="379"/>
      <c r="V572" s="379"/>
      <c r="W572" s="379"/>
      <c r="X572" s="379"/>
      <c r="Y572" s="379"/>
      <c r="Z572" s="379"/>
      <c r="AA572" s="379"/>
      <c r="AB572" s="379"/>
      <c r="AC572" s="379"/>
      <c r="AD572" s="379"/>
      <c r="AE572" s="379"/>
      <c r="AF572" s="379"/>
      <c r="AG572" s="379"/>
      <c r="AH572" s="379"/>
      <c r="AI572" s="379"/>
      <c r="AJ572" s="379"/>
      <c r="AK572" s="379"/>
      <c r="AL572" s="379"/>
      <c r="AM572" s="379"/>
      <c r="AN572" s="379"/>
      <c r="AO572" s="379"/>
      <c r="AP572" s="379"/>
      <c r="AQ572" s="379"/>
      <c r="AR572" s="379"/>
      <c r="AS572" s="379"/>
      <c r="AT572" s="379"/>
      <c r="AU572" s="379"/>
      <c r="AV572" s="379"/>
      <c r="AW572" s="379"/>
      <c r="AX572" s="379"/>
      <c r="AY572" s="379"/>
      <c r="AZ572" s="379"/>
      <c r="BA572" s="379"/>
      <c r="BB572" s="379"/>
      <c r="BC572" s="379"/>
      <c r="BD572" s="379"/>
      <c r="BE572" s="379"/>
      <c r="BF572" s="379"/>
      <c r="BG572" s="379"/>
      <c r="BH572" s="379"/>
      <c r="BI572" s="379"/>
      <c r="BJ572" s="379"/>
      <c r="BK572" s="379"/>
      <c r="BL572" s="379"/>
      <c r="BM572" s="379"/>
      <c r="BN572" s="379"/>
      <c r="BO572" s="379"/>
      <c r="BP572" s="379"/>
      <c r="BQ572" s="379"/>
      <c r="BR572" s="379"/>
      <c r="BS572" s="379"/>
      <c r="BT572" s="379"/>
      <c r="BU572" s="379"/>
      <c r="BV572" s="379"/>
      <c r="BW572" s="379"/>
      <c r="BX572" s="379"/>
      <c r="BY572" s="379"/>
      <c r="BZ572" s="379"/>
      <c r="CA572" s="281"/>
      <c r="CB572" s="3" t="str">
        <f t="shared" si="78"/>
        <v>Riadok bude skrytý.</v>
      </c>
      <c r="CC572" s="271" t="s">
        <v>832</v>
      </c>
      <c r="CW572" s="30">
        <f t="shared" si="79"/>
        <v>0</v>
      </c>
      <c r="CZ572" s="30">
        <f t="shared" si="75"/>
        <v>1</v>
      </c>
      <c r="DA572" s="30">
        <f t="shared" si="73"/>
        <v>0</v>
      </c>
      <c r="DB572" s="140">
        <f t="shared" si="77"/>
        <v>0</v>
      </c>
      <c r="DS572" s="130">
        <f>SI!BY572</f>
        <v>198</v>
      </c>
      <c r="DZ572" s="131">
        <f>SI!BZ572</f>
        <v>0</v>
      </c>
    </row>
    <row r="573" spans="1:130" hidden="1" x14ac:dyDescent="0.25">
      <c r="A573" s="141"/>
      <c r="B573" s="379"/>
      <c r="C573" s="379"/>
      <c r="D573" s="379"/>
      <c r="E573" s="379"/>
      <c r="F573" s="379"/>
      <c r="G573" s="379"/>
      <c r="H573" s="379"/>
      <c r="I573" s="379"/>
      <c r="J573" s="379"/>
      <c r="K573" s="379"/>
      <c r="L573" s="379"/>
      <c r="M573" s="379"/>
      <c r="N573" s="379"/>
      <c r="O573" s="379"/>
      <c r="P573" s="379"/>
      <c r="Q573" s="379"/>
      <c r="R573" s="379"/>
      <c r="S573" s="379"/>
      <c r="T573" s="379"/>
      <c r="U573" s="379"/>
      <c r="V573" s="379"/>
      <c r="W573" s="379"/>
      <c r="X573" s="379"/>
      <c r="Y573" s="379"/>
      <c r="Z573" s="379"/>
      <c r="AA573" s="379"/>
      <c r="AB573" s="379"/>
      <c r="AC573" s="379"/>
      <c r="AD573" s="379"/>
      <c r="AE573" s="379"/>
      <c r="AF573" s="379"/>
      <c r="AG573" s="379"/>
      <c r="AH573" s="379"/>
      <c r="AI573" s="379"/>
      <c r="AJ573" s="379"/>
      <c r="AK573" s="379"/>
      <c r="AL573" s="379"/>
      <c r="AM573" s="379"/>
      <c r="AN573" s="379"/>
      <c r="AO573" s="379"/>
      <c r="AP573" s="379"/>
      <c r="AQ573" s="379"/>
      <c r="AR573" s="379"/>
      <c r="AS573" s="379"/>
      <c r="AT573" s="379"/>
      <c r="AU573" s="379"/>
      <c r="AV573" s="379"/>
      <c r="AW573" s="379"/>
      <c r="AX573" s="379"/>
      <c r="AY573" s="379"/>
      <c r="AZ573" s="379"/>
      <c r="BA573" s="379"/>
      <c r="BB573" s="379"/>
      <c r="BC573" s="379"/>
      <c r="BD573" s="379"/>
      <c r="BE573" s="379"/>
      <c r="BF573" s="379"/>
      <c r="BG573" s="379"/>
      <c r="BH573" s="379"/>
      <c r="BI573" s="379"/>
      <c r="BJ573" s="379"/>
      <c r="BK573" s="379"/>
      <c r="BL573" s="379"/>
      <c r="BM573" s="379"/>
      <c r="BN573" s="379"/>
      <c r="BO573" s="379"/>
      <c r="BP573" s="379"/>
      <c r="BQ573" s="379"/>
      <c r="BR573" s="379"/>
      <c r="BS573" s="379"/>
      <c r="BT573" s="379"/>
      <c r="BU573" s="379"/>
      <c r="BV573" s="379"/>
      <c r="BW573" s="379"/>
      <c r="BX573" s="379"/>
      <c r="BY573" s="379"/>
      <c r="BZ573" s="379"/>
      <c r="CA573" s="281"/>
      <c r="CB573" s="3" t="str">
        <f t="shared" si="78"/>
        <v>Riadok bude skrytý.</v>
      </c>
      <c r="CC573" s="271" t="s">
        <v>832</v>
      </c>
      <c r="CW573" s="30">
        <f t="shared" si="79"/>
        <v>0</v>
      </c>
      <c r="CZ573" s="30">
        <f t="shared" si="75"/>
        <v>1</v>
      </c>
      <c r="DA573" s="30">
        <f t="shared" si="73"/>
        <v>0</v>
      </c>
      <c r="DB573" s="140">
        <f t="shared" si="77"/>
        <v>0</v>
      </c>
      <c r="DS573" s="130">
        <f>SI!BY573</f>
        <v>241</v>
      </c>
      <c r="DZ573" s="131">
        <f>SI!BZ573</f>
        <v>0</v>
      </c>
    </row>
    <row r="574" spans="1:130" hidden="1" x14ac:dyDescent="0.25">
      <c r="A574" s="141"/>
      <c r="B574" s="379"/>
      <c r="C574" s="379"/>
      <c r="D574" s="379"/>
      <c r="E574" s="379"/>
      <c r="F574" s="379"/>
      <c r="G574" s="379"/>
      <c r="H574" s="379"/>
      <c r="I574" s="379"/>
      <c r="J574" s="379"/>
      <c r="K574" s="379"/>
      <c r="L574" s="379"/>
      <c r="M574" s="379"/>
      <c r="N574" s="379"/>
      <c r="O574" s="379"/>
      <c r="P574" s="379"/>
      <c r="Q574" s="379"/>
      <c r="R574" s="379"/>
      <c r="S574" s="379"/>
      <c r="T574" s="379"/>
      <c r="U574" s="379"/>
      <c r="V574" s="379"/>
      <c r="W574" s="379"/>
      <c r="X574" s="379"/>
      <c r="Y574" s="379"/>
      <c r="Z574" s="379"/>
      <c r="AA574" s="379"/>
      <c r="AB574" s="379"/>
      <c r="AC574" s="379"/>
      <c r="AD574" s="379"/>
      <c r="AE574" s="379"/>
      <c r="AF574" s="379"/>
      <c r="AG574" s="379"/>
      <c r="AH574" s="379"/>
      <c r="AI574" s="379"/>
      <c r="AJ574" s="379"/>
      <c r="AK574" s="379"/>
      <c r="AL574" s="379"/>
      <c r="AM574" s="379"/>
      <c r="AN574" s="379"/>
      <c r="AO574" s="379"/>
      <c r="AP574" s="379"/>
      <c r="AQ574" s="379"/>
      <c r="AR574" s="379"/>
      <c r="AS574" s="379"/>
      <c r="AT574" s="379"/>
      <c r="AU574" s="379"/>
      <c r="AV574" s="379"/>
      <c r="AW574" s="379"/>
      <c r="AX574" s="379"/>
      <c r="AY574" s="379"/>
      <c r="AZ574" s="379"/>
      <c r="BA574" s="379"/>
      <c r="BB574" s="379"/>
      <c r="BC574" s="379"/>
      <c r="BD574" s="379"/>
      <c r="BE574" s="379"/>
      <c r="BF574" s="379"/>
      <c r="BG574" s="379"/>
      <c r="BH574" s="379"/>
      <c r="BI574" s="379"/>
      <c r="BJ574" s="379"/>
      <c r="BK574" s="379"/>
      <c r="BL574" s="379"/>
      <c r="BM574" s="379"/>
      <c r="BN574" s="379"/>
      <c r="BO574" s="379"/>
      <c r="BP574" s="379"/>
      <c r="BQ574" s="379"/>
      <c r="BR574" s="379"/>
      <c r="BS574" s="379"/>
      <c r="BT574" s="379"/>
      <c r="BU574" s="379"/>
      <c r="BV574" s="379"/>
      <c r="BW574" s="379"/>
      <c r="BX574" s="379"/>
      <c r="BY574" s="379"/>
      <c r="BZ574" s="379"/>
      <c r="CA574" s="281"/>
      <c r="CB574" s="3" t="str">
        <f t="shared" si="78"/>
        <v>Riadok bude skrytý.</v>
      </c>
      <c r="CC574" s="271" t="s">
        <v>832</v>
      </c>
      <c r="CW574" s="30">
        <f t="shared" si="79"/>
        <v>0</v>
      </c>
      <c r="CZ574" s="30">
        <f t="shared" si="75"/>
        <v>1</v>
      </c>
      <c r="DA574" s="30">
        <f t="shared" si="73"/>
        <v>0</v>
      </c>
      <c r="DB574" s="140">
        <f t="shared" si="77"/>
        <v>0</v>
      </c>
      <c r="DS574" s="130">
        <f>SI!BY574</f>
        <v>171</v>
      </c>
      <c r="DZ574" s="131">
        <f>SI!BZ574</f>
        <v>0</v>
      </c>
    </row>
    <row r="575" spans="1:130" hidden="1" x14ac:dyDescent="0.25">
      <c r="A575" s="141"/>
      <c r="B575" s="379"/>
      <c r="C575" s="379"/>
      <c r="D575" s="379"/>
      <c r="E575" s="379"/>
      <c r="F575" s="379"/>
      <c r="G575" s="379"/>
      <c r="H575" s="379"/>
      <c r="I575" s="379"/>
      <c r="J575" s="379"/>
      <c r="K575" s="379"/>
      <c r="L575" s="379"/>
      <c r="M575" s="379"/>
      <c r="N575" s="379"/>
      <c r="O575" s="379"/>
      <c r="P575" s="379"/>
      <c r="Q575" s="379"/>
      <c r="R575" s="379"/>
      <c r="S575" s="379"/>
      <c r="T575" s="379"/>
      <c r="U575" s="379"/>
      <c r="V575" s="379"/>
      <c r="W575" s="379"/>
      <c r="X575" s="379"/>
      <c r="Y575" s="379"/>
      <c r="Z575" s="379"/>
      <c r="AA575" s="379"/>
      <c r="AB575" s="379"/>
      <c r="AC575" s="379"/>
      <c r="AD575" s="379"/>
      <c r="AE575" s="379"/>
      <c r="AF575" s="379"/>
      <c r="AG575" s="379"/>
      <c r="AH575" s="379"/>
      <c r="AI575" s="379"/>
      <c r="AJ575" s="379"/>
      <c r="AK575" s="379"/>
      <c r="AL575" s="379"/>
      <c r="AM575" s="379"/>
      <c r="AN575" s="379"/>
      <c r="AO575" s="379"/>
      <c r="AP575" s="379"/>
      <c r="AQ575" s="379"/>
      <c r="AR575" s="379"/>
      <c r="AS575" s="379"/>
      <c r="AT575" s="379"/>
      <c r="AU575" s="379"/>
      <c r="AV575" s="379"/>
      <c r="AW575" s="379"/>
      <c r="AX575" s="379"/>
      <c r="AY575" s="379"/>
      <c r="AZ575" s="379"/>
      <c r="BA575" s="379"/>
      <c r="BB575" s="379"/>
      <c r="BC575" s="379"/>
      <c r="BD575" s="379"/>
      <c r="BE575" s="379"/>
      <c r="BF575" s="379"/>
      <c r="BG575" s="379"/>
      <c r="BH575" s="379"/>
      <c r="BI575" s="379"/>
      <c r="BJ575" s="379"/>
      <c r="BK575" s="379"/>
      <c r="BL575" s="379"/>
      <c r="BM575" s="379"/>
      <c r="BN575" s="379"/>
      <c r="BO575" s="379"/>
      <c r="BP575" s="379"/>
      <c r="BQ575" s="379"/>
      <c r="BR575" s="379"/>
      <c r="BS575" s="379"/>
      <c r="BT575" s="379"/>
      <c r="BU575" s="379"/>
      <c r="BV575" s="379"/>
      <c r="BW575" s="379"/>
      <c r="BX575" s="379"/>
      <c r="BY575" s="379"/>
      <c r="BZ575" s="379"/>
      <c r="CA575" s="281"/>
      <c r="CB575" s="3" t="str">
        <f t="shared" si="78"/>
        <v>Riadok bude skrytý.</v>
      </c>
      <c r="CC575" s="271" t="s">
        <v>832</v>
      </c>
      <c r="CW575" s="30">
        <f t="shared" si="79"/>
        <v>0</v>
      </c>
      <c r="CZ575" s="30">
        <f t="shared" si="75"/>
        <v>1</v>
      </c>
      <c r="DA575" s="30">
        <f t="shared" si="73"/>
        <v>0</v>
      </c>
      <c r="DB575" s="140">
        <f t="shared" si="77"/>
        <v>0</v>
      </c>
      <c r="DS575" s="130">
        <f>SI!BY575</f>
        <v>364</v>
      </c>
      <c r="DZ575" s="131">
        <f>SI!BZ575</f>
        <v>0</v>
      </c>
    </row>
    <row r="576" spans="1:130" hidden="1" x14ac:dyDescent="0.25">
      <c r="A576" s="141"/>
      <c r="B576" s="379"/>
      <c r="C576" s="379"/>
      <c r="D576" s="379"/>
      <c r="E576" s="379"/>
      <c r="F576" s="379"/>
      <c r="G576" s="379"/>
      <c r="H576" s="379"/>
      <c r="I576" s="379"/>
      <c r="J576" s="379"/>
      <c r="K576" s="379"/>
      <c r="L576" s="379"/>
      <c r="M576" s="379"/>
      <c r="N576" s="379"/>
      <c r="O576" s="379"/>
      <c r="P576" s="379"/>
      <c r="Q576" s="379"/>
      <c r="R576" s="379"/>
      <c r="S576" s="379"/>
      <c r="T576" s="379"/>
      <c r="U576" s="379"/>
      <c r="V576" s="379"/>
      <c r="W576" s="379"/>
      <c r="X576" s="379"/>
      <c r="Y576" s="379"/>
      <c r="Z576" s="379"/>
      <c r="AA576" s="379"/>
      <c r="AB576" s="379"/>
      <c r="AC576" s="379"/>
      <c r="AD576" s="379"/>
      <c r="AE576" s="379"/>
      <c r="AF576" s="379"/>
      <c r="AG576" s="379"/>
      <c r="AH576" s="379"/>
      <c r="AI576" s="379"/>
      <c r="AJ576" s="379"/>
      <c r="AK576" s="379"/>
      <c r="AL576" s="379"/>
      <c r="AM576" s="379"/>
      <c r="AN576" s="379"/>
      <c r="AO576" s="379"/>
      <c r="AP576" s="379"/>
      <c r="AQ576" s="379"/>
      <c r="AR576" s="379"/>
      <c r="AS576" s="379"/>
      <c r="AT576" s="379"/>
      <c r="AU576" s="379"/>
      <c r="AV576" s="379"/>
      <c r="AW576" s="379"/>
      <c r="AX576" s="379"/>
      <c r="AY576" s="379"/>
      <c r="AZ576" s="379"/>
      <c r="BA576" s="379"/>
      <c r="BB576" s="379"/>
      <c r="BC576" s="379"/>
      <c r="BD576" s="379"/>
      <c r="BE576" s="379"/>
      <c r="BF576" s="379"/>
      <c r="BG576" s="379"/>
      <c r="BH576" s="379"/>
      <c r="BI576" s="379"/>
      <c r="BJ576" s="379"/>
      <c r="BK576" s="379"/>
      <c r="BL576" s="379"/>
      <c r="BM576" s="379"/>
      <c r="BN576" s="379"/>
      <c r="BO576" s="379"/>
      <c r="BP576" s="379"/>
      <c r="BQ576" s="379"/>
      <c r="BR576" s="379"/>
      <c r="BS576" s="379"/>
      <c r="BT576" s="379"/>
      <c r="BU576" s="379"/>
      <c r="BV576" s="379"/>
      <c r="BW576" s="379"/>
      <c r="BX576" s="379"/>
      <c r="BY576" s="379"/>
      <c r="BZ576" s="379"/>
      <c r="CA576" s="281"/>
      <c r="CB576" s="3" t="str">
        <f t="shared" si="78"/>
        <v>Riadok bude skrytý.</v>
      </c>
      <c r="CC576" s="271" t="s">
        <v>832</v>
      </c>
      <c r="CW576" s="30">
        <f t="shared" si="79"/>
        <v>0</v>
      </c>
      <c r="CZ576" s="30">
        <f t="shared" si="75"/>
        <v>1</v>
      </c>
      <c r="DA576" s="30">
        <f t="shared" si="73"/>
        <v>0</v>
      </c>
      <c r="DB576" s="140">
        <f t="shared" si="77"/>
        <v>0</v>
      </c>
      <c r="DS576" s="130">
        <f>SI!BY576</f>
        <v>188</v>
      </c>
      <c r="DZ576" s="131">
        <f>SI!BZ576</f>
        <v>0</v>
      </c>
    </row>
    <row r="577" spans="1:130" hidden="1" x14ac:dyDescent="0.25">
      <c r="A577" s="141"/>
      <c r="B577" s="379"/>
      <c r="C577" s="379"/>
      <c r="D577" s="379"/>
      <c r="E577" s="379"/>
      <c r="F577" s="379"/>
      <c r="G577" s="379"/>
      <c r="H577" s="379"/>
      <c r="I577" s="379"/>
      <c r="J577" s="379"/>
      <c r="K577" s="379"/>
      <c r="L577" s="379"/>
      <c r="M577" s="379"/>
      <c r="N577" s="379"/>
      <c r="O577" s="379"/>
      <c r="P577" s="379"/>
      <c r="Q577" s="379"/>
      <c r="R577" s="379"/>
      <c r="S577" s="379"/>
      <c r="T577" s="379"/>
      <c r="U577" s="379"/>
      <c r="V577" s="379"/>
      <c r="W577" s="379"/>
      <c r="X577" s="379"/>
      <c r="Y577" s="379"/>
      <c r="Z577" s="379"/>
      <c r="AA577" s="379"/>
      <c r="AB577" s="379"/>
      <c r="AC577" s="379"/>
      <c r="AD577" s="379"/>
      <c r="AE577" s="379"/>
      <c r="AF577" s="379"/>
      <c r="AG577" s="379"/>
      <c r="AH577" s="379"/>
      <c r="AI577" s="379"/>
      <c r="AJ577" s="379"/>
      <c r="AK577" s="379"/>
      <c r="AL577" s="379"/>
      <c r="AM577" s="379"/>
      <c r="AN577" s="379"/>
      <c r="AO577" s="379"/>
      <c r="AP577" s="379"/>
      <c r="AQ577" s="379"/>
      <c r="AR577" s="379"/>
      <c r="AS577" s="379"/>
      <c r="AT577" s="379"/>
      <c r="AU577" s="379"/>
      <c r="AV577" s="379"/>
      <c r="AW577" s="379"/>
      <c r="AX577" s="379"/>
      <c r="AY577" s="379"/>
      <c r="AZ577" s="379"/>
      <c r="BA577" s="379"/>
      <c r="BB577" s="379"/>
      <c r="BC577" s="379"/>
      <c r="BD577" s="379"/>
      <c r="BE577" s="379"/>
      <c r="BF577" s="379"/>
      <c r="BG577" s="379"/>
      <c r="BH577" s="379"/>
      <c r="BI577" s="379"/>
      <c r="BJ577" s="379"/>
      <c r="BK577" s="379"/>
      <c r="BL577" s="379"/>
      <c r="BM577" s="379"/>
      <c r="BN577" s="379"/>
      <c r="BO577" s="379"/>
      <c r="BP577" s="379"/>
      <c r="BQ577" s="379"/>
      <c r="BR577" s="379"/>
      <c r="BS577" s="379"/>
      <c r="BT577" s="379"/>
      <c r="BU577" s="379"/>
      <c r="BV577" s="379"/>
      <c r="BW577" s="379"/>
      <c r="BX577" s="379"/>
      <c r="BY577" s="379"/>
      <c r="BZ577" s="379"/>
      <c r="CA577" s="281"/>
      <c r="CB577" s="3" t="str">
        <f t="shared" si="78"/>
        <v>Riadok bude skrytý.</v>
      </c>
      <c r="CC577" s="271" t="s">
        <v>832</v>
      </c>
      <c r="CW577" s="30">
        <f t="shared" si="79"/>
        <v>0</v>
      </c>
      <c r="CZ577" s="30">
        <f t="shared" si="75"/>
        <v>1</v>
      </c>
      <c r="DA577" s="30">
        <f t="shared" si="73"/>
        <v>0</v>
      </c>
      <c r="DB577" s="140">
        <f t="shared" si="77"/>
        <v>0</v>
      </c>
      <c r="DS577" s="130">
        <f>SI!BY577</f>
        <v>604</v>
      </c>
      <c r="DZ577" s="131">
        <f>SI!BZ577</f>
        <v>0</v>
      </c>
    </row>
    <row r="578" spans="1:130" hidden="1" x14ac:dyDescent="0.25">
      <c r="A578" s="141"/>
      <c r="B578" s="379"/>
      <c r="C578" s="379"/>
      <c r="D578" s="379"/>
      <c r="E578" s="379"/>
      <c r="F578" s="379"/>
      <c r="G578" s="379"/>
      <c r="H578" s="379"/>
      <c r="I578" s="379"/>
      <c r="J578" s="379"/>
      <c r="K578" s="379"/>
      <c r="L578" s="379"/>
      <c r="M578" s="379"/>
      <c r="N578" s="379"/>
      <c r="O578" s="379"/>
      <c r="P578" s="379"/>
      <c r="Q578" s="379"/>
      <c r="R578" s="379"/>
      <c r="S578" s="379"/>
      <c r="T578" s="379"/>
      <c r="U578" s="379"/>
      <c r="V578" s="379"/>
      <c r="W578" s="379"/>
      <c r="X578" s="379"/>
      <c r="Y578" s="379"/>
      <c r="Z578" s="379"/>
      <c r="AA578" s="379"/>
      <c r="AB578" s="379"/>
      <c r="AC578" s="379"/>
      <c r="AD578" s="379"/>
      <c r="AE578" s="379"/>
      <c r="AF578" s="379"/>
      <c r="AG578" s="379"/>
      <c r="AH578" s="379"/>
      <c r="AI578" s="379"/>
      <c r="AJ578" s="379"/>
      <c r="AK578" s="379"/>
      <c r="AL578" s="379"/>
      <c r="AM578" s="379"/>
      <c r="AN578" s="379"/>
      <c r="AO578" s="379"/>
      <c r="AP578" s="379"/>
      <c r="AQ578" s="379"/>
      <c r="AR578" s="379"/>
      <c r="AS578" s="379"/>
      <c r="AT578" s="379"/>
      <c r="AU578" s="379"/>
      <c r="AV578" s="379"/>
      <c r="AW578" s="379"/>
      <c r="AX578" s="379"/>
      <c r="AY578" s="379"/>
      <c r="AZ578" s="379"/>
      <c r="BA578" s="379"/>
      <c r="BB578" s="379"/>
      <c r="BC578" s="379"/>
      <c r="BD578" s="379"/>
      <c r="BE578" s="379"/>
      <c r="BF578" s="379"/>
      <c r="BG578" s="379"/>
      <c r="BH578" s="379"/>
      <c r="BI578" s="379"/>
      <c r="BJ578" s="379"/>
      <c r="BK578" s="379"/>
      <c r="BL578" s="379"/>
      <c r="BM578" s="379"/>
      <c r="BN578" s="379"/>
      <c r="BO578" s="379"/>
      <c r="BP578" s="379"/>
      <c r="BQ578" s="379"/>
      <c r="BR578" s="379"/>
      <c r="BS578" s="379"/>
      <c r="BT578" s="379"/>
      <c r="BU578" s="379"/>
      <c r="BV578" s="379"/>
      <c r="BW578" s="379"/>
      <c r="BX578" s="379"/>
      <c r="BY578" s="379"/>
      <c r="BZ578" s="379"/>
      <c r="CA578" s="281"/>
      <c r="CB578" s="3" t="str">
        <f t="shared" si="78"/>
        <v>Riadok bude skrytý.</v>
      </c>
      <c r="CC578" s="271" t="s">
        <v>832</v>
      </c>
      <c r="CW578" s="30">
        <f t="shared" si="79"/>
        <v>0</v>
      </c>
      <c r="CZ578" s="30">
        <f t="shared" si="75"/>
        <v>1</v>
      </c>
      <c r="DA578" s="30">
        <f t="shared" ref="DA578:DA641" si="80">+IF(CW578+CX578+CY578=0,0,IF(CZ578=0,0,1))</f>
        <v>0</v>
      </c>
      <c r="DB578" s="140">
        <f t="shared" si="77"/>
        <v>0</v>
      </c>
      <c r="DS578" s="130">
        <f>SI!BY578</f>
        <v>148</v>
      </c>
      <c r="DZ578" s="131">
        <f>SI!BZ578</f>
        <v>0</v>
      </c>
    </row>
    <row r="579" spans="1:130" hidden="1" x14ac:dyDescent="0.25">
      <c r="A579" s="141"/>
      <c r="B579" s="379"/>
      <c r="C579" s="379"/>
      <c r="D579" s="379"/>
      <c r="E579" s="379"/>
      <c r="F579" s="379"/>
      <c r="G579" s="379"/>
      <c r="H579" s="379"/>
      <c r="I579" s="379"/>
      <c r="J579" s="379"/>
      <c r="K579" s="379"/>
      <c r="L579" s="379"/>
      <c r="M579" s="379"/>
      <c r="N579" s="379"/>
      <c r="O579" s="379"/>
      <c r="P579" s="379"/>
      <c r="Q579" s="379"/>
      <c r="R579" s="379"/>
      <c r="S579" s="379"/>
      <c r="T579" s="379"/>
      <c r="U579" s="379"/>
      <c r="V579" s="379"/>
      <c r="W579" s="379"/>
      <c r="X579" s="379"/>
      <c r="Y579" s="379"/>
      <c r="Z579" s="379"/>
      <c r="AA579" s="379"/>
      <c r="AB579" s="379"/>
      <c r="AC579" s="379"/>
      <c r="AD579" s="379"/>
      <c r="AE579" s="379"/>
      <c r="AF579" s="379"/>
      <c r="AG579" s="379"/>
      <c r="AH579" s="379"/>
      <c r="AI579" s="379"/>
      <c r="AJ579" s="379"/>
      <c r="AK579" s="379"/>
      <c r="AL579" s="379"/>
      <c r="AM579" s="379"/>
      <c r="AN579" s="379"/>
      <c r="AO579" s="379"/>
      <c r="AP579" s="379"/>
      <c r="AQ579" s="379"/>
      <c r="AR579" s="379"/>
      <c r="AS579" s="379"/>
      <c r="AT579" s="379"/>
      <c r="AU579" s="379"/>
      <c r="AV579" s="379"/>
      <c r="AW579" s="379"/>
      <c r="AX579" s="379"/>
      <c r="AY579" s="379"/>
      <c r="AZ579" s="379"/>
      <c r="BA579" s="379"/>
      <c r="BB579" s="379"/>
      <c r="BC579" s="379"/>
      <c r="BD579" s="379"/>
      <c r="BE579" s="379"/>
      <c r="BF579" s="379"/>
      <c r="BG579" s="379"/>
      <c r="BH579" s="379"/>
      <c r="BI579" s="379"/>
      <c r="BJ579" s="379"/>
      <c r="BK579" s="379"/>
      <c r="BL579" s="379"/>
      <c r="BM579" s="379"/>
      <c r="BN579" s="379"/>
      <c r="BO579" s="379"/>
      <c r="BP579" s="379"/>
      <c r="BQ579" s="379"/>
      <c r="BR579" s="379"/>
      <c r="BS579" s="379"/>
      <c r="BT579" s="379"/>
      <c r="BU579" s="379"/>
      <c r="BV579" s="379"/>
      <c r="BW579" s="379"/>
      <c r="BX579" s="379"/>
      <c r="BY579" s="379"/>
      <c r="BZ579" s="379"/>
      <c r="CA579" s="281"/>
      <c r="CB579" s="3" t="str">
        <f t="shared" si="78"/>
        <v>Riadok bude skrytý.</v>
      </c>
      <c r="CC579" s="271" t="s">
        <v>832</v>
      </c>
      <c r="CW579" s="30">
        <f t="shared" si="79"/>
        <v>0</v>
      </c>
      <c r="CZ579" s="30">
        <f t="shared" si="75"/>
        <v>1</v>
      </c>
      <c r="DA579" s="30">
        <f t="shared" si="80"/>
        <v>0</v>
      </c>
      <c r="DB579" s="140">
        <f t="shared" si="77"/>
        <v>0</v>
      </c>
      <c r="DS579" s="130">
        <f>SI!BY579</f>
        <v>377</v>
      </c>
      <c r="DZ579" s="131">
        <f>SI!BZ579</f>
        <v>0</v>
      </c>
    </row>
    <row r="580" spans="1:130" hidden="1" x14ac:dyDescent="0.25">
      <c r="A580" s="141"/>
      <c r="B580" s="379"/>
      <c r="C580" s="379"/>
      <c r="D580" s="379"/>
      <c r="E580" s="379"/>
      <c r="F580" s="379"/>
      <c r="G580" s="379"/>
      <c r="H580" s="379"/>
      <c r="I580" s="379"/>
      <c r="J580" s="379"/>
      <c r="K580" s="379"/>
      <c r="L580" s="379"/>
      <c r="M580" s="379"/>
      <c r="N580" s="379"/>
      <c r="O580" s="379"/>
      <c r="P580" s="379"/>
      <c r="Q580" s="379"/>
      <c r="R580" s="379"/>
      <c r="S580" s="379"/>
      <c r="T580" s="379"/>
      <c r="U580" s="379"/>
      <c r="V580" s="379"/>
      <c r="W580" s="379"/>
      <c r="X580" s="379"/>
      <c r="Y580" s="379"/>
      <c r="Z580" s="379"/>
      <c r="AA580" s="379"/>
      <c r="AB580" s="379"/>
      <c r="AC580" s="379"/>
      <c r="AD580" s="379"/>
      <c r="AE580" s="379"/>
      <c r="AF580" s="379"/>
      <c r="AG580" s="379"/>
      <c r="AH580" s="379"/>
      <c r="AI580" s="379"/>
      <c r="AJ580" s="379"/>
      <c r="AK580" s="379"/>
      <c r="AL580" s="379"/>
      <c r="AM580" s="379"/>
      <c r="AN580" s="379"/>
      <c r="AO580" s="379"/>
      <c r="AP580" s="379"/>
      <c r="AQ580" s="379"/>
      <c r="AR580" s="379"/>
      <c r="AS580" s="379"/>
      <c r="AT580" s="379"/>
      <c r="AU580" s="379"/>
      <c r="AV580" s="379"/>
      <c r="AW580" s="379"/>
      <c r="AX580" s="379"/>
      <c r="AY580" s="379"/>
      <c r="AZ580" s="379"/>
      <c r="BA580" s="379"/>
      <c r="BB580" s="379"/>
      <c r="BC580" s="379"/>
      <c r="BD580" s="379"/>
      <c r="BE580" s="379"/>
      <c r="BF580" s="379"/>
      <c r="BG580" s="379"/>
      <c r="BH580" s="379"/>
      <c r="BI580" s="379"/>
      <c r="BJ580" s="379"/>
      <c r="BK580" s="379"/>
      <c r="BL580" s="379"/>
      <c r="BM580" s="379"/>
      <c r="BN580" s="379"/>
      <c r="BO580" s="379"/>
      <c r="BP580" s="379"/>
      <c r="BQ580" s="379"/>
      <c r="BR580" s="379"/>
      <c r="BS580" s="379"/>
      <c r="BT580" s="379"/>
      <c r="BU580" s="379"/>
      <c r="BV580" s="379"/>
      <c r="BW580" s="379"/>
      <c r="BX580" s="379"/>
      <c r="BY580" s="379"/>
      <c r="BZ580" s="379"/>
      <c r="CA580" s="281"/>
      <c r="CB580" s="3" t="str">
        <f t="shared" si="78"/>
        <v>Riadok bude skrytý.</v>
      </c>
      <c r="CC580" s="271" t="s">
        <v>832</v>
      </c>
      <c r="CW580" s="30">
        <f t="shared" si="79"/>
        <v>0</v>
      </c>
      <c r="CZ580" s="30">
        <f t="shared" si="75"/>
        <v>1</v>
      </c>
      <c r="DA580" s="30">
        <f t="shared" si="80"/>
        <v>0</v>
      </c>
      <c r="DB580" s="140">
        <f t="shared" si="77"/>
        <v>0</v>
      </c>
      <c r="DS580" s="130">
        <f>SI!BY580</f>
        <v>116</v>
      </c>
      <c r="DZ580" s="131">
        <f>SI!BZ580</f>
        <v>0</v>
      </c>
    </row>
    <row r="581" spans="1:130" hidden="1" x14ac:dyDescent="0.25">
      <c r="A581" s="141"/>
      <c r="B581" s="379"/>
      <c r="C581" s="379"/>
      <c r="D581" s="379"/>
      <c r="E581" s="379"/>
      <c r="F581" s="379"/>
      <c r="G581" s="379"/>
      <c r="H581" s="379"/>
      <c r="I581" s="379"/>
      <c r="J581" s="379"/>
      <c r="K581" s="379"/>
      <c r="L581" s="379"/>
      <c r="M581" s="379"/>
      <c r="N581" s="379"/>
      <c r="O581" s="379"/>
      <c r="P581" s="379"/>
      <c r="Q581" s="379"/>
      <c r="R581" s="379"/>
      <c r="S581" s="379"/>
      <c r="T581" s="379"/>
      <c r="U581" s="379"/>
      <c r="V581" s="379"/>
      <c r="W581" s="379"/>
      <c r="X581" s="379"/>
      <c r="Y581" s="379"/>
      <c r="Z581" s="379"/>
      <c r="AA581" s="379"/>
      <c r="AB581" s="379"/>
      <c r="AC581" s="379"/>
      <c r="AD581" s="379"/>
      <c r="AE581" s="379"/>
      <c r="AF581" s="379"/>
      <c r="AG581" s="379"/>
      <c r="AH581" s="379"/>
      <c r="AI581" s="379"/>
      <c r="AJ581" s="379"/>
      <c r="AK581" s="379"/>
      <c r="AL581" s="379"/>
      <c r="AM581" s="379"/>
      <c r="AN581" s="379"/>
      <c r="AO581" s="379"/>
      <c r="AP581" s="379"/>
      <c r="AQ581" s="379"/>
      <c r="AR581" s="379"/>
      <c r="AS581" s="379"/>
      <c r="AT581" s="379"/>
      <c r="AU581" s="379"/>
      <c r="AV581" s="379"/>
      <c r="AW581" s="379"/>
      <c r="AX581" s="379"/>
      <c r="AY581" s="379"/>
      <c r="AZ581" s="379"/>
      <c r="BA581" s="379"/>
      <c r="BB581" s="379"/>
      <c r="BC581" s="379"/>
      <c r="BD581" s="379"/>
      <c r="BE581" s="379"/>
      <c r="BF581" s="379"/>
      <c r="BG581" s="379"/>
      <c r="BH581" s="379"/>
      <c r="BI581" s="379"/>
      <c r="BJ581" s="379"/>
      <c r="BK581" s="379"/>
      <c r="BL581" s="379"/>
      <c r="BM581" s="379"/>
      <c r="BN581" s="379"/>
      <c r="BO581" s="379"/>
      <c r="BP581" s="379"/>
      <c r="BQ581" s="379"/>
      <c r="BR581" s="379"/>
      <c r="BS581" s="379"/>
      <c r="BT581" s="379"/>
      <c r="BU581" s="379"/>
      <c r="BV581" s="379"/>
      <c r="BW581" s="379"/>
      <c r="BX581" s="379"/>
      <c r="BY581" s="379"/>
      <c r="BZ581" s="379"/>
      <c r="CA581" s="281"/>
      <c r="CB581" s="3" t="str">
        <f t="shared" si="78"/>
        <v>Riadok bude skrytý.</v>
      </c>
      <c r="CC581" s="271" t="s">
        <v>832</v>
      </c>
      <c r="CW581" s="30">
        <f t="shared" si="79"/>
        <v>0</v>
      </c>
      <c r="CZ581" s="30">
        <f t="shared" si="75"/>
        <v>1</v>
      </c>
      <c r="DA581" s="30">
        <f t="shared" si="80"/>
        <v>0</v>
      </c>
      <c r="DB581" s="140">
        <f t="shared" si="77"/>
        <v>0</v>
      </c>
      <c r="DS581" s="130">
        <f>SI!BY581</f>
        <v>304</v>
      </c>
      <c r="DZ581" s="131">
        <f>SI!BZ581</f>
        <v>0</v>
      </c>
    </row>
    <row r="582" spans="1:130" hidden="1" x14ac:dyDescent="0.25">
      <c r="A582" s="141"/>
      <c r="B582" s="379"/>
      <c r="C582" s="379"/>
      <c r="D582" s="379"/>
      <c r="E582" s="379"/>
      <c r="F582" s="379"/>
      <c r="G582" s="379"/>
      <c r="H582" s="379"/>
      <c r="I582" s="379"/>
      <c r="J582" s="379"/>
      <c r="K582" s="379"/>
      <c r="L582" s="379"/>
      <c r="M582" s="379"/>
      <c r="N582" s="379"/>
      <c r="O582" s="379"/>
      <c r="P582" s="379"/>
      <c r="Q582" s="379"/>
      <c r="R582" s="379"/>
      <c r="S582" s="379"/>
      <c r="T582" s="379"/>
      <c r="U582" s="379"/>
      <c r="V582" s="379"/>
      <c r="W582" s="379"/>
      <c r="X582" s="379"/>
      <c r="Y582" s="379"/>
      <c r="Z582" s="379"/>
      <c r="AA582" s="379"/>
      <c r="AB582" s="379"/>
      <c r="AC582" s="379"/>
      <c r="AD582" s="379"/>
      <c r="AE582" s="379"/>
      <c r="AF582" s="379"/>
      <c r="AG582" s="379"/>
      <c r="AH582" s="379"/>
      <c r="AI582" s="379"/>
      <c r="AJ582" s="379"/>
      <c r="AK582" s="379"/>
      <c r="AL582" s="379"/>
      <c r="AM582" s="379"/>
      <c r="AN582" s="379"/>
      <c r="AO582" s="379"/>
      <c r="AP582" s="379"/>
      <c r="AQ582" s="379"/>
      <c r="AR582" s="379"/>
      <c r="AS582" s="379"/>
      <c r="AT582" s="379"/>
      <c r="AU582" s="379"/>
      <c r="AV582" s="379"/>
      <c r="AW582" s="379"/>
      <c r="AX582" s="379"/>
      <c r="AY582" s="379"/>
      <c r="AZ582" s="379"/>
      <c r="BA582" s="379"/>
      <c r="BB582" s="379"/>
      <c r="BC582" s="379"/>
      <c r="BD582" s="379"/>
      <c r="BE582" s="379"/>
      <c r="BF582" s="379"/>
      <c r="BG582" s="379"/>
      <c r="BH582" s="379"/>
      <c r="BI582" s="379"/>
      <c r="BJ582" s="379"/>
      <c r="BK582" s="379"/>
      <c r="BL582" s="379"/>
      <c r="BM582" s="379"/>
      <c r="BN582" s="379"/>
      <c r="BO582" s="379"/>
      <c r="BP582" s="379"/>
      <c r="BQ582" s="379"/>
      <c r="BR582" s="379"/>
      <c r="BS582" s="379"/>
      <c r="BT582" s="379"/>
      <c r="BU582" s="379"/>
      <c r="BV582" s="379"/>
      <c r="BW582" s="379"/>
      <c r="BX582" s="379"/>
      <c r="BY582" s="379"/>
      <c r="BZ582" s="379"/>
      <c r="CA582" s="281"/>
      <c r="CB582" s="3" t="str">
        <f t="shared" si="78"/>
        <v>Riadok bude skrytý.</v>
      </c>
      <c r="CC582" s="271" t="s">
        <v>832</v>
      </c>
      <c r="CW582" s="30">
        <f t="shared" si="79"/>
        <v>0</v>
      </c>
      <c r="CZ582" s="30">
        <f t="shared" si="75"/>
        <v>1</v>
      </c>
      <c r="DA582" s="30">
        <f t="shared" si="80"/>
        <v>0</v>
      </c>
      <c r="DB582" s="140">
        <f t="shared" si="77"/>
        <v>0</v>
      </c>
      <c r="DS582" s="130">
        <f>SI!BY582</f>
        <v>137</v>
      </c>
      <c r="DZ582" s="131">
        <f>SI!BZ582</f>
        <v>0</v>
      </c>
    </row>
    <row r="583" spans="1:130" x14ac:dyDescent="0.25">
      <c r="A583" s="141"/>
      <c r="CA583" s="270"/>
      <c r="CB583" s="3" t="str">
        <f t="shared" si="78"/>
        <v>Riadok bude vidieť.</v>
      </c>
      <c r="CC583" s="271" t="s">
        <v>832</v>
      </c>
      <c r="CW583" s="32">
        <f>+IF(SUM(CW585:CW604)=0,0,1)</f>
        <v>1</v>
      </c>
      <c r="CZ583" s="30">
        <f t="shared" si="75"/>
        <v>1</v>
      </c>
      <c r="DA583" s="30">
        <f t="shared" si="80"/>
        <v>1</v>
      </c>
      <c r="DB583" s="140">
        <f t="shared" si="77"/>
        <v>1</v>
      </c>
      <c r="DS583" s="130">
        <f>SI!BY583</f>
        <v>317</v>
      </c>
      <c r="DZ583" s="131">
        <f>SI!BZ583</f>
        <v>0</v>
      </c>
    </row>
    <row r="584" spans="1:130" x14ac:dyDescent="0.25">
      <c r="A584" s="141"/>
      <c r="B584" s="279" t="s">
        <v>859</v>
      </c>
      <c r="C584" s="7" t="str">
        <f>+IF($O$52&lt;&gt;"",IF(CODE(MID($O$52,1,1))*(IF(SI!EE584="",1,SI!EE584))+ROUNDDOWN(LEN(SI!J5)/2,0)=DS584,"Ocenenie rezerv","NEPOVOLENÉ POUŽITIE!"),"NEPOVOLENÉ POUŽITIE!")</f>
        <v>Ocenenie rezerv</v>
      </c>
      <c r="D584" s="7"/>
      <c r="E584" s="7"/>
      <c r="F584" s="7"/>
      <c r="CA584" s="265" t="s">
        <v>773</v>
      </c>
      <c r="CB584" s="3" t="str">
        <f t="shared" si="78"/>
        <v>Riadok bude vidieť.</v>
      </c>
      <c r="CC584" s="271" t="s">
        <v>832</v>
      </c>
      <c r="CW584" s="134">
        <f>+IF(SUM(CW585:CW604)=0,0,1)</f>
        <v>1</v>
      </c>
      <c r="CZ584" s="30">
        <f t="shared" si="75"/>
        <v>1</v>
      </c>
      <c r="DA584" s="30">
        <f t="shared" si="80"/>
        <v>1</v>
      </c>
      <c r="DB584" s="140">
        <f t="shared" si="77"/>
        <v>1</v>
      </c>
      <c r="DS584" s="130">
        <f>SI!BY584</f>
        <v>7</v>
      </c>
      <c r="DZ584" s="131">
        <f>SI!BZ584</f>
        <v>0</v>
      </c>
    </row>
    <row r="585" spans="1:130" x14ac:dyDescent="0.25">
      <c r="A585" s="141"/>
      <c r="B585" s="379" t="s">
        <v>74</v>
      </c>
      <c r="C585" s="379"/>
      <c r="D585" s="379"/>
      <c r="E585" s="379"/>
      <c r="F585" s="379"/>
      <c r="G585" s="379"/>
      <c r="H585" s="379"/>
      <c r="I585" s="379"/>
      <c r="J585" s="379"/>
      <c r="K585" s="379"/>
      <c r="L585" s="379"/>
      <c r="M585" s="379"/>
      <c r="N585" s="379"/>
      <c r="O585" s="379"/>
      <c r="P585" s="379"/>
      <c r="Q585" s="379"/>
      <c r="R585" s="379"/>
      <c r="S585" s="379"/>
      <c r="T585" s="379"/>
      <c r="U585" s="379"/>
      <c r="V585" s="379"/>
      <c r="W585" s="379"/>
      <c r="X585" s="379"/>
      <c r="Y585" s="379"/>
      <c r="Z585" s="379"/>
      <c r="AA585" s="379"/>
      <c r="AB585" s="379"/>
      <c r="AC585" s="379"/>
      <c r="AD585" s="379"/>
      <c r="AE585" s="379"/>
      <c r="AF585" s="379"/>
      <c r="AG585" s="379"/>
      <c r="AH585" s="379"/>
      <c r="AI585" s="379"/>
      <c r="AJ585" s="379"/>
      <c r="AK585" s="379"/>
      <c r="AL585" s="379"/>
      <c r="AM585" s="379"/>
      <c r="AN585" s="379"/>
      <c r="AO585" s="379"/>
      <c r="AP585" s="379"/>
      <c r="AQ585" s="379"/>
      <c r="AR585" s="379"/>
      <c r="AS585" s="379"/>
      <c r="AT585" s="379"/>
      <c r="AU585" s="379"/>
      <c r="AV585" s="379"/>
      <c r="AW585" s="379"/>
      <c r="AX585" s="379"/>
      <c r="AY585" s="379"/>
      <c r="AZ585" s="379"/>
      <c r="BA585" s="379"/>
      <c r="BB585" s="379"/>
      <c r="BC585" s="379"/>
      <c r="BD585" s="379"/>
      <c r="BE585" s="379"/>
      <c r="BF585" s="379"/>
      <c r="BG585" s="379"/>
      <c r="BH585" s="379"/>
      <c r="BI585" s="379"/>
      <c r="BJ585" s="379"/>
      <c r="BK585" s="379"/>
      <c r="BL585" s="379"/>
      <c r="BM585" s="379"/>
      <c r="BN585" s="379"/>
      <c r="BO585" s="379"/>
      <c r="BP585" s="379"/>
      <c r="BQ585" s="379"/>
      <c r="BR585" s="379"/>
      <c r="BS585" s="379"/>
      <c r="BT585" s="379"/>
      <c r="BU585" s="379"/>
      <c r="BV585" s="379"/>
      <c r="BW585" s="379"/>
      <c r="BX585" s="379"/>
      <c r="BY585" s="379"/>
      <c r="BZ585" s="379"/>
      <c r="CA585" s="281"/>
      <c r="CB585" s="3" t="str">
        <f t="shared" si="78"/>
        <v>Riadok bude vidieť.</v>
      </c>
      <c r="CC585" s="271" t="s">
        <v>832</v>
      </c>
      <c r="CW585" s="30">
        <f t="shared" ref="CW585:CW604" si="81">+IF(B585="",0,1)</f>
        <v>1</v>
      </c>
      <c r="CZ585" s="30">
        <f t="shared" si="75"/>
        <v>1</v>
      </c>
      <c r="DA585" s="30">
        <f t="shared" si="80"/>
        <v>1</v>
      </c>
      <c r="DB585" s="140">
        <f t="shared" si="77"/>
        <v>1</v>
      </c>
      <c r="DS585" s="130">
        <f>SI!BY585</f>
        <v>4</v>
      </c>
      <c r="DZ585" s="131">
        <f>SI!BZ585</f>
        <v>0</v>
      </c>
    </row>
    <row r="586" spans="1:130" x14ac:dyDescent="0.25">
      <c r="A586" s="141"/>
      <c r="B586" s="379" t="s">
        <v>75</v>
      </c>
      <c r="C586" s="379"/>
      <c r="D586" s="379"/>
      <c r="E586" s="379"/>
      <c r="F586" s="379"/>
      <c r="G586" s="379"/>
      <c r="H586" s="379"/>
      <c r="I586" s="379"/>
      <c r="J586" s="379"/>
      <c r="K586" s="379"/>
      <c r="L586" s="379"/>
      <c r="M586" s="379"/>
      <c r="N586" s="379"/>
      <c r="O586" s="379"/>
      <c r="P586" s="379"/>
      <c r="Q586" s="379"/>
      <c r="R586" s="379"/>
      <c r="S586" s="379"/>
      <c r="T586" s="379"/>
      <c r="U586" s="379"/>
      <c r="V586" s="379"/>
      <c r="W586" s="379"/>
      <c r="X586" s="379"/>
      <c r="Y586" s="379"/>
      <c r="Z586" s="379"/>
      <c r="AA586" s="379"/>
      <c r="AB586" s="379"/>
      <c r="AC586" s="379"/>
      <c r="AD586" s="379"/>
      <c r="AE586" s="379"/>
      <c r="AF586" s="379"/>
      <c r="AG586" s="379"/>
      <c r="AH586" s="379"/>
      <c r="AI586" s="379"/>
      <c r="AJ586" s="379"/>
      <c r="AK586" s="379"/>
      <c r="AL586" s="379"/>
      <c r="AM586" s="379"/>
      <c r="AN586" s="379"/>
      <c r="AO586" s="379"/>
      <c r="AP586" s="379"/>
      <c r="AQ586" s="379"/>
      <c r="AR586" s="379"/>
      <c r="AS586" s="379"/>
      <c r="AT586" s="379"/>
      <c r="AU586" s="379"/>
      <c r="AV586" s="379"/>
      <c r="AW586" s="379"/>
      <c r="AX586" s="379"/>
      <c r="AY586" s="379"/>
      <c r="AZ586" s="379"/>
      <c r="BA586" s="379"/>
      <c r="BB586" s="379"/>
      <c r="BC586" s="379"/>
      <c r="BD586" s="379"/>
      <c r="BE586" s="379"/>
      <c r="BF586" s="379"/>
      <c r="BG586" s="379"/>
      <c r="BH586" s="379"/>
      <c r="BI586" s="379"/>
      <c r="BJ586" s="379"/>
      <c r="BK586" s="379"/>
      <c r="BL586" s="379"/>
      <c r="BM586" s="379"/>
      <c r="BN586" s="379"/>
      <c r="BO586" s="379"/>
      <c r="BP586" s="379"/>
      <c r="BQ586" s="379"/>
      <c r="BR586" s="379"/>
      <c r="BS586" s="379"/>
      <c r="BT586" s="379"/>
      <c r="BU586" s="379"/>
      <c r="BV586" s="379"/>
      <c r="BW586" s="379"/>
      <c r="BX586" s="379"/>
      <c r="BY586" s="379"/>
      <c r="BZ586" s="379"/>
      <c r="CA586" s="281"/>
      <c r="CB586" s="3" t="str">
        <f t="shared" si="78"/>
        <v>Riadok bude vidieť.</v>
      </c>
      <c r="CC586" s="271" t="s">
        <v>832</v>
      </c>
      <c r="CW586" s="30">
        <f t="shared" si="81"/>
        <v>1</v>
      </c>
      <c r="CZ586" s="30">
        <f t="shared" si="75"/>
        <v>1</v>
      </c>
      <c r="DA586" s="30">
        <f t="shared" si="80"/>
        <v>1</v>
      </c>
      <c r="DB586" s="140">
        <f t="shared" si="77"/>
        <v>1</v>
      </c>
      <c r="DS586" s="130">
        <f>SI!BY586</f>
        <v>903</v>
      </c>
      <c r="DZ586" s="131">
        <f>SI!BZ586</f>
        <v>0</v>
      </c>
    </row>
    <row r="587" spans="1:130" hidden="1" x14ac:dyDescent="0.25">
      <c r="A587" s="141"/>
      <c r="B587" s="406"/>
      <c r="C587" s="406"/>
      <c r="D587" s="406"/>
      <c r="E587" s="406"/>
      <c r="F587" s="406"/>
      <c r="G587" s="406"/>
      <c r="H587" s="406"/>
      <c r="I587" s="406"/>
      <c r="J587" s="406"/>
      <c r="K587" s="406"/>
      <c r="L587" s="406"/>
      <c r="M587" s="406"/>
      <c r="N587" s="406"/>
      <c r="O587" s="406"/>
      <c r="P587" s="406"/>
      <c r="Q587" s="406"/>
      <c r="R587" s="406"/>
      <c r="S587" s="406"/>
      <c r="T587" s="406"/>
      <c r="U587" s="406"/>
      <c r="V587" s="406"/>
      <c r="W587" s="406"/>
      <c r="X587" s="406"/>
      <c r="Y587" s="406"/>
      <c r="Z587" s="406"/>
      <c r="AA587" s="406"/>
      <c r="AB587" s="406"/>
      <c r="AC587" s="406"/>
      <c r="AD587" s="406"/>
      <c r="AE587" s="406"/>
      <c r="AF587" s="406"/>
      <c r="AG587" s="406"/>
      <c r="AH587" s="406"/>
      <c r="AI587" s="406"/>
      <c r="AJ587" s="406"/>
      <c r="AK587" s="406"/>
      <c r="AL587" s="406"/>
      <c r="AM587" s="406"/>
      <c r="AN587" s="406"/>
      <c r="AO587" s="406"/>
      <c r="AP587" s="406"/>
      <c r="AQ587" s="406"/>
      <c r="AR587" s="406"/>
      <c r="AS587" s="406"/>
      <c r="AT587" s="406"/>
      <c r="AU587" s="406"/>
      <c r="AV587" s="406"/>
      <c r="AW587" s="406"/>
      <c r="AX587" s="406"/>
      <c r="AY587" s="406"/>
      <c r="AZ587" s="406"/>
      <c r="BA587" s="406"/>
      <c r="BB587" s="406"/>
      <c r="BC587" s="406"/>
      <c r="BD587" s="406"/>
      <c r="BE587" s="406"/>
      <c r="BF587" s="406"/>
      <c r="BG587" s="406"/>
      <c r="BH587" s="406"/>
      <c r="BI587" s="406"/>
      <c r="BJ587" s="406"/>
      <c r="BK587" s="406"/>
      <c r="BL587" s="406"/>
      <c r="BM587" s="406"/>
      <c r="BN587" s="406"/>
      <c r="BO587" s="406"/>
      <c r="BP587" s="406"/>
      <c r="BQ587" s="406"/>
      <c r="BR587" s="406"/>
      <c r="BS587" s="406"/>
      <c r="BT587" s="406"/>
      <c r="BU587" s="406"/>
      <c r="BV587" s="406"/>
      <c r="BW587" s="406"/>
      <c r="BX587" s="406"/>
      <c r="BY587" s="406"/>
      <c r="BZ587" s="406"/>
      <c r="CA587" s="281"/>
      <c r="CB587" s="3" t="str">
        <f t="shared" si="78"/>
        <v>Riadok bude skrytý.</v>
      </c>
      <c r="CC587" s="271" t="s">
        <v>832</v>
      </c>
      <c r="CW587" s="30">
        <f t="shared" si="81"/>
        <v>0</v>
      </c>
      <c r="CZ587" s="30">
        <f t="shared" si="75"/>
        <v>1</v>
      </c>
      <c r="DA587" s="30">
        <f t="shared" si="80"/>
        <v>0</v>
      </c>
      <c r="DB587" s="140">
        <f t="shared" si="77"/>
        <v>0</v>
      </c>
      <c r="DS587" s="130">
        <f>SI!BY587</f>
        <v>130</v>
      </c>
      <c r="DZ587" s="131">
        <f>SI!BZ587</f>
        <v>0</v>
      </c>
    </row>
    <row r="588" spans="1:130" hidden="1" x14ac:dyDescent="0.25">
      <c r="A588" s="141"/>
      <c r="B588" s="406"/>
      <c r="C588" s="406"/>
      <c r="D588" s="406"/>
      <c r="E588" s="406"/>
      <c r="F588" s="406"/>
      <c r="G588" s="406"/>
      <c r="H588" s="406"/>
      <c r="I588" s="406"/>
      <c r="J588" s="406"/>
      <c r="K588" s="406"/>
      <c r="L588" s="406"/>
      <c r="M588" s="406"/>
      <c r="N588" s="406"/>
      <c r="O588" s="406"/>
      <c r="P588" s="406"/>
      <c r="Q588" s="406"/>
      <c r="R588" s="406"/>
      <c r="S588" s="406"/>
      <c r="T588" s="406"/>
      <c r="U588" s="406"/>
      <c r="V588" s="406"/>
      <c r="W588" s="406"/>
      <c r="X588" s="406"/>
      <c r="Y588" s="406"/>
      <c r="Z588" s="406"/>
      <c r="AA588" s="406"/>
      <c r="AB588" s="406"/>
      <c r="AC588" s="406"/>
      <c r="AD588" s="406"/>
      <c r="AE588" s="406"/>
      <c r="AF588" s="406"/>
      <c r="AG588" s="406"/>
      <c r="AH588" s="406"/>
      <c r="AI588" s="406"/>
      <c r="AJ588" s="406"/>
      <c r="AK588" s="406"/>
      <c r="AL588" s="406"/>
      <c r="AM588" s="406"/>
      <c r="AN588" s="406"/>
      <c r="AO588" s="406"/>
      <c r="AP588" s="406"/>
      <c r="AQ588" s="406"/>
      <c r="AR588" s="406"/>
      <c r="AS588" s="406"/>
      <c r="AT588" s="406"/>
      <c r="AU588" s="406"/>
      <c r="AV588" s="406"/>
      <c r="AW588" s="406"/>
      <c r="AX588" s="406"/>
      <c r="AY588" s="406"/>
      <c r="AZ588" s="406"/>
      <c r="BA588" s="406"/>
      <c r="BB588" s="406"/>
      <c r="BC588" s="406"/>
      <c r="BD588" s="406"/>
      <c r="BE588" s="406"/>
      <c r="BF588" s="406"/>
      <c r="BG588" s="406"/>
      <c r="BH588" s="406"/>
      <c r="BI588" s="406"/>
      <c r="BJ588" s="406"/>
      <c r="BK588" s="406"/>
      <c r="BL588" s="406"/>
      <c r="BM588" s="406"/>
      <c r="BN588" s="406"/>
      <c r="BO588" s="406"/>
      <c r="BP588" s="406"/>
      <c r="BQ588" s="406"/>
      <c r="BR588" s="406"/>
      <c r="BS588" s="406"/>
      <c r="BT588" s="406"/>
      <c r="BU588" s="406"/>
      <c r="BV588" s="406"/>
      <c r="BW588" s="406"/>
      <c r="BX588" s="406"/>
      <c r="BY588" s="406"/>
      <c r="BZ588" s="406"/>
      <c r="CA588" s="281"/>
      <c r="CB588" s="3" t="str">
        <f t="shared" si="78"/>
        <v>Riadok bude skrytý.</v>
      </c>
      <c r="CC588" s="271" t="s">
        <v>832</v>
      </c>
      <c r="CW588" s="30">
        <f t="shared" si="81"/>
        <v>0</v>
      </c>
      <c r="CZ588" s="30">
        <f t="shared" si="75"/>
        <v>1</v>
      </c>
      <c r="DA588" s="30">
        <f t="shared" si="80"/>
        <v>0</v>
      </c>
      <c r="DB588" s="140">
        <f t="shared" si="77"/>
        <v>0</v>
      </c>
      <c r="DS588" s="130">
        <f>SI!BY588</f>
        <v>832</v>
      </c>
      <c r="DZ588" s="131">
        <f>SI!BZ588</f>
        <v>0</v>
      </c>
    </row>
    <row r="589" spans="1:130" hidden="1" x14ac:dyDescent="0.25">
      <c r="A589" s="141"/>
      <c r="B589" s="406"/>
      <c r="C589" s="406"/>
      <c r="D589" s="406"/>
      <c r="E589" s="406"/>
      <c r="F589" s="406"/>
      <c r="G589" s="406"/>
      <c r="H589" s="406"/>
      <c r="I589" s="406"/>
      <c r="J589" s="406"/>
      <c r="K589" s="406"/>
      <c r="L589" s="406"/>
      <c r="M589" s="406"/>
      <c r="N589" s="406"/>
      <c r="O589" s="406"/>
      <c r="P589" s="406"/>
      <c r="Q589" s="406"/>
      <c r="R589" s="406"/>
      <c r="S589" s="406"/>
      <c r="T589" s="406"/>
      <c r="U589" s="406"/>
      <c r="V589" s="406"/>
      <c r="W589" s="406"/>
      <c r="X589" s="406"/>
      <c r="Y589" s="406"/>
      <c r="Z589" s="406"/>
      <c r="AA589" s="406"/>
      <c r="AB589" s="406"/>
      <c r="AC589" s="406"/>
      <c r="AD589" s="406"/>
      <c r="AE589" s="406"/>
      <c r="AF589" s="406"/>
      <c r="AG589" s="406"/>
      <c r="AH589" s="406"/>
      <c r="AI589" s="406"/>
      <c r="AJ589" s="406"/>
      <c r="AK589" s="406"/>
      <c r="AL589" s="406"/>
      <c r="AM589" s="406"/>
      <c r="AN589" s="406"/>
      <c r="AO589" s="406"/>
      <c r="AP589" s="406"/>
      <c r="AQ589" s="406"/>
      <c r="AR589" s="406"/>
      <c r="AS589" s="406"/>
      <c r="AT589" s="406"/>
      <c r="AU589" s="406"/>
      <c r="AV589" s="406"/>
      <c r="AW589" s="406"/>
      <c r="AX589" s="406"/>
      <c r="AY589" s="406"/>
      <c r="AZ589" s="406"/>
      <c r="BA589" s="406"/>
      <c r="BB589" s="406"/>
      <c r="BC589" s="406"/>
      <c r="BD589" s="406"/>
      <c r="BE589" s="406"/>
      <c r="BF589" s="406"/>
      <c r="BG589" s="406"/>
      <c r="BH589" s="406"/>
      <c r="BI589" s="406"/>
      <c r="BJ589" s="406"/>
      <c r="BK589" s="406"/>
      <c r="BL589" s="406"/>
      <c r="BM589" s="406"/>
      <c r="BN589" s="406"/>
      <c r="BO589" s="406"/>
      <c r="BP589" s="406"/>
      <c r="BQ589" s="406"/>
      <c r="BR589" s="406"/>
      <c r="BS589" s="406"/>
      <c r="BT589" s="406"/>
      <c r="BU589" s="406"/>
      <c r="BV589" s="406"/>
      <c r="BW589" s="406"/>
      <c r="BX589" s="406"/>
      <c r="BY589" s="406"/>
      <c r="BZ589" s="406"/>
      <c r="CA589" s="281"/>
      <c r="CB589" s="3" t="str">
        <f t="shared" si="78"/>
        <v>Riadok bude skrytý.</v>
      </c>
      <c r="CC589" s="271" t="s">
        <v>832</v>
      </c>
      <c r="CW589" s="30">
        <f t="shared" si="81"/>
        <v>0</v>
      </c>
      <c r="CZ589" s="30">
        <f t="shared" si="75"/>
        <v>1</v>
      </c>
      <c r="DA589" s="30">
        <f t="shared" si="80"/>
        <v>0</v>
      </c>
      <c r="DB589" s="140">
        <f t="shared" si="77"/>
        <v>0</v>
      </c>
      <c r="DS589" s="130">
        <f>SI!BY589</f>
        <v>140</v>
      </c>
      <c r="DZ589" s="131">
        <f>SI!BZ589</f>
        <v>0</v>
      </c>
    </row>
    <row r="590" spans="1:130" hidden="1" x14ac:dyDescent="0.25">
      <c r="A590" s="141"/>
      <c r="B590" s="406"/>
      <c r="C590" s="406"/>
      <c r="D590" s="406"/>
      <c r="E590" s="406"/>
      <c r="F590" s="406"/>
      <c r="G590" s="406"/>
      <c r="H590" s="406"/>
      <c r="I590" s="406"/>
      <c r="J590" s="406"/>
      <c r="K590" s="406"/>
      <c r="L590" s="406"/>
      <c r="M590" s="406"/>
      <c r="N590" s="406"/>
      <c r="O590" s="406"/>
      <c r="P590" s="406"/>
      <c r="Q590" s="406"/>
      <c r="R590" s="406"/>
      <c r="S590" s="406"/>
      <c r="T590" s="406"/>
      <c r="U590" s="406"/>
      <c r="V590" s="406"/>
      <c r="W590" s="406"/>
      <c r="X590" s="406"/>
      <c r="Y590" s="406"/>
      <c r="Z590" s="406"/>
      <c r="AA590" s="406"/>
      <c r="AB590" s="406"/>
      <c r="AC590" s="406"/>
      <c r="AD590" s="406"/>
      <c r="AE590" s="406"/>
      <c r="AF590" s="406"/>
      <c r="AG590" s="406"/>
      <c r="AH590" s="406"/>
      <c r="AI590" s="406"/>
      <c r="AJ590" s="406"/>
      <c r="AK590" s="406"/>
      <c r="AL590" s="406"/>
      <c r="AM590" s="406"/>
      <c r="AN590" s="406"/>
      <c r="AO590" s="406"/>
      <c r="AP590" s="406"/>
      <c r="AQ590" s="406"/>
      <c r="AR590" s="406"/>
      <c r="AS590" s="406"/>
      <c r="AT590" s="406"/>
      <c r="AU590" s="406"/>
      <c r="AV590" s="406"/>
      <c r="AW590" s="406"/>
      <c r="AX590" s="406"/>
      <c r="AY590" s="406"/>
      <c r="AZ590" s="406"/>
      <c r="BA590" s="406"/>
      <c r="BB590" s="406"/>
      <c r="BC590" s="406"/>
      <c r="BD590" s="406"/>
      <c r="BE590" s="406"/>
      <c r="BF590" s="406"/>
      <c r="BG590" s="406"/>
      <c r="BH590" s="406"/>
      <c r="BI590" s="406"/>
      <c r="BJ590" s="406"/>
      <c r="BK590" s="406"/>
      <c r="BL590" s="406"/>
      <c r="BM590" s="406"/>
      <c r="BN590" s="406"/>
      <c r="BO590" s="406"/>
      <c r="BP590" s="406"/>
      <c r="BQ590" s="406"/>
      <c r="BR590" s="406"/>
      <c r="BS590" s="406"/>
      <c r="BT590" s="406"/>
      <c r="BU590" s="406"/>
      <c r="BV590" s="406"/>
      <c r="BW590" s="406"/>
      <c r="BX590" s="406"/>
      <c r="BY590" s="406"/>
      <c r="BZ590" s="406"/>
      <c r="CA590" s="281"/>
      <c r="CB590" s="3" t="str">
        <f t="shared" si="78"/>
        <v>Riadok bude skrytý.</v>
      </c>
      <c r="CC590" s="271" t="s">
        <v>832</v>
      </c>
      <c r="CW590" s="30">
        <f t="shared" si="81"/>
        <v>0</v>
      </c>
      <c r="CZ590" s="30">
        <f t="shared" si="75"/>
        <v>1</v>
      </c>
      <c r="DA590" s="30">
        <f t="shared" si="80"/>
        <v>0</v>
      </c>
      <c r="DB590" s="140">
        <f t="shared" si="77"/>
        <v>0</v>
      </c>
      <c r="DS590" s="130">
        <f>SI!BY590</f>
        <v>819</v>
      </c>
      <c r="DZ590" s="131">
        <f>SI!BZ590</f>
        <v>0</v>
      </c>
    </row>
    <row r="591" spans="1:130" hidden="1" x14ac:dyDescent="0.25">
      <c r="A591" s="141"/>
      <c r="B591" s="406"/>
      <c r="C591" s="406"/>
      <c r="D591" s="406"/>
      <c r="E591" s="406"/>
      <c r="F591" s="406"/>
      <c r="G591" s="406"/>
      <c r="H591" s="406"/>
      <c r="I591" s="406"/>
      <c r="J591" s="406"/>
      <c r="K591" s="406"/>
      <c r="L591" s="406"/>
      <c r="M591" s="406"/>
      <c r="N591" s="406"/>
      <c r="O591" s="406"/>
      <c r="P591" s="406"/>
      <c r="Q591" s="406"/>
      <c r="R591" s="406"/>
      <c r="S591" s="406"/>
      <c r="T591" s="406"/>
      <c r="U591" s="406"/>
      <c r="V591" s="406"/>
      <c r="W591" s="406"/>
      <c r="X591" s="406"/>
      <c r="Y591" s="406"/>
      <c r="Z591" s="406"/>
      <c r="AA591" s="406"/>
      <c r="AB591" s="406"/>
      <c r="AC591" s="406"/>
      <c r="AD591" s="406"/>
      <c r="AE591" s="406"/>
      <c r="AF591" s="406"/>
      <c r="AG591" s="406"/>
      <c r="AH591" s="406"/>
      <c r="AI591" s="406"/>
      <c r="AJ591" s="406"/>
      <c r="AK591" s="406"/>
      <c r="AL591" s="406"/>
      <c r="AM591" s="406"/>
      <c r="AN591" s="406"/>
      <c r="AO591" s="406"/>
      <c r="AP591" s="406"/>
      <c r="AQ591" s="406"/>
      <c r="AR591" s="406"/>
      <c r="AS591" s="406"/>
      <c r="AT591" s="406"/>
      <c r="AU591" s="406"/>
      <c r="AV591" s="406"/>
      <c r="AW591" s="406"/>
      <c r="AX591" s="406"/>
      <c r="AY591" s="406"/>
      <c r="AZ591" s="406"/>
      <c r="BA591" s="406"/>
      <c r="BB591" s="406"/>
      <c r="BC591" s="406"/>
      <c r="BD591" s="406"/>
      <c r="BE591" s="406"/>
      <c r="BF591" s="406"/>
      <c r="BG591" s="406"/>
      <c r="BH591" s="406"/>
      <c r="BI591" s="406"/>
      <c r="BJ591" s="406"/>
      <c r="BK591" s="406"/>
      <c r="BL591" s="406"/>
      <c r="BM591" s="406"/>
      <c r="BN591" s="406"/>
      <c r="BO591" s="406"/>
      <c r="BP591" s="406"/>
      <c r="BQ591" s="406"/>
      <c r="BR591" s="406"/>
      <c r="BS591" s="406"/>
      <c r="BT591" s="406"/>
      <c r="BU591" s="406"/>
      <c r="BV591" s="406"/>
      <c r="BW591" s="406"/>
      <c r="BX591" s="406"/>
      <c r="BY591" s="406"/>
      <c r="BZ591" s="406"/>
      <c r="CA591" s="281"/>
      <c r="CB591" s="3" t="str">
        <f t="shared" si="78"/>
        <v>Riadok bude skrytý.</v>
      </c>
      <c r="CC591" s="271" t="s">
        <v>832</v>
      </c>
      <c r="CW591" s="30">
        <f t="shared" si="81"/>
        <v>0</v>
      </c>
      <c r="CZ591" s="30">
        <f t="shared" si="75"/>
        <v>1</v>
      </c>
      <c r="DA591" s="30">
        <f t="shared" si="80"/>
        <v>0</v>
      </c>
      <c r="DB591" s="140">
        <f t="shared" si="77"/>
        <v>0</v>
      </c>
      <c r="DS591" s="130">
        <f>SI!BY591</f>
        <v>197</v>
      </c>
      <c r="DZ591" s="131">
        <f>SI!BZ591</f>
        <v>0</v>
      </c>
    </row>
    <row r="592" spans="1:130" hidden="1" x14ac:dyDescent="0.25">
      <c r="A592" s="141"/>
      <c r="B592" s="406"/>
      <c r="C592" s="406"/>
      <c r="D592" s="406"/>
      <c r="E592" s="406"/>
      <c r="F592" s="406"/>
      <c r="G592" s="406"/>
      <c r="H592" s="406"/>
      <c r="I592" s="406"/>
      <c r="J592" s="406"/>
      <c r="K592" s="406"/>
      <c r="L592" s="406"/>
      <c r="M592" s="406"/>
      <c r="N592" s="406"/>
      <c r="O592" s="406"/>
      <c r="P592" s="406"/>
      <c r="Q592" s="406"/>
      <c r="R592" s="406"/>
      <c r="S592" s="406"/>
      <c r="T592" s="406"/>
      <c r="U592" s="406"/>
      <c r="V592" s="406"/>
      <c r="W592" s="406"/>
      <c r="X592" s="406"/>
      <c r="Y592" s="406"/>
      <c r="Z592" s="406"/>
      <c r="AA592" s="406"/>
      <c r="AB592" s="406"/>
      <c r="AC592" s="406"/>
      <c r="AD592" s="406"/>
      <c r="AE592" s="406"/>
      <c r="AF592" s="406"/>
      <c r="AG592" s="406"/>
      <c r="AH592" s="406"/>
      <c r="AI592" s="406"/>
      <c r="AJ592" s="406"/>
      <c r="AK592" s="406"/>
      <c r="AL592" s="406"/>
      <c r="AM592" s="406"/>
      <c r="AN592" s="406"/>
      <c r="AO592" s="406"/>
      <c r="AP592" s="406"/>
      <c r="AQ592" s="406"/>
      <c r="AR592" s="406"/>
      <c r="AS592" s="406"/>
      <c r="AT592" s="406"/>
      <c r="AU592" s="406"/>
      <c r="AV592" s="406"/>
      <c r="AW592" s="406"/>
      <c r="AX592" s="406"/>
      <c r="AY592" s="406"/>
      <c r="AZ592" s="406"/>
      <c r="BA592" s="406"/>
      <c r="BB592" s="406"/>
      <c r="BC592" s="406"/>
      <c r="BD592" s="406"/>
      <c r="BE592" s="406"/>
      <c r="BF592" s="406"/>
      <c r="BG592" s="406"/>
      <c r="BH592" s="406"/>
      <c r="BI592" s="406"/>
      <c r="BJ592" s="406"/>
      <c r="BK592" s="406"/>
      <c r="BL592" s="406"/>
      <c r="BM592" s="406"/>
      <c r="BN592" s="406"/>
      <c r="BO592" s="406"/>
      <c r="BP592" s="406"/>
      <c r="BQ592" s="406"/>
      <c r="BR592" s="406"/>
      <c r="BS592" s="406"/>
      <c r="BT592" s="406"/>
      <c r="BU592" s="406"/>
      <c r="BV592" s="406"/>
      <c r="BW592" s="406"/>
      <c r="BX592" s="406"/>
      <c r="BY592" s="406"/>
      <c r="BZ592" s="406"/>
      <c r="CA592" s="281"/>
      <c r="CB592" s="3" t="str">
        <f t="shared" si="78"/>
        <v>Riadok bude skrytý.</v>
      </c>
      <c r="CC592" s="271" t="s">
        <v>832</v>
      </c>
      <c r="CW592" s="30">
        <f t="shared" si="81"/>
        <v>0</v>
      </c>
      <c r="CZ592" s="30">
        <f t="shared" si="75"/>
        <v>1</v>
      </c>
      <c r="DA592" s="30">
        <f t="shared" si="80"/>
        <v>0</v>
      </c>
      <c r="DB592" s="140">
        <f t="shared" si="77"/>
        <v>0</v>
      </c>
      <c r="DS592" s="130">
        <f>SI!BY592</f>
        <v>155</v>
      </c>
      <c r="DZ592" s="131">
        <f>SI!BZ592</f>
        <v>0</v>
      </c>
    </row>
    <row r="593" spans="1:130" hidden="1" x14ac:dyDescent="0.25">
      <c r="A593" s="141"/>
      <c r="B593" s="406"/>
      <c r="C593" s="406"/>
      <c r="D593" s="406"/>
      <c r="E593" s="406"/>
      <c r="F593" s="406"/>
      <c r="G593" s="406"/>
      <c r="H593" s="406"/>
      <c r="I593" s="406"/>
      <c r="J593" s="406"/>
      <c r="K593" s="406"/>
      <c r="L593" s="406"/>
      <c r="M593" s="406"/>
      <c r="N593" s="406"/>
      <c r="O593" s="406"/>
      <c r="P593" s="406"/>
      <c r="Q593" s="406"/>
      <c r="R593" s="406"/>
      <c r="S593" s="406"/>
      <c r="T593" s="406"/>
      <c r="U593" s="406"/>
      <c r="V593" s="406"/>
      <c r="W593" s="406"/>
      <c r="X593" s="406"/>
      <c r="Y593" s="406"/>
      <c r="Z593" s="406"/>
      <c r="AA593" s="406"/>
      <c r="AB593" s="406"/>
      <c r="AC593" s="406"/>
      <c r="AD593" s="406"/>
      <c r="AE593" s="406"/>
      <c r="AF593" s="406"/>
      <c r="AG593" s="406"/>
      <c r="AH593" s="406"/>
      <c r="AI593" s="406"/>
      <c r="AJ593" s="406"/>
      <c r="AK593" s="406"/>
      <c r="AL593" s="406"/>
      <c r="AM593" s="406"/>
      <c r="AN593" s="406"/>
      <c r="AO593" s="406"/>
      <c r="AP593" s="406"/>
      <c r="AQ593" s="406"/>
      <c r="AR593" s="406"/>
      <c r="AS593" s="406"/>
      <c r="AT593" s="406"/>
      <c r="AU593" s="406"/>
      <c r="AV593" s="406"/>
      <c r="AW593" s="406"/>
      <c r="AX593" s="406"/>
      <c r="AY593" s="406"/>
      <c r="AZ593" s="406"/>
      <c r="BA593" s="406"/>
      <c r="BB593" s="406"/>
      <c r="BC593" s="406"/>
      <c r="BD593" s="406"/>
      <c r="BE593" s="406"/>
      <c r="BF593" s="406"/>
      <c r="BG593" s="406"/>
      <c r="BH593" s="406"/>
      <c r="BI593" s="406"/>
      <c r="BJ593" s="406"/>
      <c r="BK593" s="406"/>
      <c r="BL593" s="406"/>
      <c r="BM593" s="406"/>
      <c r="BN593" s="406"/>
      <c r="BO593" s="406"/>
      <c r="BP593" s="406"/>
      <c r="BQ593" s="406"/>
      <c r="BR593" s="406"/>
      <c r="BS593" s="406"/>
      <c r="BT593" s="406"/>
      <c r="BU593" s="406"/>
      <c r="BV593" s="406"/>
      <c r="BW593" s="406"/>
      <c r="BX593" s="406"/>
      <c r="BY593" s="406"/>
      <c r="BZ593" s="406"/>
      <c r="CA593" s="281"/>
      <c r="CB593" s="3" t="str">
        <f t="shared" si="78"/>
        <v>Riadok bude skrytý.</v>
      </c>
      <c r="CC593" s="271" t="s">
        <v>832</v>
      </c>
      <c r="CW593" s="30">
        <f t="shared" si="81"/>
        <v>0</v>
      </c>
      <c r="CZ593" s="30">
        <f t="shared" si="75"/>
        <v>1</v>
      </c>
      <c r="DA593" s="30">
        <f t="shared" si="80"/>
        <v>0</v>
      </c>
      <c r="DB593" s="140">
        <f t="shared" si="77"/>
        <v>0</v>
      </c>
      <c r="DS593" s="130">
        <f>SI!BY593</f>
        <v>178</v>
      </c>
      <c r="DZ593" s="131">
        <f>SI!BZ593</f>
        <v>0</v>
      </c>
    </row>
    <row r="594" spans="1:130" hidden="1" x14ac:dyDescent="0.25">
      <c r="A594" s="141"/>
      <c r="B594" s="406"/>
      <c r="C594" s="406"/>
      <c r="D594" s="406"/>
      <c r="E594" s="406"/>
      <c r="F594" s="406"/>
      <c r="G594" s="406"/>
      <c r="H594" s="406"/>
      <c r="I594" s="406"/>
      <c r="J594" s="406"/>
      <c r="K594" s="406"/>
      <c r="L594" s="406"/>
      <c r="M594" s="406"/>
      <c r="N594" s="406"/>
      <c r="O594" s="406"/>
      <c r="P594" s="406"/>
      <c r="Q594" s="406"/>
      <c r="R594" s="406"/>
      <c r="S594" s="406"/>
      <c r="T594" s="406"/>
      <c r="U594" s="406"/>
      <c r="V594" s="406"/>
      <c r="W594" s="406"/>
      <c r="X594" s="406"/>
      <c r="Y594" s="406"/>
      <c r="Z594" s="406"/>
      <c r="AA594" s="406"/>
      <c r="AB594" s="406"/>
      <c r="AC594" s="406"/>
      <c r="AD594" s="406"/>
      <c r="AE594" s="406"/>
      <c r="AF594" s="406"/>
      <c r="AG594" s="406"/>
      <c r="AH594" s="406"/>
      <c r="AI594" s="406"/>
      <c r="AJ594" s="406"/>
      <c r="AK594" s="406"/>
      <c r="AL594" s="406"/>
      <c r="AM594" s="406"/>
      <c r="AN594" s="406"/>
      <c r="AO594" s="406"/>
      <c r="AP594" s="406"/>
      <c r="AQ594" s="406"/>
      <c r="AR594" s="406"/>
      <c r="AS594" s="406"/>
      <c r="AT594" s="406"/>
      <c r="AU594" s="406"/>
      <c r="AV594" s="406"/>
      <c r="AW594" s="406"/>
      <c r="AX594" s="406"/>
      <c r="AY594" s="406"/>
      <c r="AZ594" s="406"/>
      <c r="BA594" s="406"/>
      <c r="BB594" s="406"/>
      <c r="BC594" s="406"/>
      <c r="BD594" s="406"/>
      <c r="BE594" s="406"/>
      <c r="BF594" s="406"/>
      <c r="BG594" s="406"/>
      <c r="BH594" s="406"/>
      <c r="BI594" s="406"/>
      <c r="BJ594" s="406"/>
      <c r="BK594" s="406"/>
      <c r="BL594" s="406"/>
      <c r="BM594" s="406"/>
      <c r="BN594" s="406"/>
      <c r="BO594" s="406"/>
      <c r="BP594" s="406"/>
      <c r="BQ594" s="406"/>
      <c r="BR594" s="406"/>
      <c r="BS594" s="406"/>
      <c r="BT594" s="406"/>
      <c r="BU594" s="406"/>
      <c r="BV594" s="406"/>
      <c r="BW594" s="406"/>
      <c r="BX594" s="406"/>
      <c r="BY594" s="406"/>
      <c r="BZ594" s="406"/>
      <c r="CA594" s="281"/>
      <c r="CB594" s="3" t="str">
        <f t="shared" si="78"/>
        <v>Riadok bude skrytý.</v>
      </c>
      <c r="CC594" s="271" t="s">
        <v>832</v>
      </c>
      <c r="CW594" s="30">
        <f t="shared" si="81"/>
        <v>0</v>
      </c>
      <c r="CZ594" s="30">
        <f t="shared" si="75"/>
        <v>1</v>
      </c>
      <c r="DA594" s="30">
        <f t="shared" si="80"/>
        <v>0</v>
      </c>
      <c r="DB594" s="140">
        <f t="shared" si="77"/>
        <v>0</v>
      </c>
      <c r="DS594" s="130">
        <f>SI!BY594</f>
        <v>284</v>
      </c>
      <c r="DZ594" s="131">
        <f>SI!BZ594</f>
        <v>0</v>
      </c>
    </row>
    <row r="595" spans="1:130" hidden="1" x14ac:dyDescent="0.25">
      <c r="A595" s="141"/>
      <c r="B595" s="406"/>
      <c r="C595" s="406"/>
      <c r="D595" s="406"/>
      <c r="E595" s="406"/>
      <c r="F595" s="406"/>
      <c r="G595" s="406"/>
      <c r="H595" s="406"/>
      <c r="I595" s="406"/>
      <c r="J595" s="406"/>
      <c r="K595" s="406"/>
      <c r="L595" s="406"/>
      <c r="M595" s="406"/>
      <c r="N595" s="406"/>
      <c r="O595" s="406"/>
      <c r="P595" s="406"/>
      <c r="Q595" s="406"/>
      <c r="R595" s="406"/>
      <c r="S595" s="406"/>
      <c r="T595" s="406"/>
      <c r="U595" s="406"/>
      <c r="V595" s="406"/>
      <c r="W595" s="406"/>
      <c r="X595" s="406"/>
      <c r="Y595" s="406"/>
      <c r="Z595" s="406"/>
      <c r="AA595" s="406"/>
      <c r="AB595" s="406"/>
      <c r="AC595" s="406"/>
      <c r="AD595" s="406"/>
      <c r="AE595" s="406"/>
      <c r="AF595" s="406"/>
      <c r="AG595" s="406"/>
      <c r="AH595" s="406"/>
      <c r="AI595" s="406"/>
      <c r="AJ595" s="406"/>
      <c r="AK595" s="406"/>
      <c r="AL595" s="406"/>
      <c r="AM595" s="406"/>
      <c r="AN595" s="406"/>
      <c r="AO595" s="406"/>
      <c r="AP595" s="406"/>
      <c r="AQ595" s="406"/>
      <c r="AR595" s="406"/>
      <c r="AS595" s="406"/>
      <c r="AT595" s="406"/>
      <c r="AU595" s="406"/>
      <c r="AV595" s="406"/>
      <c r="AW595" s="406"/>
      <c r="AX595" s="406"/>
      <c r="AY595" s="406"/>
      <c r="AZ595" s="406"/>
      <c r="BA595" s="406"/>
      <c r="BB595" s="406"/>
      <c r="BC595" s="406"/>
      <c r="BD595" s="406"/>
      <c r="BE595" s="406"/>
      <c r="BF595" s="406"/>
      <c r="BG595" s="406"/>
      <c r="BH595" s="406"/>
      <c r="BI595" s="406"/>
      <c r="BJ595" s="406"/>
      <c r="BK595" s="406"/>
      <c r="BL595" s="406"/>
      <c r="BM595" s="406"/>
      <c r="BN595" s="406"/>
      <c r="BO595" s="406"/>
      <c r="BP595" s="406"/>
      <c r="BQ595" s="406"/>
      <c r="BR595" s="406"/>
      <c r="BS595" s="406"/>
      <c r="BT595" s="406"/>
      <c r="BU595" s="406"/>
      <c r="BV595" s="406"/>
      <c r="BW595" s="406"/>
      <c r="BX595" s="406"/>
      <c r="BY595" s="406"/>
      <c r="BZ595" s="406"/>
      <c r="CA595" s="281"/>
      <c r="CB595" s="3" t="str">
        <f t="shared" si="78"/>
        <v>Riadok bude skrytý.</v>
      </c>
      <c r="CC595" s="271" t="s">
        <v>832</v>
      </c>
      <c r="CW595" s="30">
        <f t="shared" si="81"/>
        <v>0</v>
      </c>
      <c r="CZ595" s="30">
        <f t="shared" si="75"/>
        <v>1</v>
      </c>
      <c r="DA595" s="30">
        <f t="shared" si="80"/>
        <v>0</v>
      </c>
      <c r="DB595" s="140">
        <f t="shared" si="77"/>
        <v>0</v>
      </c>
      <c r="DS595" s="130">
        <f>SI!BY595</f>
        <v>159</v>
      </c>
      <c r="DZ595" s="131">
        <f>SI!BZ595</f>
        <v>0</v>
      </c>
    </row>
    <row r="596" spans="1:130" hidden="1" x14ac:dyDescent="0.25">
      <c r="A596" s="141"/>
      <c r="B596" s="406"/>
      <c r="C596" s="406"/>
      <c r="D596" s="406"/>
      <c r="E596" s="406"/>
      <c r="F596" s="406"/>
      <c r="G596" s="406"/>
      <c r="H596" s="406"/>
      <c r="I596" s="406"/>
      <c r="J596" s="406"/>
      <c r="K596" s="406"/>
      <c r="L596" s="406"/>
      <c r="M596" s="406"/>
      <c r="N596" s="406"/>
      <c r="O596" s="406"/>
      <c r="P596" s="406"/>
      <c r="Q596" s="406"/>
      <c r="R596" s="406"/>
      <c r="S596" s="406"/>
      <c r="T596" s="406"/>
      <c r="U596" s="406"/>
      <c r="V596" s="406"/>
      <c r="W596" s="406"/>
      <c r="X596" s="406"/>
      <c r="Y596" s="406"/>
      <c r="Z596" s="406"/>
      <c r="AA596" s="406"/>
      <c r="AB596" s="406"/>
      <c r="AC596" s="406"/>
      <c r="AD596" s="406"/>
      <c r="AE596" s="406"/>
      <c r="AF596" s="406"/>
      <c r="AG596" s="406"/>
      <c r="AH596" s="406"/>
      <c r="AI596" s="406"/>
      <c r="AJ596" s="406"/>
      <c r="AK596" s="406"/>
      <c r="AL596" s="406"/>
      <c r="AM596" s="406"/>
      <c r="AN596" s="406"/>
      <c r="AO596" s="406"/>
      <c r="AP596" s="406"/>
      <c r="AQ596" s="406"/>
      <c r="AR596" s="406"/>
      <c r="AS596" s="406"/>
      <c r="AT596" s="406"/>
      <c r="AU596" s="406"/>
      <c r="AV596" s="406"/>
      <c r="AW596" s="406"/>
      <c r="AX596" s="406"/>
      <c r="AY596" s="406"/>
      <c r="AZ596" s="406"/>
      <c r="BA596" s="406"/>
      <c r="BB596" s="406"/>
      <c r="BC596" s="406"/>
      <c r="BD596" s="406"/>
      <c r="BE596" s="406"/>
      <c r="BF596" s="406"/>
      <c r="BG596" s="406"/>
      <c r="BH596" s="406"/>
      <c r="BI596" s="406"/>
      <c r="BJ596" s="406"/>
      <c r="BK596" s="406"/>
      <c r="BL596" s="406"/>
      <c r="BM596" s="406"/>
      <c r="BN596" s="406"/>
      <c r="BO596" s="406"/>
      <c r="BP596" s="406"/>
      <c r="BQ596" s="406"/>
      <c r="BR596" s="406"/>
      <c r="BS596" s="406"/>
      <c r="BT596" s="406"/>
      <c r="BU596" s="406"/>
      <c r="BV596" s="406"/>
      <c r="BW596" s="406"/>
      <c r="BX596" s="406"/>
      <c r="BY596" s="406"/>
      <c r="BZ596" s="406"/>
      <c r="CA596" s="281"/>
      <c r="CB596" s="3" t="str">
        <f t="shared" si="78"/>
        <v>Riadok bude skrytý.</v>
      </c>
      <c r="CC596" s="271" t="s">
        <v>832</v>
      </c>
      <c r="CW596" s="30">
        <f t="shared" si="81"/>
        <v>0</v>
      </c>
      <c r="CZ596" s="30">
        <f t="shared" ref="CZ596:CZ659" si="82">IF(CC596="",1,IF(CC596="Chcem skryť riadok.",0,1))</f>
        <v>1</v>
      </c>
      <c r="DA596" s="30">
        <f t="shared" si="80"/>
        <v>0</v>
      </c>
      <c r="DB596" s="140">
        <f t="shared" si="77"/>
        <v>0</v>
      </c>
      <c r="DS596" s="130">
        <f>SI!BY596</f>
        <v>132</v>
      </c>
      <c r="DZ596" s="131">
        <f>SI!BZ596</f>
        <v>0</v>
      </c>
    </row>
    <row r="597" spans="1:130" hidden="1" x14ac:dyDescent="0.25">
      <c r="A597" s="141"/>
      <c r="B597" s="406"/>
      <c r="C597" s="406"/>
      <c r="D597" s="406"/>
      <c r="E597" s="406"/>
      <c r="F597" s="406"/>
      <c r="G597" s="406"/>
      <c r="H597" s="406"/>
      <c r="I597" s="406"/>
      <c r="J597" s="406"/>
      <c r="K597" s="406"/>
      <c r="L597" s="406"/>
      <c r="M597" s="406"/>
      <c r="N597" s="406"/>
      <c r="O597" s="406"/>
      <c r="P597" s="406"/>
      <c r="Q597" s="406"/>
      <c r="R597" s="406"/>
      <c r="S597" s="406"/>
      <c r="T597" s="406"/>
      <c r="U597" s="406"/>
      <c r="V597" s="406"/>
      <c r="W597" s="406"/>
      <c r="X597" s="406"/>
      <c r="Y597" s="406"/>
      <c r="Z597" s="406"/>
      <c r="AA597" s="406"/>
      <c r="AB597" s="406"/>
      <c r="AC597" s="406"/>
      <c r="AD597" s="406"/>
      <c r="AE597" s="406"/>
      <c r="AF597" s="406"/>
      <c r="AG597" s="406"/>
      <c r="AH597" s="406"/>
      <c r="AI597" s="406"/>
      <c r="AJ597" s="406"/>
      <c r="AK597" s="406"/>
      <c r="AL597" s="406"/>
      <c r="AM597" s="406"/>
      <c r="AN597" s="406"/>
      <c r="AO597" s="406"/>
      <c r="AP597" s="406"/>
      <c r="AQ597" s="406"/>
      <c r="AR597" s="406"/>
      <c r="AS597" s="406"/>
      <c r="AT597" s="406"/>
      <c r="AU597" s="406"/>
      <c r="AV597" s="406"/>
      <c r="AW597" s="406"/>
      <c r="AX597" s="406"/>
      <c r="AY597" s="406"/>
      <c r="AZ597" s="406"/>
      <c r="BA597" s="406"/>
      <c r="BB597" s="406"/>
      <c r="BC597" s="406"/>
      <c r="BD597" s="406"/>
      <c r="BE597" s="406"/>
      <c r="BF597" s="406"/>
      <c r="BG597" s="406"/>
      <c r="BH597" s="406"/>
      <c r="BI597" s="406"/>
      <c r="BJ597" s="406"/>
      <c r="BK597" s="406"/>
      <c r="BL597" s="406"/>
      <c r="BM597" s="406"/>
      <c r="BN597" s="406"/>
      <c r="BO597" s="406"/>
      <c r="BP597" s="406"/>
      <c r="BQ597" s="406"/>
      <c r="BR597" s="406"/>
      <c r="BS597" s="406"/>
      <c r="BT597" s="406"/>
      <c r="BU597" s="406"/>
      <c r="BV597" s="406"/>
      <c r="BW597" s="406"/>
      <c r="BX597" s="406"/>
      <c r="BY597" s="406"/>
      <c r="BZ597" s="406"/>
      <c r="CA597" s="281"/>
      <c r="CB597" s="3" t="str">
        <f t="shared" si="78"/>
        <v>Riadok bude skrytý.</v>
      </c>
      <c r="CC597" s="271" t="s">
        <v>832</v>
      </c>
      <c r="CW597" s="30">
        <f t="shared" si="81"/>
        <v>0</v>
      </c>
      <c r="CZ597" s="30">
        <f t="shared" si="82"/>
        <v>1</v>
      </c>
      <c r="DA597" s="30">
        <f t="shared" si="80"/>
        <v>0</v>
      </c>
      <c r="DB597" s="140">
        <f t="shared" si="77"/>
        <v>0</v>
      </c>
      <c r="DS597" s="130">
        <f>SI!BY597</f>
        <v>171</v>
      </c>
      <c r="DZ597" s="131">
        <f>SI!BZ597</f>
        <v>0</v>
      </c>
    </row>
    <row r="598" spans="1:130" hidden="1" x14ac:dyDescent="0.25">
      <c r="A598" s="141"/>
      <c r="B598" s="406"/>
      <c r="C598" s="406"/>
      <c r="D598" s="406"/>
      <c r="E598" s="406"/>
      <c r="F598" s="406"/>
      <c r="G598" s="406"/>
      <c r="H598" s="406"/>
      <c r="I598" s="406"/>
      <c r="J598" s="406"/>
      <c r="K598" s="406"/>
      <c r="L598" s="406"/>
      <c r="M598" s="406"/>
      <c r="N598" s="406"/>
      <c r="O598" s="406"/>
      <c r="P598" s="406"/>
      <c r="Q598" s="406"/>
      <c r="R598" s="406"/>
      <c r="S598" s="406"/>
      <c r="T598" s="406"/>
      <c r="U598" s="406"/>
      <c r="V598" s="406"/>
      <c r="W598" s="406"/>
      <c r="X598" s="406"/>
      <c r="Y598" s="406"/>
      <c r="Z598" s="406"/>
      <c r="AA598" s="406"/>
      <c r="AB598" s="406"/>
      <c r="AC598" s="406"/>
      <c r="AD598" s="406"/>
      <c r="AE598" s="406"/>
      <c r="AF598" s="406"/>
      <c r="AG598" s="406"/>
      <c r="AH598" s="406"/>
      <c r="AI598" s="406"/>
      <c r="AJ598" s="406"/>
      <c r="AK598" s="406"/>
      <c r="AL598" s="406"/>
      <c r="AM598" s="406"/>
      <c r="AN598" s="406"/>
      <c r="AO598" s="406"/>
      <c r="AP598" s="406"/>
      <c r="AQ598" s="406"/>
      <c r="AR598" s="406"/>
      <c r="AS598" s="406"/>
      <c r="AT598" s="406"/>
      <c r="AU598" s="406"/>
      <c r="AV598" s="406"/>
      <c r="AW598" s="406"/>
      <c r="AX598" s="406"/>
      <c r="AY598" s="406"/>
      <c r="AZ598" s="406"/>
      <c r="BA598" s="406"/>
      <c r="BB598" s="406"/>
      <c r="BC598" s="406"/>
      <c r="BD598" s="406"/>
      <c r="BE598" s="406"/>
      <c r="BF598" s="406"/>
      <c r="BG598" s="406"/>
      <c r="BH598" s="406"/>
      <c r="BI598" s="406"/>
      <c r="BJ598" s="406"/>
      <c r="BK598" s="406"/>
      <c r="BL598" s="406"/>
      <c r="BM598" s="406"/>
      <c r="BN598" s="406"/>
      <c r="BO598" s="406"/>
      <c r="BP598" s="406"/>
      <c r="BQ598" s="406"/>
      <c r="BR598" s="406"/>
      <c r="BS598" s="406"/>
      <c r="BT598" s="406"/>
      <c r="BU598" s="406"/>
      <c r="BV598" s="406"/>
      <c r="BW598" s="406"/>
      <c r="BX598" s="406"/>
      <c r="BY598" s="406"/>
      <c r="BZ598" s="406"/>
      <c r="CA598" s="281"/>
      <c r="CB598" s="3" t="str">
        <f t="shared" si="78"/>
        <v>Riadok bude skrytý.</v>
      </c>
      <c r="CC598" s="271" t="s">
        <v>832</v>
      </c>
      <c r="CW598" s="30">
        <f t="shared" si="81"/>
        <v>0</v>
      </c>
      <c r="CZ598" s="30">
        <f t="shared" si="82"/>
        <v>1</v>
      </c>
      <c r="DA598" s="30">
        <f t="shared" si="80"/>
        <v>0</v>
      </c>
      <c r="DB598" s="140">
        <f t="shared" si="77"/>
        <v>0</v>
      </c>
      <c r="DS598" s="130">
        <f>SI!BY598</f>
        <v>197</v>
      </c>
      <c r="DZ598" s="131">
        <f>SI!BZ598</f>
        <v>0</v>
      </c>
    </row>
    <row r="599" spans="1:130" hidden="1" x14ac:dyDescent="0.25">
      <c r="A599" s="141"/>
      <c r="B599" s="406"/>
      <c r="C599" s="406"/>
      <c r="D599" s="406"/>
      <c r="E599" s="406"/>
      <c r="F599" s="406"/>
      <c r="G599" s="406"/>
      <c r="H599" s="406"/>
      <c r="I599" s="406"/>
      <c r="J599" s="406"/>
      <c r="K599" s="406"/>
      <c r="L599" s="406"/>
      <c r="M599" s="406"/>
      <c r="N599" s="406"/>
      <c r="O599" s="406"/>
      <c r="P599" s="406"/>
      <c r="Q599" s="406"/>
      <c r="R599" s="406"/>
      <c r="S599" s="406"/>
      <c r="T599" s="406"/>
      <c r="U599" s="406"/>
      <c r="V599" s="406"/>
      <c r="W599" s="406"/>
      <c r="X599" s="406"/>
      <c r="Y599" s="406"/>
      <c r="Z599" s="406"/>
      <c r="AA599" s="406"/>
      <c r="AB599" s="406"/>
      <c r="AC599" s="406"/>
      <c r="AD599" s="406"/>
      <c r="AE599" s="406"/>
      <c r="AF599" s="406"/>
      <c r="AG599" s="406"/>
      <c r="AH599" s="406"/>
      <c r="AI599" s="406"/>
      <c r="AJ599" s="406"/>
      <c r="AK599" s="406"/>
      <c r="AL599" s="406"/>
      <c r="AM599" s="406"/>
      <c r="AN599" s="406"/>
      <c r="AO599" s="406"/>
      <c r="AP599" s="406"/>
      <c r="AQ599" s="406"/>
      <c r="AR599" s="406"/>
      <c r="AS599" s="406"/>
      <c r="AT599" s="406"/>
      <c r="AU599" s="406"/>
      <c r="AV599" s="406"/>
      <c r="AW599" s="406"/>
      <c r="AX599" s="406"/>
      <c r="AY599" s="406"/>
      <c r="AZ599" s="406"/>
      <c r="BA599" s="406"/>
      <c r="BB599" s="406"/>
      <c r="BC599" s="406"/>
      <c r="BD599" s="406"/>
      <c r="BE599" s="406"/>
      <c r="BF599" s="406"/>
      <c r="BG599" s="406"/>
      <c r="BH599" s="406"/>
      <c r="BI599" s="406"/>
      <c r="BJ599" s="406"/>
      <c r="BK599" s="406"/>
      <c r="BL599" s="406"/>
      <c r="BM599" s="406"/>
      <c r="BN599" s="406"/>
      <c r="BO599" s="406"/>
      <c r="BP599" s="406"/>
      <c r="BQ599" s="406"/>
      <c r="BR599" s="406"/>
      <c r="BS599" s="406"/>
      <c r="BT599" s="406"/>
      <c r="BU599" s="406"/>
      <c r="BV599" s="406"/>
      <c r="BW599" s="406"/>
      <c r="BX599" s="406"/>
      <c r="BY599" s="406"/>
      <c r="BZ599" s="406"/>
      <c r="CA599" s="281"/>
      <c r="CB599" s="3" t="str">
        <f t="shared" si="78"/>
        <v>Riadok bude skrytý.</v>
      </c>
      <c r="CC599" s="271" t="s">
        <v>832</v>
      </c>
      <c r="CW599" s="30">
        <f t="shared" si="81"/>
        <v>0</v>
      </c>
      <c r="CZ599" s="30">
        <f t="shared" si="82"/>
        <v>1</v>
      </c>
      <c r="DA599" s="30">
        <f t="shared" si="80"/>
        <v>0</v>
      </c>
      <c r="DB599" s="140">
        <f t="shared" si="77"/>
        <v>0</v>
      </c>
      <c r="DS599" s="130">
        <f>SI!BY599</f>
        <v>109</v>
      </c>
      <c r="DZ599" s="131">
        <f>SI!BZ599</f>
        <v>0</v>
      </c>
    </row>
    <row r="600" spans="1:130" hidden="1" x14ac:dyDescent="0.25">
      <c r="A600" s="141"/>
      <c r="B600" s="406"/>
      <c r="C600" s="406"/>
      <c r="D600" s="406"/>
      <c r="E600" s="406"/>
      <c r="F600" s="406"/>
      <c r="G600" s="406"/>
      <c r="H600" s="406"/>
      <c r="I600" s="406"/>
      <c r="J600" s="406"/>
      <c r="K600" s="406"/>
      <c r="L600" s="406"/>
      <c r="M600" s="406"/>
      <c r="N600" s="406"/>
      <c r="O600" s="406"/>
      <c r="P600" s="406"/>
      <c r="Q600" s="406"/>
      <c r="R600" s="406"/>
      <c r="S600" s="406"/>
      <c r="T600" s="406"/>
      <c r="U600" s="406"/>
      <c r="V600" s="406"/>
      <c r="W600" s="406"/>
      <c r="X600" s="406"/>
      <c r="Y600" s="406"/>
      <c r="Z600" s="406"/>
      <c r="AA600" s="406"/>
      <c r="AB600" s="406"/>
      <c r="AC600" s="406"/>
      <c r="AD600" s="406"/>
      <c r="AE600" s="406"/>
      <c r="AF600" s="406"/>
      <c r="AG600" s="406"/>
      <c r="AH600" s="406"/>
      <c r="AI600" s="406"/>
      <c r="AJ600" s="406"/>
      <c r="AK600" s="406"/>
      <c r="AL600" s="406"/>
      <c r="AM600" s="406"/>
      <c r="AN600" s="406"/>
      <c r="AO600" s="406"/>
      <c r="AP600" s="406"/>
      <c r="AQ600" s="406"/>
      <c r="AR600" s="406"/>
      <c r="AS600" s="406"/>
      <c r="AT600" s="406"/>
      <c r="AU600" s="406"/>
      <c r="AV600" s="406"/>
      <c r="AW600" s="406"/>
      <c r="AX600" s="406"/>
      <c r="AY600" s="406"/>
      <c r="AZ600" s="406"/>
      <c r="BA600" s="406"/>
      <c r="BB600" s="406"/>
      <c r="BC600" s="406"/>
      <c r="BD600" s="406"/>
      <c r="BE600" s="406"/>
      <c r="BF600" s="406"/>
      <c r="BG600" s="406"/>
      <c r="BH600" s="406"/>
      <c r="BI600" s="406"/>
      <c r="BJ600" s="406"/>
      <c r="BK600" s="406"/>
      <c r="BL600" s="406"/>
      <c r="BM600" s="406"/>
      <c r="BN600" s="406"/>
      <c r="BO600" s="406"/>
      <c r="BP600" s="406"/>
      <c r="BQ600" s="406"/>
      <c r="BR600" s="406"/>
      <c r="BS600" s="406"/>
      <c r="BT600" s="406"/>
      <c r="BU600" s="406"/>
      <c r="BV600" s="406"/>
      <c r="BW600" s="406"/>
      <c r="BX600" s="406"/>
      <c r="BY600" s="406"/>
      <c r="BZ600" s="406"/>
      <c r="CA600" s="281"/>
      <c r="CB600" s="3" t="str">
        <f t="shared" si="78"/>
        <v>Riadok bude skrytý.</v>
      </c>
      <c r="CC600" s="271" t="s">
        <v>832</v>
      </c>
      <c r="CW600" s="30">
        <f t="shared" si="81"/>
        <v>0</v>
      </c>
      <c r="CZ600" s="30">
        <f t="shared" si="82"/>
        <v>1</v>
      </c>
      <c r="DA600" s="30">
        <f t="shared" si="80"/>
        <v>0</v>
      </c>
      <c r="DB600" s="140">
        <f t="shared" si="77"/>
        <v>0</v>
      </c>
      <c r="DS600" s="130">
        <f>SI!BY600</f>
        <v>679</v>
      </c>
      <c r="DZ600" s="131">
        <f>SI!BZ600</f>
        <v>0</v>
      </c>
    </row>
    <row r="601" spans="1:130" hidden="1" x14ac:dyDescent="0.25">
      <c r="A601" s="141"/>
      <c r="B601" s="406"/>
      <c r="C601" s="406"/>
      <c r="D601" s="406"/>
      <c r="E601" s="406"/>
      <c r="F601" s="406"/>
      <c r="G601" s="406"/>
      <c r="H601" s="406"/>
      <c r="I601" s="406"/>
      <c r="J601" s="406"/>
      <c r="K601" s="406"/>
      <c r="L601" s="406"/>
      <c r="M601" s="406"/>
      <c r="N601" s="406"/>
      <c r="O601" s="406"/>
      <c r="P601" s="406"/>
      <c r="Q601" s="406"/>
      <c r="R601" s="406"/>
      <c r="S601" s="406"/>
      <c r="T601" s="406"/>
      <c r="U601" s="406"/>
      <c r="V601" s="406"/>
      <c r="W601" s="406"/>
      <c r="X601" s="406"/>
      <c r="Y601" s="406"/>
      <c r="Z601" s="406"/>
      <c r="AA601" s="406"/>
      <c r="AB601" s="406"/>
      <c r="AC601" s="406"/>
      <c r="AD601" s="406"/>
      <c r="AE601" s="406"/>
      <c r="AF601" s="406"/>
      <c r="AG601" s="406"/>
      <c r="AH601" s="406"/>
      <c r="AI601" s="406"/>
      <c r="AJ601" s="406"/>
      <c r="AK601" s="406"/>
      <c r="AL601" s="406"/>
      <c r="AM601" s="406"/>
      <c r="AN601" s="406"/>
      <c r="AO601" s="406"/>
      <c r="AP601" s="406"/>
      <c r="AQ601" s="406"/>
      <c r="AR601" s="406"/>
      <c r="AS601" s="406"/>
      <c r="AT601" s="406"/>
      <c r="AU601" s="406"/>
      <c r="AV601" s="406"/>
      <c r="AW601" s="406"/>
      <c r="AX601" s="406"/>
      <c r="AY601" s="406"/>
      <c r="AZ601" s="406"/>
      <c r="BA601" s="406"/>
      <c r="BB601" s="406"/>
      <c r="BC601" s="406"/>
      <c r="BD601" s="406"/>
      <c r="BE601" s="406"/>
      <c r="BF601" s="406"/>
      <c r="BG601" s="406"/>
      <c r="BH601" s="406"/>
      <c r="BI601" s="406"/>
      <c r="BJ601" s="406"/>
      <c r="BK601" s="406"/>
      <c r="BL601" s="406"/>
      <c r="BM601" s="406"/>
      <c r="BN601" s="406"/>
      <c r="BO601" s="406"/>
      <c r="BP601" s="406"/>
      <c r="BQ601" s="406"/>
      <c r="BR601" s="406"/>
      <c r="BS601" s="406"/>
      <c r="BT601" s="406"/>
      <c r="BU601" s="406"/>
      <c r="BV601" s="406"/>
      <c r="BW601" s="406"/>
      <c r="BX601" s="406"/>
      <c r="BY601" s="406"/>
      <c r="BZ601" s="406"/>
      <c r="CA601" s="281"/>
      <c r="CB601" s="3" t="str">
        <f t="shared" si="78"/>
        <v>Riadok bude skrytý.</v>
      </c>
      <c r="CC601" s="271" t="s">
        <v>832</v>
      </c>
      <c r="CW601" s="30">
        <f t="shared" si="81"/>
        <v>0</v>
      </c>
      <c r="CZ601" s="30">
        <f t="shared" si="82"/>
        <v>1</v>
      </c>
      <c r="DA601" s="30">
        <f t="shared" si="80"/>
        <v>0</v>
      </c>
      <c r="DB601" s="140">
        <f t="shared" si="77"/>
        <v>0</v>
      </c>
      <c r="DS601" s="130">
        <f>SI!BY601</f>
        <v>114</v>
      </c>
      <c r="DZ601" s="131">
        <f>SI!BZ601</f>
        <v>0</v>
      </c>
    </row>
    <row r="602" spans="1:130" hidden="1" x14ac:dyDescent="0.25">
      <c r="A602" s="141"/>
      <c r="B602" s="406"/>
      <c r="C602" s="406"/>
      <c r="D602" s="406"/>
      <c r="E602" s="406"/>
      <c r="F602" s="406"/>
      <c r="G602" s="406"/>
      <c r="H602" s="406"/>
      <c r="I602" s="406"/>
      <c r="J602" s="406"/>
      <c r="K602" s="406"/>
      <c r="L602" s="406"/>
      <c r="M602" s="406"/>
      <c r="N602" s="406"/>
      <c r="O602" s="406"/>
      <c r="P602" s="406"/>
      <c r="Q602" s="406"/>
      <c r="R602" s="406"/>
      <c r="S602" s="406"/>
      <c r="T602" s="406"/>
      <c r="U602" s="406"/>
      <c r="V602" s="406"/>
      <c r="W602" s="406"/>
      <c r="X602" s="406"/>
      <c r="Y602" s="406"/>
      <c r="Z602" s="406"/>
      <c r="AA602" s="406"/>
      <c r="AB602" s="406"/>
      <c r="AC602" s="406"/>
      <c r="AD602" s="406"/>
      <c r="AE602" s="406"/>
      <c r="AF602" s="406"/>
      <c r="AG602" s="406"/>
      <c r="AH602" s="406"/>
      <c r="AI602" s="406"/>
      <c r="AJ602" s="406"/>
      <c r="AK602" s="406"/>
      <c r="AL602" s="406"/>
      <c r="AM602" s="406"/>
      <c r="AN602" s="406"/>
      <c r="AO602" s="406"/>
      <c r="AP602" s="406"/>
      <c r="AQ602" s="406"/>
      <c r="AR602" s="406"/>
      <c r="AS602" s="406"/>
      <c r="AT602" s="406"/>
      <c r="AU602" s="406"/>
      <c r="AV602" s="406"/>
      <c r="AW602" s="406"/>
      <c r="AX602" s="406"/>
      <c r="AY602" s="406"/>
      <c r="AZ602" s="406"/>
      <c r="BA602" s="406"/>
      <c r="BB602" s="406"/>
      <c r="BC602" s="406"/>
      <c r="BD602" s="406"/>
      <c r="BE602" s="406"/>
      <c r="BF602" s="406"/>
      <c r="BG602" s="406"/>
      <c r="BH602" s="406"/>
      <c r="BI602" s="406"/>
      <c r="BJ602" s="406"/>
      <c r="BK602" s="406"/>
      <c r="BL602" s="406"/>
      <c r="BM602" s="406"/>
      <c r="BN602" s="406"/>
      <c r="BO602" s="406"/>
      <c r="BP602" s="406"/>
      <c r="BQ602" s="406"/>
      <c r="BR602" s="406"/>
      <c r="BS602" s="406"/>
      <c r="BT602" s="406"/>
      <c r="BU602" s="406"/>
      <c r="BV602" s="406"/>
      <c r="BW602" s="406"/>
      <c r="BX602" s="406"/>
      <c r="BY602" s="406"/>
      <c r="BZ602" s="406"/>
      <c r="CA602" s="281"/>
      <c r="CB602" s="3" t="str">
        <f t="shared" si="78"/>
        <v>Riadok bude skrytý.</v>
      </c>
      <c r="CC602" s="271" t="s">
        <v>832</v>
      </c>
      <c r="CW602" s="30">
        <f t="shared" si="81"/>
        <v>0</v>
      </c>
      <c r="CZ602" s="30">
        <f t="shared" si="82"/>
        <v>1</v>
      </c>
      <c r="DA602" s="30">
        <f t="shared" si="80"/>
        <v>0</v>
      </c>
      <c r="DB602" s="140">
        <f t="shared" si="77"/>
        <v>0</v>
      </c>
      <c r="DS602" s="130">
        <f>SI!BY602</f>
        <v>1117</v>
      </c>
      <c r="DZ602" s="131">
        <f>SI!BZ602</f>
        <v>0</v>
      </c>
    </row>
    <row r="603" spans="1:130" hidden="1" x14ac:dyDescent="0.25">
      <c r="A603" s="141"/>
      <c r="B603" s="406"/>
      <c r="C603" s="406"/>
      <c r="D603" s="406"/>
      <c r="E603" s="406"/>
      <c r="F603" s="406"/>
      <c r="G603" s="406"/>
      <c r="H603" s="406"/>
      <c r="I603" s="406"/>
      <c r="J603" s="406"/>
      <c r="K603" s="406"/>
      <c r="L603" s="406"/>
      <c r="M603" s="406"/>
      <c r="N603" s="406"/>
      <c r="O603" s="406"/>
      <c r="P603" s="406"/>
      <c r="Q603" s="406"/>
      <c r="R603" s="406"/>
      <c r="S603" s="406"/>
      <c r="T603" s="406"/>
      <c r="U603" s="406"/>
      <c r="V603" s="406"/>
      <c r="W603" s="406"/>
      <c r="X603" s="406"/>
      <c r="Y603" s="406"/>
      <c r="Z603" s="406"/>
      <c r="AA603" s="406"/>
      <c r="AB603" s="406"/>
      <c r="AC603" s="406"/>
      <c r="AD603" s="406"/>
      <c r="AE603" s="406"/>
      <c r="AF603" s="406"/>
      <c r="AG603" s="406"/>
      <c r="AH603" s="406"/>
      <c r="AI603" s="406"/>
      <c r="AJ603" s="406"/>
      <c r="AK603" s="406"/>
      <c r="AL603" s="406"/>
      <c r="AM603" s="406"/>
      <c r="AN603" s="406"/>
      <c r="AO603" s="406"/>
      <c r="AP603" s="406"/>
      <c r="AQ603" s="406"/>
      <c r="AR603" s="406"/>
      <c r="AS603" s="406"/>
      <c r="AT603" s="406"/>
      <c r="AU603" s="406"/>
      <c r="AV603" s="406"/>
      <c r="AW603" s="406"/>
      <c r="AX603" s="406"/>
      <c r="AY603" s="406"/>
      <c r="AZ603" s="406"/>
      <c r="BA603" s="406"/>
      <c r="BB603" s="406"/>
      <c r="BC603" s="406"/>
      <c r="BD603" s="406"/>
      <c r="BE603" s="406"/>
      <c r="BF603" s="406"/>
      <c r="BG603" s="406"/>
      <c r="BH603" s="406"/>
      <c r="BI603" s="406"/>
      <c r="BJ603" s="406"/>
      <c r="BK603" s="406"/>
      <c r="BL603" s="406"/>
      <c r="BM603" s="406"/>
      <c r="BN603" s="406"/>
      <c r="BO603" s="406"/>
      <c r="BP603" s="406"/>
      <c r="BQ603" s="406"/>
      <c r="BR603" s="406"/>
      <c r="BS603" s="406"/>
      <c r="BT603" s="406"/>
      <c r="BU603" s="406"/>
      <c r="BV603" s="406"/>
      <c r="BW603" s="406"/>
      <c r="BX603" s="406"/>
      <c r="BY603" s="406"/>
      <c r="BZ603" s="406"/>
      <c r="CA603" s="281"/>
      <c r="CB603" s="3" t="str">
        <f t="shared" si="78"/>
        <v>Riadok bude skrytý.</v>
      </c>
      <c r="CC603" s="271" t="s">
        <v>832</v>
      </c>
      <c r="CW603" s="30">
        <f t="shared" si="81"/>
        <v>0</v>
      </c>
      <c r="CZ603" s="30">
        <f t="shared" si="82"/>
        <v>1</v>
      </c>
      <c r="DA603" s="30">
        <f t="shared" si="80"/>
        <v>0</v>
      </c>
      <c r="DB603" s="140">
        <f t="shared" si="77"/>
        <v>0</v>
      </c>
      <c r="DS603" s="130">
        <f>SI!BY603</f>
        <v>126</v>
      </c>
      <c r="DZ603" s="131">
        <f>SI!BZ603</f>
        <v>0</v>
      </c>
    </row>
    <row r="604" spans="1:130" hidden="1" x14ac:dyDescent="0.25">
      <c r="A604" s="141"/>
      <c r="B604" s="406"/>
      <c r="C604" s="406"/>
      <c r="D604" s="406"/>
      <c r="E604" s="406"/>
      <c r="F604" s="406"/>
      <c r="G604" s="406"/>
      <c r="H604" s="406"/>
      <c r="I604" s="406"/>
      <c r="J604" s="406"/>
      <c r="K604" s="406"/>
      <c r="L604" s="406"/>
      <c r="M604" s="406"/>
      <c r="N604" s="406"/>
      <c r="O604" s="406"/>
      <c r="P604" s="406"/>
      <c r="Q604" s="406"/>
      <c r="R604" s="406"/>
      <c r="S604" s="406"/>
      <c r="T604" s="406"/>
      <c r="U604" s="406"/>
      <c r="V604" s="406"/>
      <c r="W604" s="406"/>
      <c r="X604" s="406"/>
      <c r="Y604" s="406"/>
      <c r="Z604" s="406"/>
      <c r="AA604" s="406"/>
      <c r="AB604" s="406"/>
      <c r="AC604" s="406"/>
      <c r="AD604" s="406"/>
      <c r="AE604" s="406"/>
      <c r="AF604" s="406"/>
      <c r="AG604" s="406"/>
      <c r="AH604" s="406"/>
      <c r="AI604" s="406"/>
      <c r="AJ604" s="406"/>
      <c r="AK604" s="406"/>
      <c r="AL604" s="406"/>
      <c r="AM604" s="406"/>
      <c r="AN604" s="406"/>
      <c r="AO604" s="406"/>
      <c r="AP604" s="406"/>
      <c r="AQ604" s="406"/>
      <c r="AR604" s="406"/>
      <c r="AS604" s="406"/>
      <c r="AT604" s="406"/>
      <c r="AU604" s="406"/>
      <c r="AV604" s="406"/>
      <c r="AW604" s="406"/>
      <c r="AX604" s="406"/>
      <c r="AY604" s="406"/>
      <c r="AZ604" s="406"/>
      <c r="BA604" s="406"/>
      <c r="BB604" s="406"/>
      <c r="BC604" s="406"/>
      <c r="BD604" s="406"/>
      <c r="BE604" s="406"/>
      <c r="BF604" s="406"/>
      <c r="BG604" s="406"/>
      <c r="BH604" s="406"/>
      <c r="BI604" s="406"/>
      <c r="BJ604" s="406"/>
      <c r="BK604" s="406"/>
      <c r="BL604" s="406"/>
      <c r="BM604" s="406"/>
      <c r="BN604" s="406"/>
      <c r="BO604" s="406"/>
      <c r="BP604" s="406"/>
      <c r="BQ604" s="406"/>
      <c r="BR604" s="406"/>
      <c r="BS604" s="406"/>
      <c r="BT604" s="406"/>
      <c r="BU604" s="406"/>
      <c r="BV604" s="406"/>
      <c r="BW604" s="406"/>
      <c r="BX604" s="406"/>
      <c r="BY604" s="406"/>
      <c r="BZ604" s="406"/>
      <c r="CA604" s="281"/>
      <c r="CB604" s="3" t="str">
        <f t="shared" si="78"/>
        <v>Riadok bude skrytý.</v>
      </c>
      <c r="CC604" s="271" t="s">
        <v>832</v>
      </c>
      <c r="CW604" s="30">
        <f t="shared" si="81"/>
        <v>0</v>
      </c>
      <c r="CZ604" s="30">
        <f t="shared" si="82"/>
        <v>1</v>
      </c>
      <c r="DA604" s="30">
        <f t="shared" si="80"/>
        <v>0</v>
      </c>
      <c r="DB604" s="140">
        <f t="shared" si="77"/>
        <v>0</v>
      </c>
      <c r="DS604" s="130">
        <f>SI!BY604</f>
        <v>709</v>
      </c>
      <c r="DZ604" s="131">
        <f>SI!BZ604</f>
        <v>0</v>
      </c>
    </row>
    <row r="605" spans="1:130" x14ac:dyDescent="0.25">
      <c r="A605" s="141"/>
      <c r="CA605" s="270"/>
      <c r="CB605" s="3" t="str">
        <f t="shared" si="78"/>
        <v>Riadok bude vidieť.</v>
      </c>
      <c r="CC605" s="271" t="s">
        <v>832</v>
      </c>
      <c r="CW605" s="32">
        <f>+IF(SUM(CW607:CW626)=0,0,1)</f>
        <v>1</v>
      </c>
      <c r="CZ605" s="30">
        <f t="shared" si="82"/>
        <v>1</v>
      </c>
      <c r="DA605" s="30">
        <f t="shared" si="80"/>
        <v>1</v>
      </c>
      <c r="DB605" s="140">
        <f t="shared" si="77"/>
        <v>1</v>
      </c>
      <c r="DS605" s="130">
        <f>SI!BY605</f>
        <v>3</v>
      </c>
      <c r="DZ605" s="131">
        <f>SI!BZ605</f>
        <v>0</v>
      </c>
    </row>
    <row r="606" spans="1:130" x14ac:dyDescent="0.25">
      <c r="A606" s="141"/>
      <c r="B606" s="279" t="s">
        <v>859</v>
      </c>
      <c r="C606" s="1792" t="str">
        <f>+IF($E$52&lt;&gt;"",IF(ROUNDDOWN(CODE(MID($E$52,1,1))/10,0)*(IF(SI!EE606="",1,SI!EE606))+(LEN(SI!J2)+2)=DS606,"Ocenenie časového rozlíšenia na strane pasív súvahy (výdavky budúcich období /BO/ a výnosy BO)","NEPOVOLENÉ POUŽITIE!"),"NEPOVOLENÉ POUŽITIE!")</f>
        <v>Ocenenie časového rozlíšenia na strane pasív súvahy (výdavky budúcich období /BO/ a výnosy BO)</v>
      </c>
      <c r="D606" s="1792"/>
      <c r="E606" s="1792"/>
      <c r="F606" s="1792"/>
      <c r="G606" s="1792"/>
      <c r="H606" s="1792"/>
      <c r="I606" s="1792"/>
      <c r="J606" s="1792"/>
      <c r="K606" s="1792"/>
      <c r="L606" s="1792"/>
      <c r="M606" s="1792"/>
      <c r="N606" s="1792"/>
      <c r="O606" s="1792"/>
      <c r="P606" s="1792"/>
      <c r="Q606" s="1792"/>
      <c r="R606" s="1792"/>
      <c r="S606" s="1792"/>
      <c r="T606" s="1792"/>
      <c r="U606" s="1792"/>
      <c r="V606" s="1792"/>
      <c r="W606" s="1792"/>
      <c r="X606" s="1792"/>
      <c r="Y606" s="1792"/>
      <c r="Z606" s="1792"/>
      <c r="AA606" s="1792"/>
      <c r="AB606" s="1792"/>
      <c r="AC606" s="1792"/>
      <c r="AD606" s="1792"/>
      <c r="AE606" s="1792"/>
      <c r="AF606" s="1792"/>
      <c r="AG606" s="1792"/>
      <c r="AH606" s="1792"/>
      <c r="AI606" s="1792"/>
      <c r="AJ606" s="1792"/>
      <c r="AK606" s="1792"/>
      <c r="AL606" s="1792"/>
      <c r="AM606" s="1792"/>
      <c r="AN606" s="1792"/>
      <c r="AO606" s="1792"/>
      <c r="AP606" s="1792"/>
      <c r="AQ606" s="1792"/>
      <c r="AR606" s="1792"/>
      <c r="AS606" s="1792"/>
      <c r="AT606" s="1792"/>
      <c r="AU606" s="1792"/>
      <c r="AV606" s="1792"/>
      <c r="AW606" s="1792"/>
      <c r="AX606" s="1792"/>
      <c r="AY606" s="1792"/>
      <c r="AZ606" s="1792"/>
      <c r="BA606" s="1792"/>
      <c r="BB606" s="1792"/>
      <c r="BC606" s="1792"/>
      <c r="BD606" s="1792"/>
      <c r="BE606" s="1792"/>
      <c r="BF606" s="1792"/>
      <c r="BG606" s="1792"/>
      <c r="BH606" s="1792"/>
      <c r="BI606" s="1792"/>
      <c r="BJ606" s="1792"/>
      <c r="BK606" s="1792"/>
      <c r="BL606" s="1792"/>
      <c r="BM606" s="1792"/>
      <c r="BN606" s="1792"/>
      <c r="BO606" s="1792"/>
      <c r="BP606" s="1792"/>
      <c r="BQ606" s="1792"/>
      <c r="BR606" s="1792"/>
      <c r="BS606" s="1792"/>
      <c r="BT606" s="1792"/>
      <c r="BU606" s="1792"/>
      <c r="BV606" s="1792"/>
      <c r="BW606" s="1792"/>
      <c r="BX606" s="1792"/>
      <c r="BY606" s="1792"/>
      <c r="BZ606" s="1792"/>
      <c r="CA606" s="265" t="s">
        <v>773</v>
      </c>
      <c r="CB606" s="3" t="str">
        <f t="shared" si="78"/>
        <v>Riadok bude vidieť.</v>
      </c>
      <c r="CC606" s="271" t="s">
        <v>832</v>
      </c>
      <c r="CW606" s="134">
        <f>+IF(SUM(CW607:CW626)=0,0,1)</f>
        <v>1</v>
      </c>
      <c r="CZ606" s="30">
        <f t="shared" si="82"/>
        <v>1</v>
      </c>
      <c r="DA606" s="30">
        <f t="shared" si="80"/>
        <v>1</v>
      </c>
      <c r="DB606" s="140">
        <f t="shared" si="77"/>
        <v>1</v>
      </c>
      <c r="DS606" s="130">
        <f>SI!BY606</f>
        <v>15</v>
      </c>
      <c r="DZ606" s="131">
        <f>SI!BZ606</f>
        <v>0</v>
      </c>
    </row>
    <row r="607" spans="1:130" x14ac:dyDescent="0.25">
      <c r="A607" s="141"/>
      <c r="B607" s="379" t="s">
        <v>79</v>
      </c>
      <c r="C607" s="379"/>
      <c r="D607" s="379"/>
      <c r="E607" s="379"/>
      <c r="F607" s="379"/>
      <c r="G607" s="379"/>
      <c r="H607" s="379"/>
      <c r="I607" s="379"/>
      <c r="J607" s="379"/>
      <c r="K607" s="379"/>
      <c r="L607" s="379"/>
      <c r="M607" s="379"/>
      <c r="N607" s="379"/>
      <c r="O607" s="379"/>
      <c r="P607" s="379"/>
      <c r="Q607" s="379"/>
      <c r="R607" s="379"/>
      <c r="S607" s="379"/>
      <c r="T607" s="379"/>
      <c r="U607" s="379"/>
      <c r="V607" s="379"/>
      <c r="W607" s="379"/>
      <c r="X607" s="379"/>
      <c r="Y607" s="379"/>
      <c r="Z607" s="379"/>
      <c r="AA607" s="379"/>
      <c r="AB607" s="379"/>
      <c r="AC607" s="379"/>
      <c r="AD607" s="379"/>
      <c r="AE607" s="379"/>
      <c r="AF607" s="379"/>
      <c r="AG607" s="379"/>
      <c r="AH607" s="379"/>
      <c r="AI607" s="379"/>
      <c r="AJ607" s="379"/>
      <c r="AK607" s="379"/>
      <c r="AL607" s="379"/>
      <c r="AM607" s="379"/>
      <c r="AN607" s="379"/>
      <c r="AO607" s="379"/>
      <c r="AP607" s="379"/>
      <c r="AQ607" s="379"/>
      <c r="AR607" s="379"/>
      <c r="AS607" s="379"/>
      <c r="AT607" s="379"/>
      <c r="AU607" s="379"/>
      <c r="AV607" s="379"/>
      <c r="AW607" s="379"/>
      <c r="AX607" s="379"/>
      <c r="AY607" s="379"/>
      <c r="AZ607" s="379"/>
      <c r="BA607" s="379"/>
      <c r="BB607" s="379"/>
      <c r="BC607" s="379"/>
      <c r="BD607" s="379"/>
      <c r="BE607" s="379"/>
      <c r="BF607" s="379"/>
      <c r="BG607" s="379"/>
      <c r="BH607" s="379"/>
      <c r="BI607" s="379"/>
      <c r="BJ607" s="379"/>
      <c r="BK607" s="379"/>
      <c r="BL607" s="379"/>
      <c r="BM607" s="379"/>
      <c r="BN607" s="379"/>
      <c r="BO607" s="379"/>
      <c r="BP607" s="379"/>
      <c r="BQ607" s="379"/>
      <c r="BR607" s="379"/>
      <c r="BS607" s="379"/>
      <c r="BT607" s="379"/>
      <c r="BU607" s="379"/>
      <c r="BV607" s="379"/>
      <c r="BW607" s="379"/>
      <c r="BX607" s="379"/>
      <c r="BY607" s="379"/>
      <c r="BZ607" s="379"/>
      <c r="CA607" s="281"/>
      <c r="CB607" s="3" t="str">
        <f t="shared" si="78"/>
        <v>Riadok bude vidieť.</v>
      </c>
      <c r="CC607" s="271" t="s">
        <v>832</v>
      </c>
      <c r="CW607" s="30">
        <f t="shared" ref="CW607:CW626" si="83">+IF(B607="",0,1)</f>
        <v>1</v>
      </c>
      <c r="CZ607" s="30">
        <f t="shared" si="82"/>
        <v>1</v>
      </c>
      <c r="DA607" s="30">
        <f t="shared" si="80"/>
        <v>1</v>
      </c>
      <c r="DB607" s="140">
        <f t="shared" si="77"/>
        <v>1</v>
      </c>
      <c r="DS607" s="130">
        <f>SI!BY607</f>
        <v>203</v>
      </c>
      <c r="DZ607" s="131">
        <f>SI!BZ607</f>
        <v>0</v>
      </c>
    </row>
    <row r="608" spans="1:130" x14ac:dyDescent="0.25">
      <c r="A608" s="141"/>
      <c r="B608" s="379" t="s">
        <v>73</v>
      </c>
      <c r="C608" s="379"/>
      <c r="D608" s="379"/>
      <c r="E608" s="379"/>
      <c r="F608" s="379"/>
      <c r="G608" s="379"/>
      <c r="H608" s="379"/>
      <c r="I608" s="379"/>
      <c r="J608" s="379"/>
      <c r="K608" s="379"/>
      <c r="L608" s="379"/>
      <c r="M608" s="379"/>
      <c r="N608" s="379"/>
      <c r="O608" s="379"/>
      <c r="P608" s="379"/>
      <c r="Q608" s="379"/>
      <c r="R608" s="379"/>
      <c r="S608" s="379"/>
      <c r="T608" s="379"/>
      <c r="U608" s="379"/>
      <c r="V608" s="379"/>
      <c r="W608" s="379"/>
      <c r="X608" s="379"/>
      <c r="Y608" s="379"/>
      <c r="Z608" s="379"/>
      <c r="AA608" s="379"/>
      <c r="AB608" s="379"/>
      <c r="AC608" s="379"/>
      <c r="AD608" s="379"/>
      <c r="AE608" s="379"/>
      <c r="AF608" s="379"/>
      <c r="AG608" s="379"/>
      <c r="AH608" s="379"/>
      <c r="AI608" s="379"/>
      <c r="AJ608" s="379"/>
      <c r="AK608" s="379"/>
      <c r="AL608" s="379"/>
      <c r="AM608" s="379"/>
      <c r="AN608" s="379"/>
      <c r="AO608" s="379"/>
      <c r="AP608" s="379"/>
      <c r="AQ608" s="379"/>
      <c r="AR608" s="379"/>
      <c r="AS608" s="379"/>
      <c r="AT608" s="379"/>
      <c r="AU608" s="379"/>
      <c r="AV608" s="379"/>
      <c r="AW608" s="379"/>
      <c r="AX608" s="379"/>
      <c r="AY608" s="379"/>
      <c r="AZ608" s="379"/>
      <c r="BA608" s="379"/>
      <c r="BB608" s="379"/>
      <c r="BC608" s="379"/>
      <c r="BD608" s="379"/>
      <c r="BE608" s="379"/>
      <c r="BF608" s="379"/>
      <c r="BG608" s="379"/>
      <c r="BH608" s="379"/>
      <c r="BI608" s="379"/>
      <c r="BJ608" s="379"/>
      <c r="BK608" s="379"/>
      <c r="BL608" s="379"/>
      <c r="BM608" s="379"/>
      <c r="BN608" s="379"/>
      <c r="BO608" s="379"/>
      <c r="BP608" s="379"/>
      <c r="BQ608" s="379"/>
      <c r="BR608" s="379"/>
      <c r="BS608" s="379"/>
      <c r="BT608" s="379"/>
      <c r="BU608" s="379"/>
      <c r="BV608" s="379"/>
      <c r="BW608" s="379"/>
      <c r="BX608" s="379"/>
      <c r="BY608" s="379"/>
      <c r="BZ608" s="379"/>
      <c r="CA608" s="281"/>
      <c r="CB608" s="3" t="str">
        <f t="shared" si="78"/>
        <v>Riadok bude vidieť.</v>
      </c>
      <c r="CC608" s="271" t="s">
        <v>832</v>
      </c>
      <c r="CW608" s="30">
        <f t="shared" si="83"/>
        <v>1</v>
      </c>
      <c r="CZ608" s="30">
        <f t="shared" si="82"/>
        <v>1</v>
      </c>
      <c r="DA608" s="30">
        <f t="shared" si="80"/>
        <v>1</v>
      </c>
      <c r="DB608" s="140">
        <f t="shared" si="77"/>
        <v>1</v>
      </c>
      <c r="DS608" s="130">
        <f>SI!BY608</f>
        <v>272</v>
      </c>
      <c r="DZ608" s="131">
        <f>SI!BZ608</f>
        <v>0</v>
      </c>
    </row>
    <row r="609" spans="1:130" hidden="1" x14ac:dyDescent="0.25">
      <c r="A609" s="141"/>
      <c r="B609" s="379"/>
      <c r="C609" s="379"/>
      <c r="D609" s="379"/>
      <c r="E609" s="379"/>
      <c r="F609" s="379"/>
      <c r="G609" s="379"/>
      <c r="H609" s="379"/>
      <c r="I609" s="379"/>
      <c r="J609" s="379"/>
      <c r="K609" s="379"/>
      <c r="L609" s="379"/>
      <c r="M609" s="379"/>
      <c r="N609" s="379"/>
      <c r="O609" s="379"/>
      <c r="P609" s="379"/>
      <c r="Q609" s="379"/>
      <c r="R609" s="379"/>
      <c r="S609" s="379"/>
      <c r="T609" s="379"/>
      <c r="U609" s="379"/>
      <c r="V609" s="379"/>
      <c r="W609" s="379"/>
      <c r="X609" s="379"/>
      <c r="Y609" s="379"/>
      <c r="Z609" s="379"/>
      <c r="AA609" s="379"/>
      <c r="AB609" s="379"/>
      <c r="AC609" s="379"/>
      <c r="AD609" s="379"/>
      <c r="AE609" s="379"/>
      <c r="AF609" s="379"/>
      <c r="AG609" s="379"/>
      <c r="AH609" s="379"/>
      <c r="AI609" s="379"/>
      <c r="AJ609" s="379"/>
      <c r="AK609" s="379"/>
      <c r="AL609" s="379"/>
      <c r="AM609" s="379"/>
      <c r="AN609" s="379"/>
      <c r="AO609" s="379"/>
      <c r="AP609" s="379"/>
      <c r="AQ609" s="379"/>
      <c r="AR609" s="379"/>
      <c r="AS609" s="379"/>
      <c r="AT609" s="379"/>
      <c r="AU609" s="379"/>
      <c r="AV609" s="379"/>
      <c r="AW609" s="379"/>
      <c r="AX609" s="379"/>
      <c r="AY609" s="379"/>
      <c r="AZ609" s="379"/>
      <c r="BA609" s="379"/>
      <c r="BB609" s="379"/>
      <c r="BC609" s="379"/>
      <c r="BD609" s="379"/>
      <c r="BE609" s="379"/>
      <c r="BF609" s="379"/>
      <c r="BG609" s="379"/>
      <c r="BH609" s="379"/>
      <c r="BI609" s="379"/>
      <c r="BJ609" s="379"/>
      <c r="BK609" s="379"/>
      <c r="BL609" s="379"/>
      <c r="BM609" s="379"/>
      <c r="BN609" s="379"/>
      <c r="BO609" s="379"/>
      <c r="BP609" s="379"/>
      <c r="BQ609" s="379"/>
      <c r="BR609" s="379"/>
      <c r="BS609" s="379"/>
      <c r="BT609" s="379"/>
      <c r="BU609" s="379"/>
      <c r="BV609" s="379"/>
      <c r="BW609" s="379"/>
      <c r="BX609" s="379"/>
      <c r="BY609" s="379"/>
      <c r="BZ609" s="379"/>
      <c r="CA609" s="281"/>
      <c r="CB609" s="3" t="str">
        <f t="shared" si="78"/>
        <v>Riadok bude skrytý.</v>
      </c>
      <c r="CC609" s="271" t="s">
        <v>832</v>
      </c>
      <c r="CW609" s="30">
        <f t="shared" si="83"/>
        <v>0</v>
      </c>
      <c r="CZ609" s="30">
        <f t="shared" si="82"/>
        <v>1</v>
      </c>
      <c r="DA609" s="30">
        <f t="shared" si="80"/>
        <v>0</v>
      </c>
      <c r="DB609" s="140">
        <f t="shared" si="77"/>
        <v>0</v>
      </c>
      <c r="DS609" s="130">
        <f>SI!BY609</f>
        <v>204</v>
      </c>
      <c r="DZ609" s="131">
        <f>SI!BZ609</f>
        <v>0</v>
      </c>
    </row>
    <row r="610" spans="1:130" hidden="1" x14ac:dyDescent="0.25">
      <c r="A610" s="141"/>
      <c r="B610" s="379"/>
      <c r="C610" s="379"/>
      <c r="D610" s="379"/>
      <c r="E610" s="379"/>
      <c r="F610" s="379"/>
      <c r="G610" s="379"/>
      <c r="H610" s="379"/>
      <c r="I610" s="379"/>
      <c r="J610" s="379"/>
      <c r="K610" s="379"/>
      <c r="L610" s="379"/>
      <c r="M610" s="379"/>
      <c r="N610" s="379"/>
      <c r="O610" s="379"/>
      <c r="P610" s="379"/>
      <c r="Q610" s="379"/>
      <c r="R610" s="379"/>
      <c r="S610" s="379"/>
      <c r="T610" s="379"/>
      <c r="U610" s="379"/>
      <c r="V610" s="379"/>
      <c r="W610" s="379"/>
      <c r="X610" s="379"/>
      <c r="Y610" s="379"/>
      <c r="Z610" s="379"/>
      <c r="AA610" s="379"/>
      <c r="AB610" s="379"/>
      <c r="AC610" s="379"/>
      <c r="AD610" s="379"/>
      <c r="AE610" s="379"/>
      <c r="AF610" s="379"/>
      <c r="AG610" s="379"/>
      <c r="AH610" s="379"/>
      <c r="AI610" s="379"/>
      <c r="AJ610" s="379"/>
      <c r="AK610" s="379"/>
      <c r="AL610" s="379"/>
      <c r="AM610" s="379"/>
      <c r="AN610" s="379"/>
      <c r="AO610" s="379"/>
      <c r="AP610" s="379"/>
      <c r="AQ610" s="379"/>
      <c r="AR610" s="379"/>
      <c r="AS610" s="379"/>
      <c r="AT610" s="379"/>
      <c r="AU610" s="379"/>
      <c r="AV610" s="379"/>
      <c r="AW610" s="379"/>
      <c r="AX610" s="379"/>
      <c r="AY610" s="379"/>
      <c r="AZ610" s="379"/>
      <c r="BA610" s="379"/>
      <c r="BB610" s="379"/>
      <c r="BC610" s="379"/>
      <c r="BD610" s="379"/>
      <c r="BE610" s="379"/>
      <c r="BF610" s="379"/>
      <c r="BG610" s="379"/>
      <c r="BH610" s="379"/>
      <c r="BI610" s="379"/>
      <c r="BJ610" s="379"/>
      <c r="BK610" s="379"/>
      <c r="BL610" s="379"/>
      <c r="BM610" s="379"/>
      <c r="BN610" s="379"/>
      <c r="BO610" s="379"/>
      <c r="BP610" s="379"/>
      <c r="BQ610" s="379"/>
      <c r="BR610" s="379"/>
      <c r="BS610" s="379"/>
      <c r="BT610" s="379"/>
      <c r="BU610" s="379"/>
      <c r="BV610" s="379"/>
      <c r="BW610" s="379"/>
      <c r="BX610" s="379"/>
      <c r="BY610" s="379"/>
      <c r="BZ610" s="379"/>
      <c r="CA610" s="281"/>
      <c r="CB610" s="3" t="str">
        <f t="shared" si="78"/>
        <v>Riadok bude skrytý.</v>
      </c>
      <c r="CC610" s="271" t="s">
        <v>832</v>
      </c>
      <c r="CW610" s="30">
        <f t="shared" si="83"/>
        <v>0</v>
      </c>
      <c r="CZ610" s="30">
        <f t="shared" si="82"/>
        <v>1</v>
      </c>
      <c r="DA610" s="30">
        <f t="shared" si="80"/>
        <v>0</v>
      </c>
      <c r="DB610" s="140">
        <f t="shared" si="77"/>
        <v>0</v>
      </c>
      <c r="DS610" s="130">
        <f>SI!BY610</f>
        <v>115</v>
      </c>
      <c r="DZ610" s="131">
        <f>SI!BZ610</f>
        <v>0</v>
      </c>
    </row>
    <row r="611" spans="1:130" hidden="1" x14ac:dyDescent="0.25">
      <c r="A611" s="141"/>
      <c r="B611" s="379"/>
      <c r="C611" s="379"/>
      <c r="D611" s="379"/>
      <c r="E611" s="379"/>
      <c r="F611" s="379"/>
      <c r="G611" s="379"/>
      <c r="H611" s="379"/>
      <c r="I611" s="379"/>
      <c r="J611" s="379"/>
      <c r="K611" s="379"/>
      <c r="L611" s="379"/>
      <c r="M611" s="379"/>
      <c r="N611" s="379"/>
      <c r="O611" s="379"/>
      <c r="P611" s="379"/>
      <c r="Q611" s="379"/>
      <c r="R611" s="379"/>
      <c r="S611" s="379"/>
      <c r="T611" s="379"/>
      <c r="U611" s="379"/>
      <c r="V611" s="379"/>
      <c r="W611" s="379"/>
      <c r="X611" s="379"/>
      <c r="Y611" s="379"/>
      <c r="Z611" s="379"/>
      <c r="AA611" s="379"/>
      <c r="AB611" s="379"/>
      <c r="AC611" s="379"/>
      <c r="AD611" s="379"/>
      <c r="AE611" s="379"/>
      <c r="AF611" s="379"/>
      <c r="AG611" s="379"/>
      <c r="AH611" s="379"/>
      <c r="AI611" s="379"/>
      <c r="AJ611" s="379"/>
      <c r="AK611" s="379"/>
      <c r="AL611" s="379"/>
      <c r="AM611" s="379"/>
      <c r="AN611" s="379"/>
      <c r="AO611" s="379"/>
      <c r="AP611" s="379"/>
      <c r="AQ611" s="379"/>
      <c r="AR611" s="379"/>
      <c r="AS611" s="379"/>
      <c r="AT611" s="379"/>
      <c r="AU611" s="379"/>
      <c r="AV611" s="379"/>
      <c r="AW611" s="379"/>
      <c r="AX611" s="379"/>
      <c r="AY611" s="379"/>
      <c r="AZ611" s="379"/>
      <c r="BA611" s="379"/>
      <c r="BB611" s="379"/>
      <c r="BC611" s="379"/>
      <c r="BD611" s="379"/>
      <c r="BE611" s="379"/>
      <c r="BF611" s="379"/>
      <c r="BG611" s="379"/>
      <c r="BH611" s="379"/>
      <c r="BI611" s="379"/>
      <c r="BJ611" s="379"/>
      <c r="BK611" s="379"/>
      <c r="BL611" s="379"/>
      <c r="BM611" s="379"/>
      <c r="BN611" s="379"/>
      <c r="BO611" s="379"/>
      <c r="BP611" s="379"/>
      <c r="BQ611" s="379"/>
      <c r="BR611" s="379"/>
      <c r="BS611" s="379"/>
      <c r="BT611" s="379"/>
      <c r="BU611" s="379"/>
      <c r="BV611" s="379"/>
      <c r="BW611" s="379"/>
      <c r="BX611" s="379"/>
      <c r="BY611" s="379"/>
      <c r="BZ611" s="379"/>
      <c r="CA611" s="281"/>
      <c r="CB611" s="3" t="str">
        <f t="shared" si="78"/>
        <v>Riadok bude skrytý.</v>
      </c>
      <c r="CC611" s="271" t="s">
        <v>832</v>
      </c>
      <c r="CW611" s="30">
        <f t="shared" si="83"/>
        <v>0</v>
      </c>
      <c r="CZ611" s="30">
        <f t="shared" si="82"/>
        <v>1</v>
      </c>
      <c r="DA611" s="30">
        <f t="shared" si="80"/>
        <v>0</v>
      </c>
      <c r="DB611" s="140">
        <f t="shared" si="77"/>
        <v>0</v>
      </c>
      <c r="DS611" s="130">
        <f>SI!BY611</f>
        <v>156</v>
      </c>
      <c r="DZ611" s="131">
        <f>SI!BZ611</f>
        <v>0</v>
      </c>
    </row>
    <row r="612" spans="1:130" hidden="1" x14ac:dyDescent="0.25">
      <c r="A612" s="141"/>
      <c r="B612" s="379"/>
      <c r="C612" s="379"/>
      <c r="D612" s="379"/>
      <c r="E612" s="379"/>
      <c r="F612" s="379"/>
      <c r="G612" s="379"/>
      <c r="H612" s="379"/>
      <c r="I612" s="379"/>
      <c r="J612" s="379"/>
      <c r="K612" s="379"/>
      <c r="L612" s="379"/>
      <c r="M612" s="379"/>
      <c r="N612" s="379"/>
      <c r="O612" s="379"/>
      <c r="P612" s="379"/>
      <c r="Q612" s="379"/>
      <c r="R612" s="379"/>
      <c r="S612" s="379"/>
      <c r="T612" s="379"/>
      <c r="U612" s="379"/>
      <c r="V612" s="379"/>
      <c r="W612" s="379"/>
      <c r="X612" s="379"/>
      <c r="Y612" s="379"/>
      <c r="Z612" s="379"/>
      <c r="AA612" s="379"/>
      <c r="AB612" s="379"/>
      <c r="AC612" s="379"/>
      <c r="AD612" s="379"/>
      <c r="AE612" s="379"/>
      <c r="AF612" s="379"/>
      <c r="AG612" s="379"/>
      <c r="AH612" s="379"/>
      <c r="AI612" s="379"/>
      <c r="AJ612" s="379"/>
      <c r="AK612" s="379"/>
      <c r="AL612" s="379"/>
      <c r="AM612" s="379"/>
      <c r="AN612" s="379"/>
      <c r="AO612" s="379"/>
      <c r="AP612" s="379"/>
      <c r="AQ612" s="379"/>
      <c r="AR612" s="379"/>
      <c r="AS612" s="379"/>
      <c r="AT612" s="379"/>
      <c r="AU612" s="379"/>
      <c r="AV612" s="379"/>
      <c r="AW612" s="379"/>
      <c r="AX612" s="379"/>
      <c r="AY612" s="379"/>
      <c r="AZ612" s="379"/>
      <c r="BA612" s="379"/>
      <c r="BB612" s="379"/>
      <c r="BC612" s="379"/>
      <c r="BD612" s="379"/>
      <c r="BE612" s="379"/>
      <c r="BF612" s="379"/>
      <c r="BG612" s="379"/>
      <c r="BH612" s="379"/>
      <c r="BI612" s="379"/>
      <c r="BJ612" s="379"/>
      <c r="BK612" s="379"/>
      <c r="BL612" s="379"/>
      <c r="BM612" s="379"/>
      <c r="BN612" s="379"/>
      <c r="BO612" s="379"/>
      <c r="BP612" s="379"/>
      <c r="BQ612" s="379"/>
      <c r="BR612" s="379"/>
      <c r="BS612" s="379"/>
      <c r="BT612" s="379"/>
      <c r="BU612" s="379"/>
      <c r="BV612" s="379"/>
      <c r="BW612" s="379"/>
      <c r="BX612" s="379"/>
      <c r="BY612" s="379"/>
      <c r="BZ612" s="379"/>
      <c r="CA612" s="281"/>
      <c r="CB612" s="3" t="str">
        <f t="shared" si="78"/>
        <v>Riadok bude skrytý.</v>
      </c>
      <c r="CC612" s="271" t="s">
        <v>832</v>
      </c>
      <c r="CW612" s="30">
        <f t="shared" si="83"/>
        <v>0</v>
      </c>
      <c r="CZ612" s="30">
        <f t="shared" si="82"/>
        <v>1</v>
      </c>
      <c r="DA612" s="30">
        <f t="shared" si="80"/>
        <v>0</v>
      </c>
      <c r="DB612" s="140">
        <f t="shared" si="77"/>
        <v>0</v>
      </c>
      <c r="DS612" s="130">
        <f>SI!BY612</f>
        <v>145</v>
      </c>
      <c r="DZ612" s="131">
        <f>SI!BZ612</f>
        <v>0</v>
      </c>
    </row>
    <row r="613" spans="1:130" hidden="1" x14ac:dyDescent="0.25">
      <c r="A613" s="141"/>
      <c r="B613" s="379"/>
      <c r="C613" s="379"/>
      <c r="D613" s="379"/>
      <c r="E613" s="379"/>
      <c r="F613" s="379"/>
      <c r="G613" s="379"/>
      <c r="H613" s="379"/>
      <c r="I613" s="379"/>
      <c r="J613" s="379"/>
      <c r="K613" s="379"/>
      <c r="L613" s="379"/>
      <c r="M613" s="379"/>
      <c r="N613" s="379"/>
      <c r="O613" s="379"/>
      <c r="P613" s="379"/>
      <c r="Q613" s="379"/>
      <c r="R613" s="379"/>
      <c r="S613" s="379"/>
      <c r="T613" s="379"/>
      <c r="U613" s="379"/>
      <c r="V613" s="379"/>
      <c r="W613" s="379"/>
      <c r="X613" s="379"/>
      <c r="Y613" s="379"/>
      <c r="Z613" s="379"/>
      <c r="AA613" s="379"/>
      <c r="AB613" s="379"/>
      <c r="AC613" s="379"/>
      <c r="AD613" s="379"/>
      <c r="AE613" s="379"/>
      <c r="AF613" s="379"/>
      <c r="AG613" s="379"/>
      <c r="AH613" s="379"/>
      <c r="AI613" s="379"/>
      <c r="AJ613" s="379"/>
      <c r="AK613" s="379"/>
      <c r="AL613" s="379"/>
      <c r="AM613" s="379"/>
      <c r="AN613" s="379"/>
      <c r="AO613" s="379"/>
      <c r="AP613" s="379"/>
      <c r="AQ613" s="379"/>
      <c r="AR613" s="379"/>
      <c r="AS613" s="379"/>
      <c r="AT613" s="379"/>
      <c r="AU613" s="379"/>
      <c r="AV613" s="379"/>
      <c r="AW613" s="379"/>
      <c r="AX613" s="379"/>
      <c r="AY613" s="379"/>
      <c r="AZ613" s="379"/>
      <c r="BA613" s="379"/>
      <c r="BB613" s="379"/>
      <c r="BC613" s="379"/>
      <c r="BD613" s="379"/>
      <c r="BE613" s="379"/>
      <c r="BF613" s="379"/>
      <c r="BG613" s="379"/>
      <c r="BH613" s="379"/>
      <c r="BI613" s="379"/>
      <c r="BJ613" s="379"/>
      <c r="BK613" s="379"/>
      <c r="BL613" s="379"/>
      <c r="BM613" s="379"/>
      <c r="BN613" s="379"/>
      <c r="BO613" s="379"/>
      <c r="BP613" s="379"/>
      <c r="BQ613" s="379"/>
      <c r="BR613" s="379"/>
      <c r="BS613" s="379"/>
      <c r="BT613" s="379"/>
      <c r="BU613" s="379"/>
      <c r="BV613" s="379"/>
      <c r="BW613" s="379"/>
      <c r="BX613" s="379"/>
      <c r="BY613" s="379"/>
      <c r="BZ613" s="379"/>
      <c r="CA613" s="281"/>
      <c r="CB613" s="3" t="str">
        <f t="shared" si="78"/>
        <v>Riadok bude skrytý.</v>
      </c>
      <c r="CC613" s="271" t="s">
        <v>832</v>
      </c>
      <c r="CW613" s="30">
        <f t="shared" si="83"/>
        <v>0</v>
      </c>
      <c r="CZ613" s="30">
        <f t="shared" si="82"/>
        <v>1</v>
      </c>
      <c r="DA613" s="30">
        <f t="shared" si="80"/>
        <v>0</v>
      </c>
      <c r="DB613" s="140">
        <f t="shared" si="77"/>
        <v>0</v>
      </c>
      <c r="DS613" s="130">
        <f>SI!BY613</f>
        <v>1137</v>
      </c>
      <c r="DZ613" s="131">
        <f>SI!BZ613</f>
        <v>0</v>
      </c>
    </row>
    <row r="614" spans="1:130" hidden="1" x14ac:dyDescent="0.25">
      <c r="A614" s="141"/>
      <c r="B614" s="379"/>
      <c r="C614" s="379"/>
      <c r="D614" s="379"/>
      <c r="E614" s="379"/>
      <c r="F614" s="379"/>
      <c r="G614" s="379"/>
      <c r="H614" s="379"/>
      <c r="I614" s="379"/>
      <c r="J614" s="379"/>
      <c r="K614" s="379"/>
      <c r="L614" s="379"/>
      <c r="M614" s="379"/>
      <c r="N614" s="379"/>
      <c r="O614" s="379"/>
      <c r="P614" s="379"/>
      <c r="Q614" s="379"/>
      <c r="R614" s="379"/>
      <c r="S614" s="379"/>
      <c r="T614" s="379"/>
      <c r="U614" s="379"/>
      <c r="V614" s="379"/>
      <c r="W614" s="379"/>
      <c r="X614" s="379"/>
      <c r="Y614" s="379"/>
      <c r="Z614" s="379"/>
      <c r="AA614" s="379"/>
      <c r="AB614" s="379"/>
      <c r="AC614" s="379"/>
      <c r="AD614" s="379"/>
      <c r="AE614" s="379"/>
      <c r="AF614" s="379"/>
      <c r="AG614" s="379"/>
      <c r="AH614" s="379"/>
      <c r="AI614" s="379"/>
      <c r="AJ614" s="379"/>
      <c r="AK614" s="379"/>
      <c r="AL614" s="379"/>
      <c r="AM614" s="379"/>
      <c r="AN614" s="379"/>
      <c r="AO614" s="379"/>
      <c r="AP614" s="379"/>
      <c r="AQ614" s="379"/>
      <c r="AR614" s="379"/>
      <c r="AS614" s="379"/>
      <c r="AT614" s="379"/>
      <c r="AU614" s="379"/>
      <c r="AV614" s="379"/>
      <c r="AW614" s="379"/>
      <c r="AX614" s="379"/>
      <c r="AY614" s="379"/>
      <c r="AZ614" s="379"/>
      <c r="BA614" s="379"/>
      <c r="BB614" s="379"/>
      <c r="BC614" s="379"/>
      <c r="BD614" s="379"/>
      <c r="BE614" s="379"/>
      <c r="BF614" s="379"/>
      <c r="BG614" s="379"/>
      <c r="BH614" s="379"/>
      <c r="BI614" s="379"/>
      <c r="BJ614" s="379"/>
      <c r="BK614" s="379"/>
      <c r="BL614" s="379"/>
      <c r="BM614" s="379"/>
      <c r="BN614" s="379"/>
      <c r="BO614" s="379"/>
      <c r="BP614" s="379"/>
      <c r="BQ614" s="379"/>
      <c r="BR614" s="379"/>
      <c r="BS614" s="379"/>
      <c r="BT614" s="379"/>
      <c r="BU614" s="379"/>
      <c r="BV614" s="379"/>
      <c r="BW614" s="379"/>
      <c r="BX614" s="379"/>
      <c r="BY614" s="379"/>
      <c r="BZ614" s="379"/>
      <c r="CA614" s="281"/>
      <c r="CB614" s="3" t="str">
        <f t="shared" si="78"/>
        <v>Riadok bude skrytý.</v>
      </c>
      <c r="CC614" s="271" t="s">
        <v>832</v>
      </c>
      <c r="CW614" s="30">
        <f t="shared" si="83"/>
        <v>0</v>
      </c>
      <c r="CZ614" s="30">
        <f t="shared" si="82"/>
        <v>1</v>
      </c>
      <c r="DA614" s="30">
        <f t="shared" si="80"/>
        <v>0</v>
      </c>
      <c r="DB614" s="140">
        <f t="shared" si="77"/>
        <v>0</v>
      </c>
      <c r="DS614" s="130">
        <f>SI!BY614</f>
        <v>193</v>
      </c>
      <c r="DZ614" s="131">
        <f>SI!BZ614</f>
        <v>0</v>
      </c>
    </row>
    <row r="615" spans="1:130" hidden="1" x14ac:dyDescent="0.25">
      <c r="A615" s="141"/>
      <c r="B615" s="379"/>
      <c r="C615" s="379"/>
      <c r="D615" s="379"/>
      <c r="E615" s="379"/>
      <c r="F615" s="379"/>
      <c r="G615" s="379"/>
      <c r="H615" s="379"/>
      <c r="I615" s="379"/>
      <c r="J615" s="379"/>
      <c r="K615" s="379"/>
      <c r="L615" s="379"/>
      <c r="M615" s="379"/>
      <c r="N615" s="379"/>
      <c r="O615" s="379"/>
      <c r="P615" s="379"/>
      <c r="Q615" s="379"/>
      <c r="R615" s="379"/>
      <c r="S615" s="379"/>
      <c r="T615" s="379"/>
      <c r="U615" s="379"/>
      <c r="V615" s="379"/>
      <c r="W615" s="379"/>
      <c r="X615" s="379"/>
      <c r="Y615" s="379"/>
      <c r="Z615" s="379"/>
      <c r="AA615" s="379"/>
      <c r="AB615" s="379"/>
      <c r="AC615" s="379"/>
      <c r="AD615" s="379"/>
      <c r="AE615" s="379"/>
      <c r="AF615" s="379"/>
      <c r="AG615" s="379"/>
      <c r="AH615" s="379"/>
      <c r="AI615" s="379"/>
      <c r="AJ615" s="379"/>
      <c r="AK615" s="379"/>
      <c r="AL615" s="379"/>
      <c r="AM615" s="379"/>
      <c r="AN615" s="379"/>
      <c r="AO615" s="379"/>
      <c r="AP615" s="379"/>
      <c r="AQ615" s="379"/>
      <c r="AR615" s="379"/>
      <c r="AS615" s="379"/>
      <c r="AT615" s="379"/>
      <c r="AU615" s="379"/>
      <c r="AV615" s="379"/>
      <c r="AW615" s="379"/>
      <c r="AX615" s="379"/>
      <c r="AY615" s="379"/>
      <c r="AZ615" s="379"/>
      <c r="BA615" s="379"/>
      <c r="BB615" s="379"/>
      <c r="BC615" s="379"/>
      <c r="BD615" s="379"/>
      <c r="BE615" s="379"/>
      <c r="BF615" s="379"/>
      <c r="BG615" s="379"/>
      <c r="BH615" s="379"/>
      <c r="BI615" s="379"/>
      <c r="BJ615" s="379"/>
      <c r="BK615" s="379"/>
      <c r="BL615" s="379"/>
      <c r="BM615" s="379"/>
      <c r="BN615" s="379"/>
      <c r="BO615" s="379"/>
      <c r="BP615" s="379"/>
      <c r="BQ615" s="379"/>
      <c r="BR615" s="379"/>
      <c r="BS615" s="379"/>
      <c r="BT615" s="379"/>
      <c r="BU615" s="379"/>
      <c r="BV615" s="379"/>
      <c r="BW615" s="379"/>
      <c r="BX615" s="379"/>
      <c r="BY615" s="379"/>
      <c r="BZ615" s="379"/>
      <c r="CA615" s="281"/>
      <c r="CB615" s="3" t="str">
        <f t="shared" si="78"/>
        <v>Riadok bude skrytý.</v>
      </c>
      <c r="CC615" s="271" t="s">
        <v>832</v>
      </c>
      <c r="CW615" s="30">
        <f t="shared" si="83"/>
        <v>0</v>
      </c>
      <c r="CZ615" s="30">
        <f t="shared" si="82"/>
        <v>1</v>
      </c>
      <c r="DA615" s="30">
        <f t="shared" si="80"/>
        <v>0</v>
      </c>
      <c r="DB615" s="140">
        <f t="shared" si="77"/>
        <v>0</v>
      </c>
      <c r="DS615" s="130">
        <f>SI!BY615</f>
        <v>639</v>
      </c>
      <c r="DZ615" s="131">
        <f>SI!BZ615</f>
        <v>0</v>
      </c>
    </row>
    <row r="616" spans="1:130" hidden="1" x14ac:dyDescent="0.25">
      <c r="A616" s="141"/>
      <c r="B616" s="379"/>
      <c r="C616" s="379"/>
      <c r="D616" s="379"/>
      <c r="E616" s="379"/>
      <c r="F616" s="379"/>
      <c r="G616" s="379"/>
      <c r="H616" s="379"/>
      <c r="I616" s="379"/>
      <c r="J616" s="379"/>
      <c r="K616" s="379"/>
      <c r="L616" s="379"/>
      <c r="M616" s="379"/>
      <c r="N616" s="379"/>
      <c r="O616" s="379"/>
      <c r="P616" s="379"/>
      <c r="Q616" s="379"/>
      <c r="R616" s="379"/>
      <c r="S616" s="379"/>
      <c r="T616" s="379"/>
      <c r="U616" s="379"/>
      <c r="V616" s="379"/>
      <c r="W616" s="379"/>
      <c r="X616" s="379"/>
      <c r="Y616" s="379"/>
      <c r="Z616" s="379"/>
      <c r="AA616" s="379"/>
      <c r="AB616" s="379"/>
      <c r="AC616" s="379"/>
      <c r="AD616" s="379"/>
      <c r="AE616" s="379"/>
      <c r="AF616" s="379"/>
      <c r="AG616" s="379"/>
      <c r="AH616" s="379"/>
      <c r="AI616" s="379"/>
      <c r="AJ616" s="379"/>
      <c r="AK616" s="379"/>
      <c r="AL616" s="379"/>
      <c r="AM616" s="379"/>
      <c r="AN616" s="379"/>
      <c r="AO616" s="379"/>
      <c r="AP616" s="379"/>
      <c r="AQ616" s="379"/>
      <c r="AR616" s="379"/>
      <c r="AS616" s="379"/>
      <c r="AT616" s="379"/>
      <c r="AU616" s="379"/>
      <c r="AV616" s="379"/>
      <c r="AW616" s="379"/>
      <c r="AX616" s="379"/>
      <c r="AY616" s="379"/>
      <c r="AZ616" s="379"/>
      <c r="BA616" s="379"/>
      <c r="BB616" s="379"/>
      <c r="BC616" s="379"/>
      <c r="BD616" s="379"/>
      <c r="BE616" s="379"/>
      <c r="BF616" s="379"/>
      <c r="BG616" s="379"/>
      <c r="BH616" s="379"/>
      <c r="BI616" s="379"/>
      <c r="BJ616" s="379"/>
      <c r="BK616" s="379"/>
      <c r="BL616" s="379"/>
      <c r="BM616" s="379"/>
      <c r="BN616" s="379"/>
      <c r="BO616" s="379"/>
      <c r="BP616" s="379"/>
      <c r="BQ616" s="379"/>
      <c r="BR616" s="379"/>
      <c r="BS616" s="379"/>
      <c r="BT616" s="379"/>
      <c r="BU616" s="379"/>
      <c r="BV616" s="379"/>
      <c r="BW616" s="379"/>
      <c r="BX616" s="379"/>
      <c r="BY616" s="379"/>
      <c r="BZ616" s="379"/>
      <c r="CA616" s="281"/>
      <c r="CB616" s="3" t="str">
        <f t="shared" si="78"/>
        <v>Riadok bude skrytý.</v>
      </c>
      <c r="CC616" s="271" t="s">
        <v>832</v>
      </c>
      <c r="CW616" s="30">
        <f t="shared" si="83"/>
        <v>0</v>
      </c>
      <c r="CZ616" s="30">
        <f t="shared" si="82"/>
        <v>1</v>
      </c>
      <c r="DA616" s="30">
        <f t="shared" si="80"/>
        <v>0</v>
      </c>
      <c r="DB616" s="140">
        <f t="shared" si="77"/>
        <v>0</v>
      </c>
      <c r="DS616" s="130">
        <f>SI!BY616</f>
        <v>188</v>
      </c>
      <c r="DZ616" s="131">
        <f>SI!BZ616</f>
        <v>0</v>
      </c>
    </row>
    <row r="617" spans="1:130" hidden="1" x14ac:dyDescent="0.25">
      <c r="A617" s="141"/>
      <c r="B617" s="379"/>
      <c r="C617" s="379"/>
      <c r="D617" s="379"/>
      <c r="E617" s="379"/>
      <c r="F617" s="379"/>
      <c r="G617" s="379"/>
      <c r="H617" s="379"/>
      <c r="I617" s="379"/>
      <c r="J617" s="379"/>
      <c r="K617" s="379"/>
      <c r="L617" s="379"/>
      <c r="M617" s="379"/>
      <c r="N617" s="379"/>
      <c r="O617" s="379"/>
      <c r="P617" s="379"/>
      <c r="Q617" s="379"/>
      <c r="R617" s="379"/>
      <c r="S617" s="379"/>
      <c r="T617" s="379"/>
      <c r="U617" s="379"/>
      <c r="V617" s="379"/>
      <c r="W617" s="379"/>
      <c r="X617" s="379"/>
      <c r="Y617" s="379"/>
      <c r="Z617" s="379"/>
      <c r="AA617" s="379"/>
      <c r="AB617" s="379"/>
      <c r="AC617" s="379"/>
      <c r="AD617" s="379"/>
      <c r="AE617" s="379"/>
      <c r="AF617" s="379"/>
      <c r="AG617" s="379"/>
      <c r="AH617" s="379"/>
      <c r="AI617" s="379"/>
      <c r="AJ617" s="379"/>
      <c r="AK617" s="379"/>
      <c r="AL617" s="379"/>
      <c r="AM617" s="379"/>
      <c r="AN617" s="379"/>
      <c r="AO617" s="379"/>
      <c r="AP617" s="379"/>
      <c r="AQ617" s="379"/>
      <c r="AR617" s="379"/>
      <c r="AS617" s="379"/>
      <c r="AT617" s="379"/>
      <c r="AU617" s="379"/>
      <c r="AV617" s="379"/>
      <c r="AW617" s="379"/>
      <c r="AX617" s="379"/>
      <c r="AY617" s="379"/>
      <c r="AZ617" s="379"/>
      <c r="BA617" s="379"/>
      <c r="BB617" s="379"/>
      <c r="BC617" s="379"/>
      <c r="BD617" s="379"/>
      <c r="BE617" s="379"/>
      <c r="BF617" s="379"/>
      <c r="BG617" s="379"/>
      <c r="BH617" s="379"/>
      <c r="BI617" s="379"/>
      <c r="BJ617" s="379"/>
      <c r="BK617" s="379"/>
      <c r="BL617" s="379"/>
      <c r="BM617" s="379"/>
      <c r="BN617" s="379"/>
      <c r="BO617" s="379"/>
      <c r="BP617" s="379"/>
      <c r="BQ617" s="379"/>
      <c r="BR617" s="379"/>
      <c r="BS617" s="379"/>
      <c r="BT617" s="379"/>
      <c r="BU617" s="379"/>
      <c r="BV617" s="379"/>
      <c r="BW617" s="379"/>
      <c r="BX617" s="379"/>
      <c r="BY617" s="379"/>
      <c r="BZ617" s="379"/>
      <c r="CA617" s="281"/>
      <c r="CB617" s="3" t="str">
        <f t="shared" si="78"/>
        <v>Riadok bude skrytý.</v>
      </c>
      <c r="CC617" s="271" t="s">
        <v>832</v>
      </c>
      <c r="CW617" s="30">
        <f t="shared" si="83"/>
        <v>0</v>
      </c>
      <c r="CZ617" s="30">
        <f t="shared" si="82"/>
        <v>1</v>
      </c>
      <c r="DA617" s="30">
        <f t="shared" si="80"/>
        <v>0</v>
      </c>
      <c r="DB617" s="140">
        <f t="shared" si="77"/>
        <v>0</v>
      </c>
      <c r="DS617" s="130">
        <f>SI!BY617</f>
        <v>1102</v>
      </c>
      <c r="DZ617" s="131">
        <f>SI!BZ617</f>
        <v>0</v>
      </c>
    </row>
    <row r="618" spans="1:130" hidden="1" x14ac:dyDescent="0.25">
      <c r="A618" s="141"/>
      <c r="B618" s="379"/>
      <c r="C618" s="379"/>
      <c r="D618" s="379"/>
      <c r="E618" s="379"/>
      <c r="F618" s="379"/>
      <c r="G618" s="379"/>
      <c r="H618" s="379"/>
      <c r="I618" s="379"/>
      <c r="J618" s="379"/>
      <c r="K618" s="379"/>
      <c r="L618" s="379"/>
      <c r="M618" s="379"/>
      <c r="N618" s="379"/>
      <c r="O618" s="379"/>
      <c r="P618" s="379"/>
      <c r="Q618" s="379"/>
      <c r="R618" s="379"/>
      <c r="S618" s="379"/>
      <c r="T618" s="379"/>
      <c r="U618" s="379"/>
      <c r="V618" s="379"/>
      <c r="W618" s="379"/>
      <c r="X618" s="379"/>
      <c r="Y618" s="379"/>
      <c r="Z618" s="379"/>
      <c r="AA618" s="379"/>
      <c r="AB618" s="379"/>
      <c r="AC618" s="379"/>
      <c r="AD618" s="379"/>
      <c r="AE618" s="379"/>
      <c r="AF618" s="379"/>
      <c r="AG618" s="379"/>
      <c r="AH618" s="379"/>
      <c r="AI618" s="379"/>
      <c r="AJ618" s="379"/>
      <c r="AK618" s="379"/>
      <c r="AL618" s="379"/>
      <c r="AM618" s="379"/>
      <c r="AN618" s="379"/>
      <c r="AO618" s="379"/>
      <c r="AP618" s="379"/>
      <c r="AQ618" s="379"/>
      <c r="AR618" s="379"/>
      <c r="AS618" s="379"/>
      <c r="AT618" s="379"/>
      <c r="AU618" s="379"/>
      <c r="AV618" s="379"/>
      <c r="AW618" s="379"/>
      <c r="AX618" s="379"/>
      <c r="AY618" s="379"/>
      <c r="AZ618" s="379"/>
      <c r="BA618" s="379"/>
      <c r="BB618" s="379"/>
      <c r="BC618" s="379"/>
      <c r="BD618" s="379"/>
      <c r="BE618" s="379"/>
      <c r="BF618" s="379"/>
      <c r="BG618" s="379"/>
      <c r="BH618" s="379"/>
      <c r="BI618" s="379"/>
      <c r="BJ618" s="379"/>
      <c r="BK618" s="379"/>
      <c r="BL618" s="379"/>
      <c r="BM618" s="379"/>
      <c r="BN618" s="379"/>
      <c r="BO618" s="379"/>
      <c r="BP618" s="379"/>
      <c r="BQ618" s="379"/>
      <c r="BR618" s="379"/>
      <c r="BS618" s="379"/>
      <c r="BT618" s="379"/>
      <c r="BU618" s="379"/>
      <c r="BV618" s="379"/>
      <c r="BW618" s="379"/>
      <c r="BX618" s="379"/>
      <c r="BY618" s="379"/>
      <c r="BZ618" s="379"/>
      <c r="CA618" s="281"/>
      <c r="CB618" s="3" t="str">
        <f t="shared" si="78"/>
        <v>Riadok bude skrytý.</v>
      </c>
      <c r="CC618" s="271" t="s">
        <v>832</v>
      </c>
      <c r="CW618" s="30">
        <f t="shared" si="83"/>
        <v>0</v>
      </c>
      <c r="CZ618" s="30">
        <f t="shared" si="82"/>
        <v>1</v>
      </c>
      <c r="DA618" s="30">
        <f t="shared" si="80"/>
        <v>0</v>
      </c>
      <c r="DB618" s="140">
        <f t="shared" si="77"/>
        <v>0</v>
      </c>
      <c r="DS618" s="130">
        <f>SI!BY618</f>
        <v>177</v>
      </c>
      <c r="DZ618" s="131">
        <f>SI!BZ618</f>
        <v>0</v>
      </c>
    </row>
    <row r="619" spans="1:130" hidden="1" x14ac:dyDescent="0.25">
      <c r="A619" s="141"/>
      <c r="B619" s="379"/>
      <c r="C619" s="379"/>
      <c r="D619" s="379"/>
      <c r="E619" s="379"/>
      <c r="F619" s="379"/>
      <c r="G619" s="379"/>
      <c r="H619" s="379"/>
      <c r="I619" s="379"/>
      <c r="J619" s="379"/>
      <c r="K619" s="379"/>
      <c r="L619" s="379"/>
      <c r="M619" s="379"/>
      <c r="N619" s="379"/>
      <c r="O619" s="379"/>
      <c r="P619" s="379"/>
      <c r="Q619" s="379"/>
      <c r="R619" s="379"/>
      <c r="S619" s="379"/>
      <c r="T619" s="379"/>
      <c r="U619" s="379"/>
      <c r="V619" s="379"/>
      <c r="W619" s="379"/>
      <c r="X619" s="379"/>
      <c r="Y619" s="379"/>
      <c r="Z619" s="379"/>
      <c r="AA619" s="379"/>
      <c r="AB619" s="379"/>
      <c r="AC619" s="379"/>
      <c r="AD619" s="379"/>
      <c r="AE619" s="379"/>
      <c r="AF619" s="379"/>
      <c r="AG619" s="379"/>
      <c r="AH619" s="379"/>
      <c r="AI619" s="379"/>
      <c r="AJ619" s="379"/>
      <c r="AK619" s="379"/>
      <c r="AL619" s="379"/>
      <c r="AM619" s="379"/>
      <c r="AN619" s="379"/>
      <c r="AO619" s="379"/>
      <c r="AP619" s="379"/>
      <c r="AQ619" s="379"/>
      <c r="AR619" s="379"/>
      <c r="AS619" s="379"/>
      <c r="AT619" s="379"/>
      <c r="AU619" s="379"/>
      <c r="AV619" s="379"/>
      <c r="AW619" s="379"/>
      <c r="AX619" s="379"/>
      <c r="AY619" s="379"/>
      <c r="AZ619" s="379"/>
      <c r="BA619" s="379"/>
      <c r="BB619" s="379"/>
      <c r="BC619" s="379"/>
      <c r="BD619" s="379"/>
      <c r="BE619" s="379"/>
      <c r="BF619" s="379"/>
      <c r="BG619" s="379"/>
      <c r="BH619" s="379"/>
      <c r="BI619" s="379"/>
      <c r="BJ619" s="379"/>
      <c r="BK619" s="379"/>
      <c r="BL619" s="379"/>
      <c r="BM619" s="379"/>
      <c r="BN619" s="379"/>
      <c r="BO619" s="379"/>
      <c r="BP619" s="379"/>
      <c r="BQ619" s="379"/>
      <c r="BR619" s="379"/>
      <c r="BS619" s="379"/>
      <c r="BT619" s="379"/>
      <c r="BU619" s="379"/>
      <c r="BV619" s="379"/>
      <c r="BW619" s="379"/>
      <c r="BX619" s="379"/>
      <c r="BY619" s="379"/>
      <c r="BZ619" s="379"/>
      <c r="CA619" s="281"/>
      <c r="CB619" s="3" t="str">
        <f t="shared" si="78"/>
        <v>Riadok bude skrytý.</v>
      </c>
      <c r="CC619" s="271" t="s">
        <v>832</v>
      </c>
      <c r="CW619" s="30">
        <f t="shared" si="83"/>
        <v>0</v>
      </c>
      <c r="CZ619" s="30">
        <f t="shared" si="82"/>
        <v>1</v>
      </c>
      <c r="DA619" s="30">
        <f t="shared" si="80"/>
        <v>0</v>
      </c>
      <c r="DB619" s="140">
        <f t="shared" si="77"/>
        <v>0</v>
      </c>
      <c r="DS619" s="130">
        <f>SI!BY619</f>
        <v>381</v>
      </c>
      <c r="DZ619" s="131">
        <f>SI!BZ619</f>
        <v>0</v>
      </c>
    </row>
    <row r="620" spans="1:130" hidden="1" x14ac:dyDescent="0.25">
      <c r="A620" s="141"/>
      <c r="B620" s="379"/>
      <c r="C620" s="379"/>
      <c r="D620" s="379"/>
      <c r="E620" s="379"/>
      <c r="F620" s="379"/>
      <c r="G620" s="379"/>
      <c r="H620" s="379"/>
      <c r="I620" s="379"/>
      <c r="J620" s="379"/>
      <c r="K620" s="379"/>
      <c r="L620" s="379"/>
      <c r="M620" s="379"/>
      <c r="N620" s="379"/>
      <c r="O620" s="379"/>
      <c r="P620" s="379"/>
      <c r="Q620" s="379"/>
      <c r="R620" s="379"/>
      <c r="S620" s="379"/>
      <c r="T620" s="379"/>
      <c r="U620" s="379"/>
      <c r="V620" s="379"/>
      <c r="W620" s="379"/>
      <c r="X620" s="379"/>
      <c r="Y620" s="379"/>
      <c r="Z620" s="379"/>
      <c r="AA620" s="379"/>
      <c r="AB620" s="379"/>
      <c r="AC620" s="379"/>
      <c r="AD620" s="379"/>
      <c r="AE620" s="379"/>
      <c r="AF620" s="379"/>
      <c r="AG620" s="379"/>
      <c r="AH620" s="379"/>
      <c r="AI620" s="379"/>
      <c r="AJ620" s="379"/>
      <c r="AK620" s="379"/>
      <c r="AL620" s="379"/>
      <c r="AM620" s="379"/>
      <c r="AN620" s="379"/>
      <c r="AO620" s="379"/>
      <c r="AP620" s="379"/>
      <c r="AQ620" s="379"/>
      <c r="AR620" s="379"/>
      <c r="AS620" s="379"/>
      <c r="AT620" s="379"/>
      <c r="AU620" s="379"/>
      <c r="AV620" s="379"/>
      <c r="AW620" s="379"/>
      <c r="AX620" s="379"/>
      <c r="AY620" s="379"/>
      <c r="AZ620" s="379"/>
      <c r="BA620" s="379"/>
      <c r="BB620" s="379"/>
      <c r="BC620" s="379"/>
      <c r="BD620" s="379"/>
      <c r="BE620" s="379"/>
      <c r="BF620" s="379"/>
      <c r="BG620" s="379"/>
      <c r="BH620" s="379"/>
      <c r="BI620" s="379"/>
      <c r="BJ620" s="379"/>
      <c r="BK620" s="379"/>
      <c r="BL620" s="379"/>
      <c r="BM620" s="379"/>
      <c r="BN620" s="379"/>
      <c r="BO620" s="379"/>
      <c r="BP620" s="379"/>
      <c r="BQ620" s="379"/>
      <c r="BR620" s="379"/>
      <c r="BS620" s="379"/>
      <c r="BT620" s="379"/>
      <c r="BU620" s="379"/>
      <c r="BV620" s="379"/>
      <c r="BW620" s="379"/>
      <c r="BX620" s="379"/>
      <c r="BY620" s="379"/>
      <c r="BZ620" s="379"/>
      <c r="CA620" s="281"/>
      <c r="CB620" s="3" t="str">
        <f t="shared" si="78"/>
        <v>Riadok bude skrytý.</v>
      </c>
      <c r="CC620" s="271" t="s">
        <v>832</v>
      </c>
      <c r="CW620" s="30">
        <f t="shared" si="83"/>
        <v>0</v>
      </c>
      <c r="CZ620" s="30">
        <f t="shared" si="82"/>
        <v>1</v>
      </c>
      <c r="DA620" s="30">
        <f t="shared" si="80"/>
        <v>0</v>
      </c>
      <c r="DB620" s="140">
        <f t="shared" si="77"/>
        <v>0</v>
      </c>
      <c r="DS620" s="130">
        <f>SI!BY620</f>
        <v>149</v>
      </c>
      <c r="DZ620" s="131">
        <f>SI!BZ620</f>
        <v>0</v>
      </c>
    </row>
    <row r="621" spans="1:130" hidden="1" x14ac:dyDescent="0.25">
      <c r="A621" s="141"/>
      <c r="B621" s="379"/>
      <c r="C621" s="379"/>
      <c r="D621" s="379"/>
      <c r="E621" s="379"/>
      <c r="F621" s="379"/>
      <c r="G621" s="379"/>
      <c r="H621" s="379"/>
      <c r="I621" s="379"/>
      <c r="J621" s="379"/>
      <c r="K621" s="379"/>
      <c r="L621" s="379"/>
      <c r="M621" s="379"/>
      <c r="N621" s="379"/>
      <c r="O621" s="379"/>
      <c r="P621" s="379"/>
      <c r="Q621" s="379"/>
      <c r="R621" s="379"/>
      <c r="S621" s="379"/>
      <c r="T621" s="379"/>
      <c r="U621" s="379"/>
      <c r="V621" s="379"/>
      <c r="W621" s="379"/>
      <c r="X621" s="379"/>
      <c r="Y621" s="379"/>
      <c r="Z621" s="379"/>
      <c r="AA621" s="379"/>
      <c r="AB621" s="379"/>
      <c r="AC621" s="379"/>
      <c r="AD621" s="379"/>
      <c r="AE621" s="379"/>
      <c r="AF621" s="379"/>
      <c r="AG621" s="379"/>
      <c r="AH621" s="379"/>
      <c r="AI621" s="379"/>
      <c r="AJ621" s="379"/>
      <c r="AK621" s="379"/>
      <c r="AL621" s="379"/>
      <c r="AM621" s="379"/>
      <c r="AN621" s="379"/>
      <c r="AO621" s="379"/>
      <c r="AP621" s="379"/>
      <c r="AQ621" s="379"/>
      <c r="AR621" s="379"/>
      <c r="AS621" s="379"/>
      <c r="AT621" s="379"/>
      <c r="AU621" s="379"/>
      <c r="AV621" s="379"/>
      <c r="AW621" s="379"/>
      <c r="AX621" s="379"/>
      <c r="AY621" s="379"/>
      <c r="AZ621" s="379"/>
      <c r="BA621" s="379"/>
      <c r="BB621" s="379"/>
      <c r="BC621" s="379"/>
      <c r="BD621" s="379"/>
      <c r="BE621" s="379"/>
      <c r="BF621" s="379"/>
      <c r="BG621" s="379"/>
      <c r="BH621" s="379"/>
      <c r="BI621" s="379"/>
      <c r="BJ621" s="379"/>
      <c r="BK621" s="379"/>
      <c r="BL621" s="379"/>
      <c r="BM621" s="379"/>
      <c r="BN621" s="379"/>
      <c r="BO621" s="379"/>
      <c r="BP621" s="379"/>
      <c r="BQ621" s="379"/>
      <c r="BR621" s="379"/>
      <c r="BS621" s="379"/>
      <c r="BT621" s="379"/>
      <c r="BU621" s="379"/>
      <c r="BV621" s="379"/>
      <c r="BW621" s="379"/>
      <c r="BX621" s="379"/>
      <c r="BY621" s="379"/>
      <c r="BZ621" s="379"/>
      <c r="CA621" s="281"/>
      <c r="CB621" s="3" t="str">
        <f t="shared" si="78"/>
        <v>Riadok bude skrytý.</v>
      </c>
      <c r="CC621" s="271" t="s">
        <v>832</v>
      </c>
      <c r="CW621" s="30">
        <f t="shared" si="83"/>
        <v>0</v>
      </c>
      <c r="CZ621" s="30">
        <f t="shared" si="82"/>
        <v>1</v>
      </c>
      <c r="DA621" s="30">
        <f t="shared" si="80"/>
        <v>0</v>
      </c>
      <c r="DB621" s="140">
        <f t="shared" si="77"/>
        <v>0</v>
      </c>
      <c r="DS621" s="130">
        <f>SI!BY621</f>
        <v>676</v>
      </c>
      <c r="DZ621" s="131">
        <f>SI!BZ621</f>
        <v>0</v>
      </c>
    </row>
    <row r="622" spans="1:130" hidden="1" x14ac:dyDescent="0.25">
      <c r="A622" s="141"/>
      <c r="B622" s="379"/>
      <c r="C622" s="379"/>
      <c r="D622" s="379"/>
      <c r="E622" s="379"/>
      <c r="F622" s="379"/>
      <c r="G622" s="379"/>
      <c r="H622" s="379"/>
      <c r="I622" s="379"/>
      <c r="J622" s="379"/>
      <c r="K622" s="379"/>
      <c r="L622" s="379"/>
      <c r="M622" s="379"/>
      <c r="N622" s="379"/>
      <c r="O622" s="379"/>
      <c r="P622" s="379"/>
      <c r="Q622" s="379"/>
      <c r="R622" s="379"/>
      <c r="S622" s="379"/>
      <c r="T622" s="379"/>
      <c r="U622" s="379"/>
      <c r="V622" s="379"/>
      <c r="W622" s="379"/>
      <c r="X622" s="379"/>
      <c r="Y622" s="379"/>
      <c r="Z622" s="379"/>
      <c r="AA622" s="379"/>
      <c r="AB622" s="379"/>
      <c r="AC622" s="379"/>
      <c r="AD622" s="379"/>
      <c r="AE622" s="379"/>
      <c r="AF622" s="379"/>
      <c r="AG622" s="379"/>
      <c r="AH622" s="379"/>
      <c r="AI622" s="379"/>
      <c r="AJ622" s="379"/>
      <c r="AK622" s="379"/>
      <c r="AL622" s="379"/>
      <c r="AM622" s="379"/>
      <c r="AN622" s="379"/>
      <c r="AO622" s="379"/>
      <c r="AP622" s="379"/>
      <c r="AQ622" s="379"/>
      <c r="AR622" s="379"/>
      <c r="AS622" s="379"/>
      <c r="AT622" s="379"/>
      <c r="AU622" s="379"/>
      <c r="AV622" s="379"/>
      <c r="AW622" s="379"/>
      <c r="AX622" s="379"/>
      <c r="AY622" s="379"/>
      <c r="AZ622" s="379"/>
      <c r="BA622" s="379"/>
      <c r="BB622" s="379"/>
      <c r="BC622" s="379"/>
      <c r="BD622" s="379"/>
      <c r="BE622" s="379"/>
      <c r="BF622" s="379"/>
      <c r="BG622" s="379"/>
      <c r="BH622" s="379"/>
      <c r="BI622" s="379"/>
      <c r="BJ622" s="379"/>
      <c r="BK622" s="379"/>
      <c r="BL622" s="379"/>
      <c r="BM622" s="379"/>
      <c r="BN622" s="379"/>
      <c r="BO622" s="379"/>
      <c r="BP622" s="379"/>
      <c r="BQ622" s="379"/>
      <c r="BR622" s="379"/>
      <c r="BS622" s="379"/>
      <c r="BT622" s="379"/>
      <c r="BU622" s="379"/>
      <c r="BV622" s="379"/>
      <c r="BW622" s="379"/>
      <c r="BX622" s="379"/>
      <c r="BY622" s="379"/>
      <c r="BZ622" s="379"/>
      <c r="CA622" s="281"/>
      <c r="CB622" s="3" t="str">
        <f t="shared" si="78"/>
        <v>Riadok bude skrytý.</v>
      </c>
      <c r="CC622" s="271" t="s">
        <v>832</v>
      </c>
      <c r="CW622" s="30">
        <f t="shared" si="83"/>
        <v>0</v>
      </c>
      <c r="CZ622" s="30">
        <f t="shared" si="82"/>
        <v>1</v>
      </c>
      <c r="DA622" s="30">
        <f t="shared" si="80"/>
        <v>0</v>
      </c>
      <c r="DB622" s="140">
        <f t="shared" si="77"/>
        <v>0</v>
      </c>
      <c r="DS622" s="130">
        <f>SI!BY622</f>
        <v>203</v>
      </c>
      <c r="DZ622" s="131">
        <f>SI!BZ622</f>
        <v>0</v>
      </c>
    </row>
    <row r="623" spans="1:130" hidden="1" x14ac:dyDescent="0.25">
      <c r="A623" s="141"/>
      <c r="B623" s="379"/>
      <c r="C623" s="379"/>
      <c r="D623" s="379"/>
      <c r="E623" s="379"/>
      <c r="F623" s="379"/>
      <c r="G623" s="379"/>
      <c r="H623" s="379"/>
      <c r="I623" s="379"/>
      <c r="J623" s="379"/>
      <c r="K623" s="379"/>
      <c r="L623" s="379"/>
      <c r="M623" s="379"/>
      <c r="N623" s="379"/>
      <c r="O623" s="379"/>
      <c r="P623" s="379"/>
      <c r="Q623" s="379"/>
      <c r="R623" s="379"/>
      <c r="S623" s="379"/>
      <c r="T623" s="379"/>
      <c r="U623" s="379"/>
      <c r="V623" s="379"/>
      <c r="W623" s="379"/>
      <c r="X623" s="379"/>
      <c r="Y623" s="379"/>
      <c r="Z623" s="379"/>
      <c r="AA623" s="379"/>
      <c r="AB623" s="379"/>
      <c r="AC623" s="379"/>
      <c r="AD623" s="379"/>
      <c r="AE623" s="379"/>
      <c r="AF623" s="379"/>
      <c r="AG623" s="379"/>
      <c r="AH623" s="379"/>
      <c r="AI623" s="379"/>
      <c r="AJ623" s="379"/>
      <c r="AK623" s="379"/>
      <c r="AL623" s="379"/>
      <c r="AM623" s="379"/>
      <c r="AN623" s="379"/>
      <c r="AO623" s="379"/>
      <c r="AP623" s="379"/>
      <c r="AQ623" s="379"/>
      <c r="AR623" s="379"/>
      <c r="AS623" s="379"/>
      <c r="AT623" s="379"/>
      <c r="AU623" s="379"/>
      <c r="AV623" s="379"/>
      <c r="AW623" s="379"/>
      <c r="AX623" s="379"/>
      <c r="AY623" s="379"/>
      <c r="AZ623" s="379"/>
      <c r="BA623" s="379"/>
      <c r="BB623" s="379"/>
      <c r="BC623" s="379"/>
      <c r="BD623" s="379"/>
      <c r="BE623" s="379"/>
      <c r="BF623" s="379"/>
      <c r="BG623" s="379"/>
      <c r="BH623" s="379"/>
      <c r="BI623" s="379"/>
      <c r="BJ623" s="379"/>
      <c r="BK623" s="379"/>
      <c r="BL623" s="379"/>
      <c r="BM623" s="379"/>
      <c r="BN623" s="379"/>
      <c r="BO623" s="379"/>
      <c r="BP623" s="379"/>
      <c r="BQ623" s="379"/>
      <c r="BR623" s="379"/>
      <c r="BS623" s="379"/>
      <c r="BT623" s="379"/>
      <c r="BU623" s="379"/>
      <c r="BV623" s="379"/>
      <c r="BW623" s="379"/>
      <c r="BX623" s="379"/>
      <c r="BY623" s="379"/>
      <c r="BZ623" s="379"/>
      <c r="CA623" s="281"/>
      <c r="CB623" s="3" t="str">
        <f t="shared" si="78"/>
        <v>Riadok bude skrytý.</v>
      </c>
      <c r="CC623" s="271" t="s">
        <v>832</v>
      </c>
      <c r="CW623" s="30">
        <f t="shared" si="83"/>
        <v>0</v>
      </c>
      <c r="CZ623" s="30">
        <f t="shared" si="82"/>
        <v>1</v>
      </c>
      <c r="DA623" s="30">
        <f t="shared" si="80"/>
        <v>0</v>
      </c>
      <c r="DB623" s="140">
        <f t="shared" si="77"/>
        <v>0</v>
      </c>
      <c r="DS623" s="130">
        <f>SI!BY623</f>
        <v>230</v>
      </c>
      <c r="DZ623" s="131">
        <f>SI!BZ623</f>
        <v>0</v>
      </c>
    </row>
    <row r="624" spans="1:130" hidden="1" x14ac:dyDescent="0.25">
      <c r="A624" s="141"/>
      <c r="B624" s="379"/>
      <c r="C624" s="379"/>
      <c r="D624" s="379"/>
      <c r="E624" s="379"/>
      <c r="F624" s="379"/>
      <c r="G624" s="379"/>
      <c r="H624" s="379"/>
      <c r="I624" s="379"/>
      <c r="J624" s="379"/>
      <c r="K624" s="379"/>
      <c r="L624" s="379"/>
      <c r="M624" s="379"/>
      <c r="N624" s="379"/>
      <c r="O624" s="379"/>
      <c r="P624" s="379"/>
      <c r="Q624" s="379"/>
      <c r="R624" s="379"/>
      <c r="S624" s="379"/>
      <c r="T624" s="379"/>
      <c r="U624" s="379"/>
      <c r="V624" s="379"/>
      <c r="W624" s="379"/>
      <c r="X624" s="379"/>
      <c r="Y624" s="379"/>
      <c r="Z624" s="379"/>
      <c r="AA624" s="379"/>
      <c r="AB624" s="379"/>
      <c r="AC624" s="379"/>
      <c r="AD624" s="379"/>
      <c r="AE624" s="379"/>
      <c r="AF624" s="379"/>
      <c r="AG624" s="379"/>
      <c r="AH624" s="379"/>
      <c r="AI624" s="379"/>
      <c r="AJ624" s="379"/>
      <c r="AK624" s="379"/>
      <c r="AL624" s="379"/>
      <c r="AM624" s="379"/>
      <c r="AN624" s="379"/>
      <c r="AO624" s="379"/>
      <c r="AP624" s="379"/>
      <c r="AQ624" s="379"/>
      <c r="AR624" s="379"/>
      <c r="AS624" s="379"/>
      <c r="AT624" s="379"/>
      <c r="AU624" s="379"/>
      <c r="AV624" s="379"/>
      <c r="AW624" s="379"/>
      <c r="AX624" s="379"/>
      <c r="AY624" s="379"/>
      <c r="AZ624" s="379"/>
      <c r="BA624" s="379"/>
      <c r="BB624" s="379"/>
      <c r="BC624" s="379"/>
      <c r="BD624" s="379"/>
      <c r="BE624" s="379"/>
      <c r="BF624" s="379"/>
      <c r="BG624" s="379"/>
      <c r="BH624" s="379"/>
      <c r="BI624" s="379"/>
      <c r="BJ624" s="379"/>
      <c r="BK624" s="379"/>
      <c r="BL624" s="379"/>
      <c r="BM624" s="379"/>
      <c r="BN624" s="379"/>
      <c r="BO624" s="379"/>
      <c r="BP624" s="379"/>
      <c r="BQ624" s="379"/>
      <c r="BR624" s="379"/>
      <c r="BS624" s="379"/>
      <c r="BT624" s="379"/>
      <c r="BU624" s="379"/>
      <c r="BV624" s="379"/>
      <c r="BW624" s="379"/>
      <c r="BX624" s="379"/>
      <c r="BY624" s="379"/>
      <c r="BZ624" s="379"/>
      <c r="CA624" s="281"/>
      <c r="CB624" s="3" t="str">
        <f t="shared" si="78"/>
        <v>Riadok bude skrytý.</v>
      </c>
      <c r="CC624" s="271" t="s">
        <v>832</v>
      </c>
      <c r="CW624" s="30">
        <f t="shared" si="83"/>
        <v>0</v>
      </c>
      <c r="CZ624" s="30">
        <f t="shared" si="82"/>
        <v>1</v>
      </c>
      <c r="DA624" s="30">
        <f t="shared" si="80"/>
        <v>0</v>
      </c>
      <c r="DB624" s="140">
        <f t="shared" ref="DB624:DB687" si="84">+DA624</f>
        <v>0</v>
      </c>
      <c r="DS624" s="130">
        <f>SI!BY624</f>
        <v>159</v>
      </c>
      <c r="DZ624" s="131">
        <f>SI!BZ624</f>
        <v>0</v>
      </c>
    </row>
    <row r="625" spans="1:130" hidden="1" x14ac:dyDescent="0.25">
      <c r="A625" s="141"/>
      <c r="B625" s="379"/>
      <c r="C625" s="379"/>
      <c r="D625" s="379"/>
      <c r="E625" s="379"/>
      <c r="F625" s="379"/>
      <c r="G625" s="379"/>
      <c r="H625" s="379"/>
      <c r="I625" s="379"/>
      <c r="J625" s="379"/>
      <c r="K625" s="379"/>
      <c r="L625" s="379"/>
      <c r="M625" s="379"/>
      <c r="N625" s="379"/>
      <c r="O625" s="379"/>
      <c r="P625" s="379"/>
      <c r="Q625" s="379"/>
      <c r="R625" s="379"/>
      <c r="S625" s="379"/>
      <c r="T625" s="379"/>
      <c r="U625" s="379"/>
      <c r="V625" s="379"/>
      <c r="W625" s="379"/>
      <c r="X625" s="379"/>
      <c r="Y625" s="379"/>
      <c r="Z625" s="379"/>
      <c r="AA625" s="379"/>
      <c r="AB625" s="379"/>
      <c r="AC625" s="379"/>
      <c r="AD625" s="379"/>
      <c r="AE625" s="379"/>
      <c r="AF625" s="379"/>
      <c r="AG625" s="379"/>
      <c r="AH625" s="379"/>
      <c r="AI625" s="379"/>
      <c r="AJ625" s="379"/>
      <c r="AK625" s="379"/>
      <c r="AL625" s="379"/>
      <c r="AM625" s="379"/>
      <c r="AN625" s="379"/>
      <c r="AO625" s="379"/>
      <c r="AP625" s="379"/>
      <c r="AQ625" s="379"/>
      <c r="AR625" s="379"/>
      <c r="AS625" s="379"/>
      <c r="AT625" s="379"/>
      <c r="AU625" s="379"/>
      <c r="AV625" s="379"/>
      <c r="AW625" s="379"/>
      <c r="AX625" s="379"/>
      <c r="AY625" s="379"/>
      <c r="AZ625" s="379"/>
      <c r="BA625" s="379"/>
      <c r="BB625" s="379"/>
      <c r="BC625" s="379"/>
      <c r="BD625" s="379"/>
      <c r="BE625" s="379"/>
      <c r="BF625" s="379"/>
      <c r="BG625" s="379"/>
      <c r="BH625" s="379"/>
      <c r="BI625" s="379"/>
      <c r="BJ625" s="379"/>
      <c r="BK625" s="379"/>
      <c r="BL625" s="379"/>
      <c r="BM625" s="379"/>
      <c r="BN625" s="379"/>
      <c r="BO625" s="379"/>
      <c r="BP625" s="379"/>
      <c r="BQ625" s="379"/>
      <c r="BR625" s="379"/>
      <c r="BS625" s="379"/>
      <c r="BT625" s="379"/>
      <c r="BU625" s="379"/>
      <c r="BV625" s="379"/>
      <c r="BW625" s="379"/>
      <c r="BX625" s="379"/>
      <c r="BY625" s="379"/>
      <c r="BZ625" s="379"/>
      <c r="CA625" s="281"/>
      <c r="CB625" s="3" t="str">
        <f t="shared" si="78"/>
        <v>Riadok bude skrytý.</v>
      </c>
      <c r="CC625" s="271" t="s">
        <v>832</v>
      </c>
      <c r="CW625" s="30">
        <f t="shared" si="83"/>
        <v>0</v>
      </c>
      <c r="CZ625" s="30">
        <f t="shared" si="82"/>
        <v>1</v>
      </c>
      <c r="DA625" s="30">
        <f t="shared" si="80"/>
        <v>0</v>
      </c>
      <c r="DB625" s="140">
        <f t="shared" si="84"/>
        <v>0</v>
      </c>
      <c r="DS625" s="130">
        <f>SI!BY625</f>
        <v>540</v>
      </c>
      <c r="DZ625" s="131">
        <f>SI!BZ625</f>
        <v>0</v>
      </c>
    </row>
    <row r="626" spans="1:130" hidden="1" x14ac:dyDescent="0.25">
      <c r="A626" s="141"/>
      <c r="B626" s="379"/>
      <c r="C626" s="379"/>
      <c r="D626" s="379"/>
      <c r="E626" s="379"/>
      <c r="F626" s="379"/>
      <c r="G626" s="379"/>
      <c r="H626" s="379"/>
      <c r="I626" s="379"/>
      <c r="J626" s="379"/>
      <c r="K626" s="379"/>
      <c r="L626" s="379"/>
      <c r="M626" s="379"/>
      <c r="N626" s="379"/>
      <c r="O626" s="379"/>
      <c r="P626" s="379"/>
      <c r="Q626" s="379"/>
      <c r="R626" s="379"/>
      <c r="S626" s="379"/>
      <c r="T626" s="379"/>
      <c r="U626" s="379"/>
      <c r="V626" s="379"/>
      <c r="W626" s="379"/>
      <c r="X626" s="379"/>
      <c r="Y626" s="379"/>
      <c r="Z626" s="379"/>
      <c r="AA626" s="379"/>
      <c r="AB626" s="379"/>
      <c r="AC626" s="379"/>
      <c r="AD626" s="379"/>
      <c r="AE626" s="379"/>
      <c r="AF626" s="379"/>
      <c r="AG626" s="379"/>
      <c r="AH626" s="379"/>
      <c r="AI626" s="379"/>
      <c r="AJ626" s="379"/>
      <c r="AK626" s="379"/>
      <c r="AL626" s="379"/>
      <c r="AM626" s="379"/>
      <c r="AN626" s="379"/>
      <c r="AO626" s="379"/>
      <c r="AP626" s="379"/>
      <c r="AQ626" s="379"/>
      <c r="AR626" s="379"/>
      <c r="AS626" s="379"/>
      <c r="AT626" s="379"/>
      <c r="AU626" s="379"/>
      <c r="AV626" s="379"/>
      <c r="AW626" s="379"/>
      <c r="AX626" s="379"/>
      <c r="AY626" s="379"/>
      <c r="AZ626" s="379"/>
      <c r="BA626" s="379"/>
      <c r="BB626" s="379"/>
      <c r="BC626" s="379"/>
      <c r="BD626" s="379"/>
      <c r="BE626" s="379"/>
      <c r="BF626" s="379"/>
      <c r="BG626" s="379"/>
      <c r="BH626" s="379"/>
      <c r="BI626" s="379"/>
      <c r="BJ626" s="379"/>
      <c r="BK626" s="379"/>
      <c r="BL626" s="379"/>
      <c r="BM626" s="379"/>
      <c r="BN626" s="379"/>
      <c r="BO626" s="379"/>
      <c r="BP626" s="379"/>
      <c r="BQ626" s="379"/>
      <c r="BR626" s="379"/>
      <c r="BS626" s="379"/>
      <c r="BT626" s="379"/>
      <c r="BU626" s="379"/>
      <c r="BV626" s="379"/>
      <c r="BW626" s="379"/>
      <c r="BX626" s="379"/>
      <c r="BY626" s="379"/>
      <c r="BZ626" s="379"/>
      <c r="CA626" s="281"/>
      <c r="CB626" s="3" t="str">
        <f t="shared" si="78"/>
        <v>Riadok bude skrytý.</v>
      </c>
      <c r="CC626" s="271" t="s">
        <v>832</v>
      </c>
      <c r="CW626" s="30">
        <f t="shared" si="83"/>
        <v>0</v>
      </c>
      <c r="CZ626" s="30">
        <f t="shared" si="82"/>
        <v>1</v>
      </c>
      <c r="DA626" s="30">
        <f t="shared" si="80"/>
        <v>0</v>
      </c>
      <c r="DB626" s="140">
        <f t="shared" si="84"/>
        <v>0</v>
      </c>
      <c r="DS626" s="130">
        <f>SI!BY626</f>
        <v>244</v>
      </c>
      <c r="DZ626" s="131">
        <f>SI!BZ626</f>
        <v>0</v>
      </c>
    </row>
    <row r="627" spans="1:130" x14ac:dyDescent="0.25">
      <c r="A627" s="141"/>
      <c r="CA627" s="270"/>
      <c r="CB627" s="3" t="str">
        <f t="shared" ref="CB627:CB690" si="85">+IF(DB627=0,"Riadok bude skrytý.","Riadok bude vidieť.")</f>
        <v>Riadok bude vidieť.</v>
      </c>
      <c r="CC627" s="271" t="s">
        <v>832</v>
      </c>
      <c r="CW627" s="32">
        <f>+IF(SUM(CW629:CW648)=0,0,1)</f>
        <v>1</v>
      </c>
      <c r="CZ627" s="30">
        <f t="shared" si="82"/>
        <v>1</v>
      </c>
      <c r="DA627" s="30">
        <f t="shared" si="80"/>
        <v>1</v>
      </c>
      <c r="DB627" s="140">
        <f t="shared" si="84"/>
        <v>1</v>
      </c>
      <c r="DS627" s="130">
        <f>SI!BY627</f>
        <v>117</v>
      </c>
      <c r="DZ627" s="131">
        <f>SI!BZ627</f>
        <v>0</v>
      </c>
    </row>
    <row r="628" spans="1:130" x14ac:dyDescent="0.25">
      <c r="A628" s="141"/>
      <c r="B628" s="279" t="s">
        <v>859</v>
      </c>
      <c r="C628" s="7" t="str">
        <f>+IF($K$52&lt;&gt;"",IF(INT(SQRT((CODE(MID($K$52,1,1)))))*(IF(SI!EE628="",1,SI!EE628))+LEN(SI!J5)=DS628,"Ocenenie derivátov","NEPOVOLENÉ POUŽITIE!"),"NEPOVOLENÉ POUŽITIE!")</f>
        <v>Ocenenie derivátov</v>
      </c>
      <c r="D628" s="7"/>
      <c r="E628" s="7"/>
      <c r="F628" s="7"/>
      <c r="CA628" s="265" t="s">
        <v>773</v>
      </c>
      <c r="CB628" s="3" t="str">
        <f t="shared" si="85"/>
        <v>Riadok bude vidieť.</v>
      </c>
      <c r="CC628" s="271" t="s">
        <v>832</v>
      </c>
      <c r="CW628" s="134">
        <f>+IF(SUM(CW629:CW648)=0,0,1)</f>
        <v>1</v>
      </c>
      <c r="CZ628" s="30">
        <f t="shared" si="82"/>
        <v>1</v>
      </c>
      <c r="DA628" s="30">
        <f t="shared" si="80"/>
        <v>1</v>
      </c>
      <c r="DB628" s="140">
        <f t="shared" si="84"/>
        <v>1</v>
      </c>
      <c r="DS628" s="130">
        <f>SI!BY628</f>
        <v>15</v>
      </c>
      <c r="DZ628" s="131">
        <f>SI!BZ628</f>
        <v>0</v>
      </c>
    </row>
    <row r="629" spans="1:130" x14ac:dyDescent="0.25">
      <c r="A629" s="141"/>
      <c r="B629" s="379" t="s">
        <v>83</v>
      </c>
      <c r="C629" s="379"/>
      <c r="D629" s="379"/>
      <c r="E629" s="379"/>
      <c r="F629" s="379"/>
      <c r="G629" s="379"/>
      <c r="H629" s="379"/>
      <c r="I629" s="379"/>
      <c r="J629" s="379"/>
      <c r="K629" s="379"/>
      <c r="L629" s="379"/>
      <c r="M629" s="379"/>
      <c r="N629" s="379"/>
      <c r="O629" s="379"/>
      <c r="P629" s="379"/>
      <c r="Q629" s="379"/>
      <c r="R629" s="379"/>
      <c r="S629" s="379"/>
      <c r="T629" s="379"/>
      <c r="U629" s="379"/>
      <c r="V629" s="379"/>
      <c r="W629" s="379"/>
      <c r="X629" s="379"/>
      <c r="Y629" s="379"/>
      <c r="Z629" s="379"/>
      <c r="AA629" s="379"/>
      <c r="AB629" s="379"/>
      <c r="AC629" s="379"/>
      <c r="AD629" s="379"/>
      <c r="AE629" s="379"/>
      <c r="AF629" s="379"/>
      <c r="AG629" s="379"/>
      <c r="AH629" s="379"/>
      <c r="AI629" s="379"/>
      <c r="AJ629" s="379"/>
      <c r="AK629" s="379"/>
      <c r="AL629" s="379"/>
      <c r="AM629" s="379"/>
      <c r="AN629" s="379"/>
      <c r="AO629" s="379"/>
      <c r="AP629" s="379"/>
      <c r="AQ629" s="379"/>
      <c r="AR629" s="379"/>
      <c r="AS629" s="379"/>
      <c r="AT629" s="379"/>
      <c r="AU629" s="379"/>
      <c r="AV629" s="379"/>
      <c r="AW629" s="379"/>
      <c r="AX629" s="379"/>
      <c r="AY629" s="379"/>
      <c r="AZ629" s="379"/>
      <c r="BA629" s="379"/>
      <c r="BB629" s="379"/>
      <c r="BC629" s="379"/>
      <c r="BD629" s="379"/>
      <c r="BE629" s="379"/>
      <c r="BF629" s="379"/>
      <c r="BG629" s="379"/>
      <c r="BH629" s="379"/>
      <c r="BI629" s="379"/>
      <c r="BJ629" s="379"/>
      <c r="BK629" s="379"/>
      <c r="BL629" s="379"/>
      <c r="BM629" s="379"/>
      <c r="BN629" s="379"/>
      <c r="BO629" s="379"/>
      <c r="BP629" s="379"/>
      <c r="BQ629" s="379"/>
      <c r="BR629" s="379"/>
      <c r="BS629" s="379"/>
      <c r="BT629" s="379"/>
      <c r="BU629" s="379"/>
      <c r="BV629" s="379"/>
      <c r="BW629" s="379"/>
      <c r="BX629" s="379"/>
      <c r="BY629" s="379"/>
      <c r="BZ629" s="379"/>
      <c r="CA629" s="281"/>
      <c r="CB629" s="3" t="str">
        <f t="shared" si="85"/>
        <v>Riadok bude vidieť.</v>
      </c>
      <c r="CC629" s="271" t="s">
        <v>832</v>
      </c>
      <c r="CW629" s="30">
        <f t="shared" ref="CW629:CW648" si="86">+IF(B629="",0,1)</f>
        <v>1</v>
      </c>
      <c r="CZ629" s="30">
        <f t="shared" si="82"/>
        <v>1</v>
      </c>
      <c r="DA629" s="30">
        <f t="shared" si="80"/>
        <v>1</v>
      </c>
      <c r="DB629" s="140">
        <f t="shared" si="84"/>
        <v>1</v>
      </c>
      <c r="DS629" s="130">
        <f>SI!BY629</f>
        <v>180</v>
      </c>
      <c r="DZ629" s="131">
        <f>SI!BZ629</f>
        <v>0</v>
      </c>
    </row>
    <row r="630" spans="1:130" x14ac:dyDescent="0.25">
      <c r="A630" s="141"/>
      <c r="B630" s="379" t="s">
        <v>720</v>
      </c>
      <c r="C630" s="379"/>
      <c r="D630" s="379"/>
      <c r="E630" s="379"/>
      <c r="F630" s="379"/>
      <c r="G630" s="379"/>
      <c r="H630" s="379"/>
      <c r="I630" s="379"/>
      <c r="J630" s="379"/>
      <c r="K630" s="379"/>
      <c r="L630" s="379"/>
      <c r="M630" s="379"/>
      <c r="N630" s="379"/>
      <c r="O630" s="379"/>
      <c r="P630" s="379"/>
      <c r="Q630" s="379"/>
      <c r="R630" s="379"/>
      <c r="S630" s="379"/>
      <c r="T630" s="379"/>
      <c r="U630" s="379"/>
      <c r="V630" s="379"/>
      <c r="W630" s="379"/>
      <c r="X630" s="379"/>
      <c r="Y630" s="379"/>
      <c r="Z630" s="379"/>
      <c r="AA630" s="379"/>
      <c r="AB630" s="379"/>
      <c r="AC630" s="379"/>
      <c r="AD630" s="379"/>
      <c r="AE630" s="379"/>
      <c r="AF630" s="379"/>
      <c r="AG630" s="379"/>
      <c r="AH630" s="379"/>
      <c r="AI630" s="379"/>
      <c r="AJ630" s="379"/>
      <c r="AK630" s="379"/>
      <c r="AL630" s="379"/>
      <c r="AM630" s="379"/>
      <c r="AN630" s="379"/>
      <c r="AO630" s="379"/>
      <c r="AP630" s="379"/>
      <c r="AQ630" s="379"/>
      <c r="AR630" s="379"/>
      <c r="AS630" s="379"/>
      <c r="AT630" s="379"/>
      <c r="AU630" s="379"/>
      <c r="AV630" s="379"/>
      <c r="AW630" s="379"/>
      <c r="AX630" s="379"/>
      <c r="AY630" s="379"/>
      <c r="AZ630" s="379"/>
      <c r="BA630" s="379"/>
      <c r="BB630" s="379"/>
      <c r="BC630" s="379"/>
      <c r="BD630" s="379"/>
      <c r="BE630" s="379"/>
      <c r="BF630" s="379"/>
      <c r="BG630" s="379"/>
      <c r="BH630" s="379"/>
      <c r="BI630" s="379"/>
      <c r="BJ630" s="379"/>
      <c r="BK630" s="379"/>
      <c r="BL630" s="379"/>
      <c r="BM630" s="379"/>
      <c r="BN630" s="379"/>
      <c r="BO630" s="379"/>
      <c r="BP630" s="379"/>
      <c r="BQ630" s="379"/>
      <c r="BR630" s="379"/>
      <c r="BS630" s="379"/>
      <c r="BT630" s="379"/>
      <c r="BU630" s="379"/>
      <c r="BV630" s="379"/>
      <c r="BW630" s="379"/>
      <c r="BX630" s="379"/>
      <c r="BY630" s="379"/>
      <c r="BZ630" s="379"/>
      <c r="CA630" s="281"/>
      <c r="CB630" s="3" t="str">
        <f t="shared" si="85"/>
        <v>Riadok bude vidieť.</v>
      </c>
      <c r="CC630" s="271" t="s">
        <v>832</v>
      </c>
      <c r="CW630" s="30">
        <f t="shared" si="86"/>
        <v>1</v>
      </c>
      <c r="CZ630" s="30">
        <f t="shared" si="82"/>
        <v>1</v>
      </c>
      <c r="DA630" s="30">
        <f t="shared" si="80"/>
        <v>1</v>
      </c>
      <c r="DB630" s="140">
        <f t="shared" si="84"/>
        <v>1</v>
      </c>
      <c r="DS630" s="130">
        <f>SI!BY630</f>
        <v>675</v>
      </c>
      <c r="DZ630" s="131">
        <f>SI!BZ630</f>
        <v>0</v>
      </c>
    </row>
    <row r="631" spans="1:130" x14ac:dyDescent="0.25">
      <c r="A631" s="141"/>
      <c r="B631" s="379" t="s">
        <v>84</v>
      </c>
      <c r="C631" s="379"/>
      <c r="D631" s="379"/>
      <c r="E631" s="379"/>
      <c r="F631" s="379"/>
      <c r="G631" s="379"/>
      <c r="H631" s="379"/>
      <c r="I631" s="379"/>
      <c r="J631" s="379"/>
      <c r="K631" s="379"/>
      <c r="L631" s="379"/>
      <c r="M631" s="379"/>
      <c r="N631" s="379"/>
      <c r="O631" s="379"/>
      <c r="P631" s="379"/>
      <c r="Q631" s="379"/>
      <c r="R631" s="379"/>
      <c r="S631" s="379"/>
      <c r="T631" s="379"/>
      <c r="U631" s="379"/>
      <c r="V631" s="379"/>
      <c r="W631" s="379"/>
      <c r="X631" s="379"/>
      <c r="Y631" s="379"/>
      <c r="Z631" s="379"/>
      <c r="AA631" s="379"/>
      <c r="AB631" s="379"/>
      <c r="AC631" s="379"/>
      <c r="AD631" s="379"/>
      <c r="AE631" s="379"/>
      <c r="AF631" s="379"/>
      <c r="AG631" s="379"/>
      <c r="AH631" s="379"/>
      <c r="AI631" s="379"/>
      <c r="AJ631" s="379"/>
      <c r="AK631" s="379"/>
      <c r="AL631" s="379"/>
      <c r="AM631" s="379"/>
      <c r="AN631" s="379"/>
      <c r="AO631" s="379"/>
      <c r="AP631" s="379"/>
      <c r="AQ631" s="379"/>
      <c r="AR631" s="379"/>
      <c r="AS631" s="379"/>
      <c r="AT631" s="379"/>
      <c r="AU631" s="379"/>
      <c r="AV631" s="379"/>
      <c r="AW631" s="379"/>
      <c r="AX631" s="379"/>
      <c r="AY631" s="379"/>
      <c r="AZ631" s="379"/>
      <c r="BA631" s="379"/>
      <c r="BB631" s="379"/>
      <c r="BC631" s="379"/>
      <c r="BD631" s="379"/>
      <c r="BE631" s="379"/>
      <c r="BF631" s="379"/>
      <c r="BG631" s="379"/>
      <c r="BH631" s="379"/>
      <c r="BI631" s="379"/>
      <c r="BJ631" s="379"/>
      <c r="BK631" s="379"/>
      <c r="BL631" s="379"/>
      <c r="BM631" s="379"/>
      <c r="BN631" s="379"/>
      <c r="BO631" s="379"/>
      <c r="BP631" s="379"/>
      <c r="BQ631" s="379"/>
      <c r="BR631" s="379"/>
      <c r="BS631" s="379"/>
      <c r="BT631" s="379"/>
      <c r="BU631" s="379"/>
      <c r="BV631" s="379"/>
      <c r="BW631" s="379"/>
      <c r="BX631" s="379"/>
      <c r="BY631" s="379"/>
      <c r="BZ631" s="379"/>
      <c r="CA631" s="281"/>
      <c r="CB631" s="3" t="str">
        <f t="shared" si="85"/>
        <v>Riadok bude vidieť.</v>
      </c>
      <c r="CC631" s="271" t="s">
        <v>832</v>
      </c>
      <c r="CW631" s="30">
        <f t="shared" si="86"/>
        <v>1</v>
      </c>
      <c r="CZ631" s="30">
        <f t="shared" si="82"/>
        <v>1</v>
      </c>
      <c r="DA631" s="30">
        <f t="shared" si="80"/>
        <v>1</v>
      </c>
      <c r="DB631" s="140">
        <f t="shared" si="84"/>
        <v>1</v>
      </c>
      <c r="DS631" s="130">
        <f>SI!BY631</f>
        <v>156</v>
      </c>
      <c r="DZ631" s="131">
        <f>SI!BZ631</f>
        <v>0</v>
      </c>
    </row>
    <row r="632" spans="1:130" x14ac:dyDescent="0.25">
      <c r="A632" s="141"/>
      <c r="B632" s="379" t="s">
        <v>721</v>
      </c>
      <c r="C632" s="379"/>
      <c r="D632" s="379"/>
      <c r="E632" s="379"/>
      <c r="F632" s="379"/>
      <c r="G632" s="379"/>
      <c r="H632" s="379"/>
      <c r="I632" s="379"/>
      <c r="J632" s="379"/>
      <c r="K632" s="379"/>
      <c r="L632" s="379"/>
      <c r="M632" s="379"/>
      <c r="N632" s="379"/>
      <c r="O632" s="379"/>
      <c r="P632" s="379"/>
      <c r="Q632" s="379"/>
      <c r="R632" s="379"/>
      <c r="S632" s="379"/>
      <c r="T632" s="379"/>
      <c r="U632" s="379"/>
      <c r="V632" s="379"/>
      <c r="W632" s="379"/>
      <c r="X632" s="379"/>
      <c r="Y632" s="379"/>
      <c r="Z632" s="379"/>
      <c r="AA632" s="379"/>
      <c r="AB632" s="379"/>
      <c r="AC632" s="379"/>
      <c r="AD632" s="379"/>
      <c r="AE632" s="379"/>
      <c r="AF632" s="379"/>
      <c r="AG632" s="379"/>
      <c r="AH632" s="379"/>
      <c r="AI632" s="379"/>
      <c r="AJ632" s="379"/>
      <c r="AK632" s="379"/>
      <c r="AL632" s="379"/>
      <c r="AM632" s="379"/>
      <c r="AN632" s="379"/>
      <c r="AO632" s="379"/>
      <c r="AP632" s="379"/>
      <c r="AQ632" s="379"/>
      <c r="AR632" s="379"/>
      <c r="AS632" s="379"/>
      <c r="AT632" s="379"/>
      <c r="AU632" s="379"/>
      <c r="AV632" s="379"/>
      <c r="AW632" s="379"/>
      <c r="AX632" s="379"/>
      <c r="AY632" s="379"/>
      <c r="AZ632" s="379"/>
      <c r="BA632" s="379"/>
      <c r="BB632" s="379"/>
      <c r="BC632" s="379"/>
      <c r="BD632" s="379"/>
      <c r="BE632" s="379"/>
      <c r="BF632" s="379"/>
      <c r="BG632" s="379"/>
      <c r="BH632" s="379"/>
      <c r="BI632" s="379"/>
      <c r="BJ632" s="379"/>
      <c r="BK632" s="379"/>
      <c r="BL632" s="379"/>
      <c r="BM632" s="379"/>
      <c r="BN632" s="379"/>
      <c r="BO632" s="379"/>
      <c r="BP632" s="379"/>
      <c r="BQ632" s="379"/>
      <c r="BR632" s="379"/>
      <c r="BS632" s="379"/>
      <c r="BT632" s="379"/>
      <c r="BU632" s="379"/>
      <c r="BV632" s="379"/>
      <c r="BW632" s="379"/>
      <c r="BX632" s="379"/>
      <c r="BY632" s="379"/>
      <c r="BZ632" s="379"/>
      <c r="CA632" s="281"/>
      <c r="CB632" s="3" t="str">
        <f t="shared" si="85"/>
        <v>Riadok bude vidieť.</v>
      </c>
      <c r="CC632" s="271" t="s">
        <v>832</v>
      </c>
      <c r="CW632" s="30">
        <f t="shared" si="86"/>
        <v>1</v>
      </c>
      <c r="CZ632" s="30">
        <f t="shared" si="82"/>
        <v>1</v>
      </c>
      <c r="DA632" s="30">
        <f t="shared" si="80"/>
        <v>1</v>
      </c>
      <c r="DB632" s="140">
        <f t="shared" si="84"/>
        <v>1</v>
      </c>
      <c r="DS632" s="130">
        <f>SI!BY632</f>
        <v>697</v>
      </c>
      <c r="DZ632" s="131">
        <f>SI!BZ632</f>
        <v>0</v>
      </c>
    </row>
    <row r="633" spans="1:130" x14ac:dyDescent="0.25">
      <c r="A633" s="141"/>
      <c r="B633" s="379" t="s">
        <v>722</v>
      </c>
      <c r="C633" s="379"/>
      <c r="D633" s="379"/>
      <c r="E633" s="379"/>
      <c r="F633" s="379"/>
      <c r="G633" s="379"/>
      <c r="H633" s="379"/>
      <c r="I633" s="379"/>
      <c r="J633" s="379"/>
      <c r="K633" s="379"/>
      <c r="L633" s="379"/>
      <c r="M633" s="379"/>
      <c r="N633" s="379"/>
      <c r="O633" s="379"/>
      <c r="P633" s="379"/>
      <c r="Q633" s="379"/>
      <c r="R633" s="379"/>
      <c r="S633" s="379"/>
      <c r="T633" s="379"/>
      <c r="U633" s="379"/>
      <c r="V633" s="379"/>
      <c r="W633" s="379"/>
      <c r="X633" s="379"/>
      <c r="Y633" s="379"/>
      <c r="Z633" s="379"/>
      <c r="AA633" s="379"/>
      <c r="AB633" s="379"/>
      <c r="AC633" s="379"/>
      <c r="AD633" s="379"/>
      <c r="AE633" s="379"/>
      <c r="AF633" s="379"/>
      <c r="AG633" s="379"/>
      <c r="AH633" s="379"/>
      <c r="AI633" s="379"/>
      <c r="AJ633" s="379"/>
      <c r="AK633" s="379"/>
      <c r="AL633" s="379"/>
      <c r="AM633" s="379"/>
      <c r="AN633" s="379"/>
      <c r="AO633" s="379"/>
      <c r="AP633" s="379"/>
      <c r="AQ633" s="379"/>
      <c r="AR633" s="379"/>
      <c r="AS633" s="379"/>
      <c r="AT633" s="379"/>
      <c r="AU633" s="379"/>
      <c r="AV633" s="379"/>
      <c r="AW633" s="379"/>
      <c r="AX633" s="379"/>
      <c r="AY633" s="379"/>
      <c r="AZ633" s="379"/>
      <c r="BA633" s="379"/>
      <c r="BB633" s="379"/>
      <c r="BC633" s="379"/>
      <c r="BD633" s="379"/>
      <c r="BE633" s="379"/>
      <c r="BF633" s="379"/>
      <c r="BG633" s="379"/>
      <c r="BH633" s="379"/>
      <c r="BI633" s="379"/>
      <c r="BJ633" s="379"/>
      <c r="BK633" s="379"/>
      <c r="BL633" s="379"/>
      <c r="BM633" s="379"/>
      <c r="BN633" s="379"/>
      <c r="BO633" s="379"/>
      <c r="BP633" s="379"/>
      <c r="BQ633" s="379"/>
      <c r="BR633" s="379"/>
      <c r="BS633" s="379"/>
      <c r="BT633" s="379"/>
      <c r="BU633" s="379"/>
      <c r="BV633" s="379"/>
      <c r="BW633" s="379"/>
      <c r="BX633" s="379"/>
      <c r="BY633" s="379"/>
      <c r="BZ633" s="379"/>
      <c r="CA633" s="281"/>
      <c r="CB633" s="3" t="str">
        <f t="shared" si="85"/>
        <v>Riadok bude vidieť.</v>
      </c>
      <c r="CC633" s="271" t="s">
        <v>832</v>
      </c>
      <c r="CW633" s="30">
        <f t="shared" si="86"/>
        <v>1</v>
      </c>
      <c r="CZ633" s="30">
        <f t="shared" si="82"/>
        <v>1</v>
      </c>
      <c r="DA633" s="30">
        <f t="shared" si="80"/>
        <v>1</v>
      </c>
      <c r="DB633" s="140">
        <f t="shared" si="84"/>
        <v>1</v>
      </c>
      <c r="DS633" s="130">
        <f>SI!BY633</f>
        <v>136</v>
      </c>
      <c r="DZ633" s="131">
        <f>SI!BZ633</f>
        <v>0</v>
      </c>
    </row>
    <row r="634" spans="1:130" hidden="1" x14ac:dyDescent="0.25">
      <c r="A634" s="141"/>
      <c r="B634" s="379"/>
      <c r="C634" s="379"/>
      <c r="D634" s="379"/>
      <c r="E634" s="379"/>
      <c r="F634" s="379"/>
      <c r="G634" s="379"/>
      <c r="H634" s="379"/>
      <c r="I634" s="379"/>
      <c r="J634" s="379"/>
      <c r="K634" s="379"/>
      <c r="L634" s="379"/>
      <c r="M634" s="379"/>
      <c r="N634" s="379"/>
      <c r="O634" s="379"/>
      <c r="P634" s="379"/>
      <c r="Q634" s="379"/>
      <c r="R634" s="379"/>
      <c r="S634" s="379"/>
      <c r="T634" s="379"/>
      <c r="U634" s="379"/>
      <c r="V634" s="379"/>
      <c r="W634" s="379"/>
      <c r="X634" s="379"/>
      <c r="Y634" s="379"/>
      <c r="Z634" s="379"/>
      <c r="AA634" s="379"/>
      <c r="AB634" s="379"/>
      <c r="AC634" s="379"/>
      <c r="AD634" s="379"/>
      <c r="AE634" s="379"/>
      <c r="AF634" s="379"/>
      <c r="AG634" s="379"/>
      <c r="AH634" s="379"/>
      <c r="AI634" s="379"/>
      <c r="AJ634" s="379"/>
      <c r="AK634" s="379"/>
      <c r="AL634" s="379"/>
      <c r="AM634" s="379"/>
      <c r="AN634" s="379"/>
      <c r="AO634" s="379"/>
      <c r="AP634" s="379"/>
      <c r="AQ634" s="379"/>
      <c r="AR634" s="379"/>
      <c r="AS634" s="379"/>
      <c r="AT634" s="379"/>
      <c r="AU634" s="379"/>
      <c r="AV634" s="379"/>
      <c r="AW634" s="379"/>
      <c r="AX634" s="379"/>
      <c r="AY634" s="379"/>
      <c r="AZ634" s="379"/>
      <c r="BA634" s="379"/>
      <c r="BB634" s="379"/>
      <c r="BC634" s="379"/>
      <c r="BD634" s="379"/>
      <c r="BE634" s="379"/>
      <c r="BF634" s="379"/>
      <c r="BG634" s="379"/>
      <c r="BH634" s="379"/>
      <c r="BI634" s="379"/>
      <c r="BJ634" s="379"/>
      <c r="BK634" s="379"/>
      <c r="BL634" s="379"/>
      <c r="BM634" s="379"/>
      <c r="BN634" s="379"/>
      <c r="BO634" s="379"/>
      <c r="BP634" s="379"/>
      <c r="BQ634" s="379"/>
      <c r="BR634" s="379"/>
      <c r="BS634" s="379"/>
      <c r="BT634" s="379"/>
      <c r="BU634" s="379"/>
      <c r="BV634" s="379"/>
      <c r="BW634" s="379"/>
      <c r="BX634" s="379"/>
      <c r="BY634" s="379"/>
      <c r="BZ634" s="379"/>
      <c r="CA634" s="281"/>
      <c r="CB634" s="3" t="str">
        <f t="shared" si="85"/>
        <v>Riadok bude skrytý.</v>
      </c>
      <c r="CC634" s="271" t="s">
        <v>832</v>
      </c>
      <c r="CW634" s="30">
        <f t="shared" si="86"/>
        <v>0</v>
      </c>
      <c r="CZ634" s="30">
        <f t="shared" si="82"/>
        <v>1</v>
      </c>
      <c r="DA634" s="30">
        <f t="shared" si="80"/>
        <v>0</v>
      </c>
      <c r="DB634" s="140">
        <f t="shared" si="84"/>
        <v>0</v>
      </c>
      <c r="DS634" s="130">
        <f>SI!BY634</f>
        <v>589</v>
      </c>
      <c r="DZ634" s="131">
        <f>SI!BZ634</f>
        <v>0</v>
      </c>
    </row>
    <row r="635" spans="1:130" hidden="1" x14ac:dyDescent="0.25">
      <c r="A635" s="141"/>
      <c r="B635" s="379"/>
      <c r="C635" s="379"/>
      <c r="D635" s="379"/>
      <c r="E635" s="379"/>
      <c r="F635" s="379"/>
      <c r="G635" s="379"/>
      <c r="H635" s="379"/>
      <c r="I635" s="379"/>
      <c r="J635" s="379"/>
      <c r="K635" s="379"/>
      <c r="L635" s="379"/>
      <c r="M635" s="379"/>
      <c r="N635" s="379"/>
      <c r="O635" s="379"/>
      <c r="P635" s="379"/>
      <c r="Q635" s="379"/>
      <c r="R635" s="379"/>
      <c r="S635" s="379"/>
      <c r="T635" s="379"/>
      <c r="U635" s="379"/>
      <c r="V635" s="379"/>
      <c r="W635" s="379"/>
      <c r="X635" s="379"/>
      <c r="Y635" s="379"/>
      <c r="Z635" s="379"/>
      <c r="AA635" s="379"/>
      <c r="AB635" s="379"/>
      <c r="AC635" s="379"/>
      <c r="AD635" s="379"/>
      <c r="AE635" s="379"/>
      <c r="AF635" s="379"/>
      <c r="AG635" s="379"/>
      <c r="AH635" s="379"/>
      <c r="AI635" s="379"/>
      <c r="AJ635" s="379"/>
      <c r="AK635" s="379"/>
      <c r="AL635" s="379"/>
      <c r="AM635" s="379"/>
      <c r="AN635" s="379"/>
      <c r="AO635" s="379"/>
      <c r="AP635" s="379"/>
      <c r="AQ635" s="379"/>
      <c r="AR635" s="379"/>
      <c r="AS635" s="379"/>
      <c r="AT635" s="379"/>
      <c r="AU635" s="379"/>
      <c r="AV635" s="379"/>
      <c r="AW635" s="379"/>
      <c r="AX635" s="379"/>
      <c r="AY635" s="379"/>
      <c r="AZ635" s="379"/>
      <c r="BA635" s="379"/>
      <c r="BB635" s="379"/>
      <c r="BC635" s="379"/>
      <c r="BD635" s="379"/>
      <c r="BE635" s="379"/>
      <c r="BF635" s="379"/>
      <c r="BG635" s="379"/>
      <c r="BH635" s="379"/>
      <c r="BI635" s="379"/>
      <c r="BJ635" s="379"/>
      <c r="BK635" s="379"/>
      <c r="BL635" s="379"/>
      <c r="BM635" s="379"/>
      <c r="BN635" s="379"/>
      <c r="BO635" s="379"/>
      <c r="BP635" s="379"/>
      <c r="BQ635" s="379"/>
      <c r="BR635" s="379"/>
      <c r="BS635" s="379"/>
      <c r="BT635" s="379"/>
      <c r="BU635" s="379"/>
      <c r="BV635" s="379"/>
      <c r="BW635" s="379"/>
      <c r="BX635" s="379"/>
      <c r="BY635" s="379"/>
      <c r="BZ635" s="379"/>
      <c r="CA635" s="281"/>
      <c r="CB635" s="3" t="str">
        <f t="shared" si="85"/>
        <v>Riadok bude skrytý.</v>
      </c>
      <c r="CC635" s="271" t="s">
        <v>832</v>
      </c>
      <c r="CW635" s="30">
        <f t="shared" si="86"/>
        <v>0</v>
      </c>
      <c r="CZ635" s="30">
        <f t="shared" si="82"/>
        <v>1</v>
      </c>
      <c r="DA635" s="30">
        <f t="shared" si="80"/>
        <v>0</v>
      </c>
      <c r="DB635" s="140">
        <f t="shared" si="84"/>
        <v>0</v>
      </c>
      <c r="DS635" s="130">
        <f>SI!BY635</f>
        <v>128</v>
      </c>
      <c r="DZ635" s="131">
        <f>SI!BZ635</f>
        <v>0</v>
      </c>
    </row>
    <row r="636" spans="1:130" hidden="1" x14ac:dyDescent="0.25">
      <c r="A636" s="141"/>
      <c r="B636" s="379"/>
      <c r="C636" s="379"/>
      <c r="D636" s="379"/>
      <c r="E636" s="379"/>
      <c r="F636" s="379"/>
      <c r="G636" s="379"/>
      <c r="H636" s="379"/>
      <c r="I636" s="379"/>
      <c r="J636" s="379"/>
      <c r="K636" s="379"/>
      <c r="L636" s="379"/>
      <c r="M636" s="379"/>
      <c r="N636" s="379"/>
      <c r="O636" s="379"/>
      <c r="P636" s="379"/>
      <c r="Q636" s="379"/>
      <c r="R636" s="379"/>
      <c r="S636" s="379"/>
      <c r="T636" s="379"/>
      <c r="U636" s="379"/>
      <c r="V636" s="379"/>
      <c r="W636" s="379"/>
      <c r="X636" s="379"/>
      <c r="Y636" s="379"/>
      <c r="Z636" s="379"/>
      <c r="AA636" s="379"/>
      <c r="AB636" s="379"/>
      <c r="AC636" s="379"/>
      <c r="AD636" s="379"/>
      <c r="AE636" s="379"/>
      <c r="AF636" s="379"/>
      <c r="AG636" s="379"/>
      <c r="AH636" s="379"/>
      <c r="AI636" s="379"/>
      <c r="AJ636" s="379"/>
      <c r="AK636" s="379"/>
      <c r="AL636" s="379"/>
      <c r="AM636" s="379"/>
      <c r="AN636" s="379"/>
      <c r="AO636" s="379"/>
      <c r="AP636" s="379"/>
      <c r="AQ636" s="379"/>
      <c r="AR636" s="379"/>
      <c r="AS636" s="379"/>
      <c r="AT636" s="379"/>
      <c r="AU636" s="379"/>
      <c r="AV636" s="379"/>
      <c r="AW636" s="379"/>
      <c r="AX636" s="379"/>
      <c r="AY636" s="379"/>
      <c r="AZ636" s="379"/>
      <c r="BA636" s="379"/>
      <c r="BB636" s="379"/>
      <c r="BC636" s="379"/>
      <c r="BD636" s="379"/>
      <c r="BE636" s="379"/>
      <c r="BF636" s="379"/>
      <c r="BG636" s="379"/>
      <c r="BH636" s="379"/>
      <c r="BI636" s="379"/>
      <c r="BJ636" s="379"/>
      <c r="BK636" s="379"/>
      <c r="BL636" s="379"/>
      <c r="BM636" s="379"/>
      <c r="BN636" s="379"/>
      <c r="BO636" s="379"/>
      <c r="BP636" s="379"/>
      <c r="BQ636" s="379"/>
      <c r="BR636" s="379"/>
      <c r="BS636" s="379"/>
      <c r="BT636" s="379"/>
      <c r="BU636" s="379"/>
      <c r="BV636" s="379"/>
      <c r="BW636" s="379"/>
      <c r="BX636" s="379"/>
      <c r="BY636" s="379"/>
      <c r="BZ636" s="379"/>
      <c r="CA636" s="281"/>
      <c r="CB636" s="3" t="str">
        <f t="shared" si="85"/>
        <v>Riadok bude skrytý.</v>
      </c>
      <c r="CC636" s="271" t="s">
        <v>832</v>
      </c>
      <c r="CW636" s="30">
        <f t="shared" si="86"/>
        <v>0</v>
      </c>
      <c r="CZ636" s="30">
        <f t="shared" si="82"/>
        <v>1</v>
      </c>
      <c r="DA636" s="30">
        <f t="shared" si="80"/>
        <v>0</v>
      </c>
      <c r="DB636" s="140">
        <f t="shared" si="84"/>
        <v>0</v>
      </c>
      <c r="DS636" s="130">
        <f>SI!BY636</f>
        <v>833</v>
      </c>
      <c r="DZ636" s="131">
        <f>SI!BZ636</f>
        <v>0</v>
      </c>
    </row>
    <row r="637" spans="1:130" hidden="1" x14ac:dyDescent="0.25">
      <c r="A637" s="141"/>
      <c r="B637" s="379"/>
      <c r="C637" s="379"/>
      <c r="D637" s="379"/>
      <c r="E637" s="379"/>
      <c r="F637" s="379"/>
      <c r="G637" s="379"/>
      <c r="H637" s="379"/>
      <c r="I637" s="379"/>
      <c r="J637" s="379"/>
      <c r="K637" s="379"/>
      <c r="L637" s="379"/>
      <c r="M637" s="379"/>
      <c r="N637" s="379"/>
      <c r="O637" s="379"/>
      <c r="P637" s="379"/>
      <c r="Q637" s="379"/>
      <c r="R637" s="379"/>
      <c r="S637" s="379"/>
      <c r="T637" s="379"/>
      <c r="U637" s="379"/>
      <c r="V637" s="379"/>
      <c r="W637" s="379"/>
      <c r="X637" s="379"/>
      <c r="Y637" s="379"/>
      <c r="Z637" s="379"/>
      <c r="AA637" s="379"/>
      <c r="AB637" s="379"/>
      <c r="AC637" s="379"/>
      <c r="AD637" s="379"/>
      <c r="AE637" s="379"/>
      <c r="AF637" s="379"/>
      <c r="AG637" s="379"/>
      <c r="AH637" s="379"/>
      <c r="AI637" s="379"/>
      <c r="AJ637" s="379"/>
      <c r="AK637" s="379"/>
      <c r="AL637" s="379"/>
      <c r="AM637" s="379"/>
      <c r="AN637" s="379"/>
      <c r="AO637" s="379"/>
      <c r="AP637" s="379"/>
      <c r="AQ637" s="379"/>
      <c r="AR637" s="379"/>
      <c r="AS637" s="379"/>
      <c r="AT637" s="379"/>
      <c r="AU637" s="379"/>
      <c r="AV637" s="379"/>
      <c r="AW637" s="379"/>
      <c r="AX637" s="379"/>
      <c r="AY637" s="379"/>
      <c r="AZ637" s="379"/>
      <c r="BA637" s="379"/>
      <c r="BB637" s="379"/>
      <c r="BC637" s="379"/>
      <c r="BD637" s="379"/>
      <c r="BE637" s="379"/>
      <c r="BF637" s="379"/>
      <c r="BG637" s="379"/>
      <c r="BH637" s="379"/>
      <c r="BI637" s="379"/>
      <c r="BJ637" s="379"/>
      <c r="BK637" s="379"/>
      <c r="BL637" s="379"/>
      <c r="BM637" s="379"/>
      <c r="BN637" s="379"/>
      <c r="BO637" s="379"/>
      <c r="BP637" s="379"/>
      <c r="BQ637" s="379"/>
      <c r="BR637" s="379"/>
      <c r="BS637" s="379"/>
      <c r="BT637" s="379"/>
      <c r="BU637" s="379"/>
      <c r="BV637" s="379"/>
      <c r="BW637" s="379"/>
      <c r="BX637" s="379"/>
      <c r="BY637" s="379"/>
      <c r="BZ637" s="379"/>
      <c r="CA637" s="281"/>
      <c r="CB637" s="3" t="str">
        <f t="shared" si="85"/>
        <v>Riadok bude skrytý.</v>
      </c>
      <c r="CC637" s="271" t="s">
        <v>832</v>
      </c>
      <c r="CW637" s="30">
        <f t="shared" si="86"/>
        <v>0</v>
      </c>
      <c r="CZ637" s="30">
        <f t="shared" si="82"/>
        <v>1</v>
      </c>
      <c r="DA637" s="30">
        <f t="shared" si="80"/>
        <v>0</v>
      </c>
      <c r="DB637" s="140">
        <f t="shared" si="84"/>
        <v>0</v>
      </c>
      <c r="DS637" s="130">
        <f>SI!BY637</f>
        <v>101</v>
      </c>
      <c r="DZ637" s="131">
        <f>SI!BZ637</f>
        <v>0</v>
      </c>
    </row>
    <row r="638" spans="1:130" hidden="1" x14ac:dyDescent="0.25">
      <c r="A638" s="141"/>
      <c r="B638" s="379"/>
      <c r="C638" s="379"/>
      <c r="D638" s="379"/>
      <c r="E638" s="379"/>
      <c r="F638" s="379"/>
      <c r="G638" s="379"/>
      <c r="H638" s="379"/>
      <c r="I638" s="379"/>
      <c r="J638" s="379"/>
      <c r="K638" s="379"/>
      <c r="L638" s="379"/>
      <c r="M638" s="379"/>
      <c r="N638" s="379"/>
      <c r="O638" s="379"/>
      <c r="P638" s="379"/>
      <c r="Q638" s="379"/>
      <c r="R638" s="379"/>
      <c r="S638" s="379"/>
      <c r="T638" s="379"/>
      <c r="U638" s="379"/>
      <c r="V638" s="379"/>
      <c r="W638" s="379"/>
      <c r="X638" s="379"/>
      <c r="Y638" s="379"/>
      <c r="Z638" s="379"/>
      <c r="AA638" s="379"/>
      <c r="AB638" s="379"/>
      <c r="AC638" s="379"/>
      <c r="AD638" s="379"/>
      <c r="AE638" s="379"/>
      <c r="AF638" s="379"/>
      <c r="AG638" s="379"/>
      <c r="AH638" s="379"/>
      <c r="AI638" s="379"/>
      <c r="AJ638" s="379"/>
      <c r="AK638" s="379"/>
      <c r="AL638" s="379"/>
      <c r="AM638" s="379"/>
      <c r="AN638" s="379"/>
      <c r="AO638" s="379"/>
      <c r="AP638" s="379"/>
      <c r="AQ638" s="379"/>
      <c r="AR638" s="379"/>
      <c r="AS638" s="379"/>
      <c r="AT638" s="379"/>
      <c r="AU638" s="379"/>
      <c r="AV638" s="379"/>
      <c r="AW638" s="379"/>
      <c r="AX638" s="379"/>
      <c r="AY638" s="379"/>
      <c r="AZ638" s="379"/>
      <c r="BA638" s="379"/>
      <c r="BB638" s="379"/>
      <c r="BC638" s="379"/>
      <c r="BD638" s="379"/>
      <c r="BE638" s="379"/>
      <c r="BF638" s="379"/>
      <c r="BG638" s="379"/>
      <c r="BH638" s="379"/>
      <c r="BI638" s="379"/>
      <c r="BJ638" s="379"/>
      <c r="BK638" s="379"/>
      <c r="BL638" s="379"/>
      <c r="BM638" s="379"/>
      <c r="BN638" s="379"/>
      <c r="BO638" s="379"/>
      <c r="BP638" s="379"/>
      <c r="BQ638" s="379"/>
      <c r="BR638" s="379"/>
      <c r="BS638" s="379"/>
      <c r="BT638" s="379"/>
      <c r="BU638" s="379"/>
      <c r="BV638" s="379"/>
      <c r="BW638" s="379"/>
      <c r="BX638" s="379"/>
      <c r="BY638" s="379"/>
      <c r="BZ638" s="379"/>
      <c r="CA638" s="281"/>
      <c r="CB638" s="3" t="str">
        <f t="shared" si="85"/>
        <v>Riadok bude skrytý.</v>
      </c>
      <c r="CC638" s="271" t="s">
        <v>832</v>
      </c>
      <c r="CW638" s="30">
        <f t="shared" si="86"/>
        <v>0</v>
      </c>
      <c r="CZ638" s="30">
        <f t="shared" si="82"/>
        <v>1</v>
      </c>
      <c r="DA638" s="30">
        <f t="shared" si="80"/>
        <v>0</v>
      </c>
      <c r="DB638" s="140">
        <f t="shared" si="84"/>
        <v>0</v>
      </c>
      <c r="DS638" s="130">
        <f>SI!BY638</f>
        <v>174</v>
      </c>
      <c r="DZ638" s="131">
        <f>SI!BZ638</f>
        <v>0</v>
      </c>
    </row>
    <row r="639" spans="1:130" hidden="1" x14ac:dyDescent="0.25">
      <c r="A639" s="141"/>
      <c r="B639" s="379"/>
      <c r="C639" s="379"/>
      <c r="D639" s="379"/>
      <c r="E639" s="379"/>
      <c r="F639" s="379"/>
      <c r="G639" s="379"/>
      <c r="H639" s="379"/>
      <c r="I639" s="379"/>
      <c r="J639" s="379"/>
      <c r="K639" s="379"/>
      <c r="L639" s="379"/>
      <c r="M639" s="379"/>
      <c r="N639" s="379"/>
      <c r="O639" s="379"/>
      <c r="P639" s="379"/>
      <c r="Q639" s="379"/>
      <c r="R639" s="379"/>
      <c r="S639" s="379"/>
      <c r="T639" s="379"/>
      <c r="U639" s="379"/>
      <c r="V639" s="379"/>
      <c r="W639" s="379"/>
      <c r="X639" s="379"/>
      <c r="Y639" s="379"/>
      <c r="Z639" s="379"/>
      <c r="AA639" s="379"/>
      <c r="AB639" s="379"/>
      <c r="AC639" s="379"/>
      <c r="AD639" s="379"/>
      <c r="AE639" s="379"/>
      <c r="AF639" s="379"/>
      <c r="AG639" s="379"/>
      <c r="AH639" s="379"/>
      <c r="AI639" s="379"/>
      <c r="AJ639" s="379"/>
      <c r="AK639" s="379"/>
      <c r="AL639" s="379"/>
      <c r="AM639" s="379"/>
      <c r="AN639" s="379"/>
      <c r="AO639" s="379"/>
      <c r="AP639" s="379"/>
      <c r="AQ639" s="379"/>
      <c r="AR639" s="379"/>
      <c r="AS639" s="379"/>
      <c r="AT639" s="379"/>
      <c r="AU639" s="379"/>
      <c r="AV639" s="379"/>
      <c r="AW639" s="379"/>
      <c r="AX639" s="379"/>
      <c r="AY639" s="379"/>
      <c r="AZ639" s="379"/>
      <c r="BA639" s="379"/>
      <c r="BB639" s="379"/>
      <c r="BC639" s="379"/>
      <c r="BD639" s="379"/>
      <c r="BE639" s="379"/>
      <c r="BF639" s="379"/>
      <c r="BG639" s="379"/>
      <c r="BH639" s="379"/>
      <c r="BI639" s="379"/>
      <c r="BJ639" s="379"/>
      <c r="BK639" s="379"/>
      <c r="BL639" s="379"/>
      <c r="BM639" s="379"/>
      <c r="BN639" s="379"/>
      <c r="BO639" s="379"/>
      <c r="BP639" s="379"/>
      <c r="BQ639" s="379"/>
      <c r="BR639" s="379"/>
      <c r="BS639" s="379"/>
      <c r="BT639" s="379"/>
      <c r="BU639" s="379"/>
      <c r="BV639" s="379"/>
      <c r="BW639" s="379"/>
      <c r="BX639" s="379"/>
      <c r="BY639" s="379"/>
      <c r="BZ639" s="379"/>
      <c r="CA639" s="281"/>
      <c r="CB639" s="3" t="str">
        <f t="shared" si="85"/>
        <v>Riadok bude skrytý.</v>
      </c>
      <c r="CC639" s="271" t="s">
        <v>832</v>
      </c>
      <c r="CW639" s="30">
        <f t="shared" si="86"/>
        <v>0</v>
      </c>
      <c r="CZ639" s="30">
        <f t="shared" si="82"/>
        <v>1</v>
      </c>
      <c r="DA639" s="30">
        <f t="shared" si="80"/>
        <v>0</v>
      </c>
      <c r="DB639" s="140">
        <f t="shared" si="84"/>
        <v>0</v>
      </c>
      <c r="DS639" s="130">
        <f>SI!BY639</f>
        <v>164</v>
      </c>
      <c r="DZ639" s="131">
        <f>SI!BZ639</f>
        <v>0</v>
      </c>
    </row>
    <row r="640" spans="1:130" hidden="1" x14ac:dyDescent="0.25">
      <c r="A640" s="141"/>
      <c r="B640" s="379"/>
      <c r="C640" s="379"/>
      <c r="D640" s="379"/>
      <c r="E640" s="379"/>
      <c r="F640" s="379"/>
      <c r="G640" s="379"/>
      <c r="H640" s="379"/>
      <c r="I640" s="379"/>
      <c r="J640" s="379"/>
      <c r="K640" s="379"/>
      <c r="L640" s="379"/>
      <c r="M640" s="379"/>
      <c r="N640" s="379"/>
      <c r="O640" s="379"/>
      <c r="P640" s="379"/>
      <c r="Q640" s="379"/>
      <c r="R640" s="379"/>
      <c r="S640" s="379"/>
      <c r="T640" s="379"/>
      <c r="U640" s="379"/>
      <c r="V640" s="379"/>
      <c r="W640" s="379"/>
      <c r="X640" s="379"/>
      <c r="Y640" s="379"/>
      <c r="Z640" s="379"/>
      <c r="AA640" s="379"/>
      <c r="AB640" s="379"/>
      <c r="AC640" s="379"/>
      <c r="AD640" s="379"/>
      <c r="AE640" s="379"/>
      <c r="AF640" s="379"/>
      <c r="AG640" s="379"/>
      <c r="AH640" s="379"/>
      <c r="AI640" s="379"/>
      <c r="AJ640" s="379"/>
      <c r="AK640" s="379"/>
      <c r="AL640" s="379"/>
      <c r="AM640" s="379"/>
      <c r="AN640" s="379"/>
      <c r="AO640" s="379"/>
      <c r="AP640" s="379"/>
      <c r="AQ640" s="379"/>
      <c r="AR640" s="379"/>
      <c r="AS640" s="379"/>
      <c r="AT640" s="379"/>
      <c r="AU640" s="379"/>
      <c r="AV640" s="379"/>
      <c r="AW640" s="379"/>
      <c r="AX640" s="379"/>
      <c r="AY640" s="379"/>
      <c r="AZ640" s="379"/>
      <c r="BA640" s="379"/>
      <c r="BB640" s="379"/>
      <c r="BC640" s="379"/>
      <c r="BD640" s="379"/>
      <c r="BE640" s="379"/>
      <c r="BF640" s="379"/>
      <c r="BG640" s="379"/>
      <c r="BH640" s="379"/>
      <c r="BI640" s="379"/>
      <c r="BJ640" s="379"/>
      <c r="BK640" s="379"/>
      <c r="BL640" s="379"/>
      <c r="BM640" s="379"/>
      <c r="BN640" s="379"/>
      <c r="BO640" s="379"/>
      <c r="BP640" s="379"/>
      <c r="BQ640" s="379"/>
      <c r="BR640" s="379"/>
      <c r="BS640" s="379"/>
      <c r="BT640" s="379"/>
      <c r="BU640" s="379"/>
      <c r="BV640" s="379"/>
      <c r="BW640" s="379"/>
      <c r="BX640" s="379"/>
      <c r="BY640" s="379"/>
      <c r="BZ640" s="379"/>
      <c r="CA640" s="281"/>
      <c r="CB640" s="3" t="str">
        <f t="shared" si="85"/>
        <v>Riadok bude skrytý.</v>
      </c>
      <c r="CC640" s="271" t="s">
        <v>832</v>
      </c>
      <c r="CW640" s="30">
        <f t="shared" si="86"/>
        <v>0</v>
      </c>
      <c r="CZ640" s="30">
        <f t="shared" si="82"/>
        <v>1</v>
      </c>
      <c r="DA640" s="30">
        <f t="shared" si="80"/>
        <v>0</v>
      </c>
      <c r="DB640" s="140">
        <f t="shared" si="84"/>
        <v>0</v>
      </c>
      <c r="DS640" s="130">
        <f>SI!BY640</f>
        <v>628</v>
      </c>
      <c r="DZ640" s="131">
        <f>SI!BZ640</f>
        <v>0</v>
      </c>
    </row>
    <row r="641" spans="1:130" hidden="1" x14ac:dyDescent="0.25">
      <c r="A641" s="141"/>
      <c r="B641" s="379"/>
      <c r="C641" s="379"/>
      <c r="D641" s="379"/>
      <c r="E641" s="379"/>
      <c r="F641" s="379"/>
      <c r="G641" s="379"/>
      <c r="H641" s="379"/>
      <c r="I641" s="379"/>
      <c r="J641" s="379"/>
      <c r="K641" s="379"/>
      <c r="L641" s="379"/>
      <c r="M641" s="379"/>
      <c r="N641" s="379"/>
      <c r="O641" s="379"/>
      <c r="P641" s="379"/>
      <c r="Q641" s="379"/>
      <c r="R641" s="379"/>
      <c r="S641" s="379"/>
      <c r="T641" s="379"/>
      <c r="U641" s="379"/>
      <c r="V641" s="379"/>
      <c r="W641" s="379"/>
      <c r="X641" s="379"/>
      <c r="Y641" s="379"/>
      <c r="Z641" s="379"/>
      <c r="AA641" s="379"/>
      <c r="AB641" s="379"/>
      <c r="AC641" s="379"/>
      <c r="AD641" s="379"/>
      <c r="AE641" s="379"/>
      <c r="AF641" s="379"/>
      <c r="AG641" s="379"/>
      <c r="AH641" s="379"/>
      <c r="AI641" s="379"/>
      <c r="AJ641" s="379"/>
      <c r="AK641" s="379"/>
      <c r="AL641" s="379"/>
      <c r="AM641" s="379"/>
      <c r="AN641" s="379"/>
      <c r="AO641" s="379"/>
      <c r="AP641" s="379"/>
      <c r="AQ641" s="379"/>
      <c r="AR641" s="379"/>
      <c r="AS641" s="379"/>
      <c r="AT641" s="379"/>
      <c r="AU641" s="379"/>
      <c r="AV641" s="379"/>
      <c r="AW641" s="379"/>
      <c r="AX641" s="379"/>
      <c r="AY641" s="379"/>
      <c r="AZ641" s="379"/>
      <c r="BA641" s="379"/>
      <c r="BB641" s="379"/>
      <c r="BC641" s="379"/>
      <c r="BD641" s="379"/>
      <c r="BE641" s="379"/>
      <c r="BF641" s="379"/>
      <c r="BG641" s="379"/>
      <c r="BH641" s="379"/>
      <c r="BI641" s="379"/>
      <c r="BJ641" s="379"/>
      <c r="BK641" s="379"/>
      <c r="BL641" s="379"/>
      <c r="BM641" s="379"/>
      <c r="BN641" s="379"/>
      <c r="BO641" s="379"/>
      <c r="BP641" s="379"/>
      <c r="BQ641" s="379"/>
      <c r="BR641" s="379"/>
      <c r="BS641" s="379"/>
      <c r="BT641" s="379"/>
      <c r="BU641" s="379"/>
      <c r="BV641" s="379"/>
      <c r="BW641" s="379"/>
      <c r="BX641" s="379"/>
      <c r="BY641" s="379"/>
      <c r="BZ641" s="379"/>
      <c r="CA641" s="281"/>
      <c r="CB641" s="3" t="str">
        <f t="shared" si="85"/>
        <v>Riadok bude skrytý.</v>
      </c>
      <c r="CC641" s="271" t="s">
        <v>832</v>
      </c>
      <c r="CW641" s="30">
        <f t="shared" si="86"/>
        <v>0</v>
      </c>
      <c r="CZ641" s="30">
        <f t="shared" si="82"/>
        <v>1</v>
      </c>
      <c r="DA641" s="30">
        <f t="shared" si="80"/>
        <v>0</v>
      </c>
      <c r="DB641" s="140">
        <f t="shared" si="84"/>
        <v>0</v>
      </c>
      <c r="DS641" s="130">
        <f>SI!BY641</f>
        <v>153</v>
      </c>
      <c r="DZ641" s="131">
        <f>SI!BZ641</f>
        <v>0</v>
      </c>
    </row>
    <row r="642" spans="1:130" hidden="1" x14ac:dyDescent="0.25">
      <c r="A642" s="141"/>
      <c r="B642" s="379"/>
      <c r="C642" s="379"/>
      <c r="D642" s="379"/>
      <c r="E642" s="379"/>
      <c r="F642" s="379"/>
      <c r="G642" s="379"/>
      <c r="H642" s="379"/>
      <c r="I642" s="379"/>
      <c r="J642" s="379"/>
      <c r="K642" s="379"/>
      <c r="L642" s="379"/>
      <c r="M642" s="379"/>
      <c r="N642" s="379"/>
      <c r="O642" s="379"/>
      <c r="P642" s="379"/>
      <c r="Q642" s="379"/>
      <c r="R642" s="379"/>
      <c r="S642" s="379"/>
      <c r="T642" s="379"/>
      <c r="U642" s="379"/>
      <c r="V642" s="379"/>
      <c r="W642" s="379"/>
      <c r="X642" s="379"/>
      <c r="Y642" s="379"/>
      <c r="Z642" s="379"/>
      <c r="AA642" s="379"/>
      <c r="AB642" s="379"/>
      <c r="AC642" s="379"/>
      <c r="AD642" s="379"/>
      <c r="AE642" s="379"/>
      <c r="AF642" s="379"/>
      <c r="AG642" s="379"/>
      <c r="AH642" s="379"/>
      <c r="AI642" s="379"/>
      <c r="AJ642" s="379"/>
      <c r="AK642" s="379"/>
      <c r="AL642" s="379"/>
      <c r="AM642" s="379"/>
      <c r="AN642" s="379"/>
      <c r="AO642" s="379"/>
      <c r="AP642" s="379"/>
      <c r="AQ642" s="379"/>
      <c r="AR642" s="379"/>
      <c r="AS642" s="379"/>
      <c r="AT642" s="379"/>
      <c r="AU642" s="379"/>
      <c r="AV642" s="379"/>
      <c r="AW642" s="379"/>
      <c r="AX642" s="379"/>
      <c r="AY642" s="379"/>
      <c r="AZ642" s="379"/>
      <c r="BA642" s="379"/>
      <c r="BB642" s="379"/>
      <c r="BC642" s="379"/>
      <c r="BD642" s="379"/>
      <c r="BE642" s="379"/>
      <c r="BF642" s="379"/>
      <c r="BG642" s="379"/>
      <c r="BH642" s="379"/>
      <c r="BI642" s="379"/>
      <c r="BJ642" s="379"/>
      <c r="BK642" s="379"/>
      <c r="BL642" s="379"/>
      <c r="BM642" s="379"/>
      <c r="BN642" s="379"/>
      <c r="BO642" s="379"/>
      <c r="BP642" s="379"/>
      <c r="BQ642" s="379"/>
      <c r="BR642" s="379"/>
      <c r="BS642" s="379"/>
      <c r="BT642" s="379"/>
      <c r="BU642" s="379"/>
      <c r="BV642" s="379"/>
      <c r="BW642" s="379"/>
      <c r="BX642" s="379"/>
      <c r="BY642" s="379"/>
      <c r="BZ642" s="379"/>
      <c r="CA642" s="281"/>
      <c r="CB642" s="3" t="str">
        <f t="shared" si="85"/>
        <v>Riadok bude skrytý.</v>
      </c>
      <c r="CC642" s="271" t="s">
        <v>832</v>
      </c>
      <c r="CW642" s="30">
        <f t="shared" si="86"/>
        <v>0</v>
      </c>
      <c r="CZ642" s="30">
        <f t="shared" si="82"/>
        <v>1</v>
      </c>
      <c r="DA642" s="30">
        <f t="shared" ref="DA642:DA705" si="87">+IF(CW642+CX642+CY642=0,0,IF(CZ642=0,0,1))</f>
        <v>0</v>
      </c>
      <c r="DB642" s="140">
        <f t="shared" si="84"/>
        <v>0</v>
      </c>
      <c r="DS642" s="130">
        <f>SI!BY642</f>
        <v>638</v>
      </c>
      <c r="DZ642" s="131">
        <f>SI!BZ642</f>
        <v>0</v>
      </c>
    </row>
    <row r="643" spans="1:130" hidden="1" x14ac:dyDescent="0.25">
      <c r="A643" s="141"/>
      <c r="B643" s="379"/>
      <c r="C643" s="379"/>
      <c r="D643" s="379"/>
      <c r="E643" s="379"/>
      <c r="F643" s="379"/>
      <c r="G643" s="379"/>
      <c r="H643" s="379"/>
      <c r="I643" s="379"/>
      <c r="J643" s="379"/>
      <c r="K643" s="379"/>
      <c r="L643" s="379"/>
      <c r="M643" s="379"/>
      <c r="N643" s="379"/>
      <c r="O643" s="379"/>
      <c r="P643" s="379"/>
      <c r="Q643" s="379"/>
      <c r="R643" s="379"/>
      <c r="S643" s="379"/>
      <c r="T643" s="379"/>
      <c r="U643" s="379"/>
      <c r="V643" s="379"/>
      <c r="W643" s="379"/>
      <c r="X643" s="379"/>
      <c r="Y643" s="379"/>
      <c r="Z643" s="379"/>
      <c r="AA643" s="379"/>
      <c r="AB643" s="379"/>
      <c r="AC643" s="379"/>
      <c r="AD643" s="379"/>
      <c r="AE643" s="379"/>
      <c r="AF643" s="379"/>
      <c r="AG643" s="379"/>
      <c r="AH643" s="379"/>
      <c r="AI643" s="379"/>
      <c r="AJ643" s="379"/>
      <c r="AK643" s="379"/>
      <c r="AL643" s="379"/>
      <c r="AM643" s="379"/>
      <c r="AN643" s="379"/>
      <c r="AO643" s="379"/>
      <c r="AP643" s="379"/>
      <c r="AQ643" s="379"/>
      <c r="AR643" s="379"/>
      <c r="AS643" s="379"/>
      <c r="AT643" s="379"/>
      <c r="AU643" s="379"/>
      <c r="AV643" s="379"/>
      <c r="AW643" s="379"/>
      <c r="AX643" s="379"/>
      <c r="AY643" s="379"/>
      <c r="AZ643" s="379"/>
      <c r="BA643" s="379"/>
      <c r="BB643" s="379"/>
      <c r="BC643" s="379"/>
      <c r="BD643" s="379"/>
      <c r="BE643" s="379"/>
      <c r="BF643" s="379"/>
      <c r="BG643" s="379"/>
      <c r="BH643" s="379"/>
      <c r="BI643" s="379"/>
      <c r="BJ643" s="379"/>
      <c r="BK643" s="379"/>
      <c r="BL643" s="379"/>
      <c r="BM643" s="379"/>
      <c r="BN643" s="379"/>
      <c r="BO643" s="379"/>
      <c r="BP643" s="379"/>
      <c r="BQ643" s="379"/>
      <c r="BR643" s="379"/>
      <c r="BS643" s="379"/>
      <c r="BT643" s="379"/>
      <c r="BU643" s="379"/>
      <c r="BV643" s="379"/>
      <c r="BW643" s="379"/>
      <c r="BX643" s="379"/>
      <c r="BY643" s="379"/>
      <c r="BZ643" s="379"/>
      <c r="CA643" s="281"/>
      <c r="CB643" s="3" t="str">
        <f t="shared" si="85"/>
        <v>Riadok bude skrytý.</v>
      </c>
      <c r="CC643" s="271" t="s">
        <v>832</v>
      </c>
      <c r="CW643" s="30">
        <f t="shared" si="86"/>
        <v>0</v>
      </c>
      <c r="CZ643" s="30">
        <f t="shared" si="82"/>
        <v>1</v>
      </c>
      <c r="DA643" s="30">
        <f t="shared" si="87"/>
        <v>0</v>
      </c>
      <c r="DB643" s="140">
        <f t="shared" si="84"/>
        <v>0</v>
      </c>
      <c r="DS643" s="130">
        <f>SI!BY643</f>
        <v>197</v>
      </c>
      <c r="DZ643" s="131">
        <f>SI!BZ643</f>
        <v>0</v>
      </c>
    </row>
    <row r="644" spans="1:130" hidden="1" x14ac:dyDescent="0.25">
      <c r="A644" s="141"/>
      <c r="B644" s="379"/>
      <c r="C644" s="379"/>
      <c r="D644" s="379"/>
      <c r="E644" s="379"/>
      <c r="F644" s="379"/>
      <c r="G644" s="379"/>
      <c r="H644" s="379"/>
      <c r="I644" s="379"/>
      <c r="J644" s="379"/>
      <c r="K644" s="379"/>
      <c r="L644" s="379"/>
      <c r="M644" s="379"/>
      <c r="N644" s="379"/>
      <c r="O644" s="379"/>
      <c r="P644" s="379"/>
      <c r="Q644" s="379"/>
      <c r="R644" s="379"/>
      <c r="S644" s="379"/>
      <c r="T644" s="379"/>
      <c r="U644" s="379"/>
      <c r="V644" s="379"/>
      <c r="W644" s="379"/>
      <c r="X644" s="379"/>
      <c r="Y644" s="379"/>
      <c r="Z644" s="379"/>
      <c r="AA644" s="379"/>
      <c r="AB644" s="379"/>
      <c r="AC644" s="379"/>
      <c r="AD644" s="379"/>
      <c r="AE644" s="379"/>
      <c r="AF644" s="379"/>
      <c r="AG644" s="379"/>
      <c r="AH644" s="379"/>
      <c r="AI644" s="379"/>
      <c r="AJ644" s="379"/>
      <c r="AK644" s="379"/>
      <c r="AL644" s="379"/>
      <c r="AM644" s="379"/>
      <c r="AN644" s="379"/>
      <c r="AO644" s="379"/>
      <c r="AP644" s="379"/>
      <c r="AQ644" s="379"/>
      <c r="AR644" s="379"/>
      <c r="AS644" s="379"/>
      <c r="AT644" s="379"/>
      <c r="AU644" s="379"/>
      <c r="AV644" s="379"/>
      <c r="AW644" s="379"/>
      <c r="AX644" s="379"/>
      <c r="AY644" s="379"/>
      <c r="AZ644" s="379"/>
      <c r="BA644" s="379"/>
      <c r="BB644" s="379"/>
      <c r="BC644" s="379"/>
      <c r="BD644" s="379"/>
      <c r="BE644" s="379"/>
      <c r="BF644" s="379"/>
      <c r="BG644" s="379"/>
      <c r="BH644" s="379"/>
      <c r="BI644" s="379"/>
      <c r="BJ644" s="379"/>
      <c r="BK644" s="379"/>
      <c r="BL644" s="379"/>
      <c r="BM644" s="379"/>
      <c r="BN644" s="379"/>
      <c r="BO644" s="379"/>
      <c r="BP644" s="379"/>
      <c r="BQ644" s="379"/>
      <c r="BR644" s="379"/>
      <c r="BS644" s="379"/>
      <c r="BT644" s="379"/>
      <c r="BU644" s="379"/>
      <c r="BV644" s="379"/>
      <c r="BW644" s="379"/>
      <c r="BX644" s="379"/>
      <c r="BY644" s="379"/>
      <c r="BZ644" s="379"/>
      <c r="CA644" s="281"/>
      <c r="CB644" s="3" t="str">
        <f t="shared" si="85"/>
        <v>Riadok bude skrytý.</v>
      </c>
      <c r="CC644" s="271" t="s">
        <v>832</v>
      </c>
      <c r="CW644" s="30">
        <f t="shared" si="86"/>
        <v>0</v>
      </c>
      <c r="CZ644" s="30">
        <f t="shared" si="82"/>
        <v>1</v>
      </c>
      <c r="DA644" s="30">
        <f t="shared" si="87"/>
        <v>0</v>
      </c>
      <c r="DB644" s="140">
        <f t="shared" si="84"/>
        <v>0</v>
      </c>
      <c r="DS644" s="130">
        <f>SI!BY644</f>
        <v>1052</v>
      </c>
      <c r="DZ644" s="131">
        <f>SI!BZ644</f>
        <v>0</v>
      </c>
    </row>
    <row r="645" spans="1:130" hidden="1" x14ac:dyDescent="0.25">
      <c r="A645" s="141"/>
      <c r="B645" s="379"/>
      <c r="C645" s="379"/>
      <c r="D645" s="379"/>
      <c r="E645" s="379"/>
      <c r="F645" s="379"/>
      <c r="G645" s="379"/>
      <c r="H645" s="379"/>
      <c r="I645" s="379"/>
      <c r="J645" s="379"/>
      <c r="K645" s="379"/>
      <c r="L645" s="379"/>
      <c r="M645" s="379"/>
      <c r="N645" s="379"/>
      <c r="O645" s="379"/>
      <c r="P645" s="379"/>
      <c r="Q645" s="379"/>
      <c r="R645" s="379"/>
      <c r="S645" s="379"/>
      <c r="T645" s="379"/>
      <c r="U645" s="379"/>
      <c r="V645" s="379"/>
      <c r="W645" s="379"/>
      <c r="X645" s="379"/>
      <c r="Y645" s="379"/>
      <c r="Z645" s="379"/>
      <c r="AA645" s="379"/>
      <c r="AB645" s="379"/>
      <c r="AC645" s="379"/>
      <c r="AD645" s="379"/>
      <c r="AE645" s="379"/>
      <c r="AF645" s="379"/>
      <c r="AG645" s="379"/>
      <c r="AH645" s="379"/>
      <c r="AI645" s="379"/>
      <c r="AJ645" s="379"/>
      <c r="AK645" s="379"/>
      <c r="AL645" s="379"/>
      <c r="AM645" s="379"/>
      <c r="AN645" s="379"/>
      <c r="AO645" s="379"/>
      <c r="AP645" s="379"/>
      <c r="AQ645" s="379"/>
      <c r="AR645" s="379"/>
      <c r="AS645" s="379"/>
      <c r="AT645" s="379"/>
      <c r="AU645" s="379"/>
      <c r="AV645" s="379"/>
      <c r="AW645" s="379"/>
      <c r="AX645" s="379"/>
      <c r="AY645" s="379"/>
      <c r="AZ645" s="379"/>
      <c r="BA645" s="379"/>
      <c r="BB645" s="379"/>
      <c r="BC645" s="379"/>
      <c r="BD645" s="379"/>
      <c r="BE645" s="379"/>
      <c r="BF645" s="379"/>
      <c r="BG645" s="379"/>
      <c r="BH645" s="379"/>
      <c r="BI645" s="379"/>
      <c r="BJ645" s="379"/>
      <c r="BK645" s="379"/>
      <c r="BL645" s="379"/>
      <c r="BM645" s="379"/>
      <c r="BN645" s="379"/>
      <c r="BO645" s="379"/>
      <c r="BP645" s="379"/>
      <c r="BQ645" s="379"/>
      <c r="BR645" s="379"/>
      <c r="BS645" s="379"/>
      <c r="BT645" s="379"/>
      <c r="BU645" s="379"/>
      <c r="BV645" s="379"/>
      <c r="BW645" s="379"/>
      <c r="BX645" s="379"/>
      <c r="BY645" s="379"/>
      <c r="BZ645" s="379"/>
      <c r="CA645" s="281"/>
      <c r="CB645" s="3" t="str">
        <f t="shared" si="85"/>
        <v>Riadok bude skrytý.</v>
      </c>
      <c r="CC645" s="271" t="s">
        <v>832</v>
      </c>
      <c r="CW645" s="30">
        <f t="shared" si="86"/>
        <v>0</v>
      </c>
      <c r="CZ645" s="30">
        <f t="shared" si="82"/>
        <v>1</v>
      </c>
      <c r="DA645" s="30">
        <f t="shared" si="87"/>
        <v>0</v>
      </c>
      <c r="DB645" s="140">
        <f t="shared" si="84"/>
        <v>0</v>
      </c>
      <c r="DS645" s="130">
        <f>SI!BY645</f>
        <v>138</v>
      </c>
      <c r="DZ645" s="131">
        <f>SI!BZ645</f>
        <v>0</v>
      </c>
    </row>
    <row r="646" spans="1:130" hidden="1" x14ac:dyDescent="0.25">
      <c r="A646" s="141"/>
      <c r="B646" s="379"/>
      <c r="C646" s="379"/>
      <c r="D646" s="379"/>
      <c r="E646" s="379"/>
      <c r="F646" s="379"/>
      <c r="G646" s="379"/>
      <c r="H646" s="379"/>
      <c r="I646" s="379"/>
      <c r="J646" s="379"/>
      <c r="K646" s="379"/>
      <c r="L646" s="379"/>
      <c r="M646" s="379"/>
      <c r="N646" s="379"/>
      <c r="O646" s="379"/>
      <c r="P646" s="379"/>
      <c r="Q646" s="379"/>
      <c r="R646" s="379"/>
      <c r="S646" s="379"/>
      <c r="T646" s="379"/>
      <c r="U646" s="379"/>
      <c r="V646" s="379"/>
      <c r="W646" s="379"/>
      <c r="X646" s="379"/>
      <c r="Y646" s="379"/>
      <c r="Z646" s="379"/>
      <c r="AA646" s="379"/>
      <c r="AB646" s="379"/>
      <c r="AC646" s="379"/>
      <c r="AD646" s="379"/>
      <c r="AE646" s="379"/>
      <c r="AF646" s="379"/>
      <c r="AG646" s="379"/>
      <c r="AH646" s="379"/>
      <c r="AI646" s="379"/>
      <c r="AJ646" s="379"/>
      <c r="AK646" s="379"/>
      <c r="AL646" s="379"/>
      <c r="AM646" s="379"/>
      <c r="AN646" s="379"/>
      <c r="AO646" s="379"/>
      <c r="AP646" s="379"/>
      <c r="AQ646" s="379"/>
      <c r="AR646" s="379"/>
      <c r="AS646" s="379"/>
      <c r="AT646" s="379"/>
      <c r="AU646" s="379"/>
      <c r="AV646" s="379"/>
      <c r="AW646" s="379"/>
      <c r="AX646" s="379"/>
      <c r="AY646" s="379"/>
      <c r="AZ646" s="379"/>
      <c r="BA646" s="379"/>
      <c r="BB646" s="379"/>
      <c r="BC646" s="379"/>
      <c r="BD646" s="379"/>
      <c r="BE646" s="379"/>
      <c r="BF646" s="379"/>
      <c r="BG646" s="379"/>
      <c r="BH646" s="379"/>
      <c r="BI646" s="379"/>
      <c r="BJ646" s="379"/>
      <c r="BK646" s="379"/>
      <c r="BL646" s="379"/>
      <c r="BM646" s="379"/>
      <c r="BN646" s="379"/>
      <c r="BO646" s="379"/>
      <c r="BP646" s="379"/>
      <c r="BQ646" s="379"/>
      <c r="BR646" s="379"/>
      <c r="BS646" s="379"/>
      <c r="BT646" s="379"/>
      <c r="BU646" s="379"/>
      <c r="BV646" s="379"/>
      <c r="BW646" s="379"/>
      <c r="BX646" s="379"/>
      <c r="BY646" s="379"/>
      <c r="BZ646" s="379"/>
      <c r="CA646" s="281"/>
      <c r="CB646" s="3" t="str">
        <f t="shared" si="85"/>
        <v>Riadok bude skrytý.</v>
      </c>
      <c r="CC646" s="271" t="s">
        <v>832</v>
      </c>
      <c r="CW646" s="30">
        <f t="shared" si="86"/>
        <v>0</v>
      </c>
      <c r="CZ646" s="30">
        <f t="shared" si="82"/>
        <v>1</v>
      </c>
      <c r="DA646" s="30">
        <f t="shared" si="87"/>
        <v>0</v>
      </c>
      <c r="DB646" s="140">
        <f t="shared" si="84"/>
        <v>0</v>
      </c>
      <c r="DS646" s="130">
        <f>SI!BY646</f>
        <v>4</v>
      </c>
      <c r="DZ646" s="131">
        <f>SI!BZ646</f>
        <v>0</v>
      </c>
    </row>
    <row r="647" spans="1:130" hidden="1" x14ac:dyDescent="0.25">
      <c r="A647" s="141"/>
      <c r="B647" s="379"/>
      <c r="C647" s="379"/>
      <c r="D647" s="379"/>
      <c r="E647" s="379"/>
      <c r="F647" s="379"/>
      <c r="G647" s="379"/>
      <c r="H647" s="379"/>
      <c r="I647" s="379"/>
      <c r="J647" s="379"/>
      <c r="K647" s="379"/>
      <c r="L647" s="379"/>
      <c r="M647" s="379"/>
      <c r="N647" s="379"/>
      <c r="O647" s="379"/>
      <c r="P647" s="379"/>
      <c r="Q647" s="379"/>
      <c r="R647" s="379"/>
      <c r="S647" s="379"/>
      <c r="T647" s="379"/>
      <c r="U647" s="379"/>
      <c r="V647" s="379"/>
      <c r="W647" s="379"/>
      <c r="X647" s="379"/>
      <c r="Y647" s="379"/>
      <c r="Z647" s="379"/>
      <c r="AA647" s="379"/>
      <c r="AB647" s="379"/>
      <c r="AC647" s="379"/>
      <c r="AD647" s="379"/>
      <c r="AE647" s="379"/>
      <c r="AF647" s="379"/>
      <c r="AG647" s="379"/>
      <c r="AH647" s="379"/>
      <c r="AI647" s="379"/>
      <c r="AJ647" s="379"/>
      <c r="AK647" s="379"/>
      <c r="AL647" s="379"/>
      <c r="AM647" s="379"/>
      <c r="AN647" s="379"/>
      <c r="AO647" s="379"/>
      <c r="AP647" s="379"/>
      <c r="AQ647" s="379"/>
      <c r="AR647" s="379"/>
      <c r="AS647" s="379"/>
      <c r="AT647" s="379"/>
      <c r="AU647" s="379"/>
      <c r="AV647" s="379"/>
      <c r="AW647" s="379"/>
      <c r="AX647" s="379"/>
      <c r="AY647" s="379"/>
      <c r="AZ647" s="379"/>
      <c r="BA647" s="379"/>
      <c r="BB647" s="379"/>
      <c r="BC647" s="379"/>
      <c r="BD647" s="379"/>
      <c r="BE647" s="379"/>
      <c r="BF647" s="379"/>
      <c r="BG647" s="379"/>
      <c r="BH647" s="379"/>
      <c r="BI647" s="379"/>
      <c r="BJ647" s="379"/>
      <c r="BK647" s="379"/>
      <c r="BL647" s="379"/>
      <c r="BM647" s="379"/>
      <c r="BN647" s="379"/>
      <c r="BO647" s="379"/>
      <c r="BP647" s="379"/>
      <c r="BQ647" s="379"/>
      <c r="BR647" s="379"/>
      <c r="BS647" s="379"/>
      <c r="BT647" s="379"/>
      <c r="BU647" s="379"/>
      <c r="BV647" s="379"/>
      <c r="BW647" s="379"/>
      <c r="BX647" s="379"/>
      <c r="BY647" s="379"/>
      <c r="BZ647" s="379"/>
      <c r="CA647" s="281"/>
      <c r="CB647" s="3" t="str">
        <f t="shared" si="85"/>
        <v>Riadok bude skrytý.</v>
      </c>
      <c r="CC647" s="271" t="s">
        <v>832</v>
      </c>
      <c r="CW647" s="30">
        <f t="shared" si="86"/>
        <v>0</v>
      </c>
      <c r="CZ647" s="30">
        <f t="shared" si="82"/>
        <v>1</v>
      </c>
      <c r="DA647" s="30">
        <f t="shared" si="87"/>
        <v>0</v>
      </c>
      <c r="DB647" s="140">
        <f t="shared" si="84"/>
        <v>0</v>
      </c>
      <c r="DS647" s="130">
        <f>SI!BY647</f>
        <v>114</v>
      </c>
      <c r="DZ647" s="131">
        <f>SI!BZ647</f>
        <v>0</v>
      </c>
    </row>
    <row r="648" spans="1:130" hidden="1" x14ac:dyDescent="0.25">
      <c r="A648" s="141"/>
      <c r="B648" s="379"/>
      <c r="C648" s="379"/>
      <c r="D648" s="379"/>
      <c r="E648" s="379"/>
      <c r="F648" s="379"/>
      <c r="G648" s="379"/>
      <c r="H648" s="379"/>
      <c r="I648" s="379"/>
      <c r="J648" s="379"/>
      <c r="K648" s="379"/>
      <c r="L648" s="379"/>
      <c r="M648" s="379"/>
      <c r="N648" s="379"/>
      <c r="O648" s="379"/>
      <c r="P648" s="379"/>
      <c r="Q648" s="379"/>
      <c r="R648" s="379"/>
      <c r="S648" s="379"/>
      <c r="T648" s="379"/>
      <c r="U648" s="379"/>
      <c r="V648" s="379"/>
      <c r="W648" s="379"/>
      <c r="X648" s="379"/>
      <c r="Y648" s="379"/>
      <c r="Z648" s="379"/>
      <c r="AA648" s="379"/>
      <c r="AB648" s="379"/>
      <c r="AC648" s="379"/>
      <c r="AD648" s="379"/>
      <c r="AE648" s="379"/>
      <c r="AF648" s="379"/>
      <c r="AG648" s="379"/>
      <c r="AH648" s="379"/>
      <c r="AI648" s="379"/>
      <c r="AJ648" s="379"/>
      <c r="AK648" s="379"/>
      <c r="AL648" s="379"/>
      <c r="AM648" s="379"/>
      <c r="AN648" s="379"/>
      <c r="AO648" s="379"/>
      <c r="AP648" s="379"/>
      <c r="AQ648" s="379"/>
      <c r="AR648" s="379"/>
      <c r="AS648" s="379"/>
      <c r="AT648" s="379"/>
      <c r="AU648" s="379"/>
      <c r="AV648" s="379"/>
      <c r="AW648" s="379"/>
      <c r="AX648" s="379"/>
      <c r="AY648" s="379"/>
      <c r="AZ648" s="379"/>
      <c r="BA648" s="379"/>
      <c r="BB648" s="379"/>
      <c r="BC648" s="379"/>
      <c r="BD648" s="379"/>
      <c r="BE648" s="379"/>
      <c r="BF648" s="379"/>
      <c r="BG648" s="379"/>
      <c r="BH648" s="379"/>
      <c r="BI648" s="379"/>
      <c r="BJ648" s="379"/>
      <c r="BK648" s="379"/>
      <c r="BL648" s="379"/>
      <c r="BM648" s="379"/>
      <c r="BN648" s="379"/>
      <c r="BO648" s="379"/>
      <c r="BP648" s="379"/>
      <c r="BQ648" s="379"/>
      <c r="BR648" s="379"/>
      <c r="BS648" s="379"/>
      <c r="BT648" s="379"/>
      <c r="BU648" s="379"/>
      <c r="BV648" s="379"/>
      <c r="BW648" s="379"/>
      <c r="BX648" s="379"/>
      <c r="BY648" s="379"/>
      <c r="BZ648" s="379"/>
      <c r="CA648" s="281"/>
      <c r="CB648" s="3" t="str">
        <f t="shared" si="85"/>
        <v>Riadok bude skrytý.</v>
      </c>
      <c r="CC648" s="271" t="s">
        <v>832</v>
      </c>
      <c r="CW648" s="30">
        <f t="shared" si="86"/>
        <v>0</v>
      </c>
      <c r="CZ648" s="30">
        <f t="shared" si="82"/>
        <v>1</v>
      </c>
      <c r="DA648" s="30">
        <f t="shared" si="87"/>
        <v>0</v>
      </c>
      <c r="DB648" s="140">
        <f t="shared" si="84"/>
        <v>0</v>
      </c>
      <c r="DS648" s="130">
        <f>SI!BY648</f>
        <v>114</v>
      </c>
      <c r="DZ648" s="131">
        <f>SI!BZ648</f>
        <v>0</v>
      </c>
    </row>
    <row r="649" spans="1:130" x14ac:dyDescent="0.25">
      <c r="A649" s="141"/>
      <c r="CA649" s="270"/>
      <c r="CB649" s="3" t="str">
        <f t="shared" si="85"/>
        <v>Riadok bude vidieť.</v>
      </c>
      <c r="CC649" s="271" t="s">
        <v>832</v>
      </c>
      <c r="CW649" s="32">
        <f>+IF(SUM(CW651:CW670)=0,0,1)</f>
        <v>1</v>
      </c>
      <c r="CZ649" s="30">
        <f t="shared" si="82"/>
        <v>1</v>
      </c>
      <c r="DA649" s="30">
        <f t="shared" si="87"/>
        <v>1</v>
      </c>
      <c r="DB649" s="140">
        <f t="shared" si="84"/>
        <v>1</v>
      </c>
      <c r="DS649" s="130">
        <f>SI!BY649</f>
        <v>161</v>
      </c>
      <c r="DZ649" s="131">
        <f>SI!BZ649</f>
        <v>0</v>
      </c>
    </row>
    <row r="650" spans="1:130" x14ac:dyDescent="0.25">
      <c r="A650" s="141"/>
      <c r="B650" s="279" t="s">
        <v>859</v>
      </c>
      <c r="C650" s="7" t="str">
        <f>+IF($O$52&lt;&gt;"",IF(CODE(MID($O$52,1,1))*(IF(SI!EE650="",1,SI!EE650))+ROUNDDOWN(LEN(SI!J5)/2,0)=DS650,"Ocenenie majetku a záväzkov zabezpečených derivátmi","NEPOVOLENÉ POUŽITIE!"),"NEPOVOLENÉ POUŽITIE!")</f>
        <v>Ocenenie majetku a záväzkov zabezpečených derivátmi</v>
      </c>
      <c r="D650" s="7"/>
      <c r="E650" s="7"/>
      <c r="F650" s="7"/>
      <c r="CA650" s="265" t="s">
        <v>773</v>
      </c>
      <c r="CB650" s="3" t="str">
        <f t="shared" si="85"/>
        <v>Riadok bude vidieť.</v>
      </c>
      <c r="CC650" s="271" t="s">
        <v>832</v>
      </c>
      <c r="CW650" s="134">
        <f>+IF(SUM(CW651:CW670)=0,0,1)</f>
        <v>1</v>
      </c>
      <c r="CZ650" s="30">
        <f t="shared" si="82"/>
        <v>1</v>
      </c>
      <c r="DA650" s="30">
        <f t="shared" si="87"/>
        <v>1</v>
      </c>
      <c r="DB650" s="140">
        <f t="shared" si="84"/>
        <v>1</v>
      </c>
      <c r="DS650" s="130">
        <f>SI!BY650</f>
        <v>7</v>
      </c>
      <c r="DZ650" s="131">
        <f>SI!BZ650</f>
        <v>0</v>
      </c>
    </row>
    <row r="651" spans="1:130" x14ac:dyDescent="0.25">
      <c r="A651" s="141"/>
      <c r="B651" s="379" t="s">
        <v>85</v>
      </c>
      <c r="C651" s="379"/>
      <c r="D651" s="379"/>
      <c r="E651" s="379"/>
      <c r="F651" s="379"/>
      <c r="G651" s="379"/>
      <c r="H651" s="379"/>
      <c r="I651" s="379"/>
      <c r="J651" s="379"/>
      <c r="K651" s="379"/>
      <c r="L651" s="379"/>
      <c r="M651" s="379"/>
      <c r="N651" s="379"/>
      <c r="O651" s="379"/>
      <c r="P651" s="379"/>
      <c r="Q651" s="379"/>
      <c r="R651" s="379"/>
      <c r="S651" s="379"/>
      <c r="T651" s="379"/>
      <c r="U651" s="379"/>
      <c r="V651" s="379"/>
      <c r="W651" s="379"/>
      <c r="X651" s="379"/>
      <c r="Y651" s="379"/>
      <c r="Z651" s="379"/>
      <c r="AA651" s="379"/>
      <c r="AB651" s="379"/>
      <c r="AC651" s="379"/>
      <c r="AD651" s="379"/>
      <c r="AE651" s="379"/>
      <c r="AF651" s="379"/>
      <c r="AG651" s="379"/>
      <c r="AH651" s="379"/>
      <c r="AI651" s="379"/>
      <c r="AJ651" s="379"/>
      <c r="AK651" s="379"/>
      <c r="AL651" s="379"/>
      <c r="AM651" s="379"/>
      <c r="AN651" s="379"/>
      <c r="AO651" s="379"/>
      <c r="AP651" s="379"/>
      <c r="AQ651" s="379"/>
      <c r="AR651" s="379"/>
      <c r="AS651" s="379"/>
      <c r="AT651" s="379"/>
      <c r="AU651" s="379"/>
      <c r="AV651" s="379"/>
      <c r="AW651" s="379"/>
      <c r="AX651" s="379"/>
      <c r="AY651" s="379"/>
      <c r="AZ651" s="379"/>
      <c r="BA651" s="379"/>
      <c r="BB651" s="379"/>
      <c r="BC651" s="379"/>
      <c r="BD651" s="379"/>
      <c r="BE651" s="379"/>
      <c r="BF651" s="379"/>
      <c r="BG651" s="379"/>
      <c r="BH651" s="379"/>
      <c r="BI651" s="379"/>
      <c r="BJ651" s="379"/>
      <c r="BK651" s="379"/>
      <c r="BL651" s="379"/>
      <c r="BM651" s="379"/>
      <c r="BN651" s="379"/>
      <c r="BO651" s="379"/>
      <c r="BP651" s="379"/>
      <c r="BQ651" s="379"/>
      <c r="BR651" s="379"/>
      <c r="BS651" s="379"/>
      <c r="BT651" s="379"/>
      <c r="BU651" s="379"/>
      <c r="BV651" s="379"/>
      <c r="BW651" s="379"/>
      <c r="BX651" s="379"/>
      <c r="BY651" s="379"/>
      <c r="BZ651" s="379"/>
      <c r="CA651" s="281"/>
      <c r="CB651" s="3" t="str">
        <f t="shared" si="85"/>
        <v>Riadok bude vidieť.</v>
      </c>
      <c r="CC651" s="271" t="s">
        <v>832</v>
      </c>
      <c r="CW651" s="30">
        <f t="shared" ref="CW651:CW670" si="88">+IF(B651="",0,1)</f>
        <v>1</v>
      </c>
      <c r="CZ651" s="30">
        <f t="shared" si="82"/>
        <v>1</v>
      </c>
      <c r="DA651" s="30">
        <f t="shared" si="87"/>
        <v>1</v>
      </c>
      <c r="DB651" s="140">
        <f t="shared" si="84"/>
        <v>1</v>
      </c>
      <c r="DS651" s="130">
        <f>SI!BY651</f>
        <v>110</v>
      </c>
      <c r="DZ651" s="131">
        <f>SI!BZ651</f>
        <v>0</v>
      </c>
    </row>
    <row r="652" spans="1:130" x14ac:dyDescent="0.25">
      <c r="A652" s="141"/>
      <c r="B652" s="379" t="s">
        <v>86</v>
      </c>
      <c r="C652" s="379"/>
      <c r="D652" s="379"/>
      <c r="E652" s="379"/>
      <c r="F652" s="379"/>
      <c r="G652" s="379"/>
      <c r="H652" s="379"/>
      <c r="I652" s="379"/>
      <c r="J652" s="379"/>
      <c r="K652" s="379"/>
      <c r="L652" s="379"/>
      <c r="M652" s="379"/>
      <c r="N652" s="379"/>
      <c r="O652" s="379"/>
      <c r="P652" s="379"/>
      <c r="Q652" s="379"/>
      <c r="R652" s="379"/>
      <c r="S652" s="379"/>
      <c r="T652" s="379"/>
      <c r="U652" s="379"/>
      <c r="V652" s="379"/>
      <c r="W652" s="379"/>
      <c r="X652" s="379"/>
      <c r="Y652" s="379"/>
      <c r="Z652" s="379"/>
      <c r="AA652" s="379"/>
      <c r="AB652" s="379"/>
      <c r="AC652" s="379"/>
      <c r="AD652" s="379"/>
      <c r="AE652" s="379"/>
      <c r="AF652" s="379"/>
      <c r="AG652" s="379"/>
      <c r="AH652" s="379"/>
      <c r="AI652" s="379"/>
      <c r="AJ652" s="379"/>
      <c r="AK652" s="379"/>
      <c r="AL652" s="379"/>
      <c r="AM652" s="379"/>
      <c r="AN652" s="379"/>
      <c r="AO652" s="379"/>
      <c r="AP652" s="379"/>
      <c r="AQ652" s="379"/>
      <c r="AR652" s="379"/>
      <c r="AS652" s="379"/>
      <c r="AT652" s="379"/>
      <c r="AU652" s="379"/>
      <c r="AV652" s="379"/>
      <c r="AW652" s="379"/>
      <c r="AX652" s="379"/>
      <c r="AY652" s="379"/>
      <c r="AZ652" s="379"/>
      <c r="BA652" s="379"/>
      <c r="BB652" s="379"/>
      <c r="BC652" s="379"/>
      <c r="BD652" s="379"/>
      <c r="BE652" s="379"/>
      <c r="BF652" s="379"/>
      <c r="BG652" s="379"/>
      <c r="BH652" s="379"/>
      <c r="BI652" s="379"/>
      <c r="BJ652" s="379"/>
      <c r="BK652" s="379"/>
      <c r="BL652" s="379"/>
      <c r="BM652" s="379"/>
      <c r="BN652" s="379"/>
      <c r="BO652" s="379"/>
      <c r="BP652" s="379"/>
      <c r="BQ652" s="379"/>
      <c r="BR652" s="379"/>
      <c r="BS652" s="379"/>
      <c r="BT652" s="379"/>
      <c r="BU652" s="379"/>
      <c r="BV652" s="379"/>
      <c r="BW652" s="379"/>
      <c r="BX652" s="379"/>
      <c r="BY652" s="379"/>
      <c r="BZ652" s="379"/>
      <c r="CA652" s="281"/>
      <c r="CB652" s="3" t="str">
        <f t="shared" si="85"/>
        <v>Riadok bude vidieť.</v>
      </c>
      <c r="CC652" s="271" t="s">
        <v>832</v>
      </c>
      <c r="CW652" s="30">
        <f t="shared" si="88"/>
        <v>1</v>
      </c>
      <c r="CZ652" s="30">
        <f t="shared" si="82"/>
        <v>1</v>
      </c>
      <c r="DA652" s="30">
        <f t="shared" si="87"/>
        <v>1</v>
      </c>
      <c r="DB652" s="140">
        <f t="shared" si="84"/>
        <v>1</v>
      </c>
      <c r="DS652" s="130">
        <f>SI!BY652</f>
        <v>121</v>
      </c>
      <c r="DZ652" s="131">
        <f>SI!BZ652</f>
        <v>0</v>
      </c>
    </row>
    <row r="653" spans="1:130" x14ac:dyDescent="0.25">
      <c r="A653" s="141"/>
      <c r="B653" s="379" t="s">
        <v>87</v>
      </c>
      <c r="C653" s="379"/>
      <c r="D653" s="379"/>
      <c r="E653" s="379"/>
      <c r="F653" s="379"/>
      <c r="G653" s="379"/>
      <c r="H653" s="379"/>
      <c r="I653" s="379"/>
      <c r="J653" s="379"/>
      <c r="K653" s="379"/>
      <c r="L653" s="379"/>
      <c r="M653" s="379"/>
      <c r="N653" s="379"/>
      <c r="O653" s="379"/>
      <c r="P653" s="379"/>
      <c r="Q653" s="379"/>
      <c r="R653" s="379"/>
      <c r="S653" s="379"/>
      <c r="T653" s="379"/>
      <c r="U653" s="379"/>
      <c r="V653" s="379"/>
      <c r="W653" s="379"/>
      <c r="X653" s="379"/>
      <c r="Y653" s="379"/>
      <c r="Z653" s="379"/>
      <c r="AA653" s="379"/>
      <c r="AB653" s="379"/>
      <c r="AC653" s="379"/>
      <c r="AD653" s="379"/>
      <c r="AE653" s="379"/>
      <c r="AF653" s="379"/>
      <c r="AG653" s="379"/>
      <c r="AH653" s="379"/>
      <c r="AI653" s="379"/>
      <c r="AJ653" s="379"/>
      <c r="AK653" s="379"/>
      <c r="AL653" s="379"/>
      <c r="AM653" s="379"/>
      <c r="AN653" s="379"/>
      <c r="AO653" s="379"/>
      <c r="AP653" s="379"/>
      <c r="AQ653" s="379"/>
      <c r="AR653" s="379"/>
      <c r="AS653" s="379"/>
      <c r="AT653" s="379"/>
      <c r="AU653" s="379"/>
      <c r="AV653" s="379"/>
      <c r="AW653" s="379"/>
      <c r="AX653" s="379"/>
      <c r="AY653" s="379"/>
      <c r="AZ653" s="379"/>
      <c r="BA653" s="379"/>
      <c r="BB653" s="379"/>
      <c r="BC653" s="379"/>
      <c r="BD653" s="379"/>
      <c r="BE653" s="379"/>
      <c r="BF653" s="379"/>
      <c r="BG653" s="379"/>
      <c r="BH653" s="379"/>
      <c r="BI653" s="379"/>
      <c r="BJ653" s="379"/>
      <c r="BK653" s="379"/>
      <c r="BL653" s="379"/>
      <c r="BM653" s="379"/>
      <c r="BN653" s="379"/>
      <c r="BO653" s="379"/>
      <c r="BP653" s="379"/>
      <c r="BQ653" s="379"/>
      <c r="BR653" s="379"/>
      <c r="BS653" s="379"/>
      <c r="BT653" s="379"/>
      <c r="BU653" s="379"/>
      <c r="BV653" s="379"/>
      <c r="BW653" s="379"/>
      <c r="BX653" s="379"/>
      <c r="BY653" s="379"/>
      <c r="BZ653" s="379"/>
      <c r="CA653" s="281"/>
      <c r="CB653" s="3" t="str">
        <f t="shared" si="85"/>
        <v>Riadok bude vidieť.</v>
      </c>
      <c r="CC653" s="271" t="s">
        <v>832</v>
      </c>
      <c r="CW653" s="30">
        <f t="shared" si="88"/>
        <v>1</v>
      </c>
      <c r="CZ653" s="30">
        <f t="shared" si="82"/>
        <v>1</v>
      </c>
      <c r="DA653" s="30">
        <f t="shared" si="87"/>
        <v>1</v>
      </c>
      <c r="DB653" s="140">
        <f t="shared" si="84"/>
        <v>1</v>
      </c>
      <c r="DS653" s="130">
        <f>SI!BY653</f>
        <v>129</v>
      </c>
      <c r="DZ653" s="131">
        <f>SI!BZ653</f>
        <v>0</v>
      </c>
    </row>
    <row r="654" spans="1:130" hidden="1" x14ac:dyDescent="0.25">
      <c r="A654" s="141"/>
      <c r="B654" s="379"/>
      <c r="C654" s="379"/>
      <c r="D654" s="379"/>
      <c r="E654" s="379"/>
      <c r="F654" s="379"/>
      <c r="G654" s="379"/>
      <c r="H654" s="379"/>
      <c r="I654" s="379"/>
      <c r="J654" s="379"/>
      <c r="K654" s="379"/>
      <c r="L654" s="379"/>
      <c r="M654" s="379"/>
      <c r="N654" s="379"/>
      <c r="O654" s="379"/>
      <c r="P654" s="379"/>
      <c r="Q654" s="379"/>
      <c r="R654" s="379"/>
      <c r="S654" s="379"/>
      <c r="T654" s="379"/>
      <c r="U654" s="379"/>
      <c r="V654" s="379"/>
      <c r="W654" s="379"/>
      <c r="X654" s="379"/>
      <c r="Y654" s="379"/>
      <c r="Z654" s="379"/>
      <c r="AA654" s="379"/>
      <c r="AB654" s="379"/>
      <c r="AC654" s="379"/>
      <c r="AD654" s="379"/>
      <c r="AE654" s="379"/>
      <c r="AF654" s="379"/>
      <c r="AG654" s="379"/>
      <c r="AH654" s="379"/>
      <c r="AI654" s="379"/>
      <c r="AJ654" s="379"/>
      <c r="AK654" s="379"/>
      <c r="AL654" s="379"/>
      <c r="AM654" s="379"/>
      <c r="AN654" s="379"/>
      <c r="AO654" s="379"/>
      <c r="AP654" s="379"/>
      <c r="AQ654" s="379"/>
      <c r="AR654" s="379"/>
      <c r="AS654" s="379"/>
      <c r="AT654" s="379"/>
      <c r="AU654" s="379"/>
      <c r="AV654" s="379"/>
      <c r="AW654" s="379"/>
      <c r="AX654" s="379"/>
      <c r="AY654" s="379"/>
      <c r="AZ654" s="379"/>
      <c r="BA654" s="379"/>
      <c r="BB654" s="379"/>
      <c r="BC654" s="379"/>
      <c r="BD654" s="379"/>
      <c r="BE654" s="379"/>
      <c r="BF654" s="379"/>
      <c r="BG654" s="379"/>
      <c r="BH654" s="379"/>
      <c r="BI654" s="379"/>
      <c r="BJ654" s="379"/>
      <c r="BK654" s="379"/>
      <c r="BL654" s="379"/>
      <c r="BM654" s="379"/>
      <c r="BN654" s="379"/>
      <c r="BO654" s="379"/>
      <c r="BP654" s="379"/>
      <c r="BQ654" s="379"/>
      <c r="BR654" s="379"/>
      <c r="BS654" s="379"/>
      <c r="BT654" s="379"/>
      <c r="BU654" s="379"/>
      <c r="BV654" s="379"/>
      <c r="BW654" s="379"/>
      <c r="BX654" s="379"/>
      <c r="BY654" s="379"/>
      <c r="BZ654" s="379"/>
      <c r="CA654" s="281"/>
      <c r="CB654" s="3" t="str">
        <f t="shared" si="85"/>
        <v>Riadok bude skrytý.</v>
      </c>
      <c r="CC654" s="271" t="s">
        <v>832</v>
      </c>
      <c r="CW654" s="30">
        <f t="shared" si="88"/>
        <v>0</v>
      </c>
      <c r="CZ654" s="30">
        <f t="shared" si="82"/>
        <v>1</v>
      </c>
      <c r="DA654" s="30">
        <f t="shared" si="87"/>
        <v>0</v>
      </c>
      <c r="DB654" s="140">
        <f t="shared" si="84"/>
        <v>0</v>
      </c>
      <c r="DS654" s="130">
        <f>SI!BY654</f>
        <v>179</v>
      </c>
      <c r="DZ654" s="131">
        <f>SI!BZ654</f>
        <v>0</v>
      </c>
    </row>
    <row r="655" spans="1:130" hidden="1" x14ac:dyDescent="0.25">
      <c r="A655" s="141"/>
      <c r="B655" s="379"/>
      <c r="C655" s="379"/>
      <c r="D655" s="379"/>
      <c r="E655" s="379"/>
      <c r="F655" s="379"/>
      <c r="G655" s="379"/>
      <c r="H655" s="379"/>
      <c r="I655" s="379"/>
      <c r="J655" s="379"/>
      <c r="K655" s="379"/>
      <c r="L655" s="379"/>
      <c r="M655" s="379"/>
      <c r="N655" s="379"/>
      <c r="O655" s="379"/>
      <c r="P655" s="379"/>
      <c r="Q655" s="379"/>
      <c r="R655" s="379"/>
      <c r="S655" s="379"/>
      <c r="T655" s="379"/>
      <c r="U655" s="379"/>
      <c r="V655" s="379"/>
      <c r="W655" s="379"/>
      <c r="X655" s="379"/>
      <c r="Y655" s="379"/>
      <c r="Z655" s="379"/>
      <c r="AA655" s="379"/>
      <c r="AB655" s="379"/>
      <c r="AC655" s="379"/>
      <c r="AD655" s="379"/>
      <c r="AE655" s="379"/>
      <c r="AF655" s="379"/>
      <c r="AG655" s="379"/>
      <c r="AH655" s="379"/>
      <c r="AI655" s="379"/>
      <c r="AJ655" s="379"/>
      <c r="AK655" s="379"/>
      <c r="AL655" s="379"/>
      <c r="AM655" s="379"/>
      <c r="AN655" s="379"/>
      <c r="AO655" s="379"/>
      <c r="AP655" s="379"/>
      <c r="AQ655" s="379"/>
      <c r="AR655" s="379"/>
      <c r="AS655" s="379"/>
      <c r="AT655" s="379"/>
      <c r="AU655" s="379"/>
      <c r="AV655" s="379"/>
      <c r="AW655" s="379"/>
      <c r="AX655" s="379"/>
      <c r="AY655" s="379"/>
      <c r="AZ655" s="379"/>
      <c r="BA655" s="379"/>
      <c r="BB655" s="379"/>
      <c r="BC655" s="379"/>
      <c r="BD655" s="379"/>
      <c r="BE655" s="379"/>
      <c r="BF655" s="379"/>
      <c r="BG655" s="379"/>
      <c r="BH655" s="379"/>
      <c r="BI655" s="379"/>
      <c r="BJ655" s="379"/>
      <c r="BK655" s="379"/>
      <c r="BL655" s="379"/>
      <c r="BM655" s="379"/>
      <c r="BN655" s="379"/>
      <c r="BO655" s="379"/>
      <c r="BP655" s="379"/>
      <c r="BQ655" s="379"/>
      <c r="BR655" s="379"/>
      <c r="BS655" s="379"/>
      <c r="BT655" s="379"/>
      <c r="BU655" s="379"/>
      <c r="BV655" s="379"/>
      <c r="BW655" s="379"/>
      <c r="BX655" s="379"/>
      <c r="BY655" s="379"/>
      <c r="BZ655" s="379"/>
      <c r="CA655" s="281"/>
      <c r="CB655" s="3" t="str">
        <f t="shared" si="85"/>
        <v>Riadok bude skrytý.</v>
      </c>
      <c r="CC655" s="271" t="s">
        <v>832</v>
      </c>
      <c r="CW655" s="30">
        <f t="shared" si="88"/>
        <v>0</v>
      </c>
      <c r="CZ655" s="30">
        <f t="shared" si="82"/>
        <v>1</v>
      </c>
      <c r="DA655" s="30">
        <f t="shared" si="87"/>
        <v>0</v>
      </c>
      <c r="DB655" s="140">
        <f t="shared" si="84"/>
        <v>0</v>
      </c>
      <c r="DS655" s="130">
        <f>SI!BY655</f>
        <v>113</v>
      </c>
      <c r="DZ655" s="131">
        <f>SI!BZ655</f>
        <v>0</v>
      </c>
    </row>
    <row r="656" spans="1:130" hidden="1" x14ac:dyDescent="0.25">
      <c r="A656" s="141"/>
      <c r="B656" s="379"/>
      <c r="C656" s="379"/>
      <c r="D656" s="379"/>
      <c r="E656" s="379"/>
      <c r="F656" s="379"/>
      <c r="G656" s="379"/>
      <c r="H656" s="379"/>
      <c r="I656" s="379"/>
      <c r="J656" s="379"/>
      <c r="K656" s="379"/>
      <c r="L656" s="379"/>
      <c r="M656" s="379"/>
      <c r="N656" s="379"/>
      <c r="O656" s="379"/>
      <c r="P656" s="379"/>
      <c r="Q656" s="379"/>
      <c r="R656" s="379"/>
      <c r="S656" s="379"/>
      <c r="T656" s="379"/>
      <c r="U656" s="379"/>
      <c r="V656" s="379"/>
      <c r="W656" s="379"/>
      <c r="X656" s="379"/>
      <c r="Y656" s="379"/>
      <c r="Z656" s="379"/>
      <c r="AA656" s="379"/>
      <c r="AB656" s="379"/>
      <c r="AC656" s="379"/>
      <c r="AD656" s="379"/>
      <c r="AE656" s="379"/>
      <c r="AF656" s="379"/>
      <c r="AG656" s="379"/>
      <c r="AH656" s="379"/>
      <c r="AI656" s="379"/>
      <c r="AJ656" s="379"/>
      <c r="AK656" s="379"/>
      <c r="AL656" s="379"/>
      <c r="AM656" s="379"/>
      <c r="AN656" s="379"/>
      <c r="AO656" s="379"/>
      <c r="AP656" s="379"/>
      <c r="AQ656" s="379"/>
      <c r="AR656" s="379"/>
      <c r="AS656" s="379"/>
      <c r="AT656" s="379"/>
      <c r="AU656" s="379"/>
      <c r="AV656" s="379"/>
      <c r="AW656" s="379"/>
      <c r="AX656" s="379"/>
      <c r="AY656" s="379"/>
      <c r="AZ656" s="379"/>
      <c r="BA656" s="379"/>
      <c r="BB656" s="379"/>
      <c r="BC656" s="379"/>
      <c r="BD656" s="379"/>
      <c r="BE656" s="379"/>
      <c r="BF656" s="379"/>
      <c r="BG656" s="379"/>
      <c r="BH656" s="379"/>
      <c r="BI656" s="379"/>
      <c r="BJ656" s="379"/>
      <c r="BK656" s="379"/>
      <c r="BL656" s="379"/>
      <c r="BM656" s="379"/>
      <c r="BN656" s="379"/>
      <c r="BO656" s="379"/>
      <c r="BP656" s="379"/>
      <c r="BQ656" s="379"/>
      <c r="BR656" s="379"/>
      <c r="BS656" s="379"/>
      <c r="BT656" s="379"/>
      <c r="BU656" s="379"/>
      <c r="BV656" s="379"/>
      <c r="BW656" s="379"/>
      <c r="BX656" s="379"/>
      <c r="BY656" s="379"/>
      <c r="BZ656" s="379"/>
      <c r="CA656" s="281"/>
      <c r="CB656" s="3" t="str">
        <f t="shared" si="85"/>
        <v>Riadok bude skrytý.</v>
      </c>
      <c r="CC656" s="271" t="s">
        <v>832</v>
      </c>
      <c r="CW656" s="30">
        <f t="shared" si="88"/>
        <v>0</v>
      </c>
      <c r="CZ656" s="30">
        <f t="shared" si="82"/>
        <v>1</v>
      </c>
      <c r="DA656" s="30">
        <f t="shared" si="87"/>
        <v>0</v>
      </c>
      <c r="DB656" s="140">
        <f t="shared" si="84"/>
        <v>0</v>
      </c>
      <c r="DS656" s="130">
        <f>SI!BY656</f>
        <v>180</v>
      </c>
      <c r="DZ656" s="131">
        <f>SI!BZ656</f>
        <v>0</v>
      </c>
    </row>
    <row r="657" spans="1:130" hidden="1" x14ac:dyDescent="0.25">
      <c r="A657" s="141"/>
      <c r="B657" s="379"/>
      <c r="C657" s="379"/>
      <c r="D657" s="379"/>
      <c r="E657" s="379"/>
      <c r="F657" s="379"/>
      <c r="G657" s="379"/>
      <c r="H657" s="379"/>
      <c r="I657" s="379"/>
      <c r="J657" s="379"/>
      <c r="K657" s="379"/>
      <c r="L657" s="379"/>
      <c r="M657" s="379"/>
      <c r="N657" s="379"/>
      <c r="O657" s="379"/>
      <c r="P657" s="379"/>
      <c r="Q657" s="379"/>
      <c r="R657" s="379"/>
      <c r="S657" s="379"/>
      <c r="T657" s="379"/>
      <c r="U657" s="379"/>
      <c r="V657" s="379"/>
      <c r="W657" s="379"/>
      <c r="X657" s="379"/>
      <c r="Y657" s="379"/>
      <c r="Z657" s="379"/>
      <c r="AA657" s="379"/>
      <c r="AB657" s="379"/>
      <c r="AC657" s="379"/>
      <c r="AD657" s="379"/>
      <c r="AE657" s="379"/>
      <c r="AF657" s="379"/>
      <c r="AG657" s="379"/>
      <c r="AH657" s="379"/>
      <c r="AI657" s="379"/>
      <c r="AJ657" s="379"/>
      <c r="AK657" s="379"/>
      <c r="AL657" s="379"/>
      <c r="AM657" s="379"/>
      <c r="AN657" s="379"/>
      <c r="AO657" s="379"/>
      <c r="AP657" s="379"/>
      <c r="AQ657" s="379"/>
      <c r="AR657" s="379"/>
      <c r="AS657" s="379"/>
      <c r="AT657" s="379"/>
      <c r="AU657" s="379"/>
      <c r="AV657" s="379"/>
      <c r="AW657" s="379"/>
      <c r="AX657" s="379"/>
      <c r="AY657" s="379"/>
      <c r="AZ657" s="379"/>
      <c r="BA657" s="379"/>
      <c r="BB657" s="379"/>
      <c r="BC657" s="379"/>
      <c r="BD657" s="379"/>
      <c r="BE657" s="379"/>
      <c r="BF657" s="379"/>
      <c r="BG657" s="379"/>
      <c r="BH657" s="379"/>
      <c r="BI657" s="379"/>
      <c r="BJ657" s="379"/>
      <c r="BK657" s="379"/>
      <c r="BL657" s="379"/>
      <c r="BM657" s="379"/>
      <c r="BN657" s="379"/>
      <c r="BO657" s="379"/>
      <c r="BP657" s="379"/>
      <c r="BQ657" s="379"/>
      <c r="BR657" s="379"/>
      <c r="BS657" s="379"/>
      <c r="BT657" s="379"/>
      <c r="BU657" s="379"/>
      <c r="BV657" s="379"/>
      <c r="BW657" s="379"/>
      <c r="BX657" s="379"/>
      <c r="BY657" s="379"/>
      <c r="BZ657" s="379"/>
      <c r="CA657" s="281"/>
      <c r="CB657" s="3" t="str">
        <f t="shared" si="85"/>
        <v>Riadok bude skrytý.</v>
      </c>
      <c r="CC657" s="271" t="s">
        <v>832</v>
      </c>
      <c r="CW657" s="30">
        <f t="shared" si="88"/>
        <v>0</v>
      </c>
      <c r="CZ657" s="30">
        <f t="shared" si="82"/>
        <v>1</v>
      </c>
      <c r="DA657" s="30">
        <f t="shared" si="87"/>
        <v>0</v>
      </c>
      <c r="DB657" s="140">
        <f t="shared" si="84"/>
        <v>0</v>
      </c>
      <c r="DS657" s="130">
        <f>SI!BY657</f>
        <v>202</v>
      </c>
      <c r="DZ657" s="131">
        <f>SI!BZ657</f>
        <v>0</v>
      </c>
    </row>
    <row r="658" spans="1:130" hidden="1" x14ac:dyDescent="0.25">
      <c r="A658" s="141"/>
      <c r="B658" s="379"/>
      <c r="C658" s="379"/>
      <c r="D658" s="379"/>
      <c r="E658" s="379"/>
      <c r="F658" s="379"/>
      <c r="G658" s="379"/>
      <c r="H658" s="379"/>
      <c r="I658" s="379"/>
      <c r="J658" s="379"/>
      <c r="K658" s="379"/>
      <c r="L658" s="379"/>
      <c r="M658" s="379"/>
      <c r="N658" s="379"/>
      <c r="O658" s="379"/>
      <c r="P658" s="379"/>
      <c r="Q658" s="379"/>
      <c r="R658" s="379"/>
      <c r="S658" s="379"/>
      <c r="T658" s="379"/>
      <c r="U658" s="379"/>
      <c r="V658" s="379"/>
      <c r="W658" s="379"/>
      <c r="X658" s="379"/>
      <c r="Y658" s="379"/>
      <c r="Z658" s="379"/>
      <c r="AA658" s="379"/>
      <c r="AB658" s="379"/>
      <c r="AC658" s="379"/>
      <c r="AD658" s="379"/>
      <c r="AE658" s="379"/>
      <c r="AF658" s="379"/>
      <c r="AG658" s="379"/>
      <c r="AH658" s="379"/>
      <c r="AI658" s="379"/>
      <c r="AJ658" s="379"/>
      <c r="AK658" s="379"/>
      <c r="AL658" s="379"/>
      <c r="AM658" s="379"/>
      <c r="AN658" s="379"/>
      <c r="AO658" s="379"/>
      <c r="AP658" s="379"/>
      <c r="AQ658" s="379"/>
      <c r="AR658" s="379"/>
      <c r="AS658" s="379"/>
      <c r="AT658" s="379"/>
      <c r="AU658" s="379"/>
      <c r="AV658" s="379"/>
      <c r="AW658" s="379"/>
      <c r="AX658" s="379"/>
      <c r="AY658" s="379"/>
      <c r="AZ658" s="379"/>
      <c r="BA658" s="379"/>
      <c r="BB658" s="379"/>
      <c r="BC658" s="379"/>
      <c r="BD658" s="379"/>
      <c r="BE658" s="379"/>
      <c r="BF658" s="379"/>
      <c r="BG658" s="379"/>
      <c r="BH658" s="379"/>
      <c r="BI658" s="379"/>
      <c r="BJ658" s="379"/>
      <c r="BK658" s="379"/>
      <c r="BL658" s="379"/>
      <c r="BM658" s="379"/>
      <c r="BN658" s="379"/>
      <c r="BO658" s="379"/>
      <c r="BP658" s="379"/>
      <c r="BQ658" s="379"/>
      <c r="BR658" s="379"/>
      <c r="BS658" s="379"/>
      <c r="BT658" s="379"/>
      <c r="BU658" s="379"/>
      <c r="BV658" s="379"/>
      <c r="BW658" s="379"/>
      <c r="BX658" s="379"/>
      <c r="BY658" s="379"/>
      <c r="BZ658" s="379"/>
      <c r="CA658" s="281"/>
      <c r="CB658" s="3" t="str">
        <f t="shared" si="85"/>
        <v>Riadok bude skrytý.</v>
      </c>
      <c r="CC658" s="271" t="s">
        <v>832</v>
      </c>
      <c r="CW658" s="30">
        <f t="shared" si="88"/>
        <v>0</v>
      </c>
      <c r="CZ658" s="30">
        <f t="shared" si="82"/>
        <v>1</v>
      </c>
      <c r="DA658" s="30">
        <f t="shared" si="87"/>
        <v>0</v>
      </c>
      <c r="DB658" s="140">
        <f t="shared" si="84"/>
        <v>0</v>
      </c>
      <c r="DS658" s="130">
        <f>SI!BY658</f>
        <v>192</v>
      </c>
      <c r="DZ658" s="131">
        <f>SI!BZ658</f>
        <v>0</v>
      </c>
    </row>
    <row r="659" spans="1:130" hidden="1" x14ac:dyDescent="0.25">
      <c r="A659" s="141"/>
      <c r="B659" s="379"/>
      <c r="C659" s="379"/>
      <c r="D659" s="379"/>
      <c r="E659" s="379"/>
      <c r="F659" s="379"/>
      <c r="G659" s="379"/>
      <c r="H659" s="379"/>
      <c r="I659" s="379"/>
      <c r="J659" s="379"/>
      <c r="K659" s="379"/>
      <c r="L659" s="379"/>
      <c r="M659" s="379"/>
      <c r="N659" s="379"/>
      <c r="O659" s="379"/>
      <c r="P659" s="379"/>
      <c r="Q659" s="379"/>
      <c r="R659" s="379"/>
      <c r="S659" s="379"/>
      <c r="T659" s="379"/>
      <c r="U659" s="379"/>
      <c r="V659" s="379"/>
      <c r="W659" s="379"/>
      <c r="X659" s="379"/>
      <c r="Y659" s="379"/>
      <c r="Z659" s="379"/>
      <c r="AA659" s="379"/>
      <c r="AB659" s="379"/>
      <c r="AC659" s="379"/>
      <c r="AD659" s="379"/>
      <c r="AE659" s="379"/>
      <c r="AF659" s="379"/>
      <c r="AG659" s="379"/>
      <c r="AH659" s="379"/>
      <c r="AI659" s="379"/>
      <c r="AJ659" s="379"/>
      <c r="AK659" s="379"/>
      <c r="AL659" s="379"/>
      <c r="AM659" s="379"/>
      <c r="AN659" s="379"/>
      <c r="AO659" s="379"/>
      <c r="AP659" s="379"/>
      <c r="AQ659" s="379"/>
      <c r="AR659" s="379"/>
      <c r="AS659" s="379"/>
      <c r="AT659" s="379"/>
      <c r="AU659" s="379"/>
      <c r="AV659" s="379"/>
      <c r="AW659" s="379"/>
      <c r="AX659" s="379"/>
      <c r="AY659" s="379"/>
      <c r="AZ659" s="379"/>
      <c r="BA659" s="379"/>
      <c r="BB659" s="379"/>
      <c r="BC659" s="379"/>
      <c r="BD659" s="379"/>
      <c r="BE659" s="379"/>
      <c r="BF659" s="379"/>
      <c r="BG659" s="379"/>
      <c r="BH659" s="379"/>
      <c r="BI659" s="379"/>
      <c r="BJ659" s="379"/>
      <c r="BK659" s="379"/>
      <c r="BL659" s="379"/>
      <c r="BM659" s="379"/>
      <c r="BN659" s="379"/>
      <c r="BO659" s="379"/>
      <c r="BP659" s="379"/>
      <c r="BQ659" s="379"/>
      <c r="BR659" s="379"/>
      <c r="BS659" s="379"/>
      <c r="BT659" s="379"/>
      <c r="BU659" s="379"/>
      <c r="BV659" s="379"/>
      <c r="BW659" s="379"/>
      <c r="BX659" s="379"/>
      <c r="BY659" s="379"/>
      <c r="BZ659" s="379"/>
      <c r="CA659" s="281"/>
      <c r="CB659" s="3" t="str">
        <f t="shared" si="85"/>
        <v>Riadok bude skrytý.</v>
      </c>
      <c r="CC659" s="271" t="s">
        <v>832</v>
      </c>
      <c r="CW659" s="30">
        <f t="shared" si="88"/>
        <v>0</v>
      </c>
      <c r="CZ659" s="30">
        <f t="shared" si="82"/>
        <v>1</v>
      </c>
      <c r="DA659" s="30">
        <f t="shared" si="87"/>
        <v>0</v>
      </c>
      <c r="DB659" s="140">
        <f t="shared" si="84"/>
        <v>0</v>
      </c>
      <c r="DS659" s="130">
        <f>SI!BY659</f>
        <v>165</v>
      </c>
      <c r="DZ659" s="131">
        <f>SI!BZ659</f>
        <v>0</v>
      </c>
    </row>
    <row r="660" spans="1:130" hidden="1" x14ac:dyDescent="0.25">
      <c r="A660" s="141"/>
      <c r="B660" s="379"/>
      <c r="C660" s="379"/>
      <c r="D660" s="379"/>
      <c r="E660" s="379"/>
      <c r="F660" s="379"/>
      <c r="G660" s="379"/>
      <c r="H660" s="379"/>
      <c r="I660" s="379"/>
      <c r="J660" s="379"/>
      <c r="K660" s="379"/>
      <c r="L660" s="379"/>
      <c r="M660" s="379"/>
      <c r="N660" s="379"/>
      <c r="O660" s="379"/>
      <c r="P660" s="379"/>
      <c r="Q660" s="379"/>
      <c r="R660" s="379"/>
      <c r="S660" s="379"/>
      <c r="T660" s="379"/>
      <c r="U660" s="379"/>
      <c r="V660" s="379"/>
      <c r="W660" s="379"/>
      <c r="X660" s="379"/>
      <c r="Y660" s="379"/>
      <c r="Z660" s="379"/>
      <c r="AA660" s="379"/>
      <c r="AB660" s="379"/>
      <c r="AC660" s="379"/>
      <c r="AD660" s="379"/>
      <c r="AE660" s="379"/>
      <c r="AF660" s="379"/>
      <c r="AG660" s="379"/>
      <c r="AH660" s="379"/>
      <c r="AI660" s="379"/>
      <c r="AJ660" s="379"/>
      <c r="AK660" s="379"/>
      <c r="AL660" s="379"/>
      <c r="AM660" s="379"/>
      <c r="AN660" s="379"/>
      <c r="AO660" s="379"/>
      <c r="AP660" s="379"/>
      <c r="AQ660" s="379"/>
      <c r="AR660" s="379"/>
      <c r="AS660" s="379"/>
      <c r="AT660" s="379"/>
      <c r="AU660" s="379"/>
      <c r="AV660" s="379"/>
      <c r="AW660" s="379"/>
      <c r="AX660" s="379"/>
      <c r="AY660" s="379"/>
      <c r="AZ660" s="379"/>
      <c r="BA660" s="379"/>
      <c r="BB660" s="379"/>
      <c r="BC660" s="379"/>
      <c r="BD660" s="379"/>
      <c r="BE660" s="379"/>
      <c r="BF660" s="379"/>
      <c r="BG660" s="379"/>
      <c r="BH660" s="379"/>
      <c r="BI660" s="379"/>
      <c r="BJ660" s="379"/>
      <c r="BK660" s="379"/>
      <c r="BL660" s="379"/>
      <c r="BM660" s="379"/>
      <c r="BN660" s="379"/>
      <c r="BO660" s="379"/>
      <c r="BP660" s="379"/>
      <c r="BQ660" s="379"/>
      <c r="BR660" s="379"/>
      <c r="BS660" s="379"/>
      <c r="BT660" s="379"/>
      <c r="BU660" s="379"/>
      <c r="BV660" s="379"/>
      <c r="BW660" s="379"/>
      <c r="BX660" s="379"/>
      <c r="BY660" s="379"/>
      <c r="BZ660" s="379"/>
      <c r="CA660" s="281"/>
      <c r="CB660" s="3" t="str">
        <f t="shared" si="85"/>
        <v>Riadok bude skrytý.</v>
      </c>
      <c r="CC660" s="271" t="s">
        <v>832</v>
      </c>
      <c r="CW660" s="30">
        <f t="shared" si="88"/>
        <v>0</v>
      </c>
      <c r="CZ660" s="30">
        <f t="shared" ref="CZ660:CZ723" si="89">IF(CC660="",1,IF(CC660="Chcem skryť riadok.",0,1))</f>
        <v>1</v>
      </c>
      <c r="DA660" s="30">
        <f t="shared" si="87"/>
        <v>0</v>
      </c>
      <c r="DB660" s="140">
        <f t="shared" si="84"/>
        <v>0</v>
      </c>
      <c r="DS660" s="130">
        <f>SI!BY660</f>
        <v>110</v>
      </c>
      <c r="DZ660" s="131">
        <f>SI!BZ660</f>
        <v>0</v>
      </c>
    </row>
    <row r="661" spans="1:130" hidden="1" x14ac:dyDescent="0.25">
      <c r="A661" s="141"/>
      <c r="B661" s="379"/>
      <c r="C661" s="379"/>
      <c r="D661" s="379"/>
      <c r="E661" s="379"/>
      <c r="F661" s="379"/>
      <c r="G661" s="379"/>
      <c r="H661" s="379"/>
      <c r="I661" s="379"/>
      <c r="J661" s="379"/>
      <c r="K661" s="379"/>
      <c r="L661" s="379"/>
      <c r="M661" s="379"/>
      <c r="N661" s="379"/>
      <c r="O661" s="379"/>
      <c r="P661" s="379"/>
      <c r="Q661" s="379"/>
      <c r="R661" s="379"/>
      <c r="S661" s="379"/>
      <c r="T661" s="379"/>
      <c r="U661" s="379"/>
      <c r="V661" s="379"/>
      <c r="W661" s="379"/>
      <c r="X661" s="379"/>
      <c r="Y661" s="379"/>
      <c r="Z661" s="379"/>
      <c r="AA661" s="379"/>
      <c r="AB661" s="379"/>
      <c r="AC661" s="379"/>
      <c r="AD661" s="379"/>
      <c r="AE661" s="379"/>
      <c r="AF661" s="379"/>
      <c r="AG661" s="379"/>
      <c r="AH661" s="379"/>
      <c r="AI661" s="379"/>
      <c r="AJ661" s="379"/>
      <c r="AK661" s="379"/>
      <c r="AL661" s="379"/>
      <c r="AM661" s="379"/>
      <c r="AN661" s="379"/>
      <c r="AO661" s="379"/>
      <c r="AP661" s="379"/>
      <c r="AQ661" s="379"/>
      <c r="AR661" s="379"/>
      <c r="AS661" s="379"/>
      <c r="AT661" s="379"/>
      <c r="AU661" s="379"/>
      <c r="AV661" s="379"/>
      <c r="AW661" s="379"/>
      <c r="AX661" s="379"/>
      <c r="AY661" s="379"/>
      <c r="AZ661" s="379"/>
      <c r="BA661" s="379"/>
      <c r="BB661" s="379"/>
      <c r="BC661" s="379"/>
      <c r="BD661" s="379"/>
      <c r="BE661" s="379"/>
      <c r="BF661" s="379"/>
      <c r="BG661" s="379"/>
      <c r="BH661" s="379"/>
      <c r="BI661" s="379"/>
      <c r="BJ661" s="379"/>
      <c r="BK661" s="379"/>
      <c r="BL661" s="379"/>
      <c r="BM661" s="379"/>
      <c r="BN661" s="379"/>
      <c r="BO661" s="379"/>
      <c r="BP661" s="379"/>
      <c r="BQ661" s="379"/>
      <c r="BR661" s="379"/>
      <c r="BS661" s="379"/>
      <c r="BT661" s="379"/>
      <c r="BU661" s="379"/>
      <c r="BV661" s="379"/>
      <c r="BW661" s="379"/>
      <c r="BX661" s="379"/>
      <c r="BY661" s="379"/>
      <c r="BZ661" s="379"/>
      <c r="CA661" s="281"/>
      <c r="CB661" s="3" t="str">
        <f t="shared" si="85"/>
        <v>Riadok bude skrytý.</v>
      </c>
      <c r="CC661" s="271" t="s">
        <v>832</v>
      </c>
      <c r="CW661" s="30">
        <f t="shared" si="88"/>
        <v>0</v>
      </c>
      <c r="CZ661" s="30">
        <f t="shared" si="89"/>
        <v>1</v>
      </c>
      <c r="DA661" s="30">
        <f t="shared" si="87"/>
        <v>0</v>
      </c>
      <c r="DB661" s="140">
        <f t="shared" si="84"/>
        <v>0</v>
      </c>
      <c r="DS661" s="130">
        <f>SI!BY661</f>
        <v>163</v>
      </c>
      <c r="DZ661" s="131">
        <f>SI!BZ661</f>
        <v>0</v>
      </c>
    </row>
    <row r="662" spans="1:130" hidden="1" x14ac:dyDescent="0.25">
      <c r="A662" s="141"/>
      <c r="B662" s="379"/>
      <c r="C662" s="379"/>
      <c r="D662" s="379"/>
      <c r="E662" s="379"/>
      <c r="F662" s="379"/>
      <c r="G662" s="379"/>
      <c r="H662" s="379"/>
      <c r="I662" s="379"/>
      <c r="J662" s="379"/>
      <c r="K662" s="379"/>
      <c r="L662" s="379"/>
      <c r="M662" s="379"/>
      <c r="N662" s="379"/>
      <c r="O662" s="379"/>
      <c r="P662" s="379"/>
      <c r="Q662" s="379"/>
      <c r="R662" s="379"/>
      <c r="S662" s="379"/>
      <c r="T662" s="379"/>
      <c r="U662" s="379"/>
      <c r="V662" s="379"/>
      <c r="W662" s="379"/>
      <c r="X662" s="379"/>
      <c r="Y662" s="379"/>
      <c r="Z662" s="379"/>
      <c r="AA662" s="379"/>
      <c r="AB662" s="379"/>
      <c r="AC662" s="379"/>
      <c r="AD662" s="379"/>
      <c r="AE662" s="379"/>
      <c r="AF662" s="379"/>
      <c r="AG662" s="379"/>
      <c r="AH662" s="379"/>
      <c r="AI662" s="379"/>
      <c r="AJ662" s="379"/>
      <c r="AK662" s="379"/>
      <c r="AL662" s="379"/>
      <c r="AM662" s="379"/>
      <c r="AN662" s="379"/>
      <c r="AO662" s="379"/>
      <c r="AP662" s="379"/>
      <c r="AQ662" s="379"/>
      <c r="AR662" s="379"/>
      <c r="AS662" s="379"/>
      <c r="AT662" s="379"/>
      <c r="AU662" s="379"/>
      <c r="AV662" s="379"/>
      <c r="AW662" s="379"/>
      <c r="AX662" s="379"/>
      <c r="AY662" s="379"/>
      <c r="AZ662" s="379"/>
      <c r="BA662" s="379"/>
      <c r="BB662" s="379"/>
      <c r="BC662" s="379"/>
      <c r="BD662" s="379"/>
      <c r="BE662" s="379"/>
      <c r="BF662" s="379"/>
      <c r="BG662" s="379"/>
      <c r="BH662" s="379"/>
      <c r="BI662" s="379"/>
      <c r="BJ662" s="379"/>
      <c r="BK662" s="379"/>
      <c r="BL662" s="379"/>
      <c r="BM662" s="379"/>
      <c r="BN662" s="379"/>
      <c r="BO662" s="379"/>
      <c r="BP662" s="379"/>
      <c r="BQ662" s="379"/>
      <c r="BR662" s="379"/>
      <c r="BS662" s="379"/>
      <c r="BT662" s="379"/>
      <c r="BU662" s="379"/>
      <c r="BV662" s="379"/>
      <c r="BW662" s="379"/>
      <c r="BX662" s="379"/>
      <c r="BY662" s="379"/>
      <c r="BZ662" s="379"/>
      <c r="CA662" s="281"/>
      <c r="CB662" s="3" t="str">
        <f t="shared" si="85"/>
        <v>Riadok bude skrytý.</v>
      </c>
      <c r="CC662" s="271" t="s">
        <v>832</v>
      </c>
      <c r="CW662" s="30">
        <f t="shared" si="88"/>
        <v>0</v>
      </c>
      <c r="CZ662" s="30">
        <f t="shared" si="89"/>
        <v>1</v>
      </c>
      <c r="DA662" s="30">
        <f t="shared" si="87"/>
        <v>0</v>
      </c>
      <c r="DB662" s="140">
        <f t="shared" si="84"/>
        <v>0</v>
      </c>
      <c r="DS662" s="130">
        <f>SI!BY662</f>
        <v>153</v>
      </c>
      <c r="DZ662" s="131">
        <f>SI!BZ662</f>
        <v>0</v>
      </c>
    </row>
    <row r="663" spans="1:130" hidden="1" x14ac:dyDescent="0.25">
      <c r="A663" s="141"/>
      <c r="B663" s="379"/>
      <c r="C663" s="379"/>
      <c r="D663" s="379"/>
      <c r="E663" s="379"/>
      <c r="F663" s="379"/>
      <c r="G663" s="379"/>
      <c r="H663" s="379"/>
      <c r="I663" s="379"/>
      <c r="J663" s="379"/>
      <c r="K663" s="379"/>
      <c r="L663" s="379"/>
      <c r="M663" s="379"/>
      <c r="N663" s="379"/>
      <c r="O663" s="379"/>
      <c r="P663" s="379"/>
      <c r="Q663" s="379"/>
      <c r="R663" s="379"/>
      <c r="S663" s="379"/>
      <c r="T663" s="379"/>
      <c r="U663" s="379"/>
      <c r="V663" s="379"/>
      <c r="W663" s="379"/>
      <c r="X663" s="379"/>
      <c r="Y663" s="379"/>
      <c r="Z663" s="379"/>
      <c r="AA663" s="379"/>
      <c r="AB663" s="379"/>
      <c r="AC663" s="379"/>
      <c r="AD663" s="379"/>
      <c r="AE663" s="379"/>
      <c r="AF663" s="379"/>
      <c r="AG663" s="379"/>
      <c r="AH663" s="379"/>
      <c r="AI663" s="379"/>
      <c r="AJ663" s="379"/>
      <c r="AK663" s="379"/>
      <c r="AL663" s="379"/>
      <c r="AM663" s="379"/>
      <c r="AN663" s="379"/>
      <c r="AO663" s="379"/>
      <c r="AP663" s="379"/>
      <c r="AQ663" s="379"/>
      <c r="AR663" s="379"/>
      <c r="AS663" s="379"/>
      <c r="AT663" s="379"/>
      <c r="AU663" s="379"/>
      <c r="AV663" s="379"/>
      <c r="AW663" s="379"/>
      <c r="AX663" s="379"/>
      <c r="AY663" s="379"/>
      <c r="AZ663" s="379"/>
      <c r="BA663" s="379"/>
      <c r="BB663" s="379"/>
      <c r="BC663" s="379"/>
      <c r="BD663" s="379"/>
      <c r="BE663" s="379"/>
      <c r="BF663" s="379"/>
      <c r="BG663" s="379"/>
      <c r="BH663" s="379"/>
      <c r="BI663" s="379"/>
      <c r="BJ663" s="379"/>
      <c r="BK663" s="379"/>
      <c r="BL663" s="379"/>
      <c r="BM663" s="379"/>
      <c r="BN663" s="379"/>
      <c r="BO663" s="379"/>
      <c r="BP663" s="379"/>
      <c r="BQ663" s="379"/>
      <c r="BR663" s="379"/>
      <c r="BS663" s="379"/>
      <c r="BT663" s="379"/>
      <c r="BU663" s="379"/>
      <c r="BV663" s="379"/>
      <c r="BW663" s="379"/>
      <c r="BX663" s="379"/>
      <c r="BY663" s="379"/>
      <c r="BZ663" s="379"/>
      <c r="CA663" s="281"/>
      <c r="CB663" s="3" t="str">
        <f t="shared" si="85"/>
        <v>Riadok bude skrytý.</v>
      </c>
      <c r="CC663" s="271" t="s">
        <v>832</v>
      </c>
      <c r="CW663" s="30">
        <f t="shared" si="88"/>
        <v>0</v>
      </c>
      <c r="CZ663" s="30">
        <f t="shared" si="89"/>
        <v>1</v>
      </c>
      <c r="DA663" s="30">
        <f t="shared" si="87"/>
        <v>0</v>
      </c>
      <c r="DB663" s="140">
        <f t="shared" si="84"/>
        <v>0</v>
      </c>
      <c r="DS663" s="130">
        <f>SI!BY663</f>
        <v>500</v>
      </c>
      <c r="DZ663" s="131">
        <f>SI!BZ663</f>
        <v>0</v>
      </c>
    </row>
    <row r="664" spans="1:130" hidden="1" x14ac:dyDescent="0.25">
      <c r="A664" s="141"/>
      <c r="B664" s="379"/>
      <c r="C664" s="379"/>
      <c r="D664" s="379"/>
      <c r="E664" s="379"/>
      <c r="F664" s="379"/>
      <c r="G664" s="379"/>
      <c r="H664" s="379"/>
      <c r="I664" s="379"/>
      <c r="J664" s="379"/>
      <c r="K664" s="379"/>
      <c r="L664" s="379"/>
      <c r="M664" s="379"/>
      <c r="N664" s="379"/>
      <c r="O664" s="379"/>
      <c r="P664" s="379"/>
      <c r="Q664" s="379"/>
      <c r="R664" s="379"/>
      <c r="S664" s="379"/>
      <c r="T664" s="379"/>
      <c r="U664" s="379"/>
      <c r="V664" s="379"/>
      <c r="W664" s="379"/>
      <c r="X664" s="379"/>
      <c r="Y664" s="379"/>
      <c r="Z664" s="379"/>
      <c r="AA664" s="379"/>
      <c r="AB664" s="379"/>
      <c r="AC664" s="379"/>
      <c r="AD664" s="379"/>
      <c r="AE664" s="379"/>
      <c r="AF664" s="379"/>
      <c r="AG664" s="379"/>
      <c r="AH664" s="379"/>
      <c r="AI664" s="379"/>
      <c r="AJ664" s="379"/>
      <c r="AK664" s="379"/>
      <c r="AL664" s="379"/>
      <c r="AM664" s="379"/>
      <c r="AN664" s="379"/>
      <c r="AO664" s="379"/>
      <c r="AP664" s="379"/>
      <c r="AQ664" s="379"/>
      <c r="AR664" s="379"/>
      <c r="AS664" s="379"/>
      <c r="AT664" s="379"/>
      <c r="AU664" s="379"/>
      <c r="AV664" s="379"/>
      <c r="AW664" s="379"/>
      <c r="AX664" s="379"/>
      <c r="AY664" s="379"/>
      <c r="AZ664" s="379"/>
      <c r="BA664" s="379"/>
      <c r="BB664" s="379"/>
      <c r="BC664" s="379"/>
      <c r="BD664" s="379"/>
      <c r="BE664" s="379"/>
      <c r="BF664" s="379"/>
      <c r="BG664" s="379"/>
      <c r="BH664" s="379"/>
      <c r="BI664" s="379"/>
      <c r="BJ664" s="379"/>
      <c r="BK664" s="379"/>
      <c r="BL664" s="379"/>
      <c r="BM664" s="379"/>
      <c r="BN664" s="379"/>
      <c r="BO664" s="379"/>
      <c r="BP664" s="379"/>
      <c r="BQ664" s="379"/>
      <c r="BR664" s="379"/>
      <c r="BS664" s="379"/>
      <c r="BT664" s="379"/>
      <c r="BU664" s="379"/>
      <c r="BV664" s="379"/>
      <c r="BW664" s="379"/>
      <c r="BX664" s="379"/>
      <c r="BY664" s="379"/>
      <c r="BZ664" s="379"/>
      <c r="CA664" s="281"/>
      <c r="CB664" s="3" t="str">
        <f t="shared" si="85"/>
        <v>Riadok bude skrytý.</v>
      </c>
      <c r="CC664" s="271" t="s">
        <v>832</v>
      </c>
      <c r="CW664" s="30">
        <f t="shared" si="88"/>
        <v>0</v>
      </c>
      <c r="CZ664" s="30">
        <f t="shared" si="89"/>
        <v>1</v>
      </c>
      <c r="DA664" s="30">
        <f t="shared" si="87"/>
        <v>0</v>
      </c>
      <c r="DB664" s="140">
        <f t="shared" si="84"/>
        <v>0</v>
      </c>
      <c r="DS664" s="130">
        <f>SI!BY664</f>
        <v>122</v>
      </c>
      <c r="DZ664" s="131">
        <f>SI!BZ664</f>
        <v>0</v>
      </c>
    </row>
    <row r="665" spans="1:130" hidden="1" x14ac:dyDescent="0.25">
      <c r="A665" s="141"/>
      <c r="B665" s="379"/>
      <c r="C665" s="379"/>
      <c r="D665" s="379"/>
      <c r="E665" s="379"/>
      <c r="F665" s="379"/>
      <c r="G665" s="379"/>
      <c r="H665" s="379"/>
      <c r="I665" s="379"/>
      <c r="J665" s="379"/>
      <c r="K665" s="379"/>
      <c r="L665" s="379"/>
      <c r="M665" s="379"/>
      <c r="N665" s="379"/>
      <c r="O665" s="379"/>
      <c r="P665" s="379"/>
      <c r="Q665" s="379"/>
      <c r="R665" s="379"/>
      <c r="S665" s="379"/>
      <c r="T665" s="379"/>
      <c r="U665" s="379"/>
      <c r="V665" s="379"/>
      <c r="W665" s="379"/>
      <c r="X665" s="379"/>
      <c r="Y665" s="379"/>
      <c r="Z665" s="379"/>
      <c r="AA665" s="379"/>
      <c r="AB665" s="379"/>
      <c r="AC665" s="379"/>
      <c r="AD665" s="379"/>
      <c r="AE665" s="379"/>
      <c r="AF665" s="379"/>
      <c r="AG665" s="379"/>
      <c r="AH665" s="379"/>
      <c r="AI665" s="379"/>
      <c r="AJ665" s="379"/>
      <c r="AK665" s="379"/>
      <c r="AL665" s="379"/>
      <c r="AM665" s="379"/>
      <c r="AN665" s="379"/>
      <c r="AO665" s="379"/>
      <c r="AP665" s="379"/>
      <c r="AQ665" s="379"/>
      <c r="AR665" s="379"/>
      <c r="AS665" s="379"/>
      <c r="AT665" s="379"/>
      <c r="AU665" s="379"/>
      <c r="AV665" s="379"/>
      <c r="AW665" s="379"/>
      <c r="AX665" s="379"/>
      <c r="AY665" s="379"/>
      <c r="AZ665" s="379"/>
      <c r="BA665" s="379"/>
      <c r="BB665" s="379"/>
      <c r="BC665" s="379"/>
      <c r="BD665" s="379"/>
      <c r="BE665" s="379"/>
      <c r="BF665" s="379"/>
      <c r="BG665" s="379"/>
      <c r="BH665" s="379"/>
      <c r="BI665" s="379"/>
      <c r="BJ665" s="379"/>
      <c r="BK665" s="379"/>
      <c r="BL665" s="379"/>
      <c r="BM665" s="379"/>
      <c r="BN665" s="379"/>
      <c r="BO665" s="379"/>
      <c r="BP665" s="379"/>
      <c r="BQ665" s="379"/>
      <c r="BR665" s="379"/>
      <c r="BS665" s="379"/>
      <c r="BT665" s="379"/>
      <c r="BU665" s="379"/>
      <c r="BV665" s="379"/>
      <c r="BW665" s="379"/>
      <c r="BX665" s="379"/>
      <c r="BY665" s="379"/>
      <c r="BZ665" s="379"/>
      <c r="CA665" s="281"/>
      <c r="CB665" s="3" t="str">
        <f t="shared" si="85"/>
        <v>Riadok bude skrytý.</v>
      </c>
      <c r="CC665" s="271" t="s">
        <v>832</v>
      </c>
      <c r="CW665" s="30">
        <f t="shared" si="88"/>
        <v>0</v>
      </c>
      <c r="CZ665" s="30">
        <f t="shared" si="89"/>
        <v>1</v>
      </c>
      <c r="DA665" s="30">
        <f t="shared" si="87"/>
        <v>0</v>
      </c>
      <c r="DB665" s="140">
        <f t="shared" si="84"/>
        <v>0</v>
      </c>
      <c r="DS665" s="130">
        <f>SI!BY665</f>
        <v>697</v>
      </c>
      <c r="DZ665" s="131">
        <f>SI!BZ665</f>
        <v>0</v>
      </c>
    </row>
    <row r="666" spans="1:130" hidden="1" x14ac:dyDescent="0.25">
      <c r="A666" s="141"/>
      <c r="B666" s="379"/>
      <c r="C666" s="379"/>
      <c r="D666" s="379"/>
      <c r="E666" s="379"/>
      <c r="F666" s="379"/>
      <c r="G666" s="379"/>
      <c r="H666" s="379"/>
      <c r="I666" s="379"/>
      <c r="J666" s="379"/>
      <c r="K666" s="379"/>
      <c r="L666" s="379"/>
      <c r="M666" s="379"/>
      <c r="N666" s="379"/>
      <c r="O666" s="379"/>
      <c r="P666" s="379"/>
      <c r="Q666" s="379"/>
      <c r="R666" s="379"/>
      <c r="S666" s="379"/>
      <c r="T666" s="379"/>
      <c r="U666" s="379"/>
      <c r="V666" s="379"/>
      <c r="W666" s="379"/>
      <c r="X666" s="379"/>
      <c r="Y666" s="379"/>
      <c r="Z666" s="379"/>
      <c r="AA666" s="379"/>
      <c r="AB666" s="379"/>
      <c r="AC666" s="379"/>
      <c r="AD666" s="379"/>
      <c r="AE666" s="379"/>
      <c r="AF666" s="379"/>
      <c r="AG666" s="379"/>
      <c r="AH666" s="379"/>
      <c r="AI666" s="379"/>
      <c r="AJ666" s="379"/>
      <c r="AK666" s="379"/>
      <c r="AL666" s="379"/>
      <c r="AM666" s="379"/>
      <c r="AN666" s="379"/>
      <c r="AO666" s="379"/>
      <c r="AP666" s="379"/>
      <c r="AQ666" s="379"/>
      <c r="AR666" s="379"/>
      <c r="AS666" s="379"/>
      <c r="AT666" s="379"/>
      <c r="AU666" s="379"/>
      <c r="AV666" s="379"/>
      <c r="AW666" s="379"/>
      <c r="AX666" s="379"/>
      <c r="AY666" s="379"/>
      <c r="AZ666" s="379"/>
      <c r="BA666" s="379"/>
      <c r="BB666" s="379"/>
      <c r="BC666" s="379"/>
      <c r="BD666" s="379"/>
      <c r="BE666" s="379"/>
      <c r="BF666" s="379"/>
      <c r="BG666" s="379"/>
      <c r="BH666" s="379"/>
      <c r="BI666" s="379"/>
      <c r="BJ666" s="379"/>
      <c r="BK666" s="379"/>
      <c r="BL666" s="379"/>
      <c r="BM666" s="379"/>
      <c r="BN666" s="379"/>
      <c r="BO666" s="379"/>
      <c r="BP666" s="379"/>
      <c r="BQ666" s="379"/>
      <c r="BR666" s="379"/>
      <c r="BS666" s="379"/>
      <c r="BT666" s="379"/>
      <c r="BU666" s="379"/>
      <c r="BV666" s="379"/>
      <c r="BW666" s="379"/>
      <c r="BX666" s="379"/>
      <c r="BY666" s="379"/>
      <c r="BZ666" s="379"/>
      <c r="CA666" s="281"/>
      <c r="CB666" s="3" t="str">
        <f t="shared" si="85"/>
        <v>Riadok bude skrytý.</v>
      </c>
      <c r="CC666" s="271" t="s">
        <v>832</v>
      </c>
      <c r="CW666" s="30">
        <f t="shared" si="88"/>
        <v>0</v>
      </c>
      <c r="CZ666" s="30">
        <f t="shared" si="89"/>
        <v>1</v>
      </c>
      <c r="DA666" s="30">
        <f t="shared" si="87"/>
        <v>0</v>
      </c>
      <c r="DB666" s="140">
        <f t="shared" si="84"/>
        <v>0</v>
      </c>
      <c r="DS666" s="130">
        <f>SI!BY666</f>
        <v>138</v>
      </c>
      <c r="DZ666" s="131">
        <f>SI!BZ666</f>
        <v>0</v>
      </c>
    </row>
    <row r="667" spans="1:130" hidden="1" x14ac:dyDescent="0.25">
      <c r="A667" s="141"/>
      <c r="B667" s="379"/>
      <c r="C667" s="379"/>
      <c r="D667" s="379"/>
      <c r="E667" s="379"/>
      <c r="F667" s="379"/>
      <c r="G667" s="379"/>
      <c r="H667" s="379"/>
      <c r="I667" s="379"/>
      <c r="J667" s="379"/>
      <c r="K667" s="379"/>
      <c r="L667" s="379"/>
      <c r="M667" s="379"/>
      <c r="N667" s="379"/>
      <c r="O667" s="379"/>
      <c r="P667" s="379"/>
      <c r="Q667" s="379"/>
      <c r="R667" s="379"/>
      <c r="S667" s="379"/>
      <c r="T667" s="379"/>
      <c r="U667" s="379"/>
      <c r="V667" s="379"/>
      <c r="W667" s="379"/>
      <c r="X667" s="379"/>
      <c r="Y667" s="379"/>
      <c r="Z667" s="379"/>
      <c r="AA667" s="379"/>
      <c r="AB667" s="379"/>
      <c r="AC667" s="379"/>
      <c r="AD667" s="379"/>
      <c r="AE667" s="379"/>
      <c r="AF667" s="379"/>
      <c r="AG667" s="379"/>
      <c r="AH667" s="379"/>
      <c r="AI667" s="379"/>
      <c r="AJ667" s="379"/>
      <c r="AK667" s="379"/>
      <c r="AL667" s="379"/>
      <c r="AM667" s="379"/>
      <c r="AN667" s="379"/>
      <c r="AO667" s="379"/>
      <c r="AP667" s="379"/>
      <c r="AQ667" s="379"/>
      <c r="AR667" s="379"/>
      <c r="AS667" s="379"/>
      <c r="AT667" s="379"/>
      <c r="AU667" s="379"/>
      <c r="AV667" s="379"/>
      <c r="AW667" s="379"/>
      <c r="AX667" s="379"/>
      <c r="AY667" s="379"/>
      <c r="AZ667" s="379"/>
      <c r="BA667" s="379"/>
      <c r="BB667" s="379"/>
      <c r="BC667" s="379"/>
      <c r="BD667" s="379"/>
      <c r="BE667" s="379"/>
      <c r="BF667" s="379"/>
      <c r="BG667" s="379"/>
      <c r="BH667" s="379"/>
      <c r="BI667" s="379"/>
      <c r="BJ667" s="379"/>
      <c r="BK667" s="379"/>
      <c r="BL667" s="379"/>
      <c r="BM667" s="379"/>
      <c r="BN667" s="379"/>
      <c r="BO667" s="379"/>
      <c r="BP667" s="379"/>
      <c r="BQ667" s="379"/>
      <c r="BR667" s="379"/>
      <c r="BS667" s="379"/>
      <c r="BT667" s="379"/>
      <c r="BU667" s="379"/>
      <c r="BV667" s="379"/>
      <c r="BW667" s="379"/>
      <c r="BX667" s="379"/>
      <c r="BY667" s="379"/>
      <c r="BZ667" s="379"/>
      <c r="CA667" s="281"/>
      <c r="CB667" s="3" t="str">
        <f t="shared" si="85"/>
        <v>Riadok bude skrytý.</v>
      </c>
      <c r="CC667" s="271" t="s">
        <v>832</v>
      </c>
      <c r="CW667" s="30">
        <f t="shared" si="88"/>
        <v>0</v>
      </c>
      <c r="CZ667" s="30">
        <f t="shared" si="89"/>
        <v>1</v>
      </c>
      <c r="DA667" s="30">
        <f t="shared" si="87"/>
        <v>0</v>
      </c>
      <c r="DB667" s="140">
        <f t="shared" si="84"/>
        <v>0</v>
      </c>
      <c r="DS667" s="130">
        <f>SI!BY667</f>
        <v>1083</v>
      </c>
      <c r="DZ667" s="131">
        <f>SI!BZ667</f>
        <v>0</v>
      </c>
    </row>
    <row r="668" spans="1:130" hidden="1" x14ac:dyDescent="0.25">
      <c r="A668" s="141"/>
      <c r="B668" s="379"/>
      <c r="C668" s="379"/>
      <c r="D668" s="379"/>
      <c r="E668" s="379"/>
      <c r="F668" s="379"/>
      <c r="G668" s="379"/>
      <c r="H668" s="379"/>
      <c r="I668" s="379"/>
      <c r="J668" s="379"/>
      <c r="K668" s="379"/>
      <c r="L668" s="379"/>
      <c r="M668" s="379"/>
      <c r="N668" s="379"/>
      <c r="O668" s="379"/>
      <c r="P668" s="379"/>
      <c r="Q668" s="379"/>
      <c r="R668" s="379"/>
      <c r="S668" s="379"/>
      <c r="T668" s="379"/>
      <c r="U668" s="379"/>
      <c r="V668" s="379"/>
      <c r="W668" s="379"/>
      <c r="X668" s="379"/>
      <c r="Y668" s="379"/>
      <c r="Z668" s="379"/>
      <c r="AA668" s="379"/>
      <c r="AB668" s="379"/>
      <c r="AC668" s="379"/>
      <c r="AD668" s="379"/>
      <c r="AE668" s="379"/>
      <c r="AF668" s="379"/>
      <c r="AG668" s="379"/>
      <c r="AH668" s="379"/>
      <c r="AI668" s="379"/>
      <c r="AJ668" s="379"/>
      <c r="AK668" s="379"/>
      <c r="AL668" s="379"/>
      <c r="AM668" s="379"/>
      <c r="AN668" s="379"/>
      <c r="AO668" s="379"/>
      <c r="AP668" s="379"/>
      <c r="AQ668" s="379"/>
      <c r="AR668" s="379"/>
      <c r="AS668" s="379"/>
      <c r="AT668" s="379"/>
      <c r="AU668" s="379"/>
      <c r="AV668" s="379"/>
      <c r="AW668" s="379"/>
      <c r="AX668" s="379"/>
      <c r="AY668" s="379"/>
      <c r="AZ668" s="379"/>
      <c r="BA668" s="379"/>
      <c r="BB668" s="379"/>
      <c r="BC668" s="379"/>
      <c r="BD668" s="379"/>
      <c r="BE668" s="379"/>
      <c r="BF668" s="379"/>
      <c r="BG668" s="379"/>
      <c r="BH668" s="379"/>
      <c r="BI668" s="379"/>
      <c r="BJ668" s="379"/>
      <c r="BK668" s="379"/>
      <c r="BL668" s="379"/>
      <c r="BM668" s="379"/>
      <c r="BN668" s="379"/>
      <c r="BO668" s="379"/>
      <c r="BP668" s="379"/>
      <c r="BQ668" s="379"/>
      <c r="BR668" s="379"/>
      <c r="BS668" s="379"/>
      <c r="BT668" s="379"/>
      <c r="BU668" s="379"/>
      <c r="BV668" s="379"/>
      <c r="BW668" s="379"/>
      <c r="BX668" s="379"/>
      <c r="BY668" s="379"/>
      <c r="BZ668" s="379"/>
      <c r="CA668" s="281"/>
      <c r="CB668" s="3" t="str">
        <f t="shared" si="85"/>
        <v>Riadok bude skrytý.</v>
      </c>
      <c r="CC668" s="271" t="s">
        <v>832</v>
      </c>
      <c r="CW668" s="30">
        <f t="shared" si="88"/>
        <v>0</v>
      </c>
      <c r="CZ668" s="30">
        <f t="shared" si="89"/>
        <v>1</v>
      </c>
      <c r="DA668" s="30">
        <f t="shared" si="87"/>
        <v>0</v>
      </c>
      <c r="DB668" s="140">
        <f t="shared" si="84"/>
        <v>0</v>
      </c>
      <c r="DS668" s="130">
        <f>SI!BY668</f>
        <v>141</v>
      </c>
      <c r="DZ668" s="131">
        <f>SI!BZ668</f>
        <v>0</v>
      </c>
    </row>
    <row r="669" spans="1:130" hidden="1" x14ac:dyDescent="0.25">
      <c r="A669" s="141"/>
      <c r="B669" s="379"/>
      <c r="C669" s="379"/>
      <c r="D669" s="379"/>
      <c r="E669" s="379"/>
      <c r="F669" s="379"/>
      <c r="G669" s="379"/>
      <c r="H669" s="379"/>
      <c r="I669" s="379"/>
      <c r="J669" s="379"/>
      <c r="K669" s="379"/>
      <c r="L669" s="379"/>
      <c r="M669" s="379"/>
      <c r="N669" s="379"/>
      <c r="O669" s="379"/>
      <c r="P669" s="379"/>
      <c r="Q669" s="379"/>
      <c r="R669" s="379"/>
      <c r="S669" s="379"/>
      <c r="T669" s="379"/>
      <c r="U669" s="379"/>
      <c r="V669" s="379"/>
      <c r="W669" s="379"/>
      <c r="X669" s="379"/>
      <c r="Y669" s="379"/>
      <c r="Z669" s="379"/>
      <c r="AA669" s="379"/>
      <c r="AB669" s="379"/>
      <c r="AC669" s="379"/>
      <c r="AD669" s="379"/>
      <c r="AE669" s="379"/>
      <c r="AF669" s="379"/>
      <c r="AG669" s="379"/>
      <c r="AH669" s="379"/>
      <c r="AI669" s="379"/>
      <c r="AJ669" s="379"/>
      <c r="AK669" s="379"/>
      <c r="AL669" s="379"/>
      <c r="AM669" s="379"/>
      <c r="AN669" s="379"/>
      <c r="AO669" s="379"/>
      <c r="AP669" s="379"/>
      <c r="AQ669" s="379"/>
      <c r="AR669" s="379"/>
      <c r="AS669" s="379"/>
      <c r="AT669" s="379"/>
      <c r="AU669" s="379"/>
      <c r="AV669" s="379"/>
      <c r="AW669" s="379"/>
      <c r="AX669" s="379"/>
      <c r="AY669" s="379"/>
      <c r="AZ669" s="379"/>
      <c r="BA669" s="379"/>
      <c r="BB669" s="379"/>
      <c r="BC669" s="379"/>
      <c r="BD669" s="379"/>
      <c r="BE669" s="379"/>
      <c r="BF669" s="379"/>
      <c r="BG669" s="379"/>
      <c r="BH669" s="379"/>
      <c r="BI669" s="379"/>
      <c r="BJ669" s="379"/>
      <c r="BK669" s="379"/>
      <c r="BL669" s="379"/>
      <c r="BM669" s="379"/>
      <c r="BN669" s="379"/>
      <c r="BO669" s="379"/>
      <c r="BP669" s="379"/>
      <c r="BQ669" s="379"/>
      <c r="BR669" s="379"/>
      <c r="BS669" s="379"/>
      <c r="BT669" s="379"/>
      <c r="BU669" s="379"/>
      <c r="BV669" s="379"/>
      <c r="BW669" s="379"/>
      <c r="BX669" s="379"/>
      <c r="BY669" s="379"/>
      <c r="BZ669" s="379"/>
      <c r="CA669" s="281"/>
      <c r="CB669" s="3" t="str">
        <f t="shared" si="85"/>
        <v>Riadok bude skrytý.</v>
      </c>
      <c r="CC669" s="271" t="s">
        <v>832</v>
      </c>
      <c r="CW669" s="30">
        <f t="shared" si="88"/>
        <v>0</v>
      </c>
      <c r="CZ669" s="30">
        <f t="shared" si="89"/>
        <v>1</v>
      </c>
      <c r="DA669" s="30">
        <f t="shared" si="87"/>
        <v>0</v>
      </c>
      <c r="DB669" s="140">
        <f t="shared" si="84"/>
        <v>0</v>
      </c>
      <c r="DS669" s="130">
        <f>SI!BY669</f>
        <v>388</v>
      </c>
      <c r="DZ669" s="131">
        <f>SI!BZ669</f>
        <v>0</v>
      </c>
    </row>
    <row r="670" spans="1:130" hidden="1" x14ac:dyDescent="0.25">
      <c r="A670" s="141"/>
      <c r="B670" s="379"/>
      <c r="C670" s="379"/>
      <c r="D670" s="379"/>
      <c r="E670" s="379"/>
      <c r="F670" s="379"/>
      <c r="G670" s="379"/>
      <c r="H670" s="379"/>
      <c r="I670" s="379"/>
      <c r="J670" s="379"/>
      <c r="K670" s="379"/>
      <c r="L670" s="379"/>
      <c r="M670" s="379"/>
      <c r="N670" s="379"/>
      <c r="O670" s="379"/>
      <c r="P670" s="379"/>
      <c r="Q670" s="379"/>
      <c r="R670" s="379"/>
      <c r="S670" s="379"/>
      <c r="T670" s="379"/>
      <c r="U670" s="379"/>
      <c r="V670" s="379"/>
      <c r="W670" s="379"/>
      <c r="X670" s="379"/>
      <c r="Y670" s="379"/>
      <c r="Z670" s="379"/>
      <c r="AA670" s="379"/>
      <c r="AB670" s="379"/>
      <c r="AC670" s="379"/>
      <c r="AD670" s="379"/>
      <c r="AE670" s="379"/>
      <c r="AF670" s="379"/>
      <c r="AG670" s="379"/>
      <c r="AH670" s="379"/>
      <c r="AI670" s="379"/>
      <c r="AJ670" s="379"/>
      <c r="AK670" s="379"/>
      <c r="AL670" s="379"/>
      <c r="AM670" s="379"/>
      <c r="AN670" s="379"/>
      <c r="AO670" s="379"/>
      <c r="AP670" s="379"/>
      <c r="AQ670" s="379"/>
      <c r="AR670" s="379"/>
      <c r="AS670" s="379"/>
      <c r="AT670" s="379"/>
      <c r="AU670" s="379"/>
      <c r="AV670" s="379"/>
      <c r="AW670" s="379"/>
      <c r="AX670" s="379"/>
      <c r="AY670" s="379"/>
      <c r="AZ670" s="379"/>
      <c r="BA670" s="379"/>
      <c r="BB670" s="379"/>
      <c r="BC670" s="379"/>
      <c r="BD670" s="379"/>
      <c r="BE670" s="379"/>
      <c r="BF670" s="379"/>
      <c r="BG670" s="379"/>
      <c r="BH670" s="379"/>
      <c r="BI670" s="379"/>
      <c r="BJ670" s="379"/>
      <c r="BK670" s="379"/>
      <c r="BL670" s="379"/>
      <c r="BM670" s="379"/>
      <c r="BN670" s="379"/>
      <c r="BO670" s="379"/>
      <c r="BP670" s="379"/>
      <c r="BQ670" s="379"/>
      <c r="BR670" s="379"/>
      <c r="BS670" s="379"/>
      <c r="BT670" s="379"/>
      <c r="BU670" s="379"/>
      <c r="BV670" s="379"/>
      <c r="BW670" s="379"/>
      <c r="BX670" s="379"/>
      <c r="BY670" s="379"/>
      <c r="BZ670" s="379"/>
      <c r="CA670" s="281"/>
      <c r="CB670" s="3" t="str">
        <f t="shared" si="85"/>
        <v>Riadok bude skrytý.</v>
      </c>
      <c r="CC670" s="271" t="s">
        <v>832</v>
      </c>
      <c r="CW670" s="30">
        <f t="shared" si="88"/>
        <v>0</v>
      </c>
      <c r="CZ670" s="30">
        <f t="shared" si="89"/>
        <v>1</v>
      </c>
      <c r="DA670" s="30">
        <f t="shared" si="87"/>
        <v>0</v>
      </c>
      <c r="DB670" s="140">
        <f t="shared" si="84"/>
        <v>0</v>
      </c>
      <c r="DS670" s="130">
        <f>SI!BY670</f>
        <v>160</v>
      </c>
      <c r="DZ670" s="131">
        <f>SI!BZ670</f>
        <v>0</v>
      </c>
    </row>
    <row r="671" spans="1:130" x14ac:dyDescent="0.25">
      <c r="A671" s="141"/>
      <c r="CA671" s="270"/>
      <c r="CB671" s="3" t="str">
        <f t="shared" si="85"/>
        <v>Riadok bude vidieť.</v>
      </c>
      <c r="CC671" s="271" t="s">
        <v>832</v>
      </c>
      <c r="CW671" s="32">
        <f>+IF(SUM(CW673:CW692)=0,0,1)</f>
        <v>1</v>
      </c>
      <c r="CZ671" s="30">
        <f t="shared" si="89"/>
        <v>1</v>
      </c>
      <c r="DA671" s="30">
        <f t="shared" si="87"/>
        <v>1</v>
      </c>
      <c r="DB671" s="140">
        <f t="shared" si="84"/>
        <v>1</v>
      </c>
      <c r="DS671" s="130">
        <f>SI!BY671</f>
        <v>724</v>
      </c>
      <c r="DZ671" s="131">
        <f>SI!BZ671</f>
        <v>0</v>
      </c>
    </row>
    <row r="672" spans="1:130" x14ac:dyDescent="0.25">
      <c r="A672" s="141"/>
      <c r="B672" s="279" t="s">
        <v>859</v>
      </c>
      <c r="C672" s="7" t="str">
        <f>+IF($Q$52&lt;&gt;"",IF((CODE(MID($Q$52,1,1)))*(GCD(121,132))*(IF(SI!EE672="",1,SI!EE672))+(LEN(SI!J5)+LEN(SI!J6))=DS672,"Ocenenie prenajatého majetku, majetku obstaraného formou leasingu a operatívného prenájmu","NEPOVOLENÉ POUŽITIE!"),"NEPOVOLENÉ POUŽITIE!")</f>
        <v>Ocenenie prenajatého majetku, majetku obstaraného formou leasingu a operatívného prenájmu</v>
      </c>
      <c r="D672" s="7"/>
      <c r="E672" s="7"/>
      <c r="F672" s="7"/>
      <c r="CA672" s="265" t="s">
        <v>773</v>
      </c>
      <c r="CB672" s="3" t="str">
        <f t="shared" si="85"/>
        <v>Riadok bude vidieť.</v>
      </c>
      <c r="CC672" s="271" t="s">
        <v>832</v>
      </c>
      <c r="CW672" s="134">
        <f>+IF(SUM(CW673:CW692)=0,0,1)</f>
        <v>1</v>
      </c>
      <c r="CZ672" s="30">
        <f t="shared" si="89"/>
        <v>1</v>
      </c>
      <c r="DA672" s="30">
        <f t="shared" si="87"/>
        <v>1</v>
      </c>
      <c r="DB672" s="140">
        <f t="shared" si="84"/>
        <v>1</v>
      </c>
      <c r="DS672" s="130">
        <f>SI!BY672</f>
        <v>20</v>
      </c>
      <c r="DZ672" s="131">
        <f>SI!BZ672</f>
        <v>0</v>
      </c>
    </row>
    <row r="673" spans="1:130" x14ac:dyDescent="0.25">
      <c r="A673" s="141"/>
      <c r="B673" s="379" t="s">
        <v>717</v>
      </c>
      <c r="C673" s="379"/>
      <c r="D673" s="379"/>
      <c r="E673" s="379"/>
      <c r="F673" s="379"/>
      <c r="G673" s="379"/>
      <c r="H673" s="379"/>
      <c r="I673" s="379"/>
      <c r="J673" s="379"/>
      <c r="K673" s="379"/>
      <c r="L673" s="379"/>
      <c r="M673" s="379"/>
      <c r="N673" s="379"/>
      <c r="O673" s="379"/>
      <c r="P673" s="379"/>
      <c r="Q673" s="379"/>
      <c r="R673" s="379"/>
      <c r="S673" s="379"/>
      <c r="T673" s="379"/>
      <c r="U673" s="379"/>
      <c r="V673" s="379"/>
      <c r="W673" s="379"/>
      <c r="X673" s="379"/>
      <c r="Y673" s="379"/>
      <c r="Z673" s="379"/>
      <c r="AA673" s="379"/>
      <c r="AB673" s="379"/>
      <c r="AC673" s="379"/>
      <c r="AD673" s="379"/>
      <c r="AE673" s="379"/>
      <c r="AF673" s="379"/>
      <c r="AG673" s="379"/>
      <c r="AH673" s="379"/>
      <c r="AI673" s="379"/>
      <c r="AJ673" s="379"/>
      <c r="AK673" s="379"/>
      <c r="AL673" s="379"/>
      <c r="AM673" s="379"/>
      <c r="AN673" s="379"/>
      <c r="AO673" s="379"/>
      <c r="AP673" s="379"/>
      <c r="AQ673" s="379"/>
      <c r="AR673" s="379"/>
      <c r="AS673" s="379"/>
      <c r="AT673" s="379"/>
      <c r="AU673" s="379"/>
      <c r="AV673" s="379"/>
      <c r="AW673" s="379"/>
      <c r="AX673" s="379"/>
      <c r="AY673" s="379"/>
      <c r="AZ673" s="379"/>
      <c r="BA673" s="379"/>
      <c r="BB673" s="379"/>
      <c r="BC673" s="379"/>
      <c r="BD673" s="379"/>
      <c r="BE673" s="379"/>
      <c r="BF673" s="379"/>
      <c r="BG673" s="379"/>
      <c r="BH673" s="379"/>
      <c r="BI673" s="379"/>
      <c r="BJ673" s="379"/>
      <c r="BK673" s="379"/>
      <c r="BL673" s="379"/>
      <c r="BM673" s="379"/>
      <c r="BN673" s="379"/>
      <c r="BO673" s="379"/>
      <c r="BP673" s="379"/>
      <c r="BQ673" s="379"/>
      <c r="BR673" s="379"/>
      <c r="BS673" s="379"/>
      <c r="BT673" s="379"/>
      <c r="BU673" s="379"/>
      <c r="BV673" s="379"/>
      <c r="BW673" s="379"/>
      <c r="BX673" s="379"/>
      <c r="BY673" s="379"/>
      <c r="BZ673" s="379"/>
      <c r="CA673" s="281"/>
      <c r="CB673" s="3" t="str">
        <f t="shared" si="85"/>
        <v>Riadok bude vidieť.</v>
      </c>
      <c r="CC673" s="271" t="s">
        <v>832</v>
      </c>
      <c r="CW673" s="30">
        <f t="shared" ref="CW673:CW692" si="90">+IF(B673="",0,1)</f>
        <v>1</v>
      </c>
      <c r="CZ673" s="30">
        <f t="shared" si="89"/>
        <v>1</v>
      </c>
      <c r="DA673" s="30">
        <f t="shared" si="87"/>
        <v>1</v>
      </c>
      <c r="DB673" s="140">
        <f t="shared" si="84"/>
        <v>1</v>
      </c>
      <c r="DS673" s="130">
        <f>SI!BY673</f>
        <v>721</v>
      </c>
      <c r="DZ673" s="131">
        <f>SI!BZ673</f>
        <v>0</v>
      </c>
    </row>
    <row r="674" spans="1:130" x14ac:dyDescent="0.25">
      <c r="A674" s="141"/>
      <c r="B674" s="379" t="s">
        <v>718</v>
      </c>
      <c r="C674" s="379"/>
      <c r="D674" s="379"/>
      <c r="E674" s="379"/>
      <c r="F674" s="379"/>
      <c r="G674" s="379"/>
      <c r="H674" s="379"/>
      <c r="I674" s="379"/>
      <c r="J674" s="379"/>
      <c r="K674" s="379"/>
      <c r="L674" s="379"/>
      <c r="M674" s="379"/>
      <c r="N674" s="379"/>
      <c r="O674" s="379"/>
      <c r="P674" s="379"/>
      <c r="Q674" s="379"/>
      <c r="R674" s="379"/>
      <c r="S674" s="379"/>
      <c r="T674" s="379"/>
      <c r="U674" s="379"/>
      <c r="V674" s="379"/>
      <c r="W674" s="379"/>
      <c r="X674" s="379"/>
      <c r="Y674" s="379"/>
      <c r="Z674" s="379"/>
      <c r="AA674" s="379"/>
      <c r="AB674" s="379"/>
      <c r="AC674" s="379"/>
      <c r="AD674" s="379"/>
      <c r="AE674" s="379"/>
      <c r="AF674" s="379"/>
      <c r="AG674" s="379"/>
      <c r="AH674" s="379"/>
      <c r="AI674" s="379"/>
      <c r="AJ674" s="379"/>
      <c r="AK674" s="379"/>
      <c r="AL674" s="379"/>
      <c r="AM674" s="379"/>
      <c r="AN674" s="379"/>
      <c r="AO674" s="379"/>
      <c r="AP674" s="379"/>
      <c r="AQ674" s="379"/>
      <c r="AR674" s="379"/>
      <c r="AS674" s="379"/>
      <c r="AT674" s="379"/>
      <c r="AU674" s="379"/>
      <c r="AV674" s="379"/>
      <c r="AW674" s="379"/>
      <c r="AX674" s="379"/>
      <c r="AY674" s="379"/>
      <c r="AZ674" s="379"/>
      <c r="BA674" s="379"/>
      <c r="BB674" s="379"/>
      <c r="BC674" s="379"/>
      <c r="BD674" s="379"/>
      <c r="BE674" s="379"/>
      <c r="BF674" s="379"/>
      <c r="BG674" s="379"/>
      <c r="BH674" s="379"/>
      <c r="BI674" s="379"/>
      <c r="BJ674" s="379"/>
      <c r="BK674" s="379"/>
      <c r="BL674" s="379"/>
      <c r="BM674" s="379"/>
      <c r="BN674" s="379"/>
      <c r="BO674" s="379"/>
      <c r="BP674" s="379"/>
      <c r="BQ674" s="379"/>
      <c r="BR674" s="379"/>
      <c r="BS674" s="379"/>
      <c r="BT674" s="379"/>
      <c r="BU674" s="379"/>
      <c r="BV674" s="379"/>
      <c r="BW674" s="379"/>
      <c r="BX674" s="379"/>
      <c r="BY674" s="379"/>
      <c r="BZ674" s="379"/>
      <c r="CA674" s="281"/>
      <c r="CB674" s="3" t="str">
        <f t="shared" si="85"/>
        <v>Riadok bude vidieť.</v>
      </c>
      <c r="CC674" s="271" t="s">
        <v>832</v>
      </c>
      <c r="CW674" s="30">
        <f t="shared" si="90"/>
        <v>1</v>
      </c>
      <c r="CZ674" s="30">
        <f t="shared" si="89"/>
        <v>1</v>
      </c>
      <c r="DA674" s="30">
        <f t="shared" si="87"/>
        <v>1</v>
      </c>
      <c r="DB674" s="140">
        <f t="shared" si="84"/>
        <v>1</v>
      </c>
      <c r="DS674" s="130">
        <f>SI!BY674</f>
        <v>161</v>
      </c>
      <c r="DZ674" s="131">
        <f>SI!BZ674</f>
        <v>0</v>
      </c>
    </row>
    <row r="675" spans="1:130" x14ac:dyDescent="0.25">
      <c r="A675" s="141"/>
      <c r="B675" s="379" t="s">
        <v>719</v>
      </c>
      <c r="C675" s="379"/>
      <c r="D675" s="379"/>
      <c r="E675" s="379"/>
      <c r="F675" s="379"/>
      <c r="G675" s="379"/>
      <c r="H675" s="379"/>
      <c r="I675" s="379"/>
      <c r="J675" s="379"/>
      <c r="K675" s="379"/>
      <c r="L675" s="379"/>
      <c r="M675" s="379"/>
      <c r="N675" s="379"/>
      <c r="O675" s="379"/>
      <c r="P675" s="379"/>
      <c r="Q675" s="379"/>
      <c r="R675" s="379"/>
      <c r="S675" s="379"/>
      <c r="T675" s="379"/>
      <c r="U675" s="379"/>
      <c r="V675" s="379"/>
      <c r="W675" s="379"/>
      <c r="X675" s="379"/>
      <c r="Y675" s="379"/>
      <c r="Z675" s="379"/>
      <c r="AA675" s="379"/>
      <c r="AB675" s="379"/>
      <c r="AC675" s="379"/>
      <c r="AD675" s="379"/>
      <c r="AE675" s="379"/>
      <c r="AF675" s="379"/>
      <c r="AG675" s="379"/>
      <c r="AH675" s="379"/>
      <c r="AI675" s="379"/>
      <c r="AJ675" s="379"/>
      <c r="AK675" s="379"/>
      <c r="AL675" s="379"/>
      <c r="AM675" s="379"/>
      <c r="AN675" s="379"/>
      <c r="AO675" s="379"/>
      <c r="AP675" s="379"/>
      <c r="AQ675" s="379"/>
      <c r="AR675" s="379"/>
      <c r="AS675" s="379"/>
      <c r="AT675" s="379"/>
      <c r="AU675" s="379"/>
      <c r="AV675" s="379"/>
      <c r="AW675" s="379"/>
      <c r="AX675" s="379"/>
      <c r="AY675" s="379"/>
      <c r="AZ675" s="379"/>
      <c r="BA675" s="379"/>
      <c r="BB675" s="379"/>
      <c r="BC675" s="379"/>
      <c r="BD675" s="379"/>
      <c r="BE675" s="379"/>
      <c r="BF675" s="379"/>
      <c r="BG675" s="379"/>
      <c r="BH675" s="379"/>
      <c r="BI675" s="379"/>
      <c r="BJ675" s="379"/>
      <c r="BK675" s="379"/>
      <c r="BL675" s="379"/>
      <c r="BM675" s="379"/>
      <c r="BN675" s="379"/>
      <c r="BO675" s="379"/>
      <c r="BP675" s="379"/>
      <c r="BQ675" s="379"/>
      <c r="BR675" s="379"/>
      <c r="BS675" s="379"/>
      <c r="BT675" s="379"/>
      <c r="BU675" s="379"/>
      <c r="BV675" s="379"/>
      <c r="BW675" s="379"/>
      <c r="BX675" s="379"/>
      <c r="BY675" s="379"/>
      <c r="BZ675" s="379"/>
      <c r="CA675" s="281"/>
      <c r="CB675" s="3" t="str">
        <f t="shared" si="85"/>
        <v>Riadok bude vidieť.</v>
      </c>
      <c r="CC675" s="271" t="s">
        <v>832</v>
      </c>
      <c r="CW675" s="30">
        <f t="shared" si="90"/>
        <v>1</v>
      </c>
      <c r="CZ675" s="30">
        <f t="shared" si="89"/>
        <v>1</v>
      </c>
      <c r="DA675" s="30">
        <f t="shared" si="87"/>
        <v>1</v>
      </c>
      <c r="DB675" s="140">
        <f t="shared" si="84"/>
        <v>1</v>
      </c>
      <c r="DS675" s="130">
        <f>SI!BY675</f>
        <v>1140</v>
      </c>
      <c r="DZ675" s="131">
        <f>SI!BZ675</f>
        <v>0</v>
      </c>
    </row>
    <row r="676" spans="1:130" hidden="1" x14ac:dyDescent="0.25">
      <c r="A676" s="141"/>
      <c r="B676" s="406"/>
      <c r="C676" s="406"/>
      <c r="D676" s="406"/>
      <c r="E676" s="406"/>
      <c r="F676" s="406"/>
      <c r="G676" s="406"/>
      <c r="H676" s="406"/>
      <c r="I676" s="406"/>
      <c r="J676" s="406"/>
      <c r="K676" s="406"/>
      <c r="L676" s="406"/>
      <c r="M676" s="406"/>
      <c r="N676" s="406"/>
      <c r="O676" s="406"/>
      <c r="P676" s="406"/>
      <c r="Q676" s="406"/>
      <c r="R676" s="406"/>
      <c r="S676" s="406"/>
      <c r="T676" s="406"/>
      <c r="U676" s="406"/>
      <c r="V676" s="406"/>
      <c r="W676" s="406"/>
      <c r="X676" s="406"/>
      <c r="Y676" s="406"/>
      <c r="Z676" s="406"/>
      <c r="AA676" s="406"/>
      <c r="AB676" s="406"/>
      <c r="AC676" s="406"/>
      <c r="AD676" s="406"/>
      <c r="AE676" s="406"/>
      <c r="AF676" s="406"/>
      <c r="AG676" s="406"/>
      <c r="AH676" s="406"/>
      <c r="AI676" s="406"/>
      <c r="AJ676" s="406"/>
      <c r="AK676" s="406"/>
      <c r="AL676" s="406"/>
      <c r="AM676" s="406"/>
      <c r="AN676" s="406"/>
      <c r="AO676" s="406"/>
      <c r="AP676" s="406"/>
      <c r="AQ676" s="406"/>
      <c r="AR676" s="406"/>
      <c r="AS676" s="406"/>
      <c r="AT676" s="406"/>
      <c r="AU676" s="406"/>
      <c r="AV676" s="406"/>
      <c r="AW676" s="406"/>
      <c r="AX676" s="406"/>
      <c r="AY676" s="406"/>
      <c r="AZ676" s="406"/>
      <c r="BA676" s="406"/>
      <c r="BB676" s="406"/>
      <c r="BC676" s="406"/>
      <c r="BD676" s="406"/>
      <c r="BE676" s="406"/>
      <c r="BF676" s="406"/>
      <c r="BG676" s="406"/>
      <c r="BH676" s="406"/>
      <c r="BI676" s="406"/>
      <c r="BJ676" s="406"/>
      <c r="BK676" s="406"/>
      <c r="BL676" s="406"/>
      <c r="BM676" s="406"/>
      <c r="BN676" s="406"/>
      <c r="BO676" s="406"/>
      <c r="BP676" s="406"/>
      <c r="BQ676" s="406"/>
      <c r="BR676" s="406"/>
      <c r="BS676" s="406"/>
      <c r="BT676" s="406"/>
      <c r="BU676" s="406"/>
      <c r="BV676" s="406"/>
      <c r="BW676" s="406"/>
      <c r="BX676" s="406"/>
      <c r="BY676" s="406"/>
      <c r="BZ676" s="406"/>
      <c r="CA676" s="281"/>
      <c r="CB676" s="3" t="str">
        <f t="shared" si="85"/>
        <v>Riadok bude skrytý.</v>
      </c>
      <c r="CC676" s="271" t="s">
        <v>832</v>
      </c>
      <c r="CW676" s="30">
        <f t="shared" si="90"/>
        <v>0</v>
      </c>
      <c r="CZ676" s="30">
        <f t="shared" si="89"/>
        <v>1</v>
      </c>
      <c r="DA676" s="30">
        <f t="shared" si="87"/>
        <v>0</v>
      </c>
      <c r="DB676" s="140">
        <f t="shared" si="84"/>
        <v>0</v>
      </c>
      <c r="DS676" s="130">
        <f>SI!BY676</f>
        <v>800</v>
      </c>
      <c r="DZ676" s="131">
        <f>SI!BZ676</f>
        <v>0</v>
      </c>
    </row>
    <row r="677" spans="1:130" hidden="1" x14ac:dyDescent="0.25">
      <c r="A677" s="141"/>
      <c r="B677" s="406"/>
      <c r="C677" s="406"/>
      <c r="D677" s="406"/>
      <c r="E677" s="406"/>
      <c r="F677" s="406"/>
      <c r="G677" s="406"/>
      <c r="H677" s="406"/>
      <c r="I677" s="406"/>
      <c r="J677" s="406"/>
      <c r="K677" s="406"/>
      <c r="L677" s="406"/>
      <c r="M677" s="406"/>
      <c r="N677" s="406"/>
      <c r="O677" s="406"/>
      <c r="P677" s="406"/>
      <c r="Q677" s="406"/>
      <c r="R677" s="406"/>
      <c r="S677" s="406"/>
      <c r="T677" s="406"/>
      <c r="U677" s="406"/>
      <c r="V677" s="406"/>
      <c r="W677" s="406"/>
      <c r="X677" s="406"/>
      <c r="Y677" s="406"/>
      <c r="Z677" s="406"/>
      <c r="AA677" s="406"/>
      <c r="AB677" s="406"/>
      <c r="AC677" s="406"/>
      <c r="AD677" s="406"/>
      <c r="AE677" s="406"/>
      <c r="AF677" s="406"/>
      <c r="AG677" s="406"/>
      <c r="AH677" s="406"/>
      <c r="AI677" s="406"/>
      <c r="AJ677" s="406"/>
      <c r="AK677" s="406"/>
      <c r="AL677" s="406"/>
      <c r="AM677" s="406"/>
      <c r="AN677" s="406"/>
      <c r="AO677" s="406"/>
      <c r="AP677" s="406"/>
      <c r="AQ677" s="406"/>
      <c r="AR677" s="406"/>
      <c r="AS677" s="406"/>
      <c r="AT677" s="406"/>
      <c r="AU677" s="406"/>
      <c r="AV677" s="406"/>
      <c r="AW677" s="406"/>
      <c r="AX677" s="406"/>
      <c r="AY677" s="406"/>
      <c r="AZ677" s="406"/>
      <c r="BA677" s="406"/>
      <c r="BB677" s="406"/>
      <c r="BC677" s="406"/>
      <c r="BD677" s="406"/>
      <c r="BE677" s="406"/>
      <c r="BF677" s="406"/>
      <c r="BG677" s="406"/>
      <c r="BH677" s="406"/>
      <c r="BI677" s="406"/>
      <c r="BJ677" s="406"/>
      <c r="BK677" s="406"/>
      <c r="BL677" s="406"/>
      <c r="BM677" s="406"/>
      <c r="BN677" s="406"/>
      <c r="BO677" s="406"/>
      <c r="BP677" s="406"/>
      <c r="BQ677" s="406"/>
      <c r="BR677" s="406"/>
      <c r="BS677" s="406"/>
      <c r="BT677" s="406"/>
      <c r="BU677" s="406"/>
      <c r="BV677" s="406"/>
      <c r="BW677" s="406"/>
      <c r="BX677" s="406"/>
      <c r="BY677" s="406"/>
      <c r="BZ677" s="406"/>
      <c r="CA677" s="281"/>
      <c r="CB677" s="3" t="str">
        <f t="shared" si="85"/>
        <v>Riadok bude skrytý.</v>
      </c>
      <c r="CC677" s="271" t="s">
        <v>832</v>
      </c>
      <c r="CW677" s="30">
        <f t="shared" si="90"/>
        <v>0</v>
      </c>
      <c r="CZ677" s="30">
        <f t="shared" si="89"/>
        <v>1</v>
      </c>
      <c r="DA677" s="30">
        <f t="shared" si="87"/>
        <v>0</v>
      </c>
      <c r="DB677" s="140">
        <f t="shared" si="84"/>
        <v>0</v>
      </c>
      <c r="DS677" s="130">
        <f>SI!BY677</f>
        <v>168</v>
      </c>
      <c r="DZ677" s="131">
        <f>SI!BZ677</f>
        <v>0</v>
      </c>
    </row>
    <row r="678" spans="1:130" hidden="1" x14ac:dyDescent="0.25">
      <c r="A678" s="141"/>
      <c r="B678" s="406"/>
      <c r="C678" s="406"/>
      <c r="D678" s="406"/>
      <c r="E678" s="406"/>
      <c r="F678" s="406"/>
      <c r="G678" s="406"/>
      <c r="H678" s="406"/>
      <c r="I678" s="406"/>
      <c r="J678" s="406"/>
      <c r="K678" s="406"/>
      <c r="L678" s="406"/>
      <c r="M678" s="406"/>
      <c r="N678" s="406"/>
      <c r="O678" s="406"/>
      <c r="P678" s="406"/>
      <c r="Q678" s="406"/>
      <c r="R678" s="406"/>
      <c r="S678" s="406"/>
      <c r="T678" s="406"/>
      <c r="U678" s="406"/>
      <c r="V678" s="406"/>
      <c r="W678" s="406"/>
      <c r="X678" s="406"/>
      <c r="Y678" s="406"/>
      <c r="Z678" s="406"/>
      <c r="AA678" s="406"/>
      <c r="AB678" s="406"/>
      <c r="AC678" s="406"/>
      <c r="AD678" s="406"/>
      <c r="AE678" s="406"/>
      <c r="AF678" s="406"/>
      <c r="AG678" s="406"/>
      <c r="AH678" s="406"/>
      <c r="AI678" s="406"/>
      <c r="AJ678" s="406"/>
      <c r="AK678" s="406"/>
      <c r="AL678" s="406"/>
      <c r="AM678" s="406"/>
      <c r="AN678" s="406"/>
      <c r="AO678" s="406"/>
      <c r="AP678" s="406"/>
      <c r="AQ678" s="406"/>
      <c r="AR678" s="406"/>
      <c r="AS678" s="406"/>
      <c r="AT678" s="406"/>
      <c r="AU678" s="406"/>
      <c r="AV678" s="406"/>
      <c r="AW678" s="406"/>
      <c r="AX678" s="406"/>
      <c r="AY678" s="406"/>
      <c r="AZ678" s="406"/>
      <c r="BA678" s="406"/>
      <c r="BB678" s="406"/>
      <c r="BC678" s="406"/>
      <c r="BD678" s="406"/>
      <c r="BE678" s="406"/>
      <c r="BF678" s="406"/>
      <c r="BG678" s="406"/>
      <c r="BH678" s="406"/>
      <c r="BI678" s="406"/>
      <c r="BJ678" s="406"/>
      <c r="BK678" s="406"/>
      <c r="BL678" s="406"/>
      <c r="BM678" s="406"/>
      <c r="BN678" s="406"/>
      <c r="BO678" s="406"/>
      <c r="BP678" s="406"/>
      <c r="BQ678" s="406"/>
      <c r="BR678" s="406"/>
      <c r="BS678" s="406"/>
      <c r="BT678" s="406"/>
      <c r="BU678" s="406"/>
      <c r="BV678" s="406"/>
      <c r="BW678" s="406"/>
      <c r="BX678" s="406"/>
      <c r="BY678" s="406"/>
      <c r="BZ678" s="406"/>
      <c r="CA678" s="281"/>
      <c r="CB678" s="3" t="str">
        <f t="shared" si="85"/>
        <v>Riadok bude skrytý.</v>
      </c>
      <c r="CC678" s="271" t="s">
        <v>832</v>
      </c>
      <c r="CW678" s="30">
        <f t="shared" si="90"/>
        <v>0</v>
      </c>
      <c r="CZ678" s="30">
        <f t="shared" si="89"/>
        <v>1</v>
      </c>
      <c r="DA678" s="30">
        <f t="shared" si="87"/>
        <v>0</v>
      </c>
      <c r="DB678" s="140">
        <f t="shared" si="84"/>
        <v>0</v>
      </c>
      <c r="DS678" s="130">
        <f>SI!BY678</f>
        <v>2</v>
      </c>
      <c r="DZ678" s="131">
        <f>SI!BZ678</f>
        <v>0</v>
      </c>
    </row>
    <row r="679" spans="1:130" hidden="1" x14ac:dyDescent="0.25">
      <c r="A679" s="141"/>
      <c r="B679" s="406"/>
      <c r="C679" s="406"/>
      <c r="D679" s="406"/>
      <c r="E679" s="406"/>
      <c r="F679" s="406"/>
      <c r="G679" s="406"/>
      <c r="H679" s="406"/>
      <c r="I679" s="406"/>
      <c r="J679" s="406"/>
      <c r="K679" s="406"/>
      <c r="L679" s="406"/>
      <c r="M679" s="406"/>
      <c r="N679" s="406"/>
      <c r="O679" s="406"/>
      <c r="P679" s="406"/>
      <c r="Q679" s="406"/>
      <c r="R679" s="406"/>
      <c r="S679" s="406"/>
      <c r="T679" s="406"/>
      <c r="U679" s="406"/>
      <c r="V679" s="406"/>
      <c r="W679" s="406"/>
      <c r="X679" s="406"/>
      <c r="Y679" s="406"/>
      <c r="Z679" s="406"/>
      <c r="AA679" s="406"/>
      <c r="AB679" s="406"/>
      <c r="AC679" s="406"/>
      <c r="AD679" s="406"/>
      <c r="AE679" s="406"/>
      <c r="AF679" s="406"/>
      <c r="AG679" s="406"/>
      <c r="AH679" s="406"/>
      <c r="AI679" s="406"/>
      <c r="AJ679" s="406"/>
      <c r="AK679" s="406"/>
      <c r="AL679" s="406"/>
      <c r="AM679" s="406"/>
      <c r="AN679" s="406"/>
      <c r="AO679" s="406"/>
      <c r="AP679" s="406"/>
      <c r="AQ679" s="406"/>
      <c r="AR679" s="406"/>
      <c r="AS679" s="406"/>
      <c r="AT679" s="406"/>
      <c r="AU679" s="406"/>
      <c r="AV679" s="406"/>
      <c r="AW679" s="406"/>
      <c r="AX679" s="406"/>
      <c r="AY679" s="406"/>
      <c r="AZ679" s="406"/>
      <c r="BA679" s="406"/>
      <c r="BB679" s="406"/>
      <c r="BC679" s="406"/>
      <c r="BD679" s="406"/>
      <c r="BE679" s="406"/>
      <c r="BF679" s="406"/>
      <c r="BG679" s="406"/>
      <c r="BH679" s="406"/>
      <c r="BI679" s="406"/>
      <c r="BJ679" s="406"/>
      <c r="BK679" s="406"/>
      <c r="BL679" s="406"/>
      <c r="BM679" s="406"/>
      <c r="BN679" s="406"/>
      <c r="BO679" s="406"/>
      <c r="BP679" s="406"/>
      <c r="BQ679" s="406"/>
      <c r="BR679" s="406"/>
      <c r="BS679" s="406"/>
      <c r="BT679" s="406"/>
      <c r="BU679" s="406"/>
      <c r="BV679" s="406"/>
      <c r="BW679" s="406"/>
      <c r="BX679" s="406"/>
      <c r="BY679" s="406"/>
      <c r="BZ679" s="406"/>
      <c r="CA679" s="281"/>
      <c r="CB679" s="3" t="str">
        <f t="shared" si="85"/>
        <v>Riadok bude skrytý.</v>
      </c>
      <c r="CC679" s="271" t="s">
        <v>832</v>
      </c>
      <c r="CW679" s="30">
        <f t="shared" si="90"/>
        <v>0</v>
      </c>
      <c r="CZ679" s="30">
        <f t="shared" si="89"/>
        <v>1</v>
      </c>
      <c r="DA679" s="30">
        <f t="shared" si="87"/>
        <v>0</v>
      </c>
      <c r="DB679" s="140">
        <f t="shared" si="84"/>
        <v>0</v>
      </c>
      <c r="DS679" s="130">
        <f>SI!BY679</f>
        <v>144</v>
      </c>
      <c r="DZ679" s="131">
        <f>SI!BZ679</f>
        <v>0</v>
      </c>
    </row>
    <row r="680" spans="1:130" hidden="1" x14ac:dyDescent="0.25">
      <c r="A680" s="141"/>
      <c r="B680" s="406"/>
      <c r="C680" s="406"/>
      <c r="D680" s="406"/>
      <c r="E680" s="406"/>
      <c r="F680" s="406"/>
      <c r="G680" s="406"/>
      <c r="H680" s="406"/>
      <c r="I680" s="406"/>
      <c r="J680" s="406"/>
      <c r="K680" s="406"/>
      <c r="L680" s="406"/>
      <c r="M680" s="406"/>
      <c r="N680" s="406"/>
      <c r="O680" s="406"/>
      <c r="P680" s="406"/>
      <c r="Q680" s="406"/>
      <c r="R680" s="406"/>
      <c r="S680" s="406"/>
      <c r="T680" s="406"/>
      <c r="U680" s="406"/>
      <c r="V680" s="406"/>
      <c r="W680" s="406"/>
      <c r="X680" s="406"/>
      <c r="Y680" s="406"/>
      <c r="Z680" s="406"/>
      <c r="AA680" s="406"/>
      <c r="AB680" s="406"/>
      <c r="AC680" s="406"/>
      <c r="AD680" s="406"/>
      <c r="AE680" s="406"/>
      <c r="AF680" s="406"/>
      <c r="AG680" s="406"/>
      <c r="AH680" s="406"/>
      <c r="AI680" s="406"/>
      <c r="AJ680" s="406"/>
      <c r="AK680" s="406"/>
      <c r="AL680" s="406"/>
      <c r="AM680" s="406"/>
      <c r="AN680" s="406"/>
      <c r="AO680" s="406"/>
      <c r="AP680" s="406"/>
      <c r="AQ680" s="406"/>
      <c r="AR680" s="406"/>
      <c r="AS680" s="406"/>
      <c r="AT680" s="406"/>
      <c r="AU680" s="406"/>
      <c r="AV680" s="406"/>
      <c r="AW680" s="406"/>
      <c r="AX680" s="406"/>
      <c r="AY680" s="406"/>
      <c r="AZ680" s="406"/>
      <c r="BA680" s="406"/>
      <c r="BB680" s="406"/>
      <c r="BC680" s="406"/>
      <c r="BD680" s="406"/>
      <c r="BE680" s="406"/>
      <c r="BF680" s="406"/>
      <c r="BG680" s="406"/>
      <c r="BH680" s="406"/>
      <c r="BI680" s="406"/>
      <c r="BJ680" s="406"/>
      <c r="BK680" s="406"/>
      <c r="BL680" s="406"/>
      <c r="BM680" s="406"/>
      <c r="BN680" s="406"/>
      <c r="BO680" s="406"/>
      <c r="BP680" s="406"/>
      <c r="BQ680" s="406"/>
      <c r="BR680" s="406"/>
      <c r="BS680" s="406"/>
      <c r="BT680" s="406"/>
      <c r="BU680" s="406"/>
      <c r="BV680" s="406"/>
      <c r="BW680" s="406"/>
      <c r="BX680" s="406"/>
      <c r="BY680" s="406"/>
      <c r="BZ680" s="406"/>
      <c r="CA680" s="281"/>
      <c r="CB680" s="3" t="str">
        <f t="shared" si="85"/>
        <v>Riadok bude skrytý.</v>
      </c>
      <c r="CC680" s="271" t="s">
        <v>832</v>
      </c>
      <c r="CW680" s="30">
        <f t="shared" si="90"/>
        <v>0</v>
      </c>
      <c r="CZ680" s="30">
        <f t="shared" si="89"/>
        <v>1</v>
      </c>
      <c r="DA680" s="30">
        <f t="shared" si="87"/>
        <v>0</v>
      </c>
      <c r="DB680" s="140">
        <f t="shared" si="84"/>
        <v>0</v>
      </c>
      <c r="DS680" s="130">
        <f>SI!BY680</f>
        <v>192</v>
      </c>
      <c r="DZ680" s="131">
        <f>SI!BZ680</f>
        <v>0</v>
      </c>
    </row>
    <row r="681" spans="1:130" hidden="1" x14ac:dyDescent="0.25">
      <c r="A681" s="141"/>
      <c r="B681" s="406"/>
      <c r="C681" s="406"/>
      <c r="D681" s="406"/>
      <c r="E681" s="406"/>
      <c r="F681" s="406"/>
      <c r="G681" s="406"/>
      <c r="H681" s="406"/>
      <c r="I681" s="406"/>
      <c r="J681" s="406"/>
      <c r="K681" s="406"/>
      <c r="L681" s="406"/>
      <c r="M681" s="406"/>
      <c r="N681" s="406"/>
      <c r="O681" s="406"/>
      <c r="P681" s="406"/>
      <c r="Q681" s="406"/>
      <c r="R681" s="406"/>
      <c r="S681" s="406"/>
      <c r="T681" s="406"/>
      <c r="U681" s="406"/>
      <c r="V681" s="406"/>
      <c r="W681" s="406"/>
      <c r="X681" s="406"/>
      <c r="Y681" s="406"/>
      <c r="Z681" s="406"/>
      <c r="AA681" s="406"/>
      <c r="AB681" s="406"/>
      <c r="AC681" s="406"/>
      <c r="AD681" s="406"/>
      <c r="AE681" s="406"/>
      <c r="AF681" s="406"/>
      <c r="AG681" s="406"/>
      <c r="AH681" s="406"/>
      <c r="AI681" s="406"/>
      <c r="AJ681" s="406"/>
      <c r="AK681" s="406"/>
      <c r="AL681" s="406"/>
      <c r="AM681" s="406"/>
      <c r="AN681" s="406"/>
      <c r="AO681" s="406"/>
      <c r="AP681" s="406"/>
      <c r="AQ681" s="406"/>
      <c r="AR681" s="406"/>
      <c r="AS681" s="406"/>
      <c r="AT681" s="406"/>
      <c r="AU681" s="406"/>
      <c r="AV681" s="406"/>
      <c r="AW681" s="406"/>
      <c r="AX681" s="406"/>
      <c r="AY681" s="406"/>
      <c r="AZ681" s="406"/>
      <c r="BA681" s="406"/>
      <c r="BB681" s="406"/>
      <c r="BC681" s="406"/>
      <c r="BD681" s="406"/>
      <c r="BE681" s="406"/>
      <c r="BF681" s="406"/>
      <c r="BG681" s="406"/>
      <c r="BH681" s="406"/>
      <c r="BI681" s="406"/>
      <c r="BJ681" s="406"/>
      <c r="BK681" s="406"/>
      <c r="BL681" s="406"/>
      <c r="BM681" s="406"/>
      <c r="BN681" s="406"/>
      <c r="BO681" s="406"/>
      <c r="BP681" s="406"/>
      <c r="BQ681" s="406"/>
      <c r="BR681" s="406"/>
      <c r="BS681" s="406"/>
      <c r="BT681" s="406"/>
      <c r="BU681" s="406"/>
      <c r="BV681" s="406"/>
      <c r="BW681" s="406"/>
      <c r="BX681" s="406"/>
      <c r="BY681" s="406"/>
      <c r="BZ681" s="406"/>
      <c r="CA681" s="281"/>
      <c r="CB681" s="3" t="str">
        <f t="shared" si="85"/>
        <v>Riadok bude skrytý.</v>
      </c>
      <c r="CC681" s="271" t="s">
        <v>832</v>
      </c>
      <c r="CW681" s="30">
        <f t="shared" si="90"/>
        <v>0</v>
      </c>
      <c r="CZ681" s="30">
        <f t="shared" si="89"/>
        <v>1</v>
      </c>
      <c r="DA681" s="30">
        <f t="shared" si="87"/>
        <v>0</v>
      </c>
      <c r="DB681" s="140">
        <f t="shared" si="84"/>
        <v>0</v>
      </c>
      <c r="DS681" s="130">
        <f>SI!BY681</f>
        <v>195</v>
      </c>
      <c r="DZ681" s="131">
        <f>SI!BZ681</f>
        <v>0</v>
      </c>
    </row>
    <row r="682" spans="1:130" hidden="1" x14ac:dyDescent="0.25">
      <c r="A682" s="141"/>
      <c r="B682" s="406"/>
      <c r="C682" s="406"/>
      <c r="D682" s="406"/>
      <c r="E682" s="406"/>
      <c r="F682" s="406"/>
      <c r="G682" s="406"/>
      <c r="H682" s="406"/>
      <c r="I682" s="406"/>
      <c r="J682" s="406"/>
      <c r="K682" s="406"/>
      <c r="L682" s="406"/>
      <c r="M682" s="406"/>
      <c r="N682" s="406"/>
      <c r="O682" s="406"/>
      <c r="P682" s="406"/>
      <c r="Q682" s="406"/>
      <c r="R682" s="406"/>
      <c r="S682" s="406"/>
      <c r="T682" s="406"/>
      <c r="U682" s="406"/>
      <c r="V682" s="406"/>
      <c r="W682" s="406"/>
      <c r="X682" s="406"/>
      <c r="Y682" s="406"/>
      <c r="Z682" s="406"/>
      <c r="AA682" s="406"/>
      <c r="AB682" s="406"/>
      <c r="AC682" s="406"/>
      <c r="AD682" s="406"/>
      <c r="AE682" s="406"/>
      <c r="AF682" s="406"/>
      <c r="AG682" s="406"/>
      <c r="AH682" s="406"/>
      <c r="AI682" s="406"/>
      <c r="AJ682" s="406"/>
      <c r="AK682" s="406"/>
      <c r="AL682" s="406"/>
      <c r="AM682" s="406"/>
      <c r="AN682" s="406"/>
      <c r="AO682" s="406"/>
      <c r="AP682" s="406"/>
      <c r="AQ682" s="406"/>
      <c r="AR682" s="406"/>
      <c r="AS682" s="406"/>
      <c r="AT682" s="406"/>
      <c r="AU682" s="406"/>
      <c r="AV682" s="406"/>
      <c r="AW682" s="406"/>
      <c r="AX682" s="406"/>
      <c r="AY682" s="406"/>
      <c r="AZ682" s="406"/>
      <c r="BA682" s="406"/>
      <c r="BB682" s="406"/>
      <c r="BC682" s="406"/>
      <c r="BD682" s="406"/>
      <c r="BE682" s="406"/>
      <c r="BF682" s="406"/>
      <c r="BG682" s="406"/>
      <c r="BH682" s="406"/>
      <c r="BI682" s="406"/>
      <c r="BJ682" s="406"/>
      <c r="BK682" s="406"/>
      <c r="BL682" s="406"/>
      <c r="BM682" s="406"/>
      <c r="BN682" s="406"/>
      <c r="BO682" s="406"/>
      <c r="BP682" s="406"/>
      <c r="BQ682" s="406"/>
      <c r="BR682" s="406"/>
      <c r="BS682" s="406"/>
      <c r="BT682" s="406"/>
      <c r="BU682" s="406"/>
      <c r="BV682" s="406"/>
      <c r="BW682" s="406"/>
      <c r="BX682" s="406"/>
      <c r="BY682" s="406"/>
      <c r="BZ682" s="406"/>
      <c r="CA682" s="281"/>
      <c r="CB682" s="3" t="str">
        <f t="shared" si="85"/>
        <v>Riadok bude skrytý.</v>
      </c>
      <c r="CC682" s="271" t="s">
        <v>832</v>
      </c>
      <c r="CW682" s="30">
        <f t="shared" si="90"/>
        <v>0</v>
      </c>
      <c r="CZ682" s="30">
        <f t="shared" si="89"/>
        <v>1</v>
      </c>
      <c r="DA682" s="30">
        <f t="shared" si="87"/>
        <v>0</v>
      </c>
      <c r="DB682" s="140">
        <f t="shared" si="84"/>
        <v>0</v>
      </c>
      <c r="DS682" s="130">
        <f>SI!BY682</f>
        <v>652</v>
      </c>
      <c r="DZ682" s="131">
        <f>SI!BZ682</f>
        <v>0</v>
      </c>
    </row>
    <row r="683" spans="1:130" hidden="1" x14ac:dyDescent="0.25">
      <c r="A683" s="141"/>
      <c r="B683" s="406"/>
      <c r="C683" s="406"/>
      <c r="D683" s="406"/>
      <c r="E683" s="406"/>
      <c r="F683" s="406"/>
      <c r="G683" s="406"/>
      <c r="H683" s="406"/>
      <c r="I683" s="406"/>
      <c r="J683" s="406"/>
      <c r="K683" s="406"/>
      <c r="L683" s="406"/>
      <c r="M683" s="406"/>
      <c r="N683" s="406"/>
      <c r="O683" s="406"/>
      <c r="P683" s="406"/>
      <c r="Q683" s="406"/>
      <c r="R683" s="406"/>
      <c r="S683" s="406"/>
      <c r="T683" s="406"/>
      <c r="U683" s="406"/>
      <c r="V683" s="406"/>
      <c r="W683" s="406"/>
      <c r="X683" s="406"/>
      <c r="Y683" s="406"/>
      <c r="Z683" s="406"/>
      <c r="AA683" s="406"/>
      <c r="AB683" s="406"/>
      <c r="AC683" s="406"/>
      <c r="AD683" s="406"/>
      <c r="AE683" s="406"/>
      <c r="AF683" s="406"/>
      <c r="AG683" s="406"/>
      <c r="AH683" s="406"/>
      <c r="AI683" s="406"/>
      <c r="AJ683" s="406"/>
      <c r="AK683" s="406"/>
      <c r="AL683" s="406"/>
      <c r="AM683" s="406"/>
      <c r="AN683" s="406"/>
      <c r="AO683" s="406"/>
      <c r="AP683" s="406"/>
      <c r="AQ683" s="406"/>
      <c r="AR683" s="406"/>
      <c r="AS683" s="406"/>
      <c r="AT683" s="406"/>
      <c r="AU683" s="406"/>
      <c r="AV683" s="406"/>
      <c r="AW683" s="406"/>
      <c r="AX683" s="406"/>
      <c r="AY683" s="406"/>
      <c r="AZ683" s="406"/>
      <c r="BA683" s="406"/>
      <c r="BB683" s="406"/>
      <c r="BC683" s="406"/>
      <c r="BD683" s="406"/>
      <c r="BE683" s="406"/>
      <c r="BF683" s="406"/>
      <c r="BG683" s="406"/>
      <c r="BH683" s="406"/>
      <c r="BI683" s="406"/>
      <c r="BJ683" s="406"/>
      <c r="BK683" s="406"/>
      <c r="BL683" s="406"/>
      <c r="BM683" s="406"/>
      <c r="BN683" s="406"/>
      <c r="BO683" s="406"/>
      <c r="BP683" s="406"/>
      <c r="BQ683" s="406"/>
      <c r="BR683" s="406"/>
      <c r="BS683" s="406"/>
      <c r="BT683" s="406"/>
      <c r="BU683" s="406"/>
      <c r="BV683" s="406"/>
      <c r="BW683" s="406"/>
      <c r="BX683" s="406"/>
      <c r="BY683" s="406"/>
      <c r="BZ683" s="406"/>
      <c r="CA683" s="281"/>
      <c r="CB683" s="3" t="str">
        <f t="shared" si="85"/>
        <v>Riadok bude skrytý.</v>
      </c>
      <c r="CC683" s="271" t="s">
        <v>832</v>
      </c>
      <c r="CW683" s="30">
        <f t="shared" si="90"/>
        <v>0</v>
      </c>
      <c r="CZ683" s="30">
        <f t="shared" si="89"/>
        <v>1</v>
      </c>
      <c r="DA683" s="30">
        <f t="shared" si="87"/>
        <v>0</v>
      </c>
      <c r="DB683" s="140">
        <f t="shared" si="84"/>
        <v>0</v>
      </c>
      <c r="DS683" s="130">
        <f>SI!BY683</f>
        <v>151</v>
      </c>
      <c r="DZ683" s="131">
        <f>SI!BZ683</f>
        <v>0</v>
      </c>
    </row>
    <row r="684" spans="1:130" hidden="1" x14ac:dyDescent="0.25">
      <c r="A684" s="141"/>
      <c r="B684" s="406"/>
      <c r="C684" s="406"/>
      <c r="D684" s="406"/>
      <c r="E684" s="406"/>
      <c r="F684" s="406"/>
      <c r="G684" s="406"/>
      <c r="H684" s="406"/>
      <c r="I684" s="406"/>
      <c r="J684" s="406"/>
      <c r="K684" s="406"/>
      <c r="L684" s="406"/>
      <c r="M684" s="406"/>
      <c r="N684" s="406"/>
      <c r="O684" s="406"/>
      <c r="P684" s="406"/>
      <c r="Q684" s="406"/>
      <c r="R684" s="406"/>
      <c r="S684" s="406"/>
      <c r="T684" s="406"/>
      <c r="U684" s="406"/>
      <c r="V684" s="406"/>
      <c r="W684" s="406"/>
      <c r="X684" s="406"/>
      <c r="Y684" s="406"/>
      <c r="Z684" s="406"/>
      <c r="AA684" s="406"/>
      <c r="AB684" s="406"/>
      <c r="AC684" s="406"/>
      <c r="AD684" s="406"/>
      <c r="AE684" s="406"/>
      <c r="AF684" s="406"/>
      <c r="AG684" s="406"/>
      <c r="AH684" s="406"/>
      <c r="AI684" s="406"/>
      <c r="AJ684" s="406"/>
      <c r="AK684" s="406"/>
      <c r="AL684" s="406"/>
      <c r="AM684" s="406"/>
      <c r="AN684" s="406"/>
      <c r="AO684" s="406"/>
      <c r="AP684" s="406"/>
      <c r="AQ684" s="406"/>
      <c r="AR684" s="406"/>
      <c r="AS684" s="406"/>
      <c r="AT684" s="406"/>
      <c r="AU684" s="406"/>
      <c r="AV684" s="406"/>
      <c r="AW684" s="406"/>
      <c r="AX684" s="406"/>
      <c r="AY684" s="406"/>
      <c r="AZ684" s="406"/>
      <c r="BA684" s="406"/>
      <c r="BB684" s="406"/>
      <c r="BC684" s="406"/>
      <c r="BD684" s="406"/>
      <c r="BE684" s="406"/>
      <c r="BF684" s="406"/>
      <c r="BG684" s="406"/>
      <c r="BH684" s="406"/>
      <c r="BI684" s="406"/>
      <c r="BJ684" s="406"/>
      <c r="BK684" s="406"/>
      <c r="BL684" s="406"/>
      <c r="BM684" s="406"/>
      <c r="BN684" s="406"/>
      <c r="BO684" s="406"/>
      <c r="BP684" s="406"/>
      <c r="BQ684" s="406"/>
      <c r="BR684" s="406"/>
      <c r="BS684" s="406"/>
      <c r="BT684" s="406"/>
      <c r="BU684" s="406"/>
      <c r="BV684" s="406"/>
      <c r="BW684" s="406"/>
      <c r="BX684" s="406"/>
      <c r="BY684" s="406"/>
      <c r="BZ684" s="406"/>
      <c r="CA684" s="281"/>
      <c r="CB684" s="3" t="str">
        <f t="shared" si="85"/>
        <v>Riadok bude skrytý.</v>
      </c>
      <c r="CC684" s="271" t="s">
        <v>832</v>
      </c>
      <c r="CW684" s="30">
        <f t="shared" si="90"/>
        <v>0</v>
      </c>
      <c r="CZ684" s="30">
        <f t="shared" si="89"/>
        <v>1</v>
      </c>
      <c r="DA684" s="30">
        <f t="shared" si="87"/>
        <v>0</v>
      </c>
      <c r="DB684" s="140">
        <f t="shared" si="84"/>
        <v>0</v>
      </c>
      <c r="DS684" s="130">
        <f>SI!BY684</f>
        <v>696</v>
      </c>
      <c r="DZ684" s="131">
        <f>SI!BZ684</f>
        <v>0</v>
      </c>
    </row>
    <row r="685" spans="1:130" hidden="1" x14ac:dyDescent="0.25">
      <c r="A685" s="141"/>
      <c r="B685" s="406"/>
      <c r="C685" s="406"/>
      <c r="D685" s="406"/>
      <c r="E685" s="406"/>
      <c r="F685" s="406"/>
      <c r="G685" s="406"/>
      <c r="H685" s="406"/>
      <c r="I685" s="406"/>
      <c r="J685" s="406"/>
      <c r="K685" s="406"/>
      <c r="L685" s="406"/>
      <c r="M685" s="406"/>
      <c r="N685" s="406"/>
      <c r="O685" s="406"/>
      <c r="P685" s="406"/>
      <c r="Q685" s="406"/>
      <c r="R685" s="406"/>
      <c r="S685" s="406"/>
      <c r="T685" s="406"/>
      <c r="U685" s="406"/>
      <c r="V685" s="406"/>
      <c r="W685" s="406"/>
      <c r="X685" s="406"/>
      <c r="Y685" s="406"/>
      <c r="Z685" s="406"/>
      <c r="AA685" s="406"/>
      <c r="AB685" s="406"/>
      <c r="AC685" s="406"/>
      <c r="AD685" s="406"/>
      <c r="AE685" s="406"/>
      <c r="AF685" s="406"/>
      <c r="AG685" s="406"/>
      <c r="AH685" s="406"/>
      <c r="AI685" s="406"/>
      <c r="AJ685" s="406"/>
      <c r="AK685" s="406"/>
      <c r="AL685" s="406"/>
      <c r="AM685" s="406"/>
      <c r="AN685" s="406"/>
      <c r="AO685" s="406"/>
      <c r="AP685" s="406"/>
      <c r="AQ685" s="406"/>
      <c r="AR685" s="406"/>
      <c r="AS685" s="406"/>
      <c r="AT685" s="406"/>
      <c r="AU685" s="406"/>
      <c r="AV685" s="406"/>
      <c r="AW685" s="406"/>
      <c r="AX685" s="406"/>
      <c r="AY685" s="406"/>
      <c r="AZ685" s="406"/>
      <c r="BA685" s="406"/>
      <c r="BB685" s="406"/>
      <c r="BC685" s="406"/>
      <c r="BD685" s="406"/>
      <c r="BE685" s="406"/>
      <c r="BF685" s="406"/>
      <c r="BG685" s="406"/>
      <c r="BH685" s="406"/>
      <c r="BI685" s="406"/>
      <c r="BJ685" s="406"/>
      <c r="BK685" s="406"/>
      <c r="BL685" s="406"/>
      <c r="BM685" s="406"/>
      <c r="BN685" s="406"/>
      <c r="BO685" s="406"/>
      <c r="BP685" s="406"/>
      <c r="BQ685" s="406"/>
      <c r="BR685" s="406"/>
      <c r="BS685" s="406"/>
      <c r="BT685" s="406"/>
      <c r="BU685" s="406"/>
      <c r="BV685" s="406"/>
      <c r="BW685" s="406"/>
      <c r="BX685" s="406"/>
      <c r="BY685" s="406"/>
      <c r="BZ685" s="406"/>
      <c r="CA685" s="281"/>
      <c r="CB685" s="3" t="str">
        <f t="shared" si="85"/>
        <v>Riadok bude skrytý.</v>
      </c>
      <c r="CC685" s="271" t="s">
        <v>832</v>
      </c>
      <c r="CW685" s="30">
        <f t="shared" si="90"/>
        <v>0</v>
      </c>
      <c r="CZ685" s="30">
        <f t="shared" si="89"/>
        <v>1</v>
      </c>
      <c r="DA685" s="30">
        <f t="shared" si="87"/>
        <v>0</v>
      </c>
      <c r="DB685" s="140">
        <f t="shared" si="84"/>
        <v>0</v>
      </c>
      <c r="DS685" s="130">
        <f>SI!BY685</f>
        <v>179</v>
      </c>
      <c r="DZ685" s="131">
        <f>SI!BZ685</f>
        <v>0</v>
      </c>
    </row>
    <row r="686" spans="1:130" hidden="1" x14ac:dyDescent="0.25">
      <c r="A686" s="141"/>
      <c r="B686" s="406"/>
      <c r="C686" s="406"/>
      <c r="D686" s="406"/>
      <c r="E686" s="406"/>
      <c r="F686" s="406"/>
      <c r="G686" s="406"/>
      <c r="H686" s="406"/>
      <c r="I686" s="406"/>
      <c r="J686" s="406"/>
      <c r="K686" s="406"/>
      <c r="L686" s="406"/>
      <c r="M686" s="406"/>
      <c r="N686" s="406"/>
      <c r="O686" s="406"/>
      <c r="P686" s="406"/>
      <c r="Q686" s="406"/>
      <c r="R686" s="406"/>
      <c r="S686" s="406"/>
      <c r="T686" s="406"/>
      <c r="U686" s="406"/>
      <c r="V686" s="406"/>
      <c r="W686" s="406"/>
      <c r="X686" s="406"/>
      <c r="Y686" s="406"/>
      <c r="Z686" s="406"/>
      <c r="AA686" s="406"/>
      <c r="AB686" s="406"/>
      <c r="AC686" s="406"/>
      <c r="AD686" s="406"/>
      <c r="AE686" s="406"/>
      <c r="AF686" s="406"/>
      <c r="AG686" s="406"/>
      <c r="AH686" s="406"/>
      <c r="AI686" s="406"/>
      <c r="AJ686" s="406"/>
      <c r="AK686" s="406"/>
      <c r="AL686" s="406"/>
      <c r="AM686" s="406"/>
      <c r="AN686" s="406"/>
      <c r="AO686" s="406"/>
      <c r="AP686" s="406"/>
      <c r="AQ686" s="406"/>
      <c r="AR686" s="406"/>
      <c r="AS686" s="406"/>
      <c r="AT686" s="406"/>
      <c r="AU686" s="406"/>
      <c r="AV686" s="406"/>
      <c r="AW686" s="406"/>
      <c r="AX686" s="406"/>
      <c r="AY686" s="406"/>
      <c r="AZ686" s="406"/>
      <c r="BA686" s="406"/>
      <c r="BB686" s="406"/>
      <c r="BC686" s="406"/>
      <c r="BD686" s="406"/>
      <c r="BE686" s="406"/>
      <c r="BF686" s="406"/>
      <c r="BG686" s="406"/>
      <c r="BH686" s="406"/>
      <c r="BI686" s="406"/>
      <c r="BJ686" s="406"/>
      <c r="BK686" s="406"/>
      <c r="BL686" s="406"/>
      <c r="BM686" s="406"/>
      <c r="BN686" s="406"/>
      <c r="BO686" s="406"/>
      <c r="BP686" s="406"/>
      <c r="BQ686" s="406"/>
      <c r="BR686" s="406"/>
      <c r="BS686" s="406"/>
      <c r="BT686" s="406"/>
      <c r="BU686" s="406"/>
      <c r="BV686" s="406"/>
      <c r="BW686" s="406"/>
      <c r="BX686" s="406"/>
      <c r="BY686" s="406"/>
      <c r="BZ686" s="406"/>
      <c r="CA686" s="281"/>
      <c r="CB686" s="3" t="str">
        <f t="shared" si="85"/>
        <v>Riadok bude skrytý.</v>
      </c>
      <c r="CC686" s="271" t="s">
        <v>832</v>
      </c>
      <c r="CW686" s="30">
        <f t="shared" si="90"/>
        <v>0</v>
      </c>
      <c r="CZ686" s="30">
        <f t="shared" si="89"/>
        <v>1</v>
      </c>
      <c r="DA686" s="30">
        <f t="shared" si="87"/>
        <v>0</v>
      </c>
      <c r="DB686" s="140">
        <f t="shared" si="84"/>
        <v>0</v>
      </c>
      <c r="DS686" s="130">
        <f>SI!BY686</f>
        <v>878</v>
      </c>
      <c r="DZ686" s="131">
        <f>SI!BZ686</f>
        <v>0</v>
      </c>
    </row>
    <row r="687" spans="1:130" hidden="1" x14ac:dyDescent="0.25">
      <c r="A687" s="141"/>
      <c r="B687" s="406"/>
      <c r="C687" s="406"/>
      <c r="D687" s="406"/>
      <c r="E687" s="406"/>
      <c r="F687" s="406"/>
      <c r="G687" s="406"/>
      <c r="H687" s="406"/>
      <c r="I687" s="406"/>
      <c r="J687" s="406"/>
      <c r="K687" s="406"/>
      <c r="L687" s="406"/>
      <c r="M687" s="406"/>
      <c r="N687" s="406"/>
      <c r="O687" s="406"/>
      <c r="P687" s="406"/>
      <c r="Q687" s="406"/>
      <c r="R687" s="406"/>
      <c r="S687" s="406"/>
      <c r="T687" s="406"/>
      <c r="U687" s="406"/>
      <c r="V687" s="406"/>
      <c r="W687" s="406"/>
      <c r="X687" s="406"/>
      <c r="Y687" s="406"/>
      <c r="Z687" s="406"/>
      <c r="AA687" s="406"/>
      <c r="AB687" s="406"/>
      <c r="AC687" s="406"/>
      <c r="AD687" s="406"/>
      <c r="AE687" s="406"/>
      <c r="AF687" s="406"/>
      <c r="AG687" s="406"/>
      <c r="AH687" s="406"/>
      <c r="AI687" s="406"/>
      <c r="AJ687" s="406"/>
      <c r="AK687" s="406"/>
      <c r="AL687" s="406"/>
      <c r="AM687" s="406"/>
      <c r="AN687" s="406"/>
      <c r="AO687" s="406"/>
      <c r="AP687" s="406"/>
      <c r="AQ687" s="406"/>
      <c r="AR687" s="406"/>
      <c r="AS687" s="406"/>
      <c r="AT687" s="406"/>
      <c r="AU687" s="406"/>
      <c r="AV687" s="406"/>
      <c r="AW687" s="406"/>
      <c r="AX687" s="406"/>
      <c r="AY687" s="406"/>
      <c r="AZ687" s="406"/>
      <c r="BA687" s="406"/>
      <c r="BB687" s="406"/>
      <c r="BC687" s="406"/>
      <c r="BD687" s="406"/>
      <c r="BE687" s="406"/>
      <c r="BF687" s="406"/>
      <c r="BG687" s="406"/>
      <c r="BH687" s="406"/>
      <c r="BI687" s="406"/>
      <c r="BJ687" s="406"/>
      <c r="BK687" s="406"/>
      <c r="BL687" s="406"/>
      <c r="BM687" s="406"/>
      <c r="BN687" s="406"/>
      <c r="BO687" s="406"/>
      <c r="BP687" s="406"/>
      <c r="BQ687" s="406"/>
      <c r="BR687" s="406"/>
      <c r="BS687" s="406"/>
      <c r="BT687" s="406"/>
      <c r="BU687" s="406"/>
      <c r="BV687" s="406"/>
      <c r="BW687" s="406"/>
      <c r="BX687" s="406"/>
      <c r="BY687" s="406"/>
      <c r="BZ687" s="406"/>
      <c r="CA687" s="281"/>
      <c r="CB687" s="3" t="str">
        <f t="shared" si="85"/>
        <v>Riadok bude skrytý.</v>
      </c>
      <c r="CC687" s="271" t="s">
        <v>832</v>
      </c>
      <c r="CW687" s="30">
        <f t="shared" si="90"/>
        <v>0</v>
      </c>
      <c r="CZ687" s="30">
        <f t="shared" si="89"/>
        <v>1</v>
      </c>
      <c r="DA687" s="30">
        <f t="shared" si="87"/>
        <v>0</v>
      </c>
      <c r="DB687" s="140">
        <f t="shared" si="84"/>
        <v>0</v>
      </c>
      <c r="DS687" s="130">
        <f>SI!BY687</f>
        <v>188</v>
      </c>
      <c r="DZ687" s="131">
        <f>SI!BZ687</f>
        <v>0</v>
      </c>
    </row>
    <row r="688" spans="1:130" hidden="1" x14ac:dyDescent="0.25">
      <c r="A688" s="141"/>
      <c r="B688" s="406"/>
      <c r="C688" s="406"/>
      <c r="D688" s="406"/>
      <c r="E688" s="406"/>
      <c r="F688" s="406"/>
      <c r="G688" s="406"/>
      <c r="H688" s="406"/>
      <c r="I688" s="406"/>
      <c r="J688" s="406"/>
      <c r="K688" s="406"/>
      <c r="L688" s="406"/>
      <c r="M688" s="406"/>
      <c r="N688" s="406"/>
      <c r="O688" s="406"/>
      <c r="P688" s="406"/>
      <c r="Q688" s="406"/>
      <c r="R688" s="406"/>
      <c r="S688" s="406"/>
      <c r="T688" s="406"/>
      <c r="U688" s="406"/>
      <c r="V688" s="406"/>
      <c r="W688" s="406"/>
      <c r="X688" s="406"/>
      <c r="Y688" s="406"/>
      <c r="Z688" s="406"/>
      <c r="AA688" s="406"/>
      <c r="AB688" s="406"/>
      <c r="AC688" s="406"/>
      <c r="AD688" s="406"/>
      <c r="AE688" s="406"/>
      <c r="AF688" s="406"/>
      <c r="AG688" s="406"/>
      <c r="AH688" s="406"/>
      <c r="AI688" s="406"/>
      <c r="AJ688" s="406"/>
      <c r="AK688" s="406"/>
      <c r="AL688" s="406"/>
      <c r="AM688" s="406"/>
      <c r="AN688" s="406"/>
      <c r="AO688" s="406"/>
      <c r="AP688" s="406"/>
      <c r="AQ688" s="406"/>
      <c r="AR688" s="406"/>
      <c r="AS688" s="406"/>
      <c r="AT688" s="406"/>
      <c r="AU688" s="406"/>
      <c r="AV688" s="406"/>
      <c r="AW688" s="406"/>
      <c r="AX688" s="406"/>
      <c r="AY688" s="406"/>
      <c r="AZ688" s="406"/>
      <c r="BA688" s="406"/>
      <c r="BB688" s="406"/>
      <c r="BC688" s="406"/>
      <c r="BD688" s="406"/>
      <c r="BE688" s="406"/>
      <c r="BF688" s="406"/>
      <c r="BG688" s="406"/>
      <c r="BH688" s="406"/>
      <c r="BI688" s="406"/>
      <c r="BJ688" s="406"/>
      <c r="BK688" s="406"/>
      <c r="BL688" s="406"/>
      <c r="BM688" s="406"/>
      <c r="BN688" s="406"/>
      <c r="BO688" s="406"/>
      <c r="BP688" s="406"/>
      <c r="BQ688" s="406"/>
      <c r="BR688" s="406"/>
      <c r="BS688" s="406"/>
      <c r="BT688" s="406"/>
      <c r="BU688" s="406"/>
      <c r="BV688" s="406"/>
      <c r="BW688" s="406"/>
      <c r="BX688" s="406"/>
      <c r="BY688" s="406"/>
      <c r="BZ688" s="406"/>
      <c r="CA688" s="281"/>
      <c r="CB688" s="3" t="str">
        <f t="shared" si="85"/>
        <v>Riadok bude skrytý.</v>
      </c>
      <c r="CC688" s="271" t="s">
        <v>832</v>
      </c>
      <c r="CW688" s="30">
        <f t="shared" si="90"/>
        <v>0</v>
      </c>
      <c r="CZ688" s="30">
        <f t="shared" si="89"/>
        <v>1</v>
      </c>
      <c r="DA688" s="30">
        <f t="shared" si="87"/>
        <v>0</v>
      </c>
      <c r="DB688" s="140">
        <f t="shared" ref="DB688:DB751" si="91">+DA688</f>
        <v>0</v>
      </c>
      <c r="DS688" s="130">
        <f>SI!BY688</f>
        <v>138</v>
      </c>
      <c r="DZ688" s="131">
        <f>SI!BZ688</f>
        <v>0</v>
      </c>
    </row>
    <row r="689" spans="1:132" hidden="1" x14ac:dyDescent="0.25">
      <c r="A689" s="141"/>
      <c r="B689" s="406"/>
      <c r="C689" s="406"/>
      <c r="D689" s="406"/>
      <c r="E689" s="406"/>
      <c r="F689" s="406"/>
      <c r="G689" s="406"/>
      <c r="H689" s="406"/>
      <c r="I689" s="406"/>
      <c r="J689" s="406"/>
      <c r="K689" s="406"/>
      <c r="L689" s="406"/>
      <c r="M689" s="406"/>
      <c r="N689" s="406"/>
      <c r="O689" s="406"/>
      <c r="P689" s="406"/>
      <c r="Q689" s="406"/>
      <c r="R689" s="406"/>
      <c r="S689" s="406"/>
      <c r="T689" s="406"/>
      <c r="U689" s="406"/>
      <c r="V689" s="406"/>
      <c r="W689" s="406"/>
      <c r="X689" s="406"/>
      <c r="Y689" s="406"/>
      <c r="Z689" s="406"/>
      <c r="AA689" s="406"/>
      <c r="AB689" s="406"/>
      <c r="AC689" s="406"/>
      <c r="AD689" s="406"/>
      <c r="AE689" s="406"/>
      <c r="AF689" s="406"/>
      <c r="AG689" s="406"/>
      <c r="AH689" s="406"/>
      <c r="AI689" s="406"/>
      <c r="AJ689" s="406"/>
      <c r="AK689" s="406"/>
      <c r="AL689" s="406"/>
      <c r="AM689" s="406"/>
      <c r="AN689" s="406"/>
      <c r="AO689" s="406"/>
      <c r="AP689" s="406"/>
      <c r="AQ689" s="406"/>
      <c r="AR689" s="406"/>
      <c r="AS689" s="406"/>
      <c r="AT689" s="406"/>
      <c r="AU689" s="406"/>
      <c r="AV689" s="406"/>
      <c r="AW689" s="406"/>
      <c r="AX689" s="406"/>
      <c r="AY689" s="406"/>
      <c r="AZ689" s="406"/>
      <c r="BA689" s="406"/>
      <c r="BB689" s="406"/>
      <c r="BC689" s="406"/>
      <c r="BD689" s="406"/>
      <c r="BE689" s="406"/>
      <c r="BF689" s="406"/>
      <c r="BG689" s="406"/>
      <c r="BH689" s="406"/>
      <c r="BI689" s="406"/>
      <c r="BJ689" s="406"/>
      <c r="BK689" s="406"/>
      <c r="BL689" s="406"/>
      <c r="BM689" s="406"/>
      <c r="BN689" s="406"/>
      <c r="BO689" s="406"/>
      <c r="BP689" s="406"/>
      <c r="BQ689" s="406"/>
      <c r="BR689" s="406"/>
      <c r="BS689" s="406"/>
      <c r="BT689" s="406"/>
      <c r="BU689" s="406"/>
      <c r="BV689" s="406"/>
      <c r="BW689" s="406"/>
      <c r="BX689" s="406"/>
      <c r="BY689" s="406"/>
      <c r="BZ689" s="406"/>
      <c r="CA689" s="281"/>
      <c r="CB689" s="3" t="str">
        <f t="shared" si="85"/>
        <v>Riadok bude skrytý.</v>
      </c>
      <c r="CC689" s="271" t="s">
        <v>832</v>
      </c>
      <c r="CW689" s="30">
        <f t="shared" si="90"/>
        <v>0</v>
      </c>
      <c r="CZ689" s="30">
        <f t="shared" si="89"/>
        <v>1</v>
      </c>
      <c r="DA689" s="30">
        <f t="shared" si="87"/>
        <v>0</v>
      </c>
      <c r="DB689" s="140">
        <f t="shared" si="91"/>
        <v>0</v>
      </c>
      <c r="DS689" s="130">
        <f>SI!BY689</f>
        <v>149</v>
      </c>
      <c r="DZ689" s="131">
        <f>SI!BZ689</f>
        <v>0</v>
      </c>
    </row>
    <row r="690" spans="1:132" hidden="1" x14ac:dyDescent="0.25">
      <c r="A690" s="141"/>
      <c r="B690" s="406"/>
      <c r="C690" s="406"/>
      <c r="D690" s="406"/>
      <c r="E690" s="406"/>
      <c r="F690" s="406"/>
      <c r="G690" s="406"/>
      <c r="H690" s="406"/>
      <c r="I690" s="406"/>
      <c r="J690" s="406"/>
      <c r="K690" s="406"/>
      <c r="L690" s="406"/>
      <c r="M690" s="406"/>
      <c r="N690" s="406"/>
      <c r="O690" s="406"/>
      <c r="P690" s="406"/>
      <c r="Q690" s="406"/>
      <c r="R690" s="406"/>
      <c r="S690" s="406"/>
      <c r="T690" s="406"/>
      <c r="U690" s="406"/>
      <c r="V690" s="406"/>
      <c r="W690" s="406"/>
      <c r="X690" s="406"/>
      <c r="Y690" s="406"/>
      <c r="Z690" s="406"/>
      <c r="AA690" s="406"/>
      <c r="AB690" s="406"/>
      <c r="AC690" s="406"/>
      <c r="AD690" s="406"/>
      <c r="AE690" s="406"/>
      <c r="AF690" s="406"/>
      <c r="AG690" s="406"/>
      <c r="AH690" s="406"/>
      <c r="AI690" s="406"/>
      <c r="AJ690" s="406"/>
      <c r="AK690" s="406"/>
      <c r="AL690" s="406"/>
      <c r="AM690" s="406"/>
      <c r="AN690" s="406"/>
      <c r="AO690" s="406"/>
      <c r="AP690" s="406"/>
      <c r="AQ690" s="406"/>
      <c r="AR690" s="406"/>
      <c r="AS690" s="406"/>
      <c r="AT690" s="406"/>
      <c r="AU690" s="406"/>
      <c r="AV690" s="406"/>
      <c r="AW690" s="406"/>
      <c r="AX690" s="406"/>
      <c r="AY690" s="406"/>
      <c r="AZ690" s="406"/>
      <c r="BA690" s="406"/>
      <c r="BB690" s="406"/>
      <c r="BC690" s="406"/>
      <c r="BD690" s="406"/>
      <c r="BE690" s="406"/>
      <c r="BF690" s="406"/>
      <c r="BG690" s="406"/>
      <c r="BH690" s="406"/>
      <c r="BI690" s="406"/>
      <c r="BJ690" s="406"/>
      <c r="BK690" s="406"/>
      <c r="BL690" s="406"/>
      <c r="BM690" s="406"/>
      <c r="BN690" s="406"/>
      <c r="BO690" s="406"/>
      <c r="BP690" s="406"/>
      <c r="BQ690" s="406"/>
      <c r="BR690" s="406"/>
      <c r="BS690" s="406"/>
      <c r="BT690" s="406"/>
      <c r="BU690" s="406"/>
      <c r="BV690" s="406"/>
      <c r="BW690" s="406"/>
      <c r="BX690" s="406"/>
      <c r="BY690" s="406"/>
      <c r="BZ690" s="406"/>
      <c r="CA690" s="281"/>
      <c r="CB690" s="3" t="str">
        <f t="shared" si="85"/>
        <v>Riadok bude skrytý.</v>
      </c>
      <c r="CC690" s="271" t="s">
        <v>832</v>
      </c>
      <c r="CW690" s="30">
        <f t="shared" si="90"/>
        <v>0</v>
      </c>
      <c r="CZ690" s="30">
        <f t="shared" si="89"/>
        <v>1</v>
      </c>
      <c r="DA690" s="30">
        <f t="shared" si="87"/>
        <v>0</v>
      </c>
      <c r="DB690" s="140">
        <f t="shared" si="91"/>
        <v>0</v>
      </c>
      <c r="DS690" s="130">
        <f>SI!BY690</f>
        <v>346</v>
      </c>
      <c r="DZ690" s="131">
        <f>SI!BZ690</f>
        <v>0</v>
      </c>
    </row>
    <row r="691" spans="1:132" hidden="1" x14ac:dyDescent="0.25">
      <c r="A691" s="141"/>
      <c r="B691" s="406"/>
      <c r="C691" s="406"/>
      <c r="D691" s="406"/>
      <c r="E691" s="406"/>
      <c r="F691" s="406"/>
      <c r="G691" s="406"/>
      <c r="H691" s="406"/>
      <c r="I691" s="406"/>
      <c r="J691" s="406"/>
      <c r="K691" s="406"/>
      <c r="L691" s="406"/>
      <c r="M691" s="406"/>
      <c r="N691" s="406"/>
      <c r="O691" s="406"/>
      <c r="P691" s="406"/>
      <c r="Q691" s="406"/>
      <c r="R691" s="406"/>
      <c r="S691" s="406"/>
      <c r="T691" s="406"/>
      <c r="U691" s="406"/>
      <c r="V691" s="406"/>
      <c r="W691" s="406"/>
      <c r="X691" s="406"/>
      <c r="Y691" s="406"/>
      <c r="Z691" s="406"/>
      <c r="AA691" s="406"/>
      <c r="AB691" s="406"/>
      <c r="AC691" s="406"/>
      <c r="AD691" s="406"/>
      <c r="AE691" s="406"/>
      <c r="AF691" s="406"/>
      <c r="AG691" s="406"/>
      <c r="AH691" s="406"/>
      <c r="AI691" s="406"/>
      <c r="AJ691" s="406"/>
      <c r="AK691" s="406"/>
      <c r="AL691" s="406"/>
      <c r="AM691" s="406"/>
      <c r="AN691" s="406"/>
      <c r="AO691" s="406"/>
      <c r="AP691" s="406"/>
      <c r="AQ691" s="406"/>
      <c r="AR691" s="406"/>
      <c r="AS691" s="406"/>
      <c r="AT691" s="406"/>
      <c r="AU691" s="406"/>
      <c r="AV691" s="406"/>
      <c r="AW691" s="406"/>
      <c r="AX691" s="406"/>
      <c r="AY691" s="406"/>
      <c r="AZ691" s="406"/>
      <c r="BA691" s="406"/>
      <c r="BB691" s="406"/>
      <c r="BC691" s="406"/>
      <c r="BD691" s="406"/>
      <c r="BE691" s="406"/>
      <c r="BF691" s="406"/>
      <c r="BG691" s="406"/>
      <c r="BH691" s="406"/>
      <c r="BI691" s="406"/>
      <c r="BJ691" s="406"/>
      <c r="BK691" s="406"/>
      <c r="BL691" s="406"/>
      <c r="BM691" s="406"/>
      <c r="BN691" s="406"/>
      <c r="BO691" s="406"/>
      <c r="BP691" s="406"/>
      <c r="BQ691" s="406"/>
      <c r="BR691" s="406"/>
      <c r="BS691" s="406"/>
      <c r="BT691" s="406"/>
      <c r="BU691" s="406"/>
      <c r="BV691" s="406"/>
      <c r="BW691" s="406"/>
      <c r="BX691" s="406"/>
      <c r="BY691" s="406"/>
      <c r="BZ691" s="406"/>
      <c r="CA691" s="281"/>
      <c r="CB691" s="3" t="str">
        <f t="shared" ref="CB691:CB754" si="92">+IF(DB691=0,"Riadok bude skrytý.","Riadok bude vidieť.")</f>
        <v>Riadok bude skrytý.</v>
      </c>
      <c r="CC691" s="271" t="s">
        <v>832</v>
      </c>
      <c r="CW691" s="30">
        <f t="shared" si="90"/>
        <v>0</v>
      </c>
      <c r="CZ691" s="30">
        <f t="shared" si="89"/>
        <v>1</v>
      </c>
      <c r="DA691" s="30">
        <f t="shared" si="87"/>
        <v>0</v>
      </c>
      <c r="DB691" s="140">
        <f t="shared" si="91"/>
        <v>0</v>
      </c>
      <c r="DS691" s="130">
        <f>SI!BY691</f>
        <v>189</v>
      </c>
      <c r="DZ691" s="131">
        <f>SI!BZ691</f>
        <v>0</v>
      </c>
    </row>
    <row r="692" spans="1:132" hidden="1" x14ac:dyDescent="0.25">
      <c r="A692" s="141"/>
      <c r="B692" s="406"/>
      <c r="C692" s="406"/>
      <c r="D692" s="406"/>
      <c r="E692" s="406"/>
      <c r="F692" s="406"/>
      <c r="G692" s="406"/>
      <c r="H692" s="406"/>
      <c r="I692" s="406"/>
      <c r="J692" s="406"/>
      <c r="K692" s="406"/>
      <c r="L692" s="406"/>
      <c r="M692" s="406"/>
      <c r="N692" s="406"/>
      <c r="O692" s="406"/>
      <c r="P692" s="406"/>
      <c r="Q692" s="406"/>
      <c r="R692" s="406"/>
      <c r="S692" s="406"/>
      <c r="T692" s="406"/>
      <c r="U692" s="406"/>
      <c r="V692" s="406"/>
      <c r="W692" s="406"/>
      <c r="X692" s="406"/>
      <c r="Y692" s="406"/>
      <c r="Z692" s="406"/>
      <c r="AA692" s="406"/>
      <c r="AB692" s="406"/>
      <c r="AC692" s="406"/>
      <c r="AD692" s="406"/>
      <c r="AE692" s="406"/>
      <c r="AF692" s="406"/>
      <c r="AG692" s="406"/>
      <c r="AH692" s="406"/>
      <c r="AI692" s="406"/>
      <c r="AJ692" s="406"/>
      <c r="AK692" s="406"/>
      <c r="AL692" s="406"/>
      <c r="AM692" s="406"/>
      <c r="AN692" s="406"/>
      <c r="AO692" s="406"/>
      <c r="AP692" s="406"/>
      <c r="AQ692" s="406"/>
      <c r="AR692" s="406"/>
      <c r="AS692" s="406"/>
      <c r="AT692" s="406"/>
      <c r="AU692" s="406"/>
      <c r="AV692" s="406"/>
      <c r="AW692" s="406"/>
      <c r="AX692" s="406"/>
      <c r="AY692" s="406"/>
      <c r="AZ692" s="406"/>
      <c r="BA692" s="406"/>
      <c r="BB692" s="406"/>
      <c r="BC692" s="406"/>
      <c r="BD692" s="406"/>
      <c r="BE692" s="406"/>
      <c r="BF692" s="406"/>
      <c r="BG692" s="406"/>
      <c r="BH692" s="406"/>
      <c r="BI692" s="406"/>
      <c r="BJ692" s="406"/>
      <c r="BK692" s="406"/>
      <c r="BL692" s="406"/>
      <c r="BM692" s="406"/>
      <c r="BN692" s="406"/>
      <c r="BO692" s="406"/>
      <c r="BP692" s="406"/>
      <c r="BQ692" s="406"/>
      <c r="BR692" s="406"/>
      <c r="BS692" s="406"/>
      <c r="BT692" s="406"/>
      <c r="BU692" s="406"/>
      <c r="BV692" s="406"/>
      <c r="BW692" s="406"/>
      <c r="BX692" s="406"/>
      <c r="BY692" s="406"/>
      <c r="BZ692" s="406"/>
      <c r="CA692" s="281"/>
      <c r="CB692" s="3" t="str">
        <f t="shared" si="92"/>
        <v>Riadok bude skrytý.</v>
      </c>
      <c r="CC692" s="271" t="s">
        <v>832</v>
      </c>
      <c r="CW692" s="30">
        <f t="shared" si="90"/>
        <v>0</v>
      </c>
      <c r="CZ692" s="30">
        <f t="shared" si="89"/>
        <v>1</v>
      </c>
      <c r="DA692" s="30">
        <f t="shared" si="87"/>
        <v>0</v>
      </c>
      <c r="DB692" s="140">
        <f t="shared" si="91"/>
        <v>0</v>
      </c>
      <c r="DS692" s="130">
        <f>SI!BY692</f>
        <v>450</v>
      </c>
      <c r="DZ692" s="131">
        <f>SI!BZ692</f>
        <v>0</v>
      </c>
    </row>
    <row r="693" spans="1:132" x14ac:dyDescent="0.25">
      <c r="A693" s="141"/>
      <c r="CA693" s="270"/>
      <c r="CB693" s="3" t="str">
        <f t="shared" si="92"/>
        <v>Riadok bude vidieť.</v>
      </c>
      <c r="CC693" s="271" t="s">
        <v>832</v>
      </c>
      <c r="CW693" s="32">
        <f>+IF(SUM(CW695:CW714)=0,0,1)</f>
        <v>1</v>
      </c>
      <c r="CZ693" s="30">
        <f t="shared" si="89"/>
        <v>1</v>
      </c>
      <c r="DA693" s="30">
        <f t="shared" si="87"/>
        <v>1</v>
      </c>
      <c r="DB693" s="140">
        <f t="shared" si="91"/>
        <v>1</v>
      </c>
      <c r="DS693" s="130">
        <f>SI!BY693</f>
        <v>182</v>
      </c>
      <c r="DZ693" s="131">
        <f>SI!BZ693</f>
        <v>0</v>
      </c>
    </row>
    <row r="694" spans="1:132" x14ac:dyDescent="0.25">
      <c r="A694" s="141"/>
      <c r="B694" s="279" t="s">
        <v>859</v>
      </c>
      <c r="C694" s="7" t="str">
        <f>+IF($C$52&lt;&gt;"",IF(CODE(MID($C$52,1,1))*(IF(SI!EE694="",1,SI!EE694))+LEN(SI!J2)=DS694,"Ocenenie majetku obstaraného v privatizácii","NEPOVOLENÉ POUŽITIE!"),"NEPOVOLENÉ POUŽITIE!")</f>
        <v>Ocenenie majetku obstaraného v privatizácii</v>
      </c>
      <c r="D694" s="7"/>
      <c r="E694" s="7"/>
      <c r="F694" s="7"/>
      <c r="CA694" s="265" t="s">
        <v>773</v>
      </c>
      <c r="CB694" s="3" t="str">
        <f t="shared" si="92"/>
        <v>Riadok bude vidieť.</v>
      </c>
      <c r="CC694" s="271" t="s">
        <v>832</v>
      </c>
      <c r="CW694" s="134">
        <f>+IF(SUM(CW695:CW714)=0,0,1)</f>
        <v>1</v>
      </c>
      <c r="CZ694" s="30">
        <f t="shared" si="89"/>
        <v>1</v>
      </c>
      <c r="DA694" s="30">
        <f t="shared" si="87"/>
        <v>1</v>
      </c>
      <c r="DB694" s="140">
        <f t="shared" si="91"/>
        <v>1</v>
      </c>
      <c r="DS694" s="130">
        <f>SI!BY694</f>
        <v>13</v>
      </c>
      <c r="DZ694" s="131">
        <f>SI!BZ694</f>
        <v>0</v>
      </c>
    </row>
    <row r="695" spans="1:132" x14ac:dyDescent="0.25">
      <c r="A695" s="141"/>
      <c r="B695" s="379" t="s">
        <v>770</v>
      </c>
      <c r="C695" s="379"/>
      <c r="D695" s="379"/>
      <c r="E695" s="379"/>
      <c r="F695" s="379"/>
      <c r="G695" s="379"/>
      <c r="H695" s="379"/>
      <c r="I695" s="379"/>
      <c r="J695" s="379"/>
      <c r="K695" s="379"/>
      <c r="L695" s="379"/>
      <c r="M695" s="379"/>
      <c r="N695" s="379"/>
      <c r="O695" s="379"/>
      <c r="P695" s="379"/>
      <c r="Q695" s="379"/>
      <c r="R695" s="379"/>
      <c r="S695" s="379"/>
      <c r="T695" s="379"/>
      <c r="U695" s="379"/>
      <c r="V695" s="379"/>
      <c r="W695" s="379"/>
      <c r="X695" s="379"/>
      <c r="Y695" s="379"/>
      <c r="Z695" s="379"/>
      <c r="AA695" s="379"/>
      <c r="AB695" s="379"/>
      <c r="AC695" s="379"/>
      <c r="AD695" s="379"/>
      <c r="AE695" s="379"/>
      <c r="AF695" s="379"/>
      <c r="AG695" s="379"/>
      <c r="AH695" s="379"/>
      <c r="AI695" s="379"/>
      <c r="AJ695" s="379"/>
      <c r="AK695" s="379"/>
      <c r="AL695" s="379"/>
      <c r="AM695" s="379"/>
      <c r="AN695" s="379"/>
      <c r="AO695" s="379"/>
      <c r="AP695" s="379"/>
      <c r="AQ695" s="379"/>
      <c r="AR695" s="379"/>
      <c r="AS695" s="379"/>
      <c r="AT695" s="379"/>
      <c r="AU695" s="379"/>
      <c r="AV695" s="379"/>
      <c r="AW695" s="379"/>
      <c r="AX695" s="379"/>
      <c r="AY695" s="379"/>
      <c r="AZ695" s="379"/>
      <c r="BA695" s="379"/>
      <c r="BB695" s="379"/>
      <c r="BC695" s="379"/>
      <c r="BD695" s="379"/>
      <c r="BE695" s="379"/>
      <c r="BF695" s="379"/>
      <c r="BG695" s="379"/>
      <c r="BH695" s="379"/>
      <c r="BI695" s="379"/>
      <c r="BJ695" s="379"/>
      <c r="BK695" s="379"/>
      <c r="BL695" s="379"/>
      <c r="BM695" s="379"/>
      <c r="BN695" s="379"/>
      <c r="BO695" s="379"/>
      <c r="BP695" s="379"/>
      <c r="BQ695" s="379"/>
      <c r="BR695" s="379"/>
      <c r="BS695" s="379"/>
      <c r="BT695" s="379"/>
      <c r="BU695" s="379"/>
      <c r="BV695" s="379"/>
      <c r="BW695" s="379"/>
      <c r="BX695" s="379"/>
      <c r="BY695" s="379"/>
      <c r="BZ695" s="379"/>
      <c r="CA695" s="281"/>
      <c r="CB695" s="3" t="str">
        <f t="shared" si="92"/>
        <v>Riadok bude vidieť.</v>
      </c>
      <c r="CC695" s="271" t="s">
        <v>832</v>
      </c>
      <c r="CW695" s="30">
        <f t="shared" ref="CW695:CW714" si="93">+IF(B695="",0,1)</f>
        <v>1</v>
      </c>
      <c r="CZ695" s="30">
        <f t="shared" si="89"/>
        <v>1</v>
      </c>
      <c r="DA695" s="30">
        <f t="shared" si="87"/>
        <v>1</v>
      </c>
      <c r="DB695" s="140">
        <f t="shared" si="91"/>
        <v>1</v>
      </c>
      <c r="DS695" s="130">
        <f>SI!BY695</f>
        <v>177</v>
      </c>
      <c r="DZ695" s="131">
        <f>SI!BZ695</f>
        <v>0</v>
      </c>
    </row>
    <row r="696" spans="1:132" hidden="1" x14ac:dyDescent="0.25">
      <c r="A696" s="141"/>
      <c r="B696" s="379"/>
      <c r="C696" s="379"/>
      <c r="D696" s="379"/>
      <c r="E696" s="379"/>
      <c r="F696" s="379"/>
      <c r="G696" s="379"/>
      <c r="H696" s="379"/>
      <c r="I696" s="379"/>
      <c r="J696" s="379"/>
      <c r="K696" s="379"/>
      <c r="L696" s="379"/>
      <c r="M696" s="379"/>
      <c r="N696" s="379"/>
      <c r="O696" s="379"/>
      <c r="P696" s="379"/>
      <c r="Q696" s="379"/>
      <c r="R696" s="379"/>
      <c r="S696" s="379"/>
      <c r="T696" s="379"/>
      <c r="U696" s="379"/>
      <c r="V696" s="379"/>
      <c r="W696" s="379"/>
      <c r="X696" s="379"/>
      <c r="Y696" s="379"/>
      <c r="Z696" s="379"/>
      <c r="AA696" s="379"/>
      <c r="AB696" s="379"/>
      <c r="AC696" s="379"/>
      <c r="AD696" s="379"/>
      <c r="AE696" s="379"/>
      <c r="AF696" s="379"/>
      <c r="AG696" s="379"/>
      <c r="AH696" s="379"/>
      <c r="AI696" s="379"/>
      <c r="AJ696" s="379"/>
      <c r="AK696" s="379"/>
      <c r="AL696" s="379"/>
      <c r="AM696" s="379"/>
      <c r="AN696" s="379"/>
      <c r="AO696" s="379"/>
      <c r="AP696" s="379"/>
      <c r="AQ696" s="379"/>
      <c r="AR696" s="379"/>
      <c r="AS696" s="379"/>
      <c r="AT696" s="379"/>
      <c r="AU696" s="379"/>
      <c r="AV696" s="379"/>
      <c r="AW696" s="379"/>
      <c r="AX696" s="379"/>
      <c r="AY696" s="379"/>
      <c r="AZ696" s="379"/>
      <c r="BA696" s="379"/>
      <c r="BB696" s="379"/>
      <c r="BC696" s="379"/>
      <c r="BD696" s="379"/>
      <c r="BE696" s="379"/>
      <c r="BF696" s="379"/>
      <c r="BG696" s="379"/>
      <c r="BH696" s="379"/>
      <c r="BI696" s="379"/>
      <c r="BJ696" s="379"/>
      <c r="BK696" s="379"/>
      <c r="BL696" s="379"/>
      <c r="BM696" s="379"/>
      <c r="BN696" s="379"/>
      <c r="BO696" s="379"/>
      <c r="BP696" s="379"/>
      <c r="BQ696" s="379"/>
      <c r="BR696" s="379"/>
      <c r="BS696" s="379"/>
      <c r="BT696" s="379"/>
      <c r="BU696" s="379"/>
      <c r="BV696" s="379"/>
      <c r="BW696" s="379"/>
      <c r="BX696" s="379"/>
      <c r="BY696" s="379"/>
      <c r="BZ696" s="379"/>
      <c r="CA696" s="281"/>
      <c r="CB696" s="3" t="str">
        <f t="shared" si="92"/>
        <v>Riadok bude skrytý.</v>
      </c>
      <c r="CC696" s="271" t="s">
        <v>832</v>
      </c>
      <c r="CW696" s="30">
        <f t="shared" si="93"/>
        <v>0</v>
      </c>
      <c r="CZ696" s="30">
        <f t="shared" si="89"/>
        <v>1</v>
      </c>
      <c r="DA696" s="30">
        <f t="shared" si="87"/>
        <v>0</v>
      </c>
      <c r="DB696" s="140">
        <f t="shared" si="91"/>
        <v>0</v>
      </c>
      <c r="DS696" s="130">
        <f>SI!BY696</f>
        <v>460</v>
      </c>
      <c r="DZ696" s="131">
        <f>SI!BZ696</f>
        <v>0</v>
      </c>
    </row>
    <row r="697" spans="1:132" hidden="1" x14ac:dyDescent="0.25">
      <c r="A697" s="141"/>
      <c r="B697" s="379"/>
      <c r="C697" s="379"/>
      <c r="D697" s="379"/>
      <c r="E697" s="379"/>
      <c r="F697" s="379"/>
      <c r="G697" s="379"/>
      <c r="H697" s="379"/>
      <c r="I697" s="379"/>
      <c r="J697" s="379"/>
      <c r="K697" s="379"/>
      <c r="L697" s="379"/>
      <c r="M697" s="379"/>
      <c r="N697" s="379"/>
      <c r="O697" s="379"/>
      <c r="P697" s="379"/>
      <c r="Q697" s="379"/>
      <c r="R697" s="379"/>
      <c r="S697" s="379"/>
      <c r="T697" s="379"/>
      <c r="U697" s="379"/>
      <c r="V697" s="379"/>
      <c r="W697" s="379"/>
      <c r="X697" s="379"/>
      <c r="Y697" s="379"/>
      <c r="Z697" s="379"/>
      <c r="AA697" s="379"/>
      <c r="AB697" s="379"/>
      <c r="AC697" s="379"/>
      <c r="AD697" s="379"/>
      <c r="AE697" s="379"/>
      <c r="AF697" s="379"/>
      <c r="AG697" s="379"/>
      <c r="AH697" s="379"/>
      <c r="AI697" s="379"/>
      <c r="AJ697" s="379"/>
      <c r="AK697" s="379"/>
      <c r="AL697" s="379"/>
      <c r="AM697" s="379"/>
      <c r="AN697" s="379"/>
      <c r="AO697" s="379"/>
      <c r="AP697" s="379"/>
      <c r="AQ697" s="379"/>
      <c r="AR697" s="379"/>
      <c r="AS697" s="379"/>
      <c r="AT697" s="379"/>
      <c r="AU697" s="379"/>
      <c r="AV697" s="379"/>
      <c r="AW697" s="379"/>
      <c r="AX697" s="379"/>
      <c r="AY697" s="379"/>
      <c r="AZ697" s="379"/>
      <c r="BA697" s="379"/>
      <c r="BB697" s="379"/>
      <c r="BC697" s="379"/>
      <c r="BD697" s="379"/>
      <c r="BE697" s="379"/>
      <c r="BF697" s="379"/>
      <c r="BG697" s="379"/>
      <c r="BH697" s="379"/>
      <c r="BI697" s="379"/>
      <c r="BJ697" s="379"/>
      <c r="BK697" s="379"/>
      <c r="BL697" s="379"/>
      <c r="BM697" s="379"/>
      <c r="BN697" s="379"/>
      <c r="BO697" s="379"/>
      <c r="BP697" s="379"/>
      <c r="BQ697" s="379"/>
      <c r="BR697" s="379"/>
      <c r="BS697" s="379"/>
      <c r="BT697" s="379"/>
      <c r="BU697" s="379"/>
      <c r="BV697" s="379"/>
      <c r="BW697" s="379"/>
      <c r="BX697" s="379"/>
      <c r="BY697" s="379"/>
      <c r="BZ697" s="379"/>
      <c r="CA697" s="281"/>
      <c r="CB697" s="3" t="str">
        <f t="shared" si="92"/>
        <v>Riadok bude skrytý.</v>
      </c>
      <c r="CC697" s="271" t="s">
        <v>832</v>
      </c>
      <c r="CW697" s="30">
        <f t="shared" si="93"/>
        <v>0</v>
      </c>
      <c r="CZ697" s="30">
        <f t="shared" si="89"/>
        <v>1</v>
      </c>
      <c r="DA697" s="30">
        <f t="shared" si="87"/>
        <v>0</v>
      </c>
      <c r="DB697" s="140">
        <f t="shared" si="91"/>
        <v>0</v>
      </c>
      <c r="DS697" s="130">
        <f>SI!BY697</f>
        <v>189</v>
      </c>
      <c r="DZ697" s="131">
        <f>SI!BZ697</f>
        <v>0</v>
      </c>
    </row>
    <row r="698" spans="1:132" hidden="1" x14ac:dyDescent="0.25">
      <c r="A698" s="141"/>
      <c r="B698" s="379"/>
      <c r="C698" s="379"/>
      <c r="D698" s="379"/>
      <c r="E698" s="379"/>
      <c r="F698" s="379"/>
      <c r="G698" s="379"/>
      <c r="H698" s="379"/>
      <c r="I698" s="379"/>
      <c r="J698" s="379"/>
      <c r="K698" s="379"/>
      <c r="L698" s="379"/>
      <c r="M698" s="379"/>
      <c r="N698" s="379"/>
      <c r="O698" s="379"/>
      <c r="P698" s="379"/>
      <c r="Q698" s="379"/>
      <c r="R698" s="379"/>
      <c r="S698" s="379"/>
      <c r="T698" s="379"/>
      <c r="U698" s="379"/>
      <c r="V698" s="379"/>
      <c r="W698" s="379"/>
      <c r="X698" s="379"/>
      <c r="Y698" s="379"/>
      <c r="Z698" s="379"/>
      <c r="AA698" s="379"/>
      <c r="AB698" s="379"/>
      <c r="AC698" s="379"/>
      <c r="AD698" s="379"/>
      <c r="AE698" s="379"/>
      <c r="AF698" s="379"/>
      <c r="AG698" s="379"/>
      <c r="AH698" s="379"/>
      <c r="AI698" s="379"/>
      <c r="AJ698" s="379"/>
      <c r="AK698" s="379"/>
      <c r="AL698" s="379"/>
      <c r="AM698" s="379"/>
      <c r="AN698" s="379"/>
      <c r="AO698" s="379"/>
      <c r="AP698" s="379"/>
      <c r="AQ698" s="379"/>
      <c r="AR698" s="379"/>
      <c r="AS698" s="379"/>
      <c r="AT698" s="379"/>
      <c r="AU698" s="379"/>
      <c r="AV698" s="379"/>
      <c r="AW698" s="379"/>
      <c r="AX698" s="379"/>
      <c r="AY698" s="379"/>
      <c r="AZ698" s="379"/>
      <c r="BA698" s="379"/>
      <c r="BB698" s="379"/>
      <c r="BC698" s="379"/>
      <c r="BD698" s="379"/>
      <c r="BE698" s="379"/>
      <c r="BF698" s="379"/>
      <c r="BG698" s="379"/>
      <c r="BH698" s="379"/>
      <c r="BI698" s="379"/>
      <c r="BJ698" s="379"/>
      <c r="BK698" s="379"/>
      <c r="BL698" s="379"/>
      <c r="BM698" s="379"/>
      <c r="BN698" s="379"/>
      <c r="BO698" s="379"/>
      <c r="BP698" s="379"/>
      <c r="BQ698" s="379"/>
      <c r="BR698" s="379"/>
      <c r="BS698" s="379"/>
      <c r="BT698" s="379"/>
      <c r="BU698" s="379"/>
      <c r="BV698" s="379"/>
      <c r="BW698" s="379"/>
      <c r="BX698" s="379"/>
      <c r="BY698" s="379"/>
      <c r="BZ698" s="379"/>
      <c r="CA698" s="281"/>
      <c r="CB698" s="3" t="str">
        <f t="shared" si="92"/>
        <v>Riadok bude skrytý.</v>
      </c>
      <c r="CC698" s="271" t="s">
        <v>832</v>
      </c>
      <c r="CW698" s="30">
        <f t="shared" si="93"/>
        <v>0</v>
      </c>
      <c r="CZ698" s="30">
        <f t="shared" si="89"/>
        <v>1</v>
      </c>
      <c r="DA698" s="30">
        <f t="shared" si="87"/>
        <v>0</v>
      </c>
      <c r="DB698" s="140">
        <f t="shared" si="91"/>
        <v>0</v>
      </c>
      <c r="DS698" s="130">
        <f>SI!BY698</f>
        <v>1019</v>
      </c>
      <c r="DZ698" s="131">
        <f>SI!BZ698</f>
        <v>0</v>
      </c>
    </row>
    <row r="699" spans="1:132" hidden="1" x14ac:dyDescent="0.25">
      <c r="A699" s="141"/>
      <c r="B699" s="379"/>
      <c r="C699" s="379"/>
      <c r="D699" s="379"/>
      <c r="E699" s="379"/>
      <c r="F699" s="379"/>
      <c r="G699" s="379"/>
      <c r="H699" s="379"/>
      <c r="I699" s="379"/>
      <c r="J699" s="379"/>
      <c r="K699" s="379"/>
      <c r="L699" s="379"/>
      <c r="M699" s="379"/>
      <c r="N699" s="379"/>
      <c r="O699" s="379"/>
      <c r="P699" s="379"/>
      <c r="Q699" s="379"/>
      <c r="R699" s="379"/>
      <c r="S699" s="379"/>
      <c r="T699" s="379"/>
      <c r="U699" s="379"/>
      <c r="V699" s="379"/>
      <c r="W699" s="379"/>
      <c r="X699" s="379"/>
      <c r="Y699" s="379"/>
      <c r="Z699" s="379"/>
      <c r="AA699" s="379"/>
      <c r="AB699" s="379"/>
      <c r="AC699" s="379"/>
      <c r="AD699" s="379"/>
      <c r="AE699" s="379"/>
      <c r="AF699" s="379"/>
      <c r="AG699" s="379"/>
      <c r="AH699" s="379"/>
      <c r="AI699" s="379"/>
      <c r="AJ699" s="379"/>
      <c r="AK699" s="379"/>
      <c r="AL699" s="379"/>
      <c r="AM699" s="379"/>
      <c r="AN699" s="379"/>
      <c r="AO699" s="379"/>
      <c r="AP699" s="379"/>
      <c r="AQ699" s="379"/>
      <c r="AR699" s="379"/>
      <c r="AS699" s="379"/>
      <c r="AT699" s="379"/>
      <c r="AU699" s="379"/>
      <c r="AV699" s="379"/>
      <c r="AW699" s="379"/>
      <c r="AX699" s="379"/>
      <c r="AY699" s="379"/>
      <c r="AZ699" s="379"/>
      <c r="BA699" s="379"/>
      <c r="BB699" s="379"/>
      <c r="BC699" s="379"/>
      <c r="BD699" s="379"/>
      <c r="BE699" s="379"/>
      <c r="BF699" s="379"/>
      <c r="BG699" s="379"/>
      <c r="BH699" s="379"/>
      <c r="BI699" s="379"/>
      <c r="BJ699" s="379"/>
      <c r="BK699" s="379"/>
      <c r="BL699" s="379"/>
      <c r="BM699" s="379"/>
      <c r="BN699" s="379"/>
      <c r="BO699" s="379"/>
      <c r="BP699" s="379"/>
      <c r="BQ699" s="379"/>
      <c r="BR699" s="379"/>
      <c r="BS699" s="379"/>
      <c r="BT699" s="379"/>
      <c r="BU699" s="379"/>
      <c r="BV699" s="379"/>
      <c r="BW699" s="379"/>
      <c r="BX699" s="379"/>
      <c r="BY699" s="379"/>
      <c r="BZ699" s="379"/>
      <c r="CA699" s="281"/>
      <c r="CB699" s="3" t="str">
        <f t="shared" si="92"/>
        <v>Riadok bude skrytý.</v>
      </c>
      <c r="CC699" s="271" t="s">
        <v>832</v>
      </c>
      <c r="CW699" s="30">
        <f t="shared" si="93"/>
        <v>0</v>
      </c>
      <c r="CZ699" s="30">
        <f t="shared" si="89"/>
        <v>1</v>
      </c>
      <c r="DA699" s="30">
        <f t="shared" si="87"/>
        <v>0</v>
      </c>
      <c r="DB699" s="140">
        <f t="shared" si="91"/>
        <v>0</v>
      </c>
      <c r="DS699" s="130">
        <f>SI!BY699</f>
        <v>141</v>
      </c>
      <c r="DZ699" s="131">
        <f>SI!BZ699</f>
        <v>0</v>
      </c>
    </row>
    <row r="700" spans="1:132" s="12" customFormat="1" hidden="1" x14ac:dyDescent="0.25">
      <c r="A700" s="283"/>
      <c r="B700" s="379"/>
      <c r="C700" s="379"/>
      <c r="D700" s="379"/>
      <c r="E700" s="379"/>
      <c r="F700" s="379"/>
      <c r="G700" s="379"/>
      <c r="H700" s="379"/>
      <c r="I700" s="379"/>
      <c r="J700" s="379"/>
      <c r="K700" s="379"/>
      <c r="L700" s="379"/>
      <c r="M700" s="379"/>
      <c r="N700" s="379"/>
      <c r="O700" s="379"/>
      <c r="P700" s="379"/>
      <c r="Q700" s="379"/>
      <c r="R700" s="379"/>
      <c r="S700" s="379"/>
      <c r="T700" s="379"/>
      <c r="U700" s="379"/>
      <c r="V700" s="379"/>
      <c r="W700" s="379"/>
      <c r="X700" s="379"/>
      <c r="Y700" s="379"/>
      <c r="Z700" s="379"/>
      <c r="AA700" s="379"/>
      <c r="AB700" s="379"/>
      <c r="AC700" s="379"/>
      <c r="AD700" s="379"/>
      <c r="AE700" s="379"/>
      <c r="AF700" s="379"/>
      <c r="AG700" s="379"/>
      <c r="AH700" s="379"/>
      <c r="AI700" s="379"/>
      <c r="AJ700" s="379"/>
      <c r="AK700" s="379"/>
      <c r="AL700" s="379"/>
      <c r="AM700" s="379"/>
      <c r="AN700" s="379"/>
      <c r="AO700" s="379"/>
      <c r="AP700" s="379"/>
      <c r="AQ700" s="379"/>
      <c r="AR700" s="379"/>
      <c r="AS700" s="379"/>
      <c r="AT700" s="379"/>
      <c r="AU700" s="379"/>
      <c r="AV700" s="379"/>
      <c r="AW700" s="379"/>
      <c r="AX700" s="379"/>
      <c r="AY700" s="379"/>
      <c r="AZ700" s="379"/>
      <c r="BA700" s="379"/>
      <c r="BB700" s="379"/>
      <c r="BC700" s="379"/>
      <c r="BD700" s="379"/>
      <c r="BE700" s="379"/>
      <c r="BF700" s="379"/>
      <c r="BG700" s="379"/>
      <c r="BH700" s="379"/>
      <c r="BI700" s="379"/>
      <c r="BJ700" s="379"/>
      <c r="BK700" s="379"/>
      <c r="BL700" s="379"/>
      <c r="BM700" s="379"/>
      <c r="BN700" s="379"/>
      <c r="BO700" s="379"/>
      <c r="BP700" s="379"/>
      <c r="BQ700" s="379"/>
      <c r="BR700" s="379"/>
      <c r="BS700" s="379"/>
      <c r="BT700" s="379"/>
      <c r="BU700" s="379"/>
      <c r="BV700" s="379"/>
      <c r="BW700" s="379"/>
      <c r="BX700" s="379"/>
      <c r="BY700" s="379"/>
      <c r="BZ700" s="379"/>
      <c r="CA700" s="281"/>
      <c r="CB700" s="3" t="str">
        <f t="shared" si="92"/>
        <v>Riadok bude skrytý.</v>
      </c>
      <c r="CC700" s="271" t="s">
        <v>832</v>
      </c>
      <c r="CW700" s="30">
        <f t="shared" si="93"/>
        <v>0</v>
      </c>
      <c r="CX700" s="42"/>
      <c r="CY700" s="42"/>
      <c r="CZ700" s="30">
        <f t="shared" si="89"/>
        <v>1</v>
      </c>
      <c r="DA700" s="30">
        <f t="shared" si="87"/>
        <v>0</v>
      </c>
      <c r="DB700" s="140">
        <f t="shared" si="91"/>
        <v>0</v>
      </c>
      <c r="DR700" s="81"/>
      <c r="DS700" s="130">
        <f>SI!BY700</f>
        <v>121</v>
      </c>
      <c r="DT700" s="130"/>
      <c r="DU700" s="130"/>
      <c r="DV700" s="130"/>
      <c r="DW700" s="130"/>
      <c r="DX700" s="130"/>
      <c r="DY700" s="130"/>
      <c r="DZ700" s="131">
        <f>SI!BZ700</f>
        <v>0</v>
      </c>
      <c r="EA700" s="81"/>
      <c r="EB700" s="81"/>
    </row>
    <row r="701" spans="1:132" s="12" customFormat="1" hidden="1" x14ac:dyDescent="0.25">
      <c r="A701" s="283"/>
      <c r="B701" s="379"/>
      <c r="C701" s="379"/>
      <c r="D701" s="379"/>
      <c r="E701" s="379"/>
      <c r="F701" s="379"/>
      <c r="G701" s="379"/>
      <c r="H701" s="379"/>
      <c r="I701" s="379"/>
      <c r="J701" s="379"/>
      <c r="K701" s="379"/>
      <c r="L701" s="379"/>
      <c r="M701" s="379"/>
      <c r="N701" s="379"/>
      <c r="O701" s="379"/>
      <c r="P701" s="379"/>
      <c r="Q701" s="379"/>
      <c r="R701" s="379"/>
      <c r="S701" s="379"/>
      <c r="T701" s="379"/>
      <c r="U701" s="379"/>
      <c r="V701" s="379"/>
      <c r="W701" s="379"/>
      <c r="X701" s="379"/>
      <c r="Y701" s="379"/>
      <c r="Z701" s="379"/>
      <c r="AA701" s="379"/>
      <c r="AB701" s="379"/>
      <c r="AC701" s="379"/>
      <c r="AD701" s="379"/>
      <c r="AE701" s="379"/>
      <c r="AF701" s="379"/>
      <c r="AG701" s="379"/>
      <c r="AH701" s="379"/>
      <c r="AI701" s="379"/>
      <c r="AJ701" s="379"/>
      <c r="AK701" s="379"/>
      <c r="AL701" s="379"/>
      <c r="AM701" s="379"/>
      <c r="AN701" s="379"/>
      <c r="AO701" s="379"/>
      <c r="AP701" s="379"/>
      <c r="AQ701" s="379"/>
      <c r="AR701" s="379"/>
      <c r="AS701" s="379"/>
      <c r="AT701" s="379"/>
      <c r="AU701" s="379"/>
      <c r="AV701" s="379"/>
      <c r="AW701" s="379"/>
      <c r="AX701" s="379"/>
      <c r="AY701" s="379"/>
      <c r="AZ701" s="379"/>
      <c r="BA701" s="379"/>
      <c r="BB701" s="379"/>
      <c r="BC701" s="379"/>
      <c r="BD701" s="379"/>
      <c r="BE701" s="379"/>
      <c r="BF701" s="379"/>
      <c r="BG701" s="379"/>
      <c r="BH701" s="379"/>
      <c r="BI701" s="379"/>
      <c r="BJ701" s="379"/>
      <c r="BK701" s="379"/>
      <c r="BL701" s="379"/>
      <c r="BM701" s="379"/>
      <c r="BN701" s="379"/>
      <c r="BO701" s="379"/>
      <c r="BP701" s="379"/>
      <c r="BQ701" s="379"/>
      <c r="BR701" s="379"/>
      <c r="BS701" s="379"/>
      <c r="BT701" s="379"/>
      <c r="BU701" s="379"/>
      <c r="BV701" s="379"/>
      <c r="BW701" s="379"/>
      <c r="BX701" s="379"/>
      <c r="BY701" s="379"/>
      <c r="BZ701" s="379"/>
      <c r="CA701" s="281"/>
      <c r="CB701" s="3" t="str">
        <f t="shared" si="92"/>
        <v>Riadok bude skrytý.</v>
      </c>
      <c r="CC701" s="271" t="s">
        <v>832</v>
      </c>
      <c r="CW701" s="30">
        <f t="shared" si="93"/>
        <v>0</v>
      </c>
      <c r="CX701" s="42"/>
      <c r="CY701" s="42"/>
      <c r="CZ701" s="30">
        <f t="shared" si="89"/>
        <v>1</v>
      </c>
      <c r="DA701" s="30">
        <f t="shared" si="87"/>
        <v>0</v>
      </c>
      <c r="DB701" s="140">
        <f t="shared" si="91"/>
        <v>0</v>
      </c>
      <c r="DR701" s="81"/>
      <c r="DS701" s="130">
        <f>SI!BY701</f>
        <v>143</v>
      </c>
      <c r="DT701" s="130"/>
      <c r="DU701" s="130"/>
      <c r="DV701" s="130"/>
      <c r="DW701" s="130"/>
      <c r="DX701" s="130"/>
      <c r="DY701" s="130"/>
      <c r="DZ701" s="131">
        <f>SI!BZ701</f>
        <v>0</v>
      </c>
      <c r="EA701" s="81"/>
      <c r="EB701" s="81"/>
    </row>
    <row r="702" spans="1:132" s="12" customFormat="1" hidden="1" x14ac:dyDescent="0.25">
      <c r="A702" s="283"/>
      <c r="B702" s="379"/>
      <c r="C702" s="379"/>
      <c r="D702" s="379"/>
      <c r="E702" s="379"/>
      <c r="F702" s="379"/>
      <c r="G702" s="379"/>
      <c r="H702" s="379"/>
      <c r="I702" s="379"/>
      <c r="J702" s="379"/>
      <c r="K702" s="379"/>
      <c r="L702" s="379"/>
      <c r="M702" s="379"/>
      <c r="N702" s="379"/>
      <c r="O702" s="379"/>
      <c r="P702" s="379"/>
      <c r="Q702" s="379"/>
      <c r="R702" s="379"/>
      <c r="S702" s="379"/>
      <c r="T702" s="379"/>
      <c r="U702" s="379"/>
      <c r="V702" s="379"/>
      <c r="W702" s="379"/>
      <c r="X702" s="379"/>
      <c r="Y702" s="379"/>
      <c r="Z702" s="379"/>
      <c r="AA702" s="379"/>
      <c r="AB702" s="379"/>
      <c r="AC702" s="379"/>
      <c r="AD702" s="379"/>
      <c r="AE702" s="379"/>
      <c r="AF702" s="379"/>
      <c r="AG702" s="379"/>
      <c r="AH702" s="379"/>
      <c r="AI702" s="379"/>
      <c r="AJ702" s="379"/>
      <c r="AK702" s="379"/>
      <c r="AL702" s="379"/>
      <c r="AM702" s="379"/>
      <c r="AN702" s="379"/>
      <c r="AO702" s="379"/>
      <c r="AP702" s="379"/>
      <c r="AQ702" s="379"/>
      <c r="AR702" s="379"/>
      <c r="AS702" s="379"/>
      <c r="AT702" s="379"/>
      <c r="AU702" s="379"/>
      <c r="AV702" s="379"/>
      <c r="AW702" s="379"/>
      <c r="AX702" s="379"/>
      <c r="AY702" s="379"/>
      <c r="AZ702" s="379"/>
      <c r="BA702" s="379"/>
      <c r="BB702" s="379"/>
      <c r="BC702" s="379"/>
      <c r="BD702" s="379"/>
      <c r="BE702" s="379"/>
      <c r="BF702" s="379"/>
      <c r="BG702" s="379"/>
      <c r="BH702" s="379"/>
      <c r="BI702" s="379"/>
      <c r="BJ702" s="379"/>
      <c r="BK702" s="379"/>
      <c r="BL702" s="379"/>
      <c r="BM702" s="379"/>
      <c r="BN702" s="379"/>
      <c r="BO702" s="379"/>
      <c r="BP702" s="379"/>
      <c r="BQ702" s="379"/>
      <c r="BR702" s="379"/>
      <c r="BS702" s="379"/>
      <c r="BT702" s="379"/>
      <c r="BU702" s="379"/>
      <c r="BV702" s="379"/>
      <c r="BW702" s="379"/>
      <c r="BX702" s="379"/>
      <c r="BY702" s="379"/>
      <c r="BZ702" s="379"/>
      <c r="CA702" s="281"/>
      <c r="CB702" s="3" t="str">
        <f t="shared" si="92"/>
        <v>Riadok bude skrytý.</v>
      </c>
      <c r="CC702" s="271" t="s">
        <v>832</v>
      </c>
      <c r="CW702" s="30">
        <f t="shared" si="93"/>
        <v>0</v>
      </c>
      <c r="CX702" s="42"/>
      <c r="CY702" s="42"/>
      <c r="CZ702" s="30">
        <f t="shared" si="89"/>
        <v>1</v>
      </c>
      <c r="DA702" s="30">
        <f t="shared" si="87"/>
        <v>0</v>
      </c>
      <c r="DB702" s="140">
        <f t="shared" si="91"/>
        <v>0</v>
      </c>
      <c r="DR702" s="81"/>
      <c r="DS702" s="130">
        <f>SI!BY702</f>
        <v>135</v>
      </c>
      <c r="DT702" s="130"/>
      <c r="DU702" s="130"/>
      <c r="DV702" s="130"/>
      <c r="DW702" s="130"/>
      <c r="DX702" s="130"/>
      <c r="DY702" s="130"/>
      <c r="DZ702" s="131">
        <f>SI!BZ702</f>
        <v>0</v>
      </c>
      <c r="EA702" s="81"/>
      <c r="EB702" s="81"/>
    </row>
    <row r="703" spans="1:132" s="12" customFormat="1" hidden="1" x14ac:dyDescent="0.25">
      <c r="A703" s="283"/>
      <c r="B703" s="379"/>
      <c r="C703" s="379"/>
      <c r="D703" s="379"/>
      <c r="E703" s="379"/>
      <c r="F703" s="379"/>
      <c r="G703" s="379"/>
      <c r="H703" s="379"/>
      <c r="I703" s="379"/>
      <c r="J703" s="379"/>
      <c r="K703" s="379"/>
      <c r="L703" s="379"/>
      <c r="M703" s="379"/>
      <c r="N703" s="379"/>
      <c r="O703" s="379"/>
      <c r="P703" s="379"/>
      <c r="Q703" s="379"/>
      <c r="R703" s="379"/>
      <c r="S703" s="379"/>
      <c r="T703" s="379"/>
      <c r="U703" s="379"/>
      <c r="V703" s="379"/>
      <c r="W703" s="379"/>
      <c r="X703" s="379"/>
      <c r="Y703" s="379"/>
      <c r="Z703" s="379"/>
      <c r="AA703" s="379"/>
      <c r="AB703" s="379"/>
      <c r="AC703" s="379"/>
      <c r="AD703" s="379"/>
      <c r="AE703" s="379"/>
      <c r="AF703" s="379"/>
      <c r="AG703" s="379"/>
      <c r="AH703" s="379"/>
      <c r="AI703" s="379"/>
      <c r="AJ703" s="379"/>
      <c r="AK703" s="379"/>
      <c r="AL703" s="379"/>
      <c r="AM703" s="379"/>
      <c r="AN703" s="379"/>
      <c r="AO703" s="379"/>
      <c r="AP703" s="379"/>
      <c r="AQ703" s="379"/>
      <c r="AR703" s="379"/>
      <c r="AS703" s="379"/>
      <c r="AT703" s="379"/>
      <c r="AU703" s="379"/>
      <c r="AV703" s="379"/>
      <c r="AW703" s="379"/>
      <c r="AX703" s="379"/>
      <c r="AY703" s="379"/>
      <c r="AZ703" s="379"/>
      <c r="BA703" s="379"/>
      <c r="BB703" s="379"/>
      <c r="BC703" s="379"/>
      <c r="BD703" s="379"/>
      <c r="BE703" s="379"/>
      <c r="BF703" s="379"/>
      <c r="BG703" s="379"/>
      <c r="BH703" s="379"/>
      <c r="BI703" s="379"/>
      <c r="BJ703" s="379"/>
      <c r="BK703" s="379"/>
      <c r="BL703" s="379"/>
      <c r="BM703" s="379"/>
      <c r="BN703" s="379"/>
      <c r="BO703" s="379"/>
      <c r="BP703" s="379"/>
      <c r="BQ703" s="379"/>
      <c r="BR703" s="379"/>
      <c r="BS703" s="379"/>
      <c r="BT703" s="379"/>
      <c r="BU703" s="379"/>
      <c r="BV703" s="379"/>
      <c r="BW703" s="379"/>
      <c r="BX703" s="379"/>
      <c r="BY703" s="379"/>
      <c r="BZ703" s="379"/>
      <c r="CA703" s="281"/>
      <c r="CB703" s="3" t="str">
        <f t="shared" si="92"/>
        <v>Riadok bude skrytý.</v>
      </c>
      <c r="CC703" s="271" t="s">
        <v>832</v>
      </c>
      <c r="CW703" s="30">
        <f t="shared" si="93"/>
        <v>0</v>
      </c>
      <c r="CX703" s="42"/>
      <c r="CY703" s="42"/>
      <c r="CZ703" s="30">
        <f t="shared" si="89"/>
        <v>1</v>
      </c>
      <c r="DA703" s="30">
        <f t="shared" si="87"/>
        <v>0</v>
      </c>
      <c r="DB703" s="140">
        <f t="shared" si="91"/>
        <v>0</v>
      </c>
      <c r="DR703" s="81"/>
      <c r="DS703" s="130">
        <f>SI!BY703</f>
        <v>932</v>
      </c>
      <c r="DT703" s="130"/>
      <c r="DU703" s="130"/>
      <c r="DV703" s="130"/>
      <c r="DW703" s="130"/>
      <c r="DX703" s="130"/>
      <c r="DY703" s="130"/>
      <c r="DZ703" s="131">
        <f>SI!BZ703</f>
        <v>0</v>
      </c>
      <c r="EA703" s="81"/>
      <c r="EB703" s="81"/>
    </row>
    <row r="704" spans="1:132" s="12" customFormat="1" hidden="1" x14ac:dyDescent="0.25">
      <c r="A704" s="283"/>
      <c r="B704" s="379"/>
      <c r="C704" s="379"/>
      <c r="D704" s="379"/>
      <c r="E704" s="379"/>
      <c r="F704" s="379"/>
      <c r="G704" s="379"/>
      <c r="H704" s="379"/>
      <c r="I704" s="379"/>
      <c r="J704" s="379"/>
      <c r="K704" s="379"/>
      <c r="L704" s="379"/>
      <c r="M704" s="379"/>
      <c r="N704" s="379"/>
      <c r="O704" s="379"/>
      <c r="P704" s="379"/>
      <c r="Q704" s="379"/>
      <c r="R704" s="379"/>
      <c r="S704" s="379"/>
      <c r="T704" s="379"/>
      <c r="U704" s="379"/>
      <c r="V704" s="379"/>
      <c r="W704" s="379"/>
      <c r="X704" s="379"/>
      <c r="Y704" s="379"/>
      <c r="Z704" s="379"/>
      <c r="AA704" s="379"/>
      <c r="AB704" s="379"/>
      <c r="AC704" s="379"/>
      <c r="AD704" s="379"/>
      <c r="AE704" s="379"/>
      <c r="AF704" s="379"/>
      <c r="AG704" s="379"/>
      <c r="AH704" s="379"/>
      <c r="AI704" s="379"/>
      <c r="AJ704" s="379"/>
      <c r="AK704" s="379"/>
      <c r="AL704" s="379"/>
      <c r="AM704" s="379"/>
      <c r="AN704" s="379"/>
      <c r="AO704" s="379"/>
      <c r="AP704" s="379"/>
      <c r="AQ704" s="379"/>
      <c r="AR704" s="379"/>
      <c r="AS704" s="379"/>
      <c r="AT704" s="379"/>
      <c r="AU704" s="379"/>
      <c r="AV704" s="379"/>
      <c r="AW704" s="379"/>
      <c r="AX704" s="379"/>
      <c r="AY704" s="379"/>
      <c r="AZ704" s="379"/>
      <c r="BA704" s="379"/>
      <c r="BB704" s="379"/>
      <c r="BC704" s="379"/>
      <c r="BD704" s="379"/>
      <c r="BE704" s="379"/>
      <c r="BF704" s="379"/>
      <c r="BG704" s="379"/>
      <c r="BH704" s="379"/>
      <c r="BI704" s="379"/>
      <c r="BJ704" s="379"/>
      <c r="BK704" s="379"/>
      <c r="BL704" s="379"/>
      <c r="BM704" s="379"/>
      <c r="BN704" s="379"/>
      <c r="BO704" s="379"/>
      <c r="BP704" s="379"/>
      <c r="BQ704" s="379"/>
      <c r="BR704" s="379"/>
      <c r="BS704" s="379"/>
      <c r="BT704" s="379"/>
      <c r="BU704" s="379"/>
      <c r="BV704" s="379"/>
      <c r="BW704" s="379"/>
      <c r="BX704" s="379"/>
      <c r="BY704" s="379"/>
      <c r="BZ704" s="379"/>
      <c r="CA704" s="281"/>
      <c r="CB704" s="3" t="str">
        <f t="shared" si="92"/>
        <v>Riadok bude skrytý.</v>
      </c>
      <c r="CC704" s="271" t="s">
        <v>832</v>
      </c>
      <c r="CW704" s="30">
        <f t="shared" si="93"/>
        <v>0</v>
      </c>
      <c r="CX704" s="42"/>
      <c r="CY704" s="42"/>
      <c r="CZ704" s="30">
        <f t="shared" si="89"/>
        <v>1</v>
      </c>
      <c r="DA704" s="30">
        <f t="shared" si="87"/>
        <v>0</v>
      </c>
      <c r="DB704" s="140">
        <f t="shared" si="91"/>
        <v>0</v>
      </c>
      <c r="DR704" s="81"/>
      <c r="DS704" s="130">
        <f>SI!BY704</f>
        <v>113</v>
      </c>
      <c r="DT704" s="130"/>
      <c r="DU704" s="130"/>
      <c r="DV704" s="130"/>
      <c r="DW704" s="130"/>
      <c r="DX704" s="130"/>
      <c r="DY704" s="130"/>
      <c r="DZ704" s="131">
        <f>SI!BZ704</f>
        <v>0</v>
      </c>
      <c r="EA704" s="81"/>
      <c r="EB704" s="81"/>
    </row>
    <row r="705" spans="1:132" s="12" customFormat="1" hidden="1" x14ac:dyDescent="0.25">
      <c r="A705" s="283"/>
      <c r="B705" s="379"/>
      <c r="C705" s="379"/>
      <c r="D705" s="379"/>
      <c r="E705" s="379"/>
      <c r="F705" s="379"/>
      <c r="G705" s="379"/>
      <c r="H705" s="379"/>
      <c r="I705" s="379"/>
      <c r="J705" s="379"/>
      <c r="K705" s="379"/>
      <c r="L705" s="379"/>
      <c r="M705" s="379"/>
      <c r="N705" s="379"/>
      <c r="O705" s="379"/>
      <c r="P705" s="379"/>
      <c r="Q705" s="379"/>
      <c r="R705" s="379"/>
      <c r="S705" s="379"/>
      <c r="T705" s="379"/>
      <c r="U705" s="379"/>
      <c r="V705" s="379"/>
      <c r="W705" s="379"/>
      <c r="X705" s="379"/>
      <c r="Y705" s="379"/>
      <c r="Z705" s="379"/>
      <c r="AA705" s="379"/>
      <c r="AB705" s="379"/>
      <c r="AC705" s="379"/>
      <c r="AD705" s="379"/>
      <c r="AE705" s="379"/>
      <c r="AF705" s="379"/>
      <c r="AG705" s="379"/>
      <c r="AH705" s="379"/>
      <c r="AI705" s="379"/>
      <c r="AJ705" s="379"/>
      <c r="AK705" s="379"/>
      <c r="AL705" s="379"/>
      <c r="AM705" s="379"/>
      <c r="AN705" s="379"/>
      <c r="AO705" s="379"/>
      <c r="AP705" s="379"/>
      <c r="AQ705" s="379"/>
      <c r="AR705" s="379"/>
      <c r="AS705" s="379"/>
      <c r="AT705" s="379"/>
      <c r="AU705" s="379"/>
      <c r="AV705" s="379"/>
      <c r="AW705" s="379"/>
      <c r="AX705" s="379"/>
      <c r="AY705" s="379"/>
      <c r="AZ705" s="379"/>
      <c r="BA705" s="379"/>
      <c r="BB705" s="379"/>
      <c r="BC705" s="379"/>
      <c r="BD705" s="379"/>
      <c r="BE705" s="379"/>
      <c r="BF705" s="379"/>
      <c r="BG705" s="379"/>
      <c r="BH705" s="379"/>
      <c r="BI705" s="379"/>
      <c r="BJ705" s="379"/>
      <c r="BK705" s="379"/>
      <c r="BL705" s="379"/>
      <c r="BM705" s="379"/>
      <c r="BN705" s="379"/>
      <c r="BO705" s="379"/>
      <c r="BP705" s="379"/>
      <c r="BQ705" s="379"/>
      <c r="BR705" s="379"/>
      <c r="BS705" s="379"/>
      <c r="BT705" s="379"/>
      <c r="BU705" s="379"/>
      <c r="BV705" s="379"/>
      <c r="BW705" s="379"/>
      <c r="BX705" s="379"/>
      <c r="BY705" s="379"/>
      <c r="BZ705" s="379"/>
      <c r="CA705" s="281"/>
      <c r="CB705" s="3" t="str">
        <f t="shared" si="92"/>
        <v>Riadok bude skrytý.</v>
      </c>
      <c r="CC705" s="271" t="s">
        <v>832</v>
      </c>
      <c r="CW705" s="30">
        <f t="shared" si="93"/>
        <v>0</v>
      </c>
      <c r="CX705" s="42"/>
      <c r="CY705" s="42"/>
      <c r="CZ705" s="30">
        <f t="shared" si="89"/>
        <v>1</v>
      </c>
      <c r="DA705" s="30">
        <f t="shared" si="87"/>
        <v>0</v>
      </c>
      <c r="DB705" s="140">
        <f t="shared" si="91"/>
        <v>0</v>
      </c>
      <c r="DR705" s="81"/>
      <c r="DS705" s="130">
        <f>SI!BY705</f>
        <v>981</v>
      </c>
      <c r="DT705" s="130"/>
      <c r="DU705" s="130"/>
      <c r="DV705" s="130"/>
      <c r="DW705" s="130"/>
      <c r="DX705" s="130"/>
      <c r="DY705" s="130"/>
      <c r="DZ705" s="131">
        <f>SI!BZ705</f>
        <v>0</v>
      </c>
      <c r="EA705" s="81"/>
      <c r="EB705" s="81"/>
    </row>
    <row r="706" spans="1:132" s="12" customFormat="1" hidden="1" x14ac:dyDescent="0.25">
      <c r="A706" s="283"/>
      <c r="B706" s="379"/>
      <c r="C706" s="379"/>
      <c r="D706" s="379"/>
      <c r="E706" s="379"/>
      <c r="F706" s="379"/>
      <c r="G706" s="379"/>
      <c r="H706" s="379"/>
      <c r="I706" s="379"/>
      <c r="J706" s="379"/>
      <c r="K706" s="379"/>
      <c r="L706" s="379"/>
      <c r="M706" s="379"/>
      <c r="N706" s="379"/>
      <c r="O706" s="379"/>
      <c r="P706" s="379"/>
      <c r="Q706" s="379"/>
      <c r="R706" s="379"/>
      <c r="S706" s="379"/>
      <c r="T706" s="379"/>
      <c r="U706" s="379"/>
      <c r="V706" s="379"/>
      <c r="W706" s="379"/>
      <c r="X706" s="379"/>
      <c r="Y706" s="379"/>
      <c r="Z706" s="379"/>
      <c r="AA706" s="379"/>
      <c r="AB706" s="379"/>
      <c r="AC706" s="379"/>
      <c r="AD706" s="379"/>
      <c r="AE706" s="379"/>
      <c r="AF706" s="379"/>
      <c r="AG706" s="379"/>
      <c r="AH706" s="379"/>
      <c r="AI706" s="379"/>
      <c r="AJ706" s="379"/>
      <c r="AK706" s="379"/>
      <c r="AL706" s="379"/>
      <c r="AM706" s="379"/>
      <c r="AN706" s="379"/>
      <c r="AO706" s="379"/>
      <c r="AP706" s="379"/>
      <c r="AQ706" s="379"/>
      <c r="AR706" s="379"/>
      <c r="AS706" s="379"/>
      <c r="AT706" s="379"/>
      <c r="AU706" s="379"/>
      <c r="AV706" s="379"/>
      <c r="AW706" s="379"/>
      <c r="AX706" s="379"/>
      <c r="AY706" s="379"/>
      <c r="AZ706" s="379"/>
      <c r="BA706" s="379"/>
      <c r="BB706" s="379"/>
      <c r="BC706" s="379"/>
      <c r="BD706" s="379"/>
      <c r="BE706" s="379"/>
      <c r="BF706" s="379"/>
      <c r="BG706" s="379"/>
      <c r="BH706" s="379"/>
      <c r="BI706" s="379"/>
      <c r="BJ706" s="379"/>
      <c r="BK706" s="379"/>
      <c r="BL706" s="379"/>
      <c r="BM706" s="379"/>
      <c r="BN706" s="379"/>
      <c r="BO706" s="379"/>
      <c r="BP706" s="379"/>
      <c r="BQ706" s="379"/>
      <c r="BR706" s="379"/>
      <c r="BS706" s="379"/>
      <c r="BT706" s="379"/>
      <c r="BU706" s="379"/>
      <c r="BV706" s="379"/>
      <c r="BW706" s="379"/>
      <c r="BX706" s="379"/>
      <c r="BY706" s="379"/>
      <c r="BZ706" s="379"/>
      <c r="CA706" s="281"/>
      <c r="CB706" s="3" t="str">
        <f t="shared" si="92"/>
        <v>Riadok bude skrytý.</v>
      </c>
      <c r="CC706" s="271" t="s">
        <v>832</v>
      </c>
      <c r="CW706" s="30">
        <f t="shared" si="93"/>
        <v>0</v>
      </c>
      <c r="CX706" s="42"/>
      <c r="CY706" s="42"/>
      <c r="CZ706" s="30">
        <f t="shared" si="89"/>
        <v>1</v>
      </c>
      <c r="DA706" s="30">
        <f t="shared" ref="DA706:DA769" si="94">+IF(CW706+CX706+CY706=0,0,IF(CZ706=0,0,1))</f>
        <v>0</v>
      </c>
      <c r="DB706" s="140">
        <f t="shared" si="91"/>
        <v>0</v>
      </c>
      <c r="DR706" s="81"/>
      <c r="DS706" s="130">
        <f>SI!BY706</f>
        <v>185</v>
      </c>
      <c r="DT706" s="130"/>
      <c r="DU706" s="130"/>
      <c r="DV706" s="130"/>
      <c r="DW706" s="130"/>
      <c r="DX706" s="130"/>
      <c r="DY706" s="130"/>
      <c r="DZ706" s="131">
        <f>SI!BZ706</f>
        <v>0</v>
      </c>
      <c r="EA706" s="81"/>
      <c r="EB706" s="81"/>
    </row>
    <row r="707" spans="1:132" s="12" customFormat="1" hidden="1" x14ac:dyDescent="0.25">
      <c r="A707" s="283"/>
      <c r="B707" s="379"/>
      <c r="C707" s="379"/>
      <c r="D707" s="379"/>
      <c r="E707" s="379"/>
      <c r="F707" s="379"/>
      <c r="G707" s="379"/>
      <c r="H707" s="379"/>
      <c r="I707" s="379"/>
      <c r="J707" s="379"/>
      <c r="K707" s="379"/>
      <c r="L707" s="379"/>
      <c r="M707" s="379"/>
      <c r="N707" s="379"/>
      <c r="O707" s="379"/>
      <c r="P707" s="379"/>
      <c r="Q707" s="379"/>
      <c r="R707" s="379"/>
      <c r="S707" s="379"/>
      <c r="T707" s="379"/>
      <c r="U707" s="379"/>
      <c r="V707" s="379"/>
      <c r="W707" s="379"/>
      <c r="X707" s="379"/>
      <c r="Y707" s="379"/>
      <c r="Z707" s="379"/>
      <c r="AA707" s="379"/>
      <c r="AB707" s="379"/>
      <c r="AC707" s="379"/>
      <c r="AD707" s="379"/>
      <c r="AE707" s="379"/>
      <c r="AF707" s="379"/>
      <c r="AG707" s="379"/>
      <c r="AH707" s="379"/>
      <c r="AI707" s="379"/>
      <c r="AJ707" s="379"/>
      <c r="AK707" s="379"/>
      <c r="AL707" s="379"/>
      <c r="AM707" s="379"/>
      <c r="AN707" s="379"/>
      <c r="AO707" s="379"/>
      <c r="AP707" s="379"/>
      <c r="AQ707" s="379"/>
      <c r="AR707" s="379"/>
      <c r="AS707" s="379"/>
      <c r="AT707" s="379"/>
      <c r="AU707" s="379"/>
      <c r="AV707" s="379"/>
      <c r="AW707" s="379"/>
      <c r="AX707" s="379"/>
      <c r="AY707" s="379"/>
      <c r="AZ707" s="379"/>
      <c r="BA707" s="379"/>
      <c r="BB707" s="379"/>
      <c r="BC707" s="379"/>
      <c r="BD707" s="379"/>
      <c r="BE707" s="379"/>
      <c r="BF707" s="379"/>
      <c r="BG707" s="379"/>
      <c r="BH707" s="379"/>
      <c r="BI707" s="379"/>
      <c r="BJ707" s="379"/>
      <c r="BK707" s="379"/>
      <c r="BL707" s="379"/>
      <c r="BM707" s="379"/>
      <c r="BN707" s="379"/>
      <c r="BO707" s="379"/>
      <c r="BP707" s="379"/>
      <c r="BQ707" s="379"/>
      <c r="BR707" s="379"/>
      <c r="BS707" s="379"/>
      <c r="BT707" s="379"/>
      <c r="BU707" s="379"/>
      <c r="BV707" s="379"/>
      <c r="BW707" s="379"/>
      <c r="BX707" s="379"/>
      <c r="BY707" s="379"/>
      <c r="BZ707" s="379"/>
      <c r="CA707" s="281"/>
      <c r="CB707" s="3" t="str">
        <f t="shared" si="92"/>
        <v>Riadok bude skrytý.</v>
      </c>
      <c r="CC707" s="271" t="s">
        <v>832</v>
      </c>
      <c r="CW707" s="30">
        <f t="shared" si="93"/>
        <v>0</v>
      </c>
      <c r="CX707" s="42"/>
      <c r="CY707" s="42"/>
      <c r="CZ707" s="30">
        <f t="shared" si="89"/>
        <v>1</v>
      </c>
      <c r="DA707" s="30">
        <f t="shared" si="94"/>
        <v>0</v>
      </c>
      <c r="DB707" s="140">
        <f t="shared" si="91"/>
        <v>0</v>
      </c>
      <c r="DR707" s="81"/>
      <c r="DS707" s="130">
        <f>SI!BY707</f>
        <v>2</v>
      </c>
      <c r="DT707" s="130"/>
      <c r="DU707" s="130"/>
      <c r="DV707" s="130"/>
      <c r="DW707" s="130"/>
      <c r="DX707" s="130"/>
      <c r="DY707" s="130"/>
      <c r="DZ707" s="131">
        <f>SI!BZ707</f>
        <v>0</v>
      </c>
      <c r="EA707" s="81"/>
      <c r="EB707" s="81"/>
    </row>
    <row r="708" spans="1:132" s="12" customFormat="1" hidden="1" x14ac:dyDescent="0.25">
      <c r="A708" s="283"/>
      <c r="B708" s="379"/>
      <c r="C708" s="379"/>
      <c r="D708" s="379"/>
      <c r="E708" s="379"/>
      <c r="F708" s="379"/>
      <c r="G708" s="379"/>
      <c r="H708" s="379"/>
      <c r="I708" s="379"/>
      <c r="J708" s="379"/>
      <c r="K708" s="379"/>
      <c r="L708" s="379"/>
      <c r="M708" s="379"/>
      <c r="N708" s="379"/>
      <c r="O708" s="379"/>
      <c r="P708" s="379"/>
      <c r="Q708" s="379"/>
      <c r="R708" s="379"/>
      <c r="S708" s="379"/>
      <c r="T708" s="379"/>
      <c r="U708" s="379"/>
      <c r="V708" s="379"/>
      <c r="W708" s="379"/>
      <c r="X708" s="379"/>
      <c r="Y708" s="379"/>
      <c r="Z708" s="379"/>
      <c r="AA708" s="379"/>
      <c r="AB708" s="379"/>
      <c r="AC708" s="379"/>
      <c r="AD708" s="379"/>
      <c r="AE708" s="379"/>
      <c r="AF708" s="379"/>
      <c r="AG708" s="379"/>
      <c r="AH708" s="379"/>
      <c r="AI708" s="379"/>
      <c r="AJ708" s="379"/>
      <c r="AK708" s="379"/>
      <c r="AL708" s="379"/>
      <c r="AM708" s="379"/>
      <c r="AN708" s="379"/>
      <c r="AO708" s="379"/>
      <c r="AP708" s="379"/>
      <c r="AQ708" s="379"/>
      <c r="AR708" s="379"/>
      <c r="AS708" s="379"/>
      <c r="AT708" s="379"/>
      <c r="AU708" s="379"/>
      <c r="AV708" s="379"/>
      <c r="AW708" s="379"/>
      <c r="AX708" s="379"/>
      <c r="AY708" s="379"/>
      <c r="AZ708" s="379"/>
      <c r="BA708" s="379"/>
      <c r="BB708" s="379"/>
      <c r="BC708" s="379"/>
      <c r="BD708" s="379"/>
      <c r="BE708" s="379"/>
      <c r="BF708" s="379"/>
      <c r="BG708" s="379"/>
      <c r="BH708" s="379"/>
      <c r="BI708" s="379"/>
      <c r="BJ708" s="379"/>
      <c r="BK708" s="379"/>
      <c r="BL708" s="379"/>
      <c r="BM708" s="379"/>
      <c r="BN708" s="379"/>
      <c r="BO708" s="379"/>
      <c r="BP708" s="379"/>
      <c r="BQ708" s="379"/>
      <c r="BR708" s="379"/>
      <c r="BS708" s="379"/>
      <c r="BT708" s="379"/>
      <c r="BU708" s="379"/>
      <c r="BV708" s="379"/>
      <c r="BW708" s="379"/>
      <c r="BX708" s="379"/>
      <c r="BY708" s="379"/>
      <c r="BZ708" s="379"/>
      <c r="CA708" s="281"/>
      <c r="CB708" s="3" t="str">
        <f t="shared" si="92"/>
        <v>Riadok bude skrytý.</v>
      </c>
      <c r="CC708" s="271" t="s">
        <v>832</v>
      </c>
      <c r="CW708" s="30">
        <f t="shared" si="93"/>
        <v>0</v>
      </c>
      <c r="CX708" s="42"/>
      <c r="CY708" s="42"/>
      <c r="CZ708" s="30">
        <f t="shared" si="89"/>
        <v>1</v>
      </c>
      <c r="DA708" s="30">
        <f t="shared" si="94"/>
        <v>0</v>
      </c>
      <c r="DB708" s="140">
        <f t="shared" si="91"/>
        <v>0</v>
      </c>
      <c r="DR708" s="81"/>
      <c r="DS708" s="130">
        <f>SI!BY708</f>
        <v>119</v>
      </c>
      <c r="DT708" s="130"/>
      <c r="DU708" s="130"/>
      <c r="DV708" s="130"/>
      <c r="DW708" s="130"/>
      <c r="DX708" s="130"/>
      <c r="DY708" s="130"/>
      <c r="DZ708" s="131">
        <f>SI!BZ708</f>
        <v>0</v>
      </c>
      <c r="EA708" s="81"/>
      <c r="EB708" s="81"/>
    </row>
    <row r="709" spans="1:132" s="12" customFormat="1" hidden="1" x14ac:dyDescent="0.25">
      <c r="A709" s="283"/>
      <c r="B709" s="379"/>
      <c r="C709" s="379"/>
      <c r="D709" s="379"/>
      <c r="E709" s="379"/>
      <c r="F709" s="379"/>
      <c r="G709" s="379"/>
      <c r="H709" s="379"/>
      <c r="I709" s="379"/>
      <c r="J709" s="379"/>
      <c r="K709" s="379"/>
      <c r="L709" s="379"/>
      <c r="M709" s="379"/>
      <c r="N709" s="379"/>
      <c r="O709" s="379"/>
      <c r="P709" s="379"/>
      <c r="Q709" s="379"/>
      <c r="R709" s="379"/>
      <c r="S709" s="379"/>
      <c r="T709" s="379"/>
      <c r="U709" s="379"/>
      <c r="V709" s="379"/>
      <c r="W709" s="379"/>
      <c r="X709" s="379"/>
      <c r="Y709" s="379"/>
      <c r="Z709" s="379"/>
      <c r="AA709" s="379"/>
      <c r="AB709" s="379"/>
      <c r="AC709" s="379"/>
      <c r="AD709" s="379"/>
      <c r="AE709" s="379"/>
      <c r="AF709" s="379"/>
      <c r="AG709" s="379"/>
      <c r="AH709" s="379"/>
      <c r="AI709" s="379"/>
      <c r="AJ709" s="379"/>
      <c r="AK709" s="379"/>
      <c r="AL709" s="379"/>
      <c r="AM709" s="379"/>
      <c r="AN709" s="379"/>
      <c r="AO709" s="379"/>
      <c r="AP709" s="379"/>
      <c r="AQ709" s="379"/>
      <c r="AR709" s="379"/>
      <c r="AS709" s="379"/>
      <c r="AT709" s="379"/>
      <c r="AU709" s="379"/>
      <c r="AV709" s="379"/>
      <c r="AW709" s="379"/>
      <c r="AX709" s="379"/>
      <c r="AY709" s="379"/>
      <c r="AZ709" s="379"/>
      <c r="BA709" s="379"/>
      <c r="BB709" s="379"/>
      <c r="BC709" s="379"/>
      <c r="BD709" s="379"/>
      <c r="BE709" s="379"/>
      <c r="BF709" s="379"/>
      <c r="BG709" s="379"/>
      <c r="BH709" s="379"/>
      <c r="BI709" s="379"/>
      <c r="BJ709" s="379"/>
      <c r="BK709" s="379"/>
      <c r="BL709" s="379"/>
      <c r="BM709" s="379"/>
      <c r="BN709" s="379"/>
      <c r="BO709" s="379"/>
      <c r="BP709" s="379"/>
      <c r="BQ709" s="379"/>
      <c r="BR709" s="379"/>
      <c r="BS709" s="379"/>
      <c r="BT709" s="379"/>
      <c r="BU709" s="379"/>
      <c r="BV709" s="379"/>
      <c r="BW709" s="379"/>
      <c r="BX709" s="379"/>
      <c r="BY709" s="379"/>
      <c r="BZ709" s="379"/>
      <c r="CA709" s="281"/>
      <c r="CB709" s="3" t="str">
        <f t="shared" si="92"/>
        <v>Riadok bude skrytý.</v>
      </c>
      <c r="CC709" s="271" t="s">
        <v>832</v>
      </c>
      <c r="CW709" s="30">
        <f t="shared" si="93"/>
        <v>0</v>
      </c>
      <c r="CX709" s="42"/>
      <c r="CY709" s="42"/>
      <c r="CZ709" s="30">
        <f t="shared" si="89"/>
        <v>1</v>
      </c>
      <c r="DA709" s="30">
        <f t="shared" si="94"/>
        <v>0</v>
      </c>
      <c r="DB709" s="140">
        <f t="shared" si="91"/>
        <v>0</v>
      </c>
      <c r="DR709" s="81"/>
      <c r="DS709" s="130">
        <f>SI!BY709</f>
        <v>928</v>
      </c>
      <c r="DT709" s="130"/>
      <c r="DU709" s="130"/>
      <c r="DV709" s="130"/>
      <c r="DW709" s="130"/>
      <c r="DX709" s="130"/>
      <c r="DY709" s="130"/>
      <c r="DZ709" s="131">
        <f>SI!BZ709</f>
        <v>0</v>
      </c>
      <c r="EA709" s="81"/>
      <c r="EB709" s="81"/>
    </row>
    <row r="710" spans="1:132" s="12" customFormat="1" hidden="1" x14ac:dyDescent="0.25">
      <c r="A710" s="283"/>
      <c r="B710" s="379"/>
      <c r="C710" s="379"/>
      <c r="D710" s="379"/>
      <c r="E710" s="379"/>
      <c r="F710" s="379"/>
      <c r="G710" s="379"/>
      <c r="H710" s="379"/>
      <c r="I710" s="379"/>
      <c r="J710" s="379"/>
      <c r="K710" s="379"/>
      <c r="L710" s="379"/>
      <c r="M710" s="379"/>
      <c r="N710" s="379"/>
      <c r="O710" s="379"/>
      <c r="P710" s="379"/>
      <c r="Q710" s="379"/>
      <c r="R710" s="379"/>
      <c r="S710" s="379"/>
      <c r="T710" s="379"/>
      <c r="U710" s="379"/>
      <c r="V710" s="379"/>
      <c r="W710" s="379"/>
      <c r="X710" s="379"/>
      <c r="Y710" s="379"/>
      <c r="Z710" s="379"/>
      <c r="AA710" s="379"/>
      <c r="AB710" s="379"/>
      <c r="AC710" s="379"/>
      <c r="AD710" s="379"/>
      <c r="AE710" s="379"/>
      <c r="AF710" s="379"/>
      <c r="AG710" s="379"/>
      <c r="AH710" s="379"/>
      <c r="AI710" s="379"/>
      <c r="AJ710" s="379"/>
      <c r="AK710" s="379"/>
      <c r="AL710" s="379"/>
      <c r="AM710" s="379"/>
      <c r="AN710" s="379"/>
      <c r="AO710" s="379"/>
      <c r="AP710" s="379"/>
      <c r="AQ710" s="379"/>
      <c r="AR710" s="379"/>
      <c r="AS710" s="379"/>
      <c r="AT710" s="379"/>
      <c r="AU710" s="379"/>
      <c r="AV710" s="379"/>
      <c r="AW710" s="379"/>
      <c r="AX710" s="379"/>
      <c r="AY710" s="379"/>
      <c r="AZ710" s="379"/>
      <c r="BA710" s="379"/>
      <c r="BB710" s="379"/>
      <c r="BC710" s="379"/>
      <c r="BD710" s="379"/>
      <c r="BE710" s="379"/>
      <c r="BF710" s="379"/>
      <c r="BG710" s="379"/>
      <c r="BH710" s="379"/>
      <c r="BI710" s="379"/>
      <c r="BJ710" s="379"/>
      <c r="BK710" s="379"/>
      <c r="BL710" s="379"/>
      <c r="BM710" s="379"/>
      <c r="BN710" s="379"/>
      <c r="BO710" s="379"/>
      <c r="BP710" s="379"/>
      <c r="BQ710" s="379"/>
      <c r="BR710" s="379"/>
      <c r="BS710" s="379"/>
      <c r="BT710" s="379"/>
      <c r="BU710" s="379"/>
      <c r="BV710" s="379"/>
      <c r="BW710" s="379"/>
      <c r="BX710" s="379"/>
      <c r="BY710" s="379"/>
      <c r="BZ710" s="379"/>
      <c r="CA710" s="281"/>
      <c r="CB710" s="3" t="str">
        <f t="shared" si="92"/>
        <v>Riadok bude skrytý.</v>
      </c>
      <c r="CC710" s="271" t="s">
        <v>832</v>
      </c>
      <c r="CW710" s="30">
        <f t="shared" si="93"/>
        <v>0</v>
      </c>
      <c r="CX710" s="42"/>
      <c r="CY710" s="42"/>
      <c r="CZ710" s="30">
        <f t="shared" si="89"/>
        <v>1</v>
      </c>
      <c r="DA710" s="30">
        <f t="shared" si="94"/>
        <v>0</v>
      </c>
      <c r="DB710" s="140">
        <f t="shared" si="91"/>
        <v>0</v>
      </c>
      <c r="DR710" s="81"/>
      <c r="DS710" s="130">
        <f>SI!BY710</f>
        <v>131</v>
      </c>
      <c r="DT710" s="130"/>
      <c r="DU710" s="130"/>
      <c r="DV710" s="130"/>
      <c r="DW710" s="130"/>
      <c r="DX710" s="130"/>
      <c r="DY710" s="130"/>
      <c r="DZ710" s="131">
        <f>SI!BZ710</f>
        <v>0</v>
      </c>
      <c r="EA710" s="81"/>
      <c r="EB710" s="81"/>
    </row>
    <row r="711" spans="1:132" s="12" customFormat="1" hidden="1" x14ac:dyDescent="0.25">
      <c r="A711" s="283"/>
      <c r="B711" s="379"/>
      <c r="C711" s="379"/>
      <c r="D711" s="379"/>
      <c r="E711" s="379"/>
      <c r="F711" s="379"/>
      <c r="G711" s="379"/>
      <c r="H711" s="379"/>
      <c r="I711" s="379"/>
      <c r="J711" s="379"/>
      <c r="K711" s="379"/>
      <c r="L711" s="379"/>
      <c r="M711" s="379"/>
      <c r="N711" s="379"/>
      <c r="O711" s="379"/>
      <c r="P711" s="379"/>
      <c r="Q711" s="379"/>
      <c r="R711" s="379"/>
      <c r="S711" s="379"/>
      <c r="T711" s="379"/>
      <c r="U711" s="379"/>
      <c r="V711" s="379"/>
      <c r="W711" s="379"/>
      <c r="X711" s="379"/>
      <c r="Y711" s="379"/>
      <c r="Z711" s="379"/>
      <c r="AA711" s="379"/>
      <c r="AB711" s="379"/>
      <c r="AC711" s="379"/>
      <c r="AD711" s="379"/>
      <c r="AE711" s="379"/>
      <c r="AF711" s="379"/>
      <c r="AG711" s="379"/>
      <c r="AH711" s="379"/>
      <c r="AI711" s="379"/>
      <c r="AJ711" s="379"/>
      <c r="AK711" s="379"/>
      <c r="AL711" s="379"/>
      <c r="AM711" s="379"/>
      <c r="AN711" s="379"/>
      <c r="AO711" s="379"/>
      <c r="AP711" s="379"/>
      <c r="AQ711" s="379"/>
      <c r="AR711" s="379"/>
      <c r="AS711" s="379"/>
      <c r="AT711" s="379"/>
      <c r="AU711" s="379"/>
      <c r="AV711" s="379"/>
      <c r="AW711" s="379"/>
      <c r="AX711" s="379"/>
      <c r="AY711" s="379"/>
      <c r="AZ711" s="379"/>
      <c r="BA711" s="379"/>
      <c r="BB711" s="379"/>
      <c r="BC711" s="379"/>
      <c r="BD711" s="379"/>
      <c r="BE711" s="379"/>
      <c r="BF711" s="379"/>
      <c r="BG711" s="379"/>
      <c r="BH711" s="379"/>
      <c r="BI711" s="379"/>
      <c r="BJ711" s="379"/>
      <c r="BK711" s="379"/>
      <c r="BL711" s="379"/>
      <c r="BM711" s="379"/>
      <c r="BN711" s="379"/>
      <c r="BO711" s="379"/>
      <c r="BP711" s="379"/>
      <c r="BQ711" s="379"/>
      <c r="BR711" s="379"/>
      <c r="BS711" s="379"/>
      <c r="BT711" s="379"/>
      <c r="BU711" s="379"/>
      <c r="BV711" s="379"/>
      <c r="BW711" s="379"/>
      <c r="BX711" s="379"/>
      <c r="BY711" s="379"/>
      <c r="BZ711" s="379"/>
      <c r="CA711" s="281"/>
      <c r="CB711" s="3" t="str">
        <f t="shared" si="92"/>
        <v>Riadok bude skrytý.</v>
      </c>
      <c r="CC711" s="271" t="s">
        <v>832</v>
      </c>
      <c r="CW711" s="30">
        <f t="shared" si="93"/>
        <v>0</v>
      </c>
      <c r="CX711" s="42"/>
      <c r="CY711" s="42"/>
      <c r="CZ711" s="30">
        <f t="shared" si="89"/>
        <v>1</v>
      </c>
      <c r="DA711" s="30">
        <f t="shared" si="94"/>
        <v>0</v>
      </c>
      <c r="DB711" s="140">
        <f t="shared" si="91"/>
        <v>0</v>
      </c>
      <c r="DR711" s="81"/>
      <c r="DS711" s="130">
        <f>SI!BY711</f>
        <v>978</v>
      </c>
      <c r="DT711" s="130"/>
      <c r="DU711" s="130"/>
      <c r="DV711" s="130"/>
      <c r="DW711" s="130"/>
      <c r="DX711" s="130"/>
      <c r="DY711" s="130"/>
      <c r="DZ711" s="131">
        <f>SI!BZ711</f>
        <v>0</v>
      </c>
      <c r="EA711" s="81"/>
      <c r="EB711" s="81"/>
    </row>
    <row r="712" spans="1:132" s="12" customFormat="1" hidden="1" x14ac:dyDescent="0.25">
      <c r="A712" s="283"/>
      <c r="B712" s="379"/>
      <c r="C712" s="379"/>
      <c r="D712" s="379"/>
      <c r="E712" s="379"/>
      <c r="F712" s="379"/>
      <c r="G712" s="379"/>
      <c r="H712" s="379"/>
      <c r="I712" s="379"/>
      <c r="J712" s="379"/>
      <c r="K712" s="379"/>
      <c r="L712" s="379"/>
      <c r="M712" s="379"/>
      <c r="N712" s="379"/>
      <c r="O712" s="379"/>
      <c r="P712" s="379"/>
      <c r="Q712" s="379"/>
      <c r="R712" s="379"/>
      <c r="S712" s="379"/>
      <c r="T712" s="379"/>
      <c r="U712" s="379"/>
      <c r="V712" s="379"/>
      <c r="W712" s="379"/>
      <c r="X712" s="379"/>
      <c r="Y712" s="379"/>
      <c r="Z712" s="379"/>
      <c r="AA712" s="379"/>
      <c r="AB712" s="379"/>
      <c r="AC712" s="379"/>
      <c r="AD712" s="379"/>
      <c r="AE712" s="379"/>
      <c r="AF712" s="379"/>
      <c r="AG712" s="379"/>
      <c r="AH712" s="379"/>
      <c r="AI712" s="379"/>
      <c r="AJ712" s="379"/>
      <c r="AK712" s="379"/>
      <c r="AL712" s="379"/>
      <c r="AM712" s="379"/>
      <c r="AN712" s="379"/>
      <c r="AO712" s="379"/>
      <c r="AP712" s="379"/>
      <c r="AQ712" s="379"/>
      <c r="AR712" s="379"/>
      <c r="AS712" s="379"/>
      <c r="AT712" s="379"/>
      <c r="AU712" s="379"/>
      <c r="AV712" s="379"/>
      <c r="AW712" s="379"/>
      <c r="AX712" s="379"/>
      <c r="AY712" s="379"/>
      <c r="AZ712" s="379"/>
      <c r="BA712" s="379"/>
      <c r="BB712" s="379"/>
      <c r="BC712" s="379"/>
      <c r="BD712" s="379"/>
      <c r="BE712" s="379"/>
      <c r="BF712" s="379"/>
      <c r="BG712" s="379"/>
      <c r="BH712" s="379"/>
      <c r="BI712" s="379"/>
      <c r="BJ712" s="379"/>
      <c r="BK712" s="379"/>
      <c r="BL712" s="379"/>
      <c r="BM712" s="379"/>
      <c r="BN712" s="379"/>
      <c r="BO712" s="379"/>
      <c r="BP712" s="379"/>
      <c r="BQ712" s="379"/>
      <c r="BR712" s="379"/>
      <c r="BS712" s="379"/>
      <c r="BT712" s="379"/>
      <c r="BU712" s="379"/>
      <c r="BV712" s="379"/>
      <c r="BW712" s="379"/>
      <c r="BX712" s="379"/>
      <c r="BY712" s="379"/>
      <c r="BZ712" s="379"/>
      <c r="CA712" s="281"/>
      <c r="CB712" s="3" t="str">
        <f t="shared" si="92"/>
        <v>Riadok bude skrytý.</v>
      </c>
      <c r="CC712" s="271" t="s">
        <v>832</v>
      </c>
      <c r="CW712" s="30">
        <f t="shared" si="93"/>
        <v>0</v>
      </c>
      <c r="CX712" s="42"/>
      <c r="CY712" s="42"/>
      <c r="CZ712" s="30">
        <f t="shared" si="89"/>
        <v>1</v>
      </c>
      <c r="DA712" s="30">
        <f t="shared" si="94"/>
        <v>0</v>
      </c>
      <c r="DB712" s="140">
        <f t="shared" si="91"/>
        <v>0</v>
      </c>
      <c r="DR712" s="81"/>
      <c r="DS712" s="130">
        <f>SI!BY712</f>
        <v>167</v>
      </c>
      <c r="DT712" s="130"/>
      <c r="DU712" s="130"/>
      <c r="DV712" s="130"/>
      <c r="DW712" s="130"/>
      <c r="DX712" s="130"/>
      <c r="DY712" s="130"/>
      <c r="DZ712" s="131">
        <f>SI!BZ712</f>
        <v>0</v>
      </c>
      <c r="EA712" s="81"/>
      <c r="EB712" s="81"/>
    </row>
    <row r="713" spans="1:132" s="12" customFormat="1" hidden="1" x14ac:dyDescent="0.25">
      <c r="A713" s="283"/>
      <c r="B713" s="379"/>
      <c r="C713" s="379"/>
      <c r="D713" s="379"/>
      <c r="E713" s="379"/>
      <c r="F713" s="379"/>
      <c r="G713" s="379"/>
      <c r="H713" s="379"/>
      <c r="I713" s="379"/>
      <c r="J713" s="379"/>
      <c r="K713" s="379"/>
      <c r="L713" s="379"/>
      <c r="M713" s="379"/>
      <c r="N713" s="379"/>
      <c r="O713" s="379"/>
      <c r="P713" s="379"/>
      <c r="Q713" s="379"/>
      <c r="R713" s="379"/>
      <c r="S713" s="379"/>
      <c r="T713" s="379"/>
      <c r="U713" s="379"/>
      <c r="V713" s="379"/>
      <c r="W713" s="379"/>
      <c r="X713" s="379"/>
      <c r="Y713" s="379"/>
      <c r="Z713" s="379"/>
      <c r="AA713" s="379"/>
      <c r="AB713" s="379"/>
      <c r="AC713" s="379"/>
      <c r="AD713" s="379"/>
      <c r="AE713" s="379"/>
      <c r="AF713" s="379"/>
      <c r="AG713" s="379"/>
      <c r="AH713" s="379"/>
      <c r="AI713" s="379"/>
      <c r="AJ713" s="379"/>
      <c r="AK713" s="379"/>
      <c r="AL713" s="379"/>
      <c r="AM713" s="379"/>
      <c r="AN713" s="379"/>
      <c r="AO713" s="379"/>
      <c r="AP713" s="379"/>
      <c r="AQ713" s="379"/>
      <c r="AR713" s="379"/>
      <c r="AS713" s="379"/>
      <c r="AT713" s="379"/>
      <c r="AU713" s="379"/>
      <c r="AV713" s="379"/>
      <c r="AW713" s="379"/>
      <c r="AX713" s="379"/>
      <c r="AY713" s="379"/>
      <c r="AZ713" s="379"/>
      <c r="BA713" s="379"/>
      <c r="BB713" s="379"/>
      <c r="BC713" s="379"/>
      <c r="BD713" s="379"/>
      <c r="BE713" s="379"/>
      <c r="BF713" s="379"/>
      <c r="BG713" s="379"/>
      <c r="BH713" s="379"/>
      <c r="BI713" s="379"/>
      <c r="BJ713" s="379"/>
      <c r="BK713" s="379"/>
      <c r="BL713" s="379"/>
      <c r="BM713" s="379"/>
      <c r="BN713" s="379"/>
      <c r="BO713" s="379"/>
      <c r="BP713" s="379"/>
      <c r="BQ713" s="379"/>
      <c r="BR713" s="379"/>
      <c r="BS713" s="379"/>
      <c r="BT713" s="379"/>
      <c r="BU713" s="379"/>
      <c r="BV713" s="379"/>
      <c r="BW713" s="379"/>
      <c r="BX713" s="379"/>
      <c r="BY713" s="379"/>
      <c r="BZ713" s="379"/>
      <c r="CA713" s="281"/>
      <c r="CB713" s="3" t="str">
        <f t="shared" si="92"/>
        <v>Riadok bude skrytý.</v>
      </c>
      <c r="CC713" s="271" t="s">
        <v>832</v>
      </c>
      <c r="CW713" s="30">
        <f t="shared" si="93"/>
        <v>0</v>
      </c>
      <c r="CX713" s="42"/>
      <c r="CY713" s="42"/>
      <c r="CZ713" s="30">
        <f t="shared" si="89"/>
        <v>1</v>
      </c>
      <c r="DA713" s="30">
        <f t="shared" si="94"/>
        <v>0</v>
      </c>
      <c r="DB713" s="140">
        <f t="shared" si="91"/>
        <v>0</v>
      </c>
      <c r="DR713" s="81"/>
      <c r="DS713" s="130">
        <f>SI!BY713</f>
        <v>734</v>
      </c>
      <c r="DT713" s="130"/>
      <c r="DU713" s="130"/>
      <c r="DV713" s="130"/>
      <c r="DW713" s="130"/>
      <c r="DX713" s="130"/>
      <c r="DY713" s="130"/>
      <c r="DZ713" s="131">
        <f>SI!BZ713</f>
        <v>0</v>
      </c>
      <c r="EA713" s="81"/>
      <c r="EB713" s="81"/>
    </row>
    <row r="714" spans="1:132" s="12" customFormat="1" hidden="1" x14ac:dyDescent="0.25">
      <c r="A714" s="283"/>
      <c r="B714" s="379"/>
      <c r="C714" s="379"/>
      <c r="D714" s="379"/>
      <c r="E714" s="379"/>
      <c r="F714" s="379"/>
      <c r="G714" s="379"/>
      <c r="H714" s="379"/>
      <c r="I714" s="379"/>
      <c r="J714" s="379"/>
      <c r="K714" s="379"/>
      <c r="L714" s="379"/>
      <c r="M714" s="379"/>
      <c r="N714" s="379"/>
      <c r="O714" s="379"/>
      <c r="P714" s="379"/>
      <c r="Q714" s="379"/>
      <c r="R714" s="379"/>
      <c r="S714" s="379"/>
      <c r="T714" s="379"/>
      <c r="U714" s="379"/>
      <c r="V714" s="379"/>
      <c r="W714" s="379"/>
      <c r="X714" s="379"/>
      <c r="Y714" s="379"/>
      <c r="Z714" s="379"/>
      <c r="AA714" s="379"/>
      <c r="AB714" s="379"/>
      <c r="AC714" s="379"/>
      <c r="AD714" s="379"/>
      <c r="AE714" s="379"/>
      <c r="AF714" s="379"/>
      <c r="AG714" s="379"/>
      <c r="AH714" s="379"/>
      <c r="AI714" s="379"/>
      <c r="AJ714" s="379"/>
      <c r="AK714" s="379"/>
      <c r="AL714" s="379"/>
      <c r="AM714" s="379"/>
      <c r="AN714" s="379"/>
      <c r="AO714" s="379"/>
      <c r="AP714" s="379"/>
      <c r="AQ714" s="379"/>
      <c r="AR714" s="379"/>
      <c r="AS714" s="379"/>
      <c r="AT714" s="379"/>
      <c r="AU714" s="379"/>
      <c r="AV714" s="379"/>
      <c r="AW714" s="379"/>
      <c r="AX714" s="379"/>
      <c r="AY714" s="379"/>
      <c r="AZ714" s="379"/>
      <c r="BA714" s="379"/>
      <c r="BB714" s="379"/>
      <c r="BC714" s="379"/>
      <c r="BD714" s="379"/>
      <c r="BE714" s="379"/>
      <c r="BF714" s="379"/>
      <c r="BG714" s="379"/>
      <c r="BH714" s="379"/>
      <c r="BI714" s="379"/>
      <c r="BJ714" s="379"/>
      <c r="BK714" s="379"/>
      <c r="BL714" s="379"/>
      <c r="BM714" s="379"/>
      <c r="BN714" s="379"/>
      <c r="BO714" s="379"/>
      <c r="BP714" s="379"/>
      <c r="BQ714" s="379"/>
      <c r="BR714" s="379"/>
      <c r="BS714" s="379"/>
      <c r="BT714" s="379"/>
      <c r="BU714" s="379"/>
      <c r="BV714" s="379"/>
      <c r="BW714" s="379"/>
      <c r="BX714" s="379"/>
      <c r="BY714" s="379"/>
      <c r="BZ714" s="379"/>
      <c r="CA714" s="281"/>
      <c r="CB714" s="3" t="str">
        <f t="shared" si="92"/>
        <v>Riadok bude skrytý.</v>
      </c>
      <c r="CC714" s="271" t="s">
        <v>832</v>
      </c>
      <c r="CW714" s="30">
        <f t="shared" si="93"/>
        <v>0</v>
      </c>
      <c r="CX714" s="42"/>
      <c r="CY714" s="42"/>
      <c r="CZ714" s="30">
        <f t="shared" si="89"/>
        <v>1</v>
      </c>
      <c r="DA714" s="30">
        <f t="shared" si="94"/>
        <v>0</v>
      </c>
      <c r="DB714" s="140">
        <f t="shared" si="91"/>
        <v>0</v>
      </c>
      <c r="DR714" s="81"/>
      <c r="DS714" s="130">
        <f>SI!BY714</f>
        <v>174</v>
      </c>
      <c r="DT714" s="130"/>
      <c r="DU714" s="130"/>
      <c r="DV714" s="130"/>
      <c r="DW714" s="130"/>
      <c r="DX714" s="130"/>
      <c r="DY714" s="130"/>
      <c r="DZ714" s="131">
        <f>SI!BZ714</f>
        <v>0</v>
      </c>
      <c r="EA714" s="81"/>
      <c r="EB714" s="81"/>
    </row>
    <row r="715" spans="1:132" s="12" customFormat="1" x14ac:dyDescent="0.25">
      <c r="A715" s="283"/>
      <c r="CA715" s="270"/>
      <c r="CB715" s="3" t="str">
        <f t="shared" si="92"/>
        <v>Riadok bude vidieť.</v>
      </c>
      <c r="CC715" s="271" t="s">
        <v>832</v>
      </c>
      <c r="CW715" s="32">
        <f>+IF(SUM(CW717:CW736)=0,0,1)</f>
        <v>1</v>
      </c>
      <c r="CX715" s="42"/>
      <c r="CY715" s="42"/>
      <c r="CZ715" s="30">
        <f t="shared" si="89"/>
        <v>1</v>
      </c>
      <c r="DA715" s="30">
        <f t="shared" si="94"/>
        <v>1</v>
      </c>
      <c r="DB715" s="140">
        <f t="shared" si="91"/>
        <v>1</v>
      </c>
      <c r="DR715" s="81"/>
      <c r="DS715" s="130">
        <f>SI!BY715</f>
        <v>641</v>
      </c>
      <c r="DT715" s="130"/>
      <c r="DU715" s="130"/>
      <c r="DV715" s="130"/>
      <c r="DW715" s="130"/>
      <c r="DX715" s="130"/>
      <c r="DY715" s="130"/>
      <c r="DZ715" s="131">
        <f>SI!BZ715</f>
        <v>0</v>
      </c>
      <c r="EA715" s="81"/>
      <c r="EB715" s="81"/>
    </row>
    <row r="716" spans="1:132" s="12" customFormat="1" x14ac:dyDescent="0.25">
      <c r="A716" s="283"/>
      <c r="B716" s="279" t="s">
        <v>859</v>
      </c>
      <c r="C716" s="7" t="str">
        <f>+IF($G$52&lt;&gt;"",IF(ROUNDDOWN(CODE(MID($G$52,1,1))*2,0)*(IF(SI!EE716="",1,SI!EE716))+(LEN(SI!J2)+LEN(SI!J3))=DS716,"Ocenenie splatnej dane z príjmov a odloženej dane z príjmov","NEPOVOLENÉ POUŽITIE!"),"NEPOVOLENÉ POUŽITIE!")</f>
        <v>Ocenenie splatnej dane z príjmov a odloženej dane z príjmov</v>
      </c>
      <c r="D716" s="7"/>
      <c r="E716" s="7"/>
      <c r="F716" s="7"/>
      <c r="G716" s="137"/>
      <c r="H716" s="137"/>
      <c r="I716" s="137"/>
      <c r="J716" s="137"/>
      <c r="K716" s="137"/>
      <c r="L716" s="137"/>
      <c r="M716" s="137"/>
      <c r="N716" s="137"/>
      <c r="O716" s="137"/>
      <c r="P716" s="137"/>
      <c r="Q716" s="137"/>
      <c r="R716" s="137"/>
      <c r="S716" s="137"/>
      <c r="T716" s="137"/>
      <c r="U716" s="137"/>
      <c r="V716" s="137"/>
      <c r="W716" s="137"/>
      <c r="X716" s="137"/>
      <c r="Y716" s="137"/>
      <c r="Z716" s="137"/>
      <c r="AA716" s="137"/>
      <c r="AB716" s="137"/>
      <c r="AC716" s="137"/>
      <c r="AD716" s="137"/>
      <c r="AE716" s="137"/>
      <c r="AF716" s="137"/>
      <c r="AG716" s="137"/>
      <c r="AH716" s="137"/>
      <c r="AI716" s="137"/>
      <c r="AJ716" s="137"/>
      <c r="AK716" s="137"/>
      <c r="AL716" s="137"/>
      <c r="AM716" s="137"/>
      <c r="AN716" s="137"/>
      <c r="AO716" s="137"/>
      <c r="AP716" s="137"/>
      <c r="AQ716" s="137"/>
      <c r="AR716" s="137"/>
      <c r="AS716" s="137"/>
      <c r="AT716" s="137"/>
      <c r="AU716" s="137"/>
      <c r="AV716" s="137"/>
      <c r="AW716" s="137"/>
      <c r="AX716" s="137"/>
      <c r="AY716" s="137"/>
      <c r="AZ716" s="137"/>
      <c r="BA716" s="137"/>
      <c r="BB716" s="137"/>
      <c r="BC716" s="137"/>
      <c r="BD716" s="137"/>
      <c r="BE716" s="137"/>
      <c r="BF716" s="137"/>
      <c r="BG716" s="137"/>
      <c r="BH716" s="137"/>
      <c r="BI716" s="137"/>
      <c r="BJ716" s="137"/>
      <c r="BK716" s="137"/>
      <c r="BL716" s="137"/>
      <c r="BM716" s="137"/>
      <c r="BN716" s="137"/>
      <c r="BO716" s="137"/>
      <c r="BP716" s="137"/>
      <c r="BQ716" s="137"/>
      <c r="BR716" s="137"/>
      <c r="BS716" s="137"/>
      <c r="BT716" s="137"/>
      <c r="BU716" s="137"/>
      <c r="BV716" s="137"/>
      <c r="BW716" s="137"/>
      <c r="BX716" s="137"/>
      <c r="BY716" s="137"/>
      <c r="BZ716" s="137"/>
      <c r="CA716" s="265" t="s">
        <v>773</v>
      </c>
      <c r="CB716" s="3" t="str">
        <f t="shared" si="92"/>
        <v>Riadok bude vidieť.</v>
      </c>
      <c r="CC716" s="271" t="s">
        <v>832</v>
      </c>
      <c r="CW716" s="134">
        <f>+IF(SUM(CW717:CW736)=0,0,1)</f>
        <v>1</v>
      </c>
      <c r="CX716" s="42"/>
      <c r="CY716" s="42"/>
      <c r="CZ716" s="30">
        <f t="shared" si="89"/>
        <v>1</v>
      </c>
      <c r="DA716" s="30">
        <f t="shared" si="94"/>
        <v>1</v>
      </c>
      <c r="DB716" s="140">
        <f t="shared" si="91"/>
        <v>1</v>
      </c>
      <c r="DR716" s="81"/>
      <c r="DS716" s="130">
        <f>SI!BY716</f>
        <v>18</v>
      </c>
      <c r="DT716" s="130"/>
      <c r="DU716" s="130"/>
      <c r="DV716" s="130"/>
      <c r="DW716" s="130"/>
      <c r="DX716" s="130"/>
      <c r="DY716" s="130"/>
      <c r="DZ716" s="131">
        <f>SI!BZ716</f>
        <v>0</v>
      </c>
      <c r="EA716" s="81"/>
      <c r="EB716" s="81"/>
    </row>
    <row r="717" spans="1:132" s="12" customFormat="1" x14ac:dyDescent="0.25">
      <c r="A717" s="283"/>
      <c r="B717" s="379" t="s">
        <v>710</v>
      </c>
      <c r="C717" s="379"/>
      <c r="D717" s="379"/>
      <c r="E717" s="379"/>
      <c r="F717" s="379"/>
      <c r="G717" s="379"/>
      <c r="H717" s="379"/>
      <c r="I717" s="379"/>
      <c r="J717" s="379"/>
      <c r="K717" s="379"/>
      <c r="L717" s="379"/>
      <c r="M717" s="379"/>
      <c r="N717" s="379"/>
      <c r="O717" s="379"/>
      <c r="P717" s="379"/>
      <c r="Q717" s="379"/>
      <c r="R717" s="379"/>
      <c r="S717" s="379"/>
      <c r="T717" s="379"/>
      <c r="U717" s="379"/>
      <c r="V717" s="379"/>
      <c r="W717" s="379"/>
      <c r="X717" s="379"/>
      <c r="Y717" s="379"/>
      <c r="Z717" s="379"/>
      <c r="AA717" s="379"/>
      <c r="AB717" s="379"/>
      <c r="AC717" s="379"/>
      <c r="AD717" s="379"/>
      <c r="AE717" s="379"/>
      <c r="AF717" s="379"/>
      <c r="AG717" s="379"/>
      <c r="AH717" s="379"/>
      <c r="AI717" s="379"/>
      <c r="AJ717" s="379"/>
      <c r="AK717" s="379"/>
      <c r="AL717" s="379"/>
      <c r="AM717" s="379"/>
      <c r="AN717" s="379"/>
      <c r="AO717" s="379"/>
      <c r="AP717" s="379"/>
      <c r="AQ717" s="379"/>
      <c r="AR717" s="379"/>
      <c r="AS717" s="379"/>
      <c r="AT717" s="379"/>
      <c r="AU717" s="379"/>
      <c r="AV717" s="379"/>
      <c r="AW717" s="379"/>
      <c r="AX717" s="379"/>
      <c r="AY717" s="379"/>
      <c r="AZ717" s="379"/>
      <c r="BA717" s="379"/>
      <c r="BB717" s="379"/>
      <c r="BC717" s="379"/>
      <c r="BD717" s="379"/>
      <c r="BE717" s="379"/>
      <c r="BF717" s="379"/>
      <c r="BG717" s="379"/>
      <c r="BH717" s="379"/>
      <c r="BI717" s="379"/>
      <c r="BJ717" s="379"/>
      <c r="BK717" s="379"/>
      <c r="BL717" s="379"/>
      <c r="BM717" s="379"/>
      <c r="BN717" s="379"/>
      <c r="BO717" s="379"/>
      <c r="BP717" s="379"/>
      <c r="BQ717" s="379"/>
      <c r="BR717" s="379"/>
      <c r="BS717" s="379"/>
      <c r="BT717" s="379"/>
      <c r="BU717" s="379"/>
      <c r="BV717" s="379"/>
      <c r="BW717" s="379"/>
      <c r="BX717" s="379"/>
      <c r="BY717" s="379"/>
      <c r="BZ717" s="379"/>
      <c r="CA717" s="281"/>
      <c r="CB717" s="3" t="str">
        <f t="shared" si="92"/>
        <v>Riadok bude vidieť.</v>
      </c>
      <c r="CC717" s="271" t="s">
        <v>832</v>
      </c>
      <c r="CW717" s="30">
        <f t="shared" ref="CW717:CW736" si="95">+IF(B717="",0,1)</f>
        <v>1</v>
      </c>
      <c r="CX717" s="42"/>
      <c r="CY717" s="42"/>
      <c r="CZ717" s="30">
        <f t="shared" si="89"/>
        <v>1</v>
      </c>
      <c r="DA717" s="30">
        <f t="shared" si="94"/>
        <v>1</v>
      </c>
      <c r="DB717" s="140">
        <f t="shared" si="91"/>
        <v>1</v>
      </c>
      <c r="DR717" s="81"/>
      <c r="DS717" s="130">
        <f>SI!BY717</f>
        <v>102</v>
      </c>
      <c r="DT717" s="130"/>
      <c r="DU717" s="130"/>
      <c r="DV717" s="130"/>
      <c r="DW717" s="130"/>
      <c r="DX717" s="130"/>
      <c r="DY717" s="130"/>
      <c r="DZ717" s="131">
        <f>SI!BZ717</f>
        <v>0</v>
      </c>
      <c r="EA717" s="81"/>
      <c r="EB717" s="81"/>
    </row>
    <row r="718" spans="1:132" s="12" customFormat="1" x14ac:dyDescent="0.25">
      <c r="A718" s="283"/>
      <c r="B718" s="379" t="s">
        <v>713</v>
      </c>
      <c r="C718" s="379"/>
      <c r="D718" s="379"/>
      <c r="E718" s="379"/>
      <c r="F718" s="379"/>
      <c r="G718" s="379"/>
      <c r="H718" s="379"/>
      <c r="I718" s="379"/>
      <c r="J718" s="379"/>
      <c r="K718" s="379"/>
      <c r="L718" s="379"/>
      <c r="M718" s="379"/>
      <c r="N718" s="379"/>
      <c r="O718" s="379"/>
      <c r="P718" s="379"/>
      <c r="Q718" s="379"/>
      <c r="R718" s="379"/>
      <c r="S718" s="379"/>
      <c r="T718" s="379"/>
      <c r="U718" s="379"/>
      <c r="V718" s="379"/>
      <c r="W718" s="379"/>
      <c r="X718" s="379"/>
      <c r="Y718" s="379"/>
      <c r="Z718" s="379"/>
      <c r="AA718" s="379"/>
      <c r="AB718" s="379"/>
      <c r="AC718" s="379"/>
      <c r="AD718" s="379"/>
      <c r="AE718" s="379"/>
      <c r="AF718" s="379"/>
      <c r="AG718" s="379"/>
      <c r="AH718" s="379"/>
      <c r="AI718" s="379"/>
      <c r="AJ718" s="379"/>
      <c r="AK718" s="379"/>
      <c r="AL718" s="379"/>
      <c r="AM718" s="379"/>
      <c r="AN718" s="379"/>
      <c r="AO718" s="379"/>
      <c r="AP718" s="379"/>
      <c r="AQ718" s="379"/>
      <c r="AR718" s="379"/>
      <c r="AS718" s="379"/>
      <c r="AT718" s="379"/>
      <c r="AU718" s="379"/>
      <c r="AV718" s="379"/>
      <c r="AW718" s="379"/>
      <c r="AX718" s="379"/>
      <c r="AY718" s="379"/>
      <c r="AZ718" s="379"/>
      <c r="BA718" s="379"/>
      <c r="BB718" s="379"/>
      <c r="BC718" s="379"/>
      <c r="BD718" s="379"/>
      <c r="BE718" s="379"/>
      <c r="BF718" s="379"/>
      <c r="BG718" s="379"/>
      <c r="BH718" s="379"/>
      <c r="BI718" s="379"/>
      <c r="BJ718" s="379"/>
      <c r="BK718" s="379"/>
      <c r="BL718" s="379"/>
      <c r="BM718" s="379"/>
      <c r="BN718" s="379"/>
      <c r="BO718" s="379"/>
      <c r="BP718" s="379"/>
      <c r="BQ718" s="379"/>
      <c r="BR718" s="379"/>
      <c r="BS718" s="379"/>
      <c r="BT718" s="379"/>
      <c r="BU718" s="379"/>
      <c r="BV718" s="379"/>
      <c r="BW718" s="379"/>
      <c r="BX718" s="379"/>
      <c r="BY718" s="379"/>
      <c r="BZ718" s="379"/>
      <c r="CA718" s="281"/>
      <c r="CB718" s="3" t="str">
        <f t="shared" si="92"/>
        <v>Riadok bude vidieť.</v>
      </c>
      <c r="CC718" s="271" t="s">
        <v>832</v>
      </c>
      <c r="CW718" s="30">
        <f t="shared" si="95"/>
        <v>1</v>
      </c>
      <c r="CX718" s="42"/>
      <c r="CY718" s="42"/>
      <c r="CZ718" s="30">
        <f t="shared" si="89"/>
        <v>1</v>
      </c>
      <c r="DA718" s="30">
        <f t="shared" si="94"/>
        <v>1</v>
      </c>
      <c r="DB718" s="140">
        <f t="shared" si="91"/>
        <v>1</v>
      </c>
      <c r="DR718" s="81"/>
      <c r="DS718" s="130">
        <f>SI!BY718</f>
        <v>344</v>
      </c>
      <c r="DT718" s="130"/>
      <c r="DU718" s="130"/>
      <c r="DV718" s="130"/>
      <c r="DW718" s="130"/>
      <c r="DX718" s="130"/>
      <c r="DY718" s="130"/>
      <c r="DZ718" s="131">
        <f>SI!BZ718</f>
        <v>0</v>
      </c>
      <c r="EA718" s="81"/>
      <c r="EB718" s="81"/>
    </row>
    <row r="719" spans="1:132" s="12" customFormat="1" x14ac:dyDescent="0.25">
      <c r="A719" s="283"/>
      <c r="B719" s="379" t="s">
        <v>712</v>
      </c>
      <c r="C719" s="379"/>
      <c r="D719" s="379"/>
      <c r="E719" s="379"/>
      <c r="F719" s="379"/>
      <c r="G719" s="379"/>
      <c r="H719" s="379"/>
      <c r="I719" s="379"/>
      <c r="J719" s="379"/>
      <c r="K719" s="379"/>
      <c r="L719" s="379"/>
      <c r="M719" s="379"/>
      <c r="N719" s="379"/>
      <c r="O719" s="379"/>
      <c r="P719" s="379"/>
      <c r="Q719" s="379"/>
      <c r="R719" s="379"/>
      <c r="S719" s="379"/>
      <c r="T719" s="379"/>
      <c r="U719" s="379"/>
      <c r="V719" s="379"/>
      <c r="W719" s="379"/>
      <c r="X719" s="379"/>
      <c r="Y719" s="379"/>
      <c r="Z719" s="379"/>
      <c r="AA719" s="379"/>
      <c r="AB719" s="379"/>
      <c r="AC719" s="379"/>
      <c r="AD719" s="379"/>
      <c r="AE719" s="379"/>
      <c r="AF719" s="379"/>
      <c r="AG719" s="379"/>
      <c r="AH719" s="379"/>
      <c r="AI719" s="379"/>
      <c r="AJ719" s="379"/>
      <c r="AK719" s="379"/>
      <c r="AL719" s="379"/>
      <c r="AM719" s="379"/>
      <c r="AN719" s="379"/>
      <c r="AO719" s="379"/>
      <c r="AP719" s="379"/>
      <c r="AQ719" s="379"/>
      <c r="AR719" s="379"/>
      <c r="AS719" s="379"/>
      <c r="AT719" s="379"/>
      <c r="AU719" s="379"/>
      <c r="AV719" s="379"/>
      <c r="AW719" s="379"/>
      <c r="AX719" s="379"/>
      <c r="AY719" s="379"/>
      <c r="AZ719" s="379"/>
      <c r="BA719" s="379"/>
      <c r="BB719" s="379"/>
      <c r="BC719" s="379"/>
      <c r="BD719" s="379"/>
      <c r="BE719" s="379"/>
      <c r="BF719" s="379"/>
      <c r="BG719" s="379"/>
      <c r="BH719" s="379"/>
      <c r="BI719" s="379"/>
      <c r="BJ719" s="379"/>
      <c r="BK719" s="379"/>
      <c r="BL719" s="379"/>
      <c r="BM719" s="379"/>
      <c r="BN719" s="379"/>
      <c r="BO719" s="379"/>
      <c r="BP719" s="379"/>
      <c r="BQ719" s="379"/>
      <c r="BR719" s="379"/>
      <c r="BS719" s="379"/>
      <c r="BT719" s="379"/>
      <c r="BU719" s="379"/>
      <c r="BV719" s="379"/>
      <c r="BW719" s="379"/>
      <c r="BX719" s="379"/>
      <c r="BY719" s="379"/>
      <c r="BZ719" s="379"/>
      <c r="CA719" s="281"/>
      <c r="CB719" s="3" t="str">
        <f t="shared" si="92"/>
        <v>Riadok bude vidieť.</v>
      </c>
      <c r="CC719" s="271" t="s">
        <v>832</v>
      </c>
      <c r="CW719" s="30">
        <f t="shared" si="95"/>
        <v>1</v>
      </c>
      <c r="CX719" s="42"/>
      <c r="CY719" s="42"/>
      <c r="CZ719" s="30">
        <f t="shared" si="89"/>
        <v>1</v>
      </c>
      <c r="DA719" s="30">
        <f t="shared" si="94"/>
        <v>1</v>
      </c>
      <c r="DB719" s="140">
        <f t="shared" si="91"/>
        <v>1</v>
      </c>
      <c r="DR719" s="81"/>
      <c r="DS719" s="130">
        <f>SI!BY719</f>
        <v>136</v>
      </c>
      <c r="DT719" s="130"/>
      <c r="DU719" s="130"/>
      <c r="DV719" s="130"/>
      <c r="DW719" s="130"/>
      <c r="DX719" s="130"/>
      <c r="DY719" s="130"/>
      <c r="DZ719" s="131">
        <f>SI!BZ719</f>
        <v>0</v>
      </c>
      <c r="EA719" s="81"/>
      <c r="EB719" s="81"/>
    </row>
    <row r="720" spans="1:132" s="12" customFormat="1" x14ac:dyDescent="0.25">
      <c r="A720" s="283"/>
      <c r="B720" s="379" t="s">
        <v>711</v>
      </c>
      <c r="C720" s="379"/>
      <c r="D720" s="379"/>
      <c r="E720" s="379"/>
      <c r="F720" s="379"/>
      <c r="G720" s="379"/>
      <c r="H720" s="379"/>
      <c r="I720" s="379"/>
      <c r="J720" s="379"/>
      <c r="K720" s="379"/>
      <c r="L720" s="379"/>
      <c r="M720" s="379"/>
      <c r="N720" s="379"/>
      <c r="O720" s="379"/>
      <c r="P720" s="379"/>
      <c r="Q720" s="379"/>
      <c r="R720" s="379"/>
      <c r="S720" s="379"/>
      <c r="T720" s="379"/>
      <c r="U720" s="379"/>
      <c r="V720" s="379"/>
      <c r="W720" s="379"/>
      <c r="X720" s="379"/>
      <c r="Y720" s="379"/>
      <c r="Z720" s="379"/>
      <c r="AA720" s="379"/>
      <c r="AB720" s="379"/>
      <c r="AC720" s="379"/>
      <c r="AD720" s="379"/>
      <c r="AE720" s="379"/>
      <c r="AF720" s="379"/>
      <c r="AG720" s="379"/>
      <c r="AH720" s="379"/>
      <c r="AI720" s="379"/>
      <c r="AJ720" s="379"/>
      <c r="AK720" s="379"/>
      <c r="AL720" s="379"/>
      <c r="AM720" s="379"/>
      <c r="AN720" s="379"/>
      <c r="AO720" s="379"/>
      <c r="AP720" s="379"/>
      <c r="AQ720" s="379"/>
      <c r="AR720" s="379"/>
      <c r="AS720" s="379"/>
      <c r="AT720" s="379"/>
      <c r="AU720" s="379"/>
      <c r="AV720" s="379"/>
      <c r="AW720" s="379"/>
      <c r="AX720" s="379"/>
      <c r="AY720" s="379"/>
      <c r="AZ720" s="379"/>
      <c r="BA720" s="379"/>
      <c r="BB720" s="379"/>
      <c r="BC720" s="379"/>
      <c r="BD720" s="379"/>
      <c r="BE720" s="379"/>
      <c r="BF720" s="379"/>
      <c r="BG720" s="379"/>
      <c r="BH720" s="379"/>
      <c r="BI720" s="379"/>
      <c r="BJ720" s="379"/>
      <c r="BK720" s="379"/>
      <c r="BL720" s="379"/>
      <c r="BM720" s="379"/>
      <c r="BN720" s="379"/>
      <c r="BO720" s="379"/>
      <c r="BP720" s="379"/>
      <c r="BQ720" s="379"/>
      <c r="BR720" s="379"/>
      <c r="BS720" s="379"/>
      <c r="BT720" s="379"/>
      <c r="BU720" s="379"/>
      <c r="BV720" s="379"/>
      <c r="BW720" s="379"/>
      <c r="BX720" s="379"/>
      <c r="BY720" s="379"/>
      <c r="BZ720" s="379"/>
      <c r="CA720" s="281"/>
      <c r="CB720" s="3" t="str">
        <f t="shared" si="92"/>
        <v>Riadok bude vidieť.</v>
      </c>
      <c r="CC720" s="271" t="s">
        <v>832</v>
      </c>
      <c r="CD720" s="2"/>
      <c r="CE720" s="2"/>
      <c r="CW720" s="30">
        <f t="shared" si="95"/>
        <v>1</v>
      </c>
      <c r="CX720" s="42"/>
      <c r="CY720" s="42"/>
      <c r="CZ720" s="30">
        <f t="shared" si="89"/>
        <v>1</v>
      </c>
      <c r="DA720" s="30">
        <f t="shared" si="94"/>
        <v>1</v>
      </c>
      <c r="DB720" s="140">
        <f t="shared" si="91"/>
        <v>1</v>
      </c>
      <c r="DR720" s="81"/>
      <c r="DS720" s="130">
        <f>SI!BY720</f>
        <v>409</v>
      </c>
      <c r="DT720" s="130"/>
      <c r="DU720" s="130"/>
      <c r="DV720" s="130"/>
      <c r="DW720" s="130"/>
      <c r="DX720" s="130"/>
      <c r="DY720" s="130"/>
      <c r="DZ720" s="131">
        <f>SI!BZ720</f>
        <v>0</v>
      </c>
      <c r="EA720" s="81"/>
      <c r="EB720" s="81"/>
    </row>
    <row r="721" spans="1:132" s="12" customFormat="1" hidden="1" x14ac:dyDescent="0.25">
      <c r="A721" s="283"/>
      <c r="B721" s="406"/>
      <c r="C721" s="406"/>
      <c r="D721" s="406"/>
      <c r="E721" s="406"/>
      <c r="F721" s="406"/>
      <c r="G721" s="406"/>
      <c r="H721" s="406"/>
      <c r="I721" s="406"/>
      <c r="J721" s="406"/>
      <c r="K721" s="406"/>
      <c r="L721" s="406"/>
      <c r="M721" s="406"/>
      <c r="N721" s="406"/>
      <c r="O721" s="406"/>
      <c r="P721" s="406"/>
      <c r="Q721" s="406"/>
      <c r="R721" s="406"/>
      <c r="S721" s="406"/>
      <c r="T721" s="406"/>
      <c r="U721" s="406"/>
      <c r="V721" s="406"/>
      <c r="W721" s="406"/>
      <c r="X721" s="406"/>
      <c r="Y721" s="406"/>
      <c r="Z721" s="406"/>
      <c r="AA721" s="406"/>
      <c r="AB721" s="406"/>
      <c r="AC721" s="406"/>
      <c r="AD721" s="406"/>
      <c r="AE721" s="406"/>
      <c r="AF721" s="406"/>
      <c r="AG721" s="406"/>
      <c r="AH721" s="406"/>
      <c r="AI721" s="406"/>
      <c r="AJ721" s="406"/>
      <c r="AK721" s="406"/>
      <c r="AL721" s="406"/>
      <c r="AM721" s="406"/>
      <c r="AN721" s="406"/>
      <c r="AO721" s="406"/>
      <c r="AP721" s="406"/>
      <c r="AQ721" s="406"/>
      <c r="AR721" s="406"/>
      <c r="AS721" s="406"/>
      <c r="AT721" s="406"/>
      <c r="AU721" s="406"/>
      <c r="AV721" s="406"/>
      <c r="AW721" s="406"/>
      <c r="AX721" s="406"/>
      <c r="AY721" s="406"/>
      <c r="AZ721" s="406"/>
      <c r="BA721" s="406"/>
      <c r="BB721" s="406"/>
      <c r="BC721" s="406"/>
      <c r="BD721" s="406"/>
      <c r="BE721" s="406"/>
      <c r="BF721" s="406"/>
      <c r="BG721" s="406"/>
      <c r="BH721" s="406"/>
      <c r="BI721" s="406"/>
      <c r="BJ721" s="406"/>
      <c r="BK721" s="406"/>
      <c r="BL721" s="406"/>
      <c r="BM721" s="406"/>
      <c r="BN721" s="406"/>
      <c r="BO721" s="406"/>
      <c r="BP721" s="406"/>
      <c r="BQ721" s="406"/>
      <c r="BR721" s="406"/>
      <c r="BS721" s="406"/>
      <c r="BT721" s="406"/>
      <c r="BU721" s="406"/>
      <c r="BV721" s="406"/>
      <c r="BW721" s="406"/>
      <c r="BX721" s="406"/>
      <c r="BY721" s="406"/>
      <c r="BZ721" s="406"/>
      <c r="CA721" s="281"/>
      <c r="CB721" s="3" t="str">
        <f t="shared" si="92"/>
        <v>Riadok bude skrytý.</v>
      </c>
      <c r="CC721" s="271" t="s">
        <v>832</v>
      </c>
      <c r="CW721" s="30">
        <f t="shared" si="95"/>
        <v>0</v>
      </c>
      <c r="CX721" s="42"/>
      <c r="CY721" s="42"/>
      <c r="CZ721" s="30">
        <f t="shared" si="89"/>
        <v>1</v>
      </c>
      <c r="DA721" s="30">
        <f t="shared" si="94"/>
        <v>0</v>
      </c>
      <c r="DB721" s="140">
        <f t="shared" si="91"/>
        <v>0</v>
      </c>
      <c r="DR721" s="81"/>
      <c r="DS721" s="130">
        <f>SI!BY721</f>
        <v>166</v>
      </c>
      <c r="DT721" s="130"/>
      <c r="DU721" s="130"/>
      <c r="DV721" s="130"/>
      <c r="DW721" s="130"/>
      <c r="DX721" s="130"/>
      <c r="DY721" s="130"/>
      <c r="DZ721" s="131">
        <f>SI!BZ721</f>
        <v>0</v>
      </c>
      <c r="EA721" s="81"/>
      <c r="EB721" s="81"/>
    </row>
    <row r="722" spans="1:132" s="12" customFormat="1" hidden="1" x14ac:dyDescent="0.25">
      <c r="A722" s="283"/>
      <c r="B722" s="379"/>
      <c r="C722" s="379"/>
      <c r="D722" s="379"/>
      <c r="E722" s="379"/>
      <c r="F722" s="379"/>
      <c r="G722" s="379"/>
      <c r="H722" s="379"/>
      <c r="I722" s="379"/>
      <c r="J722" s="379"/>
      <c r="K722" s="379"/>
      <c r="L722" s="379"/>
      <c r="M722" s="379"/>
      <c r="N722" s="379"/>
      <c r="O722" s="379"/>
      <c r="P722" s="379"/>
      <c r="Q722" s="379"/>
      <c r="R722" s="379"/>
      <c r="S722" s="379"/>
      <c r="T722" s="379"/>
      <c r="U722" s="379"/>
      <c r="V722" s="379"/>
      <c r="W722" s="379"/>
      <c r="X722" s="379"/>
      <c r="Y722" s="379"/>
      <c r="Z722" s="379"/>
      <c r="AA722" s="379"/>
      <c r="AB722" s="379"/>
      <c r="AC722" s="379"/>
      <c r="AD722" s="379"/>
      <c r="AE722" s="379"/>
      <c r="AF722" s="379"/>
      <c r="AG722" s="379"/>
      <c r="AH722" s="379"/>
      <c r="AI722" s="379"/>
      <c r="AJ722" s="379"/>
      <c r="AK722" s="379"/>
      <c r="AL722" s="379"/>
      <c r="AM722" s="379"/>
      <c r="AN722" s="379"/>
      <c r="AO722" s="379"/>
      <c r="AP722" s="379"/>
      <c r="AQ722" s="379"/>
      <c r="AR722" s="379"/>
      <c r="AS722" s="379"/>
      <c r="AT722" s="379"/>
      <c r="AU722" s="379"/>
      <c r="AV722" s="379"/>
      <c r="AW722" s="379"/>
      <c r="AX722" s="379"/>
      <c r="AY722" s="379"/>
      <c r="AZ722" s="379"/>
      <c r="BA722" s="379"/>
      <c r="BB722" s="379"/>
      <c r="BC722" s="379"/>
      <c r="BD722" s="379"/>
      <c r="BE722" s="379"/>
      <c r="BF722" s="379"/>
      <c r="BG722" s="379"/>
      <c r="BH722" s="379"/>
      <c r="BI722" s="379"/>
      <c r="BJ722" s="379"/>
      <c r="BK722" s="379"/>
      <c r="BL722" s="379"/>
      <c r="BM722" s="379"/>
      <c r="BN722" s="379"/>
      <c r="BO722" s="379"/>
      <c r="BP722" s="379"/>
      <c r="BQ722" s="379"/>
      <c r="BR722" s="379"/>
      <c r="BS722" s="379"/>
      <c r="BT722" s="379"/>
      <c r="BU722" s="379"/>
      <c r="BV722" s="379"/>
      <c r="BW722" s="379"/>
      <c r="BX722" s="379"/>
      <c r="BY722" s="379"/>
      <c r="BZ722" s="379"/>
      <c r="CA722" s="281"/>
      <c r="CB722" s="3" t="str">
        <f t="shared" si="92"/>
        <v>Riadok bude skrytý.</v>
      </c>
      <c r="CC722" s="271" t="s">
        <v>832</v>
      </c>
      <c r="CW722" s="30">
        <f t="shared" si="95"/>
        <v>0</v>
      </c>
      <c r="CX722" s="42"/>
      <c r="CY722" s="42"/>
      <c r="CZ722" s="30">
        <f t="shared" si="89"/>
        <v>1</v>
      </c>
      <c r="DA722" s="30">
        <f t="shared" si="94"/>
        <v>0</v>
      </c>
      <c r="DB722" s="140">
        <f t="shared" si="91"/>
        <v>0</v>
      </c>
      <c r="DR722" s="81"/>
      <c r="DS722" s="130">
        <f>SI!BY722</f>
        <v>1</v>
      </c>
      <c r="DT722" s="130"/>
      <c r="DU722" s="130"/>
      <c r="DV722" s="130"/>
      <c r="DW722" s="130"/>
      <c r="DX722" s="130"/>
      <c r="DY722" s="130"/>
      <c r="DZ722" s="131">
        <f>SI!BZ722</f>
        <v>0</v>
      </c>
      <c r="EA722" s="81"/>
      <c r="EB722" s="81"/>
    </row>
    <row r="723" spans="1:132" s="12" customFormat="1" hidden="1" x14ac:dyDescent="0.25">
      <c r="A723" s="283"/>
      <c r="B723" s="379"/>
      <c r="C723" s="379"/>
      <c r="D723" s="379"/>
      <c r="E723" s="379"/>
      <c r="F723" s="379"/>
      <c r="G723" s="379"/>
      <c r="H723" s="379"/>
      <c r="I723" s="379"/>
      <c r="J723" s="379"/>
      <c r="K723" s="379"/>
      <c r="L723" s="379"/>
      <c r="M723" s="379"/>
      <c r="N723" s="379"/>
      <c r="O723" s="379"/>
      <c r="P723" s="379"/>
      <c r="Q723" s="379"/>
      <c r="R723" s="379"/>
      <c r="S723" s="379"/>
      <c r="T723" s="379"/>
      <c r="U723" s="379"/>
      <c r="V723" s="379"/>
      <c r="W723" s="379"/>
      <c r="X723" s="379"/>
      <c r="Y723" s="379"/>
      <c r="Z723" s="379"/>
      <c r="AA723" s="379"/>
      <c r="AB723" s="379"/>
      <c r="AC723" s="379"/>
      <c r="AD723" s="379"/>
      <c r="AE723" s="379"/>
      <c r="AF723" s="379"/>
      <c r="AG723" s="379"/>
      <c r="AH723" s="379"/>
      <c r="AI723" s="379"/>
      <c r="AJ723" s="379"/>
      <c r="AK723" s="379"/>
      <c r="AL723" s="379"/>
      <c r="AM723" s="379"/>
      <c r="AN723" s="379"/>
      <c r="AO723" s="379"/>
      <c r="AP723" s="379"/>
      <c r="AQ723" s="379"/>
      <c r="AR723" s="379"/>
      <c r="AS723" s="379"/>
      <c r="AT723" s="379"/>
      <c r="AU723" s="379"/>
      <c r="AV723" s="379"/>
      <c r="AW723" s="379"/>
      <c r="AX723" s="379"/>
      <c r="AY723" s="379"/>
      <c r="AZ723" s="379"/>
      <c r="BA723" s="379"/>
      <c r="BB723" s="379"/>
      <c r="BC723" s="379"/>
      <c r="BD723" s="379"/>
      <c r="BE723" s="379"/>
      <c r="BF723" s="379"/>
      <c r="BG723" s="379"/>
      <c r="BH723" s="379"/>
      <c r="BI723" s="379"/>
      <c r="BJ723" s="379"/>
      <c r="BK723" s="379"/>
      <c r="BL723" s="379"/>
      <c r="BM723" s="379"/>
      <c r="BN723" s="379"/>
      <c r="BO723" s="379"/>
      <c r="BP723" s="379"/>
      <c r="BQ723" s="379"/>
      <c r="BR723" s="379"/>
      <c r="BS723" s="379"/>
      <c r="BT723" s="379"/>
      <c r="BU723" s="379"/>
      <c r="BV723" s="379"/>
      <c r="BW723" s="379"/>
      <c r="BX723" s="379"/>
      <c r="BY723" s="379"/>
      <c r="BZ723" s="379"/>
      <c r="CA723" s="281"/>
      <c r="CB723" s="3" t="str">
        <f t="shared" si="92"/>
        <v>Riadok bude skrytý.</v>
      </c>
      <c r="CC723" s="271" t="s">
        <v>832</v>
      </c>
      <c r="CW723" s="30">
        <f t="shared" si="95"/>
        <v>0</v>
      </c>
      <c r="CX723" s="42"/>
      <c r="CY723" s="42"/>
      <c r="CZ723" s="30">
        <f t="shared" si="89"/>
        <v>1</v>
      </c>
      <c r="DA723" s="30">
        <f t="shared" si="94"/>
        <v>0</v>
      </c>
      <c r="DB723" s="140">
        <f t="shared" si="91"/>
        <v>0</v>
      </c>
      <c r="DR723" s="81"/>
      <c r="DS723" s="130">
        <f>SI!BY723</f>
        <v>110</v>
      </c>
      <c r="DT723" s="130"/>
      <c r="DU723" s="130"/>
      <c r="DV723" s="130"/>
      <c r="DW723" s="130"/>
      <c r="DX723" s="130"/>
      <c r="DY723" s="130"/>
      <c r="DZ723" s="131">
        <f>SI!BZ723</f>
        <v>0</v>
      </c>
      <c r="EA723" s="81"/>
      <c r="EB723" s="81"/>
    </row>
    <row r="724" spans="1:132" s="12" customFormat="1" hidden="1" x14ac:dyDescent="0.25">
      <c r="A724" s="283"/>
      <c r="B724" s="379"/>
      <c r="C724" s="379"/>
      <c r="D724" s="379"/>
      <c r="E724" s="379"/>
      <c r="F724" s="379"/>
      <c r="G724" s="379"/>
      <c r="H724" s="379"/>
      <c r="I724" s="379"/>
      <c r="J724" s="379"/>
      <c r="K724" s="379"/>
      <c r="L724" s="379"/>
      <c r="M724" s="379"/>
      <c r="N724" s="379"/>
      <c r="O724" s="379"/>
      <c r="P724" s="379"/>
      <c r="Q724" s="379"/>
      <c r="R724" s="379"/>
      <c r="S724" s="379"/>
      <c r="T724" s="379"/>
      <c r="U724" s="379"/>
      <c r="V724" s="379"/>
      <c r="W724" s="379"/>
      <c r="X724" s="379"/>
      <c r="Y724" s="379"/>
      <c r="Z724" s="379"/>
      <c r="AA724" s="379"/>
      <c r="AB724" s="379"/>
      <c r="AC724" s="379"/>
      <c r="AD724" s="379"/>
      <c r="AE724" s="379"/>
      <c r="AF724" s="379"/>
      <c r="AG724" s="379"/>
      <c r="AH724" s="379"/>
      <c r="AI724" s="379"/>
      <c r="AJ724" s="379"/>
      <c r="AK724" s="379"/>
      <c r="AL724" s="379"/>
      <c r="AM724" s="379"/>
      <c r="AN724" s="379"/>
      <c r="AO724" s="379"/>
      <c r="AP724" s="379"/>
      <c r="AQ724" s="379"/>
      <c r="AR724" s="379"/>
      <c r="AS724" s="379"/>
      <c r="AT724" s="379"/>
      <c r="AU724" s="379"/>
      <c r="AV724" s="379"/>
      <c r="AW724" s="379"/>
      <c r="AX724" s="379"/>
      <c r="AY724" s="379"/>
      <c r="AZ724" s="379"/>
      <c r="BA724" s="379"/>
      <c r="BB724" s="379"/>
      <c r="BC724" s="379"/>
      <c r="BD724" s="379"/>
      <c r="BE724" s="379"/>
      <c r="BF724" s="379"/>
      <c r="BG724" s="379"/>
      <c r="BH724" s="379"/>
      <c r="BI724" s="379"/>
      <c r="BJ724" s="379"/>
      <c r="BK724" s="379"/>
      <c r="BL724" s="379"/>
      <c r="BM724" s="379"/>
      <c r="BN724" s="379"/>
      <c r="BO724" s="379"/>
      <c r="BP724" s="379"/>
      <c r="BQ724" s="379"/>
      <c r="BR724" s="379"/>
      <c r="BS724" s="379"/>
      <c r="BT724" s="379"/>
      <c r="BU724" s="379"/>
      <c r="BV724" s="379"/>
      <c r="BW724" s="379"/>
      <c r="BX724" s="379"/>
      <c r="BY724" s="379"/>
      <c r="BZ724" s="379"/>
      <c r="CA724" s="281"/>
      <c r="CB724" s="3" t="str">
        <f t="shared" si="92"/>
        <v>Riadok bude skrytý.</v>
      </c>
      <c r="CC724" s="271" t="s">
        <v>832</v>
      </c>
      <c r="CW724" s="30">
        <f t="shared" si="95"/>
        <v>0</v>
      </c>
      <c r="CX724" s="42"/>
      <c r="CY724" s="42"/>
      <c r="CZ724" s="30">
        <f t="shared" ref="CZ724:CZ787" si="96">IF(CC724="",1,IF(CC724="Chcem skryť riadok.",0,1))</f>
        <v>1</v>
      </c>
      <c r="DA724" s="30">
        <f t="shared" si="94"/>
        <v>0</v>
      </c>
      <c r="DB724" s="140">
        <f t="shared" si="91"/>
        <v>0</v>
      </c>
      <c r="DR724" s="81"/>
      <c r="DS724" s="130">
        <f>SI!BY724</f>
        <v>1021</v>
      </c>
      <c r="DT724" s="130"/>
      <c r="DU724" s="130"/>
      <c r="DV724" s="130"/>
      <c r="DW724" s="130"/>
      <c r="DX724" s="130"/>
      <c r="DY724" s="130"/>
      <c r="DZ724" s="131">
        <f>SI!BZ724</f>
        <v>0</v>
      </c>
      <c r="EA724" s="81"/>
      <c r="EB724" s="81"/>
    </row>
    <row r="725" spans="1:132" s="12" customFormat="1" hidden="1" x14ac:dyDescent="0.25">
      <c r="A725" s="283"/>
      <c r="B725" s="379"/>
      <c r="C725" s="379"/>
      <c r="D725" s="379"/>
      <c r="E725" s="379"/>
      <c r="F725" s="379"/>
      <c r="G725" s="379"/>
      <c r="H725" s="379"/>
      <c r="I725" s="379"/>
      <c r="J725" s="379"/>
      <c r="K725" s="379"/>
      <c r="L725" s="379"/>
      <c r="M725" s="379"/>
      <c r="N725" s="379"/>
      <c r="O725" s="379"/>
      <c r="P725" s="379"/>
      <c r="Q725" s="379"/>
      <c r="R725" s="379"/>
      <c r="S725" s="379"/>
      <c r="T725" s="379"/>
      <c r="U725" s="379"/>
      <c r="V725" s="379"/>
      <c r="W725" s="379"/>
      <c r="X725" s="379"/>
      <c r="Y725" s="379"/>
      <c r="Z725" s="379"/>
      <c r="AA725" s="379"/>
      <c r="AB725" s="379"/>
      <c r="AC725" s="379"/>
      <c r="AD725" s="379"/>
      <c r="AE725" s="379"/>
      <c r="AF725" s="379"/>
      <c r="AG725" s="379"/>
      <c r="AH725" s="379"/>
      <c r="AI725" s="379"/>
      <c r="AJ725" s="379"/>
      <c r="AK725" s="379"/>
      <c r="AL725" s="379"/>
      <c r="AM725" s="379"/>
      <c r="AN725" s="379"/>
      <c r="AO725" s="379"/>
      <c r="AP725" s="379"/>
      <c r="AQ725" s="379"/>
      <c r="AR725" s="379"/>
      <c r="AS725" s="379"/>
      <c r="AT725" s="379"/>
      <c r="AU725" s="379"/>
      <c r="AV725" s="379"/>
      <c r="AW725" s="379"/>
      <c r="AX725" s="379"/>
      <c r="AY725" s="379"/>
      <c r="AZ725" s="379"/>
      <c r="BA725" s="379"/>
      <c r="BB725" s="379"/>
      <c r="BC725" s="379"/>
      <c r="BD725" s="379"/>
      <c r="BE725" s="379"/>
      <c r="BF725" s="379"/>
      <c r="BG725" s="379"/>
      <c r="BH725" s="379"/>
      <c r="BI725" s="379"/>
      <c r="BJ725" s="379"/>
      <c r="BK725" s="379"/>
      <c r="BL725" s="379"/>
      <c r="BM725" s="379"/>
      <c r="BN725" s="379"/>
      <c r="BO725" s="379"/>
      <c r="BP725" s="379"/>
      <c r="BQ725" s="379"/>
      <c r="BR725" s="379"/>
      <c r="BS725" s="379"/>
      <c r="BT725" s="379"/>
      <c r="BU725" s="379"/>
      <c r="BV725" s="379"/>
      <c r="BW725" s="379"/>
      <c r="BX725" s="379"/>
      <c r="BY725" s="379"/>
      <c r="BZ725" s="379"/>
      <c r="CA725" s="281"/>
      <c r="CB725" s="3" t="str">
        <f t="shared" si="92"/>
        <v>Riadok bude skrytý.</v>
      </c>
      <c r="CC725" s="271" t="s">
        <v>832</v>
      </c>
      <c r="CW725" s="30">
        <f t="shared" si="95"/>
        <v>0</v>
      </c>
      <c r="CX725" s="42"/>
      <c r="CY725" s="42"/>
      <c r="CZ725" s="30">
        <f t="shared" si="96"/>
        <v>1</v>
      </c>
      <c r="DA725" s="30">
        <f t="shared" si="94"/>
        <v>0</v>
      </c>
      <c r="DB725" s="140">
        <f t="shared" si="91"/>
        <v>0</v>
      </c>
      <c r="DR725" s="81"/>
      <c r="DS725" s="130">
        <f>SI!BY725</f>
        <v>137</v>
      </c>
      <c r="DT725" s="130"/>
      <c r="DU725" s="130"/>
      <c r="DV725" s="130"/>
      <c r="DW725" s="130"/>
      <c r="DX725" s="130"/>
      <c r="DY725" s="130"/>
      <c r="DZ725" s="131">
        <f>SI!BZ725</f>
        <v>0</v>
      </c>
      <c r="EA725" s="81"/>
      <c r="EB725" s="81"/>
    </row>
    <row r="726" spans="1:132" s="12" customFormat="1" hidden="1" x14ac:dyDescent="0.25">
      <c r="A726" s="283"/>
      <c r="B726" s="406"/>
      <c r="C726" s="406"/>
      <c r="D726" s="406"/>
      <c r="E726" s="406"/>
      <c r="F726" s="406"/>
      <c r="G726" s="406"/>
      <c r="H726" s="406"/>
      <c r="I726" s="406"/>
      <c r="J726" s="406"/>
      <c r="K726" s="406"/>
      <c r="L726" s="406"/>
      <c r="M726" s="406"/>
      <c r="N726" s="406"/>
      <c r="O726" s="406"/>
      <c r="P726" s="406"/>
      <c r="Q726" s="406"/>
      <c r="R726" s="406"/>
      <c r="S726" s="406"/>
      <c r="T726" s="406"/>
      <c r="U726" s="406"/>
      <c r="V726" s="406"/>
      <c r="W726" s="406"/>
      <c r="X726" s="406"/>
      <c r="Y726" s="406"/>
      <c r="Z726" s="406"/>
      <c r="AA726" s="406"/>
      <c r="AB726" s="406"/>
      <c r="AC726" s="406"/>
      <c r="AD726" s="406"/>
      <c r="AE726" s="406"/>
      <c r="AF726" s="406"/>
      <c r="AG726" s="406"/>
      <c r="AH726" s="406"/>
      <c r="AI726" s="406"/>
      <c r="AJ726" s="406"/>
      <c r="AK726" s="406"/>
      <c r="AL726" s="406"/>
      <c r="AM726" s="406"/>
      <c r="AN726" s="406"/>
      <c r="AO726" s="406"/>
      <c r="AP726" s="406"/>
      <c r="AQ726" s="406"/>
      <c r="AR726" s="406"/>
      <c r="AS726" s="406"/>
      <c r="AT726" s="406"/>
      <c r="AU726" s="406"/>
      <c r="AV726" s="406"/>
      <c r="AW726" s="406"/>
      <c r="AX726" s="406"/>
      <c r="AY726" s="406"/>
      <c r="AZ726" s="406"/>
      <c r="BA726" s="406"/>
      <c r="BB726" s="406"/>
      <c r="BC726" s="406"/>
      <c r="BD726" s="406"/>
      <c r="BE726" s="406"/>
      <c r="BF726" s="406"/>
      <c r="BG726" s="406"/>
      <c r="BH726" s="406"/>
      <c r="BI726" s="406"/>
      <c r="BJ726" s="406"/>
      <c r="BK726" s="406"/>
      <c r="BL726" s="406"/>
      <c r="BM726" s="406"/>
      <c r="BN726" s="406"/>
      <c r="BO726" s="406"/>
      <c r="BP726" s="406"/>
      <c r="BQ726" s="406"/>
      <c r="BR726" s="406"/>
      <c r="BS726" s="406"/>
      <c r="BT726" s="406"/>
      <c r="BU726" s="406"/>
      <c r="BV726" s="406"/>
      <c r="BW726" s="406"/>
      <c r="BX726" s="406"/>
      <c r="BY726" s="406"/>
      <c r="BZ726" s="406"/>
      <c r="CA726" s="281"/>
      <c r="CB726" s="3" t="str">
        <f t="shared" si="92"/>
        <v>Riadok bude skrytý.</v>
      </c>
      <c r="CC726" s="271" t="s">
        <v>832</v>
      </c>
      <c r="CW726" s="30">
        <f t="shared" si="95"/>
        <v>0</v>
      </c>
      <c r="CX726" s="42"/>
      <c r="CY726" s="42"/>
      <c r="CZ726" s="30">
        <f t="shared" si="96"/>
        <v>1</v>
      </c>
      <c r="DA726" s="30">
        <f t="shared" si="94"/>
        <v>0</v>
      </c>
      <c r="DB726" s="140">
        <f t="shared" si="91"/>
        <v>0</v>
      </c>
      <c r="DR726" s="81"/>
      <c r="DS726" s="130">
        <f>SI!BY726</f>
        <v>203</v>
      </c>
      <c r="DT726" s="130"/>
      <c r="DU726" s="130"/>
      <c r="DV726" s="130"/>
      <c r="DW726" s="130"/>
      <c r="DX726" s="130"/>
      <c r="DY726" s="130"/>
      <c r="DZ726" s="131">
        <f>SI!BZ726</f>
        <v>0</v>
      </c>
      <c r="EA726" s="81"/>
      <c r="EB726" s="81"/>
    </row>
    <row r="727" spans="1:132" s="12" customFormat="1" hidden="1" x14ac:dyDescent="0.25">
      <c r="A727" s="283"/>
      <c r="B727" s="406"/>
      <c r="C727" s="406"/>
      <c r="D727" s="406"/>
      <c r="E727" s="406"/>
      <c r="F727" s="406"/>
      <c r="G727" s="406"/>
      <c r="H727" s="406"/>
      <c r="I727" s="406"/>
      <c r="J727" s="406"/>
      <c r="K727" s="406"/>
      <c r="L727" s="406"/>
      <c r="M727" s="406"/>
      <c r="N727" s="406"/>
      <c r="O727" s="406"/>
      <c r="P727" s="406"/>
      <c r="Q727" s="406"/>
      <c r="R727" s="406"/>
      <c r="S727" s="406"/>
      <c r="T727" s="406"/>
      <c r="U727" s="406"/>
      <c r="V727" s="406"/>
      <c r="W727" s="406"/>
      <c r="X727" s="406"/>
      <c r="Y727" s="406"/>
      <c r="Z727" s="406"/>
      <c r="AA727" s="406"/>
      <c r="AB727" s="406"/>
      <c r="AC727" s="406"/>
      <c r="AD727" s="406"/>
      <c r="AE727" s="406"/>
      <c r="AF727" s="406"/>
      <c r="AG727" s="406"/>
      <c r="AH727" s="406"/>
      <c r="AI727" s="406"/>
      <c r="AJ727" s="406"/>
      <c r="AK727" s="406"/>
      <c r="AL727" s="406"/>
      <c r="AM727" s="406"/>
      <c r="AN727" s="406"/>
      <c r="AO727" s="406"/>
      <c r="AP727" s="406"/>
      <c r="AQ727" s="406"/>
      <c r="AR727" s="406"/>
      <c r="AS727" s="406"/>
      <c r="AT727" s="406"/>
      <c r="AU727" s="406"/>
      <c r="AV727" s="406"/>
      <c r="AW727" s="406"/>
      <c r="AX727" s="406"/>
      <c r="AY727" s="406"/>
      <c r="AZ727" s="406"/>
      <c r="BA727" s="406"/>
      <c r="BB727" s="406"/>
      <c r="BC727" s="406"/>
      <c r="BD727" s="406"/>
      <c r="BE727" s="406"/>
      <c r="BF727" s="406"/>
      <c r="BG727" s="406"/>
      <c r="BH727" s="406"/>
      <c r="BI727" s="406"/>
      <c r="BJ727" s="406"/>
      <c r="BK727" s="406"/>
      <c r="BL727" s="406"/>
      <c r="BM727" s="406"/>
      <c r="BN727" s="406"/>
      <c r="BO727" s="406"/>
      <c r="BP727" s="406"/>
      <c r="BQ727" s="406"/>
      <c r="BR727" s="406"/>
      <c r="BS727" s="406"/>
      <c r="BT727" s="406"/>
      <c r="BU727" s="406"/>
      <c r="BV727" s="406"/>
      <c r="BW727" s="406"/>
      <c r="BX727" s="406"/>
      <c r="BY727" s="406"/>
      <c r="BZ727" s="406"/>
      <c r="CA727" s="281"/>
      <c r="CB727" s="3" t="str">
        <f t="shared" si="92"/>
        <v>Riadok bude skrytý.</v>
      </c>
      <c r="CC727" s="271" t="s">
        <v>832</v>
      </c>
      <c r="CW727" s="30">
        <f t="shared" si="95"/>
        <v>0</v>
      </c>
      <c r="CX727" s="42"/>
      <c r="CY727" s="42"/>
      <c r="CZ727" s="30">
        <f t="shared" si="96"/>
        <v>1</v>
      </c>
      <c r="DA727" s="30">
        <f t="shared" si="94"/>
        <v>0</v>
      </c>
      <c r="DB727" s="140">
        <f t="shared" si="91"/>
        <v>0</v>
      </c>
      <c r="DR727" s="81"/>
      <c r="DS727" s="130">
        <f>SI!BY727</f>
        <v>143</v>
      </c>
      <c r="DT727" s="130"/>
      <c r="DU727" s="130"/>
      <c r="DV727" s="130"/>
      <c r="DW727" s="130"/>
      <c r="DX727" s="130"/>
      <c r="DY727" s="130"/>
      <c r="DZ727" s="131">
        <f>SI!BZ727</f>
        <v>0</v>
      </c>
      <c r="EA727" s="81"/>
      <c r="EB727" s="81"/>
    </row>
    <row r="728" spans="1:132" s="12" customFormat="1" hidden="1" x14ac:dyDescent="0.25">
      <c r="A728" s="283"/>
      <c r="B728" s="379"/>
      <c r="C728" s="379"/>
      <c r="D728" s="379"/>
      <c r="E728" s="379"/>
      <c r="F728" s="379"/>
      <c r="G728" s="379"/>
      <c r="H728" s="379"/>
      <c r="I728" s="379"/>
      <c r="J728" s="379"/>
      <c r="K728" s="379"/>
      <c r="L728" s="379"/>
      <c r="M728" s="379"/>
      <c r="N728" s="379"/>
      <c r="O728" s="379"/>
      <c r="P728" s="379"/>
      <c r="Q728" s="379"/>
      <c r="R728" s="379"/>
      <c r="S728" s="379"/>
      <c r="T728" s="379"/>
      <c r="U728" s="379"/>
      <c r="V728" s="379"/>
      <c r="W728" s="379"/>
      <c r="X728" s="379"/>
      <c r="Y728" s="379"/>
      <c r="Z728" s="379"/>
      <c r="AA728" s="379"/>
      <c r="AB728" s="379"/>
      <c r="AC728" s="379"/>
      <c r="AD728" s="379"/>
      <c r="AE728" s="379"/>
      <c r="AF728" s="379"/>
      <c r="AG728" s="379"/>
      <c r="AH728" s="379"/>
      <c r="AI728" s="379"/>
      <c r="AJ728" s="379"/>
      <c r="AK728" s="379"/>
      <c r="AL728" s="379"/>
      <c r="AM728" s="379"/>
      <c r="AN728" s="379"/>
      <c r="AO728" s="379"/>
      <c r="AP728" s="379"/>
      <c r="AQ728" s="379"/>
      <c r="AR728" s="379"/>
      <c r="AS728" s="379"/>
      <c r="AT728" s="379"/>
      <c r="AU728" s="379"/>
      <c r="AV728" s="379"/>
      <c r="AW728" s="379"/>
      <c r="AX728" s="379"/>
      <c r="AY728" s="379"/>
      <c r="AZ728" s="379"/>
      <c r="BA728" s="379"/>
      <c r="BB728" s="379"/>
      <c r="BC728" s="379"/>
      <c r="BD728" s="379"/>
      <c r="BE728" s="379"/>
      <c r="BF728" s="379"/>
      <c r="BG728" s="379"/>
      <c r="BH728" s="379"/>
      <c r="BI728" s="379"/>
      <c r="BJ728" s="379"/>
      <c r="BK728" s="379"/>
      <c r="BL728" s="379"/>
      <c r="BM728" s="379"/>
      <c r="BN728" s="379"/>
      <c r="BO728" s="379"/>
      <c r="BP728" s="379"/>
      <c r="BQ728" s="379"/>
      <c r="BR728" s="379"/>
      <c r="BS728" s="379"/>
      <c r="BT728" s="379"/>
      <c r="BU728" s="379"/>
      <c r="BV728" s="379"/>
      <c r="BW728" s="379"/>
      <c r="BX728" s="379"/>
      <c r="BY728" s="379"/>
      <c r="BZ728" s="379"/>
      <c r="CA728" s="281"/>
      <c r="CB728" s="3" t="str">
        <f t="shared" si="92"/>
        <v>Riadok bude skrytý.</v>
      </c>
      <c r="CC728" s="271" t="s">
        <v>832</v>
      </c>
      <c r="CW728" s="30">
        <f t="shared" si="95"/>
        <v>0</v>
      </c>
      <c r="CX728" s="42"/>
      <c r="CY728" s="42"/>
      <c r="CZ728" s="30">
        <f t="shared" si="96"/>
        <v>1</v>
      </c>
      <c r="DA728" s="30">
        <f t="shared" si="94"/>
        <v>0</v>
      </c>
      <c r="DB728" s="140">
        <f t="shared" si="91"/>
        <v>0</v>
      </c>
      <c r="DR728" s="81"/>
      <c r="DS728" s="130">
        <f>SI!BY728</f>
        <v>189</v>
      </c>
      <c r="DT728" s="130"/>
      <c r="DU728" s="130"/>
      <c r="DV728" s="130"/>
      <c r="DW728" s="130"/>
      <c r="DX728" s="130"/>
      <c r="DY728" s="130"/>
      <c r="DZ728" s="131">
        <f>SI!BZ728</f>
        <v>0</v>
      </c>
      <c r="EA728" s="81"/>
      <c r="EB728" s="81"/>
    </row>
    <row r="729" spans="1:132" s="12" customFormat="1" hidden="1" x14ac:dyDescent="0.25">
      <c r="A729" s="283"/>
      <c r="B729" s="379"/>
      <c r="C729" s="379"/>
      <c r="D729" s="379"/>
      <c r="E729" s="379"/>
      <c r="F729" s="379"/>
      <c r="G729" s="379"/>
      <c r="H729" s="379"/>
      <c r="I729" s="379"/>
      <c r="J729" s="379"/>
      <c r="K729" s="379"/>
      <c r="L729" s="379"/>
      <c r="M729" s="379"/>
      <c r="N729" s="379"/>
      <c r="O729" s="379"/>
      <c r="P729" s="379"/>
      <c r="Q729" s="379"/>
      <c r="R729" s="379"/>
      <c r="S729" s="379"/>
      <c r="T729" s="379"/>
      <c r="U729" s="379"/>
      <c r="V729" s="379"/>
      <c r="W729" s="379"/>
      <c r="X729" s="379"/>
      <c r="Y729" s="379"/>
      <c r="Z729" s="379"/>
      <c r="AA729" s="379"/>
      <c r="AB729" s="379"/>
      <c r="AC729" s="379"/>
      <c r="AD729" s="379"/>
      <c r="AE729" s="379"/>
      <c r="AF729" s="379"/>
      <c r="AG729" s="379"/>
      <c r="AH729" s="379"/>
      <c r="AI729" s="379"/>
      <c r="AJ729" s="379"/>
      <c r="AK729" s="379"/>
      <c r="AL729" s="379"/>
      <c r="AM729" s="379"/>
      <c r="AN729" s="379"/>
      <c r="AO729" s="379"/>
      <c r="AP729" s="379"/>
      <c r="AQ729" s="379"/>
      <c r="AR729" s="379"/>
      <c r="AS729" s="379"/>
      <c r="AT729" s="379"/>
      <c r="AU729" s="379"/>
      <c r="AV729" s="379"/>
      <c r="AW729" s="379"/>
      <c r="AX729" s="379"/>
      <c r="AY729" s="379"/>
      <c r="AZ729" s="379"/>
      <c r="BA729" s="379"/>
      <c r="BB729" s="379"/>
      <c r="BC729" s="379"/>
      <c r="BD729" s="379"/>
      <c r="BE729" s="379"/>
      <c r="BF729" s="379"/>
      <c r="BG729" s="379"/>
      <c r="BH729" s="379"/>
      <c r="BI729" s="379"/>
      <c r="BJ729" s="379"/>
      <c r="BK729" s="379"/>
      <c r="BL729" s="379"/>
      <c r="BM729" s="379"/>
      <c r="BN729" s="379"/>
      <c r="BO729" s="379"/>
      <c r="BP729" s="379"/>
      <c r="BQ729" s="379"/>
      <c r="BR729" s="379"/>
      <c r="BS729" s="379"/>
      <c r="BT729" s="379"/>
      <c r="BU729" s="379"/>
      <c r="BV729" s="379"/>
      <c r="BW729" s="379"/>
      <c r="BX729" s="379"/>
      <c r="BY729" s="379"/>
      <c r="BZ729" s="379"/>
      <c r="CA729" s="281"/>
      <c r="CB729" s="3" t="str">
        <f t="shared" si="92"/>
        <v>Riadok bude skrytý.</v>
      </c>
      <c r="CC729" s="271" t="s">
        <v>832</v>
      </c>
      <c r="CW729" s="30">
        <f t="shared" si="95"/>
        <v>0</v>
      </c>
      <c r="CX729" s="42"/>
      <c r="CY729" s="42"/>
      <c r="CZ729" s="30">
        <f t="shared" si="96"/>
        <v>1</v>
      </c>
      <c r="DA729" s="30">
        <f t="shared" si="94"/>
        <v>0</v>
      </c>
      <c r="DB729" s="140">
        <f t="shared" si="91"/>
        <v>0</v>
      </c>
      <c r="DR729" s="81"/>
      <c r="DS729" s="130">
        <f>SI!BY729</f>
        <v>126</v>
      </c>
      <c r="DT729" s="130"/>
      <c r="DU729" s="130"/>
      <c r="DV729" s="130"/>
      <c r="DW729" s="130"/>
      <c r="DX729" s="130"/>
      <c r="DY729" s="130"/>
      <c r="DZ729" s="131">
        <f>SI!BZ729</f>
        <v>0</v>
      </c>
      <c r="EA729" s="81"/>
      <c r="EB729" s="81"/>
    </row>
    <row r="730" spans="1:132" s="12" customFormat="1" hidden="1" x14ac:dyDescent="0.25">
      <c r="A730" s="283"/>
      <c r="B730" s="379"/>
      <c r="C730" s="379"/>
      <c r="D730" s="379"/>
      <c r="E730" s="379"/>
      <c r="F730" s="379"/>
      <c r="G730" s="379"/>
      <c r="H730" s="379"/>
      <c r="I730" s="379"/>
      <c r="J730" s="379"/>
      <c r="K730" s="379"/>
      <c r="L730" s="379"/>
      <c r="M730" s="379"/>
      <c r="N730" s="379"/>
      <c r="O730" s="379"/>
      <c r="P730" s="379"/>
      <c r="Q730" s="379"/>
      <c r="R730" s="379"/>
      <c r="S730" s="379"/>
      <c r="T730" s="379"/>
      <c r="U730" s="379"/>
      <c r="V730" s="379"/>
      <c r="W730" s="379"/>
      <c r="X730" s="379"/>
      <c r="Y730" s="379"/>
      <c r="Z730" s="379"/>
      <c r="AA730" s="379"/>
      <c r="AB730" s="379"/>
      <c r="AC730" s="379"/>
      <c r="AD730" s="379"/>
      <c r="AE730" s="379"/>
      <c r="AF730" s="379"/>
      <c r="AG730" s="379"/>
      <c r="AH730" s="379"/>
      <c r="AI730" s="379"/>
      <c r="AJ730" s="379"/>
      <c r="AK730" s="379"/>
      <c r="AL730" s="379"/>
      <c r="AM730" s="379"/>
      <c r="AN730" s="379"/>
      <c r="AO730" s="379"/>
      <c r="AP730" s="379"/>
      <c r="AQ730" s="379"/>
      <c r="AR730" s="379"/>
      <c r="AS730" s="379"/>
      <c r="AT730" s="379"/>
      <c r="AU730" s="379"/>
      <c r="AV730" s="379"/>
      <c r="AW730" s="379"/>
      <c r="AX730" s="379"/>
      <c r="AY730" s="379"/>
      <c r="AZ730" s="379"/>
      <c r="BA730" s="379"/>
      <c r="BB730" s="379"/>
      <c r="BC730" s="379"/>
      <c r="BD730" s="379"/>
      <c r="BE730" s="379"/>
      <c r="BF730" s="379"/>
      <c r="BG730" s="379"/>
      <c r="BH730" s="379"/>
      <c r="BI730" s="379"/>
      <c r="BJ730" s="379"/>
      <c r="BK730" s="379"/>
      <c r="BL730" s="379"/>
      <c r="BM730" s="379"/>
      <c r="BN730" s="379"/>
      <c r="BO730" s="379"/>
      <c r="BP730" s="379"/>
      <c r="BQ730" s="379"/>
      <c r="BR730" s="379"/>
      <c r="BS730" s="379"/>
      <c r="BT730" s="379"/>
      <c r="BU730" s="379"/>
      <c r="BV730" s="379"/>
      <c r="BW730" s="379"/>
      <c r="BX730" s="379"/>
      <c r="BY730" s="379"/>
      <c r="BZ730" s="379"/>
      <c r="CA730" s="281"/>
      <c r="CB730" s="3" t="str">
        <f t="shared" si="92"/>
        <v>Riadok bude skrytý.</v>
      </c>
      <c r="CC730" s="271" t="s">
        <v>832</v>
      </c>
      <c r="CW730" s="30">
        <f t="shared" si="95"/>
        <v>0</v>
      </c>
      <c r="CX730" s="42"/>
      <c r="CY730" s="42"/>
      <c r="CZ730" s="30">
        <f t="shared" si="96"/>
        <v>1</v>
      </c>
      <c r="DA730" s="30">
        <f t="shared" si="94"/>
        <v>0</v>
      </c>
      <c r="DB730" s="140">
        <f t="shared" si="91"/>
        <v>0</v>
      </c>
      <c r="DR730" s="81"/>
      <c r="DS730" s="130">
        <f>SI!BY730</f>
        <v>934</v>
      </c>
      <c r="DT730" s="130"/>
      <c r="DU730" s="130"/>
      <c r="DV730" s="130"/>
      <c r="DW730" s="130"/>
      <c r="DX730" s="130"/>
      <c r="DY730" s="130"/>
      <c r="DZ730" s="131">
        <f>SI!BZ730</f>
        <v>0</v>
      </c>
      <c r="EA730" s="81"/>
      <c r="EB730" s="81"/>
    </row>
    <row r="731" spans="1:132" s="12" customFormat="1" hidden="1" x14ac:dyDescent="0.25">
      <c r="A731" s="283"/>
      <c r="B731" s="379"/>
      <c r="C731" s="379"/>
      <c r="D731" s="379"/>
      <c r="E731" s="379"/>
      <c r="F731" s="379"/>
      <c r="G731" s="379"/>
      <c r="H731" s="379"/>
      <c r="I731" s="379"/>
      <c r="J731" s="379"/>
      <c r="K731" s="379"/>
      <c r="L731" s="379"/>
      <c r="M731" s="379"/>
      <c r="N731" s="379"/>
      <c r="O731" s="379"/>
      <c r="P731" s="379"/>
      <c r="Q731" s="379"/>
      <c r="R731" s="379"/>
      <c r="S731" s="379"/>
      <c r="T731" s="379"/>
      <c r="U731" s="379"/>
      <c r="V731" s="379"/>
      <c r="W731" s="379"/>
      <c r="X731" s="379"/>
      <c r="Y731" s="379"/>
      <c r="Z731" s="379"/>
      <c r="AA731" s="379"/>
      <c r="AB731" s="379"/>
      <c r="AC731" s="379"/>
      <c r="AD731" s="379"/>
      <c r="AE731" s="379"/>
      <c r="AF731" s="379"/>
      <c r="AG731" s="379"/>
      <c r="AH731" s="379"/>
      <c r="AI731" s="379"/>
      <c r="AJ731" s="379"/>
      <c r="AK731" s="379"/>
      <c r="AL731" s="379"/>
      <c r="AM731" s="379"/>
      <c r="AN731" s="379"/>
      <c r="AO731" s="379"/>
      <c r="AP731" s="379"/>
      <c r="AQ731" s="379"/>
      <c r="AR731" s="379"/>
      <c r="AS731" s="379"/>
      <c r="AT731" s="379"/>
      <c r="AU731" s="379"/>
      <c r="AV731" s="379"/>
      <c r="AW731" s="379"/>
      <c r="AX731" s="379"/>
      <c r="AY731" s="379"/>
      <c r="AZ731" s="379"/>
      <c r="BA731" s="379"/>
      <c r="BB731" s="379"/>
      <c r="BC731" s="379"/>
      <c r="BD731" s="379"/>
      <c r="BE731" s="379"/>
      <c r="BF731" s="379"/>
      <c r="BG731" s="379"/>
      <c r="BH731" s="379"/>
      <c r="BI731" s="379"/>
      <c r="BJ731" s="379"/>
      <c r="BK731" s="379"/>
      <c r="BL731" s="379"/>
      <c r="BM731" s="379"/>
      <c r="BN731" s="379"/>
      <c r="BO731" s="379"/>
      <c r="BP731" s="379"/>
      <c r="BQ731" s="379"/>
      <c r="BR731" s="379"/>
      <c r="BS731" s="379"/>
      <c r="BT731" s="379"/>
      <c r="BU731" s="379"/>
      <c r="BV731" s="379"/>
      <c r="BW731" s="379"/>
      <c r="BX731" s="379"/>
      <c r="BY731" s="379"/>
      <c r="BZ731" s="379"/>
      <c r="CA731" s="281"/>
      <c r="CB731" s="3" t="str">
        <f t="shared" si="92"/>
        <v>Riadok bude skrytý.</v>
      </c>
      <c r="CC731" s="271" t="s">
        <v>832</v>
      </c>
      <c r="CW731" s="30">
        <f t="shared" si="95"/>
        <v>0</v>
      </c>
      <c r="CX731" s="42"/>
      <c r="CY731" s="42"/>
      <c r="CZ731" s="30">
        <f t="shared" si="96"/>
        <v>1</v>
      </c>
      <c r="DA731" s="30">
        <f t="shared" si="94"/>
        <v>0</v>
      </c>
      <c r="DB731" s="140">
        <f t="shared" si="91"/>
        <v>0</v>
      </c>
      <c r="DR731" s="81"/>
      <c r="DS731" s="130">
        <f>SI!BY731</f>
        <v>110</v>
      </c>
      <c r="DT731" s="130"/>
      <c r="DU731" s="130"/>
      <c r="DV731" s="130"/>
      <c r="DW731" s="130"/>
      <c r="DX731" s="130"/>
      <c r="DY731" s="130"/>
      <c r="DZ731" s="131">
        <f>SI!BZ731</f>
        <v>0</v>
      </c>
      <c r="EA731" s="81"/>
      <c r="EB731" s="81"/>
    </row>
    <row r="732" spans="1:132" s="12" customFormat="1" hidden="1" x14ac:dyDescent="0.25">
      <c r="A732" s="283"/>
      <c r="B732" s="406"/>
      <c r="C732" s="406"/>
      <c r="D732" s="406"/>
      <c r="E732" s="406"/>
      <c r="F732" s="406"/>
      <c r="G732" s="406"/>
      <c r="H732" s="406"/>
      <c r="I732" s="406"/>
      <c r="J732" s="406"/>
      <c r="K732" s="406"/>
      <c r="L732" s="406"/>
      <c r="M732" s="406"/>
      <c r="N732" s="406"/>
      <c r="O732" s="406"/>
      <c r="P732" s="406"/>
      <c r="Q732" s="406"/>
      <c r="R732" s="406"/>
      <c r="S732" s="406"/>
      <c r="T732" s="406"/>
      <c r="U732" s="406"/>
      <c r="V732" s="406"/>
      <c r="W732" s="406"/>
      <c r="X732" s="406"/>
      <c r="Y732" s="406"/>
      <c r="Z732" s="406"/>
      <c r="AA732" s="406"/>
      <c r="AB732" s="406"/>
      <c r="AC732" s="406"/>
      <c r="AD732" s="406"/>
      <c r="AE732" s="406"/>
      <c r="AF732" s="406"/>
      <c r="AG732" s="406"/>
      <c r="AH732" s="406"/>
      <c r="AI732" s="406"/>
      <c r="AJ732" s="406"/>
      <c r="AK732" s="406"/>
      <c r="AL732" s="406"/>
      <c r="AM732" s="406"/>
      <c r="AN732" s="406"/>
      <c r="AO732" s="406"/>
      <c r="AP732" s="406"/>
      <c r="AQ732" s="406"/>
      <c r="AR732" s="406"/>
      <c r="AS732" s="406"/>
      <c r="AT732" s="406"/>
      <c r="AU732" s="406"/>
      <c r="AV732" s="406"/>
      <c r="AW732" s="406"/>
      <c r="AX732" s="406"/>
      <c r="AY732" s="406"/>
      <c r="AZ732" s="406"/>
      <c r="BA732" s="406"/>
      <c r="BB732" s="406"/>
      <c r="BC732" s="406"/>
      <c r="BD732" s="406"/>
      <c r="BE732" s="406"/>
      <c r="BF732" s="406"/>
      <c r="BG732" s="406"/>
      <c r="BH732" s="406"/>
      <c r="BI732" s="406"/>
      <c r="BJ732" s="406"/>
      <c r="BK732" s="406"/>
      <c r="BL732" s="406"/>
      <c r="BM732" s="406"/>
      <c r="BN732" s="406"/>
      <c r="BO732" s="406"/>
      <c r="BP732" s="406"/>
      <c r="BQ732" s="406"/>
      <c r="BR732" s="406"/>
      <c r="BS732" s="406"/>
      <c r="BT732" s="406"/>
      <c r="BU732" s="406"/>
      <c r="BV732" s="406"/>
      <c r="BW732" s="406"/>
      <c r="BX732" s="406"/>
      <c r="BY732" s="406"/>
      <c r="BZ732" s="406"/>
      <c r="CA732" s="281"/>
      <c r="CB732" s="3" t="str">
        <f t="shared" si="92"/>
        <v>Riadok bude skrytý.</v>
      </c>
      <c r="CC732" s="271" t="s">
        <v>832</v>
      </c>
      <c r="CW732" s="30">
        <f t="shared" si="95"/>
        <v>0</v>
      </c>
      <c r="CX732" s="42"/>
      <c r="CY732" s="42"/>
      <c r="CZ732" s="30">
        <f t="shared" si="96"/>
        <v>1</v>
      </c>
      <c r="DA732" s="30">
        <f t="shared" si="94"/>
        <v>0</v>
      </c>
      <c r="DB732" s="140">
        <f t="shared" si="91"/>
        <v>0</v>
      </c>
      <c r="DR732" s="81"/>
      <c r="DS732" s="130">
        <f>SI!BY732</f>
        <v>232</v>
      </c>
      <c r="DT732" s="130"/>
      <c r="DU732" s="130"/>
      <c r="DV732" s="130"/>
      <c r="DW732" s="130"/>
      <c r="DX732" s="130"/>
      <c r="DY732" s="130"/>
      <c r="DZ732" s="131">
        <f>SI!BZ732</f>
        <v>0</v>
      </c>
      <c r="EA732" s="81"/>
      <c r="EB732" s="81"/>
    </row>
    <row r="733" spans="1:132" s="12" customFormat="1" hidden="1" x14ac:dyDescent="0.25">
      <c r="A733" s="283"/>
      <c r="B733" s="406"/>
      <c r="C733" s="406"/>
      <c r="D733" s="406"/>
      <c r="E733" s="406"/>
      <c r="F733" s="406"/>
      <c r="G733" s="406"/>
      <c r="H733" s="406"/>
      <c r="I733" s="406"/>
      <c r="J733" s="406"/>
      <c r="K733" s="406"/>
      <c r="L733" s="406"/>
      <c r="M733" s="406"/>
      <c r="N733" s="406"/>
      <c r="O733" s="406"/>
      <c r="P733" s="406"/>
      <c r="Q733" s="406"/>
      <c r="R733" s="406"/>
      <c r="S733" s="406"/>
      <c r="T733" s="406"/>
      <c r="U733" s="406"/>
      <c r="V733" s="406"/>
      <c r="W733" s="406"/>
      <c r="X733" s="406"/>
      <c r="Y733" s="406"/>
      <c r="Z733" s="406"/>
      <c r="AA733" s="406"/>
      <c r="AB733" s="406"/>
      <c r="AC733" s="406"/>
      <c r="AD733" s="406"/>
      <c r="AE733" s="406"/>
      <c r="AF733" s="406"/>
      <c r="AG733" s="406"/>
      <c r="AH733" s="406"/>
      <c r="AI733" s="406"/>
      <c r="AJ733" s="406"/>
      <c r="AK733" s="406"/>
      <c r="AL733" s="406"/>
      <c r="AM733" s="406"/>
      <c r="AN733" s="406"/>
      <c r="AO733" s="406"/>
      <c r="AP733" s="406"/>
      <c r="AQ733" s="406"/>
      <c r="AR733" s="406"/>
      <c r="AS733" s="406"/>
      <c r="AT733" s="406"/>
      <c r="AU733" s="406"/>
      <c r="AV733" s="406"/>
      <c r="AW733" s="406"/>
      <c r="AX733" s="406"/>
      <c r="AY733" s="406"/>
      <c r="AZ733" s="406"/>
      <c r="BA733" s="406"/>
      <c r="BB733" s="406"/>
      <c r="BC733" s="406"/>
      <c r="BD733" s="406"/>
      <c r="BE733" s="406"/>
      <c r="BF733" s="406"/>
      <c r="BG733" s="406"/>
      <c r="BH733" s="406"/>
      <c r="BI733" s="406"/>
      <c r="BJ733" s="406"/>
      <c r="BK733" s="406"/>
      <c r="BL733" s="406"/>
      <c r="BM733" s="406"/>
      <c r="BN733" s="406"/>
      <c r="BO733" s="406"/>
      <c r="BP733" s="406"/>
      <c r="BQ733" s="406"/>
      <c r="BR733" s="406"/>
      <c r="BS733" s="406"/>
      <c r="BT733" s="406"/>
      <c r="BU733" s="406"/>
      <c r="BV733" s="406"/>
      <c r="BW733" s="406"/>
      <c r="BX733" s="406"/>
      <c r="BY733" s="406"/>
      <c r="BZ733" s="406"/>
      <c r="CA733" s="281"/>
      <c r="CB733" s="3" t="str">
        <f t="shared" si="92"/>
        <v>Riadok bude skrytý.</v>
      </c>
      <c r="CC733" s="271" t="s">
        <v>832</v>
      </c>
      <c r="CW733" s="30">
        <f t="shared" si="95"/>
        <v>0</v>
      </c>
      <c r="CX733" s="42"/>
      <c r="CY733" s="42"/>
      <c r="CZ733" s="30">
        <f t="shared" si="96"/>
        <v>1</v>
      </c>
      <c r="DA733" s="30">
        <f t="shared" si="94"/>
        <v>0</v>
      </c>
      <c r="DB733" s="140">
        <f t="shared" si="91"/>
        <v>0</v>
      </c>
      <c r="DR733" s="81"/>
      <c r="DS733" s="130">
        <f>SI!BY733</f>
        <v>149</v>
      </c>
      <c r="DT733" s="130"/>
      <c r="DU733" s="130"/>
      <c r="DV733" s="130"/>
      <c r="DW733" s="130"/>
      <c r="DX733" s="130"/>
      <c r="DY733" s="130"/>
      <c r="DZ733" s="131">
        <f>SI!BZ733</f>
        <v>0</v>
      </c>
      <c r="EA733" s="81"/>
      <c r="EB733" s="81"/>
    </row>
    <row r="734" spans="1:132" s="12" customFormat="1" hidden="1" x14ac:dyDescent="0.25">
      <c r="A734" s="283"/>
      <c r="B734" s="406"/>
      <c r="C734" s="406"/>
      <c r="D734" s="406"/>
      <c r="E734" s="406"/>
      <c r="F734" s="406"/>
      <c r="G734" s="406"/>
      <c r="H734" s="406"/>
      <c r="I734" s="406"/>
      <c r="J734" s="406"/>
      <c r="K734" s="406"/>
      <c r="L734" s="406"/>
      <c r="M734" s="406"/>
      <c r="N734" s="406"/>
      <c r="O734" s="406"/>
      <c r="P734" s="406"/>
      <c r="Q734" s="406"/>
      <c r="R734" s="406"/>
      <c r="S734" s="406"/>
      <c r="T734" s="406"/>
      <c r="U734" s="406"/>
      <c r="V734" s="406"/>
      <c r="W734" s="406"/>
      <c r="X734" s="406"/>
      <c r="Y734" s="406"/>
      <c r="Z734" s="406"/>
      <c r="AA734" s="406"/>
      <c r="AB734" s="406"/>
      <c r="AC734" s="406"/>
      <c r="AD734" s="406"/>
      <c r="AE734" s="406"/>
      <c r="AF734" s="406"/>
      <c r="AG734" s="406"/>
      <c r="AH734" s="406"/>
      <c r="AI734" s="406"/>
      <c r="AJ734" s="406"/>
      <c r="AK734" s="406"/>
      <c r="AL734" s="406"/>
      <c r="AM734" s="406"/>
      <c r="AN734" s="406"/>
      <c r="AO734" s="406"/>
      <c r="AP734" s="406"/>
      <c r="AQ734" s="406"/>
      <c r="AR734" s="406"/>
      <c r="AS734" s="406"/>
      <c r="AT734" s="406"/>
      <c r="AU734" s="406"/>
      <c r="AV734" s="406"/>
      <c r="AW734" s="406"/>
      <c r="AX734" s="406"/>
      <c r="AY734" s="406"/>
      <c r="AZ734" s="406"/>
      <c r="BA734" s="406"/>
      <c r="BB734" s="406"/>
      <c r="BC734" s="406"/>
      <c r="BD734" s="406"/>
      <c r="BE734" s="406"/>
      <c r="BF734" s="406"/>
      <c r="BG734" s="406"/>
      <c r="BH734" s="406"/>
      <c r="BI734" s="406"/>
      <c r="BJ734" s="406"/>
      <c r="BK734" s="406"/>
      <c r="BL734" s="406"/>
      <c r="BM734" s="406"/>
      <c r="BN734" s="406"/>
      <c r="BO734" s="406"/>
      <c r="BP734" s="406"/>
      <c r="BQ734" s="406"/>
      <c r="BR734" s="406"/>
      <c r="BS734" s="406"/>
      <c r="BT734" s="406"/>
      <c r="BU734" s="406"/>
      <c r="BV734" s="406"/>
      <c r="BW734" s="406"/>
      <c r="BX734" s="406"/>
      <c r="BY734" s="406"/>
      <c r="BZ734" s="406"/>
      <c r="CA734" s="281"/>
      <c r="CB734" s="3" t="str">
        <f t="shared" si="92"/>
        <v>Riadok bude skrytý.</v>
      </c>
      <c r="CC734" s="271" t="s">
        <v>832</v>
      </c>
      <c r="CW734" s="30">
        <f t="shared" si="95"/>
        <v>0</v>
      </c>
      <c r="CX734" s="42"/>
      <c r="CY734" s="42"/>
      <c r="CZ734" s="30">
        <f t="shared" si="96"/>
        <v>1</v>
      </c>
      <c r="DA734" s="30">
        <f t="shared" si="94"/>
        <v>0</v>
      </c>
      <c r="DB734" s="140">
        <f t="shared" si="91"/>
        <v>0</v>
      </c>
      <c r="DR734" s="81"/>
      <c r="DS734" s="130">
        <f>SI!BY734</f>
        <v>522</v>
      </c>
      <c r="DT734" s="130"/>
      <c r="DU734" s="130"/>
      <c r="DV734" s="130"/>
      <c r="DW734" s="130"/>
      <c r="DX734" s="130"/>
      <c r="DY734" s="130"/>
      <c r="DZ734" s="131">
        <f>SI!BZ734</f>
        <v>0</v>
      </c>
      <c r="EA734" s="81"/>
      <c r="EB734" s="81"/>
    </row>
    <row r="735" spans="1:132" s="12" customFormat="1" hidden="1" x14ac:dyDescent="0.25">
      <c r="A735" s="283"/>
      <c r="B735" s="406"/>
      <c r="C735" s="406"/>
      <c r="D735" s="406"/>
      <c r="E735" s="406"/>
      <c r="F735" s="406"/>
      <c r="G735" s="406"/>
      <c r="H735" s="406"/>
      <c r="I735" s="406"/>
      <c r="J735" s="406"/>
      <c r="K735" s="406"/>
      <c r="L735" s="406"/>
      <c r="M735" s="406"/>
      <c r="N735" s="406"/>
      <c r="O735" s="406"/>
      <c r="P735" s="406"/>
      <c r="Q735" s="406"/>
      <c r="R735" s="406"/>
      <c r="S735" s="406"/>
      <c r="T735" s="406"/>
      <c r="U735" s="406"/>
      <c r="V735" s="406"/>
      <c r="W735" s="406"/>
      <c r="X735" s="406"/>
      <c r="Y735" s="406"/>
      <c r="Z735" s="406"/>
      <c r="AA735" s="406"/>
      <c r="AB735" s="406"/>
      <c r="AC735" s="406"/>
      <c r="AD735" s="406"/>
      <c r="AE735" s="406"/>
      <c r="AF735" s="406"/>
      <c r="AG735" s="406"/>
      <c r="AH735" s="406"/>
      <c r="AI735" s="406"/>
      <c r="AJ735" s="406"/>
      <c r="AK735" s="406"/>
      <c r="AL735" s="406"/>
      <c r="AM735" s="406"/>
      <c r="AN735" s="406"/>
      <c r="AO735" s="406"/>
      <c r="AP735" s="406"/>
      <c r="AQ735" s="406"/>
      <c r="AR735" s="406"/>
      <c r="AS735" s="406"/>
      <c r="AT735" s="406"/>
      <c r="AU735" s="406"/>
      <c r="AV735" s="406"/>
      <c r="AW735" s="406"/>
      <c r="AX735" s="406"/>
      <c r="AY735" s="406"/>
      <c r="AZ735" s="406"/>
      <c r="BA735" s="406"/>
      <c r="BB735" s="406"/>
      <c r="BC735" s="406"/>
      <c r="BD735" s="406"/>
      <c r="BE735" s="406"/>
      <c r="BF735" s="406"/>
      <c r="BG735" s="406"/>
      <c r="BH735" s="406"/>
      <c r="BI735" s="406"/>
      <c r="BJ735" s="406"/>
      <c r="BK735" s="406"/>
      <c r="BL735" s="406"/>
      <c r="BM735" s="406"/>
      <c r="BN735" s="406"/>
      <c r="BO735" s="406"/>
      <c r="BP735" s="406"/>
      <c r="BQ735" s="406"/>
      <c r="BR735" s="406"/>
      <c r="BS735" s="406"/>
      <c r="BT735" s="406"/>
      <c r="BU735" s="406"/>
      <c r="BV735" s="406"/>
      <c r="BW735" s="406"/>
      <c r="BX735" s="406"/>
      <c r="BY735" s="406"/>
      <c r="BZ735" s="406"/>
      <c r="CA735" s="281"/>
      <c r="CB735" s="3" t="str">
        <f t="shared" si="92"/>
        <v>Riadok bude skrytý.</v>
      </c>
      <c r="CC735" s="271" t="s">
        <v>832</v>
      </c>
      <c r="CW735" s="30">
        <f t="shared" si="95"/>
        <v>0</v>
      </c>
      <c r="CX735" s="42"/>
      <c r="CY735" s="42"/>
      <c r="CZ735" s="30">
        <f t="shared" si="96"/>
        <v>1</v>
      </c>
      <c r="DA735" s="30">
        <f t="shared" si="94"/>
        <v>0</v>
      </c>
      <c r="DB735" s="140">
        <f t="shared" si="91"/>
        <v>0</v>
      </c>
      <c r="DR735" s="81"/>
      <c r="DS735" s="130">
        <f>SI!BY735</f>
        <v>105</v>
      </c>
      <c r="DT735" s="130"/>
      <c r="DU735" s="130"/>
      <c r="DV735" s="130"/>
      <c r="DW735" s="130"/>
      <c r="DX735" s="130"/>
      <c r="DY735" s="130"/>
      <c r="DZ735" s="131">
        <f>SI!BZ735</f>
        <v>0</v>
      </c>
      <c r="EA735" s="81"/>
      <c r="EB735" s="81"/>
    </row>
    <row r="736" spans="1:132" s="12" customFormat="1" hidden="1" x14ac:dyDescent="0.25">
      <c r="A736" s="283"/>
      <c r="B736" s="406"/>
      <c r="C736" s="406"/>
      <c r="D736" s="406"/>
      <c r="E736" s="406"/>
      <c r="F736" s="406"/>
      <c r="G736" s="406"/>
      <c r="H736" s="406"/>
      <c r="I736" s="406"/>
      <c r="J736" s="406"/>
      <c r="K736" s="406"/>
      <c r="L736" s="406"/>
      <c r="M736" s="406"/>
      <c r="N736" s="406"/>
      <c r="O736" s="406"/>
      <c r="P736" s="406"/>
      <c r="Q736" s="406"/>
      <c r="R736" s="406"/>
      <c r="S736" s="406"/>
      <c r="T736" s="406"/>
      <c r="U736" s="406"/>
      <c r="V736" s="406"/>
      <c r="W736" s="406"/>
      <c r="X736" s="406"/>
      <c r="Y736" s="406"/>
      <c r="Z736" s="406"/>
      <c r="AA736" s="406"/>
      <c r="AB736" s="406"/>
      <c r="AC736" s="406"/>
      <c r="AD736" s="406"/>
      <c r="AE736" s="406"/>
      <c r="AF736" s="406"/>
      <c r="AG736" s="406"/>
      <c r="AH736" s="406"/>
      <c r="AI736" s="406"/>
      <c r="AJ736" s="406"/>
      <c r="AK736" s="406"/>
      <c r="AL736" s="406"/>
      <c r="AM736" s="406"/>
      <c r="AN736" s="406"/>
      <c r="AO736" s="406"/>
      <c r="AP736" s="406"/>
      <c r="AQ736" s="406"/>
      <c r="AR736" s="406"/>
      <c r="AS736" s="406"/>
      <c r="AT736" s="406"/>
      <c r="AU736" s="406"/>
      <c r="AV736" s="406"/>
      <c r="AW736" s="406"/>
      <c r="AX736" s="406"/>
      <c r="AY736" s="406"/>
      <c r="AZ736" s="406"/>
      <c r="BA736" s="406"/>
      <c r="BB736" s="406"/>
      <c r="BC736" s="406"/>
      <c r="BD736" s="406"/>
      <c r="BE736" s="406"/>
      <c r="BF736" s="406"/>
      <c r="BG736" s="406"/>
      <c r="BH736" s="406"/>
      <c r="BI736" s="406"/>
      <c r="BJ736" s="406"/>
      <c r="BK736" s="406"/>
      <c r="BL736" s="406"/>
      <c r="BM736" s="406"/>
      <c r="BN736" s="406"/>
      <c r="BO736" s="406"/>
      <c r="BP736" s="406"/>
      <c r="BQ736" s="406"/>
      <c r="BR736" s="406"/>
      <c r="BS736" s="406"/>
      <c r="BT736" s="406"/>
      <c r="BU736" s="406"/>
      <c r="BV736" s="406"/>
      <c r="BW736" s="406"/>
      <c r="BX736" s="406"/>
      <c r="BY736" s="406"/>
      <c r="BZ736" s="406"/>
      <c r="CA736" s="281"/>
      <c r="CB736" s="3" t="str">
        <f t="shared" si="92"/>
        <v>Riadok bude skrytý.</v>
      </c>
      <c r="CC736" s="271" t="s">
        <v>832</v>
      </c>
      <c r="CW736" s="30">
        <f t="shared" si="95"/>
        <v>0</v>
      </c>
      <c r="CX736" s="42"/>
      <c r="CY736" s="42"/>
      <c r="CZ736" s="30">
        <f t="shared" si="96"/>
        <v>1</v>
      </c>
      <c r="DA736" s="30">
        <f t="shared" si="94"/>
        <v>0</v>
      </c>
      <c r="DB736" s="140">
        <f t="shared" si="91"/>
        <v>0</v>
      </c>
      <c r="DR736" s="81"/>
      <c r="DS736" s="130">
        <f>SI!BY736</f>
        <v>836</v>
      </c>
      <c r="DT736" s="130"/>
      <c r="DU736" s="130"/>
      <c r="DV736" s="130"/>
      <c r="DW736" s="130"/>
      <c r="DX736" s="130"/>
      <c r="DY736" s="130"/>
      <c r="DZ736" s="131">
        <f>SI!BZ736</f>
        <v>0</v>
      </c>
      <c r="EA736" s="81"/>
      <c r="EB736" s="81"/>
    </row>
    <row r="737" spans="1:132" s="12" customFormat="1" x14ac:dyDescent="0.25">
      <c r="A737" s="283"/>
      <c r="CA737" s="270"/>
      <c r="CB737" s="3" t="str">
        <f t="shared" si="92"/>
        <v>Riadok bude vidieť.</v>
      </c>
      <c r="CC737" s="271" t="s">
        <v>832</v>
      </c>
      <c r="CW737" s="32">
        <f>+IF(SUM(CW739:CW758)=0,0,1)</f>
        <v>1</v>
      </c>
      <c r="CX737" s="42"/>
      <c r="CY737" s="42"/>
      <c r="CZ737" s="30">
        <f t="shared" si="96"/>
        <v>1</v>
      </c>
      <c r="DA737" s="30">
        <f t="shared" si="94"/>
        <v>1</v>
      </c>
      <c r="DB737" s="140">
        <f t="shared" si="91"/>
        <v>1</v>
      </c>
      <c r="DR737" s="81"/>
      <c r="DS737" s="130">
        <f>SI!BY737</f>
        <v>117</v>
      </c>
      <c r="DT737" s="130"/>
      <c r="DU737" s="130"/>
      <c r="DV737" s="130"/>
      <c r="DW737" s="130"/>
      <c r="DX737" s="130"/>
      <c r="DY737" s="130"/>
      <c r="DZ737" s="131">
        <f>SI!BZ737</f>
        <v>0</v>
      </c>
      <c r="EA737" s="81"/>
      <c r="EB737" s="81"/>
    </row>
    <row r="738" spans="1:132" x14ac:dyDescent="0.25">
      <c r="A738" s="141"/>
      <c r="B738" s="279" t="s">
        <v>859</v>
      </c>
      <c r="C738" s="7" t="str">
        <f>+IF($E$52&lt;&gt;"",IF(ROUNDDOWN(CODE(MID($E$52,1,1))/10,0)*(IF(SI!EE738="",1,SI!EE738))+(LEN(SI!J2)+2)=DS738,"Informácie o poskytnutých dotáciach","NEPOVOLENÉ POUŽITIE!"),"NEPOVOLENÉ POUŽITIE!")</f>
        <v>Informácie o poskytnutých dotáciach</v>
      </c>
      <c r="D738" s="7"/>
      <c r="E738" s="7"/>
      <c r="F738" s="7"/>
      <c r="CA738" s="265" t="s">
        <v>773</v>
      </c>
      <c r="CB738" s="3" t="str">
        <f t="shared" si="92"/>
        <v>Riadok bude vidieť.</v>
      </c>
      <c r="CC738" s="271" t="s">
        <v>832</v>
      </c>
      <c r="CW738" s="134">
        <f>+IF(SUM(CW739:CW758)=0,0,1)</f>
        <v>1</v>
      </c>
      <c r="CZ738" s="30">
        <f t="shared" si="96"/>
        <v>1</v>
      </c>
      <c r="DA738" s="30">
        <f t="shared" si="94"/>
        <v>1</v>
      </c>
      <c r="DB738" s="140">
        <f t="shared" si="91"/>
        <v>1</v>
      </c>
      <c r="DS738" s="130">
        <f>SI!BY738</f>
        <v>15</v>
      </c>
      <c r="DZ738" s="131">
        <f>SI!BZ738</f>
        <v>0</v>
      </c>
    </row>
    <row r="739" spans="1:132" x14ac:dyDescent="0.25">
      <c r="A739" s="141"/>
      <c r="B739" s="379" t="s">
        <v>714</v>
      </c>
      <c r="C739" s="379"/>
      <c r="D739" s="379"/>
      <c r="E739" s="379"/>
      <c r="F739" s="379"/>
      <c r="G739" s="379"/>
      <c r="H739" s="379"/>
      <c r="I739" s="379"/>
      <c r="J739" s="379"/>
      <c r="K739" s="379"/>
      <c r="L739" s="379"/>
      <c r="M739" s="379"/>
      <c r="N739" s="379"/>
      <c r="O739" s="379"/>
      <c r="P739" s="379"/>
      <c r="Q739" s="379"/>
      <c r="R739" s="379"/>
      <c r="S739" s="379"/>
      <c r="T739" s="379"/>
      <c r="U739" s="379"/>
      <c r="V739" s="379"/>
      <c r="W739" s="379"/>
      <c r="X739" s="379"/>
      <c r="Y739" s="379"/>
      <c r="Z739" s="379"/>
      <c r="AA739" s="379"/>
      <c r="AB739" s="379"/>
      <c r="AC739" s="379"/>
      <c r="AD739" s="379"/>
      <c r="AE739" s="379"/>
      <c r="AF739" s="379"/>
      <c r="AG739" s="379"/>
      <c r="AH739" s="379"/>
      <c r="AI739" s="379"/>
      <c r="AJ739" s="379"/>
      <c r="AK739" s="379"/>
      <c r="AL739" s="379"/>
      <c r="AM739" s="379"/>
      <c r="AN739" s="379"/>
      <c r="AO739" s="379"/>
      <c r="AP739" s="379"/>
      <c r="AQ739" s="379"/>
      <c r="AR739" s="379"/>
      <c r="AS739" s="379"/>
      <c r="AT739" s="379"/>
      <c r="AU739" s="379"/>
      <c r="AV739" s="379"/>
      <c r="AW739" s="379"/>
      <c r="AX739" s="379"/>
      <c r="AY739" s="379"/>
      <c r="AZ739" s="379"/>
      <c r="BA739" s="379"/>
      <c r="BB739" s="379"/>
      <c r="BC739" s="379"/>
      <c r="BD739" s="379"/>
      <c r="BE739" s="379"/>
      <c r="BF739" s="379"/>
      <c r="BG739" s="379"/>
      <c r="BH739" s="379"/>
      <c r="BI739" s="379"/>
      <c r="BJ739" s="379"/>
      <c r="BK739" s="379"/>
      <c r="BL739" s="379"/>
      <c r="BM739" s="379"/>
      <c r="BN739" s="379"/>
      <c r="BO739" s="379"/>
      <c r="BP739" s="379"/>
      <c r="BQ739" s="379"/>
      <c r="BR739" s="379"/>
      <c r="BS739" s="379"/>
      <c r="BT739" s="379"/>
      <c r="BU739" s="379"/>
      <c r="BV739" s="379"/>
      <c r="BW739" s="379"/>
      <c r="BX739" s="379"/>
      <c r="BY739" s="379"/>
      <c r="BZ739" s="379"/>
      <c r="CA739" s="281"/>
      <c r="CB739" s="3" t="str">
        <f t="shared" si="92"/>
        <v>Riadok bude vidieť.</v>
      </c>
      <c r="CC739" s="271" t="s">
        <v>832</v>
      </c>
      <c r="CW739" s="30">
        <f t="shared" ref="CW739:CW758" si="97">+IF(B739="",0,1)</f>
        <v>1</v>
      </c>
      <c r="CZ739" s="30">
        <f t="shared" si="96"/>
        <v>1</v>
      </c>
      <c r="DA739" s="30">
        <f t="shared" si="94"/>
        <v>1</v>
      </c>
      <c r="DB739" s="140">
        <f t="shared" si="91"/>
        <v>1</v>
      </c>
      <c r="DS739" s="130">
        <f>SI!BY739</f>
        <v>169</v>
      </c>
      <c r="DZ739" s="131">
        <f>SI!BZ739</f>
        <v>0</v>
      </c>
    </row>
    <row r="740" spans="1:132" x14ac:dyDescent="0.25">
      <c r="A740" s="141"/>
      <c r="B740" s="379" t="s">
        <v>715</v>
      </c>
      <c r="C740" s="379"/>
      <c r="D740" s="379"/>
      <c r="E740" s="379"/>
      <c r="F740" s="379"/>
      <c r="G740" s="379"/>
      <c r="H740" s="379"/>
      <c r="I740" s="379"/>
      <c r="J740" s="379"/>
      <c r="K740" s="379"/>
      <c r="L740" s="379"/>
      <c r="M740" s="379"/>
      <c r="N740" s="379"/>
      <c r="O740" s="379"/>
      <c r="P740" s="379"/>
      <c r="Q740" s="379"/>
      <c r="R740" s="379"/>
      <c r="S740" s="379"/>
      <c r="T740" s="379"/>
      <c r="U740" s="379"/>
      <c r="V740" s="379"/>
      <c r="W740" s="379"/>
      <c r="X740" s="379"/>
      <c r="Y740" s="379"/>
      <c r="Z740" s="379"/>
      <c r="AA740" s="379"/>
      <c r="AB740" s="379"/>
      <c r="AC740" s="379"/>
      <c r="AD740" s="379"/>
      <c r="AE740" s="379"/>
      <c r="AF740" s="379"/>
      <c r="AG740" s="379"/>
      <c r="AH740" s="379"/>
      <c r="AI740" s="379"/>
      <c r="AJ740" s="379"/>
      <c r="AK740" s="379"/>
      <c r="AL740" s="379"/>
      <c r="AM740" s="379"/>
      <c r="AN740" s="379"/>
      <c r="AO740" s="379"/>
      <c r="AP740" s="379"/>
      <c r="AQ740" s="379"/>
      <c r="AR740" s="379"/>
      <c r="AS740" s="379"/>
      <c r="AT740" s="379"/>
      <c r="AU740" s="379"/>
      <c r="AV740" s="379"/>
      <c r="AW740" s="379"/>
      <c r="AX740" s="379"/>
      <c r="AY740" s="379"/>
      <c r="AZ740" s="379"/>
      <c r="BA740" s="379"/>
      <c r="BB740" s="379"/>
      <c r="BC740" s="379"/>
      <c r="BD740" s="379"/>
      <c r="BE740" s="379"/>
      <c r="BF740" s="379"/>
      <c r="BG740" s="379"/>
      <c r="BH740" s="379"/>
      <c r="BI740" s="379"/>
      <c r="BJ740" s="379"/>
      <c r="BK740" s="379"/>
      <c r="BL740" s="379"/>
      <c r="BM740" s="379"/>
      <c r="BN740" s="379"/>
      <c r="BO740" s="379"/>
      <c r="BP740" s="379"/>
      <c r="BQ740" s="379"/>
      <c r="BR740" s="379"/>
      <c r="BS740" s="379"/>
      <c r="BT740" s="379"/>
      <c r="BU740" s="379"/>
      <c r="BV740" s="379"/>
      <c r="BW740" s="379"/>
      <c r="BX740" s="379"/>
      <c r="BY740" s="379"/>
      <c r="BZ740" s="379"/>
      <c r="CA740" s="281"/>
      <c r="CB740" s="3" t="str">
        <f t="shared" si="92"/>
        <v>Riadok bude vidieť.</v>
      </c>
      <c r="CC740" s="271" t="s">
        <v>832</v>
      </c>
      <c r="CW740" s="30">
        <f t="shared" si="97"/>
        <v>1</v>
      </c>
      <c r="CZ740" s="30">
        <f t="shared" si="96"/>
        <v>1</v>
      </c>
      <c r="DA740" s="30">
        <f t="shared" si="94"/>
        <v>1</v>
      </c>
      <c r="DB740" s="140">
        <f t="shared" si="91"/>
        <v>1</v>
      </c>
      <c r="DS740" s="130">
        <f>SI!BY740</f>
        <v>0</v>
      </c>
      <c r="DZ740" s="131">
        <f>SI!BZ740</f>
        <v>0</v>
      </c>
    </row>
    <row r="741" spans="1:132" x14ac:dyDescent="0.25">
      <c r="A741" s="141"/>
      <c r="B741" s="379" t="s">
        <v>716</v>
      </c>
      <c r="C741" s="379"/>
      <c r="D741" s="379"/>
      <c r="E741" s="379"/>
      <c r="F741" s="379"/>
      <c r="G741" s="379"/>
      <c r="H741" s="379"/>
      <c r="I741" s="379"/>
      <c r="J741" s="379"/>
      <c r="K741" s="379"/>
      <c r="L741" s="379"/>
      <c r="M741" s="379"/>
      <c r="N741" s="379"/>
      <c r="O741" s="379"/>
      <c r="P741" s="379"/>
      <c r="Q741" s="379"/>
      <c r="R741" s="379"/>
      <c r="S741" s="379"/>
      <c r="T741" s="379"/>
      <c r="U741" s="379"/>
      <c r="V741" s="379"/>
      <c r="W741" s="379"/>
      <c r="X741" s="379"/>
      <c r="Y741" s="379"/>
      <c r="Z741" s="379"/>
      <c r="AA741" s="379"/>
      <c r="AB741" s="379"/>
      <c r="AC741" s="379"/>
      <c r="AD741" s="379"/>
      <c r="AE741" s="379"/>
      <c r="AF741" s="379"/>
      <c r="AG741" s="379"/>
      <c r="AH741" s="379"/>
      <c r="AI741" s="379"/>
      <c r="AJ741" s="379"/>
      <c r="AK741" s="379"/>
      <c r="AL741" s="379"/>
      <c r="AM741" s="379"/>
      <c r="AN741" s="379"/>
      <c r="AO741" s="379"/>
      <c r="AP741" s="379"/>
      <c r="AQ741" s="379"/>
      <c r="AR741" s="379"/>
      <c r="AS741" s="379"/>
      <c r="AT741" s="379"/>
      <c r="AU741" s="379"/>
      <c r="AV741" s="379"/>
      <c r="AW741" s="379"/>
      <c r="AX741" s="379"/>
      <c r="AY741" s="379"/>
      <c r="AZ741" s="379"/>
      <c r="BA741" s="379"/>
      <c r="BB741" s="379"/>
      <c r="BC741" s="379"/>
      <c r="BD741" s="379"/>
      <c r="BE741" s="379"/>
      <c r="BF741" s="379"/>
      <c r="BG741" s="379"/>
      <c r="BH741" s="379"/>
      <c r="BI741" s="379"/>
      <c r="BJ741" s="379"/>
      <c r="BK741" s="379"/>
      <c r="BL741" s="379"/>
      <c r="BM741" s="379"/>
      <c r="BN741" s="379"/>
      <c r="BO741" s="379"/>
      <c r="BP741" s="379"/>
      <c r="BQ741" s="379"/>
      <c r="BR741" s="379"/>
      <c r="BS741" s="379"/>
      <c r="BT741" s="379"/>
      <c r="BU741" s="379"/>
      <c r="BV741" s="379"/>
      <c r="BW741" s="379"/>
      <c r="BX741" s="379"/>
      <c r="BY741" s="379"/>
      <c r="BZ741" s="379"/>
      <c r="CA741" s="281"/>
      <c r="CB741" s="3" t="str">
        <f t="shared" si="92"/>
        <v>Riadok bude vidieť.</v>
      </c>
      <c r="CC741" s="271" t="s">
        <v>832</v>
      </c>
      <c r="CW741" s="30">
        <f t="shared" si="97"/>
        <v>1</v>
      </c>
      <c r="CZ741" s="30">
        <f t="shared" si="96"/>
        <v>1</v>
      </c>
      <c r="DA741" s="30">
        <f t="shared" si="94"/>
        <v>1</v>
      </c>
      <c r="DB741" s="140">
        <f t="shared" si="91"/>
        <v>1</v>
      </c>
      <c r="DS741" s="130">
        <f>SI!BY741</f>
        <v>166</v>
      </c>
      <c r="DZ741" s="131">
        <f>SI!BZ741</f>
        <v>0</v>
      </c>
    </row>
    <row r="742" spans="1:132" x14ac:dyDescent="0.25">
      <c r="A742" s="141"/>
      <c r="B742" s="379" t="s">
        <v>81</v>
      </c>
      <c r="C742" s="379"/>
      <c r="D742" s="379"/>
      <c r="E742" s="379"/>
      <c r="F742" s="379"/>
      <c r="G742" s="379"/>
      <c r="H742" s="379"/>
      <c r="I742" s="379"/>
      <c r="J742" s="379"/>
      <c r="K742" s="379"/>
      <c r="L742" s="379"/>
      <c r="M742" s="379"/>
      <c r="N742" s="379"/>
      <c r="O742" s="379"/>
      <c r="P742" s="379"/>
      <c r="Q742" s="379"/>
      <c r="R742" s="379"/>
      <c r="S742" s="379"/>
      <c r="T742" s="379"/>
      <c r="U742" s="379"/>
      <c r="V742" s="379"/>
      <c r="W742" s="379"/>
      <c r="X742" s="379"/>
      <c r="Y742" s="379"/>
      <c r="Z742" s="379"/>
      <c r="AA742" s="379"/>
      <c r="AB742" s="379"/>
      <c r="AC742" s="379"/>
      <c r="AD742" s="379"/>
      <c r="AE742" s="379"/>
      <c r="AF742" s="379"/>
      <c r="AG742" s="379"/>
      <c r="AH742" s="379"/>
      <c r="AI742" s="379"/>
      <c r="AJ742" s="379"/>
      <c r="AK742" s="379"/>
      <c r="AL742" s="379"/>
      <c r="AM742" s="379"/>
      <c r="AN742" s="379"/>
      <c r="AO742" s="379"/>
      <c r="AP742" s="379"/>
      <c r="AQ742" s="379"/>
      <c r="AR742" s="379"/>
      <c r="AS742" s="379"/>
      <c r="AT742" s="379"/>
      <c r="AU742" s="379"/>
      <c r="AV742" s="379"/>
      <c r="AW742" s="379"/>
      <c r="AX742" s="379"/>
      <c r="AY742" s="379"/>
      <c r="AZ742" s="379"/>
      <c r="BA742" s="379"/>
      <c r="BB742" s="379"/>
      <c r="BC742" s="379"/>
      <c r="BD742" s="379"/>
      <c r="BE742" s="379"/>
      <c r="BF742" s="379"/>
      <c r="BG742" s="379"/>
      <c r="BH742" s="379"/>
      <c r="BI742" s="379"/>
      <c r="BJ742" s="379"/>
      <c r="BK742" s="379"/>
      <c r="BL742" s="379"/>
      <c r="BM742" s="379"/>
      <c r="BN742" s="379"/>
      <c r="BO742" s="379"/>
      <c r="BP742" s="379"/>
      <c r="BQ742" s="379"/>
      <c r="BR742" s="379"/>
      <c r="BS742" s="379"/>
      <c r="BT742" s="379"/>
      <c r="BU742" s="379"/>
      <c r="BV742" s="379"/>
      <c r="BW742" s="379"/>
      <c r="BX742" s="379"/>
      <c r="BY742" s="379"/>
      <c r="BZ742" s="379"/>
      <c r="CA742" s="281"/>
      <c r="CB742" s="3" t="str">
        <f t="shared" si="92"/>
        <v>Riadok bude vidieť.</v>
      </c>
      <c r="CC742" s="271" t="s">
        <v>832</v>
      </c>
      <c r="CW742" s="30">
        <f t="shared" si="97"/>
        <v>1</v>
      </c>
      <c r="CZ742" s="30">
        <f t="shared" si="96"/>
        <v>1</v>
      </c>
      <c r="DA742" s="30">
        <f t="shared" si="94"/>
        <v>1</v>
      </c>
      <c r="DB742" s="140">
        <f t="shared" si="91"/>
        <v>1</v>
      </c>
      <c r="DS742" s="130">
        <f>SI!BY742</f>
        <v>125</v>
      </c>
      <c r="DZ742" s="131">
        <f>SI!BZ742</f>
        <v>0</v>
      </c>
    </row>
    <row r="743" spans="1:132" x14ac:dyDescent="0.25">
      <c r="A743" s="141"/>
      <c r="B743" s="379" t="s">
        <v>80</v>
      </c>
      <c r="C743" s="379"/>
      <c r="D743" s="379"/>
      <c r="E743" s="379"/>
      <c r="F743" s="379"/>
      <c r="G743" s="379"/>
      <c r="H743" s="379"/>
      <c r="I743" s="379"/>
      <c r="J743" s="379"/>
      <c r="K743" s="379"/>
      <c r="L743" s="379"/>
      <c r="M743" s="379"/>
      <c r="N743" s="379"/>
      <c r="O743" s="379"/>
      <c r="P743" s="379"/>
      <c r="Q743" s="379"/>
      <c r="R743" s="379"/>
      <c r="S743" s="379"/>
      <c r="T743" s="379"/>
      <c r="U743" s="379"/>
      <c r="V743" s="379"/>
      <c r="W743" s="379"/>
      <c r="X743" s="379"/>
      <c r="Y743" s="379"/>
      <c r="Z743" s="379"/>
      <c r="AA743" s="379"/>
      <c r="AB743" s="379"/>
      <c r="AC743" s="379"/>
      <c r="AD743" s="379"/>
      <c r="AE743" s="379"/>
      <c r="AF743" s="379"/>
      <c r="AG743" s="379"/>
      <c r="AH743" s="379"/>
      <c r="AI743" s="379"/>
      <c r="AJ743" s="379"/>
      <c r="AK743" s="379"/>
      <c r="AL743" s="379"/>
      <c r="AM743" s="379"/>
      <c r="AN743" s="379"/>
      <c r="AO743" s="379"/>
      <c r="AP743" s="379"/>
      <c r="AQ743" s="379"/>
      <c r="AR743" s="379"/>
      <c r="AS743" s="379"/>
      <c r="AT743" s="379"/>
      <c r="AU743" s="379"/>
      <c r="AV743" s="379"/>
      <c r="AW743" s="379"/>
      <c r="AX743" s="379"/>
      <c r="AY743" s="379"/>
      <c r="AZ743" s="379"/>
      <c r="BA743" s="379"/>
      <c r="BB743" s="379"/>
      <c r="BC743" s="379"/>
      <c r="BD743" s="379"/>
      <c r="BE743" s="379"/>
      <c r="BF743" s="379"/>
      <c r="BG743" s="379"/>
      <c r="BH743" s="379"/>
      <c r="BI743" s="379"/>
      <c r="BJ743" s="379"/>
      <c r="BK743" s="379"/>
      <c r="BL743" s="379"/>
      <c r="BM743" s="379"/>
      <c r="BN743" s="379"/>
      <c r="BO743" s="379"/>
      <c r="BP743" s="379"/>
      <c r="BQ743" s="379"/>
      <c r="BR743" s="379"/>
      <c r="BS743" s="379"/>
      <c r="BT743" s="379"/>
      <c r="BU743" s="379"/>
      <c r="BV743" s="379"/>
      <c r="BW743" s="379"/>
      <c r="BX743" s="379"/>
      <c r="BY743" s="379"/>
      <c r="BZ743" s="379"/>
      <c r="CA743" s="281"/>
      <c r="CB743" s="3" t="str">
        <f t="shared" si="92"/>
        <v>Riadok bude vidieť.</v>
      </c>
      <c r="CC743" s="271" t="s">
        <v>832</v>
      </c>
      <c r="CW743" s="30">
        <f t="shared" si="97"/>
        <v>1</v>
      </c>
      <c r="CZ743" s="30">
        <f t="shared" si="96"/>
        <v>1</v>
      </c>
      <c r="DA743" s="30">
        <f t="shared" si="94"/>
        <v>1</v>
      </c>
      <c r="DB743" s="140">
        <f t="shared" si="91"/>
        <v>1</v>
      </c>
      <c r="DS743" s="130">
        <f>SI!BY743</f>
        <v>180</v>
      </c>
      <c r="DZ743" s="131">
        <f>SI!BZ743</f>
        <v>0</v>
      </c>
    </row>
    <row r="744" spans="1:132" x14ac:dyDescent="0.25">
      <c r="A744" s="141"/>
      <c r="B744" s="379" t="s">
        <v>82</v>
      </c>
      <c r="C744" s="379"/>
      <c r="D744" s="379"/>
      <c r="E744" s="379"/>
      <c r="F744" s="379"/>
      <c r="G744" s="379"/>
      <c r="H744" s="379"/>
      <c r="I744" s="379"/>
      <c r="J744" s="379"/>
      <c r="K744" s="379"/>
      <c r="L744" s="379"/>
      <c r="M744" s="379"/>
      <c r="N744" s="379"/>
      <c r="O744" s="379"/>
      <c r="P744" s="379"/>
      <c r="Q744" s="379"/>
      <c r="R744" s="379"/>
      <c r="S744" s="379"/>
      <c r="T744" s="379"/>
      <c r="U744" s="379"/>
      <c r="V744" s="379"/>
      <c r="W744" s="379"/>
      <c r="X744" s="379"/>
      <c r="Y744" s="379"/>
      <c r="Z744" s="379"/>
      <c r="AA744" s="379"/>
      <c r="AB744" s="379"/>
      <c r="AC744" s="379"/>
      <c r="AD744" s="379"/>
      <c r="AE744" s="379"/>
      <c r="AF744" s="379"/>
      <c r="AG744" s="379"/>
      <c r="AH744" s="379"/>
      <c r="AI744" s="379"/>
      <c r="AJ744" s="379"/>
      <c r="AK744" s="379"/>
      <c r="AL744" s="379"/>
      <c r="AM744" s="379"/>
      <c r="AN744" s="379"/>
      <c r="AO744" s="379"/>
      <c r="AP744" s="379"/>
      <c r="AQ744" s="379"/>
      <c r="AR744" s="379"/>
      <c r="AS744" s="379"/>
      <c r="AT744" s="379"/>
      <c r="AU744" s="379"/>
      <c r="AV744" s="379"/>
      <c r="AW744" s="379"/>
      <c r="AX744" s="379"/>
      <c r="AY744" s="379"/>
      <c r="AZ744" s="379"/>
      <c r="BA744" s="379"/>
      <c r="BB744" s="379"/>
      <c r="BC744" s="379"/>
      <c r="BD744" s="379"/>
      <c r="BE744" s="379"/>
      <c r="BF744" s="379"/>
      <c r="BG744" s="379"/>
      <c r="BH744" s="379"/>
      <c r="BI744" s="379"/>
      <c r="BJ744" s="379"/>
      <c r="BK744" s="379"/>
      <c r="BL744" s="379"/>
      <c r="BM744" s="379"/>
      <c r="BN744" s="379"/>
      <c r="BO744" s="379"/>
      <c r="BP744" s="379"/>
      <c r="BQ744" s="379"/>
      <c r="BR744" s="379"/>
      <c r="BS744" s="379"/>
      <c r="BT744" s="379"/>
      <c r="BU744" s="379"/>
      <c r="BV744" s="379"/>
      <c r="BW744" s="379"/>
      <c r="BX744" s="379"/>
      <c r="BY744" s="379"/>
      <c r="BZ744" s="379"/>
      <c r="CA744" s="281"/>
      <c r="CB744" s="3" t="str">
        <f t="shared" si="92"/>
        <v>Riadok bude vidieť.</v>
      </c>
      <c r="CC744" s="271" t="s">
        <v>832</v>
      </c>
      <c r="CW744" s="30">
        <f t="shared" si="97"/>
        <v>1</v>
      </c>
      <c r="CZ744" s="30">
        <f t="shared" si="96"/>
        <v>1</v>
      </c>
      <c r="DA744" s="30">
        <f t="shared" si="94"/>
        <v>1</v>
      </c>
      <c r="DB744" s="140">
        <f t="shared" si="91"/>
        <v>1</v>
      </c>
      <c r="DS744" s="130">
        <f>SI!BY744</f>
        <v>178</v>
      </c>
      <c r="DZ744" s="131">
        <f>SI!BZ744</f>
        <v>0</v>
      </c>
    </row>
    <row r="745" spans="1:132" hidden="1" x14ac:dyDescent="0.25">
      <c r="A745" s="141"/>
      <c r="B745" s="406"/>
      <c r="C745" s="406"/>
      <c r="D745" s="406"/>
      <c r="E745" s="406"/>
      <c r="F745" s="406"/>
      <c r="G745" s="406"/>
      <c r="H745" s="406"/>
      <c r="I745" s="406"/>
      <c r="J745" s="406"/>
      <c r="K745" s="406"/>
      <c r="L745" s="406"/>
      <c r="M745" s="406"/>
      <c r="N745" s="406"/>
      <c r="O745" s="406"/>
      <c r="P745" s="406"/>
      <c r="Q745" s="406"/>
      <c r="R745" s="406"/>
      <c r="S745" s="406"/>
      <c r="T745" s="406"/>
      <c r="U745" s="406"/>
      <c r="V745" s="406"/>
      <c r="W745" s="406"/>
      <c r="X745" s="406"/>
      <c r="Y745" s="406"/>
      <c r="Z745" s="406"/>
      <c r="AA745" s="406"/>
      <c r="AB745" s="406"/>
      <c r="AC745" s="406"/>
      <c r="AD745" s="406"/>
      <c r="AE745" s="406"/>
      <c r="AF745" s="406"/>
      <c r="AG745" s="406"/>
      <c r="AH745" s="406"/>
      <c r="AI745" s="406"/>
      <c r="AJ745" s="406"/>
      <c r="AK745" s="406"/>
      <c r="AL745" s="406"/>
      <c r="AM745" s="406"/>
      <c r="AN745" s="406"/>
      <c r="AO745" s="406"/>
      <c r="AP745" s="406"/>
      <c r="AQ745" s="406"/>
      <c r="AR745" s="406"/>
      <c r="AS745" s="406"/>
      <c r="AT745" s="406"/>
      <c r="AU745" s="406"/>
      <c r="AV745" s="406"/>
      <c r="AW745" s="406"/>
      <c r="AX745" s="406"/>
      <c r="AY745" s="406"/>
      <c r="AZ745" s="406"/>
      <c r="BA745" s="406"/>
      <c r="BB745" s="406"/>
      <c r="BC745" s="406"/>
      <c r="BD745" s="406"/>
      <c r="BE745" s="406"/>
      <c r="BF745" s="406"/>
      <c r="BG745" s="406"/>
      <c r="BH745" s="406"/>
      <c r="BI745" s="406"/>
      <c r="BJ745" s="406"/>
      <c r="BK745" s="406"/>
      <c r="BL745" s="406"/>
      <c r="BM745" s="406"/>
      <c r="BN745" s="406"/>
      <c r="BO745" s="406"/>
      <c r="BP745" s="406"/>
      <c r="BQ745" s="406"/>
      <c r="BR745" s="406"/>
      <c r="BS745" s="406"/>
      <c r="BT745" s="406"/>
      <c r="BU745" s="406"/>
      <c r="BV745" s="406"/>
      <c r="BW745" s="406"/>
      <c r="BX745" s="406"/>
      <c r="BY745" s="406"/>
      <c r="BZ745" s="406"/>
      <c r="CA745" s="281"/>
      <c r="CB745" s="3" t="str">
        <f t="shared" si="92"/>
        <v>Riadok bude skrytý.</v>
      </c>
      <c r="CC745" s="271" t="s">
        <v>832</v>
      </c>
      <c r="CW745" s="30">
        <f t="shared" si="97"/>
        <v>0</v>
      </c>
      <c r="CZ745" s="30">
        <f t="shared" si="96"/>
        <v>1</v>
      </c>
      <c r="DA745" s="30">
        <f t="shared" si="94"/>
        <v>0</v>
      </c>
      <c r="DB745" s="140">
        <f t="shared" si="91"/>
        <v>0</v>
      </c>
      <c r="DS745" s="130">
        <f>SI!BY745</f>
        <v>152</v>
      </c>
      <c r="DZ745" s="131">
        <f>SI!BZ745</f>
        <v>0</v>
      </c>
    </row>
    <row r="746" spans="1:132" hidden="1" x14ac:dyDescent="0.25">
      <c r="A746" s="141"/>
      <c r="B746" s="406"/>
      <c r="C746" s="406"/>
      <c r="D746" s="406"/>
      <c r="E746" s="406"/>
      <c r="F746" s="406"/>
      <c r="G746" s="406"/>
      <c r="H746" s="406"/>
      <c r="I746" s="406"/>
      <c r="J746" s="406"/>
      <c r="K746" s="406"/>
      <c r="L746" s="406"/>
      <c r="M746" s="406"/>
      <c r="N746" s="406"/>
      <c r="O746" s="406"/>
      <c r="P746" s="406"/>
      <c r="Q746" s="406"/>
      <c r="R746" s="406"/>
      <c r="S746" s="406"/>
      <c r="T746" s="406"/>
      <c r="U746" s="406"/>
      <c r="V746" s="406"/>
      <c r="W746" s="406"/>
      <c r="X746" s="406"/>
      <c r="Y746" s="406"/>
      <c r="Z746" s="406"/>
      <c r="AA746" s="406"/>
      <c r="AB746" s="406"/>
      <c r="AC746" s="406"/>
      <c r="AD746" s="406"/>
      <c r="AE746" s="406"/>
      <c r="AF746" s="406"/>
      <c r="AG746" s="406"/>
      <c r="AH746" s="406"/>
      <c r="AI746" s="406"/>
      <c r="AJ746" s="406"/>
      <c r="AK746" s="406"/>
      <c r="AL746" s="406"/>
      <c r="AM746" s="406"/>
      <c r="AN746" s="406"/>
      <c r="AO746" s="406"/>
      <c r="AP746" s="406"/>
      <c r="AQ746" s="406"/>
      <c r="AR746" s="406"/>
      <c r="AS746" s="406"/>
      <c r="AT746" s="406"/>
      <c r="AU746" s="406"/>
      <c r="AV746" s="406"/>
      <c r="AW746" s="406"/>
      <c r="AX746" s="406"/>
      <c r="AY746" s="406"/>
      <c r="AZ746" s="406"/>
      <c r="BA746" s="406"/>
      <c r="BB746" s="406"/>
      <c r="BC746" s="406"/>
      <c r="BD746" s="406"/>
      <c r="BE746" s="406"/>
      <c r="BF746" s="406"/>
      <c r="BG746" s="406"/>
      <c r="BH746" s="406"/>
      <c r="BI746" s="406"/>
      <c r="BJ746" s="406"/>
      <c r="BK746" s="406"/>
      <c r="BL746" s="406"/>
      <c r="BM746" s="406"/>
      <c r="BN746" s="406"/>
      <c r="BO746" s="406"/>
      <c r="BP746" s="406"/>
      <c r="BQ746" s="406"/>
      <c r="BR746" s="406"/>
      <c r="BS746" s="406"/>
      <c r="BT746" s="406"/>
      <c r="BU746" s="406"/>
      <c r="BV746" s="406"/>
      <c r="BW746" s="406"/>
      <c r="BX746" s="406"/>
      <c r="BY746" s="406"/>
      <c r="BZ746" s="406"/>
      <c r="CA746" s="281"/>
      <c r="CB746" s="3" t="str">
        <f t="shared" si="92"/>
        <v>Riadok bude skrytý.</v>
      </c>
      <c r="CC746" s="271" t="s">
        <v>832</v>
      </c>
      <c r="CW746" s="30">
        <f t="shared" si="97"/>
        <v>0</v>
      </c>
      <c r="CZ746" s="30">
        <f t="shared" si="96"/>
        <v>1</v>
      </c>
      <c r="DA746" s="30">
        <f t="shared" si="94"/>
        <v>0</v>
      </c>
      <c r="DB746" s="140">
        <f t="shared" si="91"/>
        <v>0</v>
      </c>
      <c r="DS746" s="130">
        <f>SI!BY746</f>
        <v>138</v>
      </c>
      <c r="DZ746" s="131">
        <f>SI!BZ746</f>
        <v>0</v>
      </c>
    </row>
    <row r="747" spans="1:132" hidden="1" x14ac:dyDescent="0.25">
      <c r="A747" s="141"/>
      <c r="B747" s="406"/>
      <c r="C747" s="406"/>
      <c r="D747" s="406"/>
      <c r="E747" s="406"/>
      <c r="F747" s="406"/>
      <c r="G747" s="406"/>
      <c r="H747" s="406"/>
      <c r="I747" s="406"/>
      <c r="J747" s="406"/>
      <c r="K747" s="406"/>
      <c r="L747" s="406"/>
      <c r="M747" s="406"/>
      <c r="N747" s="406"/>
      <c r="O747" s="406"/>
      <c r="P747" s="406"/>
      <c r="Q747" s="406"/>
      <c r="R747" s="406"/>
      <c r="S747" s="406"/>
      <c r="T747" s="406"/>
      <c r="U747" s="406"/>
      <c r="V747" s="406"/>
      <c r="W747" s="406"/>
      <c r="X747" s="406"/>
      <c r="Y747" s="406"/>
      <c r="Z747" s="406"/>
      <c r="AA747" s="406"/>
      <c r="AB747" s="406"/>
      <c r="AC747" s="406"/>
      <c r="AD747" s="406"/>
      <c r="AE747" s="406"/>
      <c r="AF747" s="406"/>
      <c r="AG747" s="406"/>
      <c r="AH747" s="406"/>
      <c r="AI747" s="406"/>
      <c r="AJ747" s="406"/>
      <c r="AK747" s="406"/>
      <c r="AL747" s="406"/>
      <c r="AM747" s="406"/>
      <c r="AN747" s="406"/>
      <c r="AO747" s="406"/>
      <c r="AP747" s="406"/>
      <c r="AQ747" s="406"/>
      <c r="AR747" s="406"/>
      <c r="AS747" s="406"/>
      <c r="AT747" s="406"/>
      <c r="AU747" s="406"/>
      <c r="AV747" s="406"/>
      <c r="AW747" s="406"/>
      <c r="AX747" s="406"/>
      <c r="AY747" s="406"/>
      <c r="AZ747" s="406"/>
      <c r="BA747" s="406"/>
      <c r="BB747" s="406"/>
      <c r="BC747" s="406"/>
      <c r="BD747" s="406"/>
      <c r="BE747" s="406"/>
      <c r="BF747" s="406"/>
      <c r="BG747" s="406"/>
      <c r="BH747" s="406"/>
      <c r="BI747" s="406"/>
      <c r="BJ747" s="406"/>
      <c r="BK747" s="406"/>
      <c r="BL747" s="406"/>
      <c r="BM747" s="406"/>
      <c r="BN747" s="406"/>
      <c r="BO747" s="406"/>
      <c r="BP747" s="406"/>
      <c r="BQ747" s="406"/>
      <c r="BR747" s="406"/>
      <c r="BS747" s="406"/>
      <c r="BT747" s="406"/>
      <c r="BU747" s="406"/>
      <c r="BV747" s="406"/>
      <c r="BW747" s="406"/>
      <c r="BX747" s="406"/>
      <c r="BY747" s="406"/>
      <c r="BZ747" s="406"/>
      <c r="CA747" s="281"/>
      <c r="CB747" s="3" t="str">
        <f t="shared" si="92"/>
        <v>Riadok bude skrytý.</v>
      </c>
      <c r="CC747" s="271" t="s">
        <v>832</v>
      </c>
      <c r="CW747" s="30">
        <f t="shared" si="97"/>
        <v>0</v>
      </c>
      <c r="CZ747" s="30">
        <f t="shared" si="96"/>
        <v>1</v>
      </c>
      <c r="DA747" s="30">
        <f t="shared" si="94"/>
        <v>0</v>
      </c>
      <c r="DB747" s="140">
        <f t="shared" si="91"/>
        <v>0</v>
      </c>
      <c r="DS747" s="130">
        <f>SI!BY747</f>
        <v>144</v>
      </c>
      <c r="DZ747" s="131">
        <f>SI!BZ747</f>
        <v>0</v>
      </c>
    </row>
    <row r="748" spans="1:132" hidden="1" x14ac:dyDescent="0.25">
      <c r="A748" s="141"/>
      <c r="B748" s="406"/>
      <c r="C748" s="406"/>
      <c r="D748" s="406"/>
      <c r="E748" s="406"/>
      <c r="F748" s="406"/>
      <c r="G748" s="406"/>
      <c r="H748" s="406"/>
      <c r="I748" s="406"/>
      <c r="J748" s="406"/>
      <c r="K748" s="406"/>
      <c r="L748" s="406"/>
      <c r="M748" s="406"/>
      <c r="N748" s="406"/>
      <c r="O748" s="406"/>
      <c r="P748" s="406"/>
      <c r="Q748" s="406"/>
      <c r="R748" s="406"/>
      <c r="S748" s="406"/>
      <c r="T748" s="406"/>
      <c r="U748" s="406"/>
      <c r="V748" s="406"/>
      <c r="W748" s="406"/>
      <c r="X748" s="406"/>
      <c r="Y748" s="406"/>
      <c r="Z748" s="406"/>
      <c r="AA748" s="406"/>
      <c r="AB748" s="406"/>
      <c r="AC748" s="406"/>
      <c r="AD748" s="406"/>
      <c r="AE748" s="406"/>
      <c r="AF748" s="406"/>
      <c r="AG748" s="406"/>
      <c r="AH748" s="406"/>
      <c r="AI748" s="406"/>
      <c r="AJ748" s="406"/>
      <c r="AK748" s="406"/>
      <c r="AL748" s="406"/>
      <c r="AM748" s="406"/>
      <c r="AN748" s="406"/>
      <c r="AO748" s="406"/>
      <c r="AP748" s="406"/>
      <c r="AQ748" s="406"/>
      <c r="AR748" s="406"/>
      <c r="AS748" s="406"/>
      <c r="AT748" s="406"/>
      <c r="AU748" s="406"/>
      <c r="AV748" s="406"/>
      <c r="AW748" s="406"/>
      <c r="AX748" s="406"/>
      <c r="AY748" s="406"/>
      <c r="AZ748" s="406"/>
      <c r="BA748" s="406"/>
      <c r="BB748" s="406"/>
      <c r="BC748" s="406"/>
      <c r="BD748" s="406"/>
      <c r="BE748" s="406"/>
      <c r="BF748" s="406"/>
      <c r="BG748" s="406"/>
      <c r="BH748" s="406"/>
      <c r="BI748" s="406"/>
      <c r="BJ748" s="406"/>
      <c r="BK748" s="406"/>
      <c r="BL748" s="406"/>
      <c r="BM748" s="406"/>
      <c r="BN748" s="406"/>
      <c r="BO748" s="406"/>
      <c r="BP748" s="406"/>
      <c r="BQ748" s="406"/>
      <c r="BR748" s="406"/>
      <c r="BS748" s="406"/>
      <c r="BT748" s="406"/>
      <c r="BU748" s="406"/>
      <c r="BV748" s="406"/>
      <c r="BW748" s="406"/>
      <c r="BX748" s="406"/>
      <c r="BY748" s="406"/>
      <c r="BZ748" s="406"/>
      <c r="CA748" s="281"/>
      <c r="CB748" s="3" t="str">
        <f t="shared" si="92"/>
        <v>Riadok bude skrytý.</v>
      </c>
      <c r="CC748" s="271" t="s">
        <v>832</v>
      </c>
      <c r="CW748" s="30">
        <f t="shared" si="97"/>
        <v>0</v>
      </c>
      <c r="CZ748" s="30">
        <f t="shared" si="96"/>
        <v>1</v>
      </c>
      <c r="DA748" s="30">
        <f t="shared" si="94"/>
        <v>0</v>
      </c>
      <c r="DB748" s="140">
        <f t="shared" si="91"/>
        <v>0</v>
      </c>
      <c r="DS748" s="130">
        <f>SI!BY748</f>
        <v>192</v>
      </c>
      <c r="DZ748" s="131">
        <f>SI!BZ748</f>
        <v>0</v>
      </c>
    </row>
    <row r="749" spans="1:132" hidden="1" x14ac:dyDescent="0.25">
      <c r="A749" s="141"/>
      <c r="B749" s="406"/>
      <c r="C749" s="406"/>
      <c r="D749" s="406"/>
      <c r="E749" s="406"/>
      <c r="F749" s="406"/>
      <c r="G749" s="406"/>
      <c r="H749" s="406"/>
      <c r="I749" s="406"/>
      <c r="J749" s="406"/>
      <c r="K749" s="406"/>
      <c r="L749" s="406"/>
      <c r="M749" s="406"/>
      <c r="N749" s="406"/>
      <c r="O749" s="406"/>
      <c r="P749" s="406"/>
      <c r="Q749" s="406"/>
      <c r="R749" s="406"/>
      <c r="S749" s="406"/>
      <c r="T749" s="406"/>
      <c r="U749" s="406"/>
      <c r="V749" s="406"/>
      <c r="W749" s="406"/>
      <c r="X749" s="406"/>
      <c r="Y749" s="406"/>
      <c r="Z749" s="406"/>
      <c r="AA749" s="406"/>
      <c r="AB749" s="406"/>
      <c r="AC749" s="406"/>
      <c r="AD749" s="406"/>
      <c r="AE749" s="406"/>
      <c r="AF749" s="406"/>
      <c r="AG749" s="406"/>
      <c r="AH749" s="406"/>
      <c r="AI749" s="406"/>
      <c r="AJ749" s="406"/>
      <c r="AK749" s="406"/>
      <c r="AL749" s="406"/>
      <c r="AM749" s="406"/>
      <c r="AN749" s="406"/>
      <c r="AO749" s="406"/>
      <c r="AP749" s="406"/>
      <c r="AQ749" s="406"/>
      <c r="AR749" s="406"/>
      <c r="AS749" s="406"/>
      <c r="AT749" s="406"/>
      <c r="AU749" s="406"/>
      <c r="AV749" s="406"/>
      <c r="AW749" s="406"/>
      <c r="AX749" s="406"/>
      <c r="AY749" s="406"/>
      <c r="AZ749" s="406"/>
      <c r="BA749" s="406"/>
      <c r="BB749" s="406"/>
      <c r="BC749" s="406"/>
      <c r="BD749" s="406"/>
      <c r="BE749" s="406"/>
      <c r="BF749" s="406"/>
      <c r="BG749" s="406"/>
      <c r="BH749" s="406"/>
      <c r="BI749" s="406"/>
      <c r="BJ749" s="406"/>
      <c r="BK749" s="406"/>
      <c r="BL749" s="406"/>
      <c r="BM749" s="406"/>
      <c r="BN749" s="406"/>
      <c r="BO749" s="406"/>
      <c r="BP749" s="406"/>
      <c r="BQ749" s="406"/>
      <c r="BR749" s="406"/>
      <c r="BS749" s="406"/>
      <c r="BT749" s="406"/>
      <c r="BU749" s="406"/>
      <c r="BV749" s="406"/>
      <c r="BW749" s="406"/>
      <c r="BX749" s="406"/>
      <c r="BY749" s="406"/>
      <c r="BZ749" s="406"/>
      <c r="CA749" s="281"/>
      <c r="CB749" s="3" t="str">
        <f t="shared" si="92"/>
        <v>Riadok bude skrytý.</v>
      </c>
      <c r="CC749" s="271" t="s">
        <v>832</v>
      </c>
      <c r="CW749" s="30">
        <f t="shared" si="97"/>
        <v>0</v>
      </c>
      <c r="CZ749" s="30">
        <f t="shared" si="96"/>
        <v>1</v>
      </c>
      <c r="DA749" s="30">
        <f t="shared" si="94"/>
        <v>0</v>
      </c>
      <c r="DB749" s="140">
        <f t="shared" si="91"/>
        <v>0</v>
      </c>
      <c r="DS749" s="130">
        <f>SI!BY749</f>
        <v>152</v>
      </c>
      <c r="DZ749" s="131">
        <f>SI!BZ749</f>
        <v>0</v>
      </c>
    </row>
    <row r="750" spans="1:132" hidden="1" x14ac:dyDescent="0.25">
      <c r="A750" s="141"/>
      <c r="B750" s="406"/>
      <c r="C750" s="406"/>
      <c r="D750" s="406"/>
      <c r="E750" s="406"/>
      <c r="F750" s="406"/>
      <c r="G750" s="406"/>
      <c r="H750" s="406"/>
      <c r="I750" s="406"/>
      <c r="J750" s="406"/>
      <c r="K750" s="406"/>
      <c r="L750" s="406"/>
      <c r="M750" s="406"/>
      <c r="N750" s="406"/>
      <c r="O750" s="406"/>
      <c r="P750" s="406"/>
      <c r="Q750" s="406"/>
      <c r="R750" s="406"/>
      <c r="S750" s="406"/>
      <c r="T750" s="406"/>
      <c r="U750" s="406"/>
      <c r="V750" s="406"/>
      <c r="W750" s="406"/>
      <c r="X750" s="406"/>
      <c r="Y750" s="406"/>
      <c r="Z750" s="406"/>
      <c r="AA750" s="406"/>
      <c r="AB750" s="406"/>
      <c r="AC750" s="406"/>
      <c r="AD750" s="406"/>
      <c r="AE750" s="406"/>
      <c r="AF750" s="406"/>
      <c r="AG750" s="406"/>
      <c r="AH750" s="406"/>
      <c r="AI750" s="406"/>
      <c r="AJ750" s="406"/>
      <c r="AK750" s="406"/>
      <c r="AL750" s="406"/>
      <c r="AM750" s="406"/>
      <c r="AN750" s="406"/>
      <c r="AO750" s="406"/>
      <c r="AP750" s="406"/>
      <c r="AQ750" s="406"/>
      <c r="AR750" s="406"/>
      <c r="AS750" s="406"/>
      <c r="AT750" s="406"/>
      <c r="AU750" s="406"/>
      <c r="AV750" s="406"/>
      <c r="AW750" s="406"/>
      <c r="AX750" s="406"/>
      <c r="AY750" s="406"/>
      <c r="AZ750" s="406"/>
      <c r="BA750" s="406"/>
      <c r="BB750" s="406"/>
      <c r="BC750" s="406"/>
      <c r="BD750" s="406"/>
      <c r="BE750" s="406"/>
      <c r="BF750" s="406"/>
      <c r="BG750" s="406"/>
      <c r="BH750" s="406"/>
      <c r="BI750" s="406"/>
      <c r="BJ750" s="406"/>
      <c r="BK750" s="406"/>
      <c r="BL750" s="406"/>
      <c r="BM750" s="406"/>
      <c r="BN750" s="406"/>
      <c r="BO750" s="406"/>
      <c r="BP750" s="406"/>
      <c r="BQ750" s="406"/>
      <c r="BR750" s="406"/>
      <c r="BS750" s="406"/>
      <c r="BT750" s="406"/>
      <c r="BU750" s="406"/>
      <c r="BV750" s="406"/>
      <c r="BW750" s="406"/>
      <c r="BX750" s="406"/>
      <c r="BY750" s="406"/>
      <c r="BZ750" s="406"/>
      <c r="CA750" s="281"/>
      <c r="CB750" s="3" t="str">
        <f t="shared" si="92"/>
        <v>Riadok bude skrytý.</v>
      </c>
      <c r="CC750" s="271" t="s">
        <v>832</v>
      </c>
      <c r="CW750" s="30">
        <f t="shared" si="97"/>
        <v>0</v>
      </c>
      <c r="CZ750" s="30">
        <f t="shared" si="96"/>
        <v>1</v>
      </c>
      <c r="DA750" s="30">
        <f t="shared" si="94"/>
        <v>0</v>
      </c>
      <c r="DB750" s="140">
        <f t="shared" si="91"/>
        <v>0</v>
      </c>
      <c r="DS750" s="130">
        <f>SI!BY750</f>
        <v>161</v>
      </c>
      <c r="DZ750" s="131">
        <f>SI!BZ750</f>
        <v>0</v>
      </c>
    </row>
    <row r="751" spans="1:132" hidden="1" x14ac:dyDescent="0.25">
      <c r="A751" s="141"/>
      <c r="B751" s="406"/>
      <c r="C751" s="406"/>
      <c r="D751" s="406"/>
      <c r="E751" s="406"/>
      <c r="F751" s="406"/>
      <c r="G751" s="406"/>
      <c r="H751" s="406"/>
      <c r="I751" s="406"/>
      <c r="J751" s="406"/>
      <c r="K751" s="406"/>
      <c r="L751" s="406"/>
      <c r="M751" s="406"/>
      <c r="N751" s="406"/>
      <c r="O751" s="406"/>
      <c r="P751" s="406"/>
      <c r="Q751" s="406"/>
      <c r="R751" s="406"/>
      <c r="S751" s="406"/>
      <c r="T751" s="406"/>
      <c r="U751" s="406"/>
      <c r="V751" s="406"/>
      <c r="W751" s="406"/>
      <c r="X751" s="406"/>
      <c r="Y751" s="406"/>
      <c r="Z751" s="406"/>
      <c r="AA751" s="406"/>
      <c r="AB751" s="406"/>
      <c r="AC751" s="406"/>
      <c r="AD751" s="406"/>
      <c r="AE751" s="406"/>
      <c r="AF751" s="406"/>
      <c r="AG751" s="406"/>
      <c r="AH751" s="406"/>
      <c r="AI751" s="406"/>
      <c r="AJ751" s="406"/>
      <c r="AK751" s="406"/>
      <c r="AL751" s="406"/>
      <c r="AM751" s="406"/>
      <c r="AN751" s="406"/>
      <c r="AO751" s="406"/>
      <c r="AP751" s="406"/>
      <c r="AQ751" s="406"/>
      <c r="AR751" s="406"/>
      <c r="AS751" s="406"/>
      <c r="AT751" s="406"/>
      <c r="AU751" s="406"/>
      <c r="AV751" s="406"/>
      <c r="AW751" s="406"/>
      <c r="AX751" s="406"/>
      <c r="AY751" s="406"/>
      <c r="AZ751" s="406"/>
      <c r="BA751" s="406"/>
      <c r="BB751" s="406"/>
      <c r="BC751" s="406"/>
      <c r="BD751" s="406"/>
      <c r="BE751" s="406"/>
      <c r="BF751" s="406"/>
      <c r="BG751" s="406"/>
      <c r="BH751" s="406"/>
      <c r="BI751" s="406"/>
      <c r="BJ751" s="406"/>
      <c r="BK751" s="406"/>
      <c r="BL751" s="406"/>
      <c r="BM751" s="406"/>
      <c r="BN751" s="406"/>
      <c r="BO751" s="406"/>
      <c r="BP751" s="406"/>
      <c r="BQ751" s="406"/>
      <c r="BR751" s="406"/>
      <c r="BS751" s="406"/>
      <c r="BT751" s="406"/>
      <c r="BU751" s="406"/>
      <c r="BV751" s="406"/>
      <c r="BW751" s="406"/>
      <c r="BX751" s="406"/>
      <c r="BY751" s="406"/>
      <c r="BZ751" s="406"/>
      <c r="CA751" s="281"/>
      <c r="CB751" s="3" t="str">
        <f t="shared" si="92"/>
        <v>Riadok bude skrytý.</v>
      </c>
      <c r="CC751" s="271" t="s">
        <v>832</v>
      </c>
      <c r="CW751" s="30">
        <f t="shared" si="97"/>
        <v>0</v>
      </c>
      <c r="CZ751" s="30">
        <f t="shared" si="96"/>
        <v>1</v>
      </c>
      <c r="DA751" s="30">
        <f t="shared" si="94"/>
        <v>0</v>
      </c>
      <c r="DB751" s="140">
        <f t="shared" si="91"/>
        <v>0</v>
      </c>
      <c r="DS751" s="130">
        <f>SI!BY751</f>
        <v>99</v>
      </c>
      <c r="DZ751" s="131">
        <f>SI!BZ751</f>
        <v>0</v>
      </c>
    </row>
    <row r="752" spans="1:132" hidden="1" x14ac:dyDescent="0.25">
      <c r="A752" s="141"/>
      <c r="B752" s="406"/>
      <c r="C752" s="406"/>
      <c r="D752" s="406"/>
      <c r="E752" s="406"/>
      <c r="F752" s="406"/>
      <c r="G752" s="406"/>
      <c r="H752" s="406"/>
      <c r="I752" s="406"/>
      <c r="J752" s="406"/>
      <c r="K752" s="406"/>
      <c r="L752" s="406"/>
      <c r="M752" s="406"/>
      <c r="N752" s="406"/>
      <c r="O752" s="406"/>
      <c r="P752" s="406"/>
      <c r="Q752" s="406"/>
      <c r="R752" s="406"/>
      <c r="S752" s="406"/>
      <c r="T752" s="406"/>
      <c r="U752" s="406"/>
      <c r="V752" s="406"/>
      <c r="W752" s="406"/>
      <c r="X752" s="406"/>
      <c r="Y752" s="406"/>
      <c r="Z752" s="406"/>
      <c r="AA752" s="406"/>
      <c r="AB752" s="406"/>
      <c r="AC752" s="406"/>
      <c r="AD752" s="406"/>
      <c r="AE752" s="406"/>
      <c r="AF752" s="406"/>
      <c r="AG752" s="406"/>
      <c r="AH752" s="406"/>
      <c r="AI752" s="406"/>
      <c r="AJ752" s="406"/>
      <c r="AK752" s="406"/>
      <c r="AL752" s="406"/>
      <c r="AM752" s="406"/>
      <c r="AN752" s="406"/>
      <c r="AO752" s="406"/>
      <c r="AP752" s="406"/>
      <c r="AQ752" s="406"/>
      <c r="AR752" s="406"/>
      <c r="AS752" s="406"/>
      <c r="AT752" s="406"/>
      <c r="AU752" s="406"/>
      <c r="AV752" s="406"/>
      <c r="AW752" s="406"/>
      <c r="AX752" s="406"/>
      <c r="AY752" s="406"/>
      <c r="AZ752" s="406"/>
      <c r="BA752" s="406"/>
      <c r="BB752" s="406"/>
      <c r="BC752" s="406"/>
      <c r="BD752" s="406"/>
      <c r="BE752" s="406"/>
      <c r="BF752" s="406"/>
      <c r="BG752" s="406"/>
      <c r="BH752" s="406"/>
      <c r="BI752" s="406"/>
      <c r="BJ752" s="406"/>
      <c r="BK752" s="406"/>
      <c r="BL752" s="406"/>
      <c r="BM752" s="406"/>
      <c r="BN752" s="406"/>
      <c r="BO752" s="406"/>
      <c r="BP752" s="406"/>
      <c r="BQ752" s="406"/>
      <c r="BR752" s="406"/>
      <c r="BS752" s="406"/>
      <c r="BT752" s="406"/>
      <c r="BU752" s="406"/>
      <c r="BV752" s="406"/>
      <c r="BW752" s="406"/>
      <c r="BX752" s="406"/>
      <c r="BY752" s="406"/>
      <c r="BZ752" s="406"/>
      <c r="CA752" s="281"/>
      <c r="CB752" s="3" t="str">
        <f t="shared" si="92"/>
        <v>Riadok bude skrytý.</v>
      </c>
      <c r="CC752" s="271" t="s">
        <v>832</v>
      </c>
      <c r="CW752" s="30">
        <f t="shared" si="97"/>
        <v>0</v>
      </c>
      <c r="CZ752" s="30">
        <f t="shared" si="96"/>
        <v>1</v>
      </c>
      <c r="DA752" s="30">
        <f t="shared" si="94"/>
        <v>0</v>
      </c>
      <c r="DB752" s="140">
        <f t="shared" ref="DB752:DB815" si="98">+DA752</f>
        <v>0</v>
      </c>
      <c r="DS752" s="130">
        <f>SI!BY752</f>
        <v>423</v>
      </c>
      <c r="DZ752" s="131">
        <f>SI!BZ752</f>
        <v>0</v>
      </c>
    </row>
    <row r="753" spans="1:130" hidden="1" x14ac:dyDescent="0.25">
      <c r="A753" s="141"/>
      <c r="B753" s="406"/>
      <c r="C753" s="406"/>
      <c r="D753" s="406"/>
      <c r="E753" s="406"/>
      <c r="F753" s="406"/>
      <c r="G753" s="406"/>
      <c r="H753" s="406"/>
      <c r="I753" s="406"/>
      <c r="J753" s="406"/>
      <c r="K753" s="406"/>
      <c r="L753" s="406"/>
      <c r="M753" s="406"/>
      <c r="N753" s="406"/>
      <c r="O753" s="406"/>
      <c r="P753" s="406"/>
      <c r="Q753" s="406"/>
      <c r="R753" s="406"/>
      <c r="S753" s="406"/>
      <c r="T753" s="406"/>
      <c r="U753" s="406"/>
      <c r="V753" s="406"/>
      <c r="W753" s="406"/>
      <c r="X753" s="406"/>
      <c r="Y753" s="406"/>
      <c r="Z753" s="406"/>
      <c r="AA753" s="406"/>
      <c r="AB753" s="406"/>
      <c r="AC753" s="406"/>
      <c r="AD753" s="406"/>
      <c r="AE753" s="406"/>
      <c r="AF753" s="406"/>
      <c r="AG753" s="406"/>
      <c r="AH753" s="406"/>
      <c r="AI753" s="406"/>
      <c r="AJ753" s="406"/>
      <c r="AK753" s="406"/>
      <c r="AL753" s="406"/>
      <c r="AM753" s="406"/>
      <c r="AN753" s="406"/>
      <c r="AO753" s="406"/>
      <c r="AP753" s="406"/>
      <c r="AQ753" s="406"/>
      <c r="AR753" s="406"/>
      <c r="AS753" s="406"/>
      <c r="AT753" s="406"/>
      <c r="AU753" s="406"/>
      <c r="AV753" s="406"/>
      <c r="AW753" s="406"/>
      <c r="AX753" s="406"/>
      <c r="AY753" s="406"/>
      <c r="AZ753" s="406"/>
      <c r="BA753" s="406"/>
      <c r="BB753" s="406"/>
      <c r="BC753" s="406"/>
      <c r="BD753" s="406"/>
      <c r="BE753" s="406"/>
      <c r="BF753" s="406"/>
      <c r="BG753" s="406"/>
      <c r="BH753" s="406"/>
      <c r="BI753" s="406"/>
      <c r="BJ753" s="406"/>
      <c r="BK753" s="406"/>
      <c r="BL753" s="406"/>
      <c r="BM753" s="406"/>
      <c r="BN753" s="406"/>
      <c r="BO753" s="406"/>
      <c r="BP753" s="406"/>
      <c r="BQ753" s="406"/>
      <c r="BR753" s="406"/>
      <c r="BS753" s="406"/>
      <c r="BT753" s="406"/>
      <c r="BU753" s="406"/>
      <c r="BV753" s="406"/>
      <c r="BW753" s="406"/>
      <c r="BX753" s="406"/>
      <c r="BY753" s="406"/>
      <c r="BZ753" s="406"/>
      <c r="CA753" s="281"/>
      <c r="CB753" s="3" t="str">
        <f t="shared" si="92"/>
        <v>Riadok bude skrytý.</v>
      </c>
      <c r="CC753" s="271" t="s">
        <v>832</v>
      </c>
      <c r="CW753" s="30">
        <f t="shared" si="97"/>
        <v>0</v>
      </c>
      <c r="CZ753" s="30">
        <f t="shared" si="96"/>
        <v>1</v>
      </c>
      <c r="DA753" s="30">
        <f t="shared" si="94"/>
        <v>0</v>
      </c>
      <c r="DB753" s="140">
        <f t="shared" si="98"/>
        <v>0</v>
      </c>
      <c r="DS753" s="130">
        <f>SI!BY753</f>
        <v>109</v>
      </c>
      <c r="DZ753" s="131">
        <f>SI!BZ753</f>
        <v>0</v>
      </c>
    </row>
    <row r="754" spans="1:130" hidden="1" x14ac:dyDescent="0.25">
      <c r="A754" s="141"/>
      <c r="B754" s="406"/>
      <c r="C754" s="406"/>
      <c r="D754" s="406"/>
      <c r="E754" s="406"/>
      <c r="F754" s="406"/>
      <c r="G754" s="406"/>
      <c r="H754" s="406"/>
      <c r="I754" s="406"/>
      <c r="J754" s="406"/>
      <c r="K754" s="406"/>
      <c r="L754" s="406"/>
      <c r="M754" s="406"/>
      <c r="N754" s="406"/>
      <c r="O754" s="406"/>
      <c r="P754" s="406"/>
      <c r="Q754" s="406"/>
      <c r="R754" s="406"/>
      <c r="S754" s="406"/>
      <c r="T754" s="406"/>
      <c r="U754" s="406"/>
      <c r="V754" s="406"/>
      <c r="W754" s="406"/>
      <c r="X754" s="406"/>
      <c r="Y754" s="406"/>
      <c r="Z754" s="406"/>
      <c r="AA754" s="406"/>
      <c r="AB754" s="406"/>
      <c r="AC754" s="406"/>
      <c r="AD754" s="406"/>
      <c r="AE754" s="406"/>
      <c r="AF754" s="406"/>
      <c r="AG754" s="406"/>
      <c r="AH754" s="406"/>
      <c r="AI754" s="406"/>
      <c r="AJ754" s="406"/>
      <c r="AK754" s="406"/>
      <c r="AL754" s="406"/>
      <c r="AM754" s="406"/>
      <c r="AN754" s="406"/>
      <c r="AO754" s="406"/>
      <c r="AP754" s="406"/>
      <c r="AQ754" s="406"/>
      <c r="AR754" s="406"/>
      <c r="AS754" s="406"/>
      <c r="AT754" s="406"/>
      <c r="AU754" s="406"/>
      <c r="AV754" s="406"/>
      <c r="AW754" s="406"/>
      <c r="AX754" s="406"/>
      <c r="AY754" s="406"/>
      <c r="AZ754" s="406"/>
      <c r="BA754" s="406"/>
      <c r="BB754" s="406"/>
      <c r="BC754" s="406"/>
      <c r="BD754" s="406"/>
      <c r="BE754" s="406"/>
      <c r="BF754" s="406"/>
      <c r="BG754" s="406"/>
      <c r="BH754" s="406"/>
      <c r="BI754" s="406"/>
      <c r="BJ754" s="406"/>
      <c r="BK754" s="406"/>
      <c r="BL754" s="406"/>
      <c r="BM754" s="406"/>
      <c r="BN754" s="406"/>
      <c r="BO754" s="406"/>
      <c r="BP754" s="406"/>
      <c r="BQ754" s="406"/>
      <c r="BR754" s="406"/>
      <c r="BS754" s="406"/>
      <c r="BT754" s="406"/>
      <c r="BU754" s="406"/>
      <c r="BV754" s="406"/>
      <c r="BW754" s="406"/>
      <c r="BX754" s="406"/>
      <c r="BY754" s="406"/>
      <c r="BZ754" s="406"/>
      <c r="CA754" s="281"/>
      <c r="CB754" s="3" t="str">
        <f t="shared" si="92"/>
        <v>Riadok bude skrytý.</v>
      </c>
      <c r="CC754" s="271" t="s">
        <v>832</v>
      </c>
      <c r="CW754" s="30">
        <f t="shared" si="97"/>
        <v>0</v>
      </c>
      <c r="CZ754" s="30">
        <f t="shared" si="96"/>
        <v>1</v>
      </c>
      <c r="DA754" s="30">
        <f t="shared" si="94"/>
        <v>0</v>
      </c>
      <c r="DB754" s="140">
        <f t="shared" si="98"/>
        <v>0</v>
      </c>
      <c r="DS754" s="130">
        <f>SI!BY754</f>
        <v>1040</v>
      </c>
      <c r="DZ754" s="131">
        <f>SI!BZ754</f>
        <v>0</v>
      </c>
    </row>
    <row r="755" spans="1:130" hidden="1" x14ac:dyDescent="0.25">
      <c r="A755" s="141"/>
      <c r="B755" s="406"/>
      <c r="C755" s="406"/>
      <c r="D755" s="406"/>
      <c r="E755" s="406"/>
      <c r="F755" s="406"/>
      <c r="G755" s="406"/>
      <c r="H755" s="406"/>
      <c r="I755" s="406"/>
      <c r="J755" s="406"/>
      <c r="K755" s="406"/>
      <c r="L755" s="406"/>
      <c r="M755" s="406"/>
      <c r="N755" s="406"/>
      <c r="O755" s="406"/>
      <c r="P755" s="406"/>
      <c r="Q755" s="406"/>
      <c r="R755" s="406"/>
      <c r="S755" s="406"/>
      <c r="T755" s="406"/>
      <c r="U755" s="406"/>
      <c r="V755" s="406"/>
      <c r="W755" s="406"/>
      <c r="X755" s="406"/>
      <c r="Y755" s="406"/>
      <c r="Z755" s="406"/>
      <c r="AA755" s="406"/>
      <c r="AB755" s="406"/>
      <c r="AC755" s="406"/>
      <c r="AD755" s="406"/>
      <c r="AE755" s="406"/>
      <c r="AF755" s="406"/>
      <c r="AG755" s="406"/>
      <c r="AH755" s="406"/>
      <c r="AI755" s="406"/>
      <c r="AJ755" s="406"/>
      <c r="AK755" s="406"/>
      <c r="AL755" s="406"/>
      <c r="AM755" s="406"/>
      <c r="AN755" s="406"/>
      <c r="AO755" s="406"/>
      <c r="AP755" s="406"/>
      <c r="AQ755" s="406"/>
      <c r="AR755" s="406"/>
      <c r="AS755" s="406"/>
      <c r="AT755" s="406"/>
      <c r="AU755" s="406"/>
      <c r="AV755" s="406"/>
      <c r="AW755" s="406"/>
      <c r="AX755" s="406"/>
      <c r="AY755" s="406"/>
      <c r="AZ755" s="406"/>
      <c r="BA755" s="406"/>
      <c r="BB755" s="406"/>
      <c r="BC755" s="406"/>
      <c r="BD755" s="406"/>
      <c r="BE755" s="406"/>
      <c r="BF755" s="406"/>
      <c r="BG755" s="406"/>
      <c r="BH755" s="406"/>
      <c r="BI755" s="406"/>
      <c r="BJ755" s="406"/>
      <c r="BK755" s="406"/>
      <c r="BL755" s="406"/>
      <c r="BM755" s="406"/>
      <c r="BN755" s="406"/>
      <c r="BO755" s="406"/>
      <c r="BP755" s="406"/>
      <c r="BQ755" s="406"/>
      <c r="BR755" s="406"/>
      <c r="BS755" s="406"/>
      <c r="BT755" s="406"/>
      <c r="BU755" s="406"/>
      <c r="BV755" s="406"/>
      <c r="BW755" s="406"/>
      <c r="BX755" s="406"/>
      <c r="BY755" s="406"/>
      <c r="BZ755" s="406"/>
      <c r="CA755" s="281"/>
      <c r="CB755" s="3" t="str">
        <f t="shared" ref="CB755:CB818" si="99">+IF(DB755=0,"Riadok bude skrytý.","Riadok bude vidieť.")</f>
        <v>Riadok bude skrytý.</v>
      </c>
      <c r="CC755" s="271" t="s">
        <v>832</v>
      </c>
      <c r="CW755" s="30">
        <f t="shared" si="97"/>
        <v>0</v>
      </c>
      <c r="CZ755" s="30">
        <f t="shared" si="96"/>
        <v>1</v>
      </c>
      <c r="DA755" s="30">
        <f t="shared" si="94"/>
        <v>0</v>
      </c>
      <c r="DB755" s="140">
        <f t="shared" si="98"/>
        <v>0</v>
      </c>
      <c r="DS755" s="130">
        <f>SI!BY755</f>
        <v>114</v>
      </c>
      <c r="DZ755" s="131">
        <f>SI!BZ755</f>
        <v>0</v>
      </c>
    </row>
    <row r="756" spans="1:130" hidden="1" x14ac:dyDescent="0.25">
      <c r="A756" s="141"/>
      <c r="B756" s="406"/>
      <c r="C756" s="406"/>
      <c r="D756" s="406"/>
      <c r="E756" s="406"/>
      <c r="F756" s="406"/>
      <c r="G756" s="406"/>
      <c r="H756" s="406"/>
      <c r="I756" s="406"/>
      <c r="J756" s="406"/>
      <c r="K756" s="406"/>
      <c r="L756" s="406"/>
      <c r="M756" s="406"/>
      <c r="N756" s="406"/>
      <c r="O756" s="406"/>
      <c r="P756" s="406"/>
      <c r="Q756" s="406"/>
      <c r="R756" s="406"/>
      <c r="S756" s="406"/>
      <c r="T756" s="406"/>
      <c r="U756" s="406"/>
      <c r="V756" s="406"/>
      <c r="W756" s="406"/>
      <c r="X756" s="406"/>
      <c r="Y756" s="406"/>
      <c r="Z756" s="406"/>
      <c r="AA756" s="406"/>
      <c r="AB756" s="406"/>
      <c r="AC756" s="406"/>
      <c r="AD756" s="406"/>
      <c r="AE756" s="406"/>
      <c r="AF756" s="406"/>
      <c r="AG756" s="406"/>
      <c r="AH756" s="406"/>
      <c r="AI756" s="406"/>
      <c r="AJ756" s="406"/>
      <c r="AK756" s="406"/>
      <c r="AL756" s="406"/>
      <c r="AM756" s="406"/>
      <c r="AN756" s="406"/>
      <c r="AO756" s="406"/>
      <c r="AP756" s="406"/>
      <c r="AQ756" s="406"/>
      <c r="AR756" s="406"/>
      <c r="AS756" s="406"/>
      <c r="AT756" s="406"/>
      <c r="AU756" s="406"/>
      <c r="AV756" s="406"/>
      <c r="AW756" s="406"/>
      <c r="AX756" s="406"/>
      <c r="AY756" s="406"/>
      <c r="AZ756" s="406"/>
      <c r="BA756" s="406"/>
      <c r="BB756" s="406"/>
      <c r="BC756" s="406"/>
      <c r="BD756" s="406"/>
      <c r="BE756" s="406"/>
      <c r="BF756" s="406"/>
      <c r="BG756" s="406"/>
      <c r="BH756" s="406"/>
      <c r="BI756" s="406"/>
      <c r="BJ756" s="406"/>
      <c r="BK756" s="406"/>
      <c r="BL756" s="406"/>
      <c r="BM756" s="406"/>
      <c r="BN756" s="406"/>
      <c r="BO756" s="406"/>
      <c r="BP756" s="406"/>
      <c r="BQ756" s="406"/>
      <c r="BR756" s="406"/>
      <c r="BS756" s="406"/>
      <c r="BT756" s="406"/>
      <c r="BU756" s="406"/>
      <c r="BV756" s="406"/>
      <c r="BW756" s="406"/>
      <c r="BX756" s="406"/>
      <c r="BY756" s="406"/>
      <c r="BZ756" s="406"/>
      <c r="CA756" s="281"/>
      <c r="CB756" s="3" t="str">
        <f t="shared" si="99"/>
        <v>Riadok bude skrytý.</v>
      </c>
      <c r="CC756" s="271" t="s">
        <v>832</v>
      </c>
      <c r="CW756" s="30">
        <f t="shared" si="97"/>
        <v>0</v>
      </c>
      <c r="CZ756" s="30">
        <f t="shared" si="96"/>
        <v>1</v>
      </c>
      <c r="DA756" s="30">
        <f t="shared" si="94"/>
        <v>0</v>
      </c>
      <c r="DB756" s="140">
        <f t="shared" si="98"/>
        <v>0</v>
      </c>
      <c r="DS756" s="130">
        <f>SI!BY756</f>
        <v>341</v>
      </c>
      <c r="DZ756" s="131">
        <f>SI!BZ756</f>
        <v>0</v>
      </c>
    </row>
    <row r="757" spans="1:130" hidden="1" x14ac:dyDescent="0.25">
      <c r="A757" s="141"/>
      <c r="B757" s="406"/>
      <c r="C757" s="406"/>
      <c r="D757" s="406"/>
      <c r="E757" s="406"/>
      <c r="F757" s="406"/>
      <c r="G757" s="406"/>
      <c r="H757" s="406"/>
      <c r="I757" s="406"/>
      <c r="J757" s="406"/>
      <c r="K757" s="406"/>
      <c r="L757" s="406"/>
      <c r="M757" s="406"/>
      <c r="N757" s="406"/>
      <c r="O757" s="406"/>
      <c r="P757" s="406"/>
      <c r="Q757" s="406"/>
      <c r="R757" s="406"/>
      <c r="S757" s="406"/>
      <c r="T757" s="406"/>
      <c r="U757" s="406"/>
      <c r="V757" s="406"/>
      <c r="W757" s="406"/>
      <c r="X757" s="406"/>
      <c r="Y757" s="406"/>
      <c r="Z757" s="406"/>
      <c r="AA757" s="406"/>
      <c r="AB757" s="406"/>
      <c r="AC757" s="406"/>
      <c r="AD757" s="406"/>
      <c r="AE757" s="406"/>
      <c r="AF757" s="406"/>
      <c r="AG757" s="406"/>
      <c r="AH757" s="406"/>
      <c r="AI757" s="406"/>
      <c r="AJ757" s="406"/>
      <c r="AK757" s="406"/>
      <c r="AL757" s="406"/>
      <c r="AM757" s="406"/>
      <c r="AN757" s="406"/>
      <c r="AO757" s="406"/>
      <c r="AP757" s="406"/>
      <c r="AQ757" s="406"/>
      <c r="AR757" s="406"/>
      <c r="AS757" s="406"/>
      <c r="AT757" s="406"/>
      <c r="AU757" s="406"/>
      <c r="AV757" s="406"/>
      <c r="AW757" s="406"/>
      <c r="AX757" s="406"/>
      <c r="AY757" s="406"/>
      <c r="AZ757" s="406"/>
      <c r="BA757" s="406"/>
      <c r="BB757" s="406"/>
      <c r="BC757" s="406"/>
      <c r="BD757" s="406"/>
      <c r="BE757" s="406"/>
      <c r="BF757" s="406"/>
      <c r="BG757" s="406"/>
      <c r="BH757" s="406"/>
      <c r="BI757" s="406"/>
      <c r="BJ757" s="406"/>
      <c r="BK757" s="406"/>
      <c r="BL757" s="406"/>
      <c r="BM757" s="406"/>
      <c r="BN757" s="406"/>
      <c r="BO757" s="406"/>
      <c r="BP757" s="406"/>
      <c r="BQ757" s="406"/>
      <c r="BR757" s="406"/>
      <c r="BS757" s="406"/>
      <c r="BT757" s="406"/>
      <c r="BU757" s="406"/>
      <c r="BV757" s="406"/>
      <c r="BW757" s="406"/>
      <c r="BX757" s="406"/>
      <c r="BY757" s="406"/>
      <c r="BZ757" s="406"/>
      <c r="CA757" s="281"/>
      <c r="CB757" s="3" t="str">
        <f t="shared" si="99"/>
        <v>Riadok bude skrytý.</v>
      </c>
      <c r="CC757" s="271" t="s">
        <v>832</v>
      </c>
      <c r="CW757" s="30">
        <f t="shared" si="97"/>
        <v>0</v>
      </c>
      <c r="CZ757" s="30">
        <f t="shared" si="96"/>
        <v>1</v>
      </c>
      <c r="DA757" s="30">
        <f t="shared" si="94"/>
        <v>0</v>
      </c>
      <c r="DB757" s="140">
        <f t="shared" si="98"/>
        <v>0</v>
      </c>
      <c r="DS757" s="130">
        <f>SI!BY757</f>
        <v>157</v>
      </c>
      <c r="DZ757" s="131">
        <f>SI!BZ757</f>
        <v>0</v>
      </c>
    </row>
    <row r="758" spans="1:130" hidden="1" x14ac:dyDescent="0.25">
      <c r="A758" s="141"/>
      <c r="B758" s="406"/>
      <c r="C758" s="406"/>
      <c r="D758" s="406"/>
      <c r="E758" s="406"/>
      <c r="F758" s="406"/>
      <c r="G758" s="406"/>
      <c r="H758" s="406"/>
      <c r="I758" s="406"/>
      <c r="J758" s="406"/>
      <c r="K758" s="406"/>
      <c r="L758" s="406"/>
      <c r="M758" s="406"/>
      <c r="N758" s="406"/>
      <c r="O758" s="406"/>
      <c r="P758" s="406"/>
      <c r="Q758" s="406"/>
      <c r="R758" s="406"/>
      <c r="S758" s="406"/>
      <c r="T758" s="406"/>
      <c r="U758" s="406"/>
      <c r="V758" s="406"/>
      <c r="W758" s="406"/>
      <c r="X758" s="406"/>
      <c r="Y758" s="406"/>
      <c r="Z758" s="406"/>
      <c r="AA758" s="406"/>
      <c r="AB758" s="406"/>
      <c r="AC758" s="406"/>
      <c r="AD758" s="406"/>
      <c r="AE758" s="406"/>
      <c r="AF758" s="406"/>
      <c r="AG758" s="406"/>
      <c r="AH758" s="406"/>
      <c r="AI758" s="406"/>
      <c r="AJ758" s="406"/>
      <c r="AK758" s="406"/>
      <c r="AL758" s="406"/>
      <c r="AM758" s="406"/>
      <c r="AN758" s="406"/>
      <c r="AO758" s="406"/>
      <c r="AP758" s="406"/>
      <c r="AQ758" s="406"/>
      <c r="AR758" s="406"/>
      <c r="AS758" s="406"/>
      <c r="AT758" s="406"/>
      <c r="AU758" s="406"/>
      <c r="AV758" s="406"/>
      <c r="AW758" s="406"/>
      <c r="AX758" s="406"/>
      <c r="AY758" s="406"/>
      <c r="AZ758" s="406"/>
      <c r="BA758" s="406"/>
      <c r="BB758" s="406"/>
      <c r="BC758" s="406"/>
      <c r="BD758" s="406"/>
      <c r="BE758" s="406"/>
      <c r="BF758" s="406"/>
      <c r="BG758" s="406"/>
      <c r="BH758" s="406"/>
      <c r="BI758" s="406"/>
      <c r="BJ758" s="406"/>
      <c r="BK758" s="406"/>
      <c r="BL758" s="406"/>
      <c r="BM758" s="406"/>
      <c r="BN758" s="406"/>
      <c r="BO758" s="406"/>
      <c r="BP758" s="406"/>
      <c r="BQ758" s="406"/>
      <c r="BR758" s="406"/>
      <c r="BS758" s="406"/>
      <c r="BT758" s="406"/>
      <c r="BU758" s="406"/>
      <c r="BV758" s="406"/>
      <c r="BW758" s="406"/>
      <c r="BX758" s="406"/>
      <c r="BY758" s="406"/>
      <c r="BZ758" s="406"/>
      <c r="CA758" s="281"/>
      <c r="CB758" s="3" t="str">
        <f t="shared" si="99"/>
        <v>Riadok bude skrytý.</v>
      </c>
      <c r="CC758" s="271" t="s">
        <v>832</v>
      </c>
      <c r="CW758" s="30">
        <f t="shared" si="97"/>
        <v>0</v>
      </c>
      <c r="CZ758" s="30">
        <f t="shared" si="96"/>
        <v>1</v>
      </c>
      <c r="DA758" s="30">
        <f t="shared" si="94"/>
        <v>0</v>
      </c>
      <c r="DB758" s="140">
        <f t="shared" si="98"/>
        <v>0</v>
      </c>
      <c r="DS758" s="130">
        <f>SI!BY758</f>
        <v>1006</v>
      </c>
      <c r="DZ758" s="131">
        <f>SI!BZ758</f>
        <v>0</v>
      </c>
    </row>
    <row r="759" spans="1:130" hidden="1" x14ac:dyDescent="0.25">
      <c r="A759" s="141"/>
      <c r="B759" s="12"/>
      <c r="CA759" s="270"/>
      <c r="CB759" s="3" t="str">
        <f t="shared" si="99"/>
        <v>Riadok bude skrytý.</v>
      </c>
      <c r="CC759" s="271" t="s">
        <v>832</v>
      </c>
      <c r="CW759" s="32">
        <f>+IF(SUM(CW761:CW780)=0,0,1)</f>
        <v>0</v>
      </c>
      <c r="CZ759" s="30">
        <f t="shared" si="96"/>
        <v>1</v>
      </c>
      <c r="DA759" s="30">
        <f t="shared" si="94"/>
        <v>0</v>
      </c>
      <c r="DB759" s="140">
        <f t="shared" si="98"/>
        <v>0</v>
      </c>
      <c r="DS759" s="130">
        <f>SI!BY759</f>
        <v>178</v>
      </c>
      <c r="DZ759" s="131">
        <f>SI!BZ759</f>
        <v>0</v>
      </c>
    </row>
    <row r="760" spans="1:130" hidden="1" x14ac:dyDescent="0.25">
      <c r="A760" s="141"/>
      <c r="B760" s="279" t="s">
        <v>859</v>
      </c>
      <c r="C760" s="7" t="str">
        <f>+IF($K$52&lt;&gt;"",IF(INT(SQRT((CODE(MID($K$52,1,1)))))*(IF(SI!EE760="",1,SI!EE760))+LEN(SI!J5)=DS760,"Informácie o emisných kvótach","NEPOVOLENÉ POUŽITIE!"),"NEPOVOLENÉ POUŽITIE!")</f>
        <v>Informácie o emisných kvótach</v>
      </c>
      <c r="D760" s="7"/>
      <c r="E760" s="7"/>
      <c r="F760" s="7"/>
      <c r="CA760" s="265" t="s">
        <v>773</v>
      </c>
      <c r="CB760" s="3" t="str">
        <f t="shared" si="99"/>
        <v>Riadok bude skrytý.</v>
      </c>
      <c r="CC760" s="271" t="s">
        <v>832</v>
      </c>
      <c r="CW760" s="134">
        <f>+IF(SUM(CW761:CW780)=0,0,1)</f>
        <v>0</v>
      </c>
      <c r="CZ760" s="30">
        <f t="shared" si="96"/>
        <v>1</v>
      </c>
      <c r="DA760" s="30">
        <f t="shared" si="94"/>
        <v>0</v>
      </c>
      <c r="DB760" s="140">
        <f t="shared" si="98"/>
        <v>0</v>
      </c>
      <c r="DS760" s="130">
        <f>SI!BY760</f>
        <v>15</v>
      </c>
      <c r="DZ760" s="131">
        <f>SI!BZ760</f>
        <v>0</v>
      </c>
    </row>
    <row r="761" spans="1:130" hidden="1" x14ac:dyDescent="0.25">
      <c r="A761" s="141"/>
      <c r="B761" s="379"/>
      <c r="C761" s="379"/>
      <c r="D761" s="379"/>
      <c r="E761" s="379"/>
      <c r="F761" s="379"/>
      <c r="G761" s="379"/>
      <c r="H761" s="379"/>
      <c r="I761" s="379"/>
      <c r="J761" s="379"/>
      <c r="K761" s="379"/>
      <c r="L761" s="379"/>
      <c r="M761" s="379"/>
      <c r="N761" s="379"/>
      <c r="O761" s="379"/>
      <c r="P761" s="379"/>
      <c r="Q761" s="379"/>
      <c r="R761" s="379"/>
      <c r="S761" s="379"/>
      <c r="T761" s="379"/>
      <c r="U761" s="379"/>
      <c r="V761" s="379"/>
      <c r="W761" s="379"/>
      <c r="X761" s="379"/>
      <c r="Y761" s="379"/>
      <c r="Z761" s="379"/>
      <c r="AA761" s="379"/>
      <c r="AB761" s="379"/>
      <c r="AC761" s="379"/>
      <c r="AD761" s="379"/>
      <c r="AE761" s="379"/>
      <c r="AF761" s="379"/>
      <c r="AG761" s="379"/>
      <c r="AH761" s="379"/>
      <c r="AI761" s="379"/>
      <c r="AJ761" s="379"/>
      <c r="AK761" s="379"/>
      <c r="AL761" s="379"/>
      <c r="AM761" s="379"/>
      <c r="AN761" s="379"/>
      <c r="AO761" s="379"/>
      <c r="AP761" s="379"/>
      <c r="AQ761" s="379"/>
      <c r="AR761" s="379"/>
      <c r="AS761" s="379"/>
      <c r="AT761" s="379"/>
      <c r="AU761" s="379"/>
      <c r="AV761" s="379"/>
      <c r="AW761" s="379"/>
      <c r="AX761" s="379"/>
      <c r="AY761" s="379"/>
      <c r="AZ761" s="379"/>
      <c r="BA761" s="379"/>
      <c r="BB761" s="379"/>
      <c r="BC761" s="379"/>
      <c r="BD761" s="379"/>
      <c r="BE761" s="379"/>
      <c r="BF761" s="379"/>
      <c r="BG761" s="379"/>
      <c r="BH761" s="379"/>
      <c r="BI761" s="379"/>
      <c r="BJ761" s="379"/>
      <c r="BK761" s="379"/>
      <c r="BL761" s="379"/>
      <c r="BM761" s="379"/>
      <c r="BN761" s="379"/>
      <c r="BO761" s="379"/>
      <c r="BP761" s="379"/>
      <c r="BQ761" s="379"/>
      <c r="BR761" s="379"/>
      <c r="BS761" s="379"/>
      <c r="BT761" s="379"/>
      <c r="BU761" s="379"/>
      <c r="BV761" s="379"/>
      <c r="BW761" s="379"/>
      <c r="BX761" s="379"/>
      <c r="BY761" s="379"/>
      <c r="BZ761" s="379"/>
      <c r="CA761" s="281"/>
      <c r="CB761" s="3" t="str">
        <f t="shared" si="99"/>
        <v>Riadok bude skrytý.</v>
      </c>
      <c r="CC761" s="271" t="s">
        <v>832</v>
      </c>
      <c r="CW761" s="30">
        <f t="shared" ref="CW761:CW780" si="100">+IF(B761="",0,1)</f>
        <v>0</v>
      </c>
      <c r="CZ761" s="30">
        <f t="shared" si="96"/>
        <v>1</v>
      </c>
      <c r="DA761" s="30">
        <f t="shared" si="94"/>
        <v>0</v>
      </c>
      <c r="DB761" s="140">
        <f t="shared" si="98"/>
        <v>0</v>
      </c>
      <c r="DS761" s="130">
        <f>SI!BY761</f>
        <v>190</v>
      </c>
      <c r="DZ761" s="131">
        <f>SI!BZ761</f>
        <v>0</v>
      </c>
    </row>
    <row r="762" spans="1:130" ht="14.95" hidden="1" customHeight="1" x14ac:dyDescent="0.25">
      <c r="A762" s="141"/>
      <c r="B762" s="379"/>
      <c r="C762" s="379"/>
      <c r="D762" s="379"/>
      <c r="E762" s="379"/>
      <c r="F762" s="379"/>
      <c r="G762" s="379"/>
      <c r="H762" s="379"/>
      <c r="I762" s="379"/>
      <c r="J762" s="379"/>
      <c r="K762" s="379"/>
      <c r="L762" s="379"/>
      <c r="M762" s="379"/>
      <c r="N762" s="379"/>
      <c r="O762" s="379"/>
      <c r="P762" s="379"/>
      <c r="Q762" s="379"/>
      <c r="R762" s="379"/>
      <c r="S762" s="379"/>
      <c r="T762" s="379"/>
      <c r="U762" s="379"/>
      <c r="V762" s="379"/>
      <c r="W762" s="379"/>
      <c r="X762" s="379"/>
      <c r="Y762" s="379"/>
      <c r="Z762" s="379"/>
      <c r="AA762" s="379"/>
      <c r="AB762" s="379"/>
      <c r="AC762" s="379"/>
      <c r="AD762" s="379"/>
      <c r="AE762" s="379"/>
      <c r="AF762" s="379"/>
      <c r="AG762" s="379"/>
      <c r="AH762" s="379"/>
      <c r="AI762" s="379"/>
      <c r="AJ762" s="379"/>
      <c r="AK762" s="379"/>
      <c r="AL762" s="379"/>
      <c r="AM762" s="379"/>
      <c r="AN762" s="379"/>
      <c r="AO762" s="379"/>
      <c r="AP762" s="379"/>
      <c r="AQ762" s="379"/>
      <c r="AR762" s="379"/>
      <c r="AS762" s="379"/>
      <c r="AT762" s="379"/>
      <c r="AU762" s="379"/>
      <c r="AV762" s="379"/>
      <c r="AW762" s="379"/>
      <c r="AX762" s="379"/>
      <c r="AY762" s="379"/>
      <c r="AZ762" s="379"/>
      <c r="BA762" s="379"/>
      <c r="BB762" s="379"/>
      <c r="BC762" s="379"/>
      <c r="BD762" s="379"/>
      <c r="BE762" s="379"/>
      <c r="BF762" s="379"/>
      <c r="BG762" s="379"/>
      <c r="BH762" s="379"/>
      <c r="BI762" s="379"/>
      <c r="BJ762" s="379"/>
      <c r="BK762" s="379"/>
      <c r="BL762" s="379"/>
      <c r="BM762" s="379"/>
      <c r="BN762" s="379"/>
      <c r="BO762" s="379"/>
      <c r="BP762" s="379"/>
      <c r="BQ762" s="379"/>
      <c r="BR762" s="379"/>
      <c r="BS762" s="379"/>
      <c r="BT762" s="379"/>
      <c r="BU762" s="379"/>
      <c r="BV762" s="379"/>
      <c r="BW762" s="379"/>
      <c r="BX762" s="379"/>
      <c r="BY762" s="379"/>
      <c r="BZ762" s="379"/>
      <c r="CA762" s="281"/>
      <c r="CB762" s="3" t="str">
        <f t="shared" si="99"/>
        <v>Riadok bude skrytý.</v>
      </c>
      <c r="CC762" s="271" t="s">
        <v>832</v>
      </c>
      <c r="CW762" s="30">
        <f t="shared" si="100"/>
        <v>0</v>
      </c>
      <c r="CZ762" s="30">
        <f t="shared" si="96"/>
        <v>1</v>
      </c>
      <c r="DA762" s="30">
        <f t="shared" si="94"/>
        <v>0</v>
      </c>
      <c r="DB762" s="140">
        <f t="shared" si="98"/>
        <v>0</v>
      </c>
      <c r="DS762" s="130">
        <f>SI!BY762</f>
        <v>524</v>
      </c>
      <c r="DZ762" s="131">
        <f>SI!BZ762</f>
        <v>0</v>
      </c>
    </row>
    <row r="763" spans="1:130" hidden="1" x14ac:dyDescent="0.25">
      <c r="A763" s="141"/>
      <c r="B763" s="379"/>
      <c r="C763" s="379"/>
      <c r="D763" s="379"/>
      <c r="E763" s="379"/>
      <c r="F763" s="379"/>
      <c r="G763" s="379"/>
      <c r="H763" s="379"/>
      <c r="I763" s="379"/>
      <c r="J763" s="379"/>
      <c r="K763" s="379"/>
      <c r="L763" s="379"/>
      <c r="M763" s="379"/>
      <c r="N763" s="379"/>
      <c r="O763" s="379"/>
      <c r="P763" s="379"/>
      <c r="Q763" s="379"/>
      <c r="R763" s="379"/>
      <c r="S763" s="379"/>
      <c r="T763" s="379"/>
      <c r="U763" s="379"/>
      <c r="V763" s="379"/>
      <c r="W763" s="379"/>
      <c r="X763" s="379"/>
      <c r="Y763" s="379"/>
      <c r="Z763" s="379"/>
      <c r="AA763" s="379"/>
      <c r="AB763" s="379"/>
      <c r="AC763" s="379"/>
      <c r="AD763" s="379"/>
      <c r="AE763" s="379"/>
      <c r="AF763" s="379"/>
      <c r="AG763" s="379"/>
      <c r="AH763" s="379"/>
      <c r="AI763" s="379"/>
      <c r="AJ763" s="379"/>
      <c r="AK763" s="379"/>
      <c r="AL763" s="379"/>
      <c r="AM763" s="379"/>
      <c r="AN763" s="379"/>
      <c r="AO763" s="379"/>
      <c r="AP763" s="379"/>
      <c r="AQ763" s="379"/>
      <c r="AR763" s="379"/>
      <c r="AS763" s="379"/>
      <c r="AT763" s="379"/>
      <c r="AU763" s="379"/>
      <c r="AV763" s="379"/>
      <c r="AW763" s="379"/>
      <c r="AX763" s="379"/>
      <c r="AY763" s="379"/>
      <c r="AZ763" s="379"/>
      <c r="BA763" s="379"/>
      <c r="BB763" s="379"/>
      <c r="BC763" s="379"/>
      <c r="BD763" s="379"/>
      <c r="BE763" s="379"/>
      <c r="BF763" s="379"/>
      <c r="BG763" s="379"/>
      <c r="BH763" s="379"/>
      <c r="BI763" s="379"/>
      <c r="BJ763" s="379"/>
      <c r="BK763" s="379"/>
      <c r="BL763" s="379"/>
      <c r="BM763" s="379"/>
      <c r="BN763" s="379"/>
      <c r="BO763" s="379"/>
      <c r="BP763" s="379"/>
      <c r="BQ763" s="379"/>
      <c r="BR763" s="379"/>
      <c r="BS763" s="379"/>
      <c r="BT763" s="379"/>
      <c r="BU763" s="379"/>
      <c r="BV763" s="379"/>
      <c r="BW763" s="379"/>
      <c r="BX763" s="379"/>
      <c r="BY763" s="379"/>
      <c r="BZ763" s="379"/>
      <c r="CA763" s="281"/>
      <c r="CB763" s="3" t="str">
        <f t="shared" si="99"/>
        <v>Riadok bude skrytý.</v>
      </c>
      <c r="CC763" s="271" t="s">
        <v>832</v>
      </c>
      <c r="CW763" s="30">
        <f t="shared" si="100"/>
        <v>0</v>
      </c>
      <c r="CZ763" s="30">
        <f t="shared" si="96"/>
        <v>1</v>
      </c>
      <c r="DA763" s="30">
        <f t="shared" si="94"/>
        <v>0</v>
      </c>
      <c r="DB763" s="140">
        <f t="shared" si="98"/>
        <v>0</v>
      </c>
      <c r="DS763" s="130">
        <f>SI!BY763</f>
        <v>202</v>
      </c>
      <c r="DZ763" s="131">
        <f>SI!BZ763</f>
        <v>0</v>
      </c>
    </row>
    <row r="764" spans="1:130" hidden="1" x14ac:dyDescent="0.25">
      <c r="A764" s="141"/>
      <c r="B764" s="379"/>
      <c r="C764" s="379"/>
      <c r="D764" s="379"/>
      <c r="E764" s="379"/>
      <c r="F764" s="379"/>
      <c r="G764" s="379"/>
      <c r="H764" s="379"/>
      <c r="I764" s="379"/>
      <c r="J764" s="379"/>
      <c r="K764" s="379"/>
      <c r="L764" s="379"/>
      <c r="M764" s="379"/>
      <c r="N764" s="379"/>
      <c r="O764" s="379"/>
      <c r="P764" s="379"/>
      <c r="Q764" s="379"/>
      <c r="R764" s="379"/>
      <c r="S764" s="379"/>
      <c r="T764" s="379"/>
      <c r="U764" s="379"/>
      <c r="V764" s="379"/>
      <c r="W764" s="379"/>
      <c r="X764" s="379"/>
      <c r="Y764" s="379"/>
      <c r="Z764" s="379"/>
      <c r="AA764" s="379"/>
      <c r="AB764" s="379"/>
      <c r="AC764" s="379"/>
      <c r="AD764" s="379"/>
      <c r="AE764" s="379"/>
      <c r="AF764" s="379"/>
      <c r="AG764" s="379"/>
      <c r="AH764" s="379"/>
      <c r="AI764" s="379"/>
      <c r="AJ764" s="379"/>
      <c r="AK764" s="379"/>
      <c r="AL764" s="379"/>
      <c r="AM764" s="379"/>
      <c r="AN764" s="379"/>
      <c r="AO764" s="379"/>
      <c r="AP764" s="379"/>
      <c r="AQ764" s="379"/>
      <c r="AR764" s="379"/>
      <c r="AS764" s="379"/>
      <c r="AT764" s="379"/>
      <c r="AU764" s="379"/>
      <c r="AV764" s="379"/>
      <c r="AW764" s="379"/>
      <c r="AX764" s="379"/>
      <c r="AY764" s="379"/>
      <c r="AZ764" s="379"/>
      <c r="BA764" s="379"/>
      <c r="BB764" s="379"/>
      <c r="BC764" s="379"/>
      <c r="BD764" s="379"/>
      <c r="BE764" s="379"/>
      <c r="BF764" s="379"/>
      <c r="BG764" s="379"/>
      <c r="BH764" s="379"/>
      <c r="BI764" s="379"/>
      <c r="BJ764" s="379"/>
      <c r="BK764" s="379"/>
      <c r="BL764" s="379"/>
      <c r="BM764" s="379"/>
      <c r="BN764" s="379"/>
      <c r="BO764" s="379"/>
      <c r="BP764" s="379"/>
      <c r="BQ764" s="379"/>
      <c r="BR764" s="379"/>
      <c r="BS764" s="379"/>
      <c r="BT764" s="379"/>
      <c r="BU764" s="379"/>
      <c r="BV764" s="379"/>
      <c r="BW764" s="379"/>
      <c r="BX764" s="379"/>
      <c r="BY764" s="379"/>
      <c r="BZ764" s="379"/>
      <c r="CA764" s="281"/>
      <c r="CB764" s="3" t="str">
        <f t="shared" si="99"/>
        <v>Riadok bude skrytý.</v>
      </c>
      <c r="CC764" s="271" t="s">
        <v>832</v>
      </c>
      <c r="CW764" s="30">
        <f t="shared" si="100"/>
        <v>0</v>
      </c>
      <c r="CZ764" s="30">
        <f t="shared" si="96"/>
        <v>1</v>
      </c>
      <c r="DA764" s="30">
        <f t="shared" si="94"/>
        <v>0</v>
      </c>
      <c r="DB764" s="140">
        <f t="shared" si="98"/>
        <v>0</v>
      </c>
      <c r="DS764" s="130">
        <f>SI!BY764</f>
        <v>1102</v>
      </c>
      <c r="DZ764" s="131">
        <f>SI!BZ764</f>
        <v>0</v>
      </c>
    </row>
    <row r="765" spans="1:130" hidden="1" x14ac:dyDescent="0.25">
      <c r="A765" s="141"/>
      <c r="B765" s="379"/>
      <c r="C765" s="379"/>
      <c r="D765" s="379"/>
      <c r="E765" s="379"/>
      <c r="F765" s="379"/>
      <c r="G765" s="379"/>
      <c r="H765" s="379"/>
      <c r="I765" s="379"/>
      <c r="J765" s="379"/>
      <c r="K765" s="379"/>
      <c r="L765" s="379"/>
      <c r="M765" s="379"/>
      <c r="N765" s="379"/>
      <c r="O765" s="379"/>
      <c r="P765" s="379"/>
      <c r="Q765" s="379"/>
      <c r="R765" s="379"/>
      <c r="S765" s="379"/>
      <c r="T765" s="379"/>
      <c r="U765" s="379"/>
      <c r="V765" s="379"/>
      <c r="W765" s="379"/>
      <c r="X765" s="379"/>
      <c r="Y765" s="379"/>
      <c r="Z765" s="379"/>
      <c r="AA765" s="379"/>
      <c r="AB765" s="379"/>
      <c r="AC765" s="379"/>
      <c r="AD765" s="379"/>
      <c r="AE765" s="379"/>
      <c r="AF765" s="379"/>
      <c r="AG765" s="379"/>
      <c r="AH765" s="379"/>
      <c r="AI765" s="379"/>
      <c r="AJ765" s="379"/>
      <c r="AK765" s="379"/>
      <c r="AL765" s="379"/>
      <c r="AM765" s="379"/>
      <c r="AN765" s="379"/>
      <c r="AO765" s="379"/>
      <c r="AP765" s="379"/>
      <c r="AQ765" s="379"/>
      <c r="AR765" s="379"/>
      <c r="AS765" s="379"/>
      <c r="AT765" s="379"/>
      <c r="AU765" s="379"/>
      <c r="AV765" s="379"/>
      <c r="AW765" s="379"/>
      <c r="AX765" s="379"/>
      <c r="AY765" s="379"/>
      <c r="AZ765" s="379"/>
      <c r="BA765" s="379"/>
      <c r="BB765" s="379"/>
      <c r="BC765" s="379"/>
      <c r="BD765" s="379"/>
      <c r="BE765" s="379"/>
      <c r="BF765" s="379"/>
      <c r="BG765" s="379"/>
      <c r="BH765" s="379"/>
      <c r="BI765" s="379"/>
      <c r="BJ765" s="379"/>
      <c r="BK765" s="379"/>
      <c r="BL765" s="379"/>
      <c r="BM765" s="379"/>
      <c r="BN765" s="379"/>
      <c r="BO765" s="379"/>
      <c r="BP765" s="379"/>
      <c r="BQ765" s="379"/>
      <c r="BR765" s="379"/>
      <c r="BS765" s="379"/>
      <c r="BT765" s="379"/>
      <c r="BU765" s="379"/>
      <c r="BV765" s="379"/>
      <c r="BW765" s="379"/>
      <c r="BX765" s="379"/>
      <c r="BY765" s="379"/>
      <c r="BZ765" s="379"/>
      <c r="CA765" s="281"/>
      <c r="CB765" s="3" t="str">
        <f t="shared" si="99"/>
        <v>Riadok bude skrytý.</v>
      </c>
      <c r="CC765" s="271" t="s">
        <v>832</v>
      </c>
      <c r="CW765" s="30">
        <f t="shared" si="100"/>
        <v>0</v>
      </c>
      <c r="CZ765" s="30">
        <f t="shared" si="96"/>
        <v>1</v>
      </c>
      <c r="DA765" s="30">
        <f t="shared" si="94"/>
        <v>0</v>
      </c>
      <c r="DB765" s="140">
        <f t="shared" si="98"/>
        <v>0</v>
      </c>
      <c r="DS765" s="130">
        <f>SI!BY765</f>
        <v>300</v>
      </c>
      <c r="DZ765" s="131">
        <f>SI!BZ765</f>
        <v>0</v>
      </c>
    </row>
    <row r="766" spans="1:130" hidden="1" x14ac:dyDescent="0.25">
      <c r="A766" s="141"/>
      <c r="B766" s="379"/>
      <c r="C766" s="379"/>
      <c r="D766" s="379"/>
      <c r="E766" s="379"/>
      <c r="F766" s="379"/>
      <c r="G766" s="379"/>
      <c r="H766" s="379"/>
      <c r="I766" s="379"/>
      <c r="J766" s="379"/>
      <c r="K766" s="379"/>
      <c r="L766" s="379"/>
      <c r="M766" s="379"/>
      <c r="N766" s="379"/>
      <c r="O766" s="379"/>
      <c r="P766" s="379"/>
      <c r="Q766" s="379"/>
      <c r="R766" s="379"/>
      <c r="S766" s="379"/>
      <c r="T766" s="379"/>
      <c r="U766" s="379"/>
      <c r="V766" s="379"/>
      <c r="W766" s="379"/>
      <c r="X766" s="379"/>
      <c r="Y766" s="379"/>
      <c r="Z766" s="379"/>
      <c r="AA766" s="379"/>
      <c r="AB766" s="379"/>
      <c r="AC766" s="379"/>
      <c r="AD766" s="379"/>
      <c r="AE766" s="379"/>
      <c r="AF766" s="379"/>
      <c r="AG766" s="379"/>
      <c r="AH766" s="379"/>
      <c r="AI766" s="379"/>
      <c r="AJ766" s="379"/>
      <c r="AK766" s="379"/>
      <c r="AL766" s="379"/>
      <c r="AM766" s="379"/>
      <c r="AN766" s="379"/>
      <c r="AO766" s="379"/>
      <c r="AP766" s="379"/>
      <c r="AQ766" s="379"/>
      <c r="AR766" s="379"/>
      <c r="AS766" s="379"/>
      <c r="AT766" s="379"/>
      <c r="AU766" s="379"/>
      <c r="AV766" s="379"/>
      <c r="AW766" s="379"/>
      <c r="AX766" s="379"/>
      <c r="AY766" s="379"/>
      <c r="AZ766" s="379"/>
      <c r="BA766" s="379"/>
      <c r="BB766" s="379"/>
      <c r="BC766" s="379"/>
      <c r="BD766" s="379"/>
      <c r="BE766" s="379"/>
      <c r="BF766" s="379"/>
      <c r="BG766" s="379"/>
      <c r="BH766" s="379"/>
      <c r="BI766" s="379"/>
      <c r="BJ766" s="379"/>
      <c r="BK766" s="379"/>
      <c r="BL766" s="379"/>
      <c r="BM766" s="379"/>
      <c r="BN766" s="379"/>
      <c r="BO766" s="379"/>
      <c r="BP766" s="379"/>
      <c r="BQ766" s="379"/>
      <c r="BR766" s="379"/>
      <c r="BS766" s="379"/>
      <c r="BT766" s="379"/>
      <c r="BU766" s="379"/>
      <c r="BV766" s="379"/>
      <c r="BW766" s="379"/>
      <c r="BX766" s="379"/>
      <c r="BY766" s="379"/>
      <c r="BZ766" s="379"/>
      <c r="CA766" s="281"/>
      <c r="CB766" s="3" t="str">
        <f t="shared" si="99"/>
        <v>Riadok bude skrytý.</v>
      </c>
      <c r="CC766" s="271" t="s">
        <v>832</v>
      </c>
      <c r="CW766" s="30">
        <f t="shared" si="100"/>
        <v>0</v>
      </c>
      <c r="CZ766" s="30">
        <f t="shared" si="96"/>
        <v>1</v>
      </c>
      <c r="DA766" s="30">
        <f t="shared" si="94"/>
        <v>0</v>
      </c>
      <c r="DB766" s="140">
        <f t="shared" si="98"/>
        <v>0</v>
      </c>
      <c r="DS766" s="130">
        <f>SI!BY766</f>
        <v>139</v>
      </c>
      <c r="DZ766" s="131">
        <f>SI!BZ766</f>
        <v>0</v>
      </c>
    </row>
    <row r="767" spans="1:130" hidden="1" x14ac:dyDescent="0.25">
      <c r="A767" s="141"/>
      <c r="B767" s="379"/>
      <c r="C767" s="379"/>
      <c r="D767" s="379"/>
      <c r="E767" s="379"/>
      <c r="F767" s="379"/>
      <c r="G767" s="379"/>
      <c r="H767" s="379"/>
      <c r="I767" s="379"/>
      <c r="J767" s="379"/>
      <c r="K767" s="379"/>
      <c r="L767" s="379"/>
      <c r="M767" s="379"/>
      <c r="N767" s="379"/>
      <c r="O767" s="379"/>
      <c r="P767" s="379"/>
      <c r="Q767" s="379"/>
      <c r="R767" s="379"/>
      <c r="S767" s="379"/>
      <c r="T767" s="379"/>
      <c r="U767" s="379"/>
      <c r="V767" s="379"/>
      <c r="W767" s="379"/>
      <c r="X767" s="379"/>
      <c r="Y767" s="379"/>
      <c r="Z767" s="379"/>
      <c r="AA767" s="379"/>
      <c r="AB767" s="379"/>
      <c r="AC767" s="379"/>
      <c r="AD767" s="379"/>
      <c r="AE767" s="379"/>
      <c r="AF767" s="379"/>
      <c r="AG767" s="379"/>
      <c r="AH767" s="379"/>
      <c r="AI767" s="379"/>
      <c r="AJ767" s="379"/>
      <c r="AK767" s="379"/>
      <c r="AL767" s="379"/>
      <c r="AM767" s="379"/>
      <c r="AN767" s="379"/>
      <c r="AO767" s="379"/>
      <c r="AP767" s="379"/>
      <c r="AQ767" s="379"/>
      <c r="AR767" s="379"/>
      <c r="AS767" s="379"/>
      <c r="AT767" s="379"/>
      <c r="AU767" s="379"/>
      <c r="AV767" s="379"/>
      <c r="AW767" s="379"/>
      <c r="AX767" s="379"/>
      <c r="AY767" s="379"/>
      <c r="AZ767" s="379"/>
      <c r="BA767" s="379"/>
      <c r="BB767" s="379"/>
      <c r="BC767" s="379"/>
      <c r="BD767" s="379"/>
      <c r="BE767" s="379"/>
      <c r="BF767" s="379"/>
      <c r="BG767" s="379"/>
      <c r="BH767" s="379"/>
      <c r="BI767" s="379"/>
      <c r="BJ767" s="379"/>
      <c r="BK767" s="379"/>
      <c r="BL767" s="379"/>
      <c r="BM767" s="379"/>
      <c r="BN767" s="379"/>
      <c r="BO767" s="379"/>
      <c r="BP767" s="379"/>
      <c r="BQ767" s="379"/>
      <c r="BR767" s="379"/>
      <c r="BS767" s="379"/>
      <c r="BT767" s="379"/>
      <c r="BU767" s="379"/>
      <c r="BV767" s="379"/>
      <c r="BW767" s="379"/>
      <c r="BX767" s="379"/>
      <c r="BY767" s="379"/>
      <c r="BZ767" s="379"/>
      <c r="CA767" s="281"/>
      <c r="CB767" s="3" t="str">
        <f t="shared" si="99"/>
        <v>Riadok bude skrytý.</v>
      </c>
      <c r="CC767" s="271" t="s">
        <v>832</v>
      </c>
      <c r="CW767" s="30">
        <f t="shared" si="100"/>
        <v>0</v>
      </c>
      <c r="CZ767" s="30">
        <f t="shared" si="96"/>
        <v>1</v>
      </c>
      <c r="DA767" s="30">
        <f t="shared" si="94"/>
        <v>0</v>
      </c>
      <c r="DB767" s="140">
        <f t="shared" si="98"/>
        <v>0</v>
      </c>
      <c r="DS767" s="130">
        <f>SI!BY767</f>
        <v>1113</v>
      </c>
      <c r="DZ767" s="131">
        <f>SI!BZ767</f>
        <v>0</v>
      </c>
    </row>
    <row r="768" spans="1:130" hidden="1" x14ac:dyDescent="0.25">
      <c r="A768" s="141"/>
      <c r="B768" s="379"/>
      <c r="C768" s="379"/>
      <c r="D768" s="379"/>
      <c r="E768" s="379"/>
      <c r="F768" s="379"/>
      <c r="G768" s="379"/>
      <c r="H768" s="379"/>
      <c r="I768" s="379"/>
      <c r="J768" s="379"/>
      <c r="K768" s="379"/>
      <c r="L768" s="379"/>
      <c r="M768" s="379"/>
      <c r="N768" s="379"/>
      <c r="O768" s="379"/>
      <c r="P768" s="379"/>
      <c r="Q768" s="379"/>
      <c r="R768" s="379"/>
      <c r="S768" s="379"/>
      <c r="T768" s="379"/>
      <c r="U768" s="379"/>
      <c r="V768" s="379"/>
      <c r="W768" s="379"/>
      <c r="X768" s="379"/>
      <c r="Y768" s="379"/>
      <c r="Z768" s="379"/>
      <c r="AA768" s="379"/>
      <c r="AB768" s="379"/>
      <c r="AC768" s="379"/>
      <c r="AD768" s="379"/>
      <c r="AE768" s="379"/>
      <c r="AF768" s="379"/>
      <c r="AG768" s="379"/>
      <c r="AH768" s="379"/>
      <c r="AI768" s="379"/>
      <c r="AJ768" s="379"/>
      <c r="AK768" s="379"/>
      <c r="AL768" s="379"/>
      <c r="AM768" s="379"/>
      <c r="AN768" s="379"/>
      <c r="AO768" s="379"/>
      <c r="AP768" s="379"/>
      <c r="AQ768" s="379"/>
      <c r="AR768" s="379"/>
      <c r="AS768" s="379"/>
      <c r="AT768" s="379"/>
      <c r="AU768" s="379"/>
      <c r="AV768" s="379"/>
      <c r="AW768" s="379"/>
      <c r="AX768" s="379"/>
      <c r="AY768" s="379"/>
      <c r="AZ768" s="379"/>
      <c r="BA768" s="379"/>
      <c r="BB768" s="379"/>
      <c r="BC768" s="379"/>
      <c r="BD768" s="379"/>
      <c r="BE768" s="379"/>
      <c r="BF768" s="379"/>
      <c r="BG768" s="379"/>
      <c r="BH768" s="379"/>
      <c r="BI768" s="379"/>
      <c r="BJ768" s="379"/>
      <c r="BK768" s="379"/>
      <c r="BL768" s="379"/>
      <c r="BM768" s="379"/>
      <c r="BN768" s="379"/>
      <c r="BO768" s="379"/>
      <c r="BP768" s="379"/>
      <c r="BQ768" s="379"/>
      <c r="BR768" s="379"/>
      <c r="BS768" s="379"/>
      <c r="BT768" s="379"/>
      <c r="BU768" s="379"/>
      <c r="BV768" s="379"/>
      <c r="BW768" s="379"/>
      <c r="BX768" s="379"/>
      <c r="BY768" s="379"/>
      <c r="BZ768" s="379"/>
      <c r="CA768" s="281"/>
      <c r="CB768" s="3" t="str">
        <f t="shared" si="99"/>
        <v>Riadok bude skrytý.</v>
      </c>
      <c r="CC768" s="271" t="s">
        <v>832</v>
      </c>
      <c r="CW768" s="30">
        <f t="shared" si="100"/>
        <v>0</v>
      </c>
      <c r="CZ768" s="30">
        <f t="shared" si="96"/>
        <v>1</v>
      </c>
      <c r="DA768" s="30">
        <f t="shared" si="94"/>
        <v>0</v>
      </c>
      <c r="DB768" s="140">
        <f t="shared" si="98"/>
        <v>0</v>
      </c>
      <c r="DS768" s="130">
        <f>SI!BY768</f>
        <v>159</v>
      </c>
      <c r="DZ768" s="131">
        <f>SI!BZ768</f>
        <v>0</v>
      </c>
    </row>
    <row r="769" spans="1:130" hidden="1" x14ac:dyDescent="0.25">
      <c r="A769" s="141"/>
      <c r="B769" s="379"/>
      <c r="C769" s="379"/>
      <c r="D769" s="379"/>
      <c r="E769" s="379"/>
      <c r="F769" s="379"/>
      <c r="G769" s="379"/>
      <c r="H769" s="379"/>
      <c r="I769" s="379"/>
      <c r="J769" s="379"/>
      <c r="K769" s="379"/>
      <c r="L769" s="379"/>
      <c r="M769" s="379"/>
      <c r="N769" s="379"/>
      <c r="O769" s="379"/>
      <c r="P769" s="379"/>
      <c r="Q769" s="379"/>
      <c r="R769" s="379"/>
      <c r="S769" s="379"/>
      <c r="T769" s="379"/>
      <c r="U769" s="379"/>
      <c r="V769" s="379"/>
      <c r="W769" s="379"/>
      <c r="X769" s="379"/>
      <c r="Y769" s="379"/>
      <c r="Z769" s="379"/>
      <c r="AA769" s="379"/>
      <c r="AB769" s="379"/>
      <c r="AC769" s="379"/>
      <c r="AD769" s="379"/>
      <c r="AE769" s="379"/>
      <c r="AF769" s="379"/>
      <c r="AG769" s="379"/>
      <c r="AH769" s="379"/>
      <c r="AI769" s="379"/>
      <c r="AJ769" s="379"/>
      <c r="AK769" s="379"/>
      <c r="AL769" s="379"/>
      <c r="AM769" s="379"/>
      <c r="AN769" s="379"/>
      <c r="AO769" s="379"/>
      <c r="AP769" s="379"/>
      <c r="AQ769" s="379"/>
      <c r="AR769" s="379"/>
      <c r="AS769" s="379"/>
      <c r="AT769" s="379"/>
      <c r="AU769" s="379"/>
      <c r="AV769" s="379"/>
      <c r="AW769" s="379"/>
      <c r="AX769" s="379"/>
      <c r="AY769" s="379"/>
      <c r="AZ769" s="379"/>
      <c r="BA769" s="379"/>
      <c r="BB769" s="379"/>
      <c r="BC769" s="379"/>
      <c r="BD769" s="379"/>
      <c r="BE769" s="379"/>
      <c r="BF769" s="379"/>
      <c r="BG769" s="379"/>
      <c r="BH769" s="379"/>
      <c r="BI769" s="379"/>
      <c r="BJ769" s="379"/>
      <c r="BK769" s="379"/>
      <c r="BL769" s="379"/>
      <c r="BM769" s="379"/>
      <c r="BN769" s="379"/>
      <c r="BO769" s="379"/>
      <c r="BP769" s="379"/>
      <c r="BQ769" s="379"/>
      <c r="BR769" s="379"/>
      <c r="BS769" s="379"/>
      <c r="BT769" s="379"/>
      <c r="BU769" s="379"/>
      <c r="BV769" s="379"/>
      <c r="BW769" s="379"/>
      <c r="BX769" s="379"/>
      <c r="BY769" s="379"/>
      <c r="BZ769" s="379"/>
      <c r="CA769" s="281"/>
      <c r="CB769" s="3" t="str">
        <f t="shared" si="99"/>
        <v>Riadok bude skrytý.</v>
      </c>
      <c r="CC769" s="271" t="s">
        <v>832</v>
      </c>
      <c r="CW769" s="30">
        <f t="shared" si="100"/>
        <v>0</v>
      </c>
      <c r="CZ769" s="30">
        <f t="shared" si="96"/>
        <v>1</v>
      </c>
      <c r="DA769" s="30">
        <f t="shared" si="94"/>
        <v>0</v>
      </c>
      <c r="DB769" s="140">
        <f t="shared" si="98"/>
        <v>0</v>
      </c>
      <c r="DS769" s="130">
        <f>SI!BY769</f>
        <v>135</v>
      </c>
      <c r="DZ769" s="131">
        <f>SI!BZ769</f>
        <v>0</v>
      </c>
    </row>
    <row r="770" spans="1:130" hidden="1" x14ac:dyDescent="0.25">
      <c r="A770" s="141"/>
      <c r="B770" s="379"/>
      <c r="C770" s="379"/>
      <c r="D770" s="379"/>
      <c r="E770" s="379"/>
      <c r="F770" s="379"/>
      <c r="G770" s="379"/>
      <c r="H770" s="379"/>
      <c r="I770" s="379"/>
      <c r="J770" s="379"/>
      <c r="K770" s="379"/>
      <c r="L770" s="379"/>
      <c r="M770" s="379"/>
      <c r="N770" s="379"/>
      <c r="O770" s="379"/>
      <c r="P770" s="379"/>
      <c r="Q770" s="379"/>
      <c r="R770" s="379"/>
      <c r="S770" s="379"/>
      <c r="T770" s="379"/>
      <c r="U770" s="379"/>
      <c r="V770" s="379"/>
      <c r="W770" s="379"/>
      <c r="X770" s="379"/>
      <c r="Y770" s="379"/>
      <c r="Z770" s="379"/>
      <c r="AA770" s="379"/>
      <c r="AB770" s="379"/>
      <c r="AC770" s="379"/>
      <c r="AD770" s="379"/>
      <c r="AE770" s="379"/>
      <c r="AF770" s="379"/>
      <c r="AG770" s="379"/>
      <c r="AH770" s="379"/>
      <c r="AI770" s="379"/>
      <c r="AJ770" s="379"/>
      <c r="AK770" s="379"/>
      <c r="AL770" s="379"/>
      <c r="AM770" s="379"/>
      <c r="AN770" s="379"/>
      <c r="AO770" s="379"/>
      <c r="AP770" s="379"/>
      <c r="AQ770" s="379"/>
      <c r="AR770" s="379"/>
      <c r="AS770" s="379"/>
      <c r="AT770" s="379"/>
      <c r="AU770" s="379"/>
      <c r="AV770" s="379"/>
      <c r="AW770" s="379"/>
      <c r="AX770" s="379"/>
      <c r="AY770" s="379"/>
      <c r="AZ770" s="379"/>
      <c r="BA770" s="379"/>
      <c r="BB770" s="379"/>
      <c r="BC770" s="379"/>
      <c r="BD770" s="379"/>
      <c r="BE770" s="379"/>
      <c r="BF770" s="379"/>
      <c r="BG770" s="379"/>
      <c r="BH770" s="379"/>
      <c r="BI770" s="379"/>
      <c r="BJ770" s="379"/>
      <c r="BK770" s="379"/>
      <c r="BL770" s="379"/>
      <c r="BM770" s="379"/>
      <c r="BN770" s="379"/>
      <c r="BO770" s="379"/>
      <c r="BP770" s="379"/>
      <c r="BQ770" s="379"/>
      <c r="BR770" s="379"/>
      <c r="BS770" s="379"/>
      <c r="BT770" s="379"/>
      <c r="BU770" s="379"/>
      <c r="BV770" s="379"/>
      <c r="BW770" s="379"/>
      <c r="BX770" s="379"/>
      <c r="BY770" s="379"/>
      <c r="BZ770" s="379"/>
      <c r="CA770" s="281"/>
      <c r="CB770" s="3" t="str">
        <f t="shared" si="99"/>
        <v>Riadok bude skrytý.</v>
      </c>
      <c r="CC770" s="271" t="s">
        <v>832</v>
      </c>
      <c r="CW770" s="30">
        <f t="shared" si="100"/>
        <v>0</v>
      </c>
      <c r="CZ770" s="30">
        <f t="shared" si="96"/>
        <v>1</v>
      </c>
      <c r="DA770" s="30">
        <f t="shared" ref="DA770:DA833" si="101">+IF(CW770+CX770+CY770=0,0,IF(CZ770=0,0,1))</f>
        <v>0</v>
      </c>
      <c r="DB770" s="140">
        <f t="shared" si="98"/>
        <v>0</v>
      </c>
      <c r="DS770" s="130">
        <f>SI!BY770</f>
        <v>168</v>
      </c>
      <c r="DZ770" s="131">
        <f>SI!BZ770</f>
        <v>0</v>
      </c>
    </row>
    <row r="771" spans="1:130" hidden="1" x14ac:dyDescent="0.25">
      <c r="A771" s="141"/>
      <c r="B771" s="379"/>
      <c r="C771" s="379"/>
      <c r="D771" s="379"/>
      <c r="E771" s="379"/>
      <c r="F771" s="379"/>
      <c r="G771" s="379"/>
      <c r="H771" s="379"/>
      <c r="I771" s="379"/>
      <c r="J771" s="379"/>
      <c r="K771" s="379"/>
      <c r="L771" s="379"/>
      <c r="M771" s="379"/>
      <c r="N771" s="379"/>
      <c r="O771" s="379"/>
      <c r="P771" s="379"/>
      <c r="Q771" s="379"/>
      <c r="R771" s="379"/>
      <c r="S771" s="379"/>
      <c r="T771" s="379"/>
      <c r="U771" s="379"/>
      <c r="V771" s="379"/>
      <c r="W771" s="379"/>
      <c r="X771" s="379"/>
      <c r="Y771" s="379"/>
      <c r="Z771" s="379"/>
      <c r="AA771" s="379"/>
      <c r="AB771" s="379"/>
      <c r="AC771" s="379"/>
      <c r="AD771" s="379"/>
      <c r="AE771" s="379"/>
      <c r="AF771" s="379"/>
      <c r="AG771" s="379"/>
      <c r="AH771" s="379"/>
      <c r="AI771" s="379"/>
      <c r="AJ771" s="379"/>
      <c r="AK771" s="379"/>
      <c r="AL771" s="379"/>
      <c r="AM771" s="379"/>
      <c r="AN771" s="379"/>
      <c r="AO771" s="379"/>
      <c r="AP771" s="379"/>
      <c r="AQ771" s="379"/>
      <c r="AR771" s="379"/>
      <c r="AS771" s="379"/>
      <c r="AT771" s="379"/>
      <c r="AU771" s="379"/>
      <c r="AV771" s="379"/>
      <c r="AW771" s="379"/>
      <c r="AX771" s="379"/>
      <c r="AY771" s="379"/>
      <c r="AZ771" s="379"/>
      <c r="BA771" s="379"/>
      <c r="BB771" s="379"/>
      <c r="BC771" s="379"/>
      <c r="BD771" s="379"/>
      <c r="BE771" s="379"/>
      <c r="BF771" s="379"/>
      <c r="BG771" s="379"/>
      <c r="BH771" s="379"/>
      <c r="BI771" s="379"/>
      <c r="BJ771" s="379"/>
      <c r="BK771" s="379"/>
      <c r="BL771" s="379"/>
      <c r="BM771" s="379"/>
      <c r="BN771" s="379"/>
      <c r="BO771" s="379"/>
      <c r="BP771" s="379"/>
      <c r="BQ771" s="379"/>
      <c r="BR771" s="379"/>
      <c r="BS771" s="379"/>
      <c r="BT771" s="379"/>
      <c r="BU771" s="379"/>
      <c r="BV771" s="379"/>
      <c r="BW771" s="379"/>
      <c r="BX771" s="379"/>
      <c r="BY771" s="379"/>
      <c r="BZ771" s="379"/>
      <c r="CA771" s="281"/>
      <c r="CB771" s="3" t="str">
        <f t="shared" si="99"/>
        <v>Riadok bude skrytý.</v>
      </c>
      <c r="CC771" s="271" t="s">
        <v>832</v>
      </c>
      <c r="CW771" s="30">
        <f t="shared" si="100"/>
        <v>0</v>
      </c>
      <c r="CZ771" s="30">
        <f t="shared" si="96"/>
        <v>1</v>
      </c>
      <c r="DA771" s="30">
        <f t="shared" si="101"/>
        <v>0</v>
      </c>
      <c r="DB771" s="140">
        <f t="shared" si="98"/>
        <v>0</v>
      </c>
      <c r="DS771" s="130">
        <f>SI!BY771</f>
        <v>120</v>
      </c>
      <c r="DZ771" s="131">
        <f>SI!BZ771</f>
        <v>0</v>
      </c>
    </row>
    <row r="772" spans="1:130" hidden="1" x14ac:dyDescent="0.25">
      <c r="A772" s="141"/>
      <c r="B772" s="379"/>
      <c r="C772" s="379"/>
      <c r="D772" s="379"/>
      <c r="E772" s="379"/>
      <c r="F772" s="379"/>
      <c r="G772" s="379"/>
      <c r="H772" s="379"/>
      <c r="I772" s="379"/>
      <c r="J772" s="379"/>
      <c r="K772" s="379"/>
      <c r="L772" s="379"/>
      <c r="M772" s="379"/>
      <c r="N772" s="379"/>
      <c r="O772" s="379"/>
      <c r="P772" s="379"/>
      <c r="Q772" s="379"/>
      <c r="R772" s="379"/>
      <c r="S772" s="379"/>
      <c r="T772" s="379"/>
      <c r="U772" s="379"/>
      <c r="V772" s="379"/>
      <c r="W772" s="379"/>
      <c r="X772" s="379"/>
      <c r="Y772" s="379"/>
      <c r="Z772" s="379"/>
      <c r="AA772" s="379"/>
      <c r="AB772" s="379"/>
      <c r="AC772" s="379"/>
      <c r="AD772" s="379"/>
      <c r="AE772" s="379"/>
      <c r="AF772" s="379"/>
      <c r="AG772" s="379"/>
      <c r="AH772" s="379"/>
      <c r="AI772" s="379"/>
      <c r="AJ772" s="379"/>
      <c r="AK772" s="379"/>
      <c r="AL772" s="379"/>
      <c r="AM772" s="379"/>
      <c r="AN772" s="379"/>
      <c r="AO772" s="379"/>
      <c r="AP772" s="379"/>
      <c r="AQ772" s="379"/>
      <c r="AR772" s="379"/>
      <c r="AS772" s="379"/>
      <c r="AT772" s="379"/>
      <c r="AU772" s="379"/>
      <c r="AV772" s="379"/>
      <c r="AW772" s="379"/>
      <c r="AX772" s="379"/>
      <c r="AY772" s="379"/>
      <c r="AZ772" s="379"/>
      <c r="BA772" s="379"/>
      <c r="BB772" s="379"/>
      <c r="BC772" s="379"/>
      <c r="BD772" s="379"/>
      <c r="BE772" s="379"/>
      <c r="BF772" s="379"/>
      <c r="BG772" s="379"/>
      <c r="BH772" s="379"/>
      <c r="BI772" s="379"/>
      <c r="BJ772" s="379"/>
      <c r="BK772" s="379"/>
      <c r="BL772" s="379"/>
      <c r="BM772" s="379"/>
      <c r="BN772" s="379"/>
      <c r="BO772" s="379"/>
      <c r="BP772" s="379"/>
      <c r="BQ772" s="379"/>
      <c r="BR772" s="379"/>
      <c r="BS772" s="379"/>
      <c r="BT772" s="379"/>
      <c r="BU772" s="379"/>
      <c r="BV772" s="379"/>
      <c r="BW772" s="379"/>
      <c r="BX772" s="379"/>
      <c r="BY772" s="379"/>
      <c r="BZ772" s="379"/>
      <c r="CA772" s="281"/>
      <c r="CB772" s="3" t="str">
        <f t="shared" si="99"/>
        <v>Riadok bude skrytý.</v>
      </c>
      <c r="CC772" s="271" t="s">
        <v>832</v>
      </c>
      <c r="CW772" s="30">
        <f t="shared" si="100"/>
        <v>0</v>
      </c>
      <c r="CZ772" s="30">
        <f t="shared" si="96"/>
        <v>1</v>
      </c>
      <c r="DA772" s="30">
        <f t="shared" si="101"/>
        <v>0</v>
      </c>
      <c r="DB772" s="140">
        <f t="shared" si="98"/>
        <v>0</v>
      </c>
      <c r="DS772" s="130">
        <f>SI!BY772</f>
        <v>142</v>
      </c>
      <c r="DZ772" s="131">
        <f>SI!BZ772</f>
        <v>0</v>
      </c>
    </row>
    <row r="773" spans="1:130" hidden="1" x14ac:dyDescent="0.25">
      <c r="A773" s="141"/>
      <c r="B773" s="379"/>
      <c r="C773" s="379"/>
      <c r="D773" s="379"/>
      <c r="E773" s="379"/>
      <c r="F773" s="379"/>
      <c r="G773" s="379"/>
      <c r="H773" s="379"/>
      <c r="I773" s="379"/>
      <c r="J773" s="379"/>
      <c r="K773" s="379"/>
      <c r="L773" s="379"/>
      <c r="M773" s="379"/>
      <c r="N773" s="379"/>
      <c r="O773" s="379"/>
      <c r="P773" s="379"/>
      <c r="Q773" s="379"/>
      <c r="R773" s="379"/>
      <c r="S773" s="379"/>
      <c r="T773" s="379"/>
      <c r="U773" s="379"/>
      <c r="V773" s="379"/>
      <c r="W773" s="379"/>
      <c r="X773" s="379"/>
      <c r="Y773" s="379"/>
      <c r="Z773" s="379"/>
      <c r="AA773" s="379"/>
      <c r="AB773" s="379"/>
      <c r="AC773" s="379"/>
      <c r="AD773" s="379"/>
      <c r="AE773" s="379"/>
      <c r="AF773" s="379"/>
      <c r="AG773" s="379"/>
      <c r="AH773" s="379"/>
      <c r="AI773" s="379"/>
      <c r="AJ773" s="379"/>
      <c r="AK773" s="379"/>
      <c r="AL773" s="379"/>
      <c r="AM773" s="379"/>
      <c r="AN773" s="379"/>
      <c r="AO773" s="379"/>
      <c r="AP773" s="379"/>
      <c r="AQ773" s="379"/>
      <c r="AR773" s="379"/>
      <c r="AS773" s="379"/>
      <c r="AT773" s="379"/>
      <c r="AU773" s="379"/>
      <c r="AV773" s="379"/>
      <c r="AW773" s="379"/>
      <c r="AX773" s="379"/>
      <c r="AY773" s="379"/>
      <c r="AZ773" s="379"/>
      <c r="BA773" s="379"/>
      <c r="BB773" s="379"/>
      <c r="BC773" s="379"/>
      <c r="BD773" s="379"/>
      <c r="BE773" s="379"/>
      <c r="BF773" s="379"/>
      <c r="BG773" s="379"/>
      <c r="BH773" s="379"/>
      <c r="BI773" s="379"/>
      <c r="BJ773" s="379"/>
      <c r="BK773" s="379"/>
      <c r="BL773" s="379"/>
      <c r="BM773" s="379"/>
      <c r="BN773" s="379"/>
      <c r="BO773" s="379"/>
      <c r="BP773" s="379"/>
      <c r="BQ773" s="379"/>
      <c r="BR773" s="379"/>
      <c r="BS773" s="379"/>
      <c r="BT773" s="379"/>
      <c r="BU773" s="379"/>
      <c r="BV773" s="379"/>
      <c r="BW773" s="379"/>
      <c r="BX773" s="379"/>
      <c r="BY773" s="379"/>
      <c r="BZ773" s="379"/>
      <c r="CA773" s="281"/>
      <c r="CB773" s="3" t="str">
        <f t="shared" si="99"/>
        <v>Riadok bude skrytý.</v>
      </c>
      <c r="CC773" s="271" t="s">
        <v>832</v>
      </c>
      <c r="CW773" s="30">
        <f t="shared" si="100"/>
        <v>0</v>
      </c>
      <c r="CZ773" s="30">
        <f t="shared" si="96"/>
        <v>1</v>
      </c>
      <c r="DA773" s="30">
        <f t="shared" si="101"/>
        <v>0</v>
      </c>
      <c r="DB773" s="140">
        <f t="shared" si="98"/>
        <v>0</v>
      </c>
      <c r="DS773" s="130">
        <f>SI!BY773</f>
        <v>191</v>
      </c>
      <c r="DZ773" s="131">
        <f>SI!BZ773</f>
        <v>0</v>
      </c>
    </row>
    <row r="774" spans="1:130" hidden="1" x14ac:dyDescent="0.25">
      <c r="A774" s="141"/>
      <c r="B774" s="379"/>
      <c r="C774" s="379"/>
      <c r="D774" s="379"/>
      <c r="E774" s="379"/>
      <c r="F774" s="379"/>
      <c r="G774" s="379"/>
      <c r="H774" s="379"/>
      <c r="I774" s="379"/>
      <c r="J774" s="379"/>
      <c r="K774" s="379"/>
      <c r="L774" s="379"/>
      <c r="M774" s="379"/>
      <c r="N774" s="379"/>
      <c r="O774" s="379"/>
      <c r="P774" s="379"/>
      <c r="Q774" s="379"/>
      <c r="R774" s="379"/>
      <c r="S774" s="379"/>
      <c r="T774" s="379"/>
      <c r="U774" s="379"/>
      <c r="V774" s="379"/>
      <c r="W774" s="379"/>
      <c r="X774" s="379"/>
      <c r="Y774" s="379"/>
      <c r="Z774" s="379"/>
      <c r="AA774" s="379"/>
      <c r="AB774" s="379"/>
      <c r="AC774" s="379"/>
      <c r="AD774" s="379"/>
      <c r="AE774" s="379"/>
      <c r="AF774" s="379"/>
      <c r="AG774" s="379"/>
      <c r="AH774" s="379"/>
      <c r="AI774" s="379"/>
      <c r="AJ774" s="379"/>
      <c r="AK774" s="379"/>
      <c r="AL774" s="379"/>
      <c r="AM774" s="379"/>
      <c r="AN774" s="379"/>
      <c r="AO774" s="379"/>
      <c r="AP774" s="379"/>
      <c r="AQ774" s="379"/>
      <c r="AR774" s="379"/>
      <c r="AS774" s="379"/>
      <c r="AT774" s="379"/>
      <c r="AU774" s="379"/>
      <c r="AV774" s="379"/>
      <c r="AW774" s="379"/>
      <c r="AX774" s="379"/>
      <c r="AY774" s="379"/>
      <c r="AZ774" s="379"/>
      <c r="BA774" s="379"/>
      <c r="BB774" s="379"/>
      <c r="BC774" s="379"/>
      <c r="BD774" s="379"/>
      <c r="BE774" s="379"/>
      <c r="BF774" s="379"/>
      <c r="BG774" s="379"/>
      <c r="BH774" s="379"/>
      <c r="BI774" s="379"/>
      <c r="BJ774" s="379"/>
      <c r="BK774" s="379"/>
      <c r="BL774" s="379"/>
      <c r="BM774" s="379"/>
      <c r="BN774" s="379"/>
      <c r="BO774" s="379"/>
      <c r="BP774" s="379"/>
      <c r="BQ774" s="379"/>
      <c r="BR774" s="379"/>
      <c r="BS774" s="379"/>
      <c r="BT774" s="379"/>
      <c r="BU774" s="379"/>
      <c r="BV774" s="379"/>
      <c r="BW774" s="379"/>
      <c r="BX774" s="379"/>
      <c r="BY774" s="379"/>
      <c r="BZ774" s="379"/>
      <c r="CA774" s="281"/>
      <c r="CB774" s="3" t="str">
        <f t="shared" si="99"/>
        <v>Riadok bude skrytý.</v>
      </c>
      <c r="CC774" s="271" t="s">
        <v>832</v>
      </c>
      <c r="CW774" s="30">
        <f t="shared" si="100"/>
        <v>0</v>
      </c>
      <c r="CZ774" s="30">
        <f t="shared" si="96"/>
        <v>1</v>
      </c>
      <c r="DA774" s="30">
        <f t="shared" si="101"/>
        <v>0</v>
      </c>
      <c r="DB774" s="140">
        <f t="shared" si="98"/>
        <v>0</v>
      </c>
      <c r="DS774" s="130">
        <f>SI!BY774</f>
        <v>149</v>
      </c>
      <c r="DZ774" s="131">
        <f>SI!BZ774</f>
        <v>0</v>
      </c>
    </row>
    <row r="775" spans="1:130" hidden="1" x14ac:dyDescent="0.25">
      <c r="A775" s="141"/>
      <c r="B775" s="379"/>
      <c r="C775" s="379"/>
      <c r="D775" s="379"/>
      <c r="E775" s="379"/>
      <c r="F775" s="379"/>
      <c r="G775" s="379"/>
      <c r="H775" s="379"/>
      <c r="I775" s="379"/>
      <c r="J775" s="379"/>
      <c r="K775" s="379"/>
      <c r="L775" s="379"/>
      <c r="M775" s="379"/>
      <c r="N775" s="379"/>
      <c r="O775" s="379"/>
      <c r="P775" s="379"/>
      <c r="Q775" s="379"/>
      <c r="R775" s="379"/>
      <c r="S775" s="379"/>
      <c r="T775" s="379"/>
      <c r="U775" s="379"/>
      <c r="V775" s="379"/>
      <c r="W775" s="379"/>
      <c r="X775" s="379"/>
      <c r="Y775" s="379"/>
      <c r="Z775" s="379"/>
      <c r="AA775" s="379"/>
      <c r="AB775" s="379"/>
      <c r="AC775" s="379"/>
      <c r="AD775" s="379"/>
      <c r="AE775" s="379"/>
      <c r="AF775" s="379"/>
      <c r="AG775" s="379"/>
      <c r="AH775" s="379"/>
      <c r="AI775" s="379"/>
      <c r="AJ775" s="379"/>
      <c r="AK775" s="379"/>
      <c r="AL775" s="379"/>
      <c r="AM775" s="379"/>
      <c r="AN775" s="379"/>
      <c r="AO775" s="379"/>
      <c r="AP775" s="379"/>
      <c r="AQ775" s="379"/>
      <c r="AR775" s="379"/>
      <c r="AS775" s="379"/>
      <c r="AT775" s="379"/>
      <c r="AU775" s="379"/>
      <c r="AV775" s="379"/>
      <c r="AW775" s="379"/>
      <c r="AX775" s="379"/>
      <c r="AY775" s="379"/>
      <c r="AZ775" s="379"/>
      <c r="BA775" s="379"/>
      <c r="BB775" s="379"/>
      <c r="BC775" s="379"/>
      <c r="BD775" s="379"/>
      <c r="BE775" s="379"/>
      <c r="BF775" s="379"/>
      <c r="BG775" s="379"/>
      <c r="BH775" s="379"/>
      <c r="BI775" s="379"/>
      <c r="BJ775" s="379"/>
      <c r="BK775" s="379"/>
      <c r="BL775" s="379"/>
      <c r="BM775" s="379"/>
      <c r="BN775" s="379"/>
      <c r="BO775" s="379"/>
      <c r="BP775" s="379"/>
      <c r="BQ775" s="379"/>
      <c r="BR775" s="379"/>
      <c r="BS775" s="379"/>
      <c r="BT775" s="379"/>
      <c r="BU775" s="379"/>
      <c r="BV775" s="379"/>
      <c r="BW775" s="379"/>
      <c r="BX775" s="379"/>
      <c r="BY775" s="379"/>
      <c r="BZ775" s="379"/>
      <c r="CA775" s="281"/>
      <c r="CB775" s="3" t="str">
        <f t="shared" si="99"/>
        <v>Riadok bude skrytý.</v>
      </c>
      <c r="CC775" s="271" t="s">
        <v>832</v>
      </c>
      <c r="CW775" s="30">
        <f t="shared" si="100"/>
        <v>0</v>
      </c>
      <c r="CZ775" s="30">
        <f t="shared" si="96"/>
        <v>1</v>
      </c>
      <c r="DA775" s="30">
        <f t="shared" si="101"/>
        <v>0</v>
      </c>
      <c r="DB775" s="140">
        <f t="shared" si="98"/>
        <v>0</v>
      </c>
      <c r="DS775" s="130">
        <f>SI!BY775</f>
        <v>479</v>
      </c>
      <c r="DZ775" s="131">
        <f>SI!BZ775</f>
        <v>0</v>
      </c>
    </row>
    <row r="776" spans="1:130" hidden="1" x14ac:dyDescent="0.25">
      <c r="A776" s="141"/>
      <c r="B776" s="379"/>
      <c r="C776" s="379"/>
      <c r="D776" s="379"/>
      <c r="E776" s="379"/>
      <c r="F776" s="379"/>
      <c r="G776" s="379"/>
      <c r="H776" s="379"/>
      <c r="I776" s="379"/>
      <c r="J776" s="379"/>
      <c r="K776" s="379"/>
      <c r="L776" s="379"/>
      <c r="M776" s="379"/>
      <c r="N776" s="379"/>
      <c r="O776" s="379"/>
      <c r="P776" s="379"/>
      <c r="Q776" s="379"/>
      <c r="R776" s="379"/>
      <c r="S776" s="379"/>
      <c r="T776" s="379"/>
      <c r="U776" s="379"/>
      <c r="V776" s="379"/>
      <c r="W776" s="379"/>
      <c r="X776" s="379"/>
      <c r="Y776" s="379"/>
      <c r="Z776" s="379"/>
      <c r="AA776" s="379"/>
      <c r="AB776" s="379"/>
      <c r="AC776" s="379"/>
      <c r="AD776" s="379"/>
      <c r="AE776" s="379"/>
      <c r="AF776" s="379"/>
      <c r="AG776" s="379"/>
      <c r="AH776" s="379"/>
      <c r="AI776" s="379"/>
      <c r="AJ776" s="379"/>
      <c r="AK776" s="379"/>
      <c r="AL776" s="379"/>
      <c r="AM776" s="379"/>
      <c r="AN776" s="379"/>
      <c r="AO776" s="379"/>
      <c r="AP776" s="379"/>
      <c r="AQ776" s="379"/>
      <c r="AR776" s="379"/>
      <c r="AS776" s="379"/>
      <c r="AT776" s="379"/>
      <c r="AU776" s="379"/>
      <c r="AV776" s="379"/>
      <c r="AW776" s="379"/>
      <c r="AX776" s="379"/>
      <c r="AY776" s="379"/>
      <c r="AZ776" s="379"/>
      <c r="BA776" s="379"/>
      <c r="BB776" s="379"/>
      <c r="BC776" s="379"/>
      <c r="BD776" s="379"/>
      <c r="BE776" s="379"/>
      <c r="BF776" s="379"/>
      <c r="BG776" s="379"/>
      <c r="BH776" s="379"/>
      <c r="BI776" s="379"/>
      <c r="BJ776" s="379"/>
      <c r="BK776" s="379"/>
      <c r="BL776" s="379"/>
      <c r="BM776" s="379"/>
      <c r="BN776" s="379"/>
      <c r="BO776" s="379"/>
      <c r="BP776" s="379"/>
      <c r="BQ776" s="379"/>
      <c r="BR776" s="379"/>
      <c r="BS776" s="379"/>
      <c r="BT776" s="379"/>
      <c r="BU776" s="379"/>
      <c r="BV776" s="379"/>
      <c r="BW776" s="379"/>
      <c r="BX776" s="379"/>
      <c r="BY776" s="379"/>
      <c r="BZ776" s="379"/>
      <c r="CA776" s="281"/>
      <c r="CB776" s="3" t="str">
        <f t="shared" si="99"/>
        <v>Riadok bude skrytý.</v>
      </c>
      <c r="CC776" s="271" t="s">
        <v>832</v>
      </c>
      <c r="CW776" s="30">
        <f t="shared" si="100"/>
        <v>0</v>
      </c>
      <c r="CZ776" s="30">
        <f t="shared" si="96"/>
        <v>1</v>
      </c>
      <c r="DA776" s="30">
        <f t="shared" si="101"/>
        <v>0</v>
      </c>
      <c r="DB776" s="140">
        <f t="shared" si="98"/>
        <v>0</v>
      </c>
      <c r="DS776" s="130">
        <f>SI!BY776</f>
        <v>184</v>
      </c>
      <c r="DZ776" s="131">
        <f>SI!BZ776</f>
        <v>0</v>
      </c>
    </row>
    <row r="777" spans="1:130" hidden="1" x14ac:dyDescent="0.25">
      <c r="A777" s="141"/>
      <c r="B777" s="379"/>
      <c r="C777" s="379"/>
      <c r="D777" s="379"/>
      <c r="E777" s="379"/>
      <c r="F777" s="379"/>
      <c r="G777" s="379"/>
      <c r="H777" s="379"/>
      <c r="I777" s="379"/>
      <c r="J777" s="379"/>
      <c r="K777" s="379"/>
      <c r="L777" s="379"/>
      <c r="M777" s="379"/>
      <c r="N777" s="379"/>
      <c r="O777" s="379"/>
      <c r="P777" s="379"/>
      <c r="Q777" s="379"/>
      <c r="R777" s="379"/>
      <c r="S777" s="379"/>
      <c r="T777" s="379"/>
      <c r="U777" s="379"/>
      <c r="V777" s="379"/>
      <c r="W777" s="379"/>
      <c r="X777" s="379"/>
      <c r="Y777" s="379"/>
      <c r="Z777" s="379"/>
      <c r="AA777" s="379"/>
      <c r="AB777" s="379"/>
      <c r="AC777" s="379"/>
      <c r="AD777" s="379"/>
      <c r="AE777" s="379"/>
      <c r="AF777" s="379"/>
      <c r="AG777" s="379"/>
      <c r="AH777" s="379"/>
      <c r="AI777" s="379"/>
      <c r="AJ777" s="379"/>
      <c r="AK777" s="379"/>
      <c r="AL777" s="379"/>
      <c r="AM777" s="379"/>
      <c r="AN777" s="379"/>
      <c r="AO777" s="379"/>
      <c r="AP777" s="379"/>
      <c r="AQ777" s="379"/>
      <c r="AR777" s="379"/>
      <c r="AS777" s="379"/>
      <c r="AT777" s="379"/>
      <c r="AU777" s="379"/>
      <c r="AV777" s="379"/>
      <c r="AW777" s="379"/>
      <c r="AX777" s="379"/>
      <c r="AY777" s="379"/>
      <c r="AZ777" s="379"/>
      <c r="BA777" s="379"/>
      <c r="BB777" s="379"/>
      <c r="BC777" s="379"/>
      <c r="BD777" s="379"/>
      <c r="BE777" s="379"/>
      <c r="BF777" s="379"/>
      <c r="BG777" s="379"/>
      <c r="BH777" s="379"/>
      <c r="BI777" s="379"/>
      <c r="BJ777" s="379"/>
      <c r="BK777" s="379"/>
      <c r="BL777" s="379"/>
      <c r="BM777" s="379"/>
      <c r="BN777" s="379"/>
      <c r="BO777" s="379"/>
      <c r="BP777" s="379"/>
      <c r="BQ777" s="379"/>
      <c r="BR777" s="379"/>
      <c r="BS777" s="379"/>
      <c r="BT777" s="379"/>
      <c r="BU777" s="379"/>
      <c r="BV777" s="379"/>
      <c r="BW777" s="379"/>
      <c r="BX777" s="379"/>
      <c r="BY777" s="379"/>
      <c r="BZ777" s="379"/>
      <c r="CA777" s="281"/>
      <c r="CB777" s="3" t="str">
        <f t="shared" si="99"/>
        <v>Riadok bude skrytý.</v>
      </c>
      <c r="CC777" s="271" t="s">
        <v>832</v>
      </c>
      <c r="CW777" s="30">
        <f t="shared" si="100"/>
        <v>0</v>
      </c>
      <c r="CZ777" s="30">
        <f t="shared" si="96"/>
        <v>1</v>
      </c>
      <c r="DA777" s="30">
        <f t="shared" si="101"/>
        <v>0</v>
      </c>
      <c r="DB777" s="140">
        <f t="shared" si="98"/>
        <v>0</v>
      </c>
      <c r="DS777" s="130">
        <f>SI!BY777</f>
        <v>198</v>
      </c>
      <c r="DZ777" s="131">
        <f>SI!BZ777</f>
        <v>0</v>
      </c>
    </row>
    <row r="778" spans="1:130" hidden="1" x14ac:dyDescent="0.25">
      <c r="A778" s="141"/>
      <c r="B778" s="379"/>
      <c r="C778" s="379"/>
      <c r="D778" s="379"/>
      <c r="E778" s="379"/>
      <c r="F778" s="379"/>
      <c r="G778" s="379"/>
      <c r="H778" s="379"/>
      <c r="I778" s="379"/>
      <c r="J778" s="379"/>
      <c r="K778" s="379"/>
      <c r="L778" s="379"/>
      <c r="M778" s="379"/>
      <c r="N778" s="379"/>
      <c r="O778" s="379"/>
      <c r="P778" s="379"/>
      <c r="Q778" s="379"/>
      <c r="R778" s="379"/>
      <c r="S778" s="379"/>
      <c r="T778" s="379"/>
      <c r="U778" s="379"/>
      <c r="V778" s="379"/>
      <c r="W778" s="379"/>
      <c r="X778" s="379"/>
      <c r="Y778" s="379"/>
      <c r="Z778" s="379"/>
      <c r="AA778" s="379"/>
      <c r="AB778" s="379"/>
      <c r="AC778" s="379"/>
      <c r="AD778" s="379"/>
      <c r="AE778" s="379"/>
      <c r="AF778" s="379"/>
      <c r="AG778" s="379"/>
      <c r="AH778" s="379"/>
      <c r="AI778" s="379"/>
      <c r="AJ778" s="379"/>
      <c r="AK778" s="379"/>
      <c r="AL778" s="379"/>
      <c r="AM778" s="379"/>
      <c r="AN778" s="379"/>
      <c r="AO778" s="379"/>
      <c r="AP778" s="379"/>
      <c r="AQ778" s="379"/>
      <c r="AR778" s="379"/>
      <c r="AS778" s="379"/>
      <c r="AT778" s="379"/>
      <c r="AU778" s="379"/>
      <c r="AV778" s="379"/>
      <c r="AW778" s="379"/>
      <c r="AX778" s="379"/>
      <c r="AY778" s="379"/>
      <c r="AZ778" s="379"/>
      <c r="BA778" s="379"/>
      <c r="BB778" s="379"/>
      <c r="BC778" s="379"/>
      <c r="BD778" s="379"/>
      <c r="BE778" s="379"/>
      <c r="BF778" s="379"/>
      <c r="BG778" s="379"/>
      <c r="BH778" s="379"/>
      <c r="BI778" s="379"/>
      <c r="BJ778" s="379"/>
      <c r="BK778" s="379"/>
      <c r="BL778" s="379"/>
      <c r="BM778" s="379"/>
      <c r="BN778" s="379"/>
      <c r="BO778" s="379"/>
      <c r="BP778" s="379"/>
      <c r="BQ778" s="379"/>
      <c r="BR778" s="379"/>
      <c r="BS778" s="379"/>
      <c r="BT778" s="379"/>
      <c r="BU778" s="379"/>
      <c r="BV778" s="379"/>
      <c r="BW778" s="379"/>
      <c r="BX778" s="379"/>
      <c r="BY778" s="379"/>
      <c r="BZ778" s="379"/>
      <c r="CA778" s="281"/>
      <c r="CB778" s="3" t="str">
        <f t="shared" si="99"/>
        <v>Riadok bude skrytý.</v>
      </c>
      <c r="CC778" s="271" t="s">
        <v>832</v>
      </c>
      <c r="CW778" s="30">
        <f t="shared" si="100"/>
        <v>0</v>
      </c>
      <c r="CZ778" s="30">
        <f t="shared" si="96"/>
        <v>1</v>
      </c>
      <c r="DA778" s="30">
        <f t="shared" si="101"/>
        <v>0</v>
      </c>
      <c r="DB778" s="140">
        <f t="shared" si="98"/>
        <v>0</v>
      </c>
      <c r="DS778" s="130">
        <f>SI!BY778</f>
        <v>175</v>
      </c>
      <c r="DZ778" s="131">
        <f>SI!BZ778</f>
        <v>0</v>
      </c>
    </row>
    <row r="779" spans="1:130" hidden="1" x14ac:dyDescent="0.25">
      <c r="A779" s="141"/>
      <c r="B779" s="379"/>
      <c r="C779" s="379"/>
      <c r="D779" s="379"/>
      <c r="E779" s="379"/>
      <c r="F779" s="379"/>
      <c r="G779" s="379"/>
      <c r="H779" s="379"/>
      <c r="I779" s="379"/>
      <c r="J779" s="379"/>
      <c r="K779" s="379"/>
      <c r="L779" s="379"/>
      <c r="M779" s="379"/>
      <c r="N779" s="379"/>
      <c r="O779" s="379"/>
      <c r="P779" s="379"/>
      <c r="Q779" s="379"/>
      <c r="R779" s="379"/>
      <c r="S779" s="379"/>
      <c r="T779" s="379"/>
      <c r="U779" s="379"/>
      <c r="V779" s="379"/>
      <c r="W779" s="379"/>
      <c r="X779" s="379"/>
      <c r="Y779" s="379"/>
      <c r="Z779" s="379"/>
      <c r="AA779" s="379"/>
      <c r="AB779" s="379"/>
      <c r="AC779" s="379"/>
      <c r="AD779" s="379"/>
      <c r="AE779" s="379"/>
      <c r="AF779" s="379"/>
      <c r="AG779" s="379"/>
      <c r="AH779" s="379"/>
      <c r="AI779" s="379"/>
      <c r="AJ779" s="379"/>
      <c r="AK779" s="379"/>
      <c r="AL779" s="379"/>
      <c r="AM779" s="379"/>
      <c r="AN779" s="379"/>
      <c r="AO779" s="379"/>
      <c r="AP779" s="379"/>
      <c r="AQ779" s="379"/>
      <c r="AR779" s="379"/>
      <c r="AS779" s="379"/>
      <c r="AT779" s="379"/>
      <c r="AU779" s="379"/>
      <c r="AV779" s="379"/>
      <c r="AW779" s="379"/>
      <c r="AX779" s="379"/>
      <c r="AY779" s="379"/>
      <c r="AZ779" s="379"/>
      <c r="BA779" s="379"/>
      <c r="BB779" s="379"/>
      <c r="BC779" s="379"/>
      <c r="BD779" s="379"/>
      <c r="BE779" s="379"/>
      <c r="BF779" s="379"/>
      <c r="BG779" s="379"/>
      <c r="BH779" s="379"/>
      <c r="BI779" s="379"/>
      <c r="BJ779" s="379"/>
      <c r="BK779" s="379"/>
      <c r="BL779" s="379"/>
      <c r="BM779" s="379"/>
      <c r="BN779" s="379"/>
      <c r="BO779" s="379"/>
      <c r="BP779" s="379"/>
      <c r="BQ779" s="379"/>
      <c r="BR779" s="379"/>
      <c r="BS779" s="379"/>
      <c r="BT779" s="379"/>
      <c r="BU779" s="379"/>
      <c r="BV779" s="379"/>
      <c r="BW779" s="379"/>
      <c r="BX779" s="379"/>
      <c r="BY779" s="379"/>
      <c r="BZ779" s="379"/>
      <c r="CA779" s="281"/>
      <c r="CB779" s="3" t="str">
        <f t="shared" si="99"/>
        <v>Riadok bude skrytý.</v>
      </c>
      <c r="CC779" s="271" t="s">
        <v>832</v>
      </c>
      <c r="CW779" s="30">
        <f t="shared" si="100"/>
        <v>0</v>
      </c>
      <c r="CZ779" s="30">
        <f t="shared" si="96"/>
        <v>1</v>
      </c>
      <c r="DA779" s="30">
        <f t="shared" si="101"/>
        <v>0</v>
      </c>
      <c r="DB779" s="140">
        <f t="shared" si="98"/>
        <v>0</v>
      </c>
      <c r="DS779" s="130">
        <f>SI!BY779</f>
        <v>1075</v>
      </c>
      <c r="DZ779" s="131">
        <f>SI!BZ779</f>
        <v>0</v>
      </c>
    </row>
    <row r="780" spans="1:130" hidden="1" x14ac:dyDescent="0.25">
      <c r="A780" s="141"/>
      <c r="B780" s="379"/>
      <c r="C780" s="379"/>
      <c r="D780" s="379"/>
      <c r="E780" s="379"/>
      <c r="F780" s="379"/>
      <c r="G780" s="379"/>
      <c r="H780" s="379"/>
      <c r="I780" s="379"/>
      <c r="J780" s="379"/>
      <c r="K780" s="379"/>
      <c r="L780" s="379"/>
      <c r="M780" s="379"/>
      <c r="N780" s="379"/>
      <c r="O780" s="379"/>
      <c r="P780" s="379"/>
      <c r="Q780" s="379"/>
      <c r="R780" s="379"/>
      <c r="S780" s="379"/>
      <c r="T780" s="379"/>
      <c r="U780" s="379"/>
      <c r="V780" s="379"/>
      <c r="W780" s="379"/>
      <c r="X780" s="379"/>
      <c r="Y780" s="379"/>
      <c r="Z780" s="379"/>
      <c r="AA780" s="379"/>
      <c r="AB780" s="379"/>
      <c r="AC780" s="379"/>
      <c r="AD780" s="379"/>
      <c r="AE780" s="379"/>
      <c r="AF780" s="379"/>
      <c r="AG780" s="379"/>
      <c r="AH780" s="379"/>
      <c r="AI780" s="379"/>
      <c r="AJ780" s="379"/>
      <c r="AK780" s="379"/>
      <c r="AL780" s="379"/>
      <c r="AM780" s="379"/>
      <c r="AN780" s="379"/>
      <c r="AO780" s="379"/>
      <c r="AP780" s="379"/>
      <c r="AQ780" s="379"/>
      <c r="AR780" s="379"/>
      <c r="AS780" s="379"/>
      <c r="AT780" s="379"/>
      <c r="AU780" s="379"/>
      <c r="AV780" s="379"/>
      <c r="AW780" s="379"/>
      <c r="AX780" s="379"/>
      <c r="AY780" s="379"/>
      <c r="AZ780" s="379"/>
      <c r="BA780" s="379"/>
      <c r="BB780" s="379"/>
      <c r="BC780" s="379"/>
      <c r="BD780" s="379"/>
      <c r="BE780" s="379"/>
      <c r="BF780" s="379"/>
      <c r="BG780" s="379"/>
      <c r="BH780" s="379"/>
      <c r="BI780" s="379"/>
      <c r="BJ780" s="379"/>
      <c r="BK780" s="379"/>
      <c r="BL780" s="379"/>
      <c r="BM780" s="379"/>
      <c r="BN780" s="379"/>
      <c r="BO780" s="379"/>
      <c r="BP780" s="379"/>
      <c r="BQ780" s="379"/>
      <c r="BR780" s="379"/>
      <c r="BS780" s="379"/>
      <c r="BT780" s="379"/>
      <c r="BU780" s="379"/>
      <c r="BV780" s="379"/>
      <c r="BW780" s="379"/>
      <c r="BX780" s="379"/>
      <c r="BY780" s="379"/>
      <c r="BZ780" s="379"/>
      <c r="CA780" s="281"/>
      <c r="CB780" s="3" t="str">
        <f t="shared" si="99"/>
        <v>Riadok bude skrytý.</v>
      </c>
      <c r="CC780" s="271" t="s">
        <v>832</v>
      </c>
      <c r="CW780" s="30">
        <f t="shared" si="100"/>
        <v>0</v>
      </c>
      <c r="CZ780" s="30">
        <f t="shared" si="96"/>
        <v>1</v>
      </c>
      <c r="DA780" s="30">
        <f t="shared" si="101"/>
        <v>0</v>
      </c>
      <c r="DB780" s="140">
        <f t="shared" si="98"/>
        <v>0</v>
      </c>
      <c r="DS780" s="130">
        <f>SI!BY780</f>
        <v>153</v>
      </c>
      <c r="DZ780" s="131">
        <f>SI!BZ780</f>
        <v>0</v>
      </c>
    </row>
    <row r="781" spans="1:130" x14ac:dyDescent="0.25">
      <c r="A781" s="141"/>
      <c r="B781" s="12"/>
      <c r="CA781" s="270"/>
      <c r="CB781" s="3" t="str">
        <f t="shared" si="99"/>
        <v>Riadok bude vidieť.</v>
      </c>
      <c r="CC781" s="271" t="s">
        <v>832</v>
      </c>
      <c r="CW781" s="32">
        <f>+IF(SUM(CW783:CW802)=0,0,1)</f>
        <v>1</v>
      </c>
      <c r="CZ781" s="30">
        <f t="shared" si="96"/>
        <v>1</v>
      </c>
      <c r="DA781" s="30">
        <f t="shared" si="101"/>
        <v>1</v>
      </c>
      <c r="DB781" s="140">
        <f t="shared" si="98"/>
        <v>1</v>
      </c>
      <c r="DS781" s="130">
        <f>SI!BY781</f>
        <v>130</v>
      </c>
      <c r="DZ781" s="131">
        <f>SI!BZ781</f>
        <v>0</v>
      </c>
    </row>
    <row r="782" spans="1:130" x14ac:dyDescent="0.25">
      <c r="A782" s="141"/>
      <c r="B782" s="279" t="s">
        <v>859</v>
      </c>
      <c r="C782" s="7" t="str">
        <f>+IF($K$52&lt;&gt;"",IF(INT(SQRT((CODE(MID($K$52,1,1)))))*(IF(SI!EE782="",1,SI!EE782))+LEN(SI!J5)=DS782,"Informácie o cudzej mene","NEPOVOLENÉ POUŽITIE!"),"NEPOVOLENÉ POUŽITIE!")</f>
        <v>Informácie o cudzej mene</v>
      </c>
      <c r="D782" s="7"/>
      <c r="E782" s="7"/>
      <c r="F782" s="7"/>
      <c r="CA782" s="265" t="s">
        <v>773</v>
      </c>
      <c r="CB782" s="3" t="str">
        <f t="shared" si="99"/>
        <v>Riadok bude vidieť.</v>
      </c>
      <c r="CC782" s="271" t="s">
        <v>832</v>
      </c>
      <c r="CW782" s="134">
        <f>+IF(SUM(CW783:CW802)=0,0,1)</f>
        <v>1</v>
      </c>
      <c r="CZ782" s="30">
        <f t="shared" si="96"/>
        <v>1</v>
      </c>
      <c r="DA782" s="30">
        <f t="shared" si="101"/>
        <v>1</v>
      </c>
      <c r="DB782" s="140">
        <f t="shared" si="98"/>
        <v>1</v>
      </c>
      <c r="DS782" s="130">
        <f>SI!BY782</f>
        <v>15</v>
      </c>
      <c r="DZ782" s="131">
        <f>SI!BZ782</f>
        <v>0</v>
      </c>
    </row>
    <row r="783" spans="1:130" x14ac:dyDescent="0.25">
      <c r="A783" s="141"/>
      <c r="B783" s="379" t="s">
        <v>88</v>
      </c>
      <c r="C783" s="379"/>
      <c r="D783" s="379"/>
      <c r="E783" s="379"/>
      <c r="F783" s="379"/>
      <c r="G783" s="379"/>
      <c r="H783" s="379"/>
      <c r="I783" s="379"/>
      <c r="J783" s="379"/>
      <c r="K783" s="379"/>
      <c r="L783" s="379"/>
      <c r="M783" s="379"/>
      <c r="N783" s="379"/>
      <c r="O783" s="379"/>
      <c r="P783" s="379"/>
      <c r="Q783" s="379"/>
      <c r="R783" s="379"/>
      <c r="S783" s="379"/>
      <c r="T783" s="379"/>
      <c r="U783" s="379"/>
      <c r="V783" s="379"/>
      <c r="W783" s="379"/>
      <c r="X783" s="379"/>
      <c r="Y783" s="379"/>
      <c r="Z783" s="379"/>
      <c r="AA783" s="379"/>
      <c r="AB783" s="379"/>
      <c r="AC783" s="379"/>
      <c r="AD783" s="379"/>
      <c r="AE783" s="379"/>
      <c r="AF783" s="379"/>
      <c r="AG783" s="379"/>
      <c r="AH783" s="379"/>
      <c r="AI783" s="379"/>
      <c r="AJ783" s="379"/>
      <c r="AK783" s="379"/>
      <c r="AL783" s="379"/>
      <c r="AM783" s="379"/>
      <c r="AN783" s="379"/>
      <c r="AO783" s="379"/>
      <c r="AP783" s="379"/>
      <c r="AQ783" s="379"/>
      <c r="AR783" s="379"/>
      <c r="AS783" s="379"/>
      <c r="AT783" s="379"/>
      <c r="AU783" s="379"/>
      <c r="AV783" s="379"/>
      <c r="AW783" s="379"/>
      <c r="AX783" s="379"/>
      <c r="AY783" s="379"/>
      <c r="AZ783" s="379"/>
      <c r="BA783" s="379"/>
      <c r="BB783" s="379"/>
      <c r="BC783" s="379"/>
      <c r="BD783" s="379"/>
      <c r="BE783" s="379"/>
      <c r="BF783" s="379"/>
      <c r="BG783" s="379"/>
      <c r="BH783" s="379"/>
      <c r="BI783" s="379"/>
      <c r="BJ783" s="379"/>
      <c r="BK783" s="379"/>
      <c r="BL783" s="379"/>
      <c r="BM783" s="379"/>
      <c r="BN783" s="379"/>
      <c r="BO783" s="379"/>
      <c r="BP783" s="379"/>
      <c r="BQ783" s="379"/>
      <c r="BR783" s="379"/>
      <c r="BS783" s="379"/>
      <c r="BT783" s="379"/>
      <c r="BU783" s="379"/>
      <c r="BV783" s="379"/>
      <c r="BW783" s="379"/>
      <c r="BX783" s="379"/>
      <c r="BY783" s="379"/>
      <c r="BZ783" s="379"/>
      <c r="CA783" s="281"/>
      <c r="CB783" s="3" t="str">
        <f t="shared" si="99"/>
        <v>Riadok bude vidieť.</v>
      </c>
      <c r="CC783" s="271" t="s">
        <v>832</v>
      </c>
      <c r="CW783" s="30">
        <f t="shared" ref="CW783:CW802" si="102">+IF(B783="",0,1)</f>
        <v>1</v>
      </c>
      <c r="CZ783" s="30">
        <f t="shared" si="96"/>
        <v>1</v>
      </c>
      <c r="DA783" s="30">
        <f t="shared" si="101"/>
        <v>1</v>
      </c>
      <c r="DB783" s="140">
        <f t="shared" si="98"/>
        <v>1</v>
      </c>
      <c r="DS783" s="130">
        <f>SI!BY783</f>
        <v>164</v>
      </c>
      <c r="DZ783" s="131">
        <f>SI!BZ783</f>
        <v>0</v>
      </c>
    </row>
    <row r="784" spans="1:130" x14ac:dyDescent="0.25">
      <c r="A784" s="141"/>
      <c r="B784" s="379" t="s">
        <v>724</v>
      </c>
      <c r="C784" s="379"/>
      <c r="D784" s="379"/>
      <c r="E784" s="379"/>
      <c r="F784" s="379"/>
      <c r="G784" s="379"/>
      <c r="H784" s="379"/>
      <c r="I784" s="379"/>
      <c r="J784" s="379"/>
      <c r="K784" s="379"/>
      <c r="L784" s="379"/>
      <c r="M784" s="379"/>
      <c r="N784" s="379"/>
      <c r="O784" s="379"/>
      <c r="P784" s="379"/>
      <c r="Q784" s="379"/>
      <c r="R784" s="379"/>
      <c r="S784" s="379"/>
      <c r="T784" s="379"/>
      <c r="U784" s="379"/>
      <c r="V784" s="379"/>
      <c r="W784" s="379"/>
      <c r="X784" s="379"/>
      <c r="Y784" s="379"/>
      <c r="Z784" s="379"/>
      <c r="AA784" s="379"/>
      <c r="AB784" s="379"/>
      <c r="AC784" s="379"/>
      <c r="AD784" s="379"/>
      <c r="AE784" s="379"/>
      <c r="AF784" s="379"/>
      <c r="AG784" s="379"/>
      <c r="AH784" s="379"/>
      <c r="AI784" s="379"/>
      <c r="AJ784" s="379"/>
      <c r="AK784" s="379"/>
      <c r="AL784" s="379"/>
      <c r="AM784" s="379"/>
      <c r="AN784" s="379"/>
      <c r="AO784" s="379"/>
      <c r="AP784" s="379"/>
      <c r="AQ784" s="379"/>
      <c r="AR784" s="379"/>
      <c r="AS784" s="379"/>
      <c r="AT784" s="379"/>
      <c r="AU784" s="379"/>
      <c r="AV784" s="379"/>
      <c r="AW784" s="379"/>
      <c r="AX784" s="379"/>
      <c r="AY784" s="379"/>
      <c r="AZ784" s="379"/>
      <c r="BA784" s="379"/>
      <c r="BB784" s="379"/>
      <c r="BC784" s="379"/>
      <c r="BD784" s="379"/>
      <c r="BE784" s="379"/>
      <c r="BF784" s="379"/>
      <c r="BG784" s="379"/>
      <c r="BH784" s="379"/>
      <c r="BI784" s="379"/>
      <c r="BJ784" s="379"/>
      <c r="BK784" s="379"/>
      <c r="BL784" s="379"/>
      <c r="BM784" s="379"/>
      <c r="BN784" s="379"/>
      <c r="BO784" s="379"/>
      <c r="BP784" s="379"/>
      <c r="BQ784" s="379"/>
      <c r="BR784" s="379"/>
      <c r="BS784" s="379"/>
      <c r="BT784" s="379"/>
      <c r="BU784" s="379"/>
      <c r="BV784" s="379"/>
      <c r="BW784" s="379"/>
      <c r="BX784" s="379"/>
      <c r="BY784" s="379"/>
      <c r="BZ784" s="379"/>
      <c r="CA784" s="281"/>
      <c r="CB784" s="3" t="str">
        <f t="shared" si="99"/>
        <v>Riadok bude vidieť.</v>
      </c>
      <c r="CC784" s="271" t="s">
        <v>832</v>
      </c>
      <c r="CW784" s="30">
        <f t="shared" si="102"/>
        <v>1</v>
      </c>
      <c r="CZ784" s="30">
        <f t="shared" si="96"/>
        <v>1</v>
      </c>
      <c r="DA784" s="30">
        <f t="shared" si="101"/>
        <v>1</v>
      </c>
      <c r="DB784" s="140">
        <f t="shared" si="98"/>
        <v>1</v>
      </c>
      <c r="DS784" s="130">
        <f>SI!BY784</f>
        <v>149</v>
      </c>
      <c r="DZ784" s="131">
        <f>SI!BZ784</f>
        <v>0</v>
      </c>
    </row>
    <row r="785" spans="1:130" x14ac:dyDescent="0.25">
      <c r="A785" s="141"/>
      <c r="B785" s="379" t="s">
        <v>723</v>
      </c>
      <c r="C785" s="379"/>
      <c r="D785" s="379"/>
      <c r="E785" s="379"/>
      <c r="F785" s="379"/>
      <c r="G785" s="379"/>
      <c r="H785" s="379"/>
      <c r="I785" s="379"/>
      <c r="J785" s="379"/>
      <c r="K785" s="379"/>
      <c r="L785" s="379"/>
      <c r="M785" s="379"/>
      <c r="N785" s="379"/>
      <c r="O785" s="379"/>
      <c r="P785" s="379"/>
      <c r="Q785" s="379"/>
      <c r="R785" s="379"/>
      <c r="S785" s="379"/>
      <c r="T785" s="379"/>
      <c r="U785" s="379"/>
      <c r="V785" s="379"/>
      <c r="W785" s="379"/>
      <c r="X785" s="379"/>
      <c r="Y785" s="379"/>
      <c r="Z785" s="379"/>
      <c r="AA785" s="379"/>
      <c r="AB785" s="379"/>
      <c r="AC785" s="379"/>
      <c r="AD785" s="379"/>
      <c r="AE785" s="379"/>
      <c r="AF785" s="379"/>
      <c r="AG785" s="379"/>
      <c r="AH785" s="379"/>
      <c r="AI785" s="379"/>
      <c r="AJ785" s="379"/>
      <c r="AK785" s="379"/>
      <c r="AL785" s="379"/>
      <c r="AM785" s="379"/>
      <c r="AN785" s="379"/>
      <c r="AO785" s="379"/>
      <c r="AP785" s="379"/>
      <c r="AQ785" s="379"/>
      <c r="AR785" s="379"/>
      <c r="AS785" s="379"/>
      <c r="AT785" s="379"/>
      <c r="AU785" s="379"/>
      <c r="AV785" s="379"/>
      <c r="AW785" s="379"/>
      <c r="AX785" s="379"/>
      <c r="AY785" s="379"/>
      <c r="AZ785" s="379"/>
      <c r="BA785" s="379"/>
      <c r="BB785" s="379"/>
      <c r="BC785" s="379"/>
      <c r="BD785" s="379"/>
      <c r="BE785" s="379"/>
      <c r="BF785" s="379"/>
      <c r="BG785" s="379"/>
      <c r="BH785" s="379"/>
      <c r="BI785" s="379"/>
      <c r="BJ785" s="379"/>
      <c r="BK785" s="379"/>
      <c r="BL785" s="379"/>
      <c r="BM785" s="379"/>
      <c r="BN785" s="379"/>
      <c r="BO785" s="379"/>
      <c r="BP785" s="379"/>
      <c r="BQ785" s="379"/>
      <c r="BR785" s="379"/>
      <c r="BS785" s="379"/>
      <c r="BT785" s="379"/>
      <c r="BU785" s="379"/>
      <c r="BV785" s="379"/>
      <c r="BW785" s="379"/>
      <c r="BX785" s="379"/>
      <c r="BY785" s="379"/>
      <c r="BZ785" s="379"/>
      <c r="CA785" s="281"/>
      <c r="CB785" s="3" t="str">
        <f t="shared" si="99"/>
        <v>Riadok bude vidieť.</v>
      </c>
      <c r="CC785" s="271" t="s">
        <v>832</v>
      </c>
      <c r="CW785" s="30">
        <f t="shared" si="102"/>
        <v>1</v>
      </c>
      <c r="CZ785" s="30">
        <f t="shared" si="96"/>
        <v>1</v>
      </c>
      <c r="DA785" s="30">
        <f t="shared" si="101"/>
        <v>1</v>
      </c>
      <c r="DB785" s="140">
        <f t="shared" si="98"/>
        <v>1</v>
      </c>
      <c r="DS785" s="130">
        <f>SI!BY785</f>
        <v>2</v>
      </c>
      <c r="DZ785" s="131">
        <f>SI!BZ785</f>
        <v>0</v>
      </c>
    </row>
    <row r="786" spans="1:130" x14ac:dyDescent="0.25">
      <c r="A786" s="141"/>
      <c r="B786" s="379" t="s">
        <v>725</v>
      </c>
      <c r="C786" s="379"/>
      <c r="D786" s="379"/>
      <c r="E786" s="379"/>
      <c r="F786" s="379"/>
      <c r="G786" s="379"/>
      <c r="H786" s="379"/>
      <c r="I786" s="379"/>
      <c r="J786" s="379"/>
      <c r="K786" s="379"/>
      <c r="L786" s="379"/>
      <c r="M786" s="379"/>
      <c r="N786" s="379"/>
      <c r="O786" s="379"/>
      <c r="P786" s="379"/>
      <c r="Q786" s="379"/>
      <c r="R786" s="379"/>
      <c r="S786" s="379"/>
      <c r="T786" s="379"/>
      <c r="U786" s="379"/>
      <c r="V786" s="379"/>
      <c r="W786" s="379"/>
      <c r="X786" s="379"/>
      <c r="Y786" s="379"/>
      <c r="Z786" s="379"/>
      <c r="AA786" s="379"/>
      <c r="AB786" s="379"/>
      <c r="AC786" s="379"/>
      <c r="AD786" s="379"/>
      <c r="AE786" s="379"/>
      <c r="AF786" s="379"/>
      <c r="AG786" s="379"/>
      <c r="AH786" s="379"/>
      <c r="AI786" s="379"/>
      <c r="AJ786" s="379"/>
      <c r="AK786" s="379"/>
      <c r="AL786" s="379"/>
      <c r="AM786" s="379"/>
      <c r="AN786" s="379"/>
      <c r="AO786" s="379"/>
      <c r="AP786" s="379"/>
      <c r="AQ786" s="379"/>
      <c r="AR786" s="379"/>
      <c r="AS786" s="379"/>
      <c r="AT786" s="379"/>
      <c r="AU786" s="379"/>
      <c r="AV786" s="379"/>
      <c r="AW786" s="379"/>
      <c r="AX786" s="379"/>
      <c r="AY786" s="379"/>
      <c r="AZ786" s="379"/>
      <c r="BA786" s="379"/>
      <c r="BB786" s="379"/>
      <c r="BC786" s="379"/>
      <c r="BD786" s="379"/>
      <c r="BE786" s="379"/>
      <c r="BF786" s="379"/>
      <c r="BG786" s="379"/>
      <c r="BH786" s="379"/>
      <c r="BI786" s="379"/>
      <c r="BJ786" s="379"/>
      <c r="BK786" s="379"/>
      <c r="BL786" s="379"/>
      <c r="BM786" s="379"/>
      <c r="BN786" s="379"/>
      <c r="BO786" s="379"/>
      <c r="BP786" s="379"/>
      <c r="BQ786" s="379"/>
      <c r="BR786" s="379"/>
      <c r="BS786" s="379"/>
      <c r="BT786" s="379"/>
      <c r="BU786" s="379"/>
      <c r="BV786" s="379"/>
      <c r="BW786" s="379"/>
      <c r="BX786" s="379"/>
      <c r="BY786" s="379"/>
      <c r="BZ786" s="379"/>
      <c r="CA786" s="281"/>
      <c r="CB786" s="3" t="str">
        <f t="shared" si="99"/>
        <v>Riadok bude vidieť.</v>
      </c>
      <c r="CC786" s="271" t="s">
        <v>832</v>
      </c>
      <c r="CW786" s="30">
        <f t="shared" si="102"/>
        <v>1</v>
      </c>
      <c r="CZ786" s="30">
        <f t="shared" si="96"/>
        <v>1</v>
      </c>
      <c r="DA786" s="30">
        <f t="shared" si="101"/>
        <v>1</v>
      </c>
      <c r="DB786" s="140">
        <f t="shared" si="98"/>
        <v>1</v>
      </c>
      <c r="DS786" s="130">
        <f>SI!BY786</f>
        <v>203</v>
      </c>
      <c r="DZ786" s="131">
        <f>SI!BZ786</f>
        <v>0</v>
      </c>
    </row>
    <row r="787" spans="1:130" x14ac:dyDescent="0.25">
      <c r="A787" s="141"/>
      <c r="B787" s="379" t="s">
        <v>726</v>
      </c>
      <c r="C787" s="379"/>
      <c r="D787" s="379"/>
      <c r="E787" s="379"/>
      <c r="F787" s="379"/>
      <c r="G787" s="379"/>
      <c r="H787" s="379"/>
      <c r="I787" s="379"/>
      <c r="J787" s="379"/>
      <c r="K787" s="379"/>
      <c r="L787" s="379"/>
      <c r="M787" s="379"/>
      <c r="N787" s="379"/>
      <c r="O787" s="379"/>
      <c r="P787" s="379"/>
      <c r="Q787" s="379"/>
      <c r="R787" s="379"/>
      <c r="S787" s="379"/>
      <c r="T787" s="379"/>
      <c r="U787" s="379"/>
      <c r="V787" s="379"/>
      <c r="W787" s="379"/>
      <c r="X787" s="379"/>
      <c r="Y787" s="379"/>
      <c r="Z787" s="379"/>
      <c r="AA787" s="379"/>
      <c r="AB787" s="379"/>
      <c r="AC787" s="379"/>
      <c r="AD787" s="379"/>
      <c r="AE787" s="379"/>
      <c r="AF787" s="379"/>
      <c r="AG787" s="379"/>
      <c r="AH787" s="379"/>
      <c r="AI787" s="379"/>
      <c r="AJ787" s="379"/>
      <c r="AK787" s="379"/>
      <c r="AL787" s="379"/>
      <c r="AM787" s="379"/>
      <c r="AN787" s="379"/>
      <c r="AO787" s="379"/>
      <c r="AP787" s="379"/>
      <c r="AQ787" s="379"/>
      <c r="AR787" s="379"/>
      <c r="AS787" s="379"/>
      <c r="AT787" s="379"/>
      <c r="AU787" s="379"/>
      <c r="AV787" s="379"/>
      <c r="AW787" s="379"/>
      <c r="AX787" s="379"/>
      <c r="AY787" s="379"/>
      <c r="AZ787" s="379"/>
      <c r="BA787" s="379"/>
      <c r="BB787" s="379"/>
      <c r="BC787" s="379"/>
      <c r="BD787" s="379"/>
      <c r="BE787" s="379"/>
      <c r="BF787" s="379"/>
      <c r="BG787" s="379"/>
      <c r="BH787" s="379"/>
      <c r="BI787" s="379"/>
      <c r="BJ787" s="379"/>
      <c r="BK787" s="379"/>
      <c r="BL787" s="379"/>
      <c r="BM787" s="379"/>
      <c r="BN787" s="379"/>
      <c r="BO787" s="379"/>
      <c r="BP787" s="379"/>
      <c r="BQ787" s="379"/>
      <c r="BR787" s="379"/>
      <c r="BS787" s="379"/>
      <c r="BT787" s="379"/>
      <c r="BU787" s="379"/>
      <c r="BV787" s="379"/>
      <c r="BW787" s="379"/>
      <c r="BX787" s="379"/>
      <c r="BY787" s="379"/>
      <c r="BZ787" s="379"/>
      <c r="CA787" s="281"/>
      <c r="CB787" s="3" t="str">
        <f t="shared" si="99"/>
        <v>Riadok bude vidieť.</v>
      </c>
      <c r="CC787" s="271" t="s">
        <v>832</v>
      </c>
      <c r="CW787" s="30">
        <f t="shared" si="102"/>
        <v>1</v>
      </c>
      <c r="CZ787" s="30">
        <f t="shared" si="96"/>
        <v>1</v>
      </c>
      <c r="DA787" s="30">
        <f t="shared" si="101"/>
        <v>1</v>
      </c>
      <c r="DB787" s="140">
        <f t="shared" si="98"/>
        <v>1</v>
      </c>
      <c r="DS787" s="130">
        <f>SI!BY787</f>
        <v>468</v>
      </c>
      <c r="DZ787" s="131">
        <f>SI!BZ787</f>
        <v>0</v>
      </c>
    </row>
    <row r="788" spans="1:130" x14ac:dyDescent="0.25">
      <c r="A788" s="141"/>
      <c r="B788" s="379" t="s">
        <v>727</v>
      </c>
      <c r="C788" s="379"/>
      <c r="D788" s="379"/>
      <c r="E788" s="379"/>
      <c r="F788" s="379"/>
      <c r="G788" s="379"/>
      <c r="H788" s="379"/>
      <c r="I788" s="379"/>
      <c r="J788" s="379"/>
      <c r="K788" s="379"/>
      <c r="L788" s="379"/>
      <c r="M788" s="379"/>
      <c r="N788" s="379"/>
      <c r="O788" s="379"/>
      <c r="P788" s="379"/>
      <c r="Q788" s="379"/>
      <c r="R788" s="379"/>
      <c r="S788" s="379"/>
      <c r="T788" s="379"/>
      <c r="U788" s="379"/>
      <c r="V788" s="379"/>
      <c r="W788" s="379"/>
      <c r="X788" s="379"/>
      <c r="Y788" s="379"/>
      <c r="Z788" s="379"/>
      <c r="AA788" s="379"/>
      <c r="AB788" s="379"/>
      <c r="AC788" s="379"/>
      <c r="AD788" s="379"/>
      <c r="AE788" s="379"/>
      <c r="AF788" s="379"/>
      <c r="AG788" s="379"/>
      <c r="AH788" s="379"/>
      <c r="AI788" s="379"/>
      <c r="AJ788" s="379"/>
      <c r="AK788" s="379"/>
      <c r="AL788" s="379"/>
      <c r="AM788" s="379"/>
      <c r="AN788" s="379"/>
      <c r="AO788" s="379"/>
      <c r="AP788" s="379"/>
      <c r="AQ788" s="379"/>
      <c r="AR788" s="379"/>
      <c r="AS788" s="379"/>
      <c r="AT788" s="379"/>
      <c r="AU788" s="379"/>
      <c r="AV788" s="379"/>
      <c r="AW788" s="379"/>
      <c r="AX788" s="379"/>
      <c r="AY788" s="379"/>
      <c r="AZ788" s="379"/>
      <c r="BA788" s="379"/>
      <c r="BB788" s="379"/>
      <c r="BC788" s="379"/>
      <c r="BD788" s="379"/>
      <c r="BE788" s="379"/>
      <c r="BF788" s="379"/>
      <c r="BG788" s="379"/>
      <c r="BH788" s="379"/>
      <c r="BI788" s="379"/>
      <c r="BJ788" s="379"/>
      <c r="BK788" s="379"/>
      <c r="BL788" s="379"/>
      <c r="BM788" s="379"/>
      <c r="BN788" s="379"/>
      <c r="BO788" s="379"/>
      <c r="BP788" s="379"/>
      <c r="BQ788" s="379"/>
      <c r="BR788" s="379"/>
      <c r="BS788" s="379"/>
      <c r="BT788" s="379"/>
      <c r="BU788" s="379"/>
      <c r="BV788" s="379"/>
      <c r="BW788" s="379"/>
      <c r="BX788" s="379"/>
      <c r="BY788" s="379"/>
      <c r="BZ788" s="379"/>
      <c r="CA788" s="281"/>
      <c r="CB788" s="3" t="str">
        <f t="shared" si="99"/>
        <v>Riadok bude vidieť.</v>
      </c>
      <c r="CC788" s="271" t="s">
        <v>832</v>
      </c>
      <c r="CW788" s="30">
        <f t="shared" si="102"/>
        <v>1</v>
      </c>
      <c r="CZ788" s="30">
        <f t="shared" ref="CZ788:CZ851" si="103">IF(CC788="",1,IF(CC788="Chcem skryť riadok.",0,1))</f>
        <v>1</v>
      </c>
      <c r="DA788" s="30">
        <f t="shared" si="101"/>
        <v>1</v>
      </c>
      <c r="DB788" s="140">
        <f t="shared" si="98"/>
        <v>1</v>
      </c>
      <c r="DS788" s="130">
        <f>SI!BY788</f>
        <v>175</v>
      </c>
      <c r="DZ788" s="131">
        <f>SI!BZ788</f>
        <v>0</v>
      </c>
    </row>
    <row r="789" spans="1:130" x14ac:dyDescent="0.25">
      <c r="A789" s="141"/>
      <c r="B789" s="379" t="s">
        <v>728</v>
      </c>
      <c r="C789" s="379"/>
      <c r="D789" s="379"/>
      <c r="E789" s="379"/>
      <c r="F789" s="379"/>
      <c r="G789" s="379"/>
      <c r="H789" s="379"/>
      <c r="I789" s="379"/>
      <c r="J789" s="379"/>
      <c r="K789" s="379"/>
      <c r="L789" s="379"/>
      <c r="M789" s="379"/>
      <c r="N789" s="379"/>
      <c r="O789" s="379"/>
      <c r="P789" s="379"/>
      <c r="Q789" s="379"/>
      <c r="R789" s="379"/>
      <c r="S789" s="379"/>
      <c r="T789" s="379"/>
      <c r="U789" s="379"/>
      <c r="V789" s="379"/>
      <c r="W789" s="379"/>
      <c r="X789" s="379"/>
      <c r="Y789" s="379"/>
      <c r="Z789" s="379"/>
      <c r="AA789" s="379"/>
      <c r="AB789" s="379"/>
      <c r="AC789" s="379"/>
      <c r="AD789" s="379"/>
      <c r="AE789" s="379"/>
      <c r="AF789" s="379"/>
      <c r="AG789" s="379"/>
      <c r="AH789" s="379"/>
      <c r="AI789" s="379"/>
      <c r="AJ789" s="379"/>
      <c r="AK789" s="379"/>
      <c r="AL789" s="379"/>
      <c r="AM789" s="379"/>
      <c r="AN789" s="379"/>
      <c r="AO789" s="379"/>
      <c r="AP789" s="379"/>
      <c r="AQ789" s="379"/>
      <c r="AR789" s="379"/>
      <c r="AS789" s="379"/>
      <c r="AT789" s="379"/>
      <c r="AU789" s="379"/>
      <c r="AV789" s="379"/>
      <c r="AW789" s="379"/>
      <c r="AX789" s="379"/>
      <c r="AY789" s="379"/>
      <c r="AZ789" s="379"/>
      <c r="BA789" s="379"/>
      <c r="BB789" s="379"/>
      <c r="BC789" s="379"/>
      <c r="BD789" s="379"/>
      <c r="BE789" s="379"/>
      <c r="BF789" s="379"/>
      <c r="BG789" s="379"/>
      <c r="BH789" s="379"/>
      <c r="BI789" s="379"/>
      <c r="BJ789" s="379"/>
      <c r="BK789" s="379"/>
      <c r="BL789" s="379"/>
      <c r="BM789" s="379"/>
      <c r="BN789" s="379"/>
      <c r="BO789" s="379"/>
      <c r="BP789" s="379"/>
      <c r="BQ789" s="379"/>
      <c r="BR789" s="379"/>
      <c r="BS789" s="379"/>
      <c r="BT789" s="379"/>
      <c r="BU789" s="379"/>
      <c r="BV789" s="379"/>
      <c r="BW789" s="379"/>
      <c r="BX789" s="379"/>
      <c r="BY789" s="379"/>
      <c r="BZ789" s="379"/>
      <c r="CA789" s="281"/>
      <c r="CB789" s="3" t="str">
        <f t="shared" si="99"/>
        <v>Riadok bude vidieť.</v>
      </c>
      <c r="CC789" s="271" t="s">
        <v>832</v>
      </c>
      <c r="CW789" s="30">
        <f t="shared" si="102"/>
        <v>1</v>
      </c>
      <c r="CZ789" s="30">
        <f t="shared" si="103"/>
        <v>1</v>
      </c>
      <c r="DA789" s="30">
        <f t="shared" si="101"/>
        <v>1</v>
      </c>
      <c r="DB789" s="140">
        <f t="shared" si="98"/>
        <v>1</v>
      </c>
      <c r="DS789" s="130">
        <f>SI!BY789</f>
        <v>559</v>
      </c>
      <c r="DZ789" s="131">
        <f>SI!BZ789</f>
        <v>0</v>
      </c>
    </row>
    <row r="790" spans="1:130" x14ac:dyDescent="0.25">
      <c r="A790" s="141"/>
      <c r="B790" s="379" t="s">
        <v>89</v>
      </c>
      <c r="C790" s="379"/>
      <c r="D790" s="379"/>
      <c r="E790" s="379"/>
      <c r="F790" s="379"/>
      <c r="G790" s="379"/>
      <c r="H790" s="379"/>
      <c r="I790" s="379"/>
      <c r="J790" s="379"/>
      <c r="K790" s="379"/>
      <c r="L790" s="379"/>
      <c r="M790" s="379"/>
      <c r="N790" s="379"/>
      <c r="O790" s="379"/>
      <c r="P790" s="379"/>
      <c r="Q790" s="379"/>
      <c r="R790" s="379"/>
      <c r="S790" s="379"/>
      <c r="T790" s="379"/>
      <c r="U790" s="379"/>
      <c r="V790" s="379"/>
      <c r="W790" s="379"/>
      <c r="X790" s="379"/>
      <c r="Y790" s="379"/>
      <c r="Z790" s="379"/>
      <c r="AA790" s="379"/>
      <c r="AB790" s="379"/>
      <c r="AC790" s="379"/>
      <c r="AD790" s="379"/>
      <c r="AE790" s="379"/>
      <c r="AF790" s="379"/>
      <c r="AG790" s="379"/>
      <c r="AH790" s="379"/>
      <c r="AI790" s="379"/>
      <c r="AJ790" s="379"/>
      <c r="AK790" s="379"/>
      <c r="AL790" s="379"/>
      <c r="AM790" s="379"/>
      <c r="AN790" s="379"/>
      <c r="AO790" s="379"/>
      <c r="AP790" s="379"/>
      <c r="AQ790" s="379"/>
      <c r="AR790" s="379"/>
      <c r="AS790" s="379"/>
      <c r="AT790" s="379"/>
      <c r="AU790" s="379"/>
      <c r="AV790" s="379"/>
      <c r="AW790" s="379"/>
      <c r="AX790" s="379"/>
      <c r="AY790" s="379"/>
      <c r="AZ790" s="379"/>
      <c r="BA790" s="379"/>
      <c r="BB790" s="379"/>
      <c r="BC790" s="379"/>
      <c r="BD790" s="379"/>
      <c r="BE790" s="379"/>
      <c r="BF790" s="379"/>
      <c r="BG790" s="379"/>
      <c r="BH790" s="379"/>
      <c r="BI790" s="379"/>
      <c r="BJ790" s="379"/>
      <c r="BK790" s="379"/>
      <c r="BL790" s="379"/>
      <c r="BM790" s="379"/>
      <c r="BN790" s="379"/>
      <c r="BO790" s="379"/>
      <c r="BP790" s="379"/>
      <c r="BQ790" s="379"/>
      <c r="BR790" s="379"/>
      <c r="BS790" s="379"/>
      <c r="BT790" s="379"/>
      <c r="BU790" s="379"/>
      <c r="BV790" s="379"/>
      <c r="BW790" s="379"/>
      <c r="BX790" s="379"/>
      <c r="BY790" s="379"/>
      <c r="BZ790" s="379"/>
      <c r="CA790" s="281"/>
      <c r="CB790" s="3" t="str">
        <f t="shared" si="99"/>
        <v>Riadok bude vidieť.</v>
      </c>
      <c r="CC790" s="271" t="s">
        <v>832</v>
      </c>
      <c r="CW790" s="30">
        <f t="shared" si="102"/>
        <v>1</v>
      </c>
      <c r="CZ790" s="30">
        <f t="shared" si="103"/>
        <v>1</v>
      </c>
      <c r="DA790" s="30">
        <f t="shared" si="101"/>
        <v>1</v>
      </c>
      <c r="DB790" s="140">
        <f t="shared" si="98"/>
        <v>1</v>
      </c>
      <c r="DS790" s="130">
        <f>SI!BY790</f>
        <v>134</v>
      </c>
      <c r="DZ790" s="131">
        <f>SI!BZ790</f>
        <v>0</v>
      </c>
    </row>
    <row r="791" spans="1:130" x14ac:dyDescent="0.25">
      <c r="A791" s="141"/>
      <c r="B791" s="379" t="s">
        <v>729</v>
      </c>
      <c r="C791" s="379"/>
      <c r="D791" s="379"/>
      <c r="E791" s="379"/>
      <c r="F791" s="379"/>
      <c r="G791" s="379"/>
      <c r="H791" s="379"/>
      <c r="I791" s="379"/>
      <c r="J791" s="379"/>
      <c r="K791" s="379"/>
      <c r="L791" s="379"/>
      <c r="M791" s="379"/>
      <c r="N791" s="379"/>
      <c r="O791" s="379"/>
      <c r="P791" s="379"/>
      <c r="Q791" s="379"/>
      <c r="R791" s="379"/>
      <c r="S791" s="379"/>
      <c r="T791" s="379"/>
      <c r="U791" s="379"/>
      <c r="V791" s="379"/>
      <c r="W791" s="379"/>
      <c r="X791" s="379"/>
      <c r="Y791" s="379"/>
      <c r="Z791" s="379"/>
      <c r="AA791" s="379"/>
      <c r="AB791" s="379"/>
      <c r="AC791" s="379"/>
      <c r="AD791" s="379"/>
      <c r="AE791" s="379"/>
      <c r="AF791" s="379"/>
      <c r="AG791" s="379"/>
      <c r="AH791" s="379"/>
      <c r="AI791" s="379"/>
      <c r="AJ791" s="379"/>
      <c r="AK791" s="379"/>
      <c r="AL791" s="379"/>
      <c r="AM791" s="379"/>
      <c r="AN791" s="379"/>
      <c r="AO791" s="379"/>
      <c r="AP791" s="379"/>
      <c r="AQ791" s="379"/>
      <c r="AR791" s="379"/>
      <c r="AS791" s="379"/>
      <c r="AT791" s="379"/>
      <c r="AU791" s="379"/>
      <c r="AV791" s="379"/>
      <c r="AW791" s="379"/>
      <c r="AX791" s="379"/>
      <c r="AY791" s="379"/>
      <c r="AZ791" s="379"/>
      <c r="BA791" s="379"/>
      <c r="BB791" s="379"/>
      <c r="BC791" s="379"/>
      <c r="BD791" s="379"/>
      <c r="BE791" s="379"/>
      <c r="BF791" s="379"/>
      <c r="BG791" s="379"/>
      <c r="BH791" s="379"/>
      <c r="BI791" s="379"/>
      <c r="BJ791" s="379"/>
      <c r="BK791" s="379"/>
      <c r="BL791" s="379"/>
      <c r="BM791" s="379"/>
      <c r="BN791" s="379"/>
      <c r="BO791" s="379"/>
      <c r="BP791" s="379"/>
      <c r="BQ791" s="379"/>
      <c r="BR791" s="379"/>
      <c r="BS791" s="379"/>
      <c r="BT791" s="379"/>
      <c r="BU791" s="379"/>
      <c r="BV791" s="379"/>
      <c r="BW791" s="379"/>
      <c r="BX791" s="379"/>
      <c r="BY791" s="379"/>
      <c r="BZ791" s="379"/>
      <c r="CA791" s="281"/>
      <c r="CB791" s="3" t="str">
        <f t="shared" si="99"/>
        <v>Riadok bude vidieť.</v>
      </c>
      <c r="CC791" s="271" t="s">
        <v>832</v>
      </c>
      <c r="CW791" s="30">
        <f t="shared" si="102"/>
        <v>1</v>
      </c>
      <c r="CZ791" s="30">
        <f t="shared" si="103"/>
        <v>1</v>
      </c>
      <c r="DA791" s="30">
        <f t="shared" si="101"/>
        <v>1</v>
      </c>
      <c r="DB791" s="140">
        <f t="shared" si="98"/>
        <v>1</v>
      </c>
      <c r="DS791" s="130">
        <f>SI!BY791</f>
        <v>159</v>
      </c>
      <c r="DZ791" s="131">
        <f>SI!BZ791</f>
        <v>0</v>
      </c>
    </row>
    <row r="792" spans="1:130" x14ac:dyDescent="0.25">
      <c r="A792" s="141"/>
      <c r="B792" s="379" t="s">
        <v>730</v>
      </c>
      <c r="C792" s="379"/>
      <c r="D792" s="379"/>
      <c r="E792" s="379"/>
      <c r="F792" s="379"/>
      <c r="G792" s="379"/>
      <c r="H792" s="379"/>
      <c r="I792" s="379"/>
      <c r="J792" s="379"/>
      <c r="K792" s="379"/>
      <c r="L792" s="379"/>
      <c r="M792" s="379"/>
      <c r="N792" s="379"/>
      <c r="O792" s="379"/>
      <c r="P792" s="379"/>
      <c r="Q792" s="379"/>
      <c r="R792" s="379"/>
      <c r="S792" s="379"/>
      <c r="T792" s="379"/>
      <c r="U792" s="379"/>
      <c r="V792" s="379"/>
      <c r="W792" s="379"/>
      <c r="X792" s="379"/>
      <c r="Y792" s="379"/>
      <c r="Z792" s="379"/>
      <c r="AA792" s="379"/>
      <c r="AB792" s="379"/>
      <c r="AC792" s="379"/>
      <c r="AD792" s="379"/>
      <c r="AE792" s="379"/>
      <c r="AF792" s="379"/>
      <c r="AG792" s="379"/>
      <c r="AH792" s="379"/>
      <c r="AI792" s="379"/>
      <c r="AJ792" s="379"/>
      <c r="AK792" s="379"/>
      <c r="AL792" s="379"/>
      <c r="AM792" s="379"/>
      <c r="AN792" s="379"/>
      <c r="AO792" s="379"/>
      <c r="AP792" s="379"/>
      <c r="AQ792" s="379"/>
      <c r="AR792" s="379"/>
      <c r="AS792" s="379"/>
      <c r="AT792" s="379"/>
      <c r="AU792" s="379"/>
      <c r="AV792" s="379"/>
      <c r="AW792" s="379"/>
      <c r="AX792" s="379"/>
      <c r="AY792" s="379"/>
      <c r="AZ792" s="379"/>
      <c r="BA792" s="379"/>
      <c r="BB792" s="379"/>
      <c r="BC792" s="379"/>
      <c r="BD792" s="379"/>
      <c r="BE792" s="379"/>
      <c r="BF792" s="379"/>
      <c r="BG792" s="379"/>
      <c r="BH792" s="379"/>
      <c r="BI792" s="379"/>
      <c r="BJ792" s="379"/>
      <c r="BK792" s="379"/>
      <c r="BL792" s="379"/>
      <c r="BM792" s="379"/>
      <c r="BN792" s="379"/>
      <c r="BO792" s="379"/>
      <c r="BP792" s="379"/>
      <c r="BQ792" s="379"/>
      <c r="BR792" s="379"/>
      <c r="BS792" s="379"/>
      <c r="BT792" s="379"/>
      <c r="BU792" s="379"/>
      <c r="BV792" s="379"/>
      <c r="BW792" s="379"/>
      <c r="BX792" s="379"/>
      <c r="BY792" s="379"/>
      <c r="BZ792" s="379"/>
      <c r="CA792" s="281"/>
      <c r="CB792" s="3" t="str">
        <f t="shared" si="99"/>
        <v>Riadok bude vidieť.</v>
      </c>
      <c r="CC792" s="271" t="s">
        <v>832</v>
      </c>
      <c r="CW792" s="30">
        <f t="shared" si="102"/>
        <v>1</v>
      </c>
      <c r="CZ792" s="30">
        <f t="shared" si="103"/>
        <v>1</v>
      </c>
      <c r="DA792" s="30">
        <f t="shared" si="101"/>
        <v>1</v>
      </c>
      <c r="DB792" s="140">
        <f t="shared" si="98"/>
        <v>1</v>
      </c>
      <c r="DS792" s="130">
        <f>SI!BY792</f>
        <v>799</v>
      </c>
      <c r="DZ792" s="131">
        <f>SI!BZ792</f>
        <v>0</v>
      </c>
    </row>
    <row r="793" spans="1:130" x14ac:dyDescent="0.25">
      <c r="A793" s="141"/>
      <c r="B793" s="379" t="s">
        <v>90</v>
      </c>
      <c r="C793" s="379"/>
      <c r="D793" s="379"/>
      <c r="E793" s="379"/>
      <c r="F793" s="379"/>
      <c r="G793" s="379"/>
      <c r="H793" s="379"/>
      <c r="I793" s="379"/>
      <c r="J793" s="379"/>
      <c r="K793" s="379"/>
      <c r="L793" s="379"/>
      <c r="M793" s="379"/>
      <c r="N793" s="379"/>
      <c r="O793" s="379"/>
      <c r="P793" s="379"/>
      <c r="Q793" s="379"/>
      <c r="R793" s="379"/>
      <c r="S793" s="379"/>
      <c r="T793" s="379"/>
      <c r="U793" s="379"/>
      <c r="V793" s="379"/>
      <c r="W793" s="379"/>
      <c r="X793" s="379"/>
      <c r="Y793" s="379"/>
      <c r="Z793" s="379"/>
      <c r="AA793" s="379"/>
      <c r="AB793" s="379"/>
      <c r="AC793" s="379"/>
      <c r="AD793" s="379"/>
      <c r="AE793" s="379"/>
      <c r="AF793" s="379"/>
      <c r="AG793" s="379"/>
      <c r="AH793" s="379"/>
      <c r="AI793" s="379"/>
      <c r="AJ793" s="379"/>
      <c r="AK793" s="379"/>
      <c r="AL793" s="379"/>
      <c r="AM793" s="379"/>
      <c r="AN793" s="379"/>
      <c r="AO793" s="379"/>
      <c r="AP793" s="379"/>
      <c r="AQ793" s="379"/>
      <c r="AR793" s="379"/>
      <c r="AS793" s="379"/>
      <c r="AT793" s="379"/>
      <c r="AU793" s="379"/>
      <c r="AV793" s="379"/>
      <c r="AW793" s="379"/>
      <c r="AX793" s="379"/>
      <c r="AY793" s="379"/>
      <c r="AZ793" s="379"/>
      <c r="BA793" s="379"/>
      <c r="BB793" s="379"/>
      <c r="BC793" s="379"/>
      <c r="BD793" s="379"/>
      <c r="BE793" s="379"/>
      <c r="BF793" s="379"/>
      <c r="BG793" s="379"/>
      <c r="BH793" s="379"/>
      <c r="BI793" s="379"/>
      <c r="BJ793" s="379"/>
      <c r="BK793" s="379"/>
      <c r="BL793" s="379"/>
      <c r="BM793" s="379"/>
      <c r="BN793" s="379"/>
      <c r="BO793" s="379"/>
      <c r="BP793" s="379"/>
      <c r="BQ793" s="379"/>
      <c r="BR793" s="379"/>
      <c r="BS793" s="379"/>
      <c r="BT793" s="379"/>
      <c r="BU793" s="379"/>
      <c r="BV793" s="379"/>
      <c r="BW793" s="379"/>
      <c r="BX793" s="379"/>
      <c r="BY793" s="379"/>
      <c r="BZ793" s="379"/>
      <c r="CA793" s="281"/>
      <c r="CB793" s="3" t="str">
        <f t="shared" si="99"/>
        <v>Riadok bude vidieť.</v>
      </c>
      <c r="CC793" s="271" t="s">
        <v>832</v>
      </c>
      <c r="CW793" s="30">
        <f t="shared" si="102"/>
        <v>1</v>
      </c>
      <c r="CZ793" s="30">
        <f t="shared" si="103"/>
        <v>1</v>
      </c>
      <c r="DA793" s="30">
        <f t="shared" si="101"/>
        <v>1</v>
      </c>
      <c r="DB793" s="140">
        <f t="shared" si="98"/>
        <v>1</v>
      </c>
      <c r="DS793" s="130">
        <f>SI!BY793</f>
        <v>180</v>
      </c>
      <c r="DZ793" s="131">
        <f>SI!BZ793</f>
        <v>0</v>
      </c>
    </row>
    <row r="794" spans="1:130" x14ac:dyDescent="0.25">
      <c r="A794" s="141"/>
      <c r="B794" s="379" t="s">
        <v>91</v>
      </c>
      <c r="C794" s="379"/>
      <c r="D794" s="379"/>
      <c r="E794" s="379"/>
      <c r="F794" s="379"/>
      <c r="G794" s="379"/>
      <c r="H794" s="379"/>
      <c r="I794" s="379"/>
      <c r="J794" s="379"/>
      <c r="K794" s="379"/>
      <c r="L794" s="379"/>
      <c r="M794" s="379"/>
      <c r="N794" s="379"/>
      <c r="O794" s="379"/>
      <c r="P794" s="379"/>
      <c r="Q794" s="379"/>
      <c r="R794" s="379"/>
      <c r="S794" s="379"/>
      <c r="T794" s="379"/>
      <c r="U794" s="379"/>
      <c r="V794" s="379"/>
      <c r="W794" s="379"/>
      <c r="X794" s="379"/>
      <c r="Y794" s="379"/>
      <c r="Z794" s="379"/>
      <c r="AA794" s="379"/>
      <c r="AB794" s="379"/>
      <c r="AC794" s="379"/>
      <c r="AD794" s="379"/>
      <c r="AE794" s="379"/>
      <c r="AF794" s="379"/>
      <c r="AG794" s="379"/>
      <c r="AH794" s="379"/>
      <c r="AI794" s="379"/>
      <c r="AJ794" s="379"/>
      <c r="AK794" s="379"/>
      <c r="AL794" s="379"/>
      <c r="AM794" s="379"/>
      <c r="AN794" s="379"/>
      <c r="AO794" s="379"/>
      <c r="AP794" s="379"/>
      <c r="AQ794" s="379"/>
      <c r="AR794" s="379"/>
      <c r="AS794" s="379"/>
      <c r="AT794" s="379"/>
      <c r="AU794" s="379"/>
      <c r="AV794" s="379"/>
      <c r="AW794" s="379"/>
      <c r="AX794" s="379"/>
      <c r="AY794" s="379"/>
      <c r="AZ794" s="379"/>
      <c r="BA794" s="379"/>
      <c r="BB794" s="379"/>
      <c r="BC794" s="379"/>
      <c r="BD794" s="379"/>
      <c r="BE794" s="379"/>
      <c r="BF794" s="379"/>
      <c r="BG794" s="379"/>
      <c r="BH794" s="379"/>
      <c r="BI794" s="379"/>
      <c r="BJ794" s="379"/>
      <c r="BK794" s="379"/>
      <c r="BL794" s="379"/>
      <c r="BM794" s="379"/>
      <c r="BN794" s="379"/>
      <c r="BO794" s="379"/>
      <c r="BP794" s="379"/>
      <c r="BQ794" s="379"/>
      <c r="BR794" s="379"/>
      <c r="BS794" s="379"/>
      <c r="BT794" s="379"/>
      <c r="BU794" s="379"/>
      <c r="BV794" s="379"/>
      <c r="BW794" s="379"/>
      <c r="BX794" s="379"/>
      <c r="BY794" s="379"/>
      <c r="BZ794" s="379"/>
      <c r="CA794" s="281"/>
      <c r="CB794" s="3" t="str">
        <f t="shared" si="99"/>
        <v>Riadok bude vidieť.</v>
      </c>
      <c r="CC794" s="271" t="s">
        <v>832</v>
      </c>
      <c r="CW794" s="30">
        <f t="shared" si="102"/>
        <v>1</v>
      </c>
      <c r="CZ794" s="30">
        <f t="shared" si="103"/>
        <v>1</v>
      </c>
      <c r="DA794" s="30">
        <f t="shared" si="101"/>
        <v>1</v>
      </c>
      <c r="DB794" s="140">
        <f t="shared" si="98"/>
        <v>1</v>
      </c>
      <c r="DS794" s="130">
        <f>SI!BY794</f>
        <v>123</v>
      </c>
      <c r="DZ794" s="131">
        <f>SI!BZ794</f>
        <v>0</v>
      </c>
    </row>
    <row r="795" spans="1:130" x14ac:dyDescent="0.25">
      <c r="A795" s="141"/>
      <c r="B795" s="379" t="s">
        <v>92</v>
      </c>
      <c r="C795" s="379"/>
      <c r="D795" s="379"/>
      <c r="E795" s="379"/>
      <c r="F795" s="379"/>
      <c r="G795" s="379"/>
      <c r="H795" s="379"/>
      <c r="I795" s="379"/>
      <c r="J795" s="379"/>
      <c r="K795" s="379"/>
      <c r="L795" s="379"/>
      <c r="M795" s="379"/>
      <c r="N795" s="379"/>
      <c r="O795" s="379"/>
      <c r="P795" s="379"/>
      <c r="Q795" s="379"/>
      <c r="R795" s="379"/>
      <c r="S795" s="379"/>
      <c r="T795" s="379"/>
      <c r="U795" s="379"/>
      <c r="V795" s="379"/>
      <c r="W795" s="379"/>
      <c r="X795" s="379"/>
      <c r="Y795" s="379"/>
      <c r="Z795" s="379"/>
      <c r="AA795" s="379"/>
      <c r="AB795" s="379"/>
      <c r="AC795" s="379"/>
      <c r="AD795" s="379"/>
      <c r="AE795" s="379"/>
      <c r="AF795" s="379"/>
      <c r="AG795" s="379"/>
      <c r="AH795" s="379"/>
      <c r="AI795" s="379"/>
      <c r="AJ795" s="379"/>
      <c r="AK795" s="379"/>
      <c r="AL795" s="379"/>
      <c r="AM795" s="379"/>
      <c r="AN795" s="379"/>
      <c r="AO795" s="379"/>
      <c r="AP795" s="379"/>
      <c r="AQ795" s="379"/>
      <c r="AR795" s="379"/>
      <c r="AS795" s="379"/>
      <c r="AT795" s="379"/>
      <c r="AU795" s="379"/>
      <c r="AV795" s="379"/>
      <c r="AW795" s="379"/>
      <c r="AX795" s="379"/>
      <c r="AY795" s="379"/>
      <c r="AZ795" s="379"/>
      <c r="BA795" s="379"/>
      <c r="BB795" s="379"/>
      <c r="BC795" s="379"/>
      <c r="BD795" s="379"/>
      <c r="BE795" s="379"/>
      <c r="BF795" s="379"/>
      <c r="BG795" s="379"/>
      <c r="BH795" s="379"/>
      <c r="BI795" s="379"/>
      <c r="BJ795" s="379"/>
      <c r="BK795" s="379"/>
      <c r="BL795" s="379"/>
      <c r="BM795" s="379"/>
      <c r="BN795" s="379"/>
      <c r="BO795" s="379"/>
      <c r="BP795" s="379"/>
      <c r="BQ795" s="379"/>
      <c r="BR795" s="379"/>
      <c r="BS795" s="379"/>
      <c r="BT795" s="379"/>
      <c r="BU795" s="379"/>
      <c r="BV795" s="379"/>
      <c r="BW795" s="379"/>
      <c r="BX795" s="379"/>
      <c r="BY795" s="379"/>
      <c r="BZ795" s="379"/>
      <c r="CA795" s="281"/>
      <c r="CB795" s="3" t="str">
        <f t="shared" si="99"/>
        <v>Riadok bude vidieť.</v>
      </c>
      <c r="CC795" s="271" t="s">
        <v>832</v>
      </c>
      <c r="CW795" s="30">
        <f t="shared" si="102"/>
        <v>1</v>
      </c>
      <c r="CZ795" s="30">
        <f t="shared" si="103"/>
        <v>1</v>
      </c>
      <c r="DA795" s="30">
        <f t="shared" si="101"/>
        <v>1</v>
      </c>
      <c r="DB795" s="140">
        <f t="shared" si="98"/>
        <v>1</v>
      </c>
      <c r="DS795" s="130">
        <f>SI!BY795</f>
        <v>198</v>
      </c>
      <c r="DZ795" s="131">
        <f>SI!BZ795</f>
        <v>0</v>
      </c>
    </row>
    <row r="796" spans="1:130" x14ac:dyDescent="0.25">
      <c r="A796" s="141"/>
      <c r="B796" s="379" t="s">
        <v>93</v>
      </c>
      <c r="C796" s="379"/>
      <c r="D796" s="379"/>
      <c r="E796" s="379"/>
      <c r="F796" s="379"/>
      <c r="G796" s="379"/>
      <c r="H796" s="379"/>
      <c r="I796" s="379"/>
      <c r="J796" s="379"/>
      <c r="K796" s="379"/>
      <c r="L796" s="379"/>
      <c r="M796" s="379"/>
      <c r="N796" s="379"/>
      <c r="O796" s="379"/>
      <c r="P796" s="379"/>
      <c r="Q796" s="379"/>
      <c r="R796" s="379"/>
      <c r="S796" s="379"/>
      <c r="T796" s="379"/>
      <c r="U796" s="379"/>
      <c r="V796" s="379"/>
      <c r="W796" s="379"/>
      <c r="X796" s="379"/>
      <c r="Y796" s="379"/>
      <c r="Z796" s="379"/>
      <c r="AA796" s="379"/>
      <c r="AB796" s="379"/>
      <c r="AC796" s="379"/>
      <c r="AD796" s="379"/>
      <c r="AE796" s="379"/>
      <c r="AF796" s="379"/>
      <c r="AG796" s="379"/>
      <c r="AH796" s="379"/>
      <c r="AI796" s="379"/>
      <c r="AJ796" s="379"/>
      <c r="AK796" s="379"/>
      <c r="AL796" s="379"/>
      <c r="AM796" s="379"/>
      <c r="AN796" s="379"/>
      <c r="AO796" s="379"/>
      <c r="AP796" s="379"/>
      <c r="AQ796" s="379"/>
      <c r="AR796" s="379"/>
      <c r="AS796" s="379"/>
      <c r="AT796" s="379"/>
      <c r="AU796" s="379"/>
      <c r="AV796" s="379"/>
      <c r="AW796" s="379"/>
      <c r="AX796" s="379"/>
      <c r="AY796" s="379"/>
      <c r="AZ796" s="379"/>
      <c r="BA796" s="379"/>
      <c r="BB796" s="379"/>
      <c r="BC796" s="379"/>
      <c r="BD796" s="379"/>
      <c r="BE796" s="379"/>
      <c r="BF796" s="379"/>
      <c r="BG796" s="379"/>
      <c r="BH796" s="379"/>
      <c r="BI796" s="379"/>
      <c r="BJ796" s="379"/>
      <c r="BK796" s="379"/>
      <c r="BL796" s="379"/>
      <c r="BM796" s="379"/>
      <c r="BN796" s="379"/>
      <c r="BO796" s="379"/>
      <c r="BP796" s="379"/>
      <c r="BQ796" s="379"/>
      <c r="BR796" s="379"/>
      <c r="BS796" s="379"/>
      <c r="BT796" s="379"/>
      <c r="BU796" s="379"/>
      <c r="BV796" s="379"/>
      <c r="BW796" s="379"/>
      <c r="BX796" s="379"/>
      <c r="BY796" s="379"/>
      <c r="BZ796" s="379"/>
      <c r="CA796" s="281"/>
      <c r="CB796" s="3" t="str">
        <f t="shared" si="99"/>
        <v>Riadok bude vidieť.</v>
      </c>
      <c r="CC796" s="271" t="s">
        <v>832</v>
      </c>
      <c r="CW796" s="30">
        <f t="shared" si="102"/>
        <v>1</v>
      </c>
      <c r="CZ796" s="30">
        <f t="shared" si="103"/>
        <v>1</v>
      </c>
      <c r="DA796" s="30">
        <f t="shared" si="101"/>
        <v>1</v>
      </c>
      <c r="DB796" s="140">
        <f t="shared" si="98"/>
        <v>1</v>
      </c>
      <c r="DS796" s="130">
        <f>SI!BY796</f>
        <v>136</v>
      </c>
      <c r="DZ796" s="131">
        <f>SI!BZ796</f>
        <v>0</v>
      </c>
    </row>
    <row r="797" spans="1:130" hidden="1" x14ac:dyDescent="0.25">
      <c r="A797" s="141"/>
      <c r="B797" s="379"/>
      <c r="C797" s="379"/>
      <c r="D797" s="379"/>
      <c r="E797" s="379"/>
      <c r="F797" s="379"/>
      <c r="G797" s="379"/>
      <c r="H797" s="379"/>
      <c r="I797" s="379"/>
      <c r="J797" s="379"/>
      <c r="K797" s="379"/>
      <c r="L797" s="379"/>
      <c r="M797" s="379"/>
      <c r="N797" s="379"/>
      <c r="O797" s="379"/>
      <c r="P797" s="379"/>
      <c r="Q797" s="379"/>
      <c r="R797" s="379"/>
      <c r="S797" s="379"/>
      <c r="T797" s="379"/>
      <c r="U797" s="379"/>
      <c r="V797" s="379"/>
      <c r="W797" s="379"/>
      <c r="X797" s="379"/>
      <c r="Y797" s="379"/>
      <c r="Z797" s="379"/>
      <c r="AA797" s="379"/>
      <c r="AB797" s="379"/>
      <c r="AC797" s="379"/>
      <c r="AD797" s="379"/>
      <c r="AE797" s="379"/>
      <c r="AF797" s="379"/>
      <c r="AG797" s="379"/>
      <c r="AH797" s="379"/>
      <c r="AI797" s="379"/>
      <c r="AJ797" s="379"/>
      <c r="AK797" s="379"/>
      <c r="AL797" s="379"/>
      <c r="AM797" s="379"/>
      <c r="AN797" s="379"/>
      <c r="AO797" s="379"/>
      <c r="AP797" s="379"/>
      <c r="AQ797" s="379"/>
      <c r="AR797" s="379"/>
      <c r="AS797" s="379"/>
      <c r="AT797" s="379"/>
      <c r="AU797" s="379"/>
      <c r="AV797" s="379"/>
      <c r="AW797" s="379"/>
      <c r="AX797" s="379"/>
      <c r="AY797" s="379"/>
      <c r="AZ797" s="379"/>
      <c r="BA797" s="379"/>
      <c r="BB797" s="379"/>
      <c r="BC797" s="379"/>
      <c r="BD797" s="379"/>
      <c r="BE797" s="379"/>
      <c r="BF797" s="379"/>
      <c r="BG797" s="379"/>
      <c r="BH797" s="379"/>
      <c r="BI797" s="379"/>
      <c r="BJ797" s="379"/>
      <c r="BK797" s="379"/>
      <c r="BL797" s="379"/>
      <c r="BM797" s="379"/>
      <c r="BN797" s="379"/>
      <c r="BO797" s="379"/>
      <c r="BP797" s="379"/>
      <c r="BQ797" s="379"/>
      <c r="BR797" s="379"/>
      <c r="BS797" s="379"/>
      <c r="BT797" s="379"/>
      <c r="BU797" s="379"/>
      <c r="BV797" s="379"/>
      <c r="BW797" s="379"/>
      <c r="BX797" s="379"/>
      <c r="BY797" s="379"/>
      <c r="BZ797" s="379"/>
      <c r="CA797" s="281"/>
      <c r="CB797" s="3" t="str">
        <f t="shared" si="99"/>
        <v>Riadok bude skrytý.</v>
      </c>
      <c r="CC797" s="271" t="s">
        <v>832</v>
      </c>
      <c r="CW797" s="30">
        <f t="shared" si="102"/>
        <v>0</v>
      </c>
      <c r="CZ797" s="30">
        <f t="shared" si="103"/>
        <v>1</v>
      </c>
      <c r="DA797" s="30">
        <f t="shared" si="101"/>
        <v>0</v>
      </c>
      <c r="DB797" s="140">
        <f t="shared" si="98"/>
        <v>0</v>
      </c>
      <c r="DS797" s="130">
        <f>SI!BY797</f>
        <v>186</v>
      </c>
      <c r="DZ797" s="131">
        <f>SI!BZ797</f>
        <v>0</v>
      </c>
    </row>
    <row r="798" spans="1:130" hidden="1" x14ac:dyDescent="0.25">
      <c r="A798" s="141"/>
      <c r="B798" s="379"/>
      <c r="C798" s="379"/>
      <c r="D798" s="379"/>
      <c r="E798" s="379"/>
      <c r="F798" s="379"/>
      <c r="G798" s="379"/>
      <c r="H798" s="379"/>
      <c r="I798" s="379"/>
      <c r="J798" s="379"/>
      <c r="K798" s="379"/>
      <c r="L798" s="379"/>
      <c r="M798" s="379"/>
      <c r="N798" s="379"/>
      <c r="O798" s="379"/>
      <c r="P798" s="379"/>
      <c r="Q798" s="379"/>
      <c r="R798" s="379"/>
      <c r="S798" s="379"/>
      <c r="T798" s="379"/>
      <c r="U798" s="379"/>
      <c r="V798" s="379"/>
      <c r="W798" s="379"/>
      <c r="X798" s="379"/>
      <c r="Y798" s="379"/>
      <c r="Z798" s="379"/>
      <c r="AA798" s="379"/>
      <c r="AB798" s="379"/>
      <c r="AC798" s="379"/>
      <c r="AD798" s="379"/>
      <c r="AE798" s="379"/>
      <c r="AF798" s="379"/>
      <c r="AG798" s="379"/>
      <c r="AH798" s="379"/>
      <c r="AI798" s="379"/>
      <c r="AJ798" s="379"/>
      <c r="AK798" s="379"/>
      <c r="AL798" s="379"/>
      <c r="AM798" s="379"/>
      <c r="AN798" s="379"/>
      <c r="AO798" s="379"/>
      <c r="AP798" s="379"/>
      <c r="AQ798" s="379"/>
      <c r="AR798" s="379"/>
      <c r="AS798" s="379"/>
      <c r="AT798" s="379"/>
      <c r="AU798" s="379"/>
      <c r="AV798" s="379"/>
      <c r="AW798" s="379"/>
      <c r="AX798" s="379"/>
      <c r="AY798" s="379"/>
      <c r="AZ798" s="379"/>
      <c r="BA798" s="379"/>
      <c r="BB798" s="379"/>
      <c r="BC798" s="379"/>
      <c r="BD798" s="379"/>
      <c r="BE798" s="379"/>
      <c r="BF798" s="379"/>
      <c r="BG798" s="379"/>
      <c r="BH798" s="379"/>
      <c r="BI798" s="379"/>
      <c r="BJ798" s="379"/>
      <c r="BK798" s="379"/>
      <c r="BL798" s="379"/>
      <c r="BM798" s="379"/>
      <c r="BN798" s="379"/>
      <c r="BO798" s="379"/>
      <c r="BP798" s="379"/>
      <c r="BQ798" s="379"/>
      <c r="BR798" s="379"/>
      <c r="BS798" s="379"/>
      <c r="BT798" s="379"/>
      <c r="BU798" s="379"/>
      <c r="BV798" s="379"/>
      <c r="BW798" s="379"/>
      <c r="BX798" s="379"/>
      <c r="BY798" s="379"/>
      <c r="BZ798" s="379"/>
      <c r="CA798" s="281"/>
      <c r="CB798" s="3" t="str">
        <f t="shared" si="99"/>
        <v>Riadok bude skrytý.</v>
      </c>
      <c r="CC798" s="271" t="s">
        <v>832</v>
      </c>
      <c r="CW798" s="30">
        <f t="shared" si="102"/>
        <v>0</v>
      </c>
      <c r="CZ798" s="30">
        <f t="shared" si="103"/>
        <v>1</v>
      </c>
      <c r="DA798" s="30">
        <f t="shared" si="101"/>
        <v>0</v>
      </c>
      <c r="DB798" s="140">
        <f t="shared" si="98"/>
        <v>0</v>
      </c>
      <c r="DS798" s="130">
        <f>SI!BY798</f>
        <v>647</v>
      </c>
      <c r="DZ798" s="131">
        <f>SI!BZ798</f>
        <v>0</v>
      </c>
    </row>
    <row r="799" spans="1:130" hidden="1" x14ac:dyDescent="0.25">
      <c r="A799" s="141"/>
      <c r="B799" s="379"/>
      <c r="C799" s="379"/>
      <c r="D799" s="379"/>
      <c r="E799" s="379"/>
      <c r="F799" s="379"/>
      <c r="G799" s="379"/>
      <c r="H799" s="379"/>
      <c r="I799" s="379"/>
      <c r="J799" s="379"/>
      <c r="K799" s="379"/>
      <c r="L799" s="379"/>
      <c r="M799" s="379"/>
      <c r="N799" s="379"/>
      <c r="O799" s="379"/>
      <c r="P799" s="379"/>
      <c r="Q799" s="379"/>
      <c r="R799" s="379"/>
      <c r="S799" s="379"/>
      <c r="T799" s="379"/>
      <c r="U799" s="379"/>
      <c r="V799" s="379"/>
      <c r="W799" s="379"/>
      <c r="X799" s="379"/>
      <c r="Y799" s="379"/>
      <c r="Z799" s="379"/>
      <c r="AA799" s="379"/>
      <c r="AB799" s="379"/>
      <c r="AC799" s="379"/>
      <c r="AD799" s="379"/>
      <c r="AE799" s="379"/>
      <c r="AF799" s="379"/>
      <c r="AG799" s="379"/>
      <c r="AH799" s="379"/>
      <c r="AI799" s="379"/>
      <c r="AJ799" s="379"/>
      <c r="AK799" s="379"/>
      <c r="AL799" s="379"/>
      <c r="AM799" s="379"/>
      <c r="AN799" s="379"/>
      <c r="AO799" s="379"/>
      <c r="AP799" s="379"/>
      <c r="AQ799" s="379"/>
      <c r="AR799" s="379"/>
      <c r="AS799" s="379"/>
      <c r="AT799" s="379"/>
      <c r="AU799" s="379"/>
      <c r="AV799" s="379"/>
      <c r="AW799" s="379"/>
      <c r="AX799" s="379"/>
      <c r="AY799" s="379"/>
      <c r="AZ799" s="379"/>
      <c r="BA799" s="379"/>
      <c r="BB799" s="379"/>
      <c r="BC799" s="379"/>
      <c r="BD799" s="379"/>
      <c r="BE799" s="379"/>
      <c r="BF799" s="379"/>
      <c r="BG799" s="379"/>
      <c r="BH799" s="379"/>
      <c r="BI799" s="379"/>
      <c r="BJ799" s="379"/>
      <c r="BK799" s="379"/>
      <c r="BL799" s="379"/>
      <c r="BM799" s="379"/>
      <c r="BN799" s="379"/>
      <c r="BO799" s="379"/>
      <c r="BP799" s="379"/>
      <c r="BQ799" s="379"/>
      <c r="BR799" s="379"/>
      <c r="BS799" s="379"/>
      <c r="BT799" s="379"/>
      <c r="BU799" s="379"/>
      <c r="BV799" s="379"/>
      <c r="BW799" s="379"/>
      <c r="BX799" s="379"/>
      <c r="BY799" s="379"/>
      <c r="BZ799" s="379"/>
      <c r="CA799" s="281"/>
      <c r="CB799" s="3" t="str">
        <f t="shared" si="99"/>
        <v>Riadok bude skrytý.</v>
      </c>
      <c r="CC799" s="271" t="s">
        <v>832</v>
      </c>
      <c r="CW799" s="30">
        <f t="shared" si="102"/>
        <v>0</v>
      </c>
      <c r="CZ799" s="30">
        <f t="shared" si="103"/>
        <v>1</v>
      </c>
      <c r="DA799" s="30">
        <f t="shared" si="101"/>
        <v>0</v>
      </c>
      <c r="DB799" s="140">
        <f t="shared" si="98"/>
        <v>0</v>
      </c>
      <c r="DS799" s="130">
        <f>SI!BY799</f>
        <v>153</v>
      </c>
      <c r="DZ799" s="131">
        <f>SI!BZ799</f>
        <v>0</v>
      </c>
    </row>
    <row r="800" spans="1:130" hidden="1" x14ac:dyDescent="0.25">
      <c r="A800" s="141"/>
      <c r="B800" s="379"/>
      <c r="C800" s="379"/>
      <c r="D800" s="379"/>
      <c r="E800" s="379"/>
      <c r="F800" s="379"/>
      <c r="G800" s="379"/>
      <c r="H800" s="379"/>
      <c r="I800" s="379"/>
      <c r="J800" s="379"/>
      <c r="K800" s="379"/>
      <c r="L800" s="379"/>
      <c r="M800" s="379"/>
      <c r="N800" s="379"/>
      <c r="O800" s="379"/>
      <c r="P800" s="379"/>
      <c r="Q800" s="379"/>
      <c r="R800" s="379"/>
      <c r="S800" s="379"/>
      <c r="T800" s="379"/>
      <c r="U800" s="379"/>
      <c r="V800" s="379"/>
      <c r="W800" s="379"/>
      <c r="X800" s="379"/>
      <c r="Y800" s="379"/>
      <c r="Z800" s="379"/>
      <c r="AA800" s="379"/>
      <c r="AB800" s="379"/>
      <c r="AC800" s="379"/>
      <c r="AD800" s="379"/>
      <c r="AE800" s="379"/>
      <c r="AF800" s="379"/>
      <c r="AG800" s="379"/>
      <c r="AH800" s="379"/>
      <c r="AI800" s="379"/>
      <c r="AJ800" s="379"/>
      <c r="AK800" s="379"/>
      <c r="AL800" s="379"/>
      <c r="AM800" s="379"/>
      <c r="AN800" s="379"/>
      <c r="AO800" s="379"/>
      <c r="AP800" s="379"/>
      <c r="AQ800" s="379"/>
      <c r="AR800" s="379"/>
      <c r="AS800" s="379"/>
      <c r="AT800" s="379"/>
      <c r="AU800" s="379"/>
      <c r="AV800" s="379"/>
      <c r="AW800" s="379"/>
      <c r="AX800" s="379"/>
      <c r="AY800" s="379"/>
      <c r="AZ800" s="379"/>
      <c r="BA800" s="379"/>
      <c r="BB800" s="379"/>
      <c r="BC800" s="379"/>
      <c r="BD800" s="379"/>
      <c r="BE800" s="379"/>
      <c r="BF800" s="379"/>
      <c r="BG800" s="379"/>
      <c r="BH800" s="379"/>
      <c r="BI800" s="379"/>
      <c r="BJ800" s="379"/>
      <c r="BK800" s="379"/>
      <c r="BL800" s="379"/>
      <c r="BM800" s="379"/>
      <c r="BN800" s="379"/>
      <c r="BO800" s="379"/>
      <c r="BP800" s="379"/>
      <c r="BQ800" s="379"/>
      <c r="BR800" s="379"/>
      <c r="BS800" s="379"/>
      <c r="BT800" s="379"/>
      <c r="BU800" s="379"/>
      <c r="BV800" s="379"/>
      <c r="BW800" s="379"/>
      <c r="BX800" s="379"/>
      <c r="BY800" s="379"/>
      <c r="BZ800" s="379"/>
      <c r="CA800" s="281"/>
      <c r="CB800" s="3" t="str">
        <f t="shared" si="99"/>
        <v>Riadok bude skrytý.</v>
      </c>
      <c r="CC800" s="271" t="s">
        <v>832</v>
      </c>
      <c r="CW800" s="30">
        <f t="shared" si="102"/>
        <v>0</v>
      </c>
      <c r="CZ800" s="30">
        <f t="shared" si="103"/>
        <v>1</v>
      </c>
      <c r="DA800" s="30">
        <f t="shared" si="101"/>
        <v>0</v>
      </c>
      <c r="DB800" s="140">
        <f t="shared" si="98"/>
        <v>0</v>
      </c>
      <c r="DS800" s="130">
        <f>SI!BY800</f>
        <v>285</v>
      </c>
      <c r="DZ800" s="131">
        <f>SI!BZ800</f>
        <v>0</v>
      </c>
    </row>
    <row r="801" spans="1:130" hidden="1" x14ac:dyDescent="0.25">
      <c r="A801" s="141"/>
      <c r="B801" s="379"/>
      <c r="C801" s="379"/>
      <c r="D801" s="379"/>
      <c r="E801" s="379"/>
      <c r="F801" s="379"/>
      <c r="G801" s="379"/>
      <c r="H801" s="379"/>
      <c r="I801" s="379"/>
      <c r="J801" s="379"/>
      <c r="K801" s="379"/>
      <c r="L801" s="379"/>
      <c r="M801" s="379"/>
      <c r="N801" s="379"/>
      <c r="O801" s="379"/>
      <c r="P801" s="379"/>
      <c r="Q801" s="379"/>
      <c r="R801" s="379"/>
      <c r="S801" s="379"/>
      <c r="T801" s="379"/>
      <c r="U801" s="379"/>
      <c r="V801" s="379"/>
      <c r="W801" s="379"/>
      <c r="X801" s="379"/>
      <c r="Y801" s="379"/>
      <c r="Z801" s="379"/>
      <c r="AA801" s="379"/>
      <c r="AB801" s="379"/>
      <c r="AC801" s="379"/>
      <c r="AD801" s="379"/>
      <c r="AE801" s="379"/>
      <c r="AF801" s="379"/>
      <c r="AG801" s="379"/>
      <c r="AH801" s="379"/>
      <c r="AI801" s="379"/>
      <c r="AJ801" s="379"/>
      <c r="AK801" s="379"/>
      <c r="AL801" s="379"/>
      <c r="AM801" s="379"/>
      <c r="AN801" s="379"/>
      <c r="AO801" s="379"/>
      <c r="AP801" s="379"/>
      <c r="AQ801" s="379"/>
      <c r="AR801" s="379"/>
      <c r="AS801" s="379"/>
      <c r="AT801" s="379"/>
      <c r="AU801" s="379"/>
      <c r="AV801" s="379"/>
      <c r="AW801" s="379"/>
      <c r="AX801" s="379"/>
      <c r="AY801" s="379"/>
      <c r="AZ801" s="379"/>
      <c r="BA801" s="379"/>
      <c r="BB801" s="379"/>
      <c r="BC801" s="379"/>
      <c r="BD801" s="379"/>
      <c r="BE801" s="379"/>
      <c r="BF801" s="379"/>
      <c r="BG801" s="379"/>
      <c r="BH801" s="379"/>
      <c r="BI801" s="379"/>
      <c r="BJ801" s="379"/>
      <c r="BK801" s="379"/>
      <c r="BL801" s="379"/>
      <c r="BM801" s="379"/>
      <c r="BN801" s="379"/>
      <c r="BO801" s="379"/>
      <c r="BP801" s="379"/>
      <c r="BQ801" s="379"/>
      <c r="BR801" s="379"/>
      <c r="BS801" s="379"/>
      <c r="BT801" s="379"/>
      <c r="BU801" s="379"/>
      <c r="BV801" s="379"/>
      <c r="BW801" s="379"/>
      <c r="BX801" s="379"/>
      <c r="BY801" s="379"/>
      <c r="BZ801" s="379"/>
      <c r="CA801" s="281"/>
      <c r="CB801" s="3" t="str">
        <f t="shared" si="99"/>
        <v>Riadok bude skrytý.</v>
      </c>
      <c r="CC801" s="271" t="s">
        <v>832</v>
      </c>
      <c r="CW801" s="30">
        <f t="shared" si="102"/>
        <v>0</v>
      </c>
      <c r="CZ801" s="30">
        <f t="shared" si="103"/>
        <v>1</v>
      </c>
      <c r="DA801" s="30">
        <f t="shared" si="101"/>
        <v>0</v>
      </c>
      <c r="DB801" s="140">
        <f t="shared" si="98"/>
        <v>0</v>
      </c>
      <c r="DS801" s="130">
        <f>SI!BY801</f>
        <v>175</v>
      </c>
      <c r="DZ801" s="131">
        <f>SI!BZ801</f>
        <v>0</v>
      </c>
    </row>
    <row r="802" spans="1:130" hidden="1" x14ac:dyDescent="0.25">
      <c r="A802" s="141"/>
      <c r="B802" s="379"/>
      <c r="C802" s="379"/>
      <c r="D802" s="379"/>
      <c r="E802" s="379"/>
      <c r="F802" s="379"/>
      <c r="G802" s="379"/>
      <c r="H802" s="379"/>
      <c r="I802" s="379"/>
      <c r="J802" s="379"/>
      <c r="K802" s="379"/>
      <c r="L802" s="379"/>
      <c r="M802" s="379"/>
      <c r="N802" s="379"/>
      <c r="O802" s="379"/>
      <c r="P802" s="379"/>
      <c r="Q802" s="379"/>
      <c r="R802" s="379"/>
      <c r="S802" s="379"/>
      <c r="T802" s="379"/>
      <c r="U802" s="379"/>
      <c r="V802" s="379"/>
      <c r="W802" s="379"/>
      <c r="X802" s="379"/>
      <c r="Y802" s="379"/>
      <c r="Z802" s="379"/>
      <c r="AA802" s="379"/>
      <c r="AB802" s="379"/>
      <c r="AC802" s="379"/>
      <c r="AD802" s="379"/>
      <c r="AE802" s="379"/>
      <c r="AF802" s="379"/>
      <c r="AG802" s="379"/>
      <c r="AH802" s="379"/>
      <c r="AI802" s="379"/>
      <c r="AJ802" s="379"/>
      <c r="AK802" s="379"/>
      <c r="AL802" s="379"/>
      <c r="AM802" s="379"/>
      <c r="AN802" s="379"/>
      <c r="AO802" s="379"/>
      <c r="AP802" s="379"/>
      <c r="AQ802" s="379"/>
      <c r="AR802" s="379"/>
      <c r="AS802" s="379"/>
      <c r="AT802" s="379"/>
      <c r="AU802" s="379"/>
      <c r="AV802" s="379"/>
      <c r="AW802" s="379"/>
      <c r="AX802" s="379"/>
      <c r="AY802" s="379"/>
      <c r="AZ802" s="379"/>
      <c r="BA802" s="379"/>
      <c r="BB802" s="379"/>
      <c r="BC802" s="379"/>
      <c r="BD802" s="379"/>
      <c r="BE802" s="379"/>
      <c r="BF802" s="379"/>
      <c r="BG802" s="379"/>
      <c r="BH802" s="379"/>
      <c r="BI802" s="379"/>
      <c r="BJ802" s="379"/>
      <c r="BK802" s="379"/>
      <c r="BL802" s="379"/>
      <c r="BM802" s="379"/>
      <c r="BN802" s="379"/>
      <c r="BO802" s="379"/>
      <c r="BP802" s="379"/>
      <c r="BQ802" s="379"/>
      <c r="BR802" s="379"/>
      <c r="BS802" s="379"/>
      <c r="BT802" s="379"/>
      <c r="BU802" s="379"/>
      <c r="BV802" s="379"/>
      <c r="BW802" s="379"/>
      <c r="BX802" s="379"/>
      <c r="BY802" s="379"/>
      <c r="BZ802" s="379"/>
      <c r="CA802" s="281"/>
      <c r="CB802" s="3" t="str">
        <f t="shared" si="99"/>
        <v>Riadok bude skrytý.</v>
      </c>
      <c r="CC802" s="271" t="s">
        <v>832</v>
      </c>
      <c r="CW802" s="30">
        <f t="shared" si="102"/>
        <v>0</v>
      </c>
      <c r="CZ802" s="30">
        <f t="shared" si="103"/>
        <v>1</v>
      </c>
      <c r="DA802" s="30">
        <f t="shared" si="101"/>
        <v>0</v>
      </c>
      <c r="DB802" s="140">
        <f t="shared" si="98"/>
        <v>0</v>
      </c>
      <c r="DS802" s="130">
        <f>SI!BY802</f>
        <v>874</v>
      </c>
      <c r="DZ802" s="131">
        <f>SI!BZ802</f>
        <v>0</v>
      </c>
    </row>
    <row r="803" spans="1:130" x14ac:dyDescent="0.25">
      <c r="A803" s="141"/>
      <c r="CA803" s="270"/>
      <c r="CB803" s="3" t="str">
        <f t="shared" si="99"/>
        <v>Riadok bude vidieť.</v>
      </c>
      <c r="CC803" s="271" t="s">
        <v>832</v>
      </c>
      <c r="CW803" s="32">
        <f>+IF(SUM(CW805:CW824)=0,0,1)</f>
        <v>1</v>
      </c>
      <c r="CZ803" s="30">
        <f t="shared" si="103"/>
        <v>1</v>
      </c>
      <c r="DA803" s="30">
        <f t="shared" si="101"/>
        <v>1</v>
      </c>
      <c r="DB803" s="140">
        <f t="shared" si="98"/>
        <v>1</v>
      </c>
      <c r="DS803" s="130">
        <f>SI!BY803</f>
        <v>175</v>
      </c>
      <c r="DZ803" s="131">
        <f>SI!BZ803</f>
        <v>0</v>
      </c>
    </row>
    <row r="804" spans="1:130" x14ac:dyDescent="0.25">
      <c r="A804" s="141"/>
      <c r="B804" s="279" t="s">
        <v>859</v>
      </c>
      <c r="C804" s="7" t="str">
        <f>+IF($I$52&lt;&gt;"",IF((ROUNDDOWN(CODE(MID($I$52,1,1))*3,0)+DAY(36167))*(IF(SI!EE804="",1,SI!EE804))+(2*LEN(SI!J3))=DS804,"Informácie o výnosoch","NEPOVOLENÉ POUŽITIE!"),"NEPOVOLENÉ POUŽITIE!")</f>
        <v>Informácie o výnosoch</v>
      </c>
      <c r="D804" s="7"/>
      <c r="E804" s="7"/>
      <c r="F804" s="7"/>
      <c r="CA804" s="265" t="s">
        <v>773</v>
      </c>
      <c r="CB804" s="3" t="str">
        <f t="shared" si="99"/>
        <v>Riadok bude vidieť.</v>
      </c>
      <c r="CC804" s="271" t="s">
        <v>832</v>
      </c>
      <c r="CW804" s="134">
        <f>+IF(SUM(CW805:CW824)=0,0,1)</f>
        <v>1</v>
      </c>
      <c r="CZ804" s="30">
        <f t="shared" si="103"/>
        <v>1</v>
      </c>
      <c r="DA804" s="30">
        <f t="shared" si="101"/>
        <v>1</v>
      </c>
      <c r="DB804" s="140">
        <f t="shared" si="98"/>
        <v>1</v>
      </c>
      <c r="DS804" s="130">
        <f>SI!BY804</f>
        <v>10</v>
      </c>
      <c r="DZ804" s="131">
        <f>SI!BZ804</f>
        <v>0</v>
      </c>
    </row>
    <row r="805" spans="1:130" x14ac:dyDescent="0.25">
      <c r="A805" s="141"/>
      <c r="B805" s="379" t="s">
        <v>731</v>
      </c>
      <c r="C805" s="379"/>
      <c r="D805" s="379"/>
      <c r="E805" s="379"/>
      <c r="F805" s="379"/>
      <c r="G805" s="379"/>
      <c r="H805" s="379"/>
      <c r="I805" s="379"/>
      <c r="J805" s="379"/>
      <c r="K805" s="379"/>
      <c r="L805" s="379"/>
      <c r="M805" s="379"/>
      <c r="N805" s="379"/>
      <c r="O805" s="379"/>
      <c r="P805" s="379"/>
      <c r="Q805" s="379"/>
      <c r="R805" s="379"/>
      <c r="S805" s="379"/>
      <c r="T805" s="379"/>
      <c r="U805" s="379"/>
      <c r="V805" s="379"/>
      <c r="W805" s="379"/>
      <c r="X805" s="379"/>
      <c r="Y805" s="379"/>
      <c r="Z805" s="379"/>
      <c r="AA805" s="379"/>
      <c r="AB805" s="379"/>
      <c r="AC805" s="379"/>
      <c r="AD805" s="379"/>
      <c r="AE805" s="379"/>
      <c r="AF805" s="379"/>
      <c r="AG805" s="379"/>
      <c r="AH805" s="379"/>
      <c r="AI805" s="379"/>
      <c r="AJ805" s="379"/>
      <c r="AK805" s="379"/>
      <c r="AL805" s="379"/>
      <c r="AM805" s="379"/>
      <c r="AN805" s="379"/>
      <c r="AO805" s="379"/>
      <c r="AP805" s="379"/>
      <c r="AQ805" s="379"/>
      <c r="AR805" s="379"/>
      <c r="AS805" s="379"/>
      <c r="AT805" s="379"/>
      <c r="AU805" s="379"/>
      <c r="AV805" s="379"/>
      <c r="AW805" s="379"/>
      <c r="AX805" s="379"/>
      <c r="AY805" s="379"/>
      <c r="AZ805" s="379"/>
      <c r="BA805" s="379"/>
      <c r="BB805" s="379"/>
      <c r="BC805" s="379"/>
      <c r="BD805" s="379"/>
      <c r="BE805" s="379"/>
      <c r="BF805" s="379"/>
      <c r="BG805" s="379"/>
      <c r="BH805" s="379"/>
      <c r="BI805" s="379"/>
      <c r="BJ805" s="379"/>
      <c r="BK805" s="379"/>
      <c r="BL805" s="379"/>
      <c r="BM805" s="379"/>
      <c r="BN805" s="379"/>
      <c r="BO805" s="379"/>
      <c r="BP805" s="379"/>
      <c r="BQ805" s="379"/>
      <c r="BR805" s="379"/>
      <c r="BS805" s="379"/>
      <c r="BT805" s="379"/>
      <c r="BU805" s="379"/>
      <c r="BV805" s="379"/>
      <c r="BW805" s="379"/>
      <c r="BX805" s="379"/>
      <c r="BY805" s="379"/>
      <c r="BZ805" s="379"/>
      <c r="CA805" s="281"/>
      <c r="CB805" s="3" t="str">
        <f t="shared" si="99"/>
        <v>Riadok bude vidieť.</v>
      </c>
      <c r="CC805" s="271" t="s">
        <v>832</v>
      </c>
      <c r="CW805" s="30">
        <f t="shared" ref="CW805:CW824" si="104">+IF(B805="",0,1)</f>
        <v>1</v>
      </c>
      <c r="CZ805" s="30">
        <f t="shared" si="103"/>
        <v>1</v>
      </c>
      <c r="DA805" s="30">
        <f t="shared" si="101"/>
        <v>1</v>
      </c>
      <c r="DB805" s="140">
        <f t="shared" si="98"/>
        <v>1</v>
      </c>
      <c r="DS805" s="130">
        <f>SI!BY805</f>
        <v>868</v>
      </c>
      <c r="DZ805" s="131">
        <f>SI!BZ805</f>
        <v>0</v>
      </c>
    </row>
    <row r="806" spans="1:130" x14ac:dyDescent="0.25">
      <c r="A806" s="141"/>
      <c r="B806" s="379" t="s">
        <v>732</v>
      </c>
      <c r="C806" s="379"/>
      <c r="D806" s="379"/>
      <c r="E806" s="379"/>
      <c r="F806" s="379"/>
      <c r="G806" s="379"/>
      <c r="H806" s="379"/>
      <c r="I806" s="379"/>
      <c r="J806" s="379"/>
      <c r="K806" s="379"/>
      <c r="L806" s="379"/>
      <c r="M806" s="379"/>
      <c r="N806" s="379"/>
      <c r="O806" s="379"/>
      <c r="P806" s="379"/>
      <c r="Q806" s="379"/>
      <c r="R806" s="379"/>
      <c r="S806" s="379"/>
      <c r="T806" s="379"/>
      <c r="U806" s="379"/>
      <c r="V806" s="379"/>
      <c r="W806" s="379"/>
      <c r="X806" s="379"/>
      <c r="Y806" s="379"/>
      <c r="Z806" s="379"/>
      <c r="AA806" s="379"/>
      <c r="AB806" s="379"/>
      <c r="AC806" s="379"/>
      <c r="AD806" s="379"/>
      <c r="AE806" s="379"/>
      <c r="AF806" s="379"/>
      <c r="AG806" s="379"/>
      <c r="AH806" s="379"/>
      <c r="AI806" s="379"/>
      <c r="AJ806" s="379"/>
      <c r="AK806" s="379"/>
      <c r="AL806" s="379"/>
      <c r="AM806" s="379"/>
      <c r="AN806" s="379"/>
      <c r="AO806" s="379"/>
      <c r="AP806" s="379"/>
      <c r="AQ806" s="379"/>
      <c r="AR806" s="379"/>
      <c r="AS806" s="379"/>
      <c r="AT806" s="379"/>
      <c r="AU806" s="379"/>
      <c r="AV806" s="379"/>
      <c r="AW806" s="379"/>
      <c r="AX806" s="379"/>
      <c r="AY806" s="379"/>
      <c r="AZ806" s="379"/>
      <c r="BA806" s="379"/>
      <c r="BB806" s="379"/>
      <c r="BC806" s="379"/>
      <c r="BD806" s="379"/>
      <c r="BE806" s="379"/>
      <c r="BF806" s="379"/>
      <c r="BG806" s="379"/>
      <c r="BH806" s="379"/>
      <c r="BI806" s="379"/>
      <c r="BJ806" s="379"/>
      <c r="BK806" s="379"/>
      <c r="BL806" s="379"/>
      <c r="BM806" s="379"/>
      <c r="BN806" s="379"/>
      <c r="BO806" s="379"/>
      <c r="BP806" s="379"/>
      <c r="BQ806" s="379"/>
      <c r="BR806" s="379"/>
      <c r="BS806" s="379"/>
      <c r="BT806" s="379"/>
      <c r="BU806" s="379"/>
      <c r="BV806" s="379"/>
      <c r="BW806" s="379"/>
      <c r="BX806" s="379"/>
      <c r="BY806" s="379"/>
      <c r="BZ806" s="379"/>
      <c r="CA806" s="281"/>
      <c r="CB806" s="3" t="str">
        <f t="shared" si="99"/>
        <v>Riadok bude vidieť.</v>
      </c>
      <c r="CC806" s="271" t="s">
        <v>832</v>
      </c>
      <c r="CW806" s="30">
        <f t="shared" si="104"/>
        <v>1</v>
      </c>
      <c r="CZ806" s="30">
        <f t="shared" si="103"/>
        <v>1</v>
      </c>
      <c r="DA806" s="30">
        <f t="shared" si="101"/>
        <v>1</v>
      </c>
      <c r="DB806" s="140">
        <f t="shared" si="98"/>
        <v>1</v>
      </c>
      <c r="DS806" s="130">
        <f>SI!BY806</f>
        <v>204</v>
      </c>
      <c r="DZ806" s="131">
        <f>SI!BZ806</f>
        <v>0</v>
      </c>
    </row>
    <row r="807" spans="1:130" hidden="1" x14ac:dyDescent="0.25">
      <c r="A807" s="141"/>
      <c r="B807" s="379"/>
      <c r="C807" s="379"/>
      <c r="D807" s="379"/>
      <c r="E807" s="379"/>
      <c r="F807" s="379"/>
      <c r="G807" s="379"/>
      <c r="H807" s="379"/>
      <c r="I807" s="379"/>
      <c r="J807" s="379"/>
      <c r="K807" s="379"/>
      <c r="L807" s="379"/>
      <c r="M807" s="379"/>
      <c r="N807" s="379"/>
      <c r="O807" s="379"/>
      <c r="P807" s="379"/>
      <c r="Q807" s="379"/>
      <c r="R807" s="379"/>
      <c r="S807" s="379"/>
      <c r="T807" s="379"/>
      <c r="U807" s="379"/>
      <c r="V807" s="379"/>
      <c r="W807" s="379"/>
      <c r="X807" s="379"/>
      <c r="Y807" s="379"/>
      <c r="Z807" s="379"/>
      <c r="AA807" s="379"/>
      <c r="AB807" s="379"/>
      <c r="AC807" s="379"/>
      <c r="AD807" s="379"/>
      <c r="AE807" s="379"/>
      <c r="AF807" s="379"/>
      <c r="AG807" s="379"/>
      <c r="AH807" s="379"/>
      <c r="AI807" s="379"/>
      <c r="AJ807" s="379"/>
      <c r="AK807" s="379"/>
      <c r="AL807" s="379"/>
      <c r="AM807" s="379"/>
      <c r="AN807" s="379"/>
      <c r="AO807" s="379"/>
      <c r="AP807" s="379"/>
      <c r="AQ807" s="379"/>
      <c r="AR807" s="379"/>
      <c r="AS807" s="379"/>
      <c r="AT807" s="379"/>
      <c r="AU807" s="379"/>
      <c r="AV807" s="379"/>
      <c r="AW807" s="379"/>
      <c r="AX807" s="379"/>
      <c r="AY807" s="379"/>
      <c r="AZ807" s="379"/>
      <c r="BA807" s="379"/>
      <c r="BB807" s="379"/>
      <c r="BC807" s="379"/>
      <c r="BD807" s="379"/>
      <c r="BE807" s="379"/>
      <c r="BF807" s="379"/>
      <c r="BG807" s="379"/>
      <c r="BH807" s="379"/>
      <c r="BI807" s="379"/>
      <c r="BJ807" s="379"/>
      <c r="BK807" s="379"/>
      <c r="BL807" s="379"/>
      <c r="BM807" s="379"/>
      <c r="BN807" s="379"/>
      <c r="BO807" s="379"/>
      <c r="BP807" s="379"/>
      <c r="BQ807" s="379"/>
      <c r="BR807" s="379"/>
      <c r="BS807" s="379"/>
      <c r="BT807" s="379"/>
      <c r="BU807" s="379"/>
      <c r="BV807" s="379"/>
      <c r="BW807" s="379"/>
      <c r="BX807" s="379"/>
      <c r="BY807" s="379"/>
      <c r="BZ807" s="379"/>
      <c r="CA807" s="281"/>
      <c r="CB807" s="3" t="str">
        <f t="shared" si="99"/>
        <v>Riadok bude skrytý.</v>
      </c>
      <c r="CC807" s="271" t="s">
        <v>832</v>
      </c>
      <c r="CW807" s="30">
        <f t="shared" si="104"/>
        <v>0</v>
      </c>
      <c r="CZ807" s="30">
        <f t="shared" si="103"/>
        <v>1</v>
      </c>
      <c r="DA807" s="30">
        <f t="shared" si="101"/>
        <v>0</v>
      </c>
      <c r="DB807" s="140">
        <f t="shared" si="98"/>
        <v>0</v>
      </c>
      <c r="DS807" s="130">
        <f>SI!BY807</f>
        <v>764</v>
      </c>
      <c r="DZ807" s="131">
        <f>SI!BZ807</f>
        <v>0</v>
      </c>
    </row>
    <row r="808" spans="1:130" hidden="1" x14ac:dyDescent="0.25">
      <c r="A808" s="141"/>
      <c r="B808" s="379"/>
      <c r="C808" s="379"/>
      <c r="D808" s="379"/>
      <c r="E808" s="379"/>
      <c r="F808" s="379"/>
      <c r="G808" s="379"/>
      <c r="H808" s="379"/>
      <c r="I808" s="379"/>
      <c r="J808" s="379"/>
      <c r="K808" s="379"/>
      <c r="L808" s="379"/>
      <c r="M808" s="379"/>
      <c r="N808" s="379"/>
      <c r="O808" s="379"/>
      <c r="P808" s="379"/>
      <c r="Q808" s="379"/>
      <c r="R808" s="379"/>
      <c r="S808" s="379"/>
      <c r="T808" s="379"/>
      <c r="U808" s="379"/>
      <c r="V808" s="379"/>
      <c r="W808" s="379"/>
      <c r="X808" s="379"/>
      <c r="Y808" s="379"/>
      <c r="Z808" s="379"/>
      <c r="AA808" s="379"/>
      <c r="AB808" s="379"/>
      <c r="AC808" s="379"/>
      <c r="AD808" s="379"/>
      <c r="AE808" s="379"/>
      <c r="AF808" s="379"/>
      <c r="AG808" s="379"/>
      <c r="AH808" s="379"/>
      <c r="AI808" s="379"/>
      <c r="AJ808" s="379"/>
      <c r="AK808" s="379"/>
      <c r="AL808" s="379"/>
      <c r="AM808" s="379"/>
      <c r="AN808" s="379"/>
      <c r="AO808" s="379"/>
      <c r="AP808" s="379"/>
      <c r="AQ808" s="379"/>
      <c r="AR808" s="379"/>
      <c r="AS808" s="379"/>
      <c r="AT808" s="379"/>
      <c r="AU808" s="379"/>
      <c r="AV808" s="379"/>
      <c r="AW808" s="379"/>
      <c r="AX808" s="379"/>
      <c r="AY808" s="379"/>
      <c r="AZ808" s="379"/>
      <c r="BA808" s="379"/>
      <c r="BB808" s="379"/>
      <c r="BC808" s="379"/>
      <c r="BD808" s="379"/>
      <c r="BE808" s="379"/>
      <c r="BF808" s="379"/>
      <c r="BG808" s="379"/>
      <c r="BH808" s="379"/>
      <c r="BI808" s="379"/>
      <c r="BJ808" s="379"/>
      <c r="BK808" s="379"/>
      <c r="BL808" s="379"/>
      <c r="BM808" s="379"/>
      <c r="BN808" s="379"/>
      <c r="BO808" s="379"/>
      <c r="BP808" s="379"/>
      <c r="BQ808" s="379"/>
      <c r="BR808" s="379"/>
      <c r="BS808" s="379"/>
      <c r="BT808" s="379"/>
      <c r="BU808" s="379"/>
      <c r="BV808" s="379"/>
      <c r="BW808" s="379"/>
      <c r="BX808" s="379"/>
      <c r="BY808" s="379"/>
      <c r="BZ808" s="379"/>
      <c r="CA808" s="281"/>
      <c r="CB808" s="3" t="str">
        <f t="shared" si="99"/>
        <v>Riadok bude skrytý.</v>
      </c>
      <c r="CC808" s="271" t="s">
        <v>832</v>
      </c>
      <c r="CW808" s="30">
        <f t="shared" si="104"/>
        <v>0</v>
      </c>
      <c r="CZ808" s="30">
        <f t="shared" si="103"/>
        <v>1</v>
      </c>
      <c r="DA808" s="30">
        <f t="shared" si="101"/>
        <v>0</v>
      </c>
      <c r="DB808" s="140">
        <f t="shared" si="98"/>
        <v>0</v>
      </c>
      <c r="DS808" s="130">
        <f>SI!BY808</f>
        <v>165</v>
      </c>
      <c r="DZ808" s="131">
        <f>SI!BZ808</f>
        <v>0</v>
      </c>
    </row>
    <row r="809" spans="1:130" hidden="1" x14ac:dyDescent="0.25">
      <c r="A809" s="141"/>
      <c r="B809" s="379"/>
      <c r="C809" s="379"/>
      <c r="D809" s="379"/>
      <c r="E809" s="379"/>
      <c r="F809" s="379"/>
      <c r="G809" s="379"/>
      <c r="H809" s="379"/>
      <c r="I809" s="379"/>
      <c r="J809" s="379"/>
      <c r="K809" s="379"/>
      <c r="L809" s="379"/>
      <c r="M809" s="379"/>
      <c r="N809" s="379"/>
      <c r="O809" s="379"/>
      <c r="P809" s="379"/>
      <c r="Q809" s="379"/>
      <c r="R809" s="379"/>
      <c r="S809" s="379"/>
      <c r="T809" s="379"/>
      <c r="U809" s="379"/>
      <c r="V809" s="379"/>
      <c r="W809" s="379"/>
      <c r="X809" s="379"/>
      <c r="Y809" s="379"/>
      <c r="Z809" s="379"/>
      <c r="AA809" s="379"/>
      <c r="AB809" s="379"/>
      <c r="AC809" s="379"/>
      <c r="AD809" s="379"/>
      <c r="AE809" s="379"/>
      <c r="AF809" s="379"/>
      <c r="AG809" s="379"/>
      <c r="AH809" s="379"/>
      <c r="AI809" s="379"/>
      <c r="AJ809" s="379"/>
      <c r="AK809" s="379"/>
      <c r="AL809" s="379"/>
      <c r="AM809" s="379"/>
      <c r="AN809" s="379"/>
      <c r="AO809" s="379"/>
      <c r="AP809" s="379"/>
      <c r="AQ809" s="379"/>
      <c r="AR809" s="379"/>
      <c r="AS809" s="379"/>
      <c r="AT809" s="379"/>
      <c r="AU809" s="379"/>
      <c r="AV809" s="379"/>
      <c r="AW809" s="379"/>
      <c r="AX809" s="379"/>
      <c r="AY809" s="379"/>
      <c r="AZ809" s="379"/>
      <c r="BA809" s="379"/>
      <c r="BB809" s="379"/>
      <c r="BC809" s="379"/>
      <c r="BD809" s="379"/>
      <c r="BE809" s="379"/>
      <c r="BF809" s="379"/>
      <c r="BG809" s="379"/>
      <c r="BH809" s="379"/>
      <c r="BI809" s="379"/>
      <c r="BJ809" s="379"/>
      <c r="BK809" s="379"/>
      <c r="BL809" s="379"/>
      <c r="BM809" s="379"/>
      <c r="BN809" s="379"/>
      <c r="BO809" s="379"/>
      <c r="BP809" s="379"/>
      <c r="BQ809" s="379"/>
      <c r="BR809" s="379"/>
      <c r="BS809" s="379"/>
      <c r="BT809" s="379"/>
      <c r="BU809" s="379"/>
      <c r="BV809" s="379"/>
      <c r="BW809" s="379"/>
      <c r="BX809" s="379"/>
      <c r="BY809" s="379"/>
      <c r="BZ809" s="379"/>
      <c r="CA809" s="281"/>
      <c r="CB809" s="3" t="str">
        <f t="shared" si="99"/>
        <v>Riadok bude skrytý.</v>
      </c>
      <c r="CC809" s="271" t="s">
        <v>832</v>
      </c>
      <c r="CW809" s="30">
        <f t="shared" si="104"/>
        <v>0</v>
      </c>
      <c r="CZ809" s="30">
        <f t="shared" si="103"/>
        <v>1</v>
      </c>
      <c r="DA809" s="30">
        <f t="shared" si="101"/>
        <v>0</v>
      </c>
      <c r="DB809" s="140">
        <f t="shared" si="98"/>
        <v>0</v>
      </c>
      <c r="DS809" s="130">
        <f>SI!BY809</f>
        <v>1055</v>
      </c>
      <c r="DZ809" s="131">
        <f>SI!BZ809</f>
        <v>0</v>
      </c>
    </row>
    <row r="810" spans="1:130" hidden="1" x14ac:dyDescent="0.25">
      <c r="A810" s="141"/>
      <c r="B810" s="379"/>
      <c r="C810" s="379"/>
      <c r="D810" s="379"/>
      <c r="E810" s="379"/>
      <c r="F810" s="379"/>
      <c r="G810" s="379"/>
      <c r="H810" s="379"/>
      <c r="I810" s="379"/>
      <c r="J810" s="379"/>
      <c r="K810" s="379"/>
      <c r="L810" s="379"/>
      <c r="M810" s="379"/>
      <c r="N810" s="379"/>
      <c r="O810" s="379"/>
      <c r="P810" s="379"/>
      <c r="Q810" s="379"/>
      <c r="R810" s="379"/>
      <c r="S810" s="379"/>
      <c r="T810" s="379"/>
      <c r="U810" s="379"/>
      <c r="V810" s="379"/>
      <c r="W810" s="379"/>
      <c r="X810" s="379"/>
      <c r="Y810" s="379"/>
      <c r="Z810" s="379"/>
      <c r="AA810" s="379"/>
      <c r="AB810" s="379"/>
      <c r="AC810" s="379"/>
      <c r="AD810" s="379"/>
      <c r="AE810" s="379"/>
      <c r="AF810" s="379"/>
      <c r="AG810" s="379"/>
      <c r="AH810" s="379"/>
      <c r="AI810" s="379"/>
      <c r="AJ810" s="379"/>
      <c r="AK810" s="379"/>
      <c r="AL810" s="379"/>
      <c r="AM810" s="379"/>
      <c r="AN810" s="379"/>
      <c r="AO810" s="379"/>
      <c r="AP810" s="379"/>
      <c r="AQ810" s="379"/>
      <c r="AR810" s="379"/>
      <c r="AS810" s="379"/>
      <c r="AT810" s="379"/>
      <c r="AU810" s="379"/>
      <c r="AV810" s="379"/>
      <c r="AW810" s="379"/>
      <c r="AX810" s="379"/>
      <c r="AY810" s="379"/>
      <c r="AZ810" s="379"/>
      <c r="BA810" s="379"/>
      <c r="BB810" s="379"/>
      <c r="BC810" s="379"/>
      <c r="BD810" s="379"/>
      <c r="BE810" s="379"/>
      <c r="BF810" s="379"/>
      <c r="BG810" s="379"/>
      <c r="BH810" s="379"/>
      <c r="BI810" s="379"/>
      <c r="BJ810" s="379"/>
      <c r="BK810" s="379"/>
      <c r="BL810" s="379"/>
      <c r="BM810" s="379"/>
      <c r="BN810" s="379"/>
      <c r="BO810" s="379"/>
      <c r="BP810" s="379"/>
      <c r="BQ810" s="379"/>
      <c r="BR810" s="379"/>
      <c r="BS810" s="379"/>
      <c r="BT810" s="379"/>
      <c r="BU810" s="379"/>
      <c r="BV810" s="379"/>
      <c r="BW810" s="379"/>
      <c r="BX810" s="379"/>
      <c r="BY810" s="379"/>
      <c r="BZ810" s="379"/>
      <c r="CA810" s="281"/>
      <c r="CB810" s="3" t="str">
        <f t="shared" si="99"/>
        <v>Riadok bude skrytý.</v>
      </c>
      <c r="CC810" s="271" t="s">
        <v>832</v>
      </c>
      <c r="CW810" s="30">
        <f t="shared" si="104"/>
        <v>0</v>
      </c>
      <c r="CZ810" s="30">
        <f t="shared" si="103"/>
        <v>1</v>
      </c>
      <c r="DA810" s="30">
        <f t="shared" si="101"/>
        <v>0</v>
      </c>
      <c r="DB810" s="140">
        <f t="shared" si="98"/>
        <v>0</v>
      </c>
      <c r="DS810" s="130">
        <f>SI!BY810</f>
        <v>141</v>
      </c>
      <c r="DZ810" s="131">
        <f>SI!BZ810</f>
        <v>0</v>
      </c>
    </row>
    <row r="811" spans="1:130" hidden="1" x14ac:dyDescent="0.25">
      <c r="A811" s="141"/>
      <c r="B811" s="379"/>
      <c r="C811" s="379"/>
      <c r="D811" s="379"/>
      <c r="E811" s="379"/>
      <c r="F811" s="379"/>
      <c r="G811" s="379"/>
      <c r="H811" s="379"/>
      <c r="I811" s="379"/>
      <c r="J811" s="379"/>
      <c r="K811" s="379"/>
      <c r="L811" s="379"/>
      <c r="M811" s="379"/>
      <c r="N811" s="379"/>
      <c r="O811" s="379"/>
      <c r="P811" s="379"/>
      <c r="Q811" s="379"/>
      <c r="R811" s="379"/>
      <c r="S811" s="379"/>
      <c r="T811" s="379"/>
      <c r="U811" s="379"/>
      <c r="V811" s="379"/>
      <c r="W811" s="379"/>
      <c r="X811" s="379"/>
      <c r="Y811" s="379"/>
      <c r="Z811" s="379"/>
      <c r="AA811" s="379"/>
      <c r="AB811" s="379"/>
      <c r="AC811" s="379"/>
      <c r="AD811" s="379"/>
      <c r="AE811" s="379"/>
      <c r="AF811" s="379"/>
      <c r="AG811" s="379"/>
      <c r="AH811" s="379"/>
      <c r="AI811" s="379"/>
      <c r="AJ811" s="379"/>
      <c r="AK811" s="379"/>
      <c r="AL811" s="379"/>
      <c r="AM811" s="379"/>
      <c r="AN811" s="379"/>
      <c r="AO811" s="379"/>
      <c r="AP811" s="379"/>
      <c r="AQ811" s="379"/>
      <c r="AR811" s="379"/>
      <c r="AS811" s="379"/>
      <c r="AT811" s="379"/>
      <c r="AU811" s="379"/>
      <c r="AV811" s="379"/>
      <c r="AW811" s="379"/>
      <c r="AX811" s="379"/>
      <c r="AY811" s="379"/>
      <c r="AZ811" s="379"/>
      <c r="BA811" s="379"/>
      <c r="BB811" s="379"/>
      <c r="BC811" s="379"/>
      <c r="BD811" s="379"/>
      <c r="BE811" s="379"/>
      <c r="BF811" s="379"/>
      <c r="BG811" s="379"/>
      <c r="BH811" s="379"/>
      <c r="BI811" s="379"/>
      <c r="BJ811" s="379"/>
      <c r="BK811" s="379"/>
      <c r="BL811" s="379"/>
      <c r="BM811" s="379"/>
      <c r="BN811" s="379"/>
      <c r="BO811" s="379"/>
      <c r="BP811" s="379"/>
      <c r="BQ811" s="379"/>
      <c r="BR811" s="379"/>
      <c r="BS811" s="379"/>
      <c r="BT811" s="379"/>
      <c r="BU811" s="379"/>
      <c r="BV811" s="379"/>
      <c r="BW811" s="379"/>
      <c r="BX811" s="379"/>
      <c r="BY811" s="379"/>
      <c r="BZ811" s="379"/>
      <c r="CA811" s="281"/>
      <c r="CB811" s="3" t="str">
        <f t="shared" si="99"/>
        <v>Riadok bude skrytý.</v>
      </c>
      <c r="CC811" s="271" t="s">
        <v>832</v>
      </c>
      <c r="CW811" s="30">
        <f t="shared" si="104"/>
        <v>0</v>
      </c>
      <c r="CZ811" s="30">
        <f t="shared" si="103"/>
        <v>1</v>
      </c>
      <c r="DA811" s="30">
        <f t="shared" si="101"/>
        <v>0</v>
      </c>
      <c r="DB811" s="140">
        <f t="shared" si="98"/>
        <v>0</v>
      </c>
      <c r="DS811" s="130">
        <f>SI!BY811</f>
        <v>862</v>
      </c>
      <c r="DZ811" s="131">
        <f>SI!BZ811</f>
        <v>0</v>
      </c>
    </row>
    <row r="812" spans="1:130" hidden="1" x14ac:dyDescent="0.25">
      <c r="A812" s="141"/>
      <c r="B812" s="379"/>
      <c r="C812" s="379"/>
      <c r="D812" s="379"/>
      <c r="E812" s="379"/>
      <c r="F812" s="379"/>
      <c r="G812" s="379"/>
      <c r="H812" s="379"/>
      <c r="I812" s="379"/>
      <c r="J812" s="379"/>
      <c r="K812" s="379"/>
      <c r="L812" s="379"/>
      <c r="M812" s="379"/>
      <c r="N812" s="379"/>
      <c r="O812" s="379"/>
      <c r="P812" s="379"/>
      <c r="Q812" s="379"/>
      <c r="R812" s="379"/>
      <c r="S812" s="379"/>
      <c r="T812" s="379"/>
      <c r="U812" s="379"/>
      <c r="V812" s="379"/>
      <c r="W812" s="379"/>
      <c r="X812" s="379"/>
      <c r="Y812" s="379"/>
      <c r="Z812" s="379"/>
      <c r="AA812" s="379"/>
      <c r="AB812" s="379"/>
      <c r="AC812" s="379"/>
      <c r="AD812" s="379"/>
      <c r="AE812" s="379"/>
      <c r="AF812" s="379"/>
      <c r="AG812" s="379"/>
      <c r="AH812" s="379"/>
      <c r="AI812" s="379"/>
      <c r="AJ812" s="379"/>
      <c r="AK812" s="379"/>
      <c r="AL812" s="379"/>
      <c r="AM812" s="379"/>
      <c r="AN812" s="379"/>
      <c r="AO812" s="379"/>
      <c r="AP812" s="379"/>
      <c r="AQ812" s="379"/>
      <c r="AR812" s="379"/>
      <c r="AS812" s="379"/>
      <c r="AT812" s="379"/>
      <c r="AU812" s="379"/>
      <c r="AV812" s="379"/>
      <c r="AW812" s="379"/>
      <c r="AX812" s="379"/>
      <c r="AY812" s="379"/>
      <c r="AZ812" s="379"/>
      <c r="BA812" s="379"/>
      <c r="BB812" s="379"/>
      <c r="BC812" s="379"/>
      <c r="BD812" s="379"/>
      <c r="BE812" s="379"/>
      <c r="BF812" s="379"/>
      <c r="BG812" s="379"/>
      <c r="BH812" s="379"/>
      <c r="BI812" s="379"/>
      <c r="BJ812" s="379"/>
      <c r="BK812" s="379"/>
      <c r="BL812" s="379"/>
      <c r="BM812" s="379"/>
      <c r="BN812" s="379"/>
      <c r="BO812" s="379"/>
      <c r="BP812" s="379"/>
      <c r="BQ812" s="379"/>
      <c r="BR812" s="379"/>
      <c r="BS812" s="379"/>
      <c r="BT812" s="379"/>
      <c r="BU812" s="379"/>
      <c r="BV812" s="379"/>
      <c r="BW812" s="379"/>
      <c r="BX812" s="379"/>
      <c r="BY812" s="379"/>
      <c r="BZ812" s="379"/>
      <c r="CA812" s="281"/>
      <c r="CB812" s="3" t="str">
        <f t="shared" si="99"/>
        <v>Riadok bude skrytý.</v>
      </c>
      <c r="CC812" s="271" t="s">
        <v>832</v>
      </c>
      <c r="CW812" s="30">
        <f t="shared" si="104"/>
        <v>0</v>
      </c>
      <c r="CZ812" s="30">
        <f t="shared" si="103"/>
        <v>1</v>
      </c>
      <c r="DA812" s="30">
        <f t="shared" si="101"/>
        <v>0</v>
      </c>
      <c r="DB812" s="140">
        <f t="shared" si="98"/>
        <v>0</v>
      </c>
      <c r="DS812" s="130">
        <f>SI!BY812</f>
        <v>110</v>
      </c>
      <c r="DZ812" s="131">
        <f>SI!BZ812</f>
        <v>0</v>
      </c>
    </row>
    <row r="813" spans="1:130" hidden="1" x14ac:dyDescent="0.25">
      <c r="A813" s="141"/>
      <c r="B813" s="379"/>
      <c r="C813" s="379"/>
      <c r="D813" s="379"/>
      <c r="E813" s="379"/>
      <c r="F813" s="379"/>
      <c r="G813" s="379"/>
      <c r="H813" s="379"/>
      <c r="I813" s="379"/>
      <c r="J813" s="379"/>
      <c r="K813" s="379"/>
      <c r="L813" s="379"/>
      <c r="M813" s="379"/>
      <c r="N813" s="379"/>
      <c r="O813" s="379"/>
      <c r="P813" s="379"/>
      <c r="Q813" s="379"/>
      <c r="R813" s="379"/>
      <c r="S813" s="379"/>
      <c r="T813" s="379"/>
      <c r="U813" s="379"/>
      <c r="V813" s="379"/>
      <c r="W813" s="379"/>
      <c r="X813" s="379"/>
      <c r="Y813" s="379"/>
      <c r="Z813" s="379"/>
      <c r="AA813" s="379"/>
      <c r="AB813" s="379"/>
      <c r="AC813" s="379"/>
      <c r="AD813" s="379"/>
      <c r="AE813" s="379"/>
      <c r="AF813" s="379"/>
      <c r="AG813" s="379"/>
      <c r="AH813" s="379"/>
      <c r="AI813" s="379"/>
      <c r="AJ813" s="379"/>
      <c r="AK813" s="379"/>
      <c r="AL813" s="379"/>
      <c r="AM813" s="379"/>
      <c r="AN813" s="379"/>
      <c r="AO813" s="379"/>
      <c r="AP813" s="379"/>
      <c r="AQ813" s="379"/>
      <c r="AR813" s="379"/>
      <c r="AS813" s="379"/>
      <c r="AT813" s="379"/>
      <c r="AU813" s="379"/>
      <c r="AV813" s="379"/>
      <c r="AW813" s="379"/>
      <c r="AX813" s="379"/>
      <c r="AY813" s="379"/>
      <c r="AZ813" s="379"/>
      <c r="BA813" s="379"/>
      <c r="BB813" s="379"/>
      <c r="BC813" s="379"/>
      <c r="BD813" s="379"/>
      <c r="BE813" s="379"/>
      <c r="BF813" s="379"/>
      <c r="BG813" s="379"/>
      <c r="BH813" s="379"/>
      <c r="BI813" s="379"/>
      <c r="BJ813" s="379"/>
      <c r="BK813" s="379"/>
      <c r="BL813" s="379"/>
      <c r="BM813" s="379"/>
      <c r="BN813" s="379"/>
      <c r="BO813" s="379"/>
      <c r="BP813" s="379"/>
      <c r="BQ813" s="379"/>
      <c r="BR813" s="379"/>
      <c r="BS813" s="379"/>
      <c r="BT813" s="379"/>
      <c r="BU813" s="379"/>
      <c r="BV813" s="379"/>
      <c r="BW813" s="379"/>
      <c r="BX813" s="379"/>
      <c r="BY813" s="379"/>
      <c r="BZ813" s="379"/>
      <c r="CA813" s="281"/>
      <c r="CB813" s="3" t="str">
        <f t="shared" si="99"/>
        <v>Riadok bude skrytý.</v>
      </c>
      <c r="CC813" s="271" t="s">
        <v>832</v>
      </c>
      <c r="CW813" s="30">
        <f t="shared" si="104"/>
        <v>0</v>
      </c>
      <c r="CZ813" s="30">
        <f t="shared" si="103"/>
        <v>1</v>
      </c>
      <c r="DA813" s="30">
        <f t="shared" si="101"/>
        <v>0</v>
      </c>
      <c r="DB813" s="140">
        <f t="shared" si="98"/>
        <v>0</v>
      </c>
      <c r="DS813" s="130">
        <f>SI!BY813</f>
        <v>812</v>
      </c>
      <c r="DZ813" s="131">
        <f>SI!BZ813</f>
        <v>0</v>
      </c>
    </row>
    <row r="814" spans="1:130" hidden="1" x14ac:dyDescent="0.25">
      <c r="A814" s="141"/>
      <c r="B814" s="379"/>
      <c r="C814" s="379"/>
      <c r="D814" s="379"/>
      <c r="E814" s="379"/>
      <c r="F814" s="379"/>
      <c r="G814" s="379"/>
      <c r="H814" s="379"/>
      <c r="I814" s="379"/>
      <c r="J814" s="379"/>
      <c r="K814" s="379"/>
      <c r="L814" s="379"/>
      <c r="M814" s="379"/>
      <c r="N814" s="379"/>
      <c r="O814" s="379"/>
      <c r="P814" s="379"/>
      <c r="Q814" s="379"/>
      <c r="R814" s="379"/>
      <c r="S814" s="379"/>
      <c r="T814" s="379"/>
      <c r="U814" s="379"/>
      <c r="V814" s="379"/>
      <c r="W814" s="379"/>
      <c r="X814" s="379"/>
      <c r="Y814" s="379"/>
      <c r="Z814" s="379"/>
      <c r="AA814" s="379"/>
      <c r="AB814" s="379"/>
      <c r="AC814" s="379"/>
      <c r="AD814" s="379"/>
      <c r="AE814" s="379"/>
      <c r="AF814" s="379"/>
      <c r="AG814" s="379"/>
      <c r="AH814" s="379"/>
      <c r="AI814" s="379"/>
      <c r="AJ814" s="379"/>
      <c r="AK814" s="379"/>
      <c r="AL814" s="379"/>
      <c r="AM814" s="379"/>
      <c r="AN814" s="379"/>
      <c r="AO814" s="379"/>
      <c r="AP814" s="379"/>
      <c r="AQ814" s="379"/>
      <c r="AR814" s="379"/>
      <c r="AS814" s="379"/>
      <c r="AT814" s="379"/>
      <c r="AU814" s="379"/>
      <c r="AV814" s="379"/>
      <c r="AW814" s="379"/>
      <c r="AX814" s="379"/>
      <c r="AY814" s="379"/>
      <c r="AZ814" s="379"/>
      <c r="BA814" s="379"/>
      <c r="BB814" s="379"/>
      <c r="BC814" s="379"/>
      <c r="BD814" s="379"/>
      <c r="BE814" s="379"/>
      <c r="BF814" s="379"/>
      <c r="BG814" s="379"/>
      <c r="BH814" s="379"/>
      <c r="BI814" s="379"/>
      <c r="BJ814" s="379"/>
      <c r="BK814" s="379"/>
      <c r="BL814" s="379"/>
      <c r="BM814" s="379"/>
      <c r="BN814" s="379"/>
      <c r="BO814" s="379"/>
      <c r="BP814" s="379"/>
      <c r="BQ814" s="379"/>
      <c r="BR814" s="379"/>
      <c r="BS814" s="379"/>
      <c r="BT814" s="379"/>
      <c r="BU814" s="379"/>
      <c r="BV814" s="379"/>
      <c r="BW814" s="379"/>
      <c r="BX814" s="379"/>
      <c r="BY814" s="379"/>
      <c r="BZ814" s="379"/>
      <c r="CA814" s="281"/>
      <c r="CB814" s="3" t="str">
        <f t="shared" si="99"/>
        <v>Riadok bude skrytý.</v>
      </c>
      <c r="CC814" s="271" t="s">
        <v>832</v>
      </c>
      <c r="CW814" s="30">
        <f t="shared" si="104"/>
        <v>0</v>
      </c>
      <c r="CZ814" s="30">
        <f t="shared" si="103"/>
        <v>1</v>
      </c>
      <c r="DA814" s="30">
        <f t="shared" si="101"/>
        <v>0</v>
      </c>
      <c r="DB814" s="140">
        <f t="shared" si="98"/>
        <v>0</v>
      </c>
      <c r="DS814" s="130">
        <f>SI!BY814</f>
        <v>207</v>
      </c>
      <c r="DZ814" s="131">
        <f>SI!BZ814</f>
        <v>0</v>
      </c>
    </row>
    <row r="815" spans="1:130" hidden="1" x14ac:dyDescent="0.25">
      <c r="A815" s="141"/>
      <c r="B815" s="379"/>
      <c r="C815" s="379"/>
      <c r="D815" s="379"/>
      <c r="E815" s="379"/>
      <c r="F815" s="379"/>
      <c r="G815" s="379"/>
      <c r="H815" s="379"/>
      <c r="I815" s="379"/>
      <c r="J815" s="379"/>
      <c r="K815" s="379"/>
      <c r="L815" s="379"/>
      <c r="M815" s="379"/>
      <c r="N815" s="379"/>
      <c r="O815" s="379"/>
      <c r="P815" s="379"/>
      <c r="Q815" s="379"/>
      <c r="R815" s="379"/>
      <c r="S815" s="379"/>
      <c r="T815" s="379"/>
      <c r="U815" s="379"/>
      <c r="V815" s="379"/>
      <c r="W815" s="379"/>
      <c r="X815" s="379"/>
      <c r="Y815" s="379"/>
      <c r="Z815" s="379"/>
      <c r="AA815" s="379"/>
      <c r="AB815" s="379"/>
      <c r="AC815" s="379"/>
      <c r="AD815" s="379"/>
      <c r="AE815" s="379"/>
      <c r="AF815" s="379"/>
      <c r="AG815" s="379"/>
      <c r="AH815" s="379"/>
      <c r="AI815" s="379"/>
      <c r="AJ815" s="379"/>
      <c r="AK815" s="379"/>
      <c r="AL815" s="379"/>
      <c r="AM815" s="379"/>
      <c r="AN815" s="379"/>
      <c r="AO815" s="379"/>
      <c r="AP815" s="379"/>
      <c r="AQ815" s="379"/>
      <c r="AR815" s="379"/>
      <c r="AS815" s="379"/>
      <c r="AT815" s="379"/>
      <c r="AU815" s="379"/>
      <c r="AV815" s="379"/>
      <c r="AW815" s="379"/>
      <c r="AX815" s="379"/>
      <c r="AY815" s="379"/>
      <c r="AZ815" s="379"/>
      <c r="BA815" s="379"/>
      <c r="BB815" s="379"/>
      <c r="BC815" s="379"/>
      <c r="BD815" s="379"/>
      <c r="BE815" s="379"/>
      <c r="BF815" s="379"/>
      <c r="BG815" s="379"/>
      <c r="BH815" s="379"/>
      <c r="BI815" s="379"/>
      <c r="BJ815" s="379"/>
      <c r="BK815" s="379"/>
      <c r="BL815" s="379"/>
      <c r="BM815" s="379"/>
      <c r="BN815" s="379"/>
      <c r="BO815" s="379"/>
      <c r="BP815" s="379"/>
      <c r="BQ815" s="379"/>
      <c r="BR815" s="379"/>
      <c r="BS815" s="379"/>
      <c r="BT815" s="379"/>
      <c r="BU815" s="379"/>
      <c r="BV815" s="379"/>
      <c r="BW815" s="379"/>
      <c r="BX815" s="379"/>
      <c r="BY815" s="379"/>
      <c r="BZ815" s="379"/>
      <c r="CA815" s="281"/>
      <c r="CB815" s="3" t="str">
        <f t="shared" si="99"/>
        <v>Riadok bude skrytý.</v>
      </c>
      <c r="CC815" s="271" t="s">
        <v>832</v>
      </c>
      <c r="CW815" s="30">
        <f t="shared" si="104"/>
        <v>0</v>
      </c>
      <c r="CZ815" s="30">
        <f t="shared" si="103"/>
        <v>1</v>
      </c>
      <c r="DA815" s="30">
        <f t="shared" si="101"/>
        <v>0</v>
      </c>
      <c r="DB815" s="140">
        <f t="shared" si="98"/>
        <v>0</v>
      </c>
      <c r="DS815" s="130">
        <f>SI!BY815</f>
        <v>127</v>
      </c>
      <c r="DZ815" s="131">
        <f>SI!BZ815</f>
        <v>0</v>
      </c>
    </row>
    <row r="816" spans="1:130" hidden="1" x14ac:dyDescent="0.25">
      <c r="A816" s="141"/>
      <c r="B816" s="379"/>
      <c r="C816" s="379"/>
      <c r="D816" s="379"/>
      <c r="E816" s="379"/>
      <c r="F816" s="379"/>
      <c r="G816" s="379"/>
      <c r="H816" s="379"/>
      <c r="I816" s="379"/>
      <c r="J816" s="379"/>
      <c r="K816" s="379"/>
      <c r="L816" s="379"/>
      <c r="M816" s="379"/>
      <c r="N816" s="379"/>
      <c r="O816" s="379"/>
      <c r="P816" s="379"/>
      <c r="Q816" s="379"/>
      <c r="R816" s="379"/>
      <c r="S816" s="379"/>
      <c r="T816" s="379"/>
      <c r="U816" s="379"/>
      <c r="V816" s="379"/>
      <c r="W816" s="379"/>
      <c r="X816" s="379"/>
      <c r="Y816" s="379"/>
      <c r="Z816" s="379"/>
      <c r="AA816" s="379"/>
      <c r="AB816" s="379"/>
      <c r="AC816" s="379"/>
      <c r="AD816" s="379"/>
      <c r="AE816" s="379"/>
      <c r="AF816" s="379"/>
      <c r="AG816" s="379"/>
      <c r="AH816" s="379"/>
      <c r="AI816" s="379"/>
      <c r="AJ816" s="379"/>
      <c r="AK816" s="379"/>
      <c r="AL816" s="379"/>
      <c r="AM816" s="379"/>
      <c r="AN816" s="379"/>
      <c r="AO816" s="379"/>
      <c r="AP816" s="379"/>
      <c r="AQ816" s="379"/>
      <c r="AR816" s="379"/>
      <c r="AS816" s="379"/>
      <c r="AT816" s="379"/>
      <c r="AU816" s="379"/>
      <c r="AV816" s="379"/>
      <c r="AW816" s="379"/>
      <c r="AX816" s="379"/>
      <c r="AY816" s="379"/>
      <c r="AZ816" s="379"/>
      <c r="BA816" s="379"/>
      <c r="BB816" s="379"/>
      <c r="BC816" s="379"/>
      <c r="BD816" s="379"/>
      <c r="BE816" s="379"/>
      <c r="BF816" s="379"/>
      <c r="BG816" s="379"/>
      <c r="BH816" s="379"/>
      <c r="BI816" s="379"/>
      <c r="BJ816" s="379"/>
      <c r="BK816" s="379"/>
      <c r="BL816" s="379"/>
      <c r="BM816" s="379"/>
      <c r="BN816" s="379"/>
      <c r="BO816" s="379"/>
      <c r="BP816" s="379"/>
      <c r="BQ816" s="379"/>
      <c r="BR816" s="379"/>
      <c r="BS816" s="379"/>
      <c r="BT816" s="379"/>
      <c r="BU816" s="379"/>
      <c r="BV816" s="379"/>
      <c r="BW816" s="379"/>
      <c r="BX816" s="379"/>
      <c r="BY816" s="379"/>
      <c r="BZ816" s="379"/>
      <c r="CA816" s="281"/>
      <c r="CB816" s="3" t="str">
        <f t="shared" si="99"/>
        <v>Riadok bude skrytý.</v>
      </c>
      <c r="CC816" s="271" t="s">
        <v>832</v>
      </c>
      <c r="CW816" s="30">
        <f t="shared" si="104"/>
        <v>0</v>
      </c>
      <c r="CZ816" s="30">
        <f t="shared" si="103"/>
        <v>1</v>
      </c>
      <c r="DA816" s="30">
        <f t="shared" si="101"/>
        <v>0</v>
      </c>
      <c r="DB816" s="140">
        <f t="shared" ref="DB816:DB879" si="105">+DA816</f>
        <v>0</v>
      </c>
      <c r="DS816" s="130">
        <f>SI!BY816</f>
        <v>188</v>
      </c>
      <c r="DZ816" s="131">
        <f>SI!BZ816</f>
        <v>0</v>
      </c>
    </row>
    <row r="817" spans="1:130" hidden="1" x14ac:dyDescent="0.25">
      <c r="A817" s="141"/>
      <c r="B817" s="379"/>
      <c r="C817" s="379"/>
      <c r="D817" s="379"/>
      <c r="E817" s="379"/>
      <c r="F817" s="379"/>
      <c r="G817" s="379"/>
      <c r="H817" s="379"/>
      <c r="I817" s="379"/>
      <c r="J817" s="379"/>
      <c r="K817" s="379"/>
      <c r="L817" s="379"/>
      <c r="M817" s="379"/>
      <c r="N817" s="379"/>
      <c r="O817" s="379"/>
      <c r="P817" s="379"/>
      <c r="Q817" s="379"/>
      <c r="R817" s="379"/>
      <c r="S817" s="379"/>
      <c r="T817" s="379"/>
      <c r="U817" s="379"/>
      <c r="V817" s="379"/>
      <c r="W817" s="379"/>
      <c r="X817" s="379"/>
      <c r="Y817" s="379"/>
      <c r="Z817" s="379"/>
      <c r="AA817" s="379"/>
      <c r="AB817" s="379"/>
      <c r="AC817" s="379"/>
      <c r="AD817" s="379"/>
      <c r="AE817" s="379"/>
      <c r="AF817" s="379"/>
      <c r="AG817" s="379"/>
      <c r="AH817" s="379"/>
      <c r="AI817" s="379"/>
      <c r="AJ817" s="379"/>
      <c r="AK817" s="379"/>
      <c r="AL817" s="379"/>
      <c r="AM817" s="379"/>
      <c r="AN817" s="379"/>
      <c r="AO817" s="379"/>
      <c r="AP817" s="379"/>
      <c r="AQ817" s="379"/>
      <c r="AR817" s="379"/>
      <c r="AS817" s="379"/>
      <c r="AT817" s="379"/>
      <c r="AU817" s="379"/>
      <c r="AV817" s="379"/>
      <c r="AW817" s="379"/>
      <c r="AX817" s="379"/>
      <c r="AY817" s="379"/>
      <c r="AZ817" s="379"/>
      <c r="BA817" s="379"/>
      <c r="BB817" s="379"/>
      <c r="BC817" s="379"/>
      <c r="BD817" s="379"/>
      <c r="BE817" s="379"/>
      <c r="BF817" s="379"/>
      <c r="BG817" s="379"/>
      <c r="BH817" s="379"/>
      <c r="BI817" s="379"/>
      <c r="BJ817" s="379"/>
      <c r="BK817" s="379"/>
      <c r="BL817" s="379"/>
      <c r="BM817" s="379"/>
      <c r="BN817" s="379"/>
      <c r="BO817" s="379"/>
      <c r="BP817" s="379"/>
      <c r="BQ817" s="379"/>
      <c r="BR817" s="379"/>
      <c r="BS817" s="379"/>
      <c r="BT817" s="379"/>
      <c r="BU817" s="379"/>
      <c r="BV817" s="379"/>
      <c r="BW817" s="379"/>
      <c r="BX817" s="379"/>
      <c r="BY817" s="379"/>
      <c r="BZ817" s="379"/>
      <c r="CA817" s="281"/>
      <c r="CB817" s="3" t="str">
        <f t="shared" si="99"/>
        <v>Riadok bude skrytý.</v>
      </c>
      <c r="CC817" s="271" t="s">
        <v>832</v>
      </c>
      <c r="CW817" s="30">
        <f t="shared" si="104"/>
        <v>0</v>
      </c>
      <c r="CZ817" s="30">
        <f t="shared" si="103"/>
        <v>1</v>
      </c>
      <c r="DA817" s="30">
        <f t="shared" si="101"/>
        <v>0</v>
      </c>
      <c r="DB817" s="140">
        <f t="shared" si="105"/>
        <v>0</v>
      </c>
      <c r="DS817" s="130">
        <f>SI!BY817</f>
        <v>171</v>
      </c>
      <c r="DZ817" s="131">
        <f>SI!BZ817</f>
        <v>0</v>
      </c>
    </row>
    <row r="818" spans="1:130" hidden="1" x14ac:dyDescent="0.25">
      <c r="A818" s="141"/>
      <c r="B818" s="379"/>
      <c r="C818" s="379"/>
      <c r="D818" s="379"/>
      <c r="E818" s="379"/>
      <c r="F818" s="379"/>
      <c r="G818" s="379"/>
      <c r="H818" s="379"/>
      <c r="I818" s="379"/>
      <c r="J818" s="379"/>
      <c r="K818" s="379"/>
      <c r="L818" s="379"/>
      <c r="M818" s="379"/>
      <c r="N818" s="379"/>
      <c r="O818" s="379"/>
      <c r="P818" s="379"/>
      <c r="Q818" s="379"/>
      <c r="R818" s="379"/>
      <c r="S818" s="379"/>
      <c r="T818" s="379"/>
      <c r="U818" s="379"/>
      <c r="V818" s="379"/>
      <c r="W818" s="379"/>
      <c r="X818" s="379"/>
      <c r="Y818" s="379"/>
      <c r="Z818" s="379"/>
      <c r="AA818" s="379"/>
      <c r="AB818" s="379"/>
      <c r="AC818" s="379"/>
      <c r="AD818" s="379"/>
      <c r="AE818" s="379"/>
      <c r="AF818" s="379"/>
      <c r="AG818" s="379"/>
      <c r="AH818" s="379"/>
      <c r="AI818" s="379"/>
      <c r="AJ818" s="379"/>
      <c r="AK818" s="379"/>
      <c r="AL818" s="379"/>
      <c r="AM818" s="379"/>
      <c r="AN818" s="379"/>
      <c r="AO818" s="379"/>
      <c r="AP818" s="379"/>
      <c r="AQ818" s="379"/>
      <c r="AR818" s="379"/>
      <c r="AS818" s="379"/>
      <c r="AT818" s="379"/>
      <c r="AU818" s="379"/>
      <c r="AV818" s="379"/>
      <c r="AW818" s="379"/>
      <c r="AX818" s="379"/>
      <c r="AY818" s="379"/>
      <c r="AZ818" s="379"/>
      <c r="BA818" s="379"/>
      <c r="BB818" s="379"/>
      <c r="BC818" s="379"/>
      <c r="BD818" s="379"/>
      <c r="BE818" s="379"/>
      <c r="BF818" s="379"/>
      <c r="BG818" s="379"/>
      <c r="BH818" s="379"/>
      <c r="BI818" s="379"/>
      <c r="BJ818" s="379"/>
      <c r="BK818" s="379"/>
      <c r="BL818" s="379"/>
      <c r="BM818" s="379"/>
      <c r="BN818" s="379"/>
      <c r="BO818" s="379"/>
      <c r="BP818" s="379"/>
      <c r="BQ818" s="379"/>
      <c r="BR818" s="379"/>
      <c r="BS818" s="379"/>
      <c r="BT818" s="379"/>
      <c r="BU818" s="379"/>
      <c r="BV818" s="379"/>
      <c r="BW818" s="379"/>
      <c r="BX818" s="379"/>
      <c r="BY818" s="379"/>
      <c r="BZ818" s="379"/>
      <c r="CA818" s="281"/>
      <c r="CB818" s="3" t="str">
        <f t="shared" si="99"/>
        <v>Riadok bude skrytý.</v>
      </c>
      <c r="CC818" s="271" t="s">
        <v>832</v>
      </c>
      <c r="CW818" s="30">
        <f t="shared" si="104"/>
        <v>0</v>
      </c>
      <c r="CZ818" s="30">
        <f t="shared" si="103"/>
        <v>1</v>
      </c>
      <c r="DA818" s="30">
        <f t="shared" si="101"/>
        <v>0</v>
      </c>
      <c r="DB818" s="140">
        <f t="shared" si="105"/>
        <v>0</v>
      </c>
      <c r="DS818" s="130">
        <f>SI!BY818</f>
        <v>118</v>
      </c>
      <c r="DZ818" s="131">
        <f>SI!BZ818</f>
        <v>0</v>
      </c>
    </row>
    <row r="819" spans="1:130" hidden="1" x14ac:dyDescent="0.25">
      <c r="A819" s="141"/>
      <c r="B819" s="379"/>
      <c r="C819" s="379"/>
      <c r="D819" s="379"/>
      <c r="E819" s="379"/>
      <c r="F819" s="379"/>
      <c r="G819" s="379"/>
      <c r="H819" s="379"/>
      <c r="I819" s="379"/>
      <c r="J819" s="379"/>
      <c r="K819" s="379"/>
      <c r="L819" s="379"/>
      <c r="M819" s="379"/>
      <c r="N819" s="379"/>
      <c r="O819" s="379"/>
      <c r="P819" s="379"/>
      <c r="Q819" s="379"/>
      <c r="R819" s="379"/>
      <c r="S819" s="379"/>
      <c r="T819" s="379"/>
      <c r="U819" s="379"/>
      <c r="V819" s="379"/>
      <c r="W819" s="379"/>
      <c r="X819" s="379"/>
      <c r="Y819" s="379"/>
      <c r="Z819" s="379"/>
      <c r="AA819" s="379"/>
      <c r="AB819" s="379"/>
      <c r="AC819" s="379"/>
      <c r="AD819" s="379"/>
      <c r="AE819" s="379"/>
      <c r="AF819" s="379"/>
      <c r="AG819" s="379"/>
      <c r="AH819" s="379"/>
      <c r="AI819" s="379"/>
      <c r="AJ819" s="379"/>
      <c r="AK819" s="379"/>
      <c r="AL819" s="379"/>
      <c r="AM819" s="379"/>
      <c r="AN819" s="379"/>
      <c r="AO819" s="379"/>
      <c r="AP819" s="379"/>
      <c r="AQ819" s="379"/>
      <c r="AR819" s="379"/>
      <c r="AS819" s="379"/>
      <c r="AT819" s="379"/>
      <c r="AU819" s="379"/>
      <c r="AV819" s="379"/>
      <c r="AW819" s="379"/>
      <c r="AX819" s="379"/>
      <c r="AY819" s="379"/>
      <c r="AZ819" s="379"/>
      <c r="BA819" s="379"/>
      <c r="BB819" s="379"/>
      <c r="BC819" s="379"/>
      <c r="BD819" s="379"/>
      <c r="BE819" s="379"/>
      <c r="BF819" s="379"/>
      <c r="BG819" s="379"/>
      <c r="BH819" s="379"/>
      <c r="BI819" s="379"/>
      <c r="BJ819" s="379"/>
      <c r="BK819" s="379"/>
      <c r="BL819" s="379"/>
      <c r="BM819" s="379"/>
      <c r="BN819" s="379"/>
      <c r="BO819" s="379"/>
      <c r="BP819" s="379"/>
      <c r="BQ819" s="379"/>
      <c r="BR819" s="379"/>
      <c r="BS819" s="379"/>
      <c r="BT819" s="379"/>
      <c r="BU819" s="379"/>
      <c r="BV819" s="379"/>
      <c r="BW819" s="379"/>
      <c r="BX819" s="379"/>
      <c r="BY819" s="379"/>
      <c r="BZ819" s="379"/>
      <c r="CA819" s="281"/>
      <c r="CB819" s="3" t="str">
        <f t="shared" ref="CB819:CB882" si="106">+IF(DB819=0,"Riadok bude skrytý.","Riadok bude vidieť.")</f>
        <v>Riadok bude skrytý.</v>
      </c>
      <c r="CC819" s="271" t="s">
        <v>832</v>
      </c>
      <c r="CW819" s="30">
        <f t="shared" si="104"/>
        <v>0</v>
      </c>
      <c r="CZ819" s="30">
        <f t="shared" si="103"/>
        <v>1</v>
      </c>
      <c r="DA819" s="30">
        <f t="shared" si="101"/>
        <v>0</v>
      </c>
      <c r="DB819" s="140">
        <f t="shared" si="105"/>
        <v>0</v>
      </c>
      <c r="DS819" s="130">
        <f>SI!BY819</f>
        <v>231</v>
      </c>
      <c r="DZ819" s="131">
        <f>SI!BZ819</f>
        <v>0</v>
      </c>
    </row>
    <row r="820" spans="1:130" hidden="1" x14ac:dyDescent="0.25">
      <c r="A820" s="141"/>
      <c r="B820" s="379"/>
      <c r="C820" s="379"/>
      <c r="D820" s="379"/>
      <c r="E820" s="379"/>
      <c r="F820" s="379"/>
      <c r="G820" s="379"/>
      <c r="H820" s="379"/>
      <c r="I820" s="379"/>
      <c r="J820" s="379"/>
      <c r="K820" s="379"/>
      <c r="L820" s="379"/>
      <c r="M820" s="379"/>
      <c r="N820" s="379"/>
      <c r="O820" s="379"/>
      <c r="P820" s="379"/>
      <c r="Q820" s="379"/>
      <c r="R820" s="379"/>
      <c r="S820" s="379"/>
      <c r="T820" s="379"/>
      <c r="U820" s="379"/>
      <c r="V820" s="379"/>
      <c r="W820" s="379"/>
      <c r="X820" s="379"/>
      <c r="Y820" s="379"/>
      <c r="Z820" s="379"/>
      <c r="AA820" s="379"/>
      <c r="AB820" s="379"/>
      <c r="AC820" s="379"/>
      <c r="AD820" s="379"/>
      <c r="AE820" s="379"/>
      <c r="AF820" s="379"/>
      <c r="AG820" s="379"/>
      <c r="AH820" s="379"/>
      <c r="AI820" s="379"/>
      <c r="AJ820" s="379"/>
      <c r="AK820" s="379"/>
      <c r="AL820" s="379"/>
      <c r="AM820" s="379"/>
      <c r="AN820" s="379"/>
      <c r="AO820" s="379"/>
      <c r="AP820" s="379"/>
      <c r="AQ820" s="379"/>
      <c r="AR820" s="379"/>
      <c r="AS820" s="379"/>
      <c r="AT820" s="379"/>
      <c r="AU820" s="379"/>
      <c r="AV820" s="379"/>
      <c r="AW820" s="379"/>
      <c r="AX820" s="379"/>
      <c r="AY820" s="379"/>
      <c r="AZ820" s="379"/>
      <c r="BA820" s="379"/>
      <c r="BB820" s="379"/>
      <c r="BC820" s="379"/>
      <c r="BD820" s="379"/>
      <c r="BE820" s="379"/>
      <c r="BF820" s="379"/>
      <c r="BG820" s="379"/>
      <c r="BH820" s="379"/>
      <c r="BI820" s="379"/>
      <c r="BJ820" s="379"/>
      <c r="BK820" s="379"/>
      <c r="BL820" s="379"/>
      <c r="BM820" s="379"/>
      <c r="BN820" s="379"/>
      <c r="BO820" s="379"/>
      <c r="BP820" s="379"/>
      <c r="BQ820" s="379"/>
      <c r="BR820" s="379"/>
      <c r="BS820" s="379"/>
      <c r="BT820" s="379"/>
      <c r="BU820" s="379"/>
      <c r="BV820" s="379"/>
      <c r="BW820" s="379"/>
      <c r="BX820" s="379"/>
      <c r="BY820" s="379"/>
      <c r="BZ820" s="379"/>
      <c r="CA820" s="281"/>
      <c r="CB820" s="3" t="str">
        <f t="shared" si="106"/>
        <v>Riadok bude skrytý.</v>
      </c>
      <c r="CC820" s="271" t="s">
        <v>832</v>
      </c>
      <c r="CW820" s="30">
        <f t="shared" si="104"/>
        <v>0</v>
      </c>
      <c r="CZ820" s="30">
        <f t="shared" si="103"/>
        <v>1</v>
      </c>
      <c r="DA820" s="30">
        <f t="shared" si="101"/>
        <v>0</v>
      </c>
      <c r="DB820" s="140">
        <f t="shared" si="105"/>
        <v>0</v>
      </c>
      <c r="DS820" s="130">
        <f>SI!BY820</f>
        <v>182</v>
      </c>
      <c r="DZ820" s="131">
        <f>SI!BZ820</f>
        <v>0</v>
      </c>
    </row>
    <row r="821" spans="1:130" hidden="1" x14ac:dyDescent="0.25">
      <c r="A821" s="141"/>
      <c r="B821" s="379"/>
      <c r="C821" s="379"/>
      <c r="D821" s="379"/>
      <c r="E821" s="379"/>
      <c r="F821" s="379"/>
      <c r="G821" s="379"/>
      <c r="H821" s="379"/>
      <c r="I821" s="379"/>
      <c r="J821" s="379"/>
      <c r="K821" s="379"/>
      <c r="L821" s="379"/>
      <c r="M821" s="379"/>
      <c r="N821" s="379"/>
      <c r="O821" s="379"/>
      <c r="P821" s="379"/>
      <c r="Q821" s="379"/>
      <c r="R821" s="379"/>
      <c r="S821" s="379"/>
      <c r="T821" s="379"/>
      <c r="U821" s="379"/>
      <c r="V821" s="379"/>
      <c r="W821" s="379"/>
      <c r="X821" s="379"/>
      <c r="Y821" s="379"/>
      <c r="Z821" s="379"/>
      <c r="AA821" s="379"/>
      <c r="AB821" s="379"/>
      <c r="AC821" s="379"/>
      <c r="AD821" s="379"/>
      <c r="AE821" s="379"/>
      <c r="AF821" s="379"/>
      <c r="AG821" s="379"/>
      <c r="AH821" s="379"/>
      <c r="AI821" s="379"/>
      <c r="AJ821" s="379"/>
      <c r="AK821" s="379"/>
      <c r="AL821" s="379"/>
      <c r="AM821" s="379"/>
      <c r="AN821" s="379"/>
      <c r="AO821" s="379"/>
      <c r="AP821" s="379"/>
      <c r="AQ821" s="379"/>
      <c r="AR821" s="379"/>
      <c r="AS821" s="379"/>
      <c r="AT821" s="379"/>
      <c r="AU821" s="379"/>
      <c r="AV821" s="379"/>
      <c r="AW821" s="379"/>
      <c r="AX821" s="379"/>
      <c r="AY821" s="379"/>
      <c r="AZ821" s="379"/>
      <c r="BA821" s="379"/>
      <c r="BB821" s="379"/>
      <c r="BC821" s="379"/>
      <c r="BD821" s="379"/>
      <c r="BE821" s="379"/>
      <c r="BF821" s="379"/>
      <c r="BG821" s="379"/>
      <c r="BH821" s="379"/>
      <c r="BI821" s="379"/>
      <c r="BJ821" s="379"/>
      <c r="BK821" s="379"/>
      <c r="BL821" s="379"/>
      <c r="BM821" s="379"/>
      <c r="BN821" s="379"/>
      <c r="BO821" s="379"/>
      <c r="BP821" s="379"/>
      <c r="BQ821" s="379"/>
      <c r="BR821" s="379"/>
      <c r="BS821" s="379"/>
      <c r="BT821" s="379"/>
      <c r="BU821" s="379"/>
      <c r="BV821" s="379"/>
      <c r="BW821" s="379"/>
      <c r="BX821" s="379"/>
      <c r="BY821" s="379"/>
      <c r="BZ821" s="379"/>
      <c r="CA821" s="281"/>
      <c r="CB821" s="3" t="str">
        <f t="shared" si="106"/>
        <v>Riadok bude skrytý.</v>
      </c>
      <c r="CC821" s="271" t="s">
        <v>832</v>
      </c>
      <c r="CW821" s="30">
        <f t="shared" si="104"/>
        <v>0</v>
      </c>
      <c r="CZ821" s="30">
        <f t="shared" si="103"/>
        <v>1</v>
      </c>
      <c r="DA821" s="30">
        <f t="shared" si="101"/>
        <v>0</v>
      </c>
      <c r="DB821" s="140">
        <f t="shared" si="105"/>
        <v>0</v>
      </c>
      <c r="DS821" s="130">
        <f>SI!BY821</f>
        <v>436</v>
      </c>
      <c r="DZ821" s="131">
        <f>SI!BZ821</f>
        <v>0</v>
      </c>
    </row>
    <row r="822" spans="1:130" hidden="1" x14ac:dyDescent="0.25">
      <c r="A822" s="141"/>
      <c r="B822" s="379"/>
      <c r="C822" s="379"/>
      <c r="D822" s="379"/>
      <c r="E822" s="379"/>
      <c r="F822" s="379"/>
      <c r="G822" s="379"/>
      <c r="H822" s="379"/>
      <c r="I822" s="379"/>
      <c r="J822" s="379"/>
      <c r="K822" s="379"/>
      <c r="L822" s="379"/>
      <c r="M822" s="379"/>
      <c r="N822" s="379"/>
      <c r="O822" s="379"/>
      <c r="P822" s="379"/>
      <c r="Q822" s="379"/>
      <c r="R822" s="379"/>
      <c r="S822" s="379"/>
      <c r="T822" s="379"/>
      <c r="U822" s="379"/>
      <c r="V822" s="379"/>
      <c r="W822" s="379"/>
      <c r="X822" s="379"/>
      <c r="Y822" s="379"/>
      <c r="Z822" s="379"/>
      <c r="AA822" s="379"/>
      <c r="AB822" s="379"/>
      <c r="AC822" s="379"/>
      <c r="AD822" s="379"/>
      <c r="AE822" s="379"/>
      <c r="AF822" s="379"/>
      <c r="AG822" s="379"/>
      <c r="AH822" s="379"/>
      <c r="AI822" s="379"/>
      <c r="AJ822" s="379"/>
      <c r="AK822" s="379"/>
      <c r="AL822" s="379"/>
      <c r="AM822" s="379"/>
      <c r="AN822" s="379"/>
      <c r="AO822" s="379"/>
      <c r="AP822" s="379"/>
      <c r="AQ822" s="379"/>
      <c r="AR822" s="379"/>
      <c r="AS822" s="379"/>
      <c r="AT822" s="379"/>
      <c r="AU822" s="379"/>
      <c r="AV822" s="379"/>
      <c r="AW822" s="379"/>
      <c r="AX822" s="379"/>
      <c r="AY822" s="379"/>
      <c r="AZ822" s="379"/>
      <c r="BA822" s="379"/>
      <c r="BB822" s="379"/>
      <c r="BC822" s="379"/>
      <c r="BD822" s="379"/>
      <c r="BE822" s="379"/>
      <c r="BF822" s="379"/>
      <c r="BG822" s="379"/>
      <c r="BH822" s="379"/>
      <c r="BI822" s="379"/>
      <c r="BJ822" s="379"/>
      <c r="BK822" s="379"/>
      <c r="BL822" s="379"/>
      <c r="BM822" s="379"/>
      <c r="BN822" s="379"/>
      <c r="BO822" s="379"/>
      <c r="BP822" s="379"/>
      <c r="BQ822" s="379"/>
      <c r="BR822" s="379"/>
      <c r="BS822" s="379"/>
      <c r="BT822" s="379"/>
      <c r="BU822" s="379"/>
      <c r="BV822" s="379"/>
      <c r="BW822" s="379"/>
      <c r="BX822" s="379"/>
      <c r="BY822" s="379"/>
      <c r="BZ822" s="379"/>
      <c r="CA822" s="281"/>
      <c r="CB822" s="3" t="str">
        <f t="shared" si="106"/>
        <v>Riadok bude skrytý.</v>
      </c>
      <c r="CC822" s="271" t="s">
        <v>832</v>
      </c>
      <c r="CW822" s="30">
        <f t="shared" si="104"/>
        <v>0</v>
      </c>
      <c r="CZ822" s="30">
        <f t="shared" si="103"/>
        <v>1</v>
      </c>
      <c r="DA822" s="30">
        <f t="shared" si="101"/>
        <v>0</v>
      </c>
      <c r="DB822" s="140">
        <f t="shared" si="105"/>
        <v>0</v>
      </c>
      <c r="DS822" s="130">
        <f>SI!BY822</f>
        <v>179</v>
      </c>
      <c r="DZ822" s="131">
        <f>SI!BZ822</f>
        <v>0</v>
      </c>
    </row>
    <row r="823" spans="1:130" hidden="1" x14ac:dyDescent="0.25">
      <c r="A823" s="141"/>
      <c r="B823" s="379"/>
      <c r="C823" s="379"/>
      <c r="D823" s="379"/>
      <c r="E823" s="379"/>
      <c r="F823" s="379"/>
      <c r="G823" s="379"/>
      <c r="H823" s="379"/>
      <c r="I823" s="379"/>
      <c r="J823" s="379"/>
      <c r="K823" s="379"/>
      <c r="L823" s="379"/>
      <c r="M823" s="379"/>
      <c r="N823" s="379"/>
      <c r="O823" s="379"/>
      <c r="P823" s="379"/>
      <c r="Q823" s="379"/>
      <c r="R823" s="379"/>
      <c r="S823" s="379"/>
      <c r="T823" s="379"/>
      <c r="U823" s="379"/>
      <c r="V823" s="379"/>
      <c r="W823" s="379"/>
      <c r="X823" s="379"/>
      <c r="Y823" s="379"/>
      <c r="Z823" s="379"/>
      <c r="AA823" s="379"/>
      <c r="AB823" s="379"/>
      <c r="AC823" s="379"/>
      <c r="AD823" s="379"/>
      <c r="AE823" s="379"/>
      <c r="AF823" s="379"/>
      <c r="AG823" s="379"/>
      <c r="AH823" s="379"/>
      <c r="AI823" s="379"/>
      <c r="AJ823" s="379"/>
      <c r="AK823" s="379"/>
      <c r="AL823" s="379"/>
      <c r="AM823" s="379"/>
      <c r="AN823" s="379"/>
      <c r="AO823" s="379"/>
      <c r="AP823" s="379"/>
      <c r="AQ823" s="379"/>
      <c r="AR823" s="379"/>
      <c r="AS823" s="379"/>
      <c r="AT823" s="379"/>
      <c r="AU823" s="379"/>
      <c r="AV823" s="379"/>
      <c r="AW823" s="379"/>
      <c r="AX823" s="379"/>
      <c r="AY823" s="379"/>
      <c r="AZ823" s="379"/>
      <c r="BA823" s="379"/>
      <c r="BB823" s="379"/>
      <c r="BC823" s="379"/>
      <c r="BD823" s="379"/>
      <c r="BE823" s="379"/>
      <c r="BF823" s="379"/>
      <c r="BG823" s="379"/>
      <c r="BH823" s="379"/>
      <c r="BI823" s="379"/>
      <c r="BJ823" s="379"/>
      <c r="BK823" s="379"/>
      <c r="BL823" s="379"/>
      <c r="BM823" s="379"/>
      <c r="BN823" s="379"/>
      <c r="BO823" s="379"/>
      <c r="BP823" s="379"/>
      <c r="BQ823" s="379"/>
      <c r="BR823" s="379"/>
      <c r="BS823" s="379"/>
      <c r="BT823" s="379"/>
      <c r="BU823" s="379"/>
      <c r="BV823" s="379"/>
      <c r="BW823" s="379"/>
      <c r="BX823" s="379"/>
      <c r="BY823" s="379"/>
      <c r="BZ823" s="379"/>
      <c r="CA823" s="281"/>
      <c r="CB823" s="3" t="str">
        <f t="shared" si="106"/>
        <v>Riadok bude skrytý.</v>
      </c>
      <c r="CC823" s="271" t="s">
        <v>832</v>
      </c>
      <c r="CW823" s="30">
        <f t="shared" si="104"/>
        <v>0</v>
      </c>
      <c r="CZ823" s="30">
        <f t="shared" si="103"/>
        <v>1</v>
      </c>
      <c r="DA823" s="30">
        <f t="shared" si="101"/>
        <v>0</v>
      </c>
      <c r="DB823" s="140">
        <f t="shared" si="105"/>
        <v>0</v>
      </c>
      <c r="DS823" s="130">
        <f>SI!BY823</f>
        <v>182</v>
      </c>
      <c r="DZ823" s="131">
        <f>SI!BZ823</f>
        <v>0</v>
      </c>
    </row>
    <row r="824" spans="1:130" hidden="1" x14ac:dyDescent="0.25">
      <c r="A824" s="141"/>
      <c r="B824" s="379"/>
      <c r="C824" s="379"/>
      <c r="D824" s="379"/>
      <c r="E824" s="379"/>
      <c r="F824" s="379"/>
      <c r="G824" s="379"/>
      <c r="H824" s="379"/>
      <c r="I824" s="379"/>
      <c r="J824" s="379"/>
      <c r="K824" s="379"/>
      <c r="L824" s="379"/>
      <c r="M824" s="379"/>
      <c r="N824" s="379"/>
      <c r="O824" s="379"/>
      <c r="P824" s="379"/>
      <c r="Q824" s="379"/>
      <c r="R824" s="379"/>
      <c r="S824" s="379"/>
      <c r="T824" s="379"/>
      <c r="U824" s="379"/>
      <c r="V824" s="379"/>
      <c r="W824" s="379"/>
      <c r="X824" s="379"/>
      <c r="Y824" s="379"/>
      <c r="Z824" s="379"/>
      <c r="AA824" s="379"/>
      <c r="AB824" s="379"/>
      <c r="AC824" s="379"/>
      <c r="AD824" s="379"/>
      <c r="AE824" s="379"/>
      <c r="AF824" s="379"/>
      <c r="AG824" s="379"/>
      <c r="AH824" s="379"/>
      <c r="AI824" s="379"/>
      <c r="AJ824" s="379"/>
      <c r="AK824" s="379"/>
      <c r="AL824" s="379"/>
      <c r="AM824" s="379"/>
      <c r="AN824" s="379"/>
      <c r="AO824" s="379"/>
      <c r="AP824" s="379"/>
      <c r="AQ824" s="379"/>
      <c r="AR824" s="379"/>
      <c r="AS824" s="379"/>
      <c r="AT824" s="379"/>
      <c r="AU824" s="379"/>
      <c r="AV824" s="379"/>
      <c r="AW824" s="379"/>
      <c r="AX824" s="379"/>
      <c r="AY824" s="379"/>
      <c r="AZ824" s="379"/>
      <c r="BA824" s="379"/>
      <c r="BB824" s="379"/>
      <c r="BC824" s="379"/>
      <c r="BD824" s="379"/>
      <c r="BE824" s="379"/>
      <c r="BF824" s="379"/>
      <c r="BG824" s="379"/>
      <c r="BH824" s="379"/>
      <c r="BI824" s="379"/>
      <c r="BJ824" s="379"/>
      <c r="BK824" s="379"/>
      <c r="BL824" s="379"/>
      <c r="BM824" s="379"/>
      <c r="BN824" s="379"/>
      <c r="BO824" s="379"/>
      <c r="BP824" s="379"/>
      <c r="BQ824" s="379"/>
      <c r="BR824" s="379"/>
      <c r="BS824" s="379"/>
      <c r="BT824" s="379"/>
      <c r="BU824" s="379"/>
      <c r="BV824" s="379"/>
      <c r="BW824" s="379"/>
      <c r="BX824" s="379"/>
      <c r="BY824" s="379"/>
      <c r="BZ824" s="379"/>
      <c r="CA824" s="281"/>
      <c r="CB824" s="3" t="str">
        <f t="shared" si="106"/>
        <v>Riadok bude skrytý.</v>
      </c>
      <c r="CC824" s="271" t="s">
        <v>832</v>
      </c>
      <c r="CW824" s="30">
        <f t="shared" si="104"/>
        <v>0</v>
      </c>
      <c r="CZ824" s="30">
        <f t="shared" si="103"/>
        <v>1</v>
      </c>
      <c r="DA824" s="30">
        <f t="shared" si="101"/>
        <v>0</v>
      </c>
      <c r="DB824" s="140">
        <f t="shared" si="105"/>
        <v>0</v>
      </c>
      <c r="DS824" s="130">
        <f>SI!BY824</f>
        <v>184</v>
      </c>
      <c r="DZ824" s="131">
        <f>SI!BZ824</f>
        <v>0</v>
      </c>
    </row>
    <row r="825" spans="1:130" hidden="1" x14ac:dyDescent="0.25">
      <c r="A825" s="141"/>
      <c r="CA825" s="270"/>
      <c r="CB825" s="3" t="str">
        <f t="shared" si="106"/>
        <v>Riadok bude skrytý.</v>
      </c>
      <c r="CC825" s="271" t="s">
        <v>832</v>
      </c>
      <c r="CW825" s="32">
        <f>+IF(SUM(CW827:CW846)=0,0,1)</f>
        <v>0</v>
      </c>
      <c r="CZ825" s="30">
        <f t="shared" si="103"/>
        <v>1</v>
      </c>
      <c r="DA825" s="30">
        <f t="shared" si="101"/>
        <v>0</v>
      </c>
      <c r="DB825" s="140">
        <f t="shared" si="105"/>
        <v>0</v>
      </c>
      <c r="DS825" s="130">
        <f>SI!BY825</f>
        <v>356</v>
      </c>
      <c r="DZ825" s="131">
        <f>SI!BZ825</f>
        <v>0</v>
      </c>
    </row>
    <row r="826" spans="1:130" hidden="1" x14ac:dyDescent="0.25">
      <c r="A826" s="141"/>
      <c r="B826" s="279" t="s">
        <v>859</v>
      </c>
      <c r="C826" s="7" t="str">
        <f>+IF($G$52&lt;&gt;"",IF(ROUNDDOWN(CODE(MID($G$52,1,1))*2,0)*(IF(SI!EE826="",1,SI!EE826))+(LEN(SI!J2)+LEN(SI!J3))=DS826,"Informácie o nákladoch","NEPOVOLENÉ POUŽITIE!"),"NEPOVOLENÉ POUŽITIE!")</f>
        <v>Informácie o nákladoch</v>
      </c>
      <c r="D826" s="7"/>
      <c r="E826" s="7"/>
      <c r="F826" s="7"/>
      <c r="CA826" s="265" t="s">
        <v>773</v>
      </c>
      <c r="CB826" s="3" t="str">
        <f t="shared" si="106"/>
        <v>Riadok bude skrytý.</v>
      </c>
      <c r="CC826" s="271" t="s">
        <v>832</v>
      </c>
      <c r="CW826" s="134">
        <f>+IF(SUM(CW827:CW846)=0,0,1)</f>
        <v>0</v>
      </c>
      <c r="CZ826" s="30">
        <f t="shared" si="103"/>
        <v>1</v>
      </c>
      <c r="DA826" s="30">
        <f t="shared" si="101"/>
        <v>0</v>
      </c>
      <c r="DB826" s="140">
        <f t="shared" si="105"/>
        <v>0</v>
      </c>
      <c r="DS826" s="130">
        <f>SI!BY826</f>
        <v>18</v>
      </c>
      <c r="DZ826" s="131">
        <f>SI!BZ826</f>
        <v>0</v>
      </c>
    </row>
    <row r="827" spans="1:130" hidden="1" x14ac:dyDescent="0.25">
      <c r="A827" s="141"/>
      <c r="B827" s="379"/>
      <c r="C827" s="379"/>
      <c r="D827" s="379"/>
      <c r="E827" s="379"/>
      <c r="F827" s="379"/>
      <c r="G827" s="379"/>
      <c r="H827" s="379"/>
      <c r="I827" s="379"/>
      <c r="J827" s="379"/>
      <c r="K827" s="379"/>
      <c r="L827" s="379"/>
      <c r="M827" s="379"/>
      <c r="N827" s="379"/>
      <c r="O827" s="379"/>
      <c r="P827" s="379"/>
      <c r="Q827" s="379"/>
      <c r="R827" s="379"/>
      <c r="S827" s="379"/>
      <c r="T827" s="379"/>
      <c r="U827" s="379"/>
      <c r="V827" s="379"/>
      <c r="W827" s="379"/>
      <c r="X827" s="379"/>
      <c r="Y827" s="379"/>
      <c r="Z827" s="379"/>
      <c r="AA827" s="379"/>
      <c r="AB827" s="379"/>
      <c r="AC827" s="379"/>
      <c r="AD827" s="379"/>
      <c r="AE827" s="379"/>
      <c r="AF827" s="379"/>
      <c r="AG827" s="379"/>
      <c r="AH827" s="379"/>
      <c r="AI827" s="379"/>
      <c r="AJ827" s="379"/>
      <c r="AK827" s="379"/>
      <c r="AL827" s="379"/>
      <c r="AM827" s="379"/>
      <c r="AN827" s="379"/>
      <c r="AO827" s="379"/>
      <c r="AP827" s="379"/>
      <c r="AQ827" s="379"/>
      <c r="AR827" s="379"/>
      <c r="AS827" s="379"/>
      <c r="AT827" s="379"/>
      <c r="AU827" s="379"/>
      <c r="AV827" s="379"/>
      <c r="AW827" s="379"/>
      <c r="AX827" s="379"/>
      <c r="AY827" s="379"/>
      <c r="AZ827" s="379"/>
      <c r="BA827" s="379"/>
      <c r="BB827" s="379"/>
      <c r="BC827" s="379"/>
      <c r="BD827" s="379"/>
      <c r="BE827" s="379"/>
      <c r="BF827" s="379"/>
      <c r="BG827" s="379"/>
      <c r="BH827" s="379"/>
      <c r="BI827" s="379"/>
      <c r="BJ827" s="379"/>
      <c r="BK827" s="379"/>
      <c r="BL827" s="379"/>
      <c r="BM827" s="379"/>
      <c r="BN827" s="379"/>
      <c r="BO827" s="379"/>
      <c r="BP827" s="379"/>
      <c r="BQ827" s="379"/>
      <c r="BR827" s="379"/>
      <c r="BS827" s="379"/>
      <c r="BT827" s="379"/>
      <c r="BU827" s="379"/>
      <c r="BV827" s="379"/>
      <c r="BW827" s="379"/>
      <c r="BX827" s="379"/>
      <c r="BY827" s="379"/>
      <c r="BZ827" s="379"/>
      <c r="CA827" s="281"/>
      <c r="CB827" s="3" t="str">
        <f t="shared" si="106"/>
        <v>Riadok bude skrytý.</v>
      </c>
      <c r="CC827" s="271" t="s">
        <v>832</v>
      </c>
      <c r="CW827" s="30">
        <f t="shared" ref="CW827:CW846" si="107">+IF(B827="",0,1)</f>
        <v>0</v>
      </c>
      <c r="CZ827" s="30">
        <f t="shared" si="103"/>
        <v>1</v>
      </c>
      <c r="DA827" s="30">
        <f t="shared" si="101"/>
        <v>0</v>
      </c>
      <c r="DB827" s="140">
        <f t="shared" si="105"/>
        <v>0</v>
      </c>
      <c r="DS827" s="130">
        <f>SI!BY827</f>
        <v>185</v>
      </c>
      <c r="DZ827" s="131">
        <f>SI!BZ827</f>
        <v>0</v>
      </c>
    </row>
    <row r="828" spans="1:130" hidden="1" x14ac:dyDescent="0.25">
      <c r="A828" s="141"/>
      <c r="B828" s="379"/>
      <c r="C828" s="379"/>
      <c r="D828" s="379"/>
      <c r="E828" s="379"/>
      <c r="F828" s="379"/>
      <c r="G828" s="379"/>
      <c r="H828" s="379"/>
      <c r="I828" s="379"/>
      <c r="J828" s="379"/>
      <c r="K828" s="379"/>
      <c r="L828" s="379"/>
      <c r="M828" s="379"/>
      <c r="N828" s="379"/>
      <c r="O828" s="379"/>
      <c r="P828" s="379"/>
      <c r="Q828" s="379"/>
      <c r="R828" s="379"/>
      <c r="S828" s="379"/>
      <c r="T828" s="379"/>
      <c r="U828" s="379"/>
      <c r="V828" s="379"/>
      <c r="W828" s="379"/>
      <c r="X828" s="379"/>
      <c r="Y828" s="379"/>
      <c r="Z828" s="379"/>
      <c r="AA828" s="379"/>
      <c r="AB828" s="379"/>
      <c r="AC828" s="379"/>
      <c r="AD828" s="379"/>
      <c r="AE828" s="379"/>
      <c r="AF828" s="379"/>
      <c r="AG828" s="379"/>
      <c r="AH828" s="379"/>
      <c r="AI828" s="379"/>
      <c r="AJ828" s="379"/>
      <c r="AK828" s="379"/>
      <c r="AL828" s="379"/>
      <c r="AM828" s="379"/>
      <c r="AN828" s="379"/>
      <c r="AO828" s="379"/>
      <c r="AP828" s="379"/>
      <c r="AQ828" s="379"/>
      <c r="AR828" s="379"/>
      <c r="AS828" s="379"/>
      <c r="AT828" s="379"/>
      <c r="AU828" s="379"/>
      <c r="AV828" s="379"/>
      <c r="AW828" s="379"/>
      <c r="AX828" s="379"/>
      <c r="AY828" s="379"/>
      <c r="AZ828" s="379"/>
      <c r="BA828" s="379"/>
      <c r="BB828" s="379"/>
      <c r="BC828" s="379"/>
      <c r="BD828" s="379"/>
      <c r="BE828" s="379"/>
      <c r="BF828" s="379"/>
      <c r="BG828" s="379"/>
      <c r="BH828" s="379"/>
      <c r="BI828" s="379"/>
      <c r="BJ828" s="379"/>
      <c r="BK828" s="379"/>
      <c r="BL828" s="379"/>
      <c r="BM828" s="379"/>
      <c r="BN828" s="379"/>
      <c r="BO828" s="379"/>
      <c r="BP828" s="379"/>
      <c r="BQ828" s="379"/>
      <c r="BR828" s="379"/>
      <c r="BS828" s="379"/>
      <c r="BT828" s="379"/>
      <c r="BU828" s="379"/>
      <c r="BV828" s="379"/>
      <c r="BW828" s="379"/>
      <c r="BX828" s="379"/>
      <c r="BY828" s="379"/>
      <c r="BZ828" s="379"/>
      <c r="CA828" s="281"/>
      <c r="CB828" s="3" t="str">
        <f t="shared" si="106"/>
        <v>Riadok bude skrytý.</v>
      </c>
      <c r="CC828" s="271" t="s">
        <v>832</v>
      </c>
      <c r="CW828" s="30">
        <f t="shared" si="107"/>
        <v>0</v>
      </c>
      <c r="CZ828" s="30">
        <f t="shared" si="103"/>
        <v>1</v>
      </c>
      <c r="DA828" s="30">
        <f t="shared" si="101"/>
        <v>0</v>
      </c>
      <c r="DB828" s="140">
        <f t="shared" si="105"/>
        <v>0</v>
      </c>
      <c r="DS828" s="130">
        <f>SI!BY828</f>
        <v>177</v>
      </c>
      <c r="DZ828" s="131">
        <f>SI!BZ828</f>
        <v>0</v>
      </c>
    </row>
    <row r="829" spans="1:130" hidden="1" x14ac:dyDescent="0.25">
      <c r="A829" s="141"/>
      <c r="B829" s="379"/>
      <c r="C829" s="379"/>
      <c r="D829" s="379"/>
      <c r="E829" s="379"/>
      <c r="F829" s="379"/>
      <c r="G829" s="379"/>
      <c r="H829" s="379"/>
      <c r="I829" s="379"/>
      <c r="J829" s="379"/>
      <c r="K829" s="379"/>
      <c r="L829" s="379"/>
      <c r="M829" s="379"/>
      <c r="N829" s="379"/>
      <c r="O829" s="379"/>
      <c r="P829" s="379"/>
      <c r="Q829" s="379"/>
      <c r="R829" s="379"/>
      <c r="S829" s="379"/>
      <c r="T829" s="379"/>
      <c r="U829" s="379"/>
      <c r="V829" s="379"/>
      <c r="W829" s="379"/>
      <c r="X829" s="379"/>
      <c r="Y829" s="379"/>
      <c r="Z829" s="379"/>
      <c r="AA829" s="379"/>
      <c r="AB829" s="379"/>
      <c r="AC829" s="379"/>
      <c r="AD829" s="379"/>
      <c r="AE829" s="379"/>
      <c r="AF829" s="379"/>
      <c r="AG829" s="379"/>
      <c r="AH829" s="379"/>
      <c r="AI829" s="379"/>
      <c r="AJ829" s="379"/>
      <c r="AK829" s="379"/>
      <c r="AL829" s="379"/>
      <c r="AM829" s="379"/>
      <c r="AN829" s="379"/>
      <c r="AO829" s="379"/>
      <c r="AP829" s="379"/>
      <c r="AQ829" s="379"/>
      <c r="AR829" s="379"/>
      <c r="AS829" s="379"/>
      <c r="AT829" s="379"/>
      <c r="AU829" s="379"/>
      <c r="AV829" s="379"/>
      <c r="AW829" s="379"/>
      <c r="AX829" s="379"/>
      <c r="AY829" s="379"/>
      <c r="AZ829" s="379"/>
      <c r="BA829" s="379"/>
      <c r="BB829" s="379"/>
      <c r="BC829" s="379"/>
      <c r="BD829" s="379"/>
      <c r="BE829" s="379"/>
      <c r="BF829" s="379"/>
      <c r="BG829" s="379"/>
      <c r="BH829" s="379"/>
      <c r="BI829" s="379"/>
      <c r="BJ829" s="379"/>
      <c r="BK829" s="379"/>
      <c r="BL829" s="379"/>
      <c r="BM829" s="379"/>
      <c r="BN829" s="379"/>
      <c r="BO829" s="379"/>
      <c r="BP829" s="379"/>
      <c r="BQ829" s="379"/>
      <c r="BR829" s="379"/>
      <c r="BS829" s="379"/>
      <c r="BT829" s="379"/>
      <c r="BU829" s="379"/>
      <c r="BV829" s="379"/>
      <c r="BW829" s="379"/>
      <c r="BX829" s="379"/>
      <c r="BY829" s="379"/>
      <c r="BZ829" s="379"/>
      <c r="CA829" s="281"/>
      <c r="CB829" s="3" t="str">
        <f t="shared" si="106"/>
        <v>Riadok bude skrytý.</v>
      </c>
      <c r="CC829" s="271" t="s">
        <v>832</v>
      </c>
      <c r="CW829" s="30">
        <f t="shared" si="107"/>
        <v>0</v>
      </c>
      <c r="CZ829" s="30">
        <f t="shared" si="103"/>
        <v>1</v>
      </c>
      <c r="DA829" s="30">
        <f t="shared" si="101"/>
        <v>0</v>
      </c>
      <c r="DB829" s="140">
        <f t="shared" si="105"/>
        <v>0</v>
      </c>
      <c r="DS829" s="130">
        <f>SI!BY829</f>
        <v>157</v>
      </c>
      <c r="DZ829" s="131">
        <f>SI!BZ829</f>
        <v>0</v>
      </c>
    </row>
    <row r="830" spans="1:130" hidden="1" x14ac:dyDescent="0.25">
      <c r="A830" s="141"/>
      <c r="B830" s="379"/>
      <c r="C830" s="379"/>
      <c r="D830" s="379"/>
      <c r="E830" s="379"/>
      <c r="F830" s="379"/>
      <c r="G830" s="379"/>
      <c r="H830" s="379"/>
      <c r="I830" s="379"/>
      <c r="J830" s="379"/>
      <c r="K830" s="379"/>
      <c r="L830" s="379"/>
      <c r="M830" s="379"/>
      <c r="N830" s="379"/>
      <c r="O830" s="379"/>
      <c r="P830" s="379"/>
      <c r="Q830" s="379"/>
      <c r="R830" s="379"/>
      <c r="S830" s="379"/>
      <c r="T830" s="379"/>
      <c r="U830" s="379"/>
      <c r="V830" s="379"/>
      <c r="W830" s="379"/>
      <c r="X830" s="379"/>
      <c r="Y830" s="379"/>
      <c r="Z830" s="379"/>
      <c r="AA830" s="379"/>
      <c r="AB830" s="379"/>
      <c r="AC830" s="379"/>
      <c r="AD830" s="379"/>
      <c r="AE830" s="379"/>
      <c r="AF830" s="379"/>
      <c r="AG830" s="379"/>
      <c r="AH830" s="379"/>
      <c r="AI830" s="379"/>
      <c r="AJ830" s="379"/>
      <c r="AK830" s="379"/>
      <c r="AL830" s="379"/>
      <c r="AM830" s="379"/>
      <c r="AN830" s="379"/>
      <c r="AO830" s="379"/>
      <c r="AP830" s="379"/>
      <c r="AQ830" s="379"/>
      <c r="AR830" s="379"/>
      <c r="AS830" s="379"/>
      <c r="AT830" s="379"/>
      <c r="AU830" s="379"/>
      <c r="AV830" s="379"/>
      <c r="AW830" s="379"/>
      <c r="AX830" s="379"/>
      <c r="AY830" s="379"/>
      <c r="AZ830" s="379"/>
      <c r="BA830" s="379"/>
      <c r="BB830" s="379"/>
      <c r="BC830" s="379"/>
      <c r="BD830" s="379"/>
      <c r="BE830" s="379"/>
      <c r="BF830" s="379"/>
      <c r="BG830" s="379"/>
      <c r="BH830" s="379"/>
      <c r="BI830" s="379"/>
      <c r="BJ830" s="379"/>
      <c r="BK830" s="379"/>
      <c r="BL830" s="379"/>
      <c r="BM830" s="379"/>
      <c r="BN830" s="379"/>
      <c r="BO830" s="379"/>
      <c r="BP830" s="379"/>
      <c r="BQ830" s="379"/>
      <c r="BR830" s="379"/>
      <c r="BS830" s="379"/>
      <c r="BT830" s="379"/>
      <c r="BU830" s="379"/>
      <c r="BV830" s="379"/>
      <c r="BW830" s="379"/>
      <c r="BX830" s="379"/>
      <c r="BY830" s="379"/>
      <c r="BZ830" s="379"/>
      <c r="CA830" s="281"/>
      <c r="CB830" s="3" t="str">
        <f t="shared" si="106"/>
        <v>Riadok bude skrytý.</v>
      </c>
      <c r="CC830" s="271" t="s">
        <v>832</v>
      </c>
      <c r="CW830" s="30">
        <f t="shared" si="107"/>
        <v>0</v>
      </c>
      <c r="CZ830" s="30">
        <f t="shared" si="103"/>
        <v>1</v>
      </c>
      <c r="DA830" s="30">
        <f t="shared" si="101"/>
        <v>0</v>
      </c>
      <c r="DB830" s="140">
        <f t="shared" si="105"/>
        <v>0</v>
      </c>
      <c r="DS830" s="130">
        <f>SI!BY830</f>
        <v>134</v>
      </c>
      <c r="DZ830" s="131">
        <f>SI!BZ830</f>
        <v>0</v>
      </c>
    </row>
    <row r="831" spans="1:130" hidden="1" x14ac:dyDescent="0.25">
      <c r="A831" s="141"/>
      <c r="B831" s="379"/>
      <c r="C831" s="379"/>
      <c r="D831" s="379"/>
      <c r="E831" s="379"/>
      <c r="F831" s="379"/>
      <c r="G831" s="379"/>
      <c r="H831" s="379"/>
      <c r="I831" s="379"/>
      <c r="J831" s="379"/>
      <c r="K831" s="379"/>
      <c r="L831" s="379"/>
      <c r="M831" s="379"/>
      <c r="N831" s="379"/>
      <c r="O831" s="379"/>
      <c r="P831" s="379"/>
      <c r="Q831" s="379"/>
      <c r="R831" s="379"/>
      <c r="S831" s="379"/>
      <c r="T831" s="379"/>
      <c r="U831" s="379"/>
      <c r="V831" s="379"/>
      <c r="W831" s="379"/>
      <c r="X831" s="379"/>
      <c r="Y831" s="379"/>
      <c r="Z831" s="379"/>
      <c r="AA831" s="379"/>
      <c r="AB831" s="379"/>
      <c r="AC831" s="379"/>
      <c r="AD831" s="379"/>
      <c r="AE831" s="379"/>
      <c r="AF831" s="379"/>
      <c r="AG831" s="379"/>
      <c r="AH831" s="379"/>
      <c r="AI831" s="379"/>
      <c r="AJ831" s="379"/>
      <c r="AK831" s="379"/>
      <c r="AL831" s="379"/>
      <c r="AM831" s="379"/>
      <c r="AN831" s="379"/>
      <c r="AO831" s="379"/>
      <c r="AP831" s="379"/>
      <c r="AQ831" s="379"/>
      <c r="AR831" s="379"/>
      <c r="AS831" s="379"/>
      <c r="AT831" s="379"/>
      <c r="AU831" s="379"/>
      <c r="AV831" s="379"/>
      <c r="AW831" s="379"/>
      <c r="AX831" s="379"/>
      <c r="AY831" s="379"/>
      <c r="AZ831" s="379"/>
      <c r="BA831" s="379"/>
      <c r="BB831" s="379"/>
      <c r="BC831" s="379"/>
      <c r="BD831" s="379"/>
      <c r="BE831" s="379"/>
      <c r="BF831" s="379"/>
      <c r="BG831" s="379"/>
      <c r="BH831" s="379"/>
      <c r="BI831" s="379"/>
      <c r="BJ831" s="379"/>
      <c r="BK831" s="379"/>
      <c r="BL831" s="379"/>
      <c r="BM831" s="379"/>
      <c r="BN831" s="379"/>
      <c r="BO831" s="379"/>
      <c r="BP831" s="379"/>
      <c r="BQ831" s="379"/>
      <c r="BR831" s="379"/>
      <c r="BS831" s="379"/>
      <c r="BT831" s="379"/>
      <c r="BU831" s="379"/>
      <c r="BV831" s="379"/>
      <c r="BW831" s="379"/>
      <c r="BX831" s="379"/>
      <c r="BY831" s="379"/>
      <c r="BZ831" s="379"/>
      <c r="CA831" s="281"/>
      <c r="CB831" s="3" t="str">
        <f t="shared" si="106"/>
        <v>Riadok bude skrytý.</v>
      </c>
      <c r="CC831" s="271" t="s">
        <v>832</v>
      </c>
      <c r="CW831" s="30">
        <f t="shared" si="107"/>
        <v>0</v>
      </c>
      <c r="CZ831" s="30">
        <f t="shared" si="103"/>
        <v>1</v>
      </c>
      <c r="DA831" s="30">
        <f t="shared" si="101"/>
        <v>0</v>
      </c>
      <c r="DB831" s="140">
        <f t="shared" si="105"/>
        <v>0</v>
      </c>
      <c r="DS831" s="130">
        <f>SI!BY831</f>
        <v>181</v>
      </c>
      <c r="DZ831" s="131">
        <f>SI!BZ831</f>
        <v>0</v>
      </c>
    </row>
    <row r="832" spans="1:130" hidden="1" x14ac:dyDescent="0.25">
      <c r="A832" s="141"/>
      <c r="B832" s="379"/>
      <c r="C832" s="379"/>
      <c r="D832" s="379"/>
      <c r="E832" s="379"/>
      <c r="F832" s="379"/>
      <c r="G832" s="379"/>
      <c r="H832" s="379"/>
      <c r="I832" s="379"/>
      <c r="J832" s="379"/>
      <c r="K832" s="379"/>
      <c r="L832" s="379"/>
      <c r="M832" s="379"/>
      <c r="N832" s="379"/>
      <c r="O832" s="379"/>
      <c r="P832" s="379"/>
      <c r="Q832" s="379"/>
      <c r="R832" s="379"/>
      <c r="S832" s="379"/>
      <c r="T832" s="379"/>
      <c r="U832" s="379"/>
      <c r="V832" s="379"/>
      <c r="W832" s="379"/>
      <c r="X832" s="379"/>
      <c r="Y832" s="379"/>
      <c r="Z832" s="379"/>
      <c r="AA832" s="379"/>
      <c r="AB832" s="379"/>
      <c r="AC832" s="379"/>
      <c r="AD832" s="379"/>
      <c r="AE832" s="379"/>
      <c r="AF832" s="379"/>
      <c r="AG832" s="379"/>
      <c r="AH832" s="379"/>
      <c r="AI832" s="379"/>
      <c r="AJ832" s="379"/>
      <c r="AK832" s="379"/>
      <c r="AL832" s="379"/>
      <c r="AM832" s="379"/>
      <c r="AN832" s="379"/>
      <c r="AO832" s="379"/>
      <c r="AP832" s="379"/>
      <c r="AQ832" s="379"/>
      <c r="AR832" s="379"/>
      <c r="AS832" s="379"/>
      <c r="AT832" s="379"/>
      <c r="AU832" s="379"/>
      <c r="AV832" s="379"/>
      <c r="AW832" s="379"/>
      <c r="AX832" s="379"/>
      <c r="AY832" s="379"/>
      <c r="AZ832" s="379"/>
      <c r="BA832" s="379"/>
      <c r="BB832" s="379"/>
      <c r="BC832" s="379"/>
      <c r="BD832" s="379"/>
      <c r="BE832" s="379"/>
      <c r="BF832" s="379"/>
      <c r="BG832" s="379"/>
      <c r="BH832" s="379"/>
      <c r="BI832" s="379"/>
      <c r="BJ832" s="379"/>
      <c r="BK832" s="379"/>
      <c r="BL832" s="379"/>
      <c r="BM832" s="379"/>
      <c r="BN832" s="379"/>
      <c r="BO832" s="379"/>
      <c r="BP832" s="379"/>
      <c r="BQ832" s="379"/>
      <c r="BR832" s="379"/>
      <c r="BS832" s="379"/>
      <c r="BT832" s="379"/>
      <c r="BU832" s="379"/>
      <c r="BV832" s="379"/>
      <c r="BW832" s="379"/>
      <c r="BX832" s="379"/>
      <c r="BY832" s="379"/>
      <c r="BZ832" s="379"/>
      <c r="CA832" s="281"/>
      <c r="CB832" s="3" t="str">
        <f t="shared" si="106"/>
        <v>Riadok bude skrytý.</v>
      </c>
      <c r="CC832" s="271" t="s">
        <v>832</v>
      </c>
      <c r="CW832" s="30">
        <f t="shared" si="107"/>
        <v>0</v>
      </c>
      <c r="CZ832" s="30">
        <f t="shared" si="103"/>
        <v>1</v>
      </c>
      <c r="DA832" s="30">
        <f t="shared" si="101"/>
        <v>0</v>
      </c>
      <c r="DB832" s="140">
        <f t="shared" si="105"/>
        <v>0</v>
      </c>
      <c r="DS832" s="130">
        <f>SI!BY832</f>
        <v>133</v>
      </c>
      <c r="DZ832" s="131">
        <f>SI!BZ832</f>
        <v>0</v>
      </c>
    </row>
    <row r="833" spans="1:130" hidden="1" x14ac:dyDescent="0.25">
      <c r="A833" s="141"/>
      <c r="B833" s="379"/>
      <c r="C833" s="379"/>
      <c r="D833" s="379"/>
      <c r="E833" s="379"/>
      <c r="F833" s="379"/>
      <c r="G833" s="379"/>
      <c r="H833" s="379"/>
      <c r="I833" s="379"/>
      <c r="J833" s="379"/>
      <c r="K833" s="379"/>
      <c r="L833" s="379"/>
      <c r="M833" s="379"/>
      <c r="N833" s="379"/>
      <c r="O833" s="379"/>
      <c r="P833" s="379"/>
      <c r="Q833" s="379"/>
      <c r="R833" s="379"/>
      <c r="S833" s="379"/>
      <c r="T833" s="379"/>
      <c r="U833" s="379"/>
      <c r="V833" s="379"/>
      <c r="W833" s="379"/>
      <c r="X833" s="379"/>
      <c r="Y833" s="379"/>
      <c r="Z833" s="379"/>
      <c r="AA833" s="379"/>
      <c r="AB833" s="379"/>
      <c r="AC833" s="379"/>
      <c r="AD833" s="379"/>
      <c r="AE833" s="379"/>
      <c r="AF833" s="379"/>
      <c r="AG833" s="379"/>
      <c r="AH833" s="379"/>
      <c r="AI833" s="379"/>
      <c r="AJ833" s="379"/>
      <c r="AK833" s="379"/>
      <c r="AL833" s="379"/>
      <c r="AM833" s="379"/>
      <c r="AN833" s="379"/>
      <c r="AO833" s="379"/>
      <c r="AP833" s="379"/>
      <c r="AQ833" s="379"/>
      <c r="AR833" s="379"/>
      <c r="AS833" s="379"/>
      <c r="AT833" s="379"/>
      <c r="AU833" s="379"/>
      <c r="AV833" s="379"/>
      <c r="AW833" s="379"/>
      <c r="AX833" s="379"/>
      <c r="AY833" s="379"/>
      <c r="AZ833" s="379"/>
      <c r="BA833" s="379"/>
      <c r="BB833" s="379"/>
      <c r="BC833" s="379"/>
      <c r="BD833" s="379"/>
      <c r="BE833" s="379"/>
      <c r="BF833" s="379"/>
      <c r="BG833" s="379"/>
      <c r="BH833" s="379"/>
      <c r="BI833" s="379"/>
      <c r="BJ833" s="379"/>
      <c r="BK833" s="379"/>
      <c r="BL833" s="379"/>
      <c r="BM833" s="379"/>
      <c r="BN833" s="379"/>
      <c r="BO833" s="379"/>
      <c r="BP833" s="379"/>
      <c r="BQ833" s="379"/>
      <c r="BR833" s="379"/>
      <c r="BS833" s="379"/>
      <c r="BT833" s="379"/>
      <c r="BU833" s="379"/>
      <c r="BV833" s="379"/>
      <c r="BW833" s="379"/>
      <c r="BX833" s="379"/>
      <c r="BY833" s="379"/>
      <c r="BZ833" s="379"/>
      <c r="CA833" s="281"/>
      <c r="CB833" s="3" t="str">
        <f t="shared" si="106"/>
        <v>Riadok bude skrytý.</v>
      </c>
      <c r="CC833" s="271" t="s">
        <v>832</v>
      </c>
      <c r="CW833" s="30">
        <f t="shared" si="107"/>
        <v>0</v>
      </c>
      <c r="CZ833" s="30">
        <f t="shared" si="103"/>
        <v>1</v>
      </c>
      <c r="DA833" s="30">
        <f t="shared" si="101"/>
        <v>0</v>
      </c>
      <c r="DB833" s="140">
        <f t="shared" si="105"/>
        <v>0</v>
      </c>
      <c r="DS833" s="130">
        <f>SI!BY833</f>
        <v>135</v>
      </c>
      <c r="DZ833" s="131">
        <f>SI!BZ833</f>
        <v>0</v>
      </c>
    </row>
    <row r="834" spans="1:130" hidden="1" x14ac:dyDescent="0.25">
      <c r="A834" s="141"/>
      <c r="B834" s="379"/>
      <c r="C834" s="379"/>
      <c r="D834" s="379"/>
      <c r="E834" s="379"/>
      <c r="F834" s="379"/>
      <c r="G834" s="379"/>
      <c r="H834" s="379"/>
      <c r="I834" s="379"/>
      <c r="J834" s="379"/>
      <c r="K834" s="379"/>
      <c r="L834" s="379"/>
      <c r="M834" s="379"/>
      <c r="N834" s="379"/>
      <c r="O834" s="379"/>
      <c r="P834" s="379"/>
      <c r="Q834" s="379"/>
      <c r="R834" s="379"/>
      <c r="S834" s="379"/>
      <c r="T834" s="379"/>
      <c r="U834" s="379"/>
      <c r="V834" s="379"/>
      <c r="W834" s="379"/>
      <c r="X834" s="379"/>
      <c r="Y834" s="379"/>
      <c r="Z834" s="379"/>
      <c r="AA834" s="379"/>
      <c r="AB834" s="379"/>
      <c r="AC834" s="379"/>
      <c r="AD834" s="379"/>
      <c r="AE834" s="379"/>
      <c r="AF834" s="379"/>
      <c r="AG834" s="379"/>
      <c r="AH834" s="379"/>
      <c r="AI834" s="379"/>
      <c r="AJ834" s="379"/>
      <c r="AK834" s="379"/>
      <c r="AL834" s="379"/>
      <c r="AM834" s="379"/>
      <c r="AN834" s="379"/>
      <c r="AO834" s="379"/>
      <c r="AP834" s="379"/>
      <c r="AQ834" s="379"/>
      <c r="AR834" s="379"/>
      <c r="AS834" s="379"/>
      <c r="AT834" s="379"/>
      <c r="AU834" s="379"/>
      <c r="AV834" s="379"/>
      <c r="AW834" s="379"/>
      <c r="AX834" s="379"/>
      <c r="AY834" s="379"/>
      <c r="AZ834" s="379"/>
      <c r="BA834" s="379"/>
      <c r="BB834" s="379"/>
      <c r="BC834" s="379"/>
      <c r="BD834" s="379"/>
      <c r="BE834" s="379"/>
      <c r="BF834" s="379"/>
      <c r="BG834" s="379"/>
      <c r="BH834" s="379"/>
      <c r="BI834" s="379"/>
      <c r="BJ834" s="379"/>
      <c r="BK834" s="379"/>
      <c r="BL834" s="379"/>
      <c r="BM834" s="379"/>
      <c r="BN834" s="379"/>
      <c r="BO834" s="379"/>
      <c r="BP834" s="379"/>
      <c r="BQ834" s="379"/>
      <c r="BR834" s="379"/>
      <c r="BS834" s="379"/>
      <c r="BT834" s="379"/>
      <c r="BU834" s="379"/>
      <c r="BV834" s="379"/>
      <c r="BW834" s="379"/>
      <c r="BX834" s="379"/>
      <c r="BY834" s="379"/>
      <c r="BZ834" s="379"/>
      <c r="CA834" s="281"/>
      <c r="CB834" s="3" t="str">
        <f t="shared" si="106"/>
        <v>Riadok bude skrytý.</v>
      </c>
      <c r="CC834" s="271" t="s">
        <v>832</v>
      </c>
      <c r="CW834" s="30">
        <f t="shared" si="107"/>
        <v>0</v>
      </c>
      <c r="CZ834" s="30">
        <f t="shared" si="103"/>
        <v>1</v>
      </c>
      <c r="DA834" s="30">
        <f t="shared" ref="DA834:DA897" si="108">+IF(CW834+CX834+CY834=0,0,IF(CZ834=0,0,1))</f>
        <v>0</v>
      </c>
      <c r="DB834" s="140">
        <f t="shared" si="105"/>
        <v>0</v>
      </c>
      <c r="DS834" s="130">
        <f>SI!BY834</f>
        <v>146</v>
      </c>
      <c r="DZ834" s="131">
        <f>SI!BZ834</f>
        <v>0</v>
      </c>
    </row>
    <row r="835" spans="1:130" hidden="1" x14ac:dyDescent="0.25">
      <c r="A835" s="141"/>
      <c r="B835" s="379"/>
      <c r="C835" s="379"/>
      <c r="D835" s="379"/>
      <c r="E835" s="379"/>
      <c r="F835" s="379"/>
      <c r="G835" s="379"/>
      <c r="H835" s="379"/>
      <c r="I835" s="379"/>
      <c r="J835" s="379"/>
      <c r="K835" s="379"/>
      <c r="L835" s="379"/>
      <c r="M835" s="379"/>
      <c r="N835" s="379"/>
      <c r="O835" s="379"/>
      <c r="P835" s="379"/>
      <c r="Q835" s="379"/>
      <c r="R835" s="379"/>
      <c r="S835" s="379"/>
      <c r="T835" s="379"/>
      <c r="U835" s="379"/>
      <c r="V835" s="379"/>
      <c r="W835" s="379"/>
      <c r="X835" s="379"/>
      <c r="Y835" s="379"/>
      <c r="Z835" s="379"/>
      <c r="AA835" s="379"/>
      <c r="AB835" s="379"/>
      <c r="AC835" s="379"/>
      <c r="AD835" s="379"/>
      <c r="AE835" s="379"/>
      <c r="AF835" s="379"/>
      <c r="AG835" s="379"/>
      <c r="AH835" s="379"/>
      <c r="AI835" s="379"/>
      <c r="AJ835" s="379"/>
      <c r="AK835" s="379"/>
      <c r="AL835" s="379"/>
      <c r="AM835" s="379"/>
      <c r="AN835" s="379"/>
      <c r="AO835" s="379"/>
      <c r="AP835" s="379"/>
      <c r="AQ835" s="379"/>
      <c r="AR835" s="379"/>
      <c r="AS835" s="379"/>
      <c r="AT835" s="379"/>
      <c r="AU835" s="379"/>
      <c r="AV835" s="379"/>
      <c r="AW835" s="379"/>
      <c r="AX835" s="379"/>
      <c r="AY835" s="379"/>
      <c r="AZ835" s="379"/>
      <c r="BA835" s="379"/>
      <c r="BB835" s="379"/>
      <c r="BC835" s="379"/>
      <c r="BD835" s="379"/>
      <c r="BE835" s="379"/>
      <c r="BF835" s="379"/>
      <c r="BG835" s="379"/>
      <c r="BH835" s="379"/>
      <c r="BI835" s="379"/>
      <c r="BJ835" s="379"/>
      <c r="BK835" s="379"/>
      <c r="BL835" s="379"/>
      <c r="BM835" s="379"/>
      <c r="BN835" s="379"/>
      <c r="BO835" s="379"/>
      <c r="BP835" s="379"/>
      <c r="BQ835" s="379"/>
      <c r="BR835" s="379"/>
      <c r="BS835" s="379"/>
      <c r="BT835" s="379"/>
      <c r="BU835" s="379"/>
      <c r="BV835" s="379"/>
      <c r="BW835" s="379"/>
      <c r="BX835" s="379"/>
      <c r="BY835" s="379"/>
      <c r="BZ835" s="379"/>
      <c r="CA835" s="281"/>
      <c r="CB835" s="3" t="str">
        <f t="shared" si="106"/>
        <v>Riadok bude skrytý.</v>
      </c>
      <c r="CC835" s="271" t="s">
        <v>832</v>
      </c>
      <c r="CW835" s="30">
        <f t="shared" si="107"/>
        <v>0</v>
      </c>
      <c r="CZ835" s="30">
        <f t="shared" si="103"/>
        <v>1</v>
      </c>
      <c r="DA835" s="30">
        <f t="shared" si="108"/>
        <v>0</v>
      </c>
      <c r="DB835" s="140">
        <f t="shared" si="105"/>
        <v>0</v>
      </c>
      <c r="DS835" s="130">
        <f>SI!BY835</f>
        <v>176</v>
      </c>
      <c r="DZ835" s="131">
        <f>SI!BZ835</f>
        <v>0</v>
      </c>
    </row>
    <row r="836" spans="1:130" hidden="1" x14ac:dyDescent="0.25">
      <c r="A836" s="141"/>
      <c r="B836" s="379"/>
      <c r="C836" s="379"/>
      <c r="D836" s="379"/>
      <c r="E836" s="379"/>
      <c r="F836" s="379"/>
      <c r="G836" s="379"/>
      <c r="H836" s="379"/>
      <c r="I836" s="379"/>
      <c r="J836" s="379"/>
      <c r="K836" s="379"/>
      <c r="L836" s="379"/>
      <c r="M836" s="379"/>
      <c r="N836" s="379"/>
      <c r="O836" s="379"/>
      <c r="P836" s="379"/>
      <c r="Q836" s="379"/>
      <c r="R836" s="379"/>
      <c r="S836" s="379"/>
      <c r="T836" s="379"/>
      <c r="U836" s="379"/>
      <c r="V836" s="379"/>
      <c r="W836" s="379"/>
      <c r="X836" s="379"/>
      <c r="Y836" s="379"/>
      <c r="Z836" s="379"/>
      <c r="AA836" s="379"/>
      <c r="AB836" s="379"/>
      <c r="AC836" s="379"/>
      <c r="AD836" s="379"/>
      <c r="AE836" s="379"/>
      <c r="AF836" s="379"/>
      <c r="AG836" s="379"/>
      <c r="AH836" s="379"/>
      <c r="AI836" s="379"/>
      <c r="AJ836" s="379"/>
      <c r="AK836" s="379"/>
      <c r="AL836" s="379"/>
      <c r="AM836" s="379"/>
      <c r="AN836" s="379"/>
      <c r="AO836" s="379"/>
      <c r="AP836" s="379"/>
      <c r="AQ836" s="379"/>
      <c r="AR836" s="379"/>
      <c r="AS836" s="379"/>
      <c r="AT836" s="379"/>
      <c r="AU836" s="379"/>
      <c r="AV836" s="379"/>
      <c r="AW836" s="379"/>
      <c r="AX836" s="379"/>
      <c r="AY836" s="379"/>
      <c r="AZ836" s="379"/>
      <c r="BA836" s="379"/>
      <c r="BB836" s="379"/>
      <c r="BC836" s="379"/>
      <c r="BD836" s="379"/>
      <c r="BE836" s="379"/>
      <c r="BF836" s="379"/>
      <c r="BG836" s="379"/>
      <c r="BH836" s="379"/>
      <c r="BI836" s="379"/>
      <c r="BJ836" s="379"/>
      <c r="BK836" s="379"/>
      <c r="BL836" s="379"/>
      <c r="BM836" s="379"/>
      <c r="BN836" s="379"/>
      <c r="BO836" s="379"/>
      <c r="BP836" s="379"/>
      <c r="BQ836" s="379"/>
      <c r="BR836" s="379"/>
      <c r="BS836" s="379"/>
      <c r="BT836" s="379"/>
      <c r="BU836" s="379"/>
      <c r="BV836" s="379"/>
      <c r="BW836" s="379"/>
      <c r="BX836" s="379"/>
      <c r="BY836" s="379"/>
      <c r="BZ836" s="379"/>
      <c r="CA836" s="281"/>
      <c r="CB836" s="3" t="str">
        <f t="shared" si="106"/>
        <v>Riadok bude skrytý.</v>
      </c>
      <c r="CC836" s="271" t="s">
        <v>832</v>
      </c>
      <c r="CW836" s="30">
        <f t="shared" si="107"/>
        <v>0</v>
      </c>
      <c r="CZ836" s="30">
        <f t="shared" si="103"/>
        <v>1</v>
      </c>
      <c r="DA836" s="30">
        <f t="shared" si="108"/>
        <v>0</v>
      </c>
      <c r="DB836" s="140">
        <f t="shared" si="105"/>
        <v>0</v>
      </c>
      <c r="DS836" s="130">
        <f>SI!BY836</f>
        <v>121</v>
      </c>
      <c r="DZ836" s="131">
        <f>SI!BZ836</f>
        <v>0</v>
      </c>
    </row>
    <row r="837" spans="1:130" hidden="1" x14ac:dyDescent="0.25">
      <c r="A837" s="141"/>
      <c r="B837" s="379"/>
      <c r="C837" s="379"/>
      <c r="D837" s="379"/>
      <c r="E837" s="379"/>
      <c r="F837" s="379"/>
      <c r="G837" s="379"/>
      <c r="H837" s="379"/>
      <c r="I837" s="379"/>
      <c r="J837" s="379"/>
      <c r="K837" s="379"/>
      <c r="L837" s="379"/>
      <c r="M837" s="379"/>
      <c r="N837" s="379"/>
      <c r="O837" s="379"/>
      <c r="P837" s="379"/>
      <c r="Q837" s="379"/>
      <c r="R837" s="379"/>
      <c r="S837" s="379"/>
      <c r="T837" s="379"/>
      <c r="U837" s="379"/>
      <c r="V837" s="379"/>
      <c r="W837" s="379"/>
      <c r="X837" s="379"/>
      <c r="Y837" s="379"/>
      <c r="Z837" s="379"/>
      <c r="AA837" s="379"/>
      <c r="AB837" s="379"/>
      <c r="AC837" s="379"/>
      <c r="AD837" s="379"/>
      <c r="AE837" s="379"/>
      <c r="AF837" s="379"/>
      <c r="AG837" s="379"/>
      <c r="AH837" s="379"/>
      <c r="AI837" s="379"/>
      <c r="AJ837" s="379"/>
      <c r="AK837" s="379"/>
      <c r="AL837" s="379"/>
      <c r="AM837" s="379"/>
      <c r="AN837" s="379"/>
      <c r="AO837" s="379"/>
      <c r="AP837" s="379"/>
      <c r="AQ837" s="379"/>
      <c r="AR837" s="379"/>
      <c r="AS837" s="379"/>
      <c r="AT837" s="379"/>
      <c r="AU837" s="379"/>
      <c r="AV837" s="379"/>
      <c r="AW837" s="379"/>
      <c r="AX837" s="379"/>
      <c r="AY837" s="379"/>
      <c r="AZ837" s="379"/>
      <c r="BA837" s="379"/>
      <c r="BB837" s="379"/>
      <c r="BC837" s="379"/>
      <c r="BD837" s="379"/>
      <c r="BE837" s="379"/>
      <c r="BF837" s="379"/>
      <c r="BG837" s="379"/>
      <c r="BH837" s="379"/>
      <c r="BI837" s="379"/>
      <c r="BJ837" s="379"/>
      <c r="BK837" s="379"/>
      <c r="BL837" s="379"/>
      <c r="BM837" s="379"/>
      <c r="BN837" s="379"/>
      <c r="BO837" s="379"/>
      <c r="BP837" s="379"/>
      <c r="BQ837" s="379"/>
      <c r="BR837" s="379"/>
      <c r="BS837" s="379"/>
      <c r="BT837" s="379"/>
      <c r="BU837" s="379"/>
      <c r="BV837" s="379"/>
      <c r="BW837" s="379"/>
      <c r="BX837" s="379"/>
      <c r="BY837" s="379"/>
      <c r="BZ837" s="379"/>
      <c r="CA837" s="281"/>
      <c r="CB837" s="3" t="str">
        <f t="shared" si="106"/>
        <v>Riadok bude skrytý.</v>
      </c>
      <c r="CC837" s="271" t="s">
        <v>832</v>
      </c>
      <c r="CW837" s="30">
        <f t="shared" si="107"/>
        <v>0</v>
      </c>
      <c r="CZ837" s="30">
        <f t="shared" si="103"/>
        <v>1</v>
      </c>
      <c r="DA837" s="30">
        <f t="shared" si="108"/>
        <v>0</v>
      </c>
      <c r="DB837" s="140">
        <f t="shared" si="105"/>
        <v>0</v>
      </c>
      <c r="DS837" s="130">
        <f>SI!BY837</f>
        <v>136</v>
      </c>
      <c r="DZ837" s="131">
        <f>SI!BZ837</f>
        <v>0</v>
      </c>
    </row>
    <row r="838" spans="1:130" hidden="1" x14ac:dyDescent="0.25">
      <c r="A838" s="141"/>
      <c r="B838" s="379"/>
      <c r="C838" s="379"/>
      <c r="D838" s="379"/>
      <c r="E838" s="379"/>
      <c r="F838" s="379"/>
      <c r="G838" s="379"/>
      <c r="H838" s="379"/>
      <c r="I838" s="379"/>
      <c r="J838" s="379"/>
      <c r="K838" s="379"/>
      <c r="L838" s="379"/>
      <c r="M838" s="379"/>
      <c r="N838" s="379"/>
      <c r="O838" s="379"/>
      <c r="P838" s="379"/>
      <c r="Q838" s="379"/>
      <c r="R838" s="379"/>
      <c r="S838" s="379"/>
      <c r="T838" s="379"/>
      <c r="U838" s="379"/>
      <c r="V838" s="379"/>
      <c r="W838" s="379"/>
      <c r="X838" s="379"/>
      <c r="Y838" s="379"/>
      <c r="Z838" s="379"/>
      <c r="AA838" s="379"/>
      <c r="AB838" s="379"/>
      <c r="AC838" s="379"/>
      <c r="AD838" s="379"/>
      <c r="AE838" s="379"/>
      <c r="AF838" s="379"/>
      <c r="AG838" s="379"/>
      <c r="AH838" s="379"/>
      <c r="AI838" s="379"/>
      <c r="AJ838" s="379"/>
      <c r="AK838" s="379"/>
      <c r="AL838" s="379"/>
      <c r="AM838" s="379"/>
      <c r="AN838" s="379"/>
      <c r="AO838" s="379"/>
      <c r="AP838" s="379"/>
      <c r="AQ838" s="379"/>
      <c r="AR838" s="379"/>
      <c r="AS838" s="379"/>
      <c r="AT838" s="379"/>
      <c r="AU838" s="379"/>
      <c r="AV838" s="379"/>
      <c r="AW838" s="379"/>
      <c r="AX838" s="379"/>
      <c r="AY838" s="379"/>
      <c r="AZ838" s="379"/>
      <c r="BA838" s="379"/>
      <c r="BB838" s="379"/>
      <c r="BC838" s="379"/>
      <c r="BD838" s="379"/>
      <c r="BE838" s="379"/>
      <c r="BF838" s="379"/>
      <c r="BG838" s="379"/>
      <c r="BH838" s="379"/>
      <c r="BI838" s="379"/>
      <c r="BJ838" s="379"/>
      <c r="BK838" s="379"/>
      <c r="BL838" s="379"/>
      <c r="BM838" s="379"/>
      <c r="BN838" s="379"/>
      <c r="BO838" s="379"/>
      <c r="BP838" s="379"/>
      <c r="BQ838" s="379"/>
      <c r="BR838" s="379"/>
      <c r="BS838" s="379"/>
      <c r="BT838" s="379"/>
      <c r="BU838" s="379"/>
      <c r="BV838" s="379"/>
      <c r="BW838" s="379"/>
      <c r="BX838" s="379"/>
      <c r="BY838" s="379"/>
      <c r="BZ838" s="379"/>
      <c r="CA838" s="281"/>
      <c r="CB838" s="3" t="str">
        <f t="shared" si="106"/>
        <v>Riadok bude skrytý.</v>
      </c>
      <c r="CC838" s="271" t="s">
        <v>832</v>
      </c>
      <c r="CW838" s="30">
        <f t="shared" si="107"/>
        <v>0</v>
      </c>
      <c r="CZ838" s="30">
        <f t="shared" si="103"/>
        <v>1</v>
      </c>
      <c r="DA838" s="30">
        <f t="shared" si="108"/>
        <v>0</v>
      </c>
      <c r="DB838" s="140">
        <f t="shared" si="105"/>
        <v>0</v>
      </c>
      <c r="DS838" s="130">
        <f>SI!BY838</f>
        <v>488</v>
      </c>
      <c r="DZ838" s="131">
        <f>SI!BZ838</f>
        <v>0</v>
      </c>
    </row>
    <row r="839" spans="1:130" hidden="1" x14ac:dyDescent="0.25">
      <c r="A839" s="141"/>
      <c r="B839" s="379"/>
      <c r="C839" s="379"/>
      <c r="D839" s="379"/>
      <c r="E839" s="379"/>
      <c r="F839" s="379"/>
      <c r="G839" s="379"/>
      <c r="H839" s="379"/>
      <c r="I839" s="379"/>
      <c r="J839" s="379"/>
      <c r="K839" s="379"/>
      <c r="L839" s="379"/>
      <c r="M839" s="379"/>
      <c r="N839" s="379"/>
      <c r="O839" s="379"/>
      <c r="P839" s="379"/>
      <c r="Q839" s="379"/>
      <c r="R839" s="379"/>
      <c r="S839" s="379"/>
      <c r="T839" s="379"/>
      <c r="U839" s="379"/>
      <c r="V839" s="379"/>
      <c r="W839" s="379"/>
      <c r="X839" s="379"/>
      <c r="Y839" s="379"/>
      <c r="Z839" s="379"/>
      <c r="AA839" s="379"/>
      <c r="AB839" s="379"/>
      <c r="AC839" s="379"/>
      <c r="AD839" s="379"/>
      <c r="AE839" s="379"/>
      <c r="AF839" s="379"/>
      <c r="AG839" s="379"/>
      <c r="AH839" s="379"/>
      <c r="AI839" s="379"/>
      <c r="AJ839" s="379"/>
      <c r="AK839" s="379"/>
      <c r="AL839" s="379"/>
      <c r="AM839" s="379"/>
      <c r="AN839" s="379"/>
      <c r="AO839" s="379"/>
      <c r="AP839" s="379"/>
      <c r="AQ839" s="379"/>
      <c r="AR839" s="379"/>
      <c r="AS839" s="379"/>
      <c r="AT839" s="379"/>
      <c r="AU839" s="379"/>
      <c r="AV839" s="379"/>
      <c r="AW839" s="379"/>
      <c r="AX839" s="379"/>
      <c r="AY839" s="379"/>
      <c r="AZ839" s="379"/>
      <c r="BA839" s="379"/>
      <c r="BB839" s="379"/>
      <c r="BC839" s="379"/>
      <c r="BD839" s="379"/>
      <c r="BE839" s="379"/>
      <c r="BF839" s="379"/>
      <c r="BG839" s="379"/>
      <c r="BH839" s="379"/>
      <c r="BI839" s="379"/>
      <c r="BJ839" s="379"/>
      <c r="BK839" s="379"/>
      <c r="BL839" s="379"/>
      <c r="BM839" s="379"/>
      <c r="BN839" s="379"/>
      <c r="BO839" s="379"/>
      <c r="BP839" s="379"/>
      <c r="BQ839" s="379"/>
      <c r="BR839" s="379"/>
      <c r="BS839" s="379"/>
      <c r="BT839" s="379"/>
      <c r="BU839" s="379"/>
      <c r="BV839" s="379"/>
      <c r="BW839" s="379"/>
      <c r="BX839" s="379"/>
      <c r="BY839" s="379"/>
      <c r="BZ839" s="379"/>
      <c r="CA839" s="281"/>
      <c r="CB839" s="3" t="str">
        <f t="shared" si="106"/>
        <v>Riadok bude skrytý.</v>
      </c>
      <c r="CC839" s="271" t="s">
        <v>832</v>
      </c>
      <c r="CW839" s="30">
        <f t="shared" si="107"/>
        <v>0</v>
      </c>
      <c r="CZ839" s="30">
        <f t="shared" si="103"/>
        <v>1</v>
      </c>
      <c r="DA839" s="30">
        <f t="shared" si="108"/>
        <v>0</v>
      </c>
      <c r="DB839" s="140">
        <f t="shared" si="105"/>
        <v>0</v>
      </c>
      <c r="DS839" s="130">
        <f>SI!BY839</f>
        <v>191</v>
      </c>
      <c r="DZ839" s="131">
        <f>SI!BZ839</f>
        <v>0</v>
      </c>
    </row>
    <row r="840" spans="1:130" hidden="1" x14ac:dyDescent="0.25">
      <c r="A840" s="141"/>
      <c r="B840" s="379"/>
      <c r="C840" s="379"/>
      <c r="D840" s="379"/>
      <c r="E840" s="379"/>
      <c r="F840" s="379"/>
      <c r="G840" s="379"/>
      <c r="H840" s="379"/>
      <c r="I840" s="379"/>
      <c r="J840" s="379"/>
      <c r="K840" s="379"/>
      <c r="L840" s="379"/>
      <c r="M840" s="379"/>
      <c r="N840" s="379"/>
      <c r="O840" s="379"/>
      <c r="P840" s="379"/>
      <c r="Q840" s="379"/>
      <c r="R840" s="379"/>
      <c r="S840" s="379"/>
      <c r="T840" s="379"/>
      <c r="U840" s="379"/>
      <c r="V840" s="379"/>
      <c r="W840" s="379"/>
      <c r="X840" s="379"/>
      <c r="Y840" s="379"/>
      <c r="Z840" s="379"/>
      <c r="AA840" s="379"/>
      <c r="AB840" s="379"/>
      <c r="AC840" s="379"/>
      <c r="AD840" s="379"/>
      <c r="AE840" s="379"/>
      <c r="AF840" s="379"/>
      <c r="AG840" s="379"/>
      <c r="AH840" s="379"/>
      <c r="AI840" s="379"/>
      <c r="AJ840" s="379"/>
      <c r="AK840" s="379"/>
      <c r="AL840" s="379"/>
      <c r="AM840" s="379"/>
      <c r="AN840" s="379"/>
      <c r="AO840" s="379"/>
      <c r="AP840" s="379"/>
      <c r="AQ840" s="379"/>
      <c r="AR840" s="379"/>
      <c r="AS840" s="379"/>
      <c r="AT840" s="379"/>
      <c r="AU840" s="379"/>
      <c r="AV840" s="379"/>
      <c r="AW840" s="379"/>
      <c r="AX840" s="379"/>
      <c r="AY840" s="379"/>
      <c r="AZ840" s="379"/>
      <c r="BA840" s="379"/>
      <c r="BB840" s="379"/>
      <c r="BC840" s="379"/>
      <c r="BD840" s="379"/>
      <c r="BE840" s="379"/>
      <c r="BF840" s="379"/>
      <c r="BG840" s="379"/>
      <c r="BH840" s="379"/>
      <c r="BI840" s="379"/>
      <c r="BJ840" s="379"/>
      <c r="BK840" s="379"/>
      <c r="BL840" s="379"/>
      <c r="BM840" s="379"/>
      <c r="BN840" s="379"/>
      <c r="BO840" s="379"/>
      <c r="BP840" s="379"/>
      <c r="BQ840" s="379"/>
      <c r="BR840" s="379"/>
      <c r="BS840" s="379"/>
      <c r="BT840" s="379"/>
      <c r="BU840" s="379"/>
      <c r="BV840" s="379"/>
      <c r="BW840" s="379"/>
      <c r="BX840" s="379"/>
      <c r="BY840" s="379"/>
      <c r="BZ840" s="379"/>
      <c r="CA840" s="281"/>
      <c r="CB840" s="3" t="str">
        <f t="shared" si="106"/>
        <v>Riadok bude skrytý.</v>
      </c>
      <c r="CC840" s="271" t="s">
        <v>832</v>
      </c>
      <c r="CW840" s="30">
        <f t="shared" si="107"/>
        <v>0</v>
      </c>
      <c r="CZ840" s="30">
        <f t="shared" si="103"/>
        <v>1</v>
      </c>
      <c r="DA840" s="30">
        <f t="shared" si="108"/>
        <v>0</v>
      </c>
      <c r="DB840" s="140">
        <f t="shared" si="105"/>
        <v>0</v>
      </c>
      <c r="DS840" s="130">
        <f>SI!BY840</f>
        <v>353</v>
      </c>
      <c r="DZ840" s="131">
        <f>SI!BZ840</f>
        <v>0</v>
      </c>
    </row>
    <row r="841" spans="1:130" hidden="1" x14ac:dyDescent="0.25">
      <c r="A841" s="141"/>
      <c r="B841" s="379"/>
      <c r="C841" s="379"/>
      <c r="D841" s="379"/>
      <c r="E841" s="379"/>
      <c r="F841" s="379"/>
      <c r="G841" s="379"/>
      <c r="H841" s="379"/>
      <c r="I841" s="379"/>
      <c r="J841" s="379"/>
      <c r="K841" s="379"/>
      <c r="L841" s="379"/>
      <c r="M841" s="379"/>
      <c r="N841" s="379"/>
      <c r="O841" s="379"/>
      <c r="P841" s="379"/>
      <c r="Q841" s="379"/>
      <c r="R841" s="379"/>
      <c r="S841" s="379"/>
      <c r="T841" s="379"/>
      <c r="U841" s="379"/>
      <c r="V841" s="379"/>
      <c r="W841" s="379"/>
      <c r="X841" s="379"/>
      <c r="Y841" s="379"/>
      <c r="Z841" s="379"/>
      <c r="AA841" s="379"/>
      <c r="AB841" s="379"/>
      <c r="AC841" s="379"/>
      <c r="AD841" s="379"/>
      <c r="AE841" s="379"/>
      <c r="AF841" s="379"/>
      <c r="AG841" s="379"/>
      <c r="AH841" s="379"/>
      <c r="AI841" s="379"/>
      <c r="AJ841" s="379"/>
      <c r="AK841" s="379"/>
      <c r="AL841" s="379"/>
      <c r="AM841" s="379"/>
      <c r="AN841" s="379"/>
      <c r="AO841" s="379"/>
      <c r="AP841" s="379"/>
      <c r="AQ841" s="379"/>
      <c r="AR841" s="379"/>
      <c r="AS841" s="379"/>
      <c r="AT841" s="379"/>
      <c r="AU841" s="379"/>
      <c r="AV841" s="379"/>
      <c r="AW841" s="379"/>
      <c r="AX841" s="379"/>
      <c r="AY841" s="379"/>
      <c r="AZ841" s="379"/>
      <c r="BA841" s="379"/>
      <c r="BB841" s="379"/>
      <c r="BC841" s="379"/>
      <c r="BD841" s="379"/>
      <c r="BE841" s="379"/>
      <c r="BF841" s="379"/>
      <c r="BG841" s="379"/>
      <c r="BH841" s="379"/>
      <c r="BI841" s="379"/>
      <c r="BJ841" s="379"/>
      <c r="BK841" s="379"/>
      <c r="BL841" s="379"/>
      <c r="BM841" s="379"/>
      <c r="BN841" s="379"/>
      <c r="BO841" s="379"/>
      <c r="BP841" s="379"/>
      <c r="BQ841" s="379"/>
      <c r="BR841" s="379"/>
      <c r="BS841" s="379"/>
      <c r="BT841" s="379"/>
      <c r="BU841" s="379"/>
      <c r="BV841" s="379"/>
      <c r="BW841" s="379"/>
      <c r="BX841" s="379"/>
      <c r="BY841" s="379"/>
      <c r="BZ841" s="379"/>
      <c r="CA841" s="281"/>
      <c r="CB841" s="3" t="str">
        <f t="shared" si="106"/>
        <v>Riadok bude skrytý.</v>
      </c>
      <c r="CC841" s="271" t="s">
        <v>832</v>
      </c>
      <c r="CW841" s="30">
        <f t="shared" si="107"/>
        <v>0</v>
      </c>
      <c r="CZ841" s="30">
        <f t="shared" si="103"/>
        <v>1</v>
      </c>
      <c r="DA841" s="30">
        <f t="shared" si="108"/>
        <v>0</v>
      </c>
      <c r="DB841" s="140">
        <f t="shared" si="105"/>
        <v>0</v>
      </c>
      <c r="DS841" s="130">
        <f>SI!BY841</f>
        <v>114</v>
      </c>
      <c r="DZ841" s="131">
        <f>SI!BZ841</f>
        <v>0</v>
      </c>
    </row>
    <row r="842" spans="1:130" hidden="1" x14ac:dyDescent="0.25">
      <c r="A842" s="141"/>
      <c r="B842" s="379"/>
      <c r="C842" s="379"/>
      <c r="D842" s="379"/>
      <c r="E842" s="379"/>
      <c r="F842" s="379"/>
      <c r="G842" s="379"/>
      <c r="H842" s="379"/>
      <c r="I842" s="379"/>
      <c r="J842" s="379"/>
      <c r="K842" s="379"/>
      <c r="L842" s="379"/>
      <c r="M842" s="379"/>
      <c r="N842" s="379"/>
      <c r="O842" s="379"/>
      <c r="P842" s="379"/>
      <c r="Q842" s="379"/>
      <c r="R842" s="379"/>
      <c r="S842" s="379"/>
      <c r="T842" s="379"/>
      <c r="U842" s="379"/>
      <c r="V842" s="379"/>
      <c r="W842" s="379"/>
      <c r="X842" s="379"/>
      <c r="Y842" s="379"/>
      <c r="Z842" s="379"/>
      <c r="AA842" s="379"/>
      <c r="AB842" s="379"/>
      <c r="AC842" s="379"/>
      <c r="AD842" s="379"/>
      <c r="AE842" s="379"/>
      <c r="AF842" s="379"/>
      <c r="AG842" s="379"/>
      <c r="AH842" s="379"/>
      <c r="AI842" s="379"/>
      <c r="AJ842" s="379"/>
      <c r="AK842" s="379"/>
      <c r="AL842" s="379"/>
      <c r="AM842" s="379"/>
      <c r="AN842" s="379"/>
      <c r="AO842" s="379"/>
      <c r="AP842" s="379"/>
      <c r="AQ842" s="379"/>
      <c r="AR842" s="379"/>
      <c r="AS842" s="379"/>
      <c r="AT842" s="379"/>
      <c r="AU842" s="379"/>
      <c r="AV842" s="379"/>
      <c r="AW842" s="379"/>
      <c r="AX842" s="379"/>
      <c r="AY842" s="379"/>
      <c r="AZ842" s="379"/>
      <c r="BA842" s="379"/>
      <c r="BB842" s="379"/>
      <c r="BC842" s="379"/>
      <c r="BD842" s="379"/>
      <c r="BE842" s="379"/>
      <c r="BF842" s="379"/>
      <c r="BG842" s="379"/>
      <c r="BH842" s="379"/>
      <c r="BI842" s="379"/>
      <c r="BJ842" s="379"/>
      <c r="BK842" s="379"/>
      <c r="BL842" s="379"/>
      <c r="BM842" s="379"/>
      <c r="BN842" s="379"/>
      <c r="BO842" s="379"/>
      <c r="BP842" s="379"/>
      <c r="BQ842" s="379"/>
      <c r="BR842" s="379"/>
      <c r="BS842" s="379"/>
      <c r="BT842" s="379"/>
      <c r="BU842" s="379"/>
      <c r="BV842" s="379"/>
      <c r="BW842" s="379"/>
      <c r="BX842" s="379"/>
      <c r="BY842" s="379"/>
      <c r="BZ842" s="379"/>
      <c r="CA842" s="281"/>
      <c r="CB842" s="3" t="str">
        <f t="shared" si="106"/>
        <v>Riadok bude skrytý.</v>
      </c>
      <c r="CC842" s="271" t="s">
        <v>832</v>
      </c>
      <c r="CW842" s="30">
        <f t="shared" si="107"/>
        <v>0</v>
      </c>
      <c r="CZ842" s="30">
        <f t="shared" si="103"/>
        <v>1</v>
      </c>
      <c r="DA842" s="30">
        <f t="shared" si="108"/>
        <v>0</v>
      </c>
      <c r="DB842" s="140">
        <f t="shared" si="105"/>
        <v>0</v>
      </c>
      <c r="DS842" s="130">
        <f>SI!BY842</f>
        <v>147</v>
      </c>
      <c r="DZ842" s="131">
        <f>SI!BZ842</f>
        <v>0</v>
      </c>
    </row>
    <row r="843" spans="1:130" hidden="1" x14ac:dyDescent="0.25">
      <c r="A843" s="141"/>
      <c r="B843" s="379"/>
      <c r="C843" s="379"/>
      <c r="D843" s="379"/>
      <c r="E843" s="379"/>
      <c r="F843" s="379"/>
      <c r="G843" s="379"/>
      <c r="H843" s="379"/>
      <c r="I843" s="379"/>
      <c r="J843" s="379"/>
      <c r="K843" s="379"/>
      <c r="L843" s="379"/>
      <c r="M843" s="379"/>
      <c r="N843" s="379"/>
      <c r="O843" s="379"/>
      <c r="P843" s="379"/>
      <c r="Q843" s="379"/>
      <c r="R843" s="379"/>
      <c r="S843" s="379"/>
      <c r="T843" s="379"/>
      <c r="U843" s="379"/>
      <c r="V843" s="379"/>
      <c r="W843" s="379"/>
      <c r="X843" s="379"/>
      <c r="Y843" s="379"/>
      <c r="Z843" s="379"/>
      <c r="AA843" s="379"/>
      <c r="AB843" s="379"/>
      <c r="AC843" s="379"/>
      <c r="AD843" s="379"/>
      <c r="AE843" s="379"/>
      <c r="AF843" s="379"/>
      <c r="AG843" s="379"/>
      <c r="AH843" s="379"/>
      <c r="AI843" s="379"/>
      <c r="AJ843" s="379"/>
      <c r="AK843" s="379"/>
      <c r="AL843" s="379"/>
      <c r="AM843" s="379"/>
      <c r="AN843" s="379"/>
      <c r="AO843" s="379"/>
      <c r="AP843" s="379"/>
      <c r="AQ843" s="379"/>
      <c r="AR843" s="379"/>
      <c r="AS843" s="379"/>
      <c r="AT843" s="379"/>
      <c r="AU843" s="379"/>
      <c r="AV843" s="379"/>
      <c r="AW843" s="379"/>
      <c r="AX843" s="379"/>
      <c r="AY843" s="379"/>
      <c r="AZ843" s="379"/>
      <c r="BA843" s="379"/>
      <c r="BB843" s="379"/>
      <c r="BC843" s="379"/>
      <c r="BD843" s="379"/>
      <c r="BE843" s="379"/>
      <c r="BF843" s="379"/>
      <c r="BG843" s="379"/>
      <c r="BH843" s="379"/>
      <c r="BI843" s="379"/>
      <c r="BJ843" s="379"/>
      <c r="BK843" s="379"/>
      <c r="BL843" s="379"/>
      <c r="BM843" s="379"/>
      <c r="BN843" s="379"/>
      <c r="BO843" s="379"/>
      <c r="BP843" s="379"/>
      <c r="BQ843" s="379"/>
      <c r="BR843" s="379"/>
      <c r="BS843" s="379"/>
      <c r="BT843" s="379"/>
      <c r="BU843" s="379"/>
      <c r="BV843" s="379"/>
      <c r="BW843" s="379"/>
      <c r="BX843" s="379"/>
      <c r="BY843" s="379"/>
      <c r="BZ843" s="379"/>
      <c r="CA843" s="281"/>
      <c r="CB843" s="3" t="str">
        <f t="shared" si="106"/>
        <v>Riadok bude skrytý.</v>
      </c>
      <c r="CC843" s="271" t="s">
        <v>832</v>
      </c>
      <c r="CW843" s="30">
        <f t="shared" si="107"/>
        <v>0</v>
      </c>
      <c r="CZ843" s="30">
        <f t="shared" si="103"/>
        <v>1</v>
      </c>
      <c r="DA843" s="30">
        <f t="shared" si="108"/>
        <v>0</v>
      </c>
      <c r="DB843" s="140">
        <f t="shared" si="105"/>
        <v>0</v>
      </c>
      <c r="DS843" s="130">
        <f>SI!BY843</f>
        <v>202</v>
      </c>
      <c r="DZ843" s="131">
        <f>SI!BZ843</f>
        <v>0</v>
      </c>
    </row>
    <row r="844" spans="1:130" hidden="1" x14ac:dyDescent="0.25">
      <c r="A844" s="141"/>
      <c r="B844" s="379"/>
      <c r="C844" s="379"/>
      <c r="D844" s="379"/>
      <c r="E844" s="379"/>
      <c r="F844" s="379"/>
      <c r="G844" s="379"/>
      <c r="H844" s="379"/>
      <c r="I844" s="379"/>
      <c r="J844" s="379"/>
      <c r="K844" s="379"/>
      <c r="L844" s="379"/>
      <c r="M844" s="379"/>
      <c r="N844" s="379"/>
      <c r="O844" s="379"/>
      <c r="P844" s="379"/>
      <c r="Q844" s="379"/>
      <c r="R844" s="379"/>
      <c r="S844" s="379"/>
      <c r="T844" s="379"/>
      <c r="U844" s="379"/>
      <c r="V844" s="379"/>
      <c r="W844" s="379"/>
      <c r="X844" s="379"/>
      <c r="Y844" s="379"/>
      <c r="Z844" s="379"/>
      <c r="AA844" s="379"/>
      <c r="AB844" s="379"/>
      <c r="AC844" s="379"/>
      <c r="AD844" s="379"/>
      <c r="AE844" s="379"/>
      <c r="AF844" s="379"/>
      <c r="AG844" s="379"/>
      <c r="AH844" s="379"/>
      <c r="AI844" s="379"/>
      <c r="AJ844" s="379"/>
      <c r="AK844" s="379"/>
      <c r="AL844" s="379"/>
      <c r="AM844" s="379"/>
      <c r="AN844" s="379"/>
      <c r="AO844" s="379"/>
      <c r="AP844" s="379"/>
      <c r="AQ844" s="379"/>
      <c r="AR844" s="379"/>
      <c r="AS844" s="379"/>
      <c r="AT844" s="379"/>
      <c r="AU844" s="379"/>
      <c r="AV844" s="379"/>
      <c r="AW844" s="379"/>
      <c r="AX844" s="379"/>
      <c r="AY844" s="379"/>
      <c r="AZ844" s="379"/>
      <c r="BA844" s="379"/>
      <c r="BB844" s="379"/>
      <c r="BC844" s="379"/>
      <c r="BD844" s="379"/>
      <c r="BE844" s="379"/>
      <c r="BF844" s="379"/>
      <c r="BG844" s="379"/>
      <c r="BH844" s="379"/>
      <c r="BI844" s="379"/>
      <c r="BJ844" s="379"/>
      <c r="BK844" s="379"/>
      <c r="BL844" s="379"/>
      <c r="BM844" s="379"/>
      <c r="BN844" s="379"/>
      <c r="BO844" s="379"/>
      <c r="BP844" s="379"/>
      <c r="BQ844" s="379"/>
      <c r="BR844" s="379"/>
      <c r="BS844" s="379"/>
      <c r="BT844" s="379"/>
      <c r="BU844" s="379"/>
      <c r="BV844" s="379"/>
      <c r="BW844" s="379"/>
      <c r="BX844" s="379"/>
      <c r="BY844" s="379"/>
      <c r="BZ844" s="379"/>
      <c r="CA844" s="281"/>
      <c r="CB844" s="3" t="str">
        <f t="shared" si="106"/>
        <v>Riadok bude skrytý.</v>
      </c>
      <c r="CC844" s="271" t="s">
        <v>832</v>
      </c>
      <c r="CW844" s="30">
        <f t="shared" si="107"/>
        <v>0</v>
      </c>
      <c r="CZ844" s="30">
        <f t="shared" si="103"/>
        <v>1</v>
      </c>
      <c r="DA844" s="30">
        <f t="shared" si="108"/>
        <v>0</v>
      </c>
      <c r="DB844" s="140">
        <f t="shared" si="105"/>
        <v>0</v>
      </c>
      <c r="DS844" s="130">
        <f>SI!BY844</f>
        <v>320</v>
      </c>
      <c r="DZ844" s="131">
        <f>SI!BZ844</f>
        <v>0</v>
      </c>
    </row>
    <row r="845" spans="1:130" hidden="1" x14ac:dyDescent="0.25">
      <c r="A845" s="141"/>
      <c r="B845" s="379"/>
      <c r="C845" s="379"/>
      <c r="D845" s="379"/>
      <c r="E845" s="379"/>
      <c r="F845" s="379"/>
      <c r="G845" s="379"/>
      <c r="H845" s="379"/>
      <c r="I845" s="379"/>
      <c r="J845" s="379"/>
      <c r="K845" s="379"/>
      <c r="L845" s="379"/>
      <c r="M845" s="379"/>
      <c r="N845" s="379"/>
      <c r="O845" s="379"/>
      <c r="P845" s="379"/>
      <c r="Q845" s="379"/>
      <c r="R845" s="379"/>
      <c r="S845" s="379"/>
      <c r="T845" s="379"/>
      <c r="U845" s="379"/>
      <c r="V845" s="379"/>
      <c r="W845" s="379"/>
      <c r="X845" s="379"/>
      <c r="Y845" s="379"/>
      <c r="Z845" s="379"/>
      <c r="AA845" s="379"/>
      <c r="AB845" s="379"/>
      <c r="AC845" s="379"/>
      <c r="AD845" s="379"/>
      <c r="AE845" s="379"/>
      <c r="AF845" s="379"/>
      <c r="AG845" s="379"/>
      <c r="AH845" s="379"/>
      <c r="AI845" s="379"/>
      <c r="AJ845" s="379"/>
      <c r="AK845" s="379"/>
      <c r="AL845" s="379"/>
      <c r="AM845" s="379"/>
      <c r="AN845" s="379"/>
      <c r="AO845" s="379"/>
      <c r="AP845" s="379"/>
      <c r="AQ845" s="379"/>
      <c r="AR845" s="379"/>
      <c r="AS845" s="379"/>
      <c r="AT845" s="379"/>
      <c r="AU845" s="379"/>
      <c r="AV845" s="379"/>
      <c r="AW845" s="379"/>
      <c r="AX845" s="379"/>
      <c r="AY845" s="379"/>
      <c r="AZ845" s="379"/>
      <c r="BA845" s="379"/>
      <c r="BB845" s="379"/>
      <c r="BC845" s="379"/>
      <c r="BD845" s="379"/>
      <c r="BE845" s="379"/>
      <c r="BF845" s="379"/>
      <c r="BG845" s="379"/>
      <c r="BH845" s="379"/>
      <c r="BI845" s="379"/>
      <c r="BJ845" s="379"/>
      <c r="BK845" s="379"/>
      <c r="BL845" s="379"/>
      <c r="BM845" s="379"/>
      <c r="BN845" s="379"/>
      <c r="BO845" s="379"/>
      <c r="BP845" s="379"/>
      <c r="BQ845" s="379"/>
      <c r="BR845" s="379"/>
      <c r="BS845" s="379"/>
      <c r="BT845" s="379"/>
      <c r="BU845" s="379"/>
      <c r="BV845" s="379"/>
      <c r="BW845" s="379"/>
      <c r="BX845" s="379"/>
      <c r="BY845" s="379"/>
      <c r="BZ845" s="379"/>
      <c r="CA845" s="281"/>
      <c r="CB845" s="3" t="str">
        <f t="shared" si="106"/>
        <v>Riadok bude skrytý.</v>
      </c>
      <c r="CC845" s="271" t="s">
        <v>832</v>
      </c>
      <c r="CW845" s="30">
        <f t="shared" si="107"/>
        <v>0</v>
      </c>
      <c r="CZ845" s="30">
        <f t="shared" si="103"/>
        <v>1</v>
      </c>
      <c r="DA845" s="30">
        <f t="shared" si="108"/>
        <v>0</v>
      </c>
      <c r="DB845" s="140">
        <f t="shared" si="105"/>
        <v>0</v>
      </c>
      <c r="DS845" s="130">
        <f>SI!BY845</f>
        <v>122</v>
      </c>
      <c r="DZ845" s="131">
        <f>SI!BZ845</f>
        <v>0</v>
      </c>
    </row>
    <row r="846" spans="1:130" hidden="1" x14ac:dyDescent="0.25">
      <c r="A846" s="141"/>
      <c r="B846" s="379"/>
      <c r="C846" s="379"/>
      <c r="D846" s="379"/>
      <c r="E846" s="379"/>
      <c r="F846" s="379"/>
      <c r="G846" s="379"/>
      <c r="H846" s="379"/>
      <c r="I846" s="379"/>
      <c r="J846" s="379"/>
      <c r="K846" s="379"/>
      <c r="L846" s="379"/>
      <c r="M846" s="379"/>
      <c r="N846" s="379"/>
      <c r="O846" s="379"/>
      <c r="P846" s="379"/>
      <c r="Q846" s="379"/>
      <c r="R846" s="379"/>
      <c r="S846" s="379"/>
      <c r="T846" s="379"/>
      <c r="U846" s="379"/>
      <c r="V846" s="379"/>
      <c r="W846" s="379"/>
      <c r="X846" s="379"/>
      <c r="Y846" s="379"/>
      <c r="Z846" s="379"/>
      <c r="AA846" s="379"/>
      <c r="AB846" s="379"/>
      <c r="AC846" s="379"/>
      <c r="AD846" s="379"/>
      <c r="AE846" s="379"/>
      <c r="AF846" s="379"/>
      <c r="AG846" s="379"/>
      <c r="AH846" s="379"/>
      <c r="AI846" s="379"/>
      <c r="AJ846" s="379"/>
      <c r="AK846" s="379"/>
      <c r="AL846" s="379"/>
      <c r="AM846" s="379"/>
      <c r="AN846" s="379"/>
      <c r="AO846" s="379"/>
      <c r="AP846" s="379"/>
      <c r="AQ846" s="379"/>
      <c r="AR846" s="379"/>
      <c r="AS846" s="379"/>
      <c r="AT846" s="379"/>
      <c r="AU846" s="379"/>
      <c r="AV846" s="379"/>
      <c r="AW846" s="379"/>
      <c r="AX846" s="379"/>
      <c r="AY846" s="379"/>
      <c r="AZ846" s="379"/>
      <c r="BA846" s="379"/>
      <c r="BB846" s="379"/>
      <c r="BC846" s="379"/>
      <c r="BD846" s="379"/>
      <c r="BE846" s="379"/>
      <c r="BF846" s="379"/>
      <c r="BG846" s="379"/>
      <c r="BH846" s="379"/>
      <c r="BI846" s="379"/>
      <c r="BJ846" s="379"/>
      <c r="BK846" s="379"/>
      <c r="BL846" s="379"/>
      <c r="BM846" s="379"/>
      <c r="BN846" s="379"/>
      <c r="BO846" s="379"/>
      <c r="BP846" s="379"/>
      <c r="BQ846" s="379"/>
      <c r="BR846" s="379"/>
      <c r="BS846" s="379"/>
      <c r="BT846" s="379"/>
      <c r="BU846" s="379"/>
      <c r="BV846" s="379"/>
      <c r="BW846" s="379"/>
      <c r="BX846" s="379"/>
      <c r="BY846" s="379"/>
      <c r="BZ846" s="379"/>
      <c r="CA846" s="281"/>
      <c r="CB846" s="3" t="str">
        <f t="shared" si="106"/>
        <v>Riadok bude skrytý.</v>
      </c>
      <c r="CC846" s="271" t="s">
        <v>832</v>
      </c>
      <c r="CW846" s="30">
        <f t="shared" si="107"/>
        <v>0</v>
      </c>
      <c r="CZ846" s="30">
        <f t="shared" si="103"/>
        <v>1</v>
      </c>
      <c r="DA846" s="30">
        <f t="shared" si="108"/>
        <v>0</v>
      </c>
      <c r="DB846" s="140">
        <f t="shared" si="105"/>
        <v>0</v>
      </c>
      <c r="DS846" s="130">
        <f>SI!BY846</f>
        <v>251</v>
      </c>
      <c r="DZ846" s="131">
        <f>SI!BZ846</f>
        <v>0</v>
      </c>
    </row>
    <row r="847" spans="1:130" hidden="1" x14ac:dyDescent="0.25">
      <c r="A847" s="141"/>
      <c r="CA847" s="270"/>
      <c r="CB847" s="3" t="str">
        <f t="shared" si="106"/>
        <v>Riadok bude skrytý.</v>
      </c>
      <c r="CC847" s="271" t="s">
        <v>832</v>
      </c>
      <c r="CW847" s="32"/>
      <c r="CZ847" s="30">
        <f t="shared" si="103"/>
        <v>1</v>
      </c>
      <c r="DA847" s="30">
        <f t="shared" si="108"/>
        <v>0</v>
      </c>
      <c r="DB847" s="140">
        <f t="shared" si="105"/>
        <v>0</v>
      </c>
      <c r="DS847" s="130">
        <f>SI!BY847</f>
        <v>182</v>
      </c>
      <c r="DZ847" s="131">
        <f>SI!BZ847</f>
        <v>0</v>
      </c>
    </row>
    <row r="848" spans="1:130" hidden="1" x14ac:dyDescent="0.25">
      <c r="A848" s="141"/>
      <c r="B848" s="284" t="s">
        <v>859</v>
      </c>
      <c r="C848" s="1792" t="s">
        <v>939</v>
      </c>
      <c r="D848" s="1792"/>
      <c r="E848" s="1792"/>
      <c r="F848" s="1792"/>
      <c r="G848" s="1792"/>
      <c r="H848" s="1792"/>
      <c r="I848" s="1792"/>
      <c r="J848" s="1792"/>
      <c r="K848" s="1792"/>
      <c r="L848" s="1792"/>
      <c r="M848" s="1792"/>
      <c r="N848" s="1792"/>
      <c r="O848" s="1792"/>
      <c r="P848" s="1792"/>
      <c r="Q848" s="1792"/>
      <c r="R848" s="1792"/>
      <c r="S848" s="1792"/>
      <c r="T848" s="1792"/>
      <c r="U848" s="1792"/>
      <c r="V848" s="1792"/>
      <c r="W848" s="1792"/>
      <c r="X848" s="1792"/>
      <c r="Y848" s="1792"/>
      <c r="Z848" s="1792"/>
      <c r="AA848" s="1792"/>
      <c r="AB848" s="1792"/>
      <c r="AC848" s="1792"/>
      <c r="AD848" s="1792"/>
      <c r="AE848" s="1792"/>
      <c r="AF848" s="1792"/>
      <c r="AG848" s="1792"/>
      <c r="AH848" s="1792"/>
      <c r="AI848" s="1792"/>
      <c r="AJ848" s="1792"/>
      <c r="AK848" s="1792"/>
      <c r="AL848" s="1792"/>
      <c r="AM848" s="1792"/>
      <c r="AN848" s="1792"/>
      <c r="AO848" s="1792"/>
      <c r="AP848" s="1792"/>
      <c r="AQ848" s="1792"/>
      <c r="AR848" s="1792"/>
      <c r="AS848" s="1792"/>
      <c r="AT848" s="1792"/>
      <c r="AU848" s="1792"/>
      <c r="AV848" s="1792"/>
      <c r="AW848" s="1792"/>
      <c r="AX848" s="1792"/>
      <c r="AY848" s="1792"/>
      <c r="AZ848" s="1792"/>
      <c r="BA848" s="1792"/>
      <c r="BB848" s="1792"/>
      <c r="BC848" s="1792"/>
      <c r="BD848" s="1792"/>
      <c r="BE848" s="1792"/>
      <c r="BF848" s="1792"/>
      <c r="BG848" s="1792"/>
      <c r="BH848" s="1792"/>
      <c r="BI848" s="1792"/>
      <c r="BJ848" s="1792"/>
      <c r="BK848" s="1792"/>
      <c r="BL848" s="1792"/>
      <c r="BM848" s="1792"/>
      <c r="BN848" s="1792"/>
      <c r="BO848" s="1792"/>
      <c r="BP848" s="1792"/>
      <c r="BQ848" s="1792"/>
      <c r="BR848" s="1792"/>
      <c r="BS848" s="1792"/>
      <c r="BT848" s="1792"/>
      <c r="BU848" s="1792"/>
      <c r="BV848" s="1792"/>
      <c r="BW848" s="1792"/>
      <c r="BX848" s="1792"/>
      <c r="BY848" s="1792"/>
      <c r="BZ848" s="1792"/>
      <c r="CA848" s="265" t="s">
        <v>773</v>
      </c>
      <c r="CB848" s="3" t="str">
        <f t="shared" si="106"/>
        <v>Riadok bude skrytý.</v>
      </c>
      <c r="CC848" s="271" t="s">
        <v>832</v>
      </c>
      <c r="CD848" s="121" t="s">
        <v>1002</v>
      </c>
      <c r="CE848" s="121"/>
      <c r="CW848" s="30">
        <f>+IF($AE$850="nevykonala",0,1)</f>
        <v>0</v>
      </c>
      <c r="CZ848" s="30">
        <f t="shared" si="103"/>
        <v>1</v>
      </c>
      <c r="DA848" s="30">
        <f t="shared" si="108"/>
        <v>0</v>
      </c>
      <c r="DB848" s="140">
        <f t="shared" si="105"/>
        <v>0</v>
      </c>
      <c r="DS848" s="130">
        <f>SI!BY848</f>
        <v>357</v>
      </c>
      <c r="DZ848" s="131">
        <f>SI!BZ848</f>
        <v>0</v>
      </c>
    </row>
    <row r="849" spans="1:130" hidden="1" x14ac:dyDescent="0.25">
      <c r="A849" s="141"/>
      <c r="CA849" s="281"/>
      <c r="CB849" s="3" t="str">
        <f t="shared" si="106"/>
        <v>Riadok bude skrytý.</v>
      </c>
      <c r="CC849" s="271" t="s">
        <v>832</v>
      </c>
      <c r="CD849" s="137"/>
      <c r="CE849" s="137"/>
      <c r="CW849" s="30">
        <f>+IF($AE$850="nevykonala",0,1)</f>
        <v>0</v>
      </c>
      <c r="CZ849" s="30">
        <f t="shared" si="103"/>
        <v>1</v>
      </c>
      <c r="DA849" s="30">
        <f t="shared" si="108"/>
        <v>0</v>
      </c>
      <c r="DB849" s="140">
        <f t="shared" si="105"/>
        <v>0</v>
      </c>
      <c r="DS849" s="130">
        <f>SI!BY849</f>
        <v>160</v>
      </c>
      <c r="DZ849" s="131">
        <f>SI!BZ849</f>
        <v>0</v>
      </c>
    </row>
    <row r="850" spans="1:130" hidden="1" x14ac:dyDescent="0.25">
      <c r="A850" s="141"/>
      <c r="B850" s="12" t="s">
        <v>940</v>
      </c>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385" t="s">
        <v>1062</v>
      </c>
      <c r="AF850" s="385"/>
      <c r="AG850" s="385"/>
      <c r="AH850" s="385"/>
      <c r="AI850" s="385"/>
      <c r="AJ850" s="385"/>
      <c r="AK850" s="385"/>
      <c r="AL850" s="385"/>
      <c r="AM850" s="385"/>
      <c r="AN850" s="12" t="s">
        <v>941</v>
      </c>
      <c r="AQ850" s="38"/>
      <c r="AR850" s="38"/>
      <c r="AS850" s="38"/>
      <c r="AU850" s="12"/>
      <c r="AV850" s="12"/>
      <c r="AW850" s="12"/>
      <c r="AX850" s="12"/>
      <c r="AY850" s="12"/>
      <c r="AZ850" s="12"/>
      <c r="BA850" s="12"/>
      <c r="BB850" s="12"/>
      <c r="BC850" s="12"/>
      <c r="BD850" s="12"/>
      <c r="BE850" s="12"/>
      <c r="BF850" s="12"/>
      <c r="BG850" s="12"/>
      <c r="BH850" s="12"/>
      <c r="BI850" s="12"/>
      <c r="BJ850" s="12"/>
      <c r="BK850" s="12"/>
      <c r="BL850" s="12"/>
      <c r="BM850" s="12"/>
      <c r="BN850" s="12"/>
      <c r="BO850" s="12"/>
      <c r="BP850" s="12"/>
      <c r="BQ850" s="12"/>
      <c r="BR850" s="12"/>
      <c r="BS850" s="12"/>
      <c r="BT850" s="12"/>
      <c r="BU850" s="12"/>
      <c r="BV850" s="12"/>
      <c r="BW850" s="12"/>
      <c r="BX850" s="12"/>
      <c r="BY850" s="12"/>
      <c r="BZ850" s="12"/>
      <c r="CA850" s="281"/>
      <c r="CB850" s="3" t="str">
        <f t="shared" si="106"/>
        <v>Riadok bude skrytý.</v>
      </c>
      <c r="CC850" s="271" t="s">
        <v>832</v>
      </c>
      <c r="CW850" s="30">
        <f>+IF($AE$850="nevykonala",0,1)</f>
        <v>0</v>
      </c>
      <c r="CZ850" s="30">
        <f t="shared" si="103"/>
        <v>1</v>
      </c>
      <c r="DA850" s="30">
        <f t="shared" si="108"/>
        <v>0</v>
      </c>
      <c r="DB850" s="140">
        <f t="shared" si="105"/>
        <v>0</v>
      </c>
      <c r="DS850" s="130">
        <f>SI!BY850</f>
        <v>174</v>
      </c>
      <c r="DZ850" s="131">
        <f>SI!BZ850</f>
        <v>0</v>
      </c>
    </row>
    <row r="851" spans="1:130" hidden="1" x14ac:dyDescent="0.25">
      <c r="A851" s="141"/>
      <c r="B851" s="137" t="str">
        <f>+IF(AE850="vykonala","Údaje o významnej oprave chýb minulých účtovných období sú uvedené v tabuľke:","")</f>
        <v/>
      </c>
      <c r="CA851" s="281"/>
      <c r="CB851" s="3" t="str">
        <f t="shared" si="106"/>
        <v>Riadok bude skrytý.</v>
      </c>
      <c r="CC851" s="271" t="s">
        <v>832</v>
      </c>
      <c r="CW851" s="30">
        <f>+IF($AE$850="nevykonala",0,1)</f>
        <v>0</v>
      </c>
      <c r="CX851" s="2">
        <f>+IF(SUM(CX854:CX862)=0,0,1)</f>
        <v>0</v>
      </c>
      <c r="CZ851" s="30">
        <f t="shared" si="103"/>
        <v>1</v>
      </c>
      <c r="DA851" s="52">
        <f>+IF(CW851*CX851=0,0,IF(CZ851=0,0,1))</f>
        <v>0</v>
      </c>
      <c r="DB851" s="140">
        <f t="shared" si="105"/>
        <v>0</v>
      </c>
      <c r="DS851" s="130">
        <f>SI!BY851</f>
        <v>288</v>
      </c>
      <c r="DZ851" s="131">
        <f>SI!BZ851</f>
        <v>0</v>
      </c>
    </row>
    <row r="852" spans="1:130" ht="14.95" hidden="1" customHeight="1" x14ac:dyDescent="0.25">
      <c r="A852" s="141"/>
      <c r="CA852" s="281"/>
      <c r="CB852" s="3" t="str">
        <f t="shared" si="106"/>
        <v>Riadok bude skrytý.</v>
      </c>
      <c r="CC852" s="271" t="s">
        <v>832</v>
      </c>
      <c r="CW852" s="30">
        <f t="shared" ref="CW852:CW863" si="109">+IF($AE$850="nevykonala",0,1)</f>
        <v>0</v>
      </c>
      <c r="CX852" s="2">
        <f>+IF(SUM(CX854:CX862)=0,0,1)</f>
        <v>0</v>
      </c>
      <c r="CZ852" s="30">
        <f t="shared" ref="CZ852:CZ915" si="110">IF(CC852="",1,IF(CC852="Chcem skryť riadok.",0,1))</f>
        <v>1</v>
      </c>
      <c r="DA852" s="52">
        <f>+IF(CW852*CX852=0,0,IF(CZ852=0,0,1))</f>
        <v>0</v>
      </c>
      <c r="DB852" s="140">
        <f t="shared" si="105"/>
        <v>0</v>
      </c>
      <c r="DS852" s="130">
        <f>SI!BY852</f>
        <v>162</v>
      </c>
      <c r="DZ852" s="131">
        <f>SI!BZ852</f>
        <v>0</v>
      </c>
    </row>
    <row r="853" spans="1:130" ht="24.8" hidden="1" customHeight="1" x14ac:dyDescent="0.25">
      <c r="A853" s="141"/>
      <c r="B853" s="1877" t="s">
        <v>942</v>
      </c>
      <c r="C853" s="1878"/>
      <c r="D853" s="1878"/>
      <c r="E853" s="1878"/>
      <c r="F853" s="1878"/>
      <c r="G853" s="1878"/>
      <c r="H853" s="1878"/>
      <c r="I853" s="1878"/>
      <c r="J853" s="1878"/>
      <c r="K853" s="1878"/>
      <c r="L853" s="1878"/>
      <c r="M853" s="1878"/>
      <c r="N853" s="1878"/>
      <c r="O853" s="1878"/>
      <c r="P853" s="1878"/>
      <c r="Q853" s="1878"/>
      <c r="R853" s="1878"/>
      <c r="S853" s="1878"/>
      <c r="T853" s="1878"/>
      <c r="U853" s="1878"/>
      <c r="V853" s="1878"/>
      <c r="W853" s="1878"/>
      <c r="X853" s="1878"/>
      <c r="Y853" s="1878"/>
      <c r="Z853" s="1878"/>
      <c r="AA853" s="1878"/>
      <c r="AB853" s="1878"/>
      <c r="AC853" s="1878"/>
      <c r="AD853" s="1878"/>
      <c r="AE853" s="1878"/>
      <c r="AF853" s="1878"/>
      <c r="AG853" s="1878"/>
      <c r="AH853" s="1878"/>
      <c r="AI853" s="1878"/>
      <c r="AJ853" s="1878"/>
      <c r="AK853" s="1878"/>
      <c r="AL853" s="1878"/>
      <c r="AM853" s="1878"/>
      <c r="AN853" s="1878"/>
      <c r="AO853" s="1878"/>
      <c r="AP853" s="1878"/>
      <c r="AQ853" s="1878"/>
      <c r="AR853" s="1879"/>
      <c r="AS853" s="2017" t="s">
        <v>943</v>
      </c>
      <c r="AT853" s="2018"/>
      <c r="AU853" s="2018"/>
      <c r="AV853" s="2018"/>
      <c r="AW853" s="2018"/>
      <c r="AX853" s="2018"/>
      <c r="AY853" s="2018"/>
      <c r="AZ853" s="2018"/>
      <c r="BA853" s="2018"/>
      <c r="BB853" s="2018"/>
      <c r="BC853" s="2018"/>
      <c r="BD853" s="2018"/>
      <c r="BE853" s="2018"/>
      <c r="BF853" s="2018"/>
      <c r="BG853" s="2018"/>
      <c r="BH853" s="2018"/>
      <c r="BI853" s="2018"/>
      <c r="BJ853" s="2018"/>
      <c r="BK853" s="2018"/>
      <c r="BL853" s="2018"/>
      <c r="BM853" s="2018"/>
      <c r="BN853" s="2018"/>
      <c r="BO853" s="2018"/>
      <c r="BP853" s="2018"/>
      <c r="BQ853" s="2018"/>
      <c r="BR853" s="2018"/>
      <c r="BS853" s="2018"/>
      <c r="BT853" s="2018"/>
      <c r="BU853" s="2018"/>
      <c r="BV853" s="2018"/>
      <c r="BW853" s="2018"/>
      <c r="BX853" s="2018"/>
      <c r="BY853" s="2018"/>
      <c r="BZ853" s="2019"/>
      <c r="CA853" s="265" t="s">
        <v>773</v>
      </c>
      <c r="CB853" s="3" t="str">
        <f t="shared" si="106"/>
        <v>Riadok bude skrytý.</v>
      </c>
      <c r="CC853" s="271" t="s">
        <v>832</v>
      </c>
      <c r="CW853" s="30">
        <f t="shared" si="109"/>
        <v>0</v>
      </c>
      <c r="CX853" s="2">
        <f>+IF(SUM(CX854:CX862)=0,0,1)</f>
        <v>0</v>
      </c>
      <c r="CZ853" s="30">
        <f t="shared" si="110"/>
        <v>1</v>
      </c>
      <c r="DA853" s="52">
        <f>+IF(CW853*CX853=0,0,IF(CZ853=0,0,1))</f>
        <v>0</v>
      </c>
      <c r="DB853" s="140">
        <f t="shared" si="105"/>
        <v>0</v>
      </c>
      <c r="DS853" s="130">
        <f>SI!BY853</f>
        <v>13</v>
      </c>
      <c r="DZ853" s="131">
        <f>SI!BZ853</f>
        <v>0</v>
      </c>
    </row>
    <row r="854" spans="1:130" hidden="1" x14ac:dyDescent="0.25">
      <c r="A854" s="141"/>
      <c r="B854" s="1880"/>
      <c r="C854" s="1881"/>
      <c r="D854" s="1881"/>
      <c r="E854" s="1881"/>
      <c r="F854" s="1881"/>
      <c r="G854" s="1881"/>
      <c r="H854" s="1881"/>
      <c r="I854" s="1881"/>
      <c r="J854" s="1881"/>
      <c r="K854" s="1881"/>
      <c r="L854" s="1881"/>
      <c r="M854" s="1881"/>
      <c r="N854" s="1881"/>
      <c r="O854" s="1881"/>
      <c r="P854" s="1881"/>
      <c r="Q854" s="1881"/>
      <c r="R854" s="1881"/>
      <c r="S854" s="1881"/>
      <c r="T854" s="1881"/>
      <c r="U854" s="1881"/>
      <c r="V854" s="1881"/>
      <c r="W854" s="1881"/>
      <c r="X854" s="1881"/>
      <c r="Y854" s="1881"/>
      <c r="Z854" s="1881"/>
      <c r="AA854" s="1881"/>
      <c r="AB854" s="1881"/>
      <c r="AC854" s="1881"/>
      <c r="AD854" s="1881"/>
      <c r="AE854" s="1881"/>
      <c r="AF854" s="1881"/>
      <c r="AG854" s="1881"/>
      <c r="AH854" s="1881"/>
      <c r="AI854" s="1881"/>
      <c r="AJ854" s="1881"/>
      <c r="AK854" s="1881"/>
      <c r="AL854" s="1881"/>
      <c r="AM854" s="1881"/>
      <c r="AN854" s="1881"/>
      <c r="AO854" s="1881"/>
      <c r="AP854" s="1881"/>
      <c r="AQ854" s="1881"/>
      <c r="AR854" s="1882"/>
      <c r="AS854" s="1880"/>
      <c r="AT854" s="1881"/>
      <c r="AU854" s="1881"/>
      <c r="AV854" s="1881"/>
      <c r="AW854" s="1881"/>
      <c r="AX854" s="1881"/>
      <c r="AY854" s="1881"/>
      <c r="AZ854" s="1881"/>
      <c r="BA854" s="1881"/>
      <c r="BB854" s="1881"/>
      <c r="BC854" s="1881"/>
      <c r="BD854" s="1881"/>
      <c r="BE854" s="1881"/>
      <c r="BF854" s="1881"/>
      <c r="BG854" s="1881"/>
      <c r="BH854" s="1881"/>
      <c r="BI854" s="1881"/>
      <c r="BJ854" s="1881"/>
      <c r="BK854" s="1881"/>
      <c r="BL854" s="1881"/>
      <c r="BM854" s="1881"/>
      <c r="BN854" s="1881"/>
      <c r="BO854" s="1881"/>
      <c r="BP854" s="1881"/>
      <c r="BQ854" s="1881"/>
      <c r="BR854" s="1881"/>
      <c r="BS854" s="1881"/>
      <c r="BT854" s="1881"/>
      <c r="BU854" s="1881"/>
      <c r="BV854" s="1881"/>
      <c r="BW854" s="1881"/>
      <c r="BX854" s="1881"/>
      <c r="BY854" s="1881"/>
      <c r="BZ854" s="1883"/>
      <c r="CA854" s="281"/>
      <c r="CB854" s="3" t="str">
        <f t="shared" si="106"/>
        <v>Riadok bude skrytý.</v>
      </c>
      <c r="CC854" s="271" t="s">
        <v>832</v>
      </c>
      <c r="CW854" s="30">
        <f t="shared" si="109"/>
        <v>0</v>
      </c>
      <c r="CX854" s="30">
        <f>+IF(B854="",0,1)</f>
        <v>0</v>
      </c>
      <c r="CZ854" s="30">
        <f t="shared" si="110"/>
        <v>1</v>
      </c>
      <c r="DA854" s="52">
        <f>+IF(CW854*CX854=0,0,IF(CZ854=0,0,1))</f>
        <v>0</v>
      </c>
      <c r="DB854" s="140">
        <f t="shared" si="105"/>
        <v>0</v>
      </c>
      <c r="DS854" s="130">
        <f>SI!BY854</f>
        <v>172</v>
      </c>
      <c r="DZ854" s="131">
        <f>SI!BZ854</f>
        <v>0</v>
      </c>
    </row>
    <row r="855" spans="1:130" hidden="1" x14ac:dyDescent="0.25">
      <c r="A855" s="141"/>
      <c r="B855" s="1874"/>
      <c r="C855" s="1875"/>
      <c r="D855" s="1875"/>
      <c r="E855" s="1875"/>
      <c r="F855" s="1875"/>
      <c r="G855" s="1875"/>
      <c r="H855" s="1875"/>
      <c r="I855" s="1875"/>
      <c r="J855" s="1875"/>
      <c r="K855" s="1875"/>
      <c r="L855" s="1875"/>
      <c r="M855" s="1875"/>
      <c r="N855" s="1875"/>
      <c r="O855" s="1875"/>
      <c r="P855" s="1875"/>
      <c r="Q855" s="1875"/>
      <c r="R855" s="1875"/>
      <c r="S855" s="1875"/>
      <c r="T855" s="1875"/>
      <c r="U855" s="1875"/>
      <c r="V855" s="1875"/>
      <c r="W855" s="1875"/>
      <c r="X855" s="1875"/>
      <c r="Y855" s="1875"/>
      <c r="Z855" s="1875"/>
      <c r="AA855" s="1875"/>
      <c r="AB855" s="1875"/>
      <c r="AC855" s="1875"/>
      <c r="AD855" s="1875"/>
      <c r="AE855" s="1875"/>
      <c r="AF855" s="1875"/>
      <c r="AG855" s="1875"/>
      <c r="AH855" s="1875"/>
      <c r="AI855" s="1875"/>
      <c r="AJ855" s="1875"/>
      <c r="AK855" s="1875"/>
      <c r="AL855" s="1875"/>
      <c r="AM855" s="1875"/>
      <c r="AN855" s="1875"/>
      <c r="AO855" s="1875"/>
      <c r="AP855" s="1875"/>
      <c r="AQ855" s="1875"/>
      <c r="AR855" s="1884"/>
      <c r="AS855" s="1874"/>
      <c r="AT855" s="1875"/>
      <c r="AU855" s="1875"/>
      <c r="AV855" s="1875"/>
      <c r="AW855" s="1875"/>
      <c r="AX855" s="1875"/>
      <c r="AY855" s="1875"/>
      <c r="AZ855" s="1875"/>
      <c r="BA855" s="1875"/>
      <c r="BB855" s="1875"/>
      <c r="BC855" s="1875"/>
      <c r="BD855" s="1875"/>
      <c r="BE855" s="1875"/>
      <c r="BF855" s="1875"/>
      <c r="BG855" s="1875"/>
      <c r="BH855" s="1875"/>
      <c r="BI855" s="1875"/>
      <c r="BJ855" s="1875"/>
      <c r="BK855" s="1875"/>
      <c r="BL855" s="1875"/>
      <c r="BM855" s="1875"/>
      <c r="BN855" s="1875"/>
      <c r="BO855" s="1875"/>
      <c r="BP855" s="1875"/>
      <c r="BQ855" s="1875"/>
      <c r="BR855" s="1875"/>
      <c r="BS855" s="1875"/>
      <c r="BT855" s="1875"/>
      <c r="BU855" s="1875"/>
      <c r="BV855" s="1875"/>
      <c r="BW855" s="1875"/>
      <c r="BX855" s="1875"/>
      <c r="BY855" s="1875"/>
      <c r="BZ855" s="1876"/>
      <c r="CA855" s="281"/>
      <c r="CB855" s="3" t="str">
        <f t="shared" si="106"/>
        <v>Riadok bude skrytý.</v>
      </c>
      <c r="CC855" s="271" t="s">
        <v>832</v>
      </c>
      <c r="CW855" s="30">
        <f t="shared" si="109"/>
        <v>0</v>
      </c>
      <c r="CX855" s="30">
        <f t="shared" ref="CX855:CX862" si="111">+IF(B855="",0,1)</f>
        <v>0</v>
      </c>
      <c r="CZ855" s="30">
        <f t="shared" si="110"/>
        <v>1</v>
      </c>
      <c r="DA855" s="52">
        <f>+IF(CW855*CX855=0,0,IF(CZ855=0,0,1))</f>
        <v>0</v>
      </c>
      <c r="DB855" s="140">
        <f t="shared" si="105"/>
        <v>0</v>
      </c>
      <c r="DS855" s="130">
        <f>SI!BY855</f>
        <v>702</v>
      </c>
      <c r="DZ855" s="131">
        <f>SI!BZ855</f>
        <v>0</v>
      </c>
    </row>
    <row r="856" spans="1:130" hidden="1" x14ac:dyDescent="0.25">
      <c r="A856" s="141"/>
      <c r="B856" s="1874"/>
      <c r="C856" s="1875"/>
      <c r="D856" s="1875"/>
      <c r="E856" s="1875"/>
      <c r="F856" s="1875"/>
      <c r="G856" s="1875"/>
      <c r="H856" s="1875"/>
      <c r="I856" s="1875"/>
      <c r="J856" s="1875"/>
      <c r="K856" s="1875"/>
      <c r="L856" s="1875"/>
      <c r="M856" s="1875"/>
      <c r="N856" s="1875"/>
      <c r="O856" s="1875"/>
      <c r="P856" s="1875"/>
      <c r="Q856" s="1875"/>
      <c r="R856" s="1875"/>
      <c r="S856" s="1875"/>
      <c r="T856" s="1875"/>
      <c r="U856" s="1875"/>
      <c r="V856" s="1875"/>
      <c r="W856" s="1875"/>
      <c r="X856" s="1875"/>
      <c r="Y856" s="1875"/>
      <c r="Z856" s="1875"/>
      <c r="AA856" s="1875"/>
      <c r="AB856" s="1875"/>
      <c r="AC856" s="1875"/>
      <c r="AD856" s="1875"/>
      <c r="AE856" s="1875"/>
      <c r="AF856" s="1875"/>
      <c r="AG856" s="1875"/>
      <c r="AH856" s="1875"/>
      <c r="AI856" s="1875"/>
      <c r="AJ856" s="1875"/>
      <c r="AK856" s="1875"/>
      <c r="AL856" s="1875"/>
      <c r="AM856" s="1875"/>
      <c r="AN856" s="1875"/>
      <c r="AO856" s="1875"/>
      <c r="AP856" s="1875"/>
      <c r="AQ856" s="1875"/>
      <c r="AR856" s="1884"/>
      <c r="AS856" s="1874"/>
      <c r="AT856" s="1875"/>
      <c r="AU856" s="1875"/>
      <c r="AV856" s="1875"/>
      <c r="AW856" s="1875"/>
      <c r="AX856" s="1875"/>
      <c r="AY856" s="1875"/>
      <c r="AZ856" s="1875"/>
      <c r="BA856" s="1875"/>
      <c r="BB856" s="1875"/>
      <c r="BC856" s="1875"/>
      <c r="BD856" s="1875"/>
      <c r="BE856" s="1875"/>
      <c r="BF856" s="1875"/>
      <c r="BG856" s="1875"/>
      <c r="BH856" s="1875"/>
      <c r="BI856" s="1875"/>
      <c r="BJ856" s="1875"/>
      <c r="BK856" s="1875"/>
      <c r="BL856" s="1875"/>
      <c r="BM856" s="1875"/>
      <c r="BN856" s="1875"/>
      <c r="BO856" s="1875"/>
      <c r="BP856" s="1875"/>
      <c r="BQ856" s="1875"/>
      <c r="BR856" s="1875"/>
      <c r="BS856" s="1875"/>
      <c r="BT856" s="1875"/>
      <c r="BU856" s="1875"/>
      <c r="BV856" s="1875"/>
      <c r="BW856" s="1875"/>
      <c r="BX856" s="1875"/>
      <c r="BY856" s="1875"/>
      <c r="BZ856" s="1876"/>
      <c r="CA856" s="281"/>
      <c r="CB856" s="3" t="str">
        <f t="shared" si="106"/>
        <v>Riadok bude skrytý.</v>
      </c>
      <c r="CC856" s="271" t="s">
        <v>832</v>
      </c>
      <c r="CW856" s="30">
        <f t="shared" si="109"/>
        <v>0</v>
      </c>
      <c r="CX856" s="30">
        <f t="shared" si="111"/>
        <v>0</v>
      </c>
      <c r="CZ856" s="30">
        <f t="shared" si="110"/>
        <v>1</v>
      </c>
      <c r="DA856" s="52">
        <f t="shared" ref="DA856:DA863" si="112">+IF(CW856*CX856=0,0,IF(CZ856=0,0,1))</f>
        <v>0</v>
      </c>
      <c r="DB856" s="140">
        <f t="shared" si="105"/>
        <v>0</v>
      </c>
      <c r="DS856" s="130">
        <f>SI!BY856</f>
        <v>117</v>
      </c>
      <c r="DZ856" s="131">
        <f>SI!BZ856</f>
        <v>0</v>
      </c>
    </row>
    <row r="857" spans="1:130" hidden="1" x14ac:dyDescent="0.25">
      <c r="A857" s="141"/>
      <c r="B857" s="1874"/>
      <c r="C857" s="1875"/>
      <c r="D857" s="1875"/>
      <c r="E857" s="1875"/>
      <c r="F857" s="1875"/>
      <c r="G857" s="1875"/>
      <c r="H857" s="1875"/>
      <c r="I857" s="1875"/>
      <c r="J857" s="1875"/>
      <c r="K857" s="1875"/>
      <c r="L857" s="1875"/>
      <c r="M857" s="1875"/>
      <c r="N857" s="1875"/>
      <c r="O857" s="1875"/>
      <c r="P857" s="1875"/>
      <c r="Q857" s="1875"/>
      <c r="R857" s="1875"/>
      <c r="S857" s="1875"/>
      <c r="T857" s="1875"/>
      <c r="U857" s="1875"/>
      <c r="V857" s="1875"/>
      <c r="W857" s="1875"/>
      <c r="X857" s="1875"/>
      <c r="Y857" s="1875"/>
      <c r="Z857" s="1875"/>
      <c r="AA857" s="1875"/>
      <c r="AB857" s="1875"/>
      <c r="AC857" s="1875"/>
      <c r="AD857" s="1875"/>
      <c r="AE857" s="1875"/>
      <c r="AF857" s="1875"/>
      <c r="AG857" s="1875"/>
      <c r="AH857" s="1875"/>
      <c r="AI857" s="1875"/>
      <c r="AJ857" s="1875"/>
      <c r="AK857" s="1875"/>
      <c r="AL857" s="1875"/>
      <c r="AM857" s="1875"/>
      <c r="AN857" s="1875"/>
      <c r="AO857" s="1875"/>
      <c r="AP857" s="1875"/>
      <c r="AQ857" s="1875"/>
      <c r="AR857" s="1884"/>
      <c r="AS857" s="1874"/>
      <c r="AT857" s="1875"/>
      <c r="AU857" s="1875"/>
      <c r="AV857" s="1875"/>
      <c r="AW857" s="1875"/>
      <c r="AX857" s="1875"/>
      <c r="AY857" s="1875"/>
      <c r="AZ857" s="1875"/>
      <c r="BA857" s="1875"/>
      <c r="BB857" s="1875"/>
      <c r="BC857" s="1875"/>
      <c r="BD857" s="1875"/>
      <c r="BE857" s="1875"/>
      <c r="BF857" s="1875"/>
      <c r="BG857" s="1875"/>
      <c r="BH857" s="1875"/>
      <c r="BI857" s="1875"/>
      <c r="BJ857" s="1875"/>
      <c r="BK857" s="1875"/>
      <c r="BL857" s="1875"/>
      <c r="BM857" s="1875"/>
      <c r="BN857" s="1875"/>
      <c r="BO857" s="1875"/>
      <c r="BP857" s="1875"/>
      <c r="BQ857" s="1875"/>
      <c r="BR857" s="1875"/>
      <c r="BS857" s="1875"/>
      <c r="BT857" s="1875"/>
      <c r="BU857" s="1875"/>
      <c r="BV857" s="1875"/>
      <c r="BW857" s="1875"/>
      <c r="BX857" s="1875"/>
      <c r="BY857" s="1875"/>
      <c r="BZ857" s="1876"/>
      <c r="CA857" s="281"/>
      <c r="CB857" s="3" t="str">
        <f t="shared" si="106"/>
        <v>Riadok bude skrytý.</v>
      </c>
      <c r="CC857" s="271" t="s">
        <v>832</v>
      </c>
      <c r="CW857" s="30">
        <f t="shared" si="109"/>
        <v>0</v>
      </c>
      <c r="CX857" s="30">
        <f t="shared" si="111"/>
        <v>0</v>
      </c>
      <c r="CZ857" s="30">
        <f t="shared" si="110"/>
        <v>1</v>
      </c>
      <c r="DA857" s="52">
        <f t="shared" si="112"/>
        <v>0</v>
      </c>
      <c r="DB857" s="140">
        <f t="shared" si="105"/>
        <v>0</v>
      </c>
      <c r="DS857" s="130">
        <f>SI!BY857</f>
        <v>941</v>
      </c>
      <c r="DZ857" s="131">
        <f>SI!BZ857</f>
        <v>0</v>
      </c>
    </row>
    <row r="858" spans="1:130" hidden="1" x14ac:dyDescent="0.25">
      <c r="A858" s="141"/>
      <c r="B858" s="1874"/>
      <c r="C858" s="1875"/>
      <c r="D858" s="1875"/>
      <c r="E858" s="1875"/>
      <c r="F858" s="1875"/>
      <c r="G858" s="1875"/>
      <c r="H858" s="1875"/>
      <c r="I858" s="1875"/>
      <c r="J858" s="1875"/>
      <c r="K858" s="1875"/>
      <c r="L858" s="1875"/>
      <c r="M858" s="1875"/>
      <c r="N858" s="1875"/>
      <c r="O858" s="1875"/>
      <c r="P858" s="1875"/>
      <c r="Q858" s="1875"/>
      <c r="R858" s="1875"/>
      <c r="S858" s="1875"/>
      <c r="T858" s="1875"/>
      <c r="U858" s="1875"/>
      <c r="V858" s="1875"/>
      <c r="W858" s="1875"/>
      <c r="X858" s="1875"/>
      <c r="Y858" s="1875"/>
      <c r="Z858" s="1875"/>
      <c r="AA858" s="1875"/>
      <c r="AB858" s="1875"/>
      <c r="AC858" s="1875"/>
      <c r="AD858" s="1875"/>
      <c r="AE858" s="1875"/>
      <c r="AF858" s="1875"/>
      <c r="AG858" s="1875"/>
      <c r="AH858" s="1875"/>
      <c r="AI858" s="1875"/>
      <c r="AJ858" s="1875"/>
      <c r="AK858" s="1875"/>
      <c r="AL858" s="1875"/>
      <c r="AM858" s="1875"/>
      <c r="AN858" s="1875"/>
      <c r="AO858" s="1875"/>
      <c r="AP858" s="1875"/>
      <c r="AQ858" s="1875"/>
      <c r="AR858" s="1884"/>
      <c r="AS858" s="1874"/>
      <c r="AT858" s="1875"/>
      <c r="AU858" s="1875"/>
      <c r="AV858" s="1875"/>
      <c r="AW858" s="1875"/>
      <c r="AX858" s="1875"/>
      <c r="AY858" s="1875"/>
      <c r="AZ858" s="1875"/>
      <c r="BA858" s="1875"/>
      <c r="BB858" s="1875"/>
      <c r="BC858" s="1875"/>
      <c r="BD858" s="1875"/>
      <c r="BE858" s="1875"/>
      <c r="BF858" s="1875"/>
      <c r="BG858" s="1875"/>
      <c r="BH858" s="1875"/>
      <c r="BI858" s="1875"/>
      <c r="BJ858" s="1875"/>
      <c r="BK858" s="1875"/>
      <c r="BL858" s="1875"/>
      <c r="BM858" s="1875"/>
      <c r="BN858" s="1875"/>
      <c r="BO858" s="1875"/>
      <c r="BP858" s="1875"/>
      <c r="BQ858" s="1875"/>
      <c r="BR858" s="1875"/>
      <c r="BS858" s="1875"/>
      <c r="BT858" s="1875"/>
      <c r="BU858" s="1875"/>
      <c r="BV858" s="1875"/>
      <c r="BW858" s="1875"/>
      <c r="BX858" s="1875"/>
      <c r="BY858" s="1875"/>
      <c r="BZ858" s="1876"/>
      <c r="CA858" s="281"/>
      <c r="CB858" s="3" t="str">
        <f t="shared" si="106"/>
        <v>Riadok bude skrytý.</v>
      </c>
      <c r="CC858" s="271" t="s">
        <v>832</v>
      </c>
      <c r="CW858" s="30">
        <f t="shared" si="109"/>
        <v>0</v>
      </c>
      <c r="CX858" s="30">
        <f t="shared" si="111"/>
        <v>0</v>
      </c>
      <c r="CZ858" s="30">
        <f t="shared" si="110"/>
        <v>1</v>
      </c>
      <c r="DA858" s="52">
        <f t="shared" si="112"/>
        <v>0</v>
      </c>
      <c r="DB858" s="140">
        <f t="shared" si="105"/>
        <v>0</v>
      </c>
      <c r="DS858" s="130">
        <f>SI!BY858</f>
        <v>192</v>
      </c>
      <c r="DZ858" s="131">
        <f>SI!BZ858</f>
        <v>0</v>
      </c>
    </row>
    <row r="859" spans="1:130" hidden="1" x14ac:dyDescent="0.25">
      <c r="A859" s="141"/>
      <c r="B859" s="1874"/>
      <c r="C859" s="1875"/>
      <c r="D859" s="1875"/>
      <c r="E859" s="1875"/>
      <c r="F859" s="1875"/>
      <c r="G859" s="1875"/>
      <c r="H859" s="1875"/>
      <c r="I859" s="1875"/>
      <c r="J859" s="1875"/>
      <c r="K859" s="1875"/>
      <c r="L859" s="1875"/>
      <c r="M859" s="1875"/>
      <c r="N859" s="1875"/>
      <c r="O859" s="1875"/>
      <c r="P859" s="1875"/>
      <c r="Q859" s="1875"/>
      <c r="R859" s="1875"/>
      <c r="S859" s="1875"/>
      <c r="T859" s="1875"/>
      <c r="U859" s="1875"/>
      <c r="V859" s="1875"/>
      <c r="W859" s="1875"/>
      <c r="X859" s="1875"/>
      <c r="Y859" s="1875"/>
      <c r="Z859" s="1875"/>
      <c r="AA859" s="1875"/>
      <c r="AB859" s="1875"/>
      <c r="AC859" s="1875"/>
      <c r="AD859" s="1875"/>
      <c r="AE859" s="1875"/>
      <c r="AF859" s="1875"/>
      <c r="AG859" s="1875"/>
      <c r="AH859" s="1875"/>
      <c r="AI859" s="1875"/>
      <c r="AJ859" s="1875"/>
      <c r="AK859" s="1875"/>
      <c r="AL859" s="1875"/>
      <c r="AM859" s="1875"/>
      <c r="AN859" s="1875"/>
      <c r="AO859" s="1875"/>
      <c r="AP859" s="1875"/>
      <c r="AQ859" s="1875"/>
      <c r="AR859" s="1884"/>
      <c r="AS859" s="1874"/>
      <c r="AT859" s="1875"/>
      <c r="AU859" s="1875"/>
      <c r="AV859" s="1875"/>
      <c r="AW859" s="1875"/>
      <c r="AX859" s="1875"/>
      <c r="AY859" s="1875"/>
      <c r="AZ859" s="1875"/>
      <c r="BA859" s="1875"/>
      <c r="BB859" s="1875"/>
      <c r="BC859" s="1875"/>
      <c r="BD859" s="1875"/>
      <c r="BE859" s="1875"/>
      <c r="BF859" s="1875"/>
      <c r="BG859" s="1875"/>
      <c r="BH859" s="1875"/>
      <c r="BI859" s="1875"/>
      <c r="BJ859" s="1875"/>
      <c r="BK859" s="1875"/>
      <c r="BL859" s="1875"/>
      <c r="BM859" s="1875"/>
      <c r="BN859" s="1875"/>
      <c r="BO859" s="1875"/>
      <c r="BP859" s="1875"/>
      <c r="BQ859" s="1875"/>
      <c r="BR859" s="1875"/>
      <c r="BS859" s="1875"/>
      <c r="BT859" s="1875"/>
      <c r="BU859" s="1875"/>
      <c r="BV859" s="1875"/>
      <c r="BW859" s="1875"/>
      <c r="BX859" s="1875"/>
      <c r="BY859" s="1875"/>
      <c r="BZ859" s="1876"/>
      <c r="CA859" s="281"/>
      <c r="CB859" s="3" t="str">
        <f t="shared" si="106"/>
        <v>Riadok bude skrytý.</v>
      </c>
      <c r="CC859" s="271" t="s">
        <v>832</v>
      </c>
      <c r="CW859" s="30">
        <f t="shared" si="109"/>
        <v>0</v>
      </c>
      <c r="CX859" s="30">
        <f t="shared" si="111"/>
        <v>0</v>
      </c>
      <c r="CZ859" s="30">
        <f t="shared" si="110"/>
        <v>1</v>
      </c>
      <c r="DA859" s="52">
        <f t="shared" si="112"/>
        <v>0</v>
      </c>
      <c r="DB859" s="140">
        <f t="shared" si="105"/>
        <v>0</v>
      </c>
      <c r="DS859" s="130">
        <f>SI!BY859</f>
        <v>8</v>
      </c>
      <c r="DZ859" s="131">
        <f>SI!BZ859</f>
        <v>0</v>
      </c>
    </row>
    <row r="860" spans="1:130" hidden="1" x14ac:dyDescent="0.25">
      <c r="A860" s="141"/>
      <c r="B860" s="1874"/>
      <c r="C860" s="1875"/>
      <c r="D860" s="1875"/>
      <c r="E860" s="1875"/>
      <c r="F860" s="1875"/>
      <c r="G860" s="1875"/>
      <c r="H860" s="1875"/>
      <c r="I860" s="1875"/>
      <c r="J860" s="1875"/>
      <c r="K860" s="1875"/>
      <c r="L860" s="1875"/>
      <c r="M860" s="1875"/>
      <c r="N860" s="1875"/>
      <c r="O860" s="1875"/>
      <c r="P860" s="1875"/>
      <c r="Q860" s="1875"/>
      <c r="R860" s="1875"/>
      <c r="S860" s="1875"/>
      <c r="T860" s="1875"/>
      <c r="U860" s="1875"/>
      <c r="V860" s="1875"/>
      <c r="W860" s="1875"/>
      <c r="X860" s="1875"/>
      <c r="Y860" s="1875"/>
      <c r="Z860" s="1875"/>
      <c r="AA860" s="1875"/>
      <c r="AB860" s="1875"/>
      <c r="AC860" s="1875"/>
      <c r="AD860" s="1875"/>
      <c r="AE860" s="1875"/>
      <c r="AF860" s="1875"/>
      <c r="AG860" s="1875"/>
      <c r="AH860" s="1875"/>
      <c r="AI860" s="1875"/>
      <c r="AJ860" s="1875"/>
      <c r="AK860" s="1875"/>
      <c r="AL860" s="1875"/>
      <c r="AM860" s="1875"/>
      <c r="AN860" s="1875"/>
      <c r="AO860" s="1875"/>
      <c r="AP860" s="1875"/>
      <c r="AQ860" s="1875"/>
      <c r="AR860" s="1884"/>
      <c r="AS860" s="1874"/>
      <c r="AT860" s="1875"/>
      <c r="AU860" s="1875"/>
      <c r="AV860" s="1875"/>
      <c r="AW860" s="1875"/>
      <c r="AX860" s="1875"/>
      <c r="AY860" s="1875"/>
      <c r="AZ860" s="1875"/>
      <c r="BA860" s="1875"/>
      <c r="BB860" s="1875"/>
      <c r="BC860" s="1875"/>
      <c r="BD860" s="1875"/>
      <c r="BE860" s="1875"/>
      <c r="BF860" s="1875"/>
      <c r="BG860" s="1875"/>
      <c r="BH860" s="1875"/>
      <c r="BI860" s="1875"/>
      <c r="BJ860" s="1875"/>
      <c r="BK860" s="1875"/>
      <c r="BL860" s="1875"/>
      <c r="BM860" s="1875"/>
      <c r="BN860" s="1875"/>
      <c r="BO860" s="1875"/>
      <c r="BP860" s="1875"/>
      <c r="BQ860" s="1875"/>
      <c r="BR860" s="1875"/>
      <c r="BS860" s="1875"/>
      <c r="BT860" s="1875"/>
      <c r="BU860" s="1875"/>
      <c r="BV860" s="1875"/>
      <c r="BW860" s="1875"/>
      <c r="BX860" s="1875"/>
      <c r="BY860" s="1875"/>
      <c r="BZ860" s="1876"/>
      <c r="CA860" s="281"/>
      <c r="CB860" s="3" t="str">
        <f t="shared" si="106"/>
        <v>Riadok bude skrytý.</v>
      </c>
      <c r="CC860" s="271" t="s">
        <v>832</v>
      </c>
      <c r="CW860" s="30">
        <f t="shared" si="109"/>
        <v>0</v>
      </c>
      <c r="CX860" s="30">
        <f t="shared" si="111"/>
        <v>0</v>
      </c>
      <c r="CZ860" s="30">
        <f t="shared" si="110"/>
        <v>1</v>
      </c>
      <c r="DA860" s="52">
        <f t="shared" si="112"/>
        <v>0</v>
      </c>
      <c r="DB860" s="140">
        <f t="shared" si="105"/>
        <v>0</v>
      </c>
      <c r="DS860" s="130">
        <f>SI!BY860</f>
        <v>192</v>
      </c>
      <c r="DZ860" s="131">
        <f>SI!BZ860</f>
        <v>0</v>
      </c>
    </row>
    <row r="861" spans="1:130" hidden="1" x14ac:dyDescent="0.25">
      <c r="A861" s="141"/>
      <c r="B861" s="1874"/>
      <c r="C861" s="1875"/>
      <c r="D861" s="1875"/>
      <c r="E861" s="1875"/>
      <c r="F861" s="1875"/>
      <c r="G861" s="1875"/>
      <c r="H861" s="1875"/>
      <c r="I861" s="1875"/>
      <c r="J861" s="1875"/>
      <c r="K861" s="1875"/>
      <c r="L861" s="1875"/>
      <c r="M861" s="1875"/>
      <c r="N861" s="1875"/>
      <c r="O861" s="1875"/>
      <c r="P861" s="1875"/>
      <c r="Q861" s="1875"/>
      <c r="R861" s="1875"/>
      <c r="S861" s="1875"/>
      <c r="T861" s="1875"/>
      <c r="U861" s="1875"/>
      <c r="V861" s="1875"/>
      <c r="W861" s="1875"/>
      <c r="X861" s="1875"/>
      <c r="Y861" s="1875"/>
      <c r="Z861" s="1875"/>
      <c r="AA861" s="1875"/>
      <c r="AB861" s="1875"/>
      <c r="AC861" s="1875"/>
      <c r="AD861" s="1875"/>
      <c r="AE861" s="1875"/>
      <c r="AF861" s="1875"/>
      <c r="AG861" s="1875"/>
      <c r="AH861" s="1875"/>
      <c r="AI861" s="1875"/>
      <c r="AJ861" s="1875"/>
      <c r="AK861" s="1875"/>
      <c r="AL861" s="1875"/>
      <c r="AM861" s="1875"/>
      <c r="AN861" s="1875"/>
      <c r="AO861" s="1875"/>
      <c r="AP861" s="1875"/>
      <c r="AQ861" s="1875"/>
      <c r="AR861" s="1884"/>
      <c r="AS861" s="1874"/>
      <c r="AT861" s="1875"/>
      <c r="AU861" s="1875"/>
      <c r="AV861" s="1875"/>
      <c r="AW861" s="1875"/>
      <c r="AX861" s="1875"/>
      <c r="AY861" s="1875"/>
      <c r="AZ861" s="1875"/>
      <c r="BA861" s="1875"/>
      <c r="BB861" s="1875"/>
      <c r="BC861" s="1875"/>
      <c r="BD861" s="1875"/>
      <c r="BE861" s="1875"/>
      <c r="BF861" s="1875"/>
      <c r="BG861" s="1875"/>
      <c r="BH861" s="1875"/>
      <c r="BI861" s="1875"/>
      <c r="BJ861" s="1875"/>
      <c r="BK861" s="1875"/>
      <c r="BL861" s="1875"/>
      <c r="BM861" s="1875"/>
      <c r="BN861" s="1875"/>
      <c r="BO861" s="1875"/>
      <c r="BP861" s="1875"/>
      <c r="BQ861" s="1875"/>
      <c r="BR861" s="1875"/>
      <c r="BS861" s="1875"/>
      <c r="BT861" s="1875"/>
      <c r="BU861" s="1875"/>
      <c r="BV861" s="1875"/>
      <c r="BW861" s="1875"/>
      <c r="BX861" s="1875"/>
      <c r="BY861" s="1875"/>
      <c r="BZ861" s="1876"/>
      <c r="CA861" s="281"/>
      <c r="CB861" s="3" t="str">
        <f t="shared" si="106"/>
        <v>Riadok bude skrytý.</v>
      </c>
      <c r="CC861" s="271" t="s">
        <v>832</v>
      </c>
      <c r="CW861" s="30">
        <f t="shared" si="109"/>
        <v>0</v>
      </c>
      <c r="CX861" s="30">
        <f t="shared" si="111"/>
        <v>0</v>
      </c>
      <c r="CZ861" s="30">
        <f t="shared" si="110"/>
        <v>1</v>
      </c>
      <c r="DA861" s="52">
        <f t="shared" si="112"/>
        <v>0</v>
      </c>
      <c r="DB861" s="140">
        <f t="shared" si="105"/>
        <v>0</v>
      </c>
      <c r="DS861" s="130">
        <f>SI!BY861</f>
        <v>848</v>
      </c>
      <c r="DZ861" s="131">
        <f>SI!BZ861</f>
        <v>0</v>
      </c>
    </row>
    <row r="862" spans="1:130" hidden="1" x14ac:dyDescent="0.25">
      <c r="A862" s="141"/>
      <c r="B862" s="1874"/>
      <c r="C862" s="1875"/>
      <c r="D862" s="1875"/>
      <c r="E862" s="1875"/>
      <c r="F862" s="1875"/>
      <c r="G862" s="1875"/>
      <c r="H862" s="1875"/>
      <c r="I862" s="1875"/>
      <c r="J862" s="1875"/>
      <c r="K862" s="1875"/>
      <c r="L862" s="1875"/>
      <c r="M862" s="1875"/>
      <c r="N862" s="1875"/>
      <c r="O862" s="1875"/>
      <c r="P862" s="1875"/>
      <c r="Q862" s="1875"/>
      <c r="R862" s="1875"/>
      <c r="S862" s="1875"/>
      <c r="T862" s="1875"/>
      <c r="U862" s="1875"/>
      <c r="V862" s="1875"/>
      <c r="W862" s="1875"/>
      <c r="X862" s="1875"/>
      <c r="Y862" s="1875"/>
      <c r="Z862" s="1875"/>
      <c r="AA862" s="1875"/>
      <c r="AB862" s="1875"/>
      <c r="AC862" s="1875"/>
      <c r="AD862" s="1875"/>
      <c r="AE862" s="1875"/>
      <c r="AF862" s="1875"/>
      <c r="AG862" s="1875"/>
      <c r="AH862" s="1875"/>
      <c r="AI862" s="1875"/>
      <c r="AJ862" s="1875"/>
      <c r="AK862" s="1875"/>
      <c r="AL862" s="1875"/>
      <c r="AM862" s="1875"/>
      <c r="AN862" s="1875"/>
      <c r="AO862" s="1875"/>
      <c r="AP862" s="1875"/>
      <c r="AQ862" s="1875"/>
      <c r="AR862" s="1884"/>
      <c r="AS862" s="1874"/>
      <c r="AT862" s="1875"/>
      <c r="AU862" s="1875"/>
      <c r="AV862" s="1875"/>
      <c r="AW862" s="1875"/>
      <c r="AX862" s="1875"/>
      <c r="AY862" s="1875"/>
      <c r="AZ862" s="1875"/>
      <c r="BA862" s="1875"/>
      <c r="BB862" s="1875"/>
      <c r="BC862" s="1875"/>
      <c r="BD862" s="1875"/>
      <c r="BE862" s="1875"/>
      <c r="BF862" s="1875"/>
      <c r="BG862" s="1875"/>
      <c r="BH862" s="1875"/>
      <c r="BI862" s="1875"/>
      <c r="BJ862" s="1875"/>
      <c r="BK862" s="1875"/>
      <c r="BL862" s="1875"/>
      <c r="BM862" s="1875"/>
      <c r="BN862" s="1875"/>
      <c r="BO862" s="1875"/>
      <c r="BP862" s="1875"/>
      <c r="BQ862" s="1875"/>
      <c r="BR862" s="1875"/>
      <c r="BS862" s="1875"/>
      <c r="BT862" s="1875"/>
      <c r="BU862" s="1875"/>
      <c r="BV862" s="1875"/>
      <c r="BW862" s="1875"/>
      <c r="BX862" s="1875"/>
      <c r="BY862" s="1875"/>
      <c r="BZ862" s="1876"/>
      <c r="CA862" s="281"/>
      <c r="CB862" s="3" t="str">
        <f t="shared" si="106"/>
        <v>Riadok bude skrytý.</v>
      </c>
      <c r="CC862" s="271" t="s">
        <v>832</v>
      </c>
      <c r="CW862" s="30">
        <f t="shared" si="109"/>
        <v>0</v>
      </c>
      <c r="CX862" s="30">
        <f t="shared" si="111"/>
        <v>0</v>
      </c>
      <c r="CZ862" s="30">
        <f t="shared" si="110"/>
        <v>1</v>
      </c>
      <c r="DA862" s="52">
        <f t="shared" si="112"/>
        <v>0</v>
      </c>
      <c r="DB862" s="140">
        <f t="shared" si="105"/>
        <v>0</v>
      </c>
      <c r="DS862" s="130">
        <f>SI!BY862</f>
        <v>108</v>
      </c>
      <c r="DZ862" s="131">
        <f>SI!BZ862</f>
        <v>0</v>
      </c>
    </row>
    <row r="863" spans="1:130" hidden="1" x14ac:dyDescent="0.25">
      <c r="A863" s="141"/>
      <c r="B863" s="2144"/>
      <c r="C863" s="2145"/>
      <c r="D863" s="2145"/>
      <c r="E863" s="2145"/>
      <c r="F863" s="2145"/>
      <c r="G863" s="2145"/>
      <c r="H863" s="2145"/>
      <c r="I863" s="2145"/>
      <c r="J863" s="2145"/>
      <c r="K863" s="2145"/>
      <c r="L863" s="2145"/>
      <c r="M863" s="2145"/>
      <c r="N863" s="2145"/>
      <c r="O863" s="2145"/>
      <c r="P863" s="2145"/>
      <c r="Q863" s="2145"/>
      <c r="R863" s="2145"/>
      <c r="S863" s="2145"/>
      <c r="T863" s="2145"/>
      <c r="U863" s="2145"/>
      <c r="V863" s="2145"/>
      <c r="W863" s="2145"/>
      <c r="X863" s="2145"/>
      <c r="Y863" s="2145"/>
      <c r="Z863" s="2145"/>
      <c r="AA863" s="2145"/>
      <c r="AB863" s="2145"/>
      <c r="AC863" s="2145"/>
      <c r="AD863" s="2145"/>
      <c r="AE863" s="2145"/>
      <c r="AF863" s="2145"/>
      <c r="AG863" s="2145"/>
      <c r="AH863" s="2145"/>
      <c r="AI863" s="2145"/>
      <c r="AJ863" s="2145"/>
      <c r="AK863" s="2145"/>
      <c r="AL863" s="2145"/>
      <c r="AM863" s="2145"/>
      <c r="AN863" s="2145"/>
      <c r="AO863" s="2145"/>
      <c r="AP863" s="2145"/>
      <c r="AQ863" s="2145"/>
      <c r="AR863" s="2146"/>
      <c r="AS863" s="2144"/>
      <c r="AT863" s="2145"/>
      <c r="AU863" s="2145"/>
      <c r="AV863" s="2145"/>
      <c r="AW863" s="2145"/>
      <c r="AX863" s="2145"/>
      <c r="AY863" s="2145"/>
      <c r="AZ863" s="2145"/>
      <c r="BA863" s="2145"/>
      <c r="BB863" s="2145"/>
      <c r="BC863" s="2145"/>
      <c r="BD863" s="2145"/>
      <c r="BE863" s="2145"/>
      <c r="BF863" s="2145"/>
      <c r="BG863" s="2145"/>
      <c r="BH863" s="2145"/>
      <c r="BI863" s="2145"/>
      <c r="BJ863" s="2145"/>
      <c r="BK863" s="2145"/>
      <c r="BL863" s="2145"/>
      <c r="BM863" s="2145"/>
      <c r="BN863" s="2145"/>
      <c r="BO863" s="2145"/>
      <c r="BP863" s="2145"/>
      <c r="BQ863" s="2145"/>
      <c r="BR863" s="2145"/>
      <c r="BS863" s="2145"/>
      <c r="BT863" s="2145"/>
      <c r="BU863" s="2145"/>
      <c r="BV863" s="2145"/>
      <c r="BW863" s="2145"/>
      <c r="BX863" s="2145"/>
      <c r="BY863" s="2145"/>
      <c r="BZ863" s="2147"/>
      <c r="CA863" s="281"/>
      <c r="CB863" s="3" t="str">
        <f t="shared" si="106"/>
        <v>Riadok bude skrytý.</v>
      </c>
      <c r="CC863" s="271" t="s">
        <v>832</v>
      </c>
      <c r="CW863" s="30">
        <f t="shared" si="109"/>
        <v>0</v>
      </c>
      <c r="CX863" s="2">
        <f>+IF(SUM(CX854:CX862)=0,0,1)</f>
        <v>0</v>
      </c>
      <c r="CZ863" s="30">
        <f t="shared" si="110"/>
        <v>1</v>
      </c>
      <c r="DA863" s="52">
        <f t="shared" si="112"/>
        <v>0</v>
      </c>
      <c r="DB863" s="140">
        <f t="shared" si="105"/>
        <v>0</v>
      </c>
      <c r="DS863" s="130">
        <f>SI!BY863</f>
        <v>118</v>
      </c>
      <c r="DZ863" s="131">
        <f>SI!BZ863</f>
        <v>0</v>
      </c>
    </row>
    <row r="864" spans="1:130" hidden="1" x14ac:dyDescent="0.25">
      <c r="A864" s="141"/>
      <c r="CA864" s="281"/>
      <c r="CB864" s="3" t="str">
        <f t="shared" si="106"/>
        <v>Riadok bude skrytý.</v>
      </c>
      <c r="CC864" s="271" t="s">
        <v>832</v>
      </c>
      <c r="CW864" s="30">
        <f>+IF(B865="",0,1)</f>
        <v>0</v>
      </c>
      <c r="CX864" s="2"/>
      <c r="CZ864" s="30">
        <f t="shared" si="110"/>
        <v>1</v>
      </c>
      <c r="DA864" s="30">
        <f t="shared" si="108"/>
        <v>0</v>
      </c>
      <c r="DB864" s="140">
        <f t="shared" si="105"/>
        <v>0</v>
      </c>
      <c r="DS864" s="130">
        <f>SI!BY864</f>
        <v>156</v>
      </c>
      <c r="DZ864" s="131">
        <f>SI!BZ864</f>
        <v>0</v>
      </c>
    </row>
    <row r="865" spans="1:130" hidden="1" x14ac:dyDescent="0.25">
      <c r="A865" s="141"/>
      <c r="B865" s="379"/>
      <c r="C865" s="379"/>
      <c r="D865" s="379"/>
      <c r="E865" s="379"/>
      <c r="F865" s="379"/>
      <c r="G865" s="379"/>
      <c r="H865" s="379"/>
      <c r="I865" s="379"/>
      <c r="J865" s="379"/>
      <c r="K865" s="379"/>
      <c r="L865" s="379"/>
      <c r="M865" s="379"/>
      <c r="N865" s="379"/>
      <c r="O865" s="379"/>
      <c r="P865" s="379"/>
      <c r="Q865" s="379"/>
      <c r="R865" s="379"/>
      <c r="S865" s="379"/>
      <c r="T865" s="379"/>
      <c r="U865" s="379"/>
      <c r="V865" s="379"/>
      <c r="W865" s="379"/>
      <c r="X865" s="379"/>
      <c r="Y865" s="379"/>
      <c r="Z865" s="379"/>
      <c r="AA865" s="379"/>
      <c r="AB865" s="379"/>
      <c r="AC865" s="379"/>
      <c r="AD865" s="379"/>
      <c r="AE865" s="379"/>
      <c r="AF865" s="379"/>
      <c r="AG865" s="379"/>
      <c r="AH865" s="379"/>
      <c r="AI865" s="379"/>
      <c r="AJ865" s="379"/>
      <c r="AK865" s="379"/>
      <c r="AL865" s="379"/>
      <c r="AM865" s="379"/>
      <c r="AN865" s="379"/>
      <c r="AO865" s="379"/>
      <c r="AP865" s="379"/>
      <c r="AQ865" s="379"/>
      <c r="AR865" s="379"/>
      <c r="AS865" s="379"/>
      <c r="AT865" s="379"/>
      <c r="AU865" s="379"/>
      <c r="AV865" s="379"/>
      <c r="AW865" s="379"/>
      <c r="AX865" s="379"/>
      <c r="AY865" s="379"/>
      <c r="AZ865" s="379"/>
      <c r="BA865" s="379"/>
      <c r="BB865" s="379"/>
      <c r="BC865" s="379"/>
      <c r="BD865" s="379"/>
      <c r="BE865" s="379"/>
      <c r="BF865" s="379"/>
      <c r="BG865" s="379"/>
      <c r="BH865" s="379"/>
      <c r="BI865" s="379"/>
      <c r="BJ865" s="379"/>
      <c r="BK865" s="379"/>
      <c r="BL865" s="379"/>
      <c r="BM865" s="379"/>
      <c r="BN865" s="379"/>
      <c r="BO865" s="379"/>
      <c r="BP865" s="379"/>
      <c r="BQ865" s="379"/>
      <c r="BR865" s="379"/>
      <c r="BS865" s="379"/>
      <c r="BT865" s="379"/>
      <c r="BU865" s="379"/>
      <c r="BV865" s="379"/>
      <c r="BW865" s="379"/>
      <c r="BX865" s="379"/>
      <c r="BY865" s="379"/>
      <c r="BZ865" s="379"/>
      <c r="CA865" s="281"/>
      <c r="CB865" s="3" t="str">
        <f t="shared" si="106"/>
        <v>Riadok bude skrytý.</v>
      </c>
      <c r="CC865" s="271" t="s">
        <v>832</v>
      </c>
      <c r="CW865" s="30">
        <f>+IF(B865="",0,1)</f>
        <v>0</v>
      </c>
      <c r="CZ865" s="30">
        <f t="shared" si="110"/>
        <v>1</v>
      </c>
      <c r="DA865" s="30">
        <f t="shared" si="108"/>
        <v>0</v>
      </c>
      <c r="DB865" s="140">
        <f t="shared" si="105"/>
        <v>0</v>
      </c>
      <c r="DS865" s="130">
        <f>SI!BY865</f>
        <v>580</v>
      </c>
      <c r="DZ865" s="131">
        <f>SI!BZ865</f>
        <v>0</v>
      </c>
    </row>
    <row r="866" spans="1:130" hidden="1" x14ac:dyDescent="0.25">
      <c r="A866" s="141"/>
      <c r="B866" s="379"/>
      <c r="C866" s="379"/>
      <c r="D866" s="379"/>
      <c r="E866" s="379"/>
      <c r="F866" s="379"/>
      <c r="G866" s="379"/>
      <c r="H866" s="379"/>
      <c r="I866" s="379"/>
      <c r="J866" s="379"/>
      <c r="K866" s="379"/>
      <c r="L866" s="379"/>
      <c r="M866" s="379"/>
      <c r="N866" s="379"/>
      <c r="O866" s="379"/>
      <c r="P866" s="379"/>
      <c r="Q866" s="379"/>
      <c r="R866" s="379"/>
      <c r="S866" s="379"/>
      <c r="T866" s="379"/>
      <c r="U866" s="379"/>
      <c r="V866" s="379"/>
      <c r="W866" s="379"/>
      <c r="X866" s="379"/>
      <c r="Y866" s="379"/>
      <c r="Z866" s="379"/>
      <c r="AA866" s="379"/>
      <c r="AB866" s="379"/>
      <c r="AC866" s="379"/>
      <c r="AD866" s="379"/>
      <c r="AE866" s="379"/>
      <c r="AF866" s="379"/>
      <c r="AG866" s="379"/>
      <c r="AH866" s="379"/>
      <c r="AI866" s="379"/>
      <c r="AJ866" s="379"/>
      <c r="AK866" s="379"/>
      <c r="AL866" s="379"/>
      <c r="AM866" s="379"/>
      <c r="AN866" s="379"/>
      <c r="AO866" s="379"/>
      <c r="AP866" s="379"/>
      <c r="AQ866" s="379"/>
      <c r="AR866" s="379"/>
      <c r="AS866" s="379"/>
      <c r="AT866" s="379"/>
      <c r="AU866" s="379"/>
      <c r="AV866" s="379"/>
      <c r="AW866" s="379"/>
      <c r="AX866" s="379"/>
      <c r="AY866" s="379"/>
      <c r="AZ866" s="379"/>
      <c r="BA866" s="379"/>
      <c r="BB866" s="379"/>
      <c r="BC866" s="379"/>
      <c r="BD866" s="379"/>
      <c r="BE866" s="379"/>
      <c r="BF866" s="379"/>
      <c r="BG866" s="379"/>
      <c r="BH866" s="379"/>
      <c r="BI866" s="379"/>
      <c r="BJ866" s="379"/>
      <c r="BK866" s="379"/>
      <c r="BL866" s="379"/>
      <c r="BM866" s="379"/>
      <c r="BN866" s="379"/>
      <c r="BO866" s="379"/>
      <c r="BP866" s="379"/>
      <c r="BQ866" s="379"/>
      <c r="BR866" s="379"/>
      <c r="BS866" s="379"/>
      <c r="BT866" s="379"/>
      <c r="BU866" s="379"/>
      <c r="BV866" s="379"/>
      <c r="BW866" s="379"/>
      <c r="BX866" s="379"/>
      <c r="BY866" s="379"/>
      <c r="BZ866" s="379"/>
      <c r="CA866" s="281"/>
      <c r="CB866" s="3" t="str">
        <f t="shared" si="106"/>
        <v>Riadok bude skrytý.</v>
      </c>
      <c r="CC866" s="271" t="s">
        <v>832</v>
      </c>
      <c r="CW866" s="30">
        <f>+IF(B866="",0,1)</f>
        <v>0</v>
      </c>
      <c r="CZ866" s="30">
        <f t="shared" si="110"/>
        <v>1</v>
      </c>
      <c r="DA866" s="30">
        <f t="shared" si="108"/>
        <v>0</v>
      </c>
      <c r="DB866" s="140">
        <f t="shared" si="105"/>
        <v>0</v>
      </c>
      <c r="DS866" s="130">
        <f>SI!BY866</f>
        <v>164</v>
      </c>
      <c r="DZ866" s="131">
        <f>SI!BZ866</f>
        <v>0</v>
      </c>
    </row>
    <row r="867" spans="1:130" hidden="1" x14ac:dyDescent="0.25">
      <c r="A867" s="141"/>
      <c r="B867" s="379"/>
      <c r="C867" s="379"/>
      <c r="D867" s="379"/>
      <c r="E867" s="379"/>
      <c r="F867" s="379"/>
      <c r="G867" s="379"/>
      <c r="H867" s="379"/>
      <c r="I867" s="379"/>
      <c r="J867" s="379"/>
      <c r="K867" s="379"/>
      <c r="L867" s="379"/>
      <c r="M867" s="379"/>
      <c r="N867" s="379"/>
      <c r="O867" s="379"/>
      <c r="P867" s="379"/>
      <c r="Q867" s="379"/>
      <c r="R867" s="379"/>
      <c r="S867" s="379"/>
      <c r="T867" s="379"/>
      <c r="U867" s="379"/>
      <c r="V867" s="379"/>
      <c r="W867" s="379"/>
      <c r="X867" s="379"/>
      <c r="Y867" s="379"/>
      <c r="Z867" s="379"/>
      <c r="AA867" s="379"/>
      <c r="AB867" s="379"/>
      <c r="AC867" s="379"/>
      <c r="AD867" s="379"/>
      <c r="AE867" s="379"/>
      <c r="AF867" s="379"/>
      <c r="AG867" s="379"/>
      <c r="AH867" s="379"/>
      <c r="AI867" s="379"/>
      <c r="AJ867" s="379"/>
      <c r="AK867" s="379"/>
      <c r="AL867" s="379"/>
      <c r="AM867" s="379"/>
      <c r="AN867" s="379"/>
      <c r="AO867" s="379"/>
      <c r="AP867" s="379"/>
      <c r="AQ867" s="379"/>
      <c r="AR867" s="379"/>
      <c r="AS867" s="379"/>
      <c r="AT867" s="379"/>
      <c r="AU867" s="379"/>
      <c r="AV867" s="379"/>
      <c r="AW867" s="379"/>
      <c r="AX867" s="379"/>
      <c r="AY867" s="379"/>
      <c r="AZ867" s="379"/>
      <c r="BA867" s="379"/>
      <c r="BB867" s="379"/>
      <c r="BC867" s="379"/>
      <c r="BD867" s="379"/>
      <c r="BE867" s="379"/>
      <c r="BF867" s="379"/>
      <c r="BG867" s="379"/>
      <c r="BH867" s="379"/>
      <c r="BI867" s="379"/>
      <c r="BJ867" s="379"/>
      <c r="BK867" s="379"/>
      <c r="BL867" s="379"/>
      <c r="BM867" s="379"/>
      <c r="BN867" s="379"/>
      <c r="BO867" s="379"/>
      <c r="BP867" s="379"/>
      <c r="BQ867" s="379"/>
      <c r="BR867" s="379"/>
      <c r="BS867" s="379"/>
      <c r="BT867" s="379"/>
      <c r="BU867" s="379"/>
      <c r="BV867" s="379"/>
      <c r="BW867" s="379"/>
      <c r="BX867" s="379"/>
      <c r="BY867" s="379"/>
      <c r="BZ867" s="379"/>
      <c r="CA867" s="281"/>
      <c r="CB867" s="3" t="str">
        <f t="shared" si="106"/>
        <v>Riadok bude skrytý.</v>
      </c>
      <c r="CC867" s="271" t="s">
        <v>832</v>
      </c>
      <c r="CW867" s="30">
        <f>+IF(B867="",0,1)</f>
        <v>0</v>
      </c>
      <c r="CZ867" s="30">
        <f t="shared" si="110"/>
        <v>1</v>
      </c>
      <c r="DA867" s="30">
        <f t="shared" si="108"/>
        <v>0</v>
      </c>
      <c r="DB867" s="140">
        <f t="shared" si="105"/>
        <v>0</v>
      </c>
      <c r="DS867" s="130">
        <f>SI!BY867</f>
        <v>387</v>
      </c>
      <c r="DZ867" s="131">
        <f>SI!BZ867</f>
        <v>0</v>
      </c>
    </row>
    <row r="868" spans="1:130" hidden="1" x14ac:dyDescent="0.25">
      <c r="A868" s="141"/>
      <c r="B868" s="379"/>
      <c r="C868" s="379"/>
      <c r="D868" s="379"/>
      <c r="E868" s="379"/>
      <c r="F868" s="379"/>
      <c r="G868" s="379"/>
      <c r="H868" s="379"/>
      <c r="I868" s="379"/>
      <c r="J868" s="379"/>
      <c r="K868" s="379"/>
      <c r="L868" s="379"/>
      <c r="M868" s="379"/>
      <c r="N868" s="379"/>
      <c r="O868" s="379"/>
      <c r="P868" s="379"/>
      <c r="Q868" s="379"/>
      <c r="R868" s="379"/>
      <c r="S868" s="379"/>
      <c r="T868" s="379"/>
      <c r="U868" s="379"/>
      <c r="V868" s="379"/>
      <c r="W868" s="379"/>
      <c r="X868" s="379"/>
      <c r="Y868" s="379"/>
      <c r="Z868" s="379"/>
      <c r="AA868" s="379"/>
      <c r="AB868" s="379"/>
      <c r="AC868" s="379"/>
      <c r="AD868" s="379"/>
      <c r="AE868" s="379"/>
      <c r="AF868" s="379"/>
      <c r="AG868" s="379"/>
      <c r="AH868" s="379"/>
      <c r="AI868" s="379"/>
      <c r="AJ868" s="379"/>
      <c r="AK868" s="379"/>
      <c r="AL868" s="379"/>
      <c r="AM868" s="379"/>
      <c r="AN868" s="379"/>
      <c r="AO868" s="379"/>
      <c r="AP868" s="379"/>
      <c r="AQ868" s="379"/>
      <c r="AR868" s="379"/>
      <c r="AS868" s="379"/>
      <c r="AT868" s="379"/>
      <c r="AU868" s="379"/>
      <c r="AV868" s="379"/>
      <c r="AW868" s="379"/>
      <c r="AX868" s="379"/>
      <c r="AY868" s="379"/>
      <c r="AZ868" s="379"/>
      <c r="BA868" s="379"/>
      <c r="BB868" s="379"/>
      <c r="BC868" s="379"/>
      <c r="BD868" s="379"/>
      <c r="BE868" s="379"/>
      <c r="BF868" s="379"/>
      <c r="BG868" s="379"/>
      <c r="BH868" s="379"/>
      <c r="BI868" s="379"/>
      <c r="BJ868" s="379"/>
      <c r="BK868" s="379"/>
      <c r="BL868" s="379"/>
      <c r="BM868" s="379"/>
      <c r="BN868" s="379"/>
      <c r="BO868" s="379"/>
      <c r="BP868" s="379"/>
      <c r="BQ868" s="379"/>
      <c r="BR868" s="379"/>
      <c r="BS868" s="379"/>
      <c r="BT868" s="379"/>
      <c r="BU868" s="379"/>
      <c r="BV868" s="379"/>
      <c r="BW868" s="379"/>
      <c r="BX868" s="379"/>
      <c r="BY868" s="379"/>
      <c r="BZ868" s="379"/>
      <c r="CA868" s="281"/>
      <c r="CB868" s="3" t="str">
        <f t="shared" si="106"/>
        <v>Riadok bude skrytý.</v>
      </c>
      <c r="CC868" s="271" t="s">
        <v>832</v>
      </c>
      <c r="CW868" s="30">
        <f>+IF(B868="",0,1)</f>
        <v>0</v>
      </c>
      <c r="CZ868" s="30">
        <f t="shared" si="110"/>
        <v>1</v>
      </c>
      <c r="DA868" s="30">
        <f t="shared" si="108"/>
        <v>0</v>
      </c>
      <c r="DB868" s="140">
        <f t="shared" si="105"/>
        <v>0</v>
      </c>
      <c r="DS868" s="130">
        <f>SI!BY868</f>
        <v>141</v>
      </c>
      <c r="DZ868" s="131">
        <f>SI!BZ868</f>
        <v>0</v>
      </c>
    </row>
    <row r="869" spans="1:130" hidden="1" x14ac:dyDescent="0.25">
      <c r="A869" s="141"/>
      <c r="B869" s="379"/>
      <c r="C869" s="379"/>
      <c r="D869" s="379"/>
      <c r="E869" s="379"/>
      <c r="F869" s="379"/>
      <c r="G869" s="379"/>
      <c r="H869" s="379"/>
      <c r="I869" s="379"/>
      <c r="J869" s="379"/>
      <c r="K869" s="379"/>
      <c r="L869" s="379"/>
      <c r="M869" s="379"/>
      <c r="N869" s="379"/>
      <c r="O869" s="379"/>
      <c r="P869" s="379"/>
      <c r="Q869" s="379"/>
      <c r="R869" s="379"/>
      <c r="S869" s="379"/>
      <c r="T869" s="379"/>
      <c r="U869" s="379"/>
      <c r="V869" s="379"/>
      <c r="W869" s="379"/>
      <c r="X869" s="379"/>
      <c r="Y869" s="379"/>
      <c r="Z869" s="379"/>
      <c r="AA869" s="379"/>
      <c r="AB869" s="379"/>
      <c r="AC869" s="379"/>
      <c r="AD869" s="379"/>
      <c r="AE869" s="379"/>
      <c r="AF869" s="379"/>
      <c r="AG869" s="379"/>
      <c r="AH869" s="379"/>
      <c r="AI869" s="379"/>
      <c r="AJ869" s="379"/>
      <c r="AK869" s="379"/>
      <c r="AL869" s="379"/>
      <c r="AM869" s="379"/>
      <c r="AN869" s="379"/>
      <c r="AO869" s="379"/>
      <c r="AP869" s="379"/>
      <c r="AQ869" s="379"/>
      <c r="AR869" s="379"/>
      <c r="AS869" s="379"/>
      <c r="AT869" s="379"/>
      <c r="AU869" s="379"/>
      <c r="AV869" s="379"/>
      <c r="AW869" s="379"/>
      <c r="AX869" s="379"/>
      <c r="AY869" s="379"/>
      <c r="AZ869" s="379"/>
      <c r="BA869" s="379"/>
      <c r="BB869" s="379"/>
      <c r="BC869" s="379"/>
      <c r="BD869" s="379"/>
      <c r="BE869" s="379"/>
      <c r="BF869" s="379"/>
      <c r="BG869" s="379"/>
      <c r="BH869" s="379"/>
      <c r="BI869" s="379"/>
      <c r="BJ869" s="379"/>
      <c r="BK869" s="379"/>
      <c r="BL869" s="379"/>
      <c r="BM869" s="379"/>
      <c r="BN869" s="379"/>
      <c r="BO869" s="379"/>
      <c r="BP869" s="379"/>
      <c r="BQ869" s="379"/>
      <c r="BR869" s="379"/>
      <c r="BS869" s="379"/>
      <c r="BT869" s="379"/>
      <c r="BU869" s="379"/>
      <c r="BV869" s="379"/>
      <c r="BW869" s="379"/>
      <c r="BX869" s="379"/>
      <c r="BY869" s="379"/>
      <c r="BZ869" s="379"/>
      <c r="CA869" s="281"/>
      <c r="CB869" s="3" t="str">
        <f t="shared" si="106"/>
        <v>Riadok bude skrytý.</v>
      </c>
      <c r="CC869" s="271" t="s">
        <v>832</v>
      </c>
      <c r="CW869" s="30">
        <f>+IF(B869="",0,1)</f>
        <v>0</v>
      </c>
      <c r="CZ869" s="30">
        <f t="shared" si="110"/>
        <v>1</v>
      </c>
      <c r="DA869" s="30">
        <f t="shared" si="108"/>
        <v>0</v>
      </c>
      <c r="DB869" s="140">
        <f t="shared" si="105"/>
        <v>0</v>
      </c>
      <c r="DS869" s="130">
        <f>SI!BY869</f>
        <v>133</v>
      </c>
      <c r="DZ869" s="131">
        <f>SI!BZ869</f>
        <v>0</v>
      </c>
    </row>
    <row r="870" spans="1:130" x14ac:dyDescent="0.25">
      <c r="A870" s="141"/>
      <c r="CA870" s="270"/>
      <c r="CB870" s="3" t="str">
        <f t="shared" si="106"/>
        <v>Riadok bude vidieť.</v>
      </c>
      <c r="CC870" s="271" t="s">
        <v>832</v>
      </c>
      <c r="CW870" s="30">
        <f>+IF(SUM(CW872:CW891)=0,0,1)</f>
        <v>1</v>
      </c>
      <c r="CZ870" s="30">
        <f t="shared" si="110"/>
        <v>1</v>
      </c>
      <c r="DA870" s="30">
        <f t="shared" si="108"/>
        <v>1</v>
      </c>
      <c r="DB870" s="140">
        <f t="shared" si="105"/>
        <v>1</v>
      </c>
      <c r="DS870" s="130">
        <f>SI!BY870</f>
        <v>162</v>
      </c>
      <c r="DZ870" s="131">
        <f>SI!BZ870</f>
        <v>0</v>
      </c>
    </row>
    <row r="871" spans="1:130" x14ac:dyDescent="0.25">
      <c r="A871" s="141"/>
      <c r="B871" s="285" t="s">
        <v>859</v>
      </c>
      <c r="C871" s="379" t="s">
        <v>870</v>
      </c>
      <c r="D871" s="379"/>
      <c r="E871" s="379"/>
      <c r="F871" s="379"/>
      <c r="G871" s="379"/>
      <c r="H871" s="379"/>
      <c r="I871" s="379"/>
      <c r="J871" s="379"/>
      <c r="K871" s="379"/>
      <c r="L871" s="379"/>
      <c r="M871" s="379"/>
      <c r="N871" s="379"/>
      <c r="O871" s="379"/>
      <c r="P871" s="379"/>
      <c r="Q871" s="379"/>
      <c r="R871" s="379"/>
      <c r="S871" s="379"/>
      <c r="T871" s="379"/>
      <c r="U871" s="379"/>
      <c r="V871" s="379"/>
      <c r="W871" s="379"/>
      <c r="X871" s="379"/>
      <c r="Y871" s="379"/>
      <c r="Z871" s="379"/>
      <c r="AA871" s="379"/>
      <c r="AB871" s="379"/>
      <c r="AC871" s="379"/>
      <c r="AD871" s="379"/>
      <c r="AE871" s="379"/>
      <c r="AF871" s="379"/>
      <c r="AG871" s="379"/>
      <c r="AH871" s="379"/>
      <c r="AI871" s="379"/>
      <c r="AJ871" s="379"/>
      <c r="AK871" s="379"/>
      <c r="AL871" s="379"/>
      <c r="AM871" s="379"/>
      <c r="AN871" s="379"/>
      <c r="AO871" s="379"/>
      <c r="AP871" s="379"/>
      <c r="AQ871" s="379"/>
      <c r="AR871" s="379"/>
      <c r="AS871" s="379"/>
      <c r="AT871" s="379"/>
      <c r="AU871" s="379"/>
      <c r="AV871" s="379"/>
      <c r="AW871" s="379"/>
      <c r="AX871" s="379"/>
      <c r="AY871" s="379"/>
      <c r="AZ871" s="379"/>
      <c r="BA871" s="379"/>
      <c r="BB871" s="379"/>
      <c r="BC871" s="379"/>
      <c r="BD871" s="379"/>
      <c r="BE871" s="379"/>
      <c r="BF871" s="379"/>
      <c r="BG871" s="379"/>
      <c r="BH871" s="379"/>
      <c r="BI871" s="379"/>
      <c r="BJ871" s="379"/>
      <c r="BK871" s="379"/>
      <c r="BL871" s="379"/>
      <c r="BM871" s="379"/>
      <c r="BN871" s="379"/>
      <c r="BO871" s="379"/>
      <c r="BP871" s="379"/>
      <c r="BQ871" s="379"/>
      <c r="BR871" s="379"/>
      <c r="BS871" s="379"/>
      <c r="BT871" s="379"/>
      <c r="BU871" s="379"/>
      <c r="BV871" s="379"/>
      <c r="BW871" s="379"/>
      <c r="BX871" s="379"/>
      <c r="BY871" s="379"/>
      <c r="BZ871" s="379"/>
      <c r="CA871" s="265" t="s">
        <v>773</v>
      </c>
      <c r="CB871" s="3" t="str">
        <f t="shared" si="106"/>
        <v>Riadok bude vidieť.</v>
      </c>
      <c r="CC871" s="271" t="s">
        <v>832</v>
      </c>
      <c r="CD871" s="4" t="s">
        <v>1005</v>
      </c>
      <c r="CW871" s="30">
        <f>+IF(SUM(CW872:CW891)=0,0,1)</f>
        <v>1</v>
      </c>
      <c r="CZ871" s="30">
        <f t="shared" si="110"/>
        <v>1</v>
      </c>
      <c r="DA871" s="30">
        <f t="shared" si="108"/>
        <v>1</v>
      </c>
      <c r="DB871" s="140">
        <f t="shared" si="105"/>
        <v>1</v>
      </c>
      <c r="DS871" s="130">
        <f>SI!BY871</f>
        <v>957</v>
      </c>
      <c r="DZ871" s="131">
        <f>SI!BZ871</f>
        <v>0</v>
      </c>
    </row>
    <row r="872" spans="1:130" x14ac:dyDescent="0.25">
      <c r="A872" s="141"/>
      <c r="B872" s="379" t="s">
        <v>871</v>
      </c>
      <c r="C872" s="379"/>
      <c r="D872" s="379"/>
      <c r="E872" s="379"/>
      <c r="F872" s="379"/>
      <c r="G872" s="379"/>
      <c r="H872" s="379"/>
      <c r="I872" s="379"/>
      <c r="J872" s="379"/>
      <c r="K872" s="379"/>
      <c r="L872" s="379"/>
      <c r="M872" s="379"/>
      <c r="N872" s="379"/>
      <c r="O872" s="379"/>
      <c r="P872" s="379"/>
      <c r="Q872" s="379"/>
      <c r="R872" s="379"/>
      <c r="S872" s="379"/>
      <c r="T872" s="379"/>
      <c r="U872" s="379"/>
      <c r="V872" s="379"/>
      <c r="W872" s="379"/>
      <c r="X872" s="379"/>
      <c r="Y872" s="379"/>
      <c r="Z872" s="379"/>
      <c r="AA872" s="379"/>
      <c r="AB872" s="379"/>
      <c r="AC872" s="379"/>
      <c r="AD872" s="379"/>
      <c r="AE872" s="379"/>
      <c r="AF872" s="379"/>
      <c r="AG872" s="379"/>
      <c r="AH872" s="379"/>
      <c r="AI872" s="379"/>
      <c r="AJ872" s="379"/>
      <c r="AK872" s="379"/>
      <c r="AL872" s="379"/>
      <c r="AM872" s="379"/>
      <c r="AN872" s="379"/>
      <c r="AO872" s="379"/>
      <c r="AP872" s="379"/>
      <c r="AQ872" s="379"/>
      <c r="AR872" s="379"/>
      <c r="AS872" s="379"/>
      <c r="AT872" s="379"/>
      <c r="AU872" s="379"/>
      <c r="AV872" s="379"/>
      <c r="AW872" s="379"/>
      <c r="AX872" s="379"/>
      <c r="AY872" s="379"/>
      <c r="AZ872" s="379"/>
      <c r="BA872" s="379"/>
      <c r="BB872" s="379"/>
      <c r="BC872" s="379"/>
      <c r="BD872" s="379"/>
      <c r="BE872" s="379"/>
      <c r="BF872" s="379"/>
      <c r="BG872" s="379"/>
      <c r="BH872" s="379"/>
      <c r="BI872" s="379"/>
      <c r="BJ872" s="379"/>
      <c r="BK872" s="379"/>
      <c r="BL872" s="379"/>
      <c r="BM872" s="379"/>
      <c r="BN872" s="379"/>
      <c r="BO872" s="379"/>
      <c r="BP872" s="379"/>
      <c r="BQ872" s="379"/>
      <c r="BR872" s="379"/>
      <c r="BS872" s="379"/>
      <c r="BT872" s="379"/>
      <c r="BU872" s="379"/>
      <c r="BV872" s="379"/>
      <c r="BW872" s="379"/>
      <c r="BX872" s="379"/>
      <c r="BY872" s="379"/>
      <c r="BZ872" s="379"/>
      <c r="CA872" s="281"/>
      <c r="CB872" s="3" t="str">
        <f t="shared" si="106"/>
        <v>Riadok bude vidieť.</v>
      </c>
      <c r="CC872" s="271" t="s">
        <v>832</v>
      </c>
      <c r="CD872" s="4" t="s">
        <v>938</v>
      </c>
      <c r="CW872" s="30">
        <f t="shared" ref="CW872:CW891" si="113">+IF(B872="",0,1)</f>
        <v>1</v>
      </c>
      <c r="CZ872" s="30">
        <f t="shared" si="110"/>
        <v>1</v>
      </c>
      <c r="DA872" s="30">
        <f t="shared" si="108"/>
        <v>1</v>
      </c>
      <c r="DB872" s="140">
        <f t="shared" si="105"/>
        <v>1</v>
      </c>
      <c r="DS872" s="130">
        <f>SI!BY872</f>
        <v>164</v>
      </c>
      <c r="DZ872" s="131">
        <f>SI!BZ872</f>
        <v>0</v>
      </c>
    </row>
    <row r="873" spans="1:130" x14ac:dyDescent="0.25">
      <c r="A873" s="141"/>
      <c r="B873" s="379" t="s">
        <v>1012</v>
      </c>
      <c r="C873" s="379"/>
      <c r="D873" s="379"/>
      <c r="E873" s="379"/>
      <c r="F873" s="379"/>
      <c r="G873" s="379"/>
      <c r="H873" s="379"/>
      <c r="I873" s="379"/>
      <c r="J873" s="379"/>
      <c r="K873" s="379"/>
      <c r="L873" s="379"/>
      <c r="M873" s="379"/>
      <c r="N873" s="379"/>
      <c r="O873" s="379"/>
      <c r="P873" s="379"/>
      <c r="Q873" s="379"/>
      <c r="R873" s="379"/>
      <c r="S873" s="379"/>
      <c r="T873" s="379"/>
      <c r="U873" s="379"/>
      <c r="V873" s="379"/>
      <c r="W873" s="379"/>
      <c r="X873" s="379"/>
      <c r="Y873" s="379"/>
      <c r="Z873" s="379"/>
      <c r="AA873" s="379"/>
      <c r="AB873" s="379"/>
      <c r="AC873" s="379"/>
      <c r="AD873" s="379"/>
      <c r="AE873" s="379"/>
      <c r="AF873" s="379"/>
      <c r="AG873" s="379"/>
      <c r="AH873" s="379"/>
      <c r="AI873" s="379"/>
      <c r="AJ873" s="379"/>
      <c r="AK873" s="379"/>
      <c r="AL873" s="379"/>
      <c r="AM873" s="379"/>
      <c r="AN873" s="379"/>
      <c r="AO873" s="379"/>
      <c r="AP873" s="379"/>
      <c r="AQ873" s="379"/>
      <c r="AR873" s="379"/>
      <c r="AS873" s="379"/>
      <c r="AT873" s="379"/>
      <c r="AU873" s="379"/>
      <c r="AV873" s="379"/>
      <c r="AW873" s="379"/>
      <c r="AX873" s="379"/>
      <c r="AY873" s="379"/>
      <c r="AZ873" s="379"/>
      <c r="BA873" s="379"/>
      <c r="BB873" s="379"/>
      <c r="BC873" s="379"/>
      <c r="BD873" s="379"/>
      <c r="BE873" s="379"/>
      <c r="BF873" s="379"/>
      <c r="BG873" s="379"/>
      <c r="BH873" s="379"/>
      <c r="BI873" s="379"/>
      <c r="BJ873" s="379"/>
      <c r="BK873" s="379"/>
      <c r="BL873" s="379"/>
      <c r="BM873" s="379"/>
      <c r="BN873" s="379"/>
      <c r="BO873" s="379"/>
      <c r="BP873" s="379"/>
      <c r="BQ873" s="379"/>
      <c r="BR873" s="379"/>
      <c r="BS873" s="379"/>
      <c r="BT873" s="379"/>
      <c r="BU873" s="379"/>
      <c r="BV873" s="379"/>
      <c r="BW873" s="379"/>
      <c r="BX873" s="379"/>
      <c r="BY873" s="379"/>
      <c r="BZ873" s="379"/>
      <c r="CA873" s="281"/>
      <c r="CB873" s="3" t="str">
        <f t="shared" si="106"/>
        <v>Riadok bude vidieť.</v>
      </c>
      <c r="CC873" s="271" t="s">
        <v>832</v>
      </c>
      <c r="CD873" s="4"/>
      <c r="CW873" s="30">
        <f t="shared" si="113"/>
        <v>1</v>
      </c>
      <c r="CZ873" s="30">
        <f t="shared" si="110"/>
        <v>1</v>
      </c>
      <c r="DA873" s="30">
        <f t="shared" si="108"/>
        <v>1</v>
      </c>
      <c r="DB873" s="140">
        <f t="shared" si="105"/>
        <v>1</v>
      </c>
      <c r="DS873" s="130">
        <f>SI!BY873</f>
        <v>614</v>
      </c>
      <c r="DZ873" s="131">
        <f>SI!BZ873</f>
        <v>0</v>
      </c>
    </row>
    <row r="874" spans="1:130" x14ac:dyDescent="0.25">
      <c r="A874" s="141"/>
      <c r="B874" s="379" t="s">
        <v>1013</v>
      </c>
      <c r="C874" s="379"/>
      <c r="D874" s="379"/>
      <c r="E874" s="379"/>
      <c r="F874" s="379"/>
      <c r="G874" s="379"/>
      <c r="H874" s="379"/>
      <c r="I874" s="379"/>
      <c r="J874" s="379"/>
      <c r="K874" s="379"/>
      <c r="L874" s="379"/>
      <c r="M874" s="379"/>
      <c r="N874" s="379"/>
      <c r="O874" s="379"/>
      <c r="P874" s="379"/>
      <c r="Q874" s="379"/>
      <c r="R874" s="379"/>
      <c r="S874" s="379"/>
      <c r="T874" s="379"/>
      <c r="U874" s="379"/>
      <c r="V874" s="379"/>
      <c r="W874" s="379"/>
      <c r="X874" s="379"/>
      <c r="Y874" s="379"/>
      <c r="Z874" s="379"/>
      <c r="AA874" s="379"/>
      <c r="AB874" s="379"/>
      <c r="AC874" s="379"/>
      <c r="AD874" s="379"/>
      <c r="AE874" s="379"/>
      <c r="AF874" s="379"/>
      <c r="AG874" s="379"/>
      <c r="AH874" s="379"/>
      <c r="AI874" s="379"/>
      <c r="AJ874" s="379"/>
      <c r="AK874" s="379"/>
      <c r="AL874" s="379"/>
      <c r="AM874" s="379"/>
      <c r="AN874" s="379"/>
      <c r="AO874" s="379"/>
      <c r="AP874" s="379"/>
      <c r="AQ874" s="379"/>
      <c r="AR874" s="379"/>
      <c r="AS874" s="379"/>
      <c r="AT874" s="379"/>
      <c r="AU874" s="379"/>
      <c r="AV874" s="379"/>
      <c r="AW874" s="379"/>
      <c r="AX874" s="379"/>
      <c r="AY874" s="379"/>
      <c r="AZ874" s="379"/>
      <c r="BA874" s="379"/>
      <c r="BB874" s="379"/>
      <c r="BC874" s="379"/>
      <c r="BD874" s="379"/>
      <c r="BE874" s="379"/>
      <c r="BF874" s="379"/>
      <c r="BG874" s="379"/>
      <c r="BH874" s="379"/>
      <c r="BI874" s="379"/>
      <c r="BJ874" s="379"/>
      <c r="BK874" s="379"/>
      <c r="BL874" s="379"/>
      <c r="BM874" s="379"/>
      <c r="BN874" s="379"/>
      <c r="BO874" s="379"/>
      <c r="BP874" s="379"/>
      <c r="BQ874" s="379"/>
      <c r="BR874" s="379"/>
      <c r="BS874" s="379"/>
      <c r="BT874" s="379"/>
      <c r="BU874" s="379"/>
      <c r="BV874" s="379"/>
      <c r="BW874" s="379"/>
      <c r="BX874" s="379"/>
      <c r="BY874" s="379"/>
      <c r="BZ874" s="379"/>
      <c r="CA874" s="281"/>
      <c r="CB874" s="3" t="str">
        <f t="shared" si="106"/>
        <v>Riadok bude vidieť.</v>
      </c>
      <c r="CC874" s="271" t="s">
        <v>832</v>
      </c>
      <c r="CW874" s="30">
        <f t="shared" si="113"/>
        <v>1</v>
      </c>
      <c r="CZ874" s="30">
        <f t="shared" si="110"/>
        <v>1</v>
      </c>
      <c r="DA874" s="30">
        <f t="shared" si="108"/>
        <v>1</v>
      </c>
      <c r="DB874" s="140">
        <f t="shared" si="105"/>
        <v>1</v>
      </c>
      <c r="DS874" s="130">
        <f>SI!BY874</f>
        <v>139</v>
      </c>
      <c r="DZ874" s="131">
        <f>SI!BZ874</f>
        <v>0</v>
      </c>
    </row>
    <row r="875" spans="1:130" x14ac:dyDescent="0.25">
      <c r="A875" s="141"/>
      <c r="B875" s="379" t="s">
        <v>1014</v>
      </c>
      <c r="C875" s="379"/>
      <c r="D875" s="379"/>
      <c r="E875" s="379"/>
      <c r="F875" s="379"/>
      <c r="G875" s="379"/>
      <c r="H875" s="379"/>
      <c r="I875" s="379"/>
      <c r="J875" s="379"/>
      <c r="K875" s="379"/>
      <c r="L875" s="379"/>
      <c r="M875" s="379"/>
      <c r="N875" s="379"/>
      <c r="O875" s="379"/>
      <c r="P875" s="379"/>
      <c r="Q875" s="379"/>
      <c r="R875" s="379"/>
      <c r="S875" s="379"/>
      <c r="T875" s="379"/>
      <c r="U875" s="379"/>
      <c r="V875" s="379"/>
      <c r="W875" s="379"/>
      <c r="X875" s="379"/>
      <c r="Y875" s="379"/>
      <c r="Z875" s="379"/>
      <c r="AA875" s="379"/>
      <c r="AB875" s="379"/>
      <c r="AC875" s="379"/>
      <c r="AD875" s="379"/>
      <c r="AE875" s="379"/>
      <c r="AF875" s="379"/>
      <c r="AG875" s="379"/>
      <c r="AH875" s="379"/>
      <c r="AI875" s="379"/>
      <c r="AJ875" s="379"/>
      <c r="AK875" s="379"/>
      <c r="AL875" s="379"/>
      <c r="AM875" s="379"/>
      <c r="AN875" s="379"/>
      <c r="AO875" s="379"/>
      <c r="AP875" s="379"/>
      <c r="AQ875" s="379"/>
      <c r="AR875" s="379"/>
      <c r="AS875" s="379"/>
      <c r="AT875" s="379"/>
      <c r="AU875" s="379"/>
      <c r="AV875" s="379"/>
      <c r="AW875" s="379"/>
      <c r="AX875" s="379"/>
      <c r="AY875" s="379"/>
      <c r="AZ875" s="379"/>
      <c r="BA875" s="379"/>
      <c r="BB875" s="379"/>
      <c r="BC875" s="379"/>
      <c r="BD875" s="379"/>
      <c r="BE875" s="379"/>
      <c r="BF875" s="379"/>
      <c r="BG875" s="379"/>
      <c r="BH875" s="379"/>
      <c r="BI875" s="379"/>
      <c r="BJ875" s="379"/>
      <c r="BK875" s="379"/>
      <c r="BL875" s="379"/>
      <c r="BM875" s="379"/>
      <c r="BN875" s="379"/>
      <c r="BO875" s="379"/>
      <c r="BP875" s="379"/>
      <c r="BQ875" s="379"/>
      <c r="BR875" s="379"/>
      <c r="BS875" s="379"/>
      <c r="BT875" s="379"/>
      <c r="BU875" s="379"/>
      <c r="BV875" s="379"/>
      <c r="BW875" s="379"/>
      <c r="BX875" s="379"/>
      <c r="BY875" s="379"/>
      <c r="BZ875" s="379"/>
      <c r="CA875" s="281"/>
      <c r="CB875" s="3" t="str">
        <f t="shared" si="106"/>
        <v>Riadok bude vidieť.</v>
      </c>
      <c r="CC875" s="271" t="s">
        <v>832</v>
      </c>
      <c r="CW875" s="30">
        <f t="shared" si="113"/>
        <v>1</v>
      </c>
      <c r="CZ875" s="30">
        <f t="shared" si="110"/>
        <v>1</v>
      </c>
      <c r="DA875" s="30">
        <f t="shared" si="108"/>
        <v>1</v>
      </c>
      <c r="DB875" s="140">
        <f t="shared" si="105"/>
        <v>1</v>
      </c>
      <c r="DS875" s="130">
        <f>SI!BY875</f>
        <v>500</v>
      </c>
      <c r="DZ875" s="131">
        <f>SI!BZ875</f>
        <v>0</v>
      </c>
    </row>
    <row r="876" spans="1:130" x14ac:dyDescent="0.25">
      <c r="A876" s="141"/>
      <c r="B876" s="379" t="s">
        <v>1015</v>
      </c>
      <c r="C876" s="379"/>
      <c r="D876" s="379"/>
      <c r="E876" s="379"/>
      <c r="F876" s="379"/>
      <c r="G876" s="379"/>
      <c r="H876" s="379"/>
      <c r="I876" s="379"/>
      <c r="J876" s="379"/>
      <c r="K876" s="379"/>
      <c r="L876" s="379"/>
      <c r="M876" s="379"/>
      <c r="N876" s="379"/>
      <c r="O876" s="379"/>
      <c r="P876" s="379"/>
      <c r="Q876" s="379"/>
      <c r="R876" s="379"/>
      <c r="S876" s="379"/>
      <c r="T876" s="379"/>
      <c r="U876" s="379"/>
      <c r="V876" s="379"/>
      <c r="W876" s="379"/>
      <c r="X876" s="379"/>
      <c r="Y876" s="379"/>
      <c r="Z876" s="379"/>
      <c r="AA876" s="379"/>
      <c r="AB876" s="379"/>
      <c r="AC876" s="379"/>
      <c r="AD876" s="379"/>
      <c r="AE876" s="379"/>
      <c r="AF876" s="379"/>
      <c r="AG876" s="379"/>
      <c r="AH876" s="379"/>
      <c r="AI876" s="379"/>
      <c r="AJ876" s="379"/>
      <c r="AK876" s="379"/>
      <c r="AL876" s="379"/>
      <c r="AM876" s="379"/>
      <c r="AN876" s="379"/>
      <c r="AO876" s="379"/>
      <c r="AP876" s="379"/>
      <c r="AQ876" s="379"/>
      <c r="AR876" s="379"/>
      <c r="AS876" s="379"/>
      <c r="AT876" s="379"/>
      <c r="AU876" s="379"/>
      <c r="AV876" s="379"/>
      <c r="AW876" s="379"/>
      <c r="AX876" s="379"/>
      <c r="AY876" s="379"/>
      <c r="AZ876" s="379"/>
      <c r="BA876" s="379"/>
      <c r="BB876" s="379"/>
      <c r="BC876" s="379"/>
      <c r="BD876" s="379"/>
      <c r="BE876" s="379"/>
      <c r="BF876" s="379"/>
      <c r="BG876" s="379"/>
      <c r="BH876" s="379"/>
      <c r="BI876" s="379"/>
      <c r="BJ876" s="379"/>
      <c r="BK876" s="379"/>
      <c r="BL876" s="379"/>
      <c r="BM876" s="379"/>
      <c r="BN876" s="379"/>
      <c r="BO876" s="379"/>
      <c r="BP876" s="379"/>
      <c r="BQ876" s="379"/>
      <c r="BR876" s="379"/>
      <c r="BS876" s="379"/>
      <c r="BT876" s="379"/>
      <c r="BU876" s="379"/>
      <c r="BV876" s="379"/>
      <c r="BW876" s="379"/>
      <c r="BX876" s="379"/>
      <c r="BY876" s="379"/>
      <c r="BZ876" s="379"/>
      <c r="CA876" s="281"/>
      <c r="CB876" s="3" t="str">
        <f t="shared" si="106"/>
        <v>Riadok bude vidieť.</v>
      </c>
      <c r="CC876" s="271" t="s">
        <v>832</v>
      </c>
      <c r="CW876" s="30">
        <f t="shared" si="113"/>
        <v>1</v>
      </c>
      <c r="CZ876" s="30">
        <f t="shared" si="110"/>
        <v>1</v>
      </c>
      <c r="DA876" s="30">
        <f t="shared" si="108"/>
        <v>1</v>
      </c>
      <c r="DB876" s="140">
        <f t="shared" si="105"/>
        <v>1</v>
      </c>
      <c r="DS876" s="130">
        <f>SI!BY876</f>
        <v>162</v>
      </c>
      <c r="DZ876" s="131">
        <f>SI!BZ876</f>
        <v>0</v>
      </c>
    </row>
    <row r="877" spans="1:130" hidden="1" x14ac:dyDescent="0.25">
      <c r="A877" s="141"/>
      <c r="B877" s="379"/>
      <c r="C877" s="379"/>
      <c r="D877" s="379"/>
      <c r="E877" s="379"/>
      <c r="F877" s="379"/>
      <c r="G877" s="379"/>
      <c r="H877" s="379"/>
      <c r="I877" s="379"/>
      <c r="J877" s="379"/>
      <c r="K877" s="379"/>
      <c r="L877" s="379"/>
      <c r="M877" s="379"/>
      <c r="N877" s="379"/>
      <c r="O877" s="379"/>
      <c r="P877" s="379"/>
      <c r="Q877" s="379"/>
      <c r="R877" s="379"/>
      <c r="S877" s="379"/>
      <c r="T877" s="379"/>
      <c r="U877" s="379"/>
      <c r="V877" s="379"/>
      <c r="W877" s="379"/>
      <c r="X877" s="379"/>
      <c r="Y877" s="379"/>
      <c r="Z877" s="379"/>
      <c r="AA877" s="379"/>
      <c r="AB877" s="379"/>
      <c r="AC877" s="379"/>
      <c r="AD877" s="379"/>
      <c r="AE877" s="379"/>
      <c r="AF877" s="379"/>
      <c r="AG877" s="379"/>
      <c r="AH877" s="379"/>
      <c r="AI877" s="379"/>
      <c r="AJ877" s="379"/>
      <c r="AK877" s="379"/>
      <c r="AL877" s="379"/>
      <c r="AM877" s="379"/>
      <c r="AN877" s="379"/>
      <c r="AO877" s="379"/>
      <c r="AP877" s="379"/>
      <c r="AQ877" s="379"/>
      <c r="AR877" s="379"/>
      <c r="AS877" s="379"/>
      <c r="AT877" s="379"/>
      <c r="AU877" s="379"/>
      <c r="AV877" s="379"/>
      <c r="AW877" s="379"/>
      <c r="AX877" s="379"/>
      <c r="AY877" s="379"/>
      <c r="AZ877" s="379"/>
      <c r="BA877" s="379"/>
      <c r="BB877" s="379"/>
      <c r="BC877" s="379"/>
      <c r="BD877" s="379"/>
      <c r="BE877" s="379"/>
      <c r="BF877" s="379"/>
      <c r="BG877" s="379"/>
      <c r="BH877" s="379"/>
      <c r="BI877" s="379"/>
      <c r="BJ877" s="379"/>
      <c r="BK877" s="379"/>
      <c r="BL877" s="379"/>
      <c r="BM877" s="379"/>
      <c r="BN877" s="379"/>
      <c r="BO877" s="379"/>
      <c r="BP877" s="379"/>
      <c r="BQ877" s="379"/>
      <c r="BR877" s="379"/>
      <c r="BS877" s="379"/>
      <c r="BT877" s="379"/>
      <c r="BU877" s="379"/>
      <c r="BV877" s="379"/>
      <c r="BW877" s="379"/>
      <c r="BX877" s="379"/>
      <c r="BY877" s="379"/>
      <c r="BZ877" s="379"/>
      <c r="CA877" s="281"/>
      <c r="CB877" s="3" t="str">
        <f t="shared" si="106"/>
        <v>Riadok bude skrytý.</v>
      </c>
      <c r="CC877" s="271" t="s">
        <v>832</v>
      </c>
      <c r="CW877" s="30">
        <f t="shared" si="113"/>
        <v>0</v>
      </c>
      <c r="CZ877" s="30">
        <f t="shared" si="110"/>
        <v>1</v>
      </c>
      <c r="DA877" s="30">
        <f t="shared" si="108"/>
        <v>0</v>
      </c>
      <c r="DB877" s="140">
        <f t="shared" si="105"/>
        <v>0</v>
      </c>
      <c r="DS877" s="130">
        <f>SI!BY877</f>
        <v>110</v>
      </c>
      <c r="DZ877" s="131">
        <f>SI!BZ877</f>
        <v>0</v>
      </c>
    </row>
    <row r="878" spans="1:130" hidden="1" x14ac:dyDescent="0.25">
      <c r="A878" s="141"/>
      <c r="B878" s="379"/>
      <c r="C878" s="379"/>
      <c r="D878" s="379"/>
      <c r="E878" s="379"/>
      <c r="F878" s="379"/>
      <c r="G878" s="379"/>
      <c r="H878" s="379"/>
      <c r="I878" s="379"/>
      <c r="J878" s="379"/>
      <c r="K878" s="379"/>
      <c r="L878" s="379"/>
      <c r="M878" s="379"/>
      <c r="N878" s="379"/>
      <c r="O878" s="379"/>
      <c r="P878" s="379"/>
      <c r="Q878" s="379"/>
      <c r="R878" s="379"/>
      <c r="S878" s="379"/>
      <c r="T878" s="379"/>
      <c r="U878" s="379"/>
      <c r="V878" s="379"/>
      <c r="W878" s="379"/>
      <c r="X878" s="379"/>
      <c r="Y878" s="379"/>
      <c r="Z878" s="379"/>
      <c r="AA878" s="379"/>
      <c r="AB878" s="379"/>
      <c r="AC878" s="379"/>
      <c r="AD878" s="379"/>
      <c r="AE878" s="379"/>
      <c r="AF878" s="379"/>
      <c r="AG878" s="379"/>
      <c r="AH878" s="379"/>
      <c r="AI878" s="379"/>
      <c r="AJ878" s="379"/>
      <c r="AK878" s="379"/>
      <c r="AL878" s="379"/>
      <c r="AM878" s="379"/>
      <c r="AN878" s="379"/>
      <c r="AO878" s="379"/>
      <c r="AP878" s="379"/>
      <c r="AQ878" s="379"/>
      <c r="AR878" s="379"/>
      <c r="AS878" s="379"/>
      <c r="AT878" s="379"/>
      <c r="AU878" s="379"/>
      <c r="AV878" s="379"/>
      <c r="AW878" s="379"/>
      <c r="AX878" s="379"/>
      <c r="AY878" s="379"/>
      <c r="AZ878" s="379"/>
      <c r="BA878" s="379"/>
      <c r="BB878" s="379"/>
      <c r="BC878" s="379"/>
      <c r="BD878" s="379"/>
      <c r="BE878" s="379"/>
      <c r="BF878" s="379"/>
      <c r="BG878" s="379"/>
      <c r="BH878" s="379"/>
      <c r="BI878" s="379"/>
      <c r="BJ878" s="379"/>
      <c r="BK878" s="379"/>
      <c r="BL878" s="379"/>
      <c r="BM878" s="379"/>
      <c r="BN878" s="379"/>
      <c r="BO878" s="379"/>
      <c r="BP878" s="379"/>
      <c r="BQ878" s="379"/>
      <c r="BR878" s="379"/>
      <c r="BS878" s="379"/>
      <c r="BT878" s="379"/>
      <c r="BU878" s="379"/>
      <c r="BV878" s="379"/>
      <c r="BW878" s="379"/>
      <c r="BX878" s="379"/>
      <c r="BY878" s="379"/>
      <c r="BZ878" s="379"/>
      <c r="CA878" s="281"/>
      <c r="CB878" s="3" t="str">
        <f t="shared" si="106"/>
        <v>Riadok bude skrytý.</v>
      </c>
      <c r="CC878" s="271" t="s">
        <v>832</v>
      </c>
      <c r="CW878" s="30">
        <f t="shared" si="113"/>
        <v>0</v>
      </c>
      <c r="CZ878" s="30">
        <f t="shared" si="110"/>
        <v>1</v>
      </c>
      <c r="DA878" s="30">
        <f t="shared" si="108"/>
        <v>0</v>
      </c>
      <c r="DB878" s="140">
        <f t="shared" si="105"/>
        <v>0</v>
      </c>
      <c r="DS878" s="130">
        <f>SI!BY878</f>
        <v>128</v>
      </c>
      <c r="DZ878" s="131">
        <f>SI!BZ878</f>
        <v>0</v>
      </c>
    </row>
    <row r="879" spans="1:130" hidden="1" x14ac:dyDescent="0.25">
      <c r="A879" s="141"/>
      <c r="B879" s="379"/>
      <c r="C879" s="379"/>
      <c r="D879" s="379"/>
      <c r="E879" s="379"/>
      <c r="F879" s="379"/>
      <c r="G879" s="379"/>
      <c r="H879" s="379"/>
      <c r="I879" s="379"/>
      <c r="J879" s="379"/>
      <c r="K879" s="379"/>
      <c r="L879" s="379"/>
      <c r="M879" s="379"/>
      <c r="N879" s="379"/>
      <c r="O879" s="379"/>
      <c r="P879" s="379"/>
      <c r="Q879" s="379"/>
      <c r="R879" s="379"/>
      <c r="S879" s="379"/>
      <c r="T879" s="379"/>
      <c r="U879" s="379"/>
      <c r="V879" s="379"/>
      <c r="W879" s="379"/>
      <c r="X879" s="379"/>
      <c r="Y879" s="379"/>
      <c r="Z879" s="379"/>
      <c r="AA879" s="379"/>
      <c r="AB879" s="379"/>
      <c r="AC879" s="379"/>
      <c r="AD879" s="379"/>
      <c r="AE879" s="379"/>
      <c r="AF879" s="379"/>
      <c r="AG879" s="379"/>
      <c r="AH879" s="379"/>
      <c r="AI879" s="379"/>
      <c r="AJ879" s="379"/>
      <c r="AK879" s="379"/>
      <c r="AL879" s="379"/>
      <c r="AM879" s="379"/>
      <c r="AN879" s="379"/>
      <c r="AO879" s="379"/>
      <c r="AP879" s="379"/>
      <c r="AQ879" s="379"/>
      <c r="AR879" s="379"/>
      <c r="AS879" s="379"/>
      <c r="AT879" s="379"/>
      <c r="AU879" s="379"/>
      <c r="AV879" s="379"/>
      <c r="AW879" s="379"/>
      <c r="AX879" s="379"/>
      <c r="AY879" s="379"/>
      <c r="AZ879" s="379"/>
      <c r="BA879" s="379"/>
      <c r="BB879" s="379"/>
      <c r="BC879" s="379"/>
      <c r="BD879" s="379"/>
      <c r="BE879" s="379"/>
      <c r="BF879" s="379"/>
      <c r="BG879" s="379"/>
      <c r="BH879" s="379"/>
      <c r="BI879" s="379"/>
      <c r="BJ879" s="379"/>
      <c r="BK879" s="379"/>
      <c r="BL879" s="379"/>
      <c r="BM879" s="379"/>
      <c r="BN879" s="379"/>
      <c r="BO879" s="379"/>
      <c r="BP879" s="379"/>
      <c r="BQ879" s="379"/>
      <c r="BR879" s="379"/>
      <c r="BS879" s="379"/>
      <c r="BT879" s="379"/>
      <c r="BU879" s="379"/>
      <c r="BV879" s="379"/>
      <c r="BW879" s="379"/>
      <c r="BX879" s="379"/>
      <c r="BY879" s="379"/>
      <c r="BZ879" s="379"/>
      <c r="CA879" s="281"/>
      <c r="CB879" s="3" t="str">
        <f t="shared" si="106"/>
        <v>Riadok bude skrytý.</v>
      </c>
      <c r="CC879" s="271" t="s">
        <v>832</v>
      </c>
      <c r="CW879" s="30">
        <f t="shared" si="113"/>
        <v>0</v>
      </c>
      <c r="CZ879" s="30">
        <f t="shared" si="110"/>
        <v>1</v>
      </c>
      <c r="DA879" s="30">
        <f t="shared" si="108"/>
        <v>0</v>
      </c>
      <c r="DB879" s="140">
        <f t="shared" si="105"/>
        <v>0</v>
      </c>
      <c r="DS879" s="130">
        <f>SI!BY879</f>
        <v>13</v>
      </c>
      <c r="DZ879" s="131">
        <f>SI!BZ879</f>
        <v>0</v>
      </c>
    </row>
    <row r="880" spans="1:130" hidden="1" x14ac:dyDescent="0.25">
      <c r="A880" s="141"/>
      <c r="B880" s="379"/>
      <c r="C880" s="379"/>
      <c r="D880" s="379"/>
      <c r="E880" s="379"/>
      <c r="F880" s="379"/>
      <c r="G880" s="379"/>
      <c r="H880" s="379"/>
      <c r="I880" s="379"/>
      <c r="J880" s="379"/>
      <c r="K880" s="379"/>
      <c r="L880" s="379"/>
      <c r="M880" s="379"/>
      <c r="N880" s="379"/>
      <c r="O880" s="379"/>
      <c r="P880" s="379"/>
      <c r="Q880" s="379"/>
      <c r="R880" s="379"/>
      <c r="S880" s="379"/>
      <c r="T880" s="379"/>
      <c r="U880" s="379"/>
      <c r="V880" s="379"/>
      <c r="W880" s="379"/>
      <c r="X880" s="379"/>
      <c r="Y880" s="379"/>
      <c r="Z880" s="379"/>
      <c r="AA880" s="379"/>
      <c r="AB880" s="379"/>
      <c r="AC880" s="379"/>
      <c r="AD880" s="379"/>
      <c r="AE880" s="379"/>
      <c r="AF880" s="379"/>
      <c r="AG880" s="379"/>
      <c r="AH880" s="379"/>
      <c r="AI880" s="379"/>
      <c r="AJ880" s="379"/>
      <c r="AK880" s="379"/>
      <c r="AL880" s="379"/>
      <c r="AM880" s="379"/>
      <c r="AN880" s="379"/>
      <c r="AO880" s="379"/>
      <c r="AP880" s="379"/>
      <c r="AQ880" s="379"/>
      <c r="AR880" s="379"/>
      <c r="AS880" s="379"/>
      <c r="AT880" s="379"/>
      <c r="AU880" s="379"/>
      <c r="AV880" s="379"/>
      <c r="AW880" s="379"/>
      <c r="AX880" s="379"/>
      <c r="AY880" s="379"/>
      <c r="AZ880" s="379"/>
      <c r="BA880" s="379"/>
      <c r="BB880" s="379"/>
      <c r="BC880" s="379"/>
      <c r="BD880" s="379"/>
      <c r="BE880" s="379"/>
      <c r="BF880" s="379"/>
      <c r="BG880" s="379"/>
      <c r="BH880" s="379"/>
      <c r="BI880" s="379"/>
      <c r="BJ880" s="379"/>
      <c r="BK880" s="379"/>
      <c r="BL880" s="379"/>
      <c r="BM880" s="379"/>
      <c r="BN880" s="379"/>
      <c r="BO880" s="379"/>
      <c r="BP880" s="379"/>
      <c r="BQ880" s="379"/>
      <c r="BR880" s="379"/>
      <c r="BS880" s="379"/>
      <c r="BT880" s="379"/>
      <c r="BU880" s="379"/>
      <c r="BV880" s="379"/>
      <c r="BW880" s="379"/>
      <c r="BX880" s="379"/>
      <c r="BY880" s="379"/>
      <c r="BZ880" s="379"/>
      <c r="CA880" s="281"/>
      <c r="CB880" s="3" t="str">
        <f t="shared" si="106"/>
        <v>Riadok bude skrytý.</v>
      </c>
      <c r="CC880" s="271" t="s">
        <v>832</v>
      </c>
      <c r="CW880" s="30">
        <f t="shared" si="113"/>
        <v>0</v>
      </c>
      <c r="CZ880" s="30">
        <f t="shared" si="110"/>
        <v>1</v>
      </c>
      <c r="DA880" s="30">
        <f t="shared" si="108"/>
        <v>0</v>
      </c>
      <c r="DB880" s="140">
        <f t="shared" ref="DB880:DB892" si="114">+DA880</f>
        <v>0</v>
      </c>
      <c r="DS880" s="130">
        <f>SI!BY880</f>
        <v>253</v>
      </c>
      <c r="DZ880" s="131">
        <f>SI!BZ880</f>
        <v>0</v>
      </c>
    </row>
    <row r="881" spans="1:130" hidden="1" x14ac:dyDescent="0.25">
      <c r="A881" s="141"/>
      <c r="B881" s="379"/>
      <c r="C881" s="379"/>
      <c r="D881" s="379"/>
      <c r="E881" s="379"/>
      <c r="F881" s="379"/>
      <c r="G881" s="379"/>
      <c r="H881" s="379"/>
      <c r="I881" s="379"/>
      <c r="J881" s="379"/>
      <c r="K881" s="379"/>
      <c r="L881" s="379"/>
      <c r="M881" s="379"/>
      <c r="N881" s="379"/>
      <c r="O881" s="379"/>
      <c r="P881" s="379"/>
      <c r="Q881" s="379"/>
      <c r="R881" s="379"/>
      <c r="S881" s="379"/>
      <c r="T881" s="379"/>
      <c r="U881" s="379"/>
      <c r="V881" s="379"/>
      <c r="W881" s="379"/>
      <c r="X881" s="379"/>
      <c r="Y881" s="379"/>
      <c r="Z881" s="379"/>
      <c r="AA881" s="379"/>
      <c r="AB881" s="379"/>
      <c r="AC881" s="379"/>
      <c r="AD881" s="379"/>
      <c r="AE881" s="379"/>
      <c r="AF881" s="379"/>
      <c r="AG881" s="379"/>
      <c r="AH881" s="379"/>
      <c r="AI881" s="379"/>
      <c r="AJ881" s="379"/>
      <c r="AK881" s="379"/>
      <c r="AL881" s="379"/>
      <c r="AM881" s="379"/>
      <c r="AN881" s="379"/>
      <c r="AO881" s="379"/>
      <c r="AP881" s="379"/>
      <c r="AQ881" s="379"/>
      <c r="AR881" s="379"/>
      <c r="AS881" s="379"/>
      <c r="AT881" s="379"/>
      <c r="AU881" s="379"/>
      <c r="AV881" s="379"/>
      <c r="AW881" s="379"/>
      <c r="AX881" s="379"/>
      <c r="AY881" s="379"/>
      <c r="AZ881" s="379"/>
      <c r="BA881" s="379"/>
      <c r="BB881" s="379"/>
      <c r="BC881" s="379"/>
      <c r="BD881" s="379"/>
      <c r="BE881" s="379"/>
      <c r="BF881" s="379"/>
      <c r="BG881" s="379"/>
      <c r="BH881" s="379"/>
      <c r="BI881" s="379"/>
      <c r="BJ881" s="379"/>
      <c r="BK881" s="379"/>
      <c r="BL881" s="379"/>
      <c r="BM881" s="379"/>
      <c r="BN881" s="379"/>
      <c r="BO881" s="379"/>
      <c r="BP881" s="379"/>
      <c r="BQ881" s="379"/>
      <c r="BR881" s="379"/>
      <c r="BS881" s="379"/>
      <c r="BT881" s="379"/>
      <c r="BU881" s="379"/>
      <c r="BV881" s="379"/>
      <c r="BW881" s="379"/>
      <c r="BX881" s="379"/>
      <c r="BY881" s="379"/>
      <c r="BZ881" s="379"/>
      <c r="CA881" s="281"/>
      <c r="CB881" s="3" t="str">
        <f t="shared" si="106"/>
        <v>Riadok bude skrytý.</v>
      </c>
      <c r="CC881" s="271" t="s">
        <v>832</v>
      </c>
      <c r="CW881" s="30">
        <f t="shared" si="113"/>
        <v>0</v>
      </c>
      <c r="CZ881" s="30">
        <f t="shared" si="110"/>
        <v>1</v>
      </c>
      <c r="DA881" s="30">
        <f t="shared" si="108"/>
        <v>0</v>
      </c>
      <c r="DB881" s="140">
        <f t="shared" si="114"/>
        <v>0</v>
      </c>
      <c r="DS881" s="130">
        <f>SI!BY881</f>
        <v>188</v>
      </c>
      <c r="DZ881" s="131">
        <f>SI!BZ881</f>
        <v>0</v>
      </c>
    </row>
    <row r="882" spans="1:130" hidden="1" x14ac:dyDescent="0.25">
      <c r="A882" s="141"/>
      <c r="B882" s="379"/>
      <c r="C882" s="379"/>
      <c r="D882" s="379"/>
      <c r="E882" s="379"/>
      <c r="F882" s="379"/>
      <c r="G882" s="379"/>
      <c r="H882" s="379"/>
      <c r="I882" s="379"/>
      <c r="J882" s="379"/>
      <c r="K882" s="379"/>
      <c r="L882" s="379"/>
      <c r="M882" s="379"/>
      <c r="N882" s="379"/>
      <c r="O882" s="379"/>
      <c r="P882" s="379"/>
      <c r="Q882" s="379"/>
      <c r="R882" s="379"/>
      <c r="S882" s="379"/>
      <c r="T882" s="379"/>
      <c r="U882" s="379"/>
      <c r="V882" s="379"/>
      <c r="W882" s="379"/>
      <c r="X882" s="379"/>
      <c r="Y882" s="379"/>
      <c r="Z882" s="379"/>
      <c r="AA882" s="379"/>
      <c r="AB882" s="379"/>
      <c r="AC882" s="379"/>
      <c r="AD882" s="379"/>
      <c r="AE882" s="379"/>
      <c r="AF882" s="379"/>
      <c r="AG882" s="379"/>
      <c r="AH882" s="379"/>
      <c r="AI882" s="379"/>
      <c r="AJ882" s="379"/>
      <c r="AK882" s="379"/>
      <c r="AL882" s="379"/>
      <c r="AM882" s="379"/>
      <c r="AN882" s="379"/>
      <c r="AO882" s="379"/>
      <c r="AP882" s="379"/>
      <c r="AQ882" s="379"/>
      <c r="AR882" s="379"/>
      <c r="AS882" s="379"/>
      <c r="AT882" s="379"/>
      <c r="AU882" s="379"/>
      <c r="AV882" s="379"/>
      <c r="AW882" s="379"/>
      <c r="AX882" s="379"/>
      <c r="AY882" s="379"/>
      <c r="AZ882" s="379"/>
      <c r="BA882" s="379"/>
      <c r="BB882" s="379"/>
      <c r="BC882" s="379"/>
      <c r="BD882" s="379"/>
      <c r="BE882" s="379"/>
      <c r="BF882" s="379"/>
      <c r="BG882" s="379"/>
      <c r="BH882" s="379"/>
      <c r="BI882" s="379"/>
      <c r="BJ882" s="379"/>
      <c r="BK882" s="379"/>
      <c r="BL882" s="379"/>
      <c r="BM882" s="379"/>
      <c r="BN882" s="379"/>
      <c r="BO882" s="379"/>
      <c r="BP882" s="379"/>
      <c r="BQ882" s="379"/>
      <c r="BR882" s="379"/>
      <c r="BS882" s="379"/>
      <c r="BT882" s="379"/>
      <c r="BU882" s="379"/>
      <c r="BV882" s="379"/>
      <c r="BW882" s="379"/>
      <c r="BX882" s="379"/>
      <c r="BY882" s="379"/>
      <c r="BZ882" s="379"/>
      <c r="CA882" s="281"/>
      <c r="CB882" s="3" t="str">
        <f t="shared" si="106"/>
        <v>Riadok bude skrytý.</v>
      </c>
      <c r="CC882" s="271" t="s">
        <v>832</v>
      </c>
      <c r="CW882" s="30">
        <f t="shared" si="113"/>
        <v>0</v>
      </c>
      <c r="CZ882" s="30">
        <f t="shared" si="110"/>
        <v>1</v>
      </c>
      <c r="DA882" s="30">
        <f t="shared" si="108"/>
        <v>0</v>
      </c>
      <c r="DB882" s="140">
        <f t="shared" si="114"/>
        <v>0</v>
      </c>
      <c r="DS882" s="130">
        <f>SI!BY882</f>
        <v>1126</v>
      </c>
      <c r="DZ882" s="131">
        <f>SI!BZ882</f>
        <v>0</v>
      </c>
    </row>
    <row r="883" spans="1:130" hidden="1" x14ac:dyDescent="0.25">
      <c r="A883" s="141"/>
      <c r="B883" s="379"/>
      <c r="C883" s="379"/>
      <c r="D883" s="379"/>
      <c r="E883" s="379"/>
      <c r="F883" s="379"/>
      <c r="G883" s="379"/>
      <c r="H883" s="379"/>
      <c r="I883" s="379"/>
      <c r="J883" s="379"/>
      <c r="K883" s="379"/>
      <c r="L883" s="379"/>
      <c r="M883" s="379"/>
      <c r="N883" s="379"/>
      <c r="O883" s="379"/>
      <c r="P883" s="379"/>
      <c r="Q883" s="379"/>
      <c r="R883" s="379"/>
      <c r="S883" s="379"/>
      <c r="T883" s="379"/>
      <c r="U883" s="379"/>
      <c r="V883" s="379"/>
      <c r="W883" s="379"/>
      <c r="X883" s="379"/>
      <c r="Y883" s="379"/>
      <c r="Z883" s="379"/>
      <c r="AA883" s="379"/>
      <c r="AB883" s="379"/>
      <c r="AC883" s="379"/>
      <c r="AD883" s="379"/>
      <c r="AE883" s="379"/>
      <c r="AF883" s="379"/>
      <c r="AG883" s="379"/>
      <c r="AH883" s="379"/>
      <c r="AI883" s="379"/>
      <c r="AJ883" s="379"/>
      <c r="AK883" s="379"/>
      <c r="AL883" s="379"/>
      <c r="AM883" s="379"/>
      <c r="AN883" s="379"/>
      <c r="AO883" s="379"/>
      <c r="AP883" s="379"/>
      <c r="AQ883" s="379"/>
      <c r="AR883" s="379"/>
      <c r="AS883" s="379"/>
      <c r="AT883" s="379"/>
      <c r="AU883" s="379"/>
      <c r="AV883" s="379"/>
      <c r="AW883" s="379"/>
      <c r="AX883" s="379"/>
      <c r="AY883" s="379"/>
      <c r="AZ883" s="379"/>
      <c r="BA883" s="379"/>
      <c r="BB883" s="379"/>
      <c r="BC883" s="379"/>
      <c r="BD883" s="379"/>
      <c r="BE883" s="379"/>
      <c r="BF883" s="379"/>
      <c r="BG883" s="379"/>
      <c r="BH883" s="379"/>
      <c r="BI883" s="379"/>
      <c r="BJ883" s="379"/>
      <c r="BK883" s="379"/>
      <c r="BL883" s="379"/>
      <c r="BM883" s="379"/>
      <c r="BN883" s="379"/>
      <c r="BO883" s="379"/>
      <c r="BP883" s="379"/>
      <c r="BQ883" s="379"/>
      <c r="BR883" s="379"/>
      <c r="BS883" s="379"/>
      <c r="BT883" s="379"/>
      <c r="BU883" s="379"/>
      <c r="BV883" s="379"/>
      <c r="BW883" s="379"/>
      <c r="BX883" s="379"/>
      <c r="BY883" s="379"/>
      <c r="BZ883" s="379"/>
      <c r="CA883" s="281"/>
      <c r="CB883" s="3" t="str">
        <f t="shared" ref="CB883:CB946" si="115">+IF(DB883=0,"Riadok bude skrytý.","Riadok bude vidieť.")</f>
        <v>Riadok bude skrytý.</v>
      </c>
      <c r="CC883" s="271" t="s">
        <v>832</v>
      </c>
      <c r="CW883" s="30">
        <f t="shared" si="113"/>
        <v>0</v>
      </c>
      <c r="CZ883" s="30">
        <f t="shared" si="110"/>
        <v>1</v>
      </c>
      <c r="DA883" s="30">
        <f t="shared" si="108"/>
        <v>0</v>
      </c>
      <c r="DB883" s="140">
        <f t="shared" si="114"/>
        <v>0</v>
      </c>
      <c r="DS883" s="130">
        <f>SI!BY883</f>
        <v>190</v>
      </c>
      <c r="DZ883" s="131">
        <f>SI!BZ883</f>
        <v>0</v>
      </c>
    </row>
    <row r="884" spans="1:130" hidden="1" x14ac:dyDescent="0.25">
      <c r="A884" s="141"/>
      <c r="B884" s="379"/>
      <c r="C884" s="379"/>
      <c r="D884" s="379"/>
      <c r="E884" s="379"/>
      <c r="F884" s="379"/>
      <c r="G884" s="379"/>
      <c r="H884" s="379"/>
      <c r="I884" s="379"/>
      <c r="J884" s="379"/>
      <c r="K884" s="379"/>
      <c r="L884" s="379"/>
      <c r="M884" s="379"/>
      <c r="N884" s="379"/>
      <c r="O884" s="379"/>
      <c r="P884" s="379"/>
      <c r="Q884" s="379"/>
      <c r="R884" s="379"/>
      <c r="S884" s="379"/>
      <c r="T884" s="379"/>
      <c r="U884" s="379"/>
      <c r="V884" s="379"/>
      <c r="W884" s="379"/>
      <c r="X884" s="379"/>
      <c r="Y884" s="379"/>
      <c r="Z884" s="379"/>
      <c r="AA884" s="379"/>
      <c r="AB884" s="379"/>
      <c r="AC884" s="379"/>
      <c r="AD884" s="379"/>
      <c r="AE884" s="379"/>
      <c r="AF884" s="379"/>
      <c r="AG884" s="379"/>
      <c r="AH884" s="379"/>
      <c r="AI884" s="379"/>
      <c r="AJ884" s="379"/>
      <c r="AK884" s="379"/>
      <c r="AL884" s="379"/>
      <c r="AM884" s="379"/>
      <c r="AN884" s="379"/>
      <c r="AO884" s="379"/>
      <c r="AP884" s="379"/>
      <c r="AQ884" s="379"/>
      <c r="AR884" s="379"/>
      <c r="AS884" s="379"/>
      <c r="AT884" s="379"/>
      <c r="AU884" s="379"/>
      <c r="AV884" s="379"/>
      <c r="AW884" s="379"/>
      <c r="AX884" s="379"/>
      <c r="AY884" s="379"/>
      <c r="AZ884" s="379"/>
      <c r="BA884" s="379"/>
      <c r="BB884" s="379"/>
      <c r="BC884" s="379"/>
      <c r="BD884" s="379"/>
      <c r="BE884" s="379"/>
      <c r="BF884" s="379"/>
      <c r="BG884" s="379"/>
      <c r="BH884" s="379"/>
      <c r="BI884" s="379"/>
      <c r="BJ884" s="379"/>
      <c r="BK884" s="379"/>
      <c r="BL884" s="379"/>
      <c r="BM884" s="379"/>
      <c r="BN884" s="379"/>
      <c r="BO884" s="379"/>
      <c r="BP884" s="379"/>
      <c r="BQ884" s="379"/>
      <c r="BR884" s="379"/>
      <c r="BS884" s="379"/>
      <c r="BT884" s="379"/>
      <c r="BU884" s="379"/>
      <c r="BV884" s="379"/>
      <c r="BW884" s="379"/>
      <c r="BX884" s="379"/>
      <c r="BY884" s="379"/>
      <c r="BZ884" s="379"/>
      <c r="CA884" s="281"/>
      <c r="CB884" s="3" t="str">
        <f t="shared" si="115"/>
        <v>Riadok bude skrytý.</v>
      </c>
      <c r="CC884" s="271" t="s">
        <v>832</v>
      </c>
      <c r="CW884" s="30">
        <f t="shared" si="113"/>
        <v>0</v>
      </c>
      <c r="CZ884" s="30">
        <f t="shared" si="110"/>
        <v>1</v>
      </c>
      <c r="DA884" s="30">
        <f t="shared" si="108"/>
        <v>0</v>
      </c>
      <c r="DB884" s="140">
        <f t="shared" si="114"/>
        <v>0</v>
      </c>
      <c r="DS884" s="130">
        <f>SI!BY884</f>
        <v>678</v>
      </c>
      <c r="DZ884" s="131">
        <f>SI!BZ884</f>
        <v>0</v>
      </c>
    </row>
    <row r="885" spans="1:130" hidden="1" x14ac:dyDescent="0.25">
      <c r="A885" s="141"/>
      <c r="B885" s="379"/>
      <c r="C885" s="379"/>
      <c r="D885" s="379"/>
      <c r="E885" s="379"/>
      <c r="F885" s="379"/>
      <c r="G885" s="379"/>
      <c r="H885" s="379"/>
      <c r="I885" s="379"/>
      <c r="J885" s="379"/>
      <c r="K885" s="379"/>
      <c r="L885" s="379"/>
      <c r="M885" s="379"/>
      <c r="N885" s="379"/>
      <c r="O885" s="379"/>
      <c r="P885" s="379"/>
      <c r="Q885" s="379"/>
      <c r="R885" s="379"/>
      <c r="S885" s="379"/>
      <c r="T885" s="379"/>
      <c r="U885" s="379"/>
      <c r="V885" s="379"/>
      <c r="W885" s="379"/>
      <c r="X885" s="379"/>
      <c r="Y885" s="379"/>
      <c r="Z885" s="379"/>
      <c r="AA885" s="379"/>
      <c r="AB885" s="379"/>
      <c r="AC885" s="379"/>
      <c r="AD885" s="379"/>
      <c r="AE885" s="379"/>
      <c r="AF885" s="379"/>
      <c r="AG885" s="379"/>
      <c r="AH885" s="379"/>
      <c r="AI885" s="379"/>
      <c r="AJ885" s="379"/>
      <c r="AK885" s="379"/>
      <c r="AL885" s="379"/>
      <c r="AM885" s="379"/>
      <c r="AN885" s="379"/>
      <c r="AO885" s="379"/>
      <c r="AP885" s="379"/>
      <c r="AQ885" s="379"/>
      <c r="AR885" s="379"/>
      <c r="AS885" s="379"/>
      <c r="AT885" s="379"/>
      <c r="AU885" s="379"/>
      <c r="AV885" s="379"/>
      <c r="AW885" s="379"/>
      <c r="AX885" s="379"/>
      <c r="AY885" s="379"/>
      <c r="AZ885" s="379"/>
      <c r="BA885" s="379"/>
      <c r="BB885" s="379"/>
      <c r="BC885" s="379"/>
      <c r="BD885" s="379"/>
      <c r="BE885" s="379"/>
      <c r="BF885" s="379"/>
      <c r="BG885" s="379"/>
      <c r="BH885" s="379"/>
      <c r="BI885" s="379"/>
      <c r="BJ885" s="379"/>
      <c r="BK885" s="379"/>
      <c r="BL885" s="379"/>
      <c r="BM885" s="379"/>
      <c r="BN885" s="379"/>
      <c r="BO885" s="379"/>
      <c r="BP885" s="379"/>
      <c r="BQ885" s="379"/>
      <c r="BR885" s="379"/>
      <c r="BS885" s="379"/>
      <c r="BT885" s="379"/>
      <c r="BU885" s="379"/>
      <c r="BV885" s="379"/>
      <c r="BW885" s="379"/>
      <c r="BX885" s="379"/>
      <c r="BY885" s="379"/>
      <c r="BZ885" s="379"/>
      <c r="CA885" s="281"/>
      <c r="CB885" s="3" t="str">
        <f t="shared" si="115"/>
        <v>Riadok bude skrytý.</v>
      </c>
      <c r="CC885" s="271" t="s">
        <v>832</v>
      </c>
      <c r="CW885" s="30">
        <f t="shared" si="113"/>
        <v>0</v>
      </c>
      <c r="CZ885" s="30">
        <f t="shared" si="110"/>
        <v>1</v>
      </c>
      <c r="DA885" s="30">
        <f t="shared" si="108"/>
        <v>0</v>
      </c>
      <c r="DB885" s="140">
        <f t="shared" si="114"/>
        <v>0</v>
      </c>
      <c r="DS885" s="130">
        <f>SI!BY885</f>
        <v>116</v>
      </c>
      <c r="DZ885" s="131">
        <f>SI!BZ885</f>
        <v>0</v>
      </c>
    </row>
    <row r="886" spans="1:130" hidden="1" x14ac:dyDescent="0.25">
      <c r="A886" s="141"/>
      <c r="B886" s="379"/>
      <c r="C886" s="379"/>
      <c r="D886" s="379"/>
      <c r="E886" s="379"/>
      <c r="F886" s="379"/>
      <c r="G886" s="379"/>
      <c r="H886" s="379"/>
      <c r="I886" s="379"/>
      <c r="J886" s="379"/>
      <c r="K886" s="379"/>
      <c r="L886" s="379"/>
      <c r="M886" s="379"/>
      <c r="N886" s="379"/>
      <c r="O886" s="379"/>
      <c r="P886" s="379"/>
      <c r="Q886" s="379"/>
      <c r="R886" s="379"/>
      <c r="S886" s="379"/>
      <c r="T886" s="379"/>
      <c r="U886" s="379"/>
      <c r="V886" s="379"/>
      <c r="W886" s="379"/>
      <c r="X886" s="379"/>
      <c r="Y886" s="379"/>
      <c r="Z886" s="379"/>
      <c r="AA886" s="379"/>
      <c r="AB886" s="379"/>
      <c r="AC886" s="379"/>
      <c r="AD886" s="379"/>
      <c r="AE886" s="379"/>
      <c r="AF886" s="379"/>
      <c r="AG886" s="379"/>
      <c r="AH886" s="379"/>
      <c r="AI886" s="379"/>
      <c r="AJ886" s="379"/>
      <c r="AK886" s="379"/>
      <c r="AL886" s="379"/>
      <c r="AM886" s="379"/>
      <c r="AN886" s="379"/>
      <c r="AO886" s="379"/>
      <c r="AP886" s="379"/>
      <c r="AQ886" s="379"/>
      <c r="AR886" s="379"/>
      <c r="AS886" s="379"/>
      <c r="AT886" s="379"/>
      <c r="AU886" s="379"/>
      <c r="AV886" s="379"/>
      <c r="AW886" s="379"/>
      <c r="AX886" s="379"/>
      <c r="AY886" s="379"/>
      <c r="AZ886" s="379"/>
      <c r="BA886" s="379"/>
      <c r="BB886" s="379"/>
      <c r="BC886" s="379"/>
      <c r="BD886" s="379"/>
      <c r="BE886" s="379"/>
      <c r="BF886" s="379"/>
      <c r="BG886" s="379"/>
      <c r="BH886" s="379"/>
      <c r="BI886" s="379"/>
      <c r="BJ886" s="379"/>
      <c r="BK886" s="379"/>
      <c r="BL886" s="379"/>
      <c r="BM886" s="379"/>
      <c r="BN886" s="379"/>
      <c r="BO886" s="379"/>
      <c r="BP886" s="379"/>
      <c r="BQ886" s="379"/>
      <c r="BR886" s="379"/>
      <c r="BS886" s="379"/>
      <c r="BT886" s="379"/>
      <c r="BU886" s="379"/>
      <c r="BV886" s="379"/>
      <c r="BW886" s="379"/>
      <c r="BX886" s="379"/>
      <c r="BY886" s="379"/>
      <c r="BZ886" s="379"/>
      <c r="CA886" s="281"/>
      <c r="CB886" s="3" t="str">
        <f t="shared" si="115"/>
        <v>Riadok bude skrytý.</v>
      </c>
      <c r="CC886" s="271" t="s">
        <v>832</v>
      </c>
      <c r="CW886" s="30">
        <f t="shared" si="113"/>
        <v>0</v>
      </c>
      <c r="CZ886" s="30">
        <f t="shared" si="110"/>
        <v>1</v>
      </c>
      <c r="DA886" s="30">
        <f t="shared" si="108"/>
        <v>0</v>
      </c>
      <c r="DB886" s="140">
        <f t="shared" si="114"/>
        <v>0</v>
      </c>
      <c r="DS886" s="130">
        <f>SI!BY886</f>
        <v>283</v>
      </c>
      <c r="DZ886" s="131">
        <f>SI!BZ886</f>
        <v>0</v>
      </c>
    </row>
    <row r="887" spans="1:130" hidden="1" x14ac:dyDescent="0.25">
      <c r="A887" s="141"/>
      <c r="B887" s="379"/>
      <c r="C887" s="379"/>
      <c r="D887" s="379"/>
      <c r="E887" s="379"/>
      <c r="F887" s="379"/>
      <c r="G887" s="379"/>
      <c r="H887" s="379"/>
      <c r="I887" s="379"/>
      <c r="J887" s="379"/>
      <c r="K887" s="379"/>
      <c r="L887" s="379"/>
      <c r="M887" s="379"/>
      <c r="N887" s="379"/>
      <c r="O887" s="379"/>
      <c r="P887" s="379"/>
      <c r="Q887" s="379"/>
      <c r="R887" s="379"/>
      <c r="S887" s="379"/>
      <c r="T887" s="379"/>
      <c r="U887" s="379"/>
      <c r="V887" s="379"/>
      <c r="W887" s="379"/>
      <c r="X887" s="379"/>
      <c r="Y887" s="379"/>
      <c r="Z887" s="379"/>
      <c r="AA887" s="379"/>
      <c r="AB887" s="379"/>
      <c r="AC887" s="379"/>
      <c r="AD887" s="379"/>
      <c r="AE887" s="379"/>
      <c r="AF887" s="379"/>
      <c r="AG887" s="379"/>
      <c r="AH887" s="379"/>
      <c r="AI887" s="379"/>
      <c r="AJ887" s="379"/>
      <c r="AK887" s="379"/>
      <c r="AL887" s="379"/>
      <c r="AM887" s="379"/>
      <c r="AN887" s="379"/>
      <c r="AO887" s="379"/>
      <c r="AP887" s="379"/>
      <c r="AQ887" s="379"/>
      <c r="AR887" s="379"/>
      <c r="AS887" s="379"/>
      <c r="AT887" s="379"/>
      <c r="AU887" s="379"/>
      <c r="AV887" s="379"/>
      <c r="AW887" s="379"/>
      <c r="AX887" s="379"/>
      <c r="AY887" s="379"/>
      <c r="AZ887" s="379"/>
      <c r="BA887" s="379"/>
      <c r="BB887" s="379"/>
      <c r="BC887" s="379"/>
      <c r="BD887" s="379"/>
      <c r="BE887" s="379"/>
      <c r="BF887" s="379"/>
      <c r="BG887" s="379"/>
      <c r="BH887" s="379"/>
      <c r="BI887" s="379"/>
      <c r="BJ887" s="379"/>
      <c r="BK887" s="379"/>
      <c r="BL887" s="379"/>
      <c r="BM887" s="379"/>
      <c r="BN887" s="379"/>
      <c r="BO887" s="379"/>
      <c r="BP887" s="379"/>
      <c r="BQ887" s="379"/>
      <c r="BR887" s="379"/>
      <c r="BS887" s="379"/>
      <c r="BT887" s="379"/>
      <c r="BU887" s="379"/>
      <c r="BV887" s="379"/>
      <c r="BW887" s="379"/>
      <c r="BX887" s="379"/>
      <c r="BY887" s="379"/>
      <c r="BZ887" s="379"/>
      <c r="CA887" s="281"/>
      <c r="CB887" s="3" t="str">
        <f t="shared" si="115"/>
        <v>Riadok bude skrytý.</v>
      </c>
      <c r="CC887" s="271" t="s">
        <v>832</v>
      </c>
      <c r="CW887" s="30">
        <f t="shared" si="113"/>
        <v>0</v>
      </c>
      <c r="CZ887" s="30">
        <f t="shared" si="110"/>
        <v>1</v>
      </c>
      <c r="DA887" s="30">
        <f t="shared" si="108"/>
        <v>0</v>
      </c>
      <c r="DB887" s="140">
        <f t="shared" si="114"/>
        <v>0</v>
      </c>
      <c r="DS887" s="130">
        <f>SI!BY887</f>
        <v>165</v>
      </c>
      <c r="DZ887" s="131">
        <f>SI!BZ887</f>
        <v>0</v>
      </c>
    </row>
    <row r="888" spans="1:130" hidden="1" x14ac:dyDescent="0.25">
      <c r="A888" s="141"/>
      <c r="B888" s="379"/>
      <c r="C888" s="379"/>
      <c r="D888" s="379"/>
      <c r="E888" s="379"/>
      <c r="F888" s="379"/>
      <c r="G888" s="379"/>
      <c r="H888" s="379"/>
      <c r="I888" s="379"/>
      <c r="J888" s="379"/>
      <c r="K888" s="379"/>
      <c r="L888" s="379"/>
      <c r="M888" s="379"/>
      <c r="N888" s="379"/>
      <c r="O888" s="379"/>
      <c r="P888" s="379"/>
      <c r="Q888" s="379"/>
      <c r="R888" s="379"/>
      <c r="S888" s="379"/>
      <c r="T888" s="379"/>
      <c r="U888" s="379"/>
      <c r="V888" s="379"/>
      <c r="W888" s="379"/>
      <c r="X888" s="379"/>
      <c r="Y888" s="379"/>
      <c r="Z888" s="379"/>
      <c r="AA888" s="379"/>
      <c r="AB888" s="379"/>
      <c r="AC888" s="379"/>
      <c r="AD888" s="379"/>
      <c r="AE888" s="379"/>
      <c r="AF888" s="379"/>
      <c r="AG888" s="379"/>
      <c r="AH888" s="379"/>
      <c r="AI888" s="379"/>
      <c r="AJ888" s="379"/>
      <c r="AK888" s="379"/>
      <c r="AL888" s="379"/>
      <c r="AM888" s="379"/>
      <c r="AN888" s="379"/>
      <c r="AO888" s="379"/>
      <c r="AP888" s="379"/>
      <c r="AQ888" s="379"/>
      <c r="AR888" s="379"/>
      <c r="AS888" s="379"/>
      <c r="AT888" s="379"/>
      <c r="AU888" s="379"/>
      <c r="AV888" s="379"/>
      <c r="AW888" s="379"/>
      <c r="AX888" s="379"/>
      <c r="AY888" s="379"/>
      <c r="AZ888" s="379"/>
      <c r="BA888" s="379"/>
      <c r="BB888" s="379"/>
      <c r="BC888" s="379"/>
      <c r="BD888" s="379"/>
      <c r="BE888" s="379"/>
      <c r="BF888" s="379"/>
      <c r="BG888" s="379"/>
      <c r="BH888" s="379"/>
      <c r="BI888" s="379"/>
      <c r="BJ888" s="379"/>
      <c r="BK888" s="379"/>
      <c r="BL888" s="379"/>
      <c r="BM888" s="379"/>
      <c r="BN888" s="379"/>
      <c r="BO888" s="379"/>
      <c r="BP888" s="379"/>
      <c r="BQ888" s="379"/>
      <c r="BR888" s="379"/>
      <c r="BS888" s="379"/>
      <c r="BT888" s="379"/>
      <c r="BU888" s="379"/>
      <c r="BV888" s="379"/>
      <c r="BW888" s="379"/>
      <c r="BX888" s="379"/>
      <c r="BY888" s="379"/>
      <c r="BZ888" s="379"/>
      <c r="CA888" s="281"/>
      <c r="CB888" s="3" t="str">
        <f t="shared" si="115"/>
        <v>Riadok bude skrytý.</v>
      </c>
      <c r="CC888" s="271" t="s">
        <v>832</v>
      </c>
      <c r="CW888" s="30">
        <f t="shared" si="113"/>
        <v>0</v>
      </c>
      <c r="CZ888" s="30">
        <f t="shared" si="110"/>
        <v>1</v>
      </c>
      <c r="DA888" s="30">
        <f t="shared" si="108"/>
        <v>0</v>
      </c>
      <c r="DB888" s="140">
        <f t="shared" si="114"/>
        <v>0</v>
      </c>
      <c r="DS888" s="130">
        <f>SI!BY888</f>
        <v>360</v>
      </c>
      <c r="DZ888" s="131">
        <f>SI!BZ888</f>
        <v>0</v>
      </c>
    </row>
    <row r="889" spans="1:130" hidden="1" x14ac:dyDescent="0.25">
      <c r="A889" s="141"/>
      <c r="B889" s="379"/>
      <c r="C889" s="379"/>
      <c r="D889" s="379"/>
      <c r="E889" s="379"/>
      <c r="F889" s="379"/>
      <c r="G889" s="379"/>
      <c r="H889" s="379"/>
      <c r="I889" s="379"/>
      <c r="J889" s="379"/>
      <c r="K889" s="379"/>
      <c r="L889" s="379"/>
      <c r="M889" s="379"/>
      <c r="N889" s="379"/>
      <c r="O889" s="379"/>
      <c r="P889" s="379"/>
      <c r="Q889" s="379"/>
      <c r="R889" s="379"/>
      <c r="S889" s="379"/>
      <c r="T889" s="379"/>
      <c r="U889" s="379"/>
      <c r="V889" s="379"/>
      <c r="W889" s="379"/>
      <c r="X889" s="379"/>
      <c r="Y889" s="379"/>
      <c r="Z889" s="379"/>
      <c r="AA889" s="379"/>
      <c r="AB889" s="379"/>
      <c r="AC889" s="379"/>
      <c r="AD889" s="379"/>
      <c r="AE889" s="379"/>
      <c r="AF889" s="379"/>
      <c r="AG889" s="379"/>
      <c r="AH889" s="379"/>
      <c r="AI889" s="379"/>
      <c r="AJ889" s="379"/>
      <c r="AK889" s="379"/>
      <c r="AL889" s="379"/>
      <c r="AM889" s="379"/>
      <c r="AN889" s="379"/>
      <c r="AO889" s="379"/>
      <c r="AP889" s="379"/>
      <c r="AQ889" s="379"/>
      <c r="AR889" s="379"/>
      <c r="AS889" s="379"/>
      <c r="AT889" s="379"/>
      <c r="AU889" s="379"/>
      <c r="AV889" s="379"/>
      <c r="AW889" s="379"/>
      <c r="AX889" s="379"/>
      <c r="AY889" s="379"/>
      <c r="AZ889" s="379"/>
      <c r="BA889" s="379"/>
      <c r="BB889" s="379"/>
      <c r="BC889" s="379"/>
      <c r="BD889" s="379"/>
      <c r="BE889" s="379"/>
      <c r="BF889" s="379"/>
      <c r="BG889" s="379"/>
      <c r="BH889" s="379"/>
      <c r="BI889" s="379"/>
      <c r="BJ889" s="379"/>
      <c r="BK889" s="379"/>
      <c r="BL889" s="379"/>
      <c r="BM889" s="379"/>
      <c r="BN889" s="379"/>
      <c r="BO889" s="379"/>
      <c r="BP889" s="379"/>
      <c r="BQ889" s="379"/>
      <c r="BR889" s="379"/>
      <c r="BS889" s="379"/>
      <c r="BT889" s="379"/>
      <c r="BU889" s="379"/>
      <c r="BV889" s="379"/>
      <c r="BW889" s="379"/>
      <c r="BX889" s="379"/>
      <c r="BY889" s="379"/>
      <c r="BZ889" s="379"/>
      <c r="CA889" s="281"/>
      <c r="CB889" s="3" t="str">
        <f t="shared" si="115"/>
        <v>Riadok bude skrytý.</v>
      </c>
      <c r="CC889" s="271" t="s">
        <v>832</v>
      </c>
      <c r="CW889" s="30">
        <f t="shared" si="113"/>
        <v>0</v>
      </c>
      <c r="CZ889" s="30">
        <f t="shared" si="110"/>
        <v>1</v>
      </c>
      <c r="DA889" s="30">
        <f t="shared" si="108"/>
        <v>0</v>
      </c>
      <c r="DB889" s="140">
        <f t="shared" si="114"/>
        <v>0</v>
      </c>
      <c r="DS889" s="130">
        <f>SI!BY889</f>
        <v>189</v>
      </c>
      <c r="DZ889" s="131">
        <f>SI!BZ889</f>
        <v>0</v>
      </c>
    </row>
    <row r="890" spans="1:130" hidden="1" x14ac:dyDescent="0.25">
      <c r="A890" s="141"/>
      <c r="B890" s="379"/>
      <c r="C890" s="379"/>
      <c r="D890" s="379"/>
      <c r="E890" s="379"/>
      <c r="F890" s="379"/>
      <c r="G890" s="379"/>
      <c r="H890" s="379"/>
      <c r="I890" s="379"/>
      <c r="J890" s="379"/>
      <c r="K890" s="379"/>
      <c r="L890" s="379"/>
      <c r="M890" s="379"/>
      <c r="N890" s="379"/>
      <c r="O890" s="379"/>
      <c r="P890" s="379"/>
      <c r="Q890" s="379"/>
      <c r="R890" s="379"/>
      <c r="S890" s="379"/>
      <c r="T890" s="379"/>
      <c r="U890" s="379"/>
      <c r="V890" s="379"/>
      <c r="W890" s="379"/>
      <c r="X890" s="379"/>
      <c r="Y890" s="379"/>
      <c r="Z890" s="379"/>
      <c r="AA890" s="379"/>
      <c r="AB890" s="379"/>
      <c r="AC890" s="379"/>
      <c r="AD890" s="379"/>
      <c r="AE890" s="379"/>
      <c r="AF890" s="379"/>
      <c r="AG890" s="379"/>
      <c r="AH890" s="379"/>
      <c r="AI890" s="379"/>
      <c r="AJ890" s="379"/>
      <c r="AK890" s="379"/>
      <c r="AL890" s="379"/>
      <c r="AM890" s="379"/>
      <c r="AN890" s="379"/>
      <c r="AO890" s="379"/>
      <c r="AP890" s="379"/>
      <c r="AQ890" s="379"/>
      <c r="AR890" s="379"/>
      <c r="AS890" s="379"/>
      <c r="AT890" s="379"/>
      <c r="AU890" s="379"/>
      <c r="AV890" s="379"/>
      <c r="AW890" s="379"/>
      <c r="AX890" s="379"/>
      <c r="AY890" s="379"/>
      <c r="AZ890" s="379"/>
      <c r="BA890" s="379"/>
      <c r="BB890" s="379"/>
      <c r="BC890" s="379"/>
      <c r="BD890" s="379"/>
      <c r="BE890" s="379"/>
      <c r="BF890" s="379"/>
      <c r="BG890" s="379"/>
      <c r="BH890" s="379"/>
      <c r="BI890" s="379"/>
      <c r="BJ890" s="379"/>
      <c r="BK890" s="379"/>
      <c r="BL890" s="379"/>
      <c r="BM890" s="379"/>
      <c r="BN890" s="379"/>
      <c r="BO890" s="379"/>
      <c r="BP890" s="379"/>
      <c r="BQ890" s="379"/>
      <c r="BR890" s="379"/>
      <c r="BS890" s="379"/>
      <c r="BT890" s="379"/>
      <c r="BU890" s="379"/>
      <c r="BV890" s="379"/>
      <c r="BW890" s="379"/>
      <c r="BX890" s="379"/>
      <c r="BY890" s="379"/>
      <c r="BZ890" s="379"/>
      <c r="CA890" s="281"/>
      <c r="CB890" s="3" t="str">
        <f t="shared" si="115"/>
        <v>Riadok bude skrytý.</v>
      </c>
      <c r="CC890" s="271" t="s">
        <v>832</v>
      </c>
      <c r="CW890" s="30">
        <f t="shared" si="113"/>
        <v>0</v>
      </c>
      <c r="CZ890" s="30">
        <f t="shared" si="110"/>
        <v>1</v>
      </c>
      <c r="DA890" s="30">
        <f t="shared" si="108"/>
        <v>0</v>
      </c>
      <c r="DB890" s="140">
        <f t="shared" si="114"/>
        <v>0</v>
      </c>
      <c r="DS890" s="130">
        <f>SI!BY890</f>
        <v>894</v>
      </c>
      <c r="DZ890" s="131">
        <f>SI!BZ890</f>
        <v>0</v>
      </c>
    </row>
    <row r="891" spans="1:130" hidden="1" x14ac:dyDescent="0.25">
      <c r="A891" s="141"/>
      <c r="B891" s="379"/>
      <c r="C891" s="379"/>
      <c r="D891" s="379"/>
      <c r="E891" s="379"/>
      <c r="F891" s="379"/>
      <c r="G891" s="379"/>
      <c r="H891" s="379"/>
      <c r="I891" s="379"/>
      <c r="J891" s="379"/>
      <c r="K891" s="379"/>
      <c r="L891" s="379"/>
      <c r="M891" s="379"/>
      <c r="N891" s="379"/>
      <c r="O891" s="379"/>
      <c r="P891" s="379"/>
      <c r="Q891" s="379"/>
      <c r="R891" s="379"/>
      <c r="S891" s="379"/>
      <c r="T891" s="379"/>
      <c r="U891" s="379"/>
      <c r="V891" s="379"/>
      <c r="W891" s="379"/>
      <c r="X891" s="379"/>
      <c r="Y891" s="379"/>
      <c r="Z891" s="379"/>
      <c r="AA891" s="379"/>
      <c r="AB891" s="379"/>
      <c r="AC891" s="379"/>
      <c r="AD891" s="379"/>
      <c r="AE891" s="379"/>
      <c r="AF891" s="379"/>
      <c r="AG891" s="379"/>
      <c r="AH891" s="379"/>
      <c r="AI891" s="379"/>
      <c r="AJ891" s="379"/>
      <c r="AK891" s="379"/>
      <c r="AL891" s="379"/>
      <c r="AM891" s="379"/>
      <c r="AN891" s="379"/>
      <c r="AO891" s="379"/>
      <c r="AP891" s="379"/>
      <c r="AQ891" s="379"/>
      <c r="AR891" s="379"/>
      <c r="AS891" s="379"/>
      <c r="AT891" s="379"/>
      <c r="AU891" s="379"/>
      <c r="AV891" s="379"/>
      <c r="AW891" s="379"/>
      <c r="AX891" s="379"/>
      <c r="AY891" s="379"/>
      <c r="AZ891" s="379"/>
      <c r="BA891" s="379"/>
      <c r="BB891" s="379"/>
      <c r="BC891" s="379"/>
      <c r="BD891" s="379"/>
      <c r="BE891" s="379"/>
      <c r="BF891" s="379"/>
      <c r="BG891" s="379"/>
      <c r="BH891" s="379"/>
      <c r="BI891" s="379"/>
      <c r="BJ891" s="379"/>
      <c r="BK891" s="379"/>
      <c r="BL891" s="379"/>
      <c r="BM891" s="379"/>
      <c r="BN891" s="379"/>
      <c r="BO891" s="379"/>
      <c r="BP891" s="379"/>
      <c r="BQ891" s="379"/>
      <c r="BR891" s="379"/>
      <c r="BS891" s="379"/>
      <c r="BT891" s="379"/>
      <c r="BU891" s="379"/>
      <c r="BV891" s="379"/>
      <c r="BW891" s="379"/>
      <c r="BX891" s="379"/>
      <c r="BY891" s="379"/>
      <c r="BZ891" s="379"/>
      <c r="CA891" s="281"/>
      <c r="CB891" s="3" t="str">
        <f t="shared" si="115"/>
        <v>Riadok bude skrytý.</v>
      </c>
      <c r="CC891" s="271" t="s">
        <v>832</v>
      </c>
      <c r="CW891" s="30">
        <f t="shared" si="113"/>
        <v>0</v>
      </c>
      <c r="CZ891" s="30">
        <f t="shared" si="110"/>
        <v>1</v>
      </c>
      <c r="DA891" s="30">
        <f t="shared" si="108"/>
        <v>0</v>
      </c>
      <c r="DB891" s="140">
        <f t="shared" si="114"/>
        <v>0</v>
      </c>
      <c r="DS891" s="130">
        <f>SI!BY891</f>
        <v>600</v>
      </c>
      <c r="DZ891" s="131">
        <f>SI!BZ891</f>
        <v>0</v>
      </c>
    </row>
    <row r="892" spans="1:130" x14ac:dyDescent="0.25">
      <c r="A892" s="141"/>
      <c r="CA892" s="270"/>
      <c r="CB892" s="3" t="str">
        <f t="shared" si="115"/>
        <v>Riadok bude vidieť.</v>
      </c>
      <c r="CC892" s="271" t="s">
        <v>832</v>
      </c>
      <c r="CW892" s="49">
        <v>1</v>
      </c>
      <c r="CZ892" s="30">
        <f t="shared" si="110"/>
        <v>1</v>
      </c>
      <c r="DA892" s="30">
        <f t="shared" si="108"/>
        <v>1</v>
      </c>
      <c r="DB892" s="140">
        <f t="shared" si="114"/>
        <v>1</v>
      </c>
      <c r="DS892" s="130">
        <f>SI!BY892</f>
        <v>198</v>
      </c>
      <c r="DZ892" s="131">
        <f>SI!BZ892</f>
        <v>0</v>
      </c>
    </row>
    <row r="893" spans="1:130" ht="17" hidden="1" thickBot="1" x14ac:dyDescent="0.35">
      <c r="A893" s="141"/>
      <c r="B893" s="21"/>
      <c r="C893" s="268"/>
      <c r="D893" s="268"/>
      <c r="E893" s="22" t="str">
        <f>+IF($U$52&lt;&gt;"",IF((ROUNDDOWN(CODE(MID($U$52,1,1)),0)-(BIN2DEC(1010)/10))*(IF(SI!EE893="",1,SI!EE893))+(LEN(SI!J2)+LEN(SI!J5))=DS893,"Informácie o údajoch na strane aktív súvahy.","NEPOVOLENÉ POUŽITIE!"),"NEPOVOLENÉ POUŽITIE!")</f>
        <v>Informácie o údajoch na strane aktív súvahy.</v>
      </c>
      <c r="F893" s="268"/>
      <c r="G893" s="125"/>
      <c r="H893" s="22"/>
      <c r="I893" s="268"/>
      <c r="J893" s="268"/>
      <c r="K893" s="268"/>
      <c r="L893" s="268"/>
      <c r="M893" s="268"/>
      <c r="N893" s="268"/>
      <c r="O893" s="268"/>
      <c r="P893" s="268"/>
      <c r="Q893" s="268"/>
      <c r="R893" s="268"/>
      <c r="S893" s="268"/>
      <c r="T893" s="268"/>
      <c r="U893" s="268"/>
      <c r="V893" s="268"/>
      <c r="W893" s="268"/>
      <c r="X893" s="268"/>
      <c r="Y893" s="268"/>
      <c r="Z893" s="268"/>
      <c r="AA893" s="268"/>
      <c r="AB893" s="268"/>
      <c r="AC893" s="268"/>
      <c r="AD893" s="268"/>
      <c r="AE893" s="268"/>
      <c r="AF893" s="268"/>
      <c r="AG893" s="268"/>
      <c r="AH893" s="268"/>
      <c r="AI893" s="268"/>
      <c r="AJ893" s="268"/>
      <c r="AK893" s="276"/>
      <c r="AL893" s="276"/>
      <c r="AM893" s="276"/>
      <c r="AN893" s="276"/>
      <c r="AO893" s="276"/>
      <c r="AP893" s="276"/>
      <c r="AQ893" s="276"/>
      <c r="AR893" s="276"/>
      <c r="AS893" s="276"/>
      <c r="AT893" s="276"/>
      <c r="AU893" s="276"/>
      <c r="AV893" s="276"/>
      <c r="AW893" s="276"/>
      <c r="AX893" s="276"/>
      <c r="AY893" s="276"/>
      <c r="AZ893" s="276"/>
      <c r="BA893" s="276"/>
      <c r="BB893" s="276"/>
      <c r="BC893" s="276"/>
      <c r="BD893" s="932" t="str">
        <f>SI!J2</f>
        <v>Resumo s.r.o.</v>
      </c>
      <c r="BE893" s="932"/>
      <c r="BF893" s="932"/>
      <c r="BG893" s="932"/>
      <c r="BH893" s="932"/>
      <c r="BI893" s="932"/>
      <c r="BJ893" s="932"/>
      <c r="BK893" s="932"/>
      <c r="BL893" s="932"/>
      <c r="BM893" s="932"/>
      <c r="BN893" s="932"/>
      <c r="BO893" s="932"/>
      <c r="BP893" s="932"/>
      <c r="BQ893" s="932"/>
      <c r="BR893" s="932"/>
      <c r="BS893" s="932"/>
      <c r="BT893" s="932"/>
      <c r="BU893" s="932"/>
      <c r="BV893" s="932"/>
      <c r="BW893" s="932"/>
      <c r="BX893" s="932"/>
      <c r="BY893" s="932"/>
      <c r="BZ893" s="933"/>
      <c r="CA893" s="265" t="s">
        <v>773</v>
      </c>
      <c r="CB893" s="3" t="str">
        <f t="shared" si="115"/>
        <v>Riadok bude skrytý.</v>
      </c>
      <c r="CD893" s="121" t="s">
        <v>1048</v>
      </c>
      <c r="CE893" s="121"/>
      <c r="CF893" s="121"/>
      <c r="CG893" s="121"/>
      <c r="CH893" s="121"/>
      <c r="CI893" s="121"/>
      <c r="CJ893" s="121"/>
      <c r="CK893" s="121"/>
      <c r="CL893" s="121"/>
      <c r="CM893" s="121"/>
      <c r="CN893" s="121"/>
      <c r="CO893" s="121"/>
      <c r="CP893" s="121"/>
      <c r="CQ893" s="121"/>
      <c r="CW893" s="49">
        <v>1</v>
      </c>
      <c r="CZ893" s="30">
        <f t="shared" si="110"/>
        <v>1</v>
      </c>
      <c r="DA893" s="30">
        <f t="shared" si="108"/>
        <v>1</v>
      </c>
      <c r="DB893" s="2">
        <f t="shared" ref="DB893:DB956" si="116">+IF($CD$1="malé",0,DA893)</f>
        <v>0</v>
      </c>
      <c r="DS893" s="130">
        <f>SI!BY893</f>
        <v>28</v>
      </c>
      <c r="DZ893" s="131">
        <f>SI!BZ893</f>
        <v>0</v>
      </c>
    </row>
    <row r="894" spans="1:130" hidden="1" x14ac:dyDescent="0.25">
      <c r="A894" s="141"/>
      <c r="CA894" s="142"/>
      <c r="CB894" s="3" t="str">
        <f t="shared" si="115"/>
        <v>Riadok bude skrytý.</v>
      </c>
      <c r="CD894" s="121" t="s">
        <v>1049</v>
      </c>
      <c r="CE894" s="121"/>
      <c r="CF894" s="121"/>
      <c r="CG894" s="121"/>
      <c r="CH894" s="121"/>
      <c r="CI894" s="121"/>
      <c r="CJ894" s="121"/>
      <c r="CK894" s="121"/>
      <c r="CL894" s="121"/>
      <c r="CM894" s="121"/>
      <c r="CN894" s="121"/>
      <c r="CO894" s="121"/>
      <c r="CP894" s="121"/>
      <c r="CQ894" s="121"/>
      <c r="CW894" s="49">
        <v>1</v>
      </c>
      <c r="CZ894" s="30">
        <f t="shared" si="110"/>
        <v>1</v>
      </c>
      <c r="DA894" s="30">
        <f t="shared" si="108"/>
        <v>1</v>
      </c>
      <c r="DB894" s="2">
        <f t="shared" si="116"/>
        <v>0</v>
      </c>
      <c r="DS894" s="130">
        <f>SI!BY894</f>
        <v>128</v>
      </c>
      <c r="DZ894" s="131">
        <f>SI!BZ894</f>
        <v>0</v>
      </c>
    </row>
    <row r="895" spans="1:130" hidden="1" x14ac:dyDescent="0.25">
      <c r="A895" s="141"/>
      <c r="B895" s="137" t="str">
        <f>+IF($Q$52&lt;&gt;"",IF((CODE(MID($Q$52,1,1)))*(GCD(121,132))*0+(LEN(SI!J5)+LEN(SI!J6))=DS895,"Informácie o pohybe dlhodobého nehmotného majetku a dlhodobého hmotného majetku od","NEPOVOLENÉ POUŽITIE!"),"NEPOVOLENÉ POUŽITIE!")</f>
        <v>Informácie o pohybe dlhodobého nehmotného majetku a dlhodobého hmotného majetku od</v>
      </c>
      <c r="BS895" s="542">
        <f>+BC155</f>
        <v>44197</v>
      </c>
      <c r="BT895" s="542"/>
      <c r="BU895" s="542"/>
      <c r="BV895" s="542"/>
      <c r="BW895" s="542"/>
      <c r="BX895" s="542"/>
      <c r="BY895" s="542"/>
      <c r="BZ895" s="542"/>
      <c r="CA895" s="142"/>
      <c r="CB895" s="3" t="str">
        <f t="shared" si="115"/>
        <v>Riadok bude skrytý.</v>
      </c>
      <c r="CD895" s="121" t="s">
        <v>1050</v>
      </c>
      <c r="CE895" s="121"/>
      <c r="CF895" s="121"/>
      <c r="CG895" s="121"/>
      <c r="CH895" s="121"/>
      <c r="CI895" s="121"/>
      <c r="CJ895" s="121"/>
      <c r="CK895" s="121"/>
      <c r="CL895" s="121"/>
      <c r="CM895" s="121"/>
      <c r="CN895" s="121"/>
      <c r="CO895" s="121"/>
      <c r="CP895" s="121"/>
      <c r="CQ895" s="121"/>
      <c r="CW895" s="49">
        <v>1</v>
      </c>
      <c r="CZ895" s="30">
        <f t="shared" si="110"/>
        <v>1</v>
      </c>
      <c r="DA895" s="30">
        <f t="shared" si="108"/>
        <v>1</v>
      </c>
      <c r="DB895" s="2">
        <f t="shared" si="116"/>
        <v>0</v>
      </c>
      <c r="DS895" s="130">
        <f>SI!BY895</f>
        <v>20</v>
      </c>
      <c r="DZ895" s="131">
        <f>SI!BZ895</f>
        <v>0</v>
      </c>
    </row>
    <row r="896" spans="1:130" hidden="1" x14ac:dyDescent="0.25">
      <c r="A896" s="141"/>
      <c r="B896" s="286" t="s">
        <v>95</v>
      </c>
      <c r="D896" s="542">
        <f>+BO155</f>
        <v>44561</v>
      </c>
      <c r="E896" s="542"/>
      <c r="F896" s="542"/>
      <c r="G896" s="542"/>
      <c r="H896" s="542"/>
      <c r="I896" s="542"/>
      <c r="J896" s="542"/>
      <c r="K896" s="542"/>
      <c r="L896" s="542"/>
      <c r="M896" s="137" t="str">
        <f>+IF($M$52&lt;&gt;"",IF(SQRT(INT(FACT(DAY(24324))*FACT(DAY(24385))/576))=DS896,IF(YEAR(AW123)=YEAR(DC4),"Spoločnosť uvádza v bode 1 a 2.","a za predchádzajúce obdobie od"),"NEPOVOLENÉ POUŽITIE!"),"NEPOVOLENÉ POUŽITIE!")</f>
        <v>a za predchádzajúce obdobie od</v>
      </c>
      <c r="AK896" s="1843">
        <f>IF(YEAR(AW123)=YEAR(DC4),"",IF(YEAR(DC4)=2013,BS895-366,IF(YEAR(DC4)=2017,BS895-366,IF(YEAR(DC4)=2021,BS895-366,BS895-365))))</f>
        <v>43831</v>
      </c>
      <c r="AL896" s="1843"/>
      <c r="AM896" s="1843"/>
      <c r="AN896" s="1844"/>
      <c r="AO896" s="1844"/>
      <c r="AP896" s="1844"/>
      <c r="AQ896" s="1844"/>
      <c r="AR896" s="1844"/>
      <c r="AS896" s="1844"/>
      <c r="AT896" s="1844"/>
      <c r="AU896" s="137" t="str">
        <f>IF(YEAR(AW123)=YEAR(DC4),"","do")</f>
        <v>do</v>
      </c>
      <c r="AW896" s="287"/>
      <c r="AX896" s="1843">
        <f>IF(YEAR(AW123)=YEAR(DC4),"",IF(YEAR(DC4)=2012,D896-366,IF(YEAR(DC4)=2016,D896-366,IF(YEAR(DC4)=2020,D896-366,D896-365))))</f>
        <v>44196</v>
      </c>
      <c r="AY896" s="1843"/>
      <c r="AZ896" s="1843"/>
      <c r="BA896" s="1843"/>
      <c r="BB896" s="1844"/>
      <c r="BC896" s="1844"/>
      <c r="BD896" s="1844"/>
      <c r="BE896" s="1844"/>
      <c r="BF896" s="1844"/>
      <c r="BG896" s="1844"/>
      <c r="BH896" s="137" t="str">
        <f>IF(YEAR(AW123)=YEAR(DC4),"","sú uvedené v bode 1 a 2.")</f>
        <v>sú uvedené v bode 1 a 2.</v>
      </c>
      <c r="BJ896" s="287"/>
      <c r="CA896" s="142"/>
      <c r="CB896" s="3" t="str">
        <f t="shared" si="115"/>
        <v>Riadok bude skrytý.</v>
      </c>
      <c r="CW896" s="49">
        <v>1</v>
      </c>
      <c r="CZ896" s="30">
        <f t="shared" si="110"/>
        <v>1</v>
      </c>
      <c r="DA896" s="30">
        <f t="shared" si="108"/>
        <v>1</v>
      </c>
      <c r="DB896" s="2">
        <f t="shared" si="116"/>
        <v>0</v>
      </c>
      <c r="DS896" s="130">
        <f>SI!BY896</f>
        <v>5</v>
      </c>
      <c r="DZ896" s="131">
        <f>SI!BZ896</f>
        <v>0</v>
      </c>
    </row>
    <row r="897" spans="1:132" hidden="1" x14ac:dyDescent="0.25">
      <c r="A897" s="141"/>
      <c r="CA897" s="142"/>
      <c r="CB897" s="3" t="str">
        <f t="shared" si="115"/>
        <v>Riadok bude skrytý.</v>
      </c>
      <c r="CW897" s="49">
        <v>1</v>
      </c>
      <c r="CZ897" s="30">
        <f t="shared" si="110"/>
        <v>1</v>
      </c>
      <c r="DA897" s="30">
        <f t="shared" si="108"/>
        <v>1</v>
      </c>
      <c r="DB897" s="2">
        <f t="shared" si="116"/>
        <v>0</v>
      </c>
      <c r="DS897" s="130">
        <f>SI!BY897</f>
        <v>385</v>
      </c>
      <c r="DZ897" s="131">
        <f>SI!BZ897</f>
        <v>0</v>
      </c>
    </row>
    <row r="898" spans="1:132" hidden="1" x14ac:dyDescent="0.25">
      <c r="A898" s="141"/>
      <c r="B898" s="288" t="s">
        <v>94</v>
      </c>
      <c r="C898" s="288"/>
      <c r="D898" s="288"/>
      <c r="E898" s="288"/>
      <c r="F898" s="288"/>
      <c r="G898" s="289" t="str">
        <f>+IF($S$52&lt;&gt;"",IF((CODE(MID($S$52,1,1))/100)&lt;10,IF(COMBIN(LEN(SI!J3),2)=DS898,"Dlhodobý nehmotný majetok","NEPOVOLENÉ POUŽITIE !"),"NEPOVOLENÉ POUŽITIE !"),"NEPOVOLENÉ POUŽITIE !")</f>
        <v>Dlhodobý nehmotný majetok</v>
      </c>
      <c r="H898" s="289"/>
      <c r="I898" s="288"/>
      <c r="J898" s="288"/>
      <c r="K898" s="288"/>
      <c r="L898" s="288"/>
      <c r="M898" s="288"/>
      <c r="N898" s="288"/>
      <c r="O898" s="288"/>
      <c r="P898" s="288"/>
      <c r="Q898" s="288"/>
      <c r="R898" s="288"/>
      <c r="S898" s="288"/>
      <c r="T898" s="288"/>
      <c r="U898" s="288"/>
      <c r="V898" s="288"/>
      <c r="W898" s="288"/>
      <c r="X898" s="288"/>
      <c r="Y898" s="288"/>
      <c r="Z898" s="288"/>
      <c r="AA898" s="288"/>
      <c r="AB898" s="288"/>
      <c r="AC898" s="288"/>
      <c r="AD898" s="288"/>
      <c r="AE898" s="288"/>
      <c r="AF898" s="288"/>
      <c r="AG898" s="288"/>
      <c r="AH898" s="288"/>
      <c r="AI898" s="288"/>
      <c r="AJ898" s="288"/>
      <c r="AK898" s="288"/>
      <c r="AL898" s="288"/>
      <c r="AM898" s="288"/>
      <c r="AN898" s="288"/>
      <c r="AO898" s="288"/>
      <c r="AP898" s="288"/>
      <c r="AQ898" s="288"/>
      <c r="AR898" s="288"/>
      <c r="AS898" s="288"/>
      <c r="AT898" s="288"/>
      <c r="AU898" s="288"/>
      <c r="AV898" s="288"/>
      <c r="AW898" s="288"/>
      <c r="AX898" s="288"/>
      <c r="AY898" s="288"/>
      <c r="AZ898" s="288"/>
      <c r="BA898" s="288"/>
      <c r="BB898" s="288"/>
      <c r="BC898" s="288"/>
      <c r="BD898" s="288"/>
      <c r="BE898" s="288"/>
      <c r="BF898" s="288"/>
      <c r="BG898" s="288"/>
      <c r="BH898" s="288"/>
      <c r="BI898" s="288"/>
      <c r="BJ898" s="288"/>
      <c r="BK898" s="288"/>
      <c r="BL898" s="288"/>
      <c r="BM898" s="288"/>
      <c r="BN898" s="288"/>
      <c r="BO898" s="288"/>
      <c r="BP898" s="288"/>
      <c r="BQ898" s="288"/>
      <c r="BR898" s="288"/>
      <c r="BS898" s="288"/>
      <c r="BT898" s="288"/>
      <c r="BU898" s="288"/>
      <c r="BV898" s="288"/>
      <c r="BW898" s="288"/>
      <c r="BX898" s="288"/>
      <c r="BY898" s="288"/>
      <c r="BZ898" s="288"/>
      <c r="CA898" s="265" t="s">
        <v>773</v>
      </c>
      <c r="CB898" s="3" t="str">
        <f t="shared" si="115"/>
        <v>Riadok bude skrytý.</v>
      </c>
      <c r="CW898" s="49">
        <v>1</v>
      </c>
      <c r="CZ898" s="30">
        <f t="shared" si="110"/>
        <v>1</v>
      </c>
      <c r="DA898" s="30">
        <f t="shared" ref="DA898:DA950" si="117">+IF(CW898+CX898+CY898=0,0,IF(CZ898=0,0,1))</f>
        <v>1</v>
      </c>
      <c r="DB898" s="2">
        <f t="shared" si="116"/>
        <v>0</v>
      </c>
      <c r="DS898" s="130">
        <f>SI!BY898</f>
        <v>10</v>
      </c>
      <c r="DZ898" s="131">
        <f>SI!BZ898</f>
        <v>0</v>
      </c>
    </row>
    <row r="899" spans="1:132" hidden="1" x14ac:dyDescent="0.25">
      <c r="A899" s="141"/>
      <c r="G899" s="7"/>
      <c r="H899" s="7"/>
      <c r="CA899" s="142"/>
      <c r="CB899" s="3" t="str">
        <f t="shared" si="115"/>
        <v>Riadok bude skrytý.</v>
      </c>
      <c r="CW899" s="49">
        <v>1</v>
      </c>
      <c r="CZ899" s="30">
        <f t="shared" si="110"/>
        <v>1</v>
      </c>
      <c r="DA899" s="30">
        <f t="shared" si="117"/>
        <v>1</v>
      </c>
      <c r="DB899" s="2">
        <f t="shared" si="116"/>
        <v>0</v>
      </c>
      <c r="DS899" s="130">
        <f>SI!BY899</f>
        <v>736</v>
      </c>
      <c r="DZ899" s="131">
        <f>SI!BZ899</f>
        <v>0</v>
      </c>
    </row>
    <row r="900" spans="1:132" s="14" customFormat="1" hidden="1" x14ac:dyDescent="0.25">
      <c r="A900" s="290"/>
      <c r="B900" s="286" t="s">
        <v>96</v>
      </c>
      <c r="C900" s="37"/>
      <c r="D900" s="37"/>
      <c r="E900" s="37"/>
      <c r="F900" s="37"/>
      <c r="G900" s="38"/>
      <c r="H900" s="38"/>
      <c r="I900" s="38"/>
      <c r="J900" s="385" t="s">
        <v>152</v>
      </c>
      <c r="K900" s="385"/>
      <c r="L900" s="385"/>
      <c r="M900" s="385"/>
      <c r="N900" s="385"/>
      <c r="O900" s="385"/>
      <c r="P900" s="385"/>
      <c r="Q900" s="385"/>
      <c r="R900" s="385"/>
      <c r="S900" s="137" t="str">
        <f>+IF($Q$52&lt;&gt;"",IF((CODE(MID($Q$52,1,1)))*(INT((PI()-3.1415)*10^5))*0+(LEN(SI!J5)-LEN(SI!J6))=DS900,"dlhodobý nehmotný majetok.","NEPOVOLENÉ POUŽITIE!"),"NEPOVOLENÉ POUŽITIE!")</f>
        <v>dlhodobý nehmotný majetok.</v>
      </c>
      <c r="T900" s="38"/>
      <c r="V900" s="137"/>
      <c r="W900" s="137"/>
      <c r="X900" s="137"/>
      <c r="AM900" s="137"/>
      <c r="AN900" s="137"/>
      <c r="AO900" s="137"/>
      <c r="AZ900" s="37"/>
      <c r="BA900" s="37"/>
      <c r="BB900" s="37"/>
      <c r="BC900" s="37"/>
      <c r="BD900" s="38"/>
      <c r="BE900" s="38"/>
      <c r="BF900" s="38"/>
      <c r="BG900" s="38"/>
      <c r="BH900" s="38"/>
      <c r="BI900" s="38"/>
      <c r="BJ900" s="38"/>
      <c r="CA900" s="291"/>
      <c r="CB900" s="3" t="str">
        <f t="shared" si="115"/>
        <v>Riadok bude skrytý.</v>
      </c>
      <c r="CC900" s="271" t="s">
        <v>832</v>
      </c>
      <c r="CW900" s="49">
        <v>1</v>
      </c>
      <c r="CX900" s="30"/>
      <c r="CY900" s="30"/>
      <c r="CZ900" s="30">
        <f t="shared" si="110"/>
        <v>1</v>
      </c>
      <c r="DA900" s="30">
        <f t="shared" si="117"/>
        <v>1</v>
      </c>
      <c r="DB900" s="2">
        <f t="shared" si="116"/>
        <v>0</v>
      </c>
      <c r="DR900" s="76"/>
      <c r="DS900" s="130">
        <f>SI!BY900</f>
        <v>10</v>
      </c>
      <c r="DT900" s="130"/>
      <c r="DU900" s="130"/>
      <c r="DV900" s="130"/>
      <c r="DW900" s="130"/>
      <c r="DX900" s="130"/>
      <c r="DY900" s="130"/>
      <c r="DZ900" s="131">
        <f>SI!BZ900</f>
        <v>0</v>
      </c>
      <c r="EA900" s="76"/>
      <c r="EB900" s="76"/>
    </row>
    <row r="901" spans="1:132" s="14" customFormat="1" hidden="1" x14ac:dyDescent="0.25">
      <c r="A901" s="290"/>
      <c r="B901" s="137" t="str">
        <f>+IF($K$52&lt;&gt;"",IF(INT(SQRT((CODE(MID($K$52,1,1)))))*0+LEN(SI!J5)=DS901,IF(J900="neeviduje","Spoločnosť nemá pre túto časť poznámok obsahovú náplň.","K dlhodobému nehmotnému majetku Spoločnosť uvádza nasledujúce informácie:"),"NEPOVOLENÉ POUŽITIE!"),"NEPOVOLENÉ POUŽITIE!")</f>
        <v>K dlhodobému nehmotnému majetku Spoločnosť uvádza nasledujúce informácie:</v>
      </c>
      <c r="C901" s="37"/>
      <c r="D901" s="37"/>
      <c r="E901" s="37"/>
      <c r="F901" s="37"/>
      <c r="G901" s="38"/>
      <c r="H901" s="38"/>
      <c r="I901" s="38"/>
      <c r="J901" s="38"/>
      <c r="K901" s="38"/>
      <c r="L901" s="38"/>
      <c r="M901" s="38"/>
      <c r="N901" s="38"/>
      <c r="AM901" s="37"/>
      <c r="AN901" s="37"/>
      <c r="AO901" s="37"/>
      <c r="AP901" s="38"/>
      <c r="AQ901" s="38"/>
      <c r="AR901" s="38"/>
      <c r="AS901" s="38"/>
      <c r="AT901" s="38"/>
      <c r="AU901" s="38"/>
      <c r="AV901" s="38"/>
      <c r="AW901" s="38"/>
      <c r="AZ901" s="37"/>
      <c r="BA901" s="37"/>
      <c r="BB901" s="37"/>
      <c r="BC901" s="37"/>
      <c r="BD901" s="38"/>
      <c r="BE901" s="38"/>
      <c r="BF901" s="38"/>
      <c r="BG901" s="38"/>
      <c r="BH901" s="38"/>
      <c r="BI901" s="38"/>
      <c r="BJ901" s="38"/>
      <c r="CA901" s="291"/>
      <c r="CB901" s="3" t="str">
        <f t="shared" si="115"/>
        <v>Riadok bude skrytý.</v>
      </c>
      <c r="CC901" s="271" t="s">
        <v>832</v>
      </c>
      <c r="CW901" s="30">
        <f>+IF(B901="",0,1)</f>
        <v>1</v>
      </c>
      <c r="CX901" s="30"/>
      <c r="CY901" s="30"/>
      <c r="CZ901" s="30">
        <f t="shared" si="110"/>
        <v>1</v>
      </c>
      <c r="DA901" s="30">
        <f t="shared" si="117"/>
        <v>1</v>
      </c>
      <c r="DB901" s="2">
        <f t="shared" si="116"/>
        <v>0</v>
      </c>
      <c r="DR901" s="76"/>
      <c r="DS901" s="130">
        <f>SI!BY901</f>
        <v>15</v>
      </c>
      <c r="DT901" s="130"/>
      <c r="DU901" s="130"/>
      <c r="DV901" s="130"/>
      <c r="DW901" s="130"/>
      <c r="DX901" s="130"/>
      <c r="DY901" s="130"/>
      <c r="DZ901" s="131">
        <f>SI!BZ901</f>
        <v>0</v>
      </c>
      <c r="EA901" s="76"/>
      <c r="EB901" s="76"/>
    </row>
    <row r="902" spans="1:132" hidden="1" x14ac:dyDescent="0.25">
      <c r="A902" s="141"/>
      <c r="B902" s="379"/>
      <c r="C902" s="379"/>
      <c r="D902" s="379"/>
      <c r="E902" s="379"/>
      <c r="F902" s="379"/>
      <c r="G902" s="379"/>
      <c r="H902" s="379"/>
      <c r="I902" s="379"/>
      <c r="J902" s="379"/>
      <c r="K902" s="379"/>
      <c r="L902" s="379"/>
      <c r="M902" s="379"/>
      <c r="N902" s="379"/>
      <c r="O902" s="379"/>
      <c r="P902" s="379"/>
      <c r="Q902" s="379"/>
      <c r="R902" s="379"/>
      <c r="S902" s="379"/>
      <c r="T902" s="379"/>
      <c r="U902" s="379"/>
      <c r="V902" s="379"/>
      <c r="W902" s="379"/>
      <c r="X902" s="379"/>
      <c r="Y902" s="379"/>
      <c r="Z902" s="379"/>
      <c r="AA902" s="379"/>
      <c r="AB902" s="379"/>
      <c r="AC902" s="379"/>
      <c r="AD902" s="379"/>
      <c r="AE902" s="379"/>
      <c r="AF902" s="379"/>
      <c r="AG902" s="379"/>
      <c r="AH902" s="379"/>
      <c r="AI902" s="379"/>
      <c r="AJ902" s="379"/>
      <c r="AK902" s="379"/>
      <c r="AL902" s="379"/>
      <c r="AM902" s="379"/>
      <c r="AN902" s="379"/>
      <c r="AO902" s="379"/>
      <c r="AP902" s="379"/>
      <c r="AQ902" s="379"/>
      <c r="AR902" s="379"/>
      <c r="AS902" s="379"/>
      <c r="AT902" s="379"/>
      <c r="AU902" s="379"/>
      <c r="AV902" s="379"/>
      <c r="AW902" s="379"/>
      <c r="AX902" s="379"/>
      <c r="AY902" s="379"/>
      <c r="AZ902" s="379"/>
      <c r="BA902" s="379"/>
      <c r="BB902" s="379"/>
      <c r="BC902" s="379"/>
      <c r="BD902" s="379"/>
      <c r="BE902" s="379"/>
      <c r="BF902" s="379"/>
      <c r="BG902" s="379"/>
      <c r="BH902" s="379"/>
      <c r="BI902" s="379"/>
      <c r="BJ902" s="379"/>
      <c r="BK902" s="379"/>
      <c r="BL902" s="379"/>
      <c r="BM902" s="379"/>
      <c r="BN902" s="379"/>
      <c r="BO902" s="379"/>
      <c r="BP902" s="379"/>
      <c r="BQ902" s="379"/>
      <c r="BR902" s="379"/>
      <c r="BS902" s="379"/>
      <c r="BT902" s="379"/>
      <c r="BU902" s="379"/>
      <c r="BV902" s="379"/>
      <c r="BW902" s="379"/>
      <c r="BX902" s="379"/>
      <c r="BY902" s="379"/>
      <c r="BZ902" s="379"/>
      <c r="CA902" s="281"/>
      <c r="CB902" s="3" t="str">
        <f t="shared" si="115"/>
        <v>Riadok bude skrytý.</v>
      </c>
      <c r="CC902" s="271" t="s">
        <v>832</v>
      </c>
      <c r="CW902" s="35">
        <f t="shared" ref="CW902:CW939" si="118">+IF($J$900="neeviduje",0,1)</f>
        <v>1</v>
      </c>
      <c r="CX902" s="30">
        <f t="shared" ref="CX902:CX921" si="119">+IF(B902="",0,1)</f>
        <v>0</v>
      </c>
      <c r="CZ902" s="30">
        <f t="shared" si="110"/>
        <v>1</v>
      </c>
      <c r="DA902" s="52">
        <f t="shared" ref="DA902:DA921" si="120">+IF(CW902*CX902=0,0,IF(CZ902=0,0,1))</f>
        <v>0</v>
      </c>
      <c r="DB902" s="2">
        <f t="shared" si="116"/>
        <v>0</v>
      </c>
      <c r="DS902" s="130">
        <f>SI!BY902</f>
        <v>114</v>
      </c>
      <c r="DZ902" s="131">
        <f>SI!BZ902</f>
        <v>0</v>
      </c>
    </row>
    <row r="903" spans="1:132" hidden="1" x14ac:dyDescent="0.25">
      <c r="A903" s="141"/>
      <c r="B903" s="379"/>
      <c r="C903" s="379"/>
      <c r="D903" s="379"/>
      <c r="E903" s="379"/>
      <c r="F903" s="379"/>
      <c r="G903" s="379"/>
      <c r="H903" s="379"/>
      <c r="I903" s="379"/>
      <c r="J903" s="379"/>
      <c r="K903" s="379"/>
      <c r="L903" s="379"/>
      <c r="M903" s="379"/>
      <c r="N903" s="379"/>
      <c r="O903" s="379"/>
      <c r="P903" s="379"/>
      <c r="Q903" s="379"/>
      <c r="R903" s="379"/>
      <c r="S903" s="379"/>
      <c r="T903" s="379"/>
      <c r="U903" s="379"/>
      <c r="V903" s="379"/>
      <c r="W903" s="379"/>
      <c r="X903" s="379"/>
      <c r="Y903" s="379"/>
      <c r="Z903" s="379"/>
      <c r="AA903" s="379"/>
      <c r="AB903" s="379"/>
      <c r="AC903" s="379"/>
      <c r="AD903" s="379"/>
      <c r="AE903" s="379"/>
      <c r="AF903" s="379"/>
      <c r="AG903" s="379"/>
      <c r="AH903" s="379"/>
      <c r="AI903" s="379"/>
      <c r="AJ903" s="379"/>
      <c r="AK903" s="379"/>
      <c r="AL903" s="379"/>
      <c r="AM903" s="379"/>
      <c r="AN903" s="379"/>
      <c r="AO903" s="379"/>
      <c r="AP903" s="379"/>
      <c r="AQ903" s="379"/>
      <c r="AR903" s="379"/>
      <c r="AS903" s="379"/>
      <c r="AT903" s="379"/>
      <c r="AU903" s="379"/>
      <c r="AV903" s="379"/>
      <c r="AW903" s="379"/>
      <c r="AX903" s="379"/>
      <c r="AY903" s="379"/>
      <c r="AZ903" s="379"/>
      <c r="BA903" s="379"/>
      <c r="BB903" s="379"/>
      <c r="BC903" s="379"/>
      <c r="BD903" s="379"/>
      <c r="BE903" s="379"/>
      <c r="BF903" s="379"/>
      <c r="BG903" s="379"/>
      <c r="BH903" s="379"/>
      <c r="BI903" s="379"/>
      <c r="BJ903" s="379"/>
      <c r="BK903" s="379"/>
      <c r="BL903" s="379"/>
      <c r="BM903" s="379"/>
      <c r="BN903" s="379"/>
      <c r="BO903" s="379"/>
      <c r="BP903" s="379"/>
      <c r="BQ903" s="379"/>
      <c r="BR903" s="379"/>
      <c r="BS903" s="379"/>
      <c r="BT903" s="379"/>
      <c r="BU903" s="379"/>
      <c r="BV903" s="379"/>
      <c r="BW903" s="379"/>
      <c r="BX903" s="379"/>
      <c r="BY903" s="379"/>
      <c r="BZ903" s="379"/>
      <c r="CA903" s="281"/>
      <c r="CB903" s="3" t="str">
        <f t="shared" si="115"/>
        <v>Riadok bude skrytý.</v>
      </c>
      <c r="CC903" s="271" t="s">
        <v>832</v>
      </c>
      <c r="CW903" s="35">
        <f t="shared" si="118"/>
        <v>1</v>
      </c>
      <c r="CX903" s="30">
        <f t="shared" si="119"/>
        <v>0</v>
      </c>
      <c r="CZ903" s="30">
        <f t="shared" si="110"/>
        <v>1</v>
      </c>
      <c r="DA903" s="52">
        <f t="shared" si="120"/>
        <v>0</v>
      </c>
      <c r="DB903" s="2">
        <f t="shared" si="116"/>
        <v>0</v>
      </c>
      <c r="DS903" s="130">
        <f>SI!BY903</f>
        <v>101</v>
      </c>
      <c r="DZ903" s="131">
        <f>SI!BZ903</f>
        <v>0</v>
      </c>
    </row>
    <row r="904" spans="1:132" hidden="1" x14ac:dyDescent="0.25">
      <c r="A904" s="141"/>
      <c r="B904" s="379"/>
      <c r="C904" s="379"/>
      <c r="D904" s="379"/>
      <c r="E904" s="379"/>
      <c r="F904" s="379"/>
      <c r="G904" s="379"/>
      <c r="H904" s="379"/>
      <c r="I904" s="379"/>
      <c r="J904" s="379"/>
      <c r="K904" s="379"/>
      <c r="L904" s="379"/>
      <c r="M904" s="379"/>
      <c r="N904" s="379"/>
      <c r="O904" s="379"/>
      <c r="P904" s="379"/>
      <c r="Q904" s="379"/>
      <c r="R904" s="379"/>
      <c r="S904" s="379"/>
      <c r="T904" s="379"/>
      <c r="U904" s="379"/>
      <c r="V904" s="379"/>
      <c r="W904" s="379"/>
      <c r="X904" s="379"/>
      <c r="Y904" s="379"/>
      <c r="Z904" s="379"/>
      <c r="AA904" s="379"/>
      <c r="AB904" s="379"/>
      <c r="AC904" s="379"/>
      <c r="AD904" s="379"/>
      <c r="AE904" s="379"/>
      <c r="AF904" s="379"/>
      <c r="AG904" s="379"/>
      <c r="AH904" s="379"/>
      <c r="AI904" s="379"/>
      <c r="AJ904" s="379"/>
      <c r="AK904" s="379"/>
      <c r="AL904" s="379"/>
      <c r="AM904" s="379"/>
      <c r="AN904" s="379"/>
      <c r="AO904" s="379"/>
      <c r="AP904" s="379"/>
      <c r="AQ904" s="379"/>
      <c r="AR904" s="379"/>
      <c r="AS904" s="379"/>
      <c r="AT904" s="379"/>
      <c r="AU904" s="379"/>
      <c r="AV904" s="379"/>
      <c r="AW904" s="379"/>
      <c r="AX904" s="379"/>
      <c r="AY904" s="379"/>
      <c r="AZ904" s="379"/>
      <c r="BA904" s="379"/>
      <c r="BB904" s="379"/>
      <c r="BC904" s="379"/>
      <c r="BD904" s="379"/>
      <c r="BE904" s="379"/>
      <c r="BF904" s="379"/>
      <c r="BG904" s="379"/>
      <c r="BH904" s="379"/>
      <c r="BI904" s="379"/>
      <c r="BJ904" s="379"/>
      <c r="BK904" s="379"/>
      <c r="BL904" s="379"/>
      <c r="BM904" s="379"/>
      <c r="BN904" s="379"/>
      <c r="BO904" s="379"/>
      <c r="BP904" s="379"/>
      <c r="BQ904" s="379"/>
      <c r="BR904" s="379"/>
      <c r="BS904" s="379"/>
      <c r="BT904" s="379"/>
      <c r="BU904" s="379"/>
      <c r="BV904" s="379"/>
      <c r="BW904" s="379"/>
      <c r="BX904" s="379"/>
      <c r="BY904" s="379"/>
      <c r="BZ904" s="379"/>
      <c r="CA904" s="281"/>
      <c r="CB904" s="3" t="str">
        <f t="shared" si="115"/>
        <v>Riadok bude skrytý.</v>
      </c>
      <c r="CC904" s="271" t="s">
        <v>832</v>
      </c>
      <c r="CW904" s="35">
        <f t="shared" si="118"/>
        <v>1</v>
      </c>
      <c r="CX904" s="30">
        <f t="shared" si="119"/>
        <v>0</v>
      </c>
      <c r="CZ904" s="30">
        <f t="shared" si="110"/>
        <v>1</v>
      </c>
      <c r="DA904" s="52">
        <f t="shared" si="120"/>
        <v>0</v>
      </c>
      <c r="DB904" s="2">
        <f t="shared" si="116"/>
        <v>0</v>
      </c>
      <c r="DS904" s="130">
        <f>SI!BY904</f>
        <v>121</v>
      </c>
      <c r="DZ904" s="131">
        <f>SI!BZ904</f>
        <v>0</v>
      </c>
    </row>
    <row r="905" spans="1:132" hidden="1" x14ac:dyDescent="0.25">
      <c r="A905" s="141"/>
      <c r="B905" s="379"/>
      <c r="C905" s="379"/>
      <c r="D905" s="379"/>
      <c r="E905" s="379"/>
      <c r="F905" s="379"/>
      <c r="G905" s="379"/>
      <c r="H905" s="379"/>
      <c r="I905" s="379"/>
      <c r="J905" s="379"/>
      <c r="K905" s="379"/>
      <c r="L905" s="379"/>
      <c r="M905" s="379"/>
      <c r="N905" s="379"/>
      <c r="O905" s="379"/>
      <c r="P905" s="379"/>
      <c r="Q905" s="379"/>
      <c r="R905" s="379"/>
      <c r="S905" s="379"/>
      <c r="T905" s="379"/>
      <c r="U905" s="379"/>
      <c r="V905" s="379"/>
      <c r="W905" s="379"/>
      <c r="X905" s="379"/>
      <c r="Y905" s="379"/>
      <c r="Z905" s="379"/>
      <c r="AA905" s="379"/>
      <c r="AB905" s="379"/>
      <c r="AC905" s="379"/>
      <c r="AD905" s="379"/>
      <c r="AE905" s="379"/>
      <c r="AF905" s="379"/>
      <c r="AG905" s="379"/>
      <c r="AH905" s="379"/>
      <c r="AI905" s="379"/>
      <c r="AJ905" s="379"/>
      <c r="AK905" s="379"/>
      <c r="AL905" s="379"/>
      <c r="AM905" s="379"/>
      <c r="AN905" s="379"/>
      <c r="AO905" s="379"/>
      <c r="AP905" s="379"/>
      <c r="AQ905" s="379"/>
      <c r="AR905" s="379"/>
      <c r="AS905" s="379"/>
      <c r="AT905" s="379"/>
      <c r="AU905" s="379"/>
      <c r="AV905" s="379"/>
      <c r="AW905" s="379"/>
      <c r="AX905" s="379"/>
      <c r="AY905" s="379"/>
      <c r="AZ905" s="379"/>
      <c r="BA905" s="379"/>
      <c r="BB905" s="379"/>
      <c r="BC905" s="379"/>
      <c r="BD905" s="379"/>
      <c r="BE905" s="379"/>
      <c r="BF905" s="379"/>
      <c r="BG905" s="379"/>
      <c r="BH905" s="379"/>
      <c r="BI905" s="379"/>
      <c r="BJ905" s="379"/>
      <c r="BK905" s="379"/>
      <c r="BL905" s="379"/>
      <c r="BM905" s="379"/>
      <c r="BN905" s="379"/>
      <c r="BO905" s="379"/>
      <c r="BP905" s="379"/>
      <c r="BQ905" s="379"/>
      <c r="BR905" s="379"/>
      <c r="BS905" s="379"/>
      <c r="BT905" s="379"/>
      <c r="BU905" s="379"/>
      <c r="BV905" s="379"/>
      <c r="BW905" s="379"/>
      <c r="BX905" s="379"/>
      <c r="BY905" s="379"/>
      <c r="BZ905" s="379"/>
      <c r="CA905" s="281"/>
      <c r="CB905" s="3" t="str">
        <f t="shared" si="115"/>
        <v>Riadok bude skrytý.</v>
      </c>
      <c r="CC905" s="271" t="s">
        <v>832</v>
      </c>
      <c r="CW905" s="35">
        <f t="shared" si="118"/>
        <v>1</v>
      </c>
      <c r="CX905" s="30">
        <f t="shared" si="119"/>
        <v>0</v>
      </c>
      <c r="CZ905" s="30">
        <f t="shared" si="110"/>
        <v>1</v>
      </c>
      <c r="DA905" s="52">
        <f t="shared" si="120"/>
        <v>0</v>
      </c>
      <c r="DB905" s="2">
        <f t="shared" si="116"/>
        <v>0</v>
      </c>
      <c r="DS905" s="130">
        <f>SI!BY905</f>
        <v>1019</v>
      </c>
      <c r="DZ905" s="131">
        <f>SI!BZ905</f>
        <v>0</v>
      </c>
    </row>
    <row r="906" spans="1:132" hidden="1" x14ac:dyDescent="0.25">
      <c r="A906" s="141"/>
      <c r="B906" s="379"/>
      <c r="C906" s="379"/>
      <c r="D906" s="379"/>
      <c r="E906" s="379"/>
      <c r="F906" s="379"/>
      <c r="G906" s="379"/>
      <c r="H906" s="379"/>
      <c r="I906" s="379"/>
      <c r="J906" s="379"/>
      <c r="K906" s="379"/>
      <c r="L906" s="379"/>
      <c r="M906" s="379"/>
      <c r="N906" s="379"/>
      <c r="O906" s="379"/>
      <c r="P906" s="379"/>
      <c r="Q906" s="379"/>
      <c r="R906" s="379"/>
      <c r="S906" s="379"/>
      <c r="T906" s="379"/>
      <c r="U906" s="379"/>
      <c r="V906" s="379"/>
      <c r="W906" s="379"/>
      <c r="X906" s="379"/>
      <c r="Y906" s="379"/>
      <c r="Z906" s="379"/>
      <c r="AA906" s="379"/>
      <c r="AB906" s="379"/>
      <c r="AC906" s="379"/>
      <c r="AD906" s="379"/>
      <c r="AE906" s="379"/>
      <c r="AF906" s="379"/>
      <c r="AG906" s="379"/>
      <c r="AH906" s="379"/>
      <c r="AI906" s="379"/>
      <c r="AJ906" s="379"/>
      <c r="AK906" s="379"/>
      <c r="AL906" s="379"/>
      <c r="AM906" s="379"/>
      <c r="AN906" s="379"/>
      <c r="AO906" s="379"/>
      <c r="AP906" s="379"/>
      <c r="AQ906" s="379"/>
      <c r="AR906" s="379"/>
      <c r="AS906" s="379"/>
      <c r="AT906" s="379"/>
      <c r="AU906" s="379"/>
      <c r="AV906" s="379"/>
      <c r="AW906" s="379"/>
      <c r="AX906" s="379"/>
      <c r="AY906" s="379"/>
      <c r="AZ906" s="379"/>
      <c r="BA906" s="379"/>
      <c r="BB906" s="379"/>
      <c r="BC906" s="379"/>
      <c r="BD906" s="379"/>
      <c r="BE906" s="379"/>
      <c r="BF906" s="379"/>
      <c r="BG906" s="379"/>
      <c r="BH906" s="379"/>
      <c r="BI906" s="379"/>
      <c r="BJ906" s="379"/>
      <c r="BK906" s="379"/>
      <c r="BL906" s="379"/>
      <c r="BM906" s="379"/>
      <c r="BN906" s="379"/>
      <c r="BO906" s="379"/>
      <c r="BP906" s="379"/>
      <c r="BQ906" s="379"/>
      <c r="BR906" s="379"/>
      <c r="BS906" s="379"/>
      <c r="BT906" s="379"/>
      <c r="BU906" s="379"/>
      <c r="BV906" s="379"/>
      <c r="BW906" s="379"/>
      <c r="BX906" s="379"/>
      <c r="BY906" s="379"/>
      <c r="BZ906" s="379"/>
      <c r="CA906" s="281"/>
      <c r="CB906" s="3" t="str">
        <f t="shared" si="115"/>
        <v>Riadok bude skrytý.</v>
      </c>
      <c r="CC906" s="271" t="s">
        <v>832</v>
      </c>
      <c r="CW906" s="35">
        <f t="shared" si="118"/>
        <v>1</v>
      </c>
      <c r="CX906" s="30">
        <f t="shared" si="119"/>
        <v>0</v>
      </c>
      <c r="CZ906" s="30">
        <f t="shared" si="110"/>
        <v>1</v>
      </c>
      <c r="DA906" s="52">
        <f t="shared" si="120"/>
        <v>0</v>
      </c>
      <c r="DB906" s="2">
        <f t="shared" si="116"/>
        <v>0</v>
      </c>
      <c r="DS906" s="130">
        <f>SI!BY906</f>
        <v>131</v>
      </c>
      <c r="DZ906" s="131">
        <f>SI!BZ906</f>
        <v>0</v>
      </c>
    </row>
    <row r="907" spans="1:132" hidden="1" x14ac:dyDescent="0.25">
      <c r="A907" s="141"/>
      <c r="B907" s="379"/>
      <c r="C907" s="379"/>
      <c r="D907" s="379"/>
      <c r="E907" s="379"/>
      <c r="F907" s="379"/>
      <c r="G907" s="379"/>
      <c r="H907" s="379"/>
      <c r="I907" s="379"/>
      <c r="J907" s="379"/>
      <c r="K907" s="379"/>
      <c r="L907" s="379"/>
      <c r="M907" s="379"/>
      <c r="N907" s="379"/>
      <c r="O907" s="379"/>
      <c r="P907" s="379"/>
      <c r="Q907" s="379"/>
      <c r="R907" s="379"/>
      <c r="S907" s="379"/>
      <c r="T907" s="379"/>
      <c r="U907" s="379"/>
      <c r="V907" s="379"/>
      <c r="W907" s="379"/>
      <c r="X907" s="379"/>
      <c r="Y907" s="379"/>
      <c r="Z907" s="379"/>
      <c r="AA907" s="379"/>
      <c r="AB907" s="379"/>
      <c r="AC907" s="379"/>
      <c r="AD907" s="379"/>
      <c r="AE907" s="379"/>
      <c r="AF907" s="379"/>
      <c r="AG907" s="379"/>
      <c r="AH907" s="379"/>
      <c r="AI907" s="379"/>
      <c r="AJ907" s="379"/>
      <c r="AK907" s="379"/>
      <c r="AL907" s="379"/>
      <c r="AM907" s="379"/>
      <c r="AN907" s="379"/>
      <c r="AO907" s="379"/>
      <c r="AP907" s="379"/>
      <c r="AQ907" s="379"/>
      <c r="AR907" s="379"/>
      <c r="AS907" s="379"/>
      <c r="AT907" s="379"/>
      <c r="AU907" s="379"/>
      <c r="AV907" s="379"/>
      <c r="AW907" s="379"/>
      <c r="AX907" s="379"/>
      <c r="AY907" s="379"/>
      <c r="AZ907" s="379"/>
      <c r="BA907" s="379"/>
      <c r="BB907" s="379"/>
      <c r="BC907" s="379"/>
      <c r="BD907" s="379"/>
      <c r="BE907" s="379"/>
      <c r="BF907" s="379"/>
      <c r="BG907" s="379"/>
      <c r="BH907" s="379"/>
      <c r="BI907" s="379"/>
      <c r="BJ907" s="379"/>
      <c r="BK907" s="379"/>
      <c r="BL907" s="379"/>
      <c r="BM907" s="379"/>
      <c r="BN907" s="379"/>
      <c r="BO907" s="379"/>
      <c r="BP907" s="379"/>
      <c r="BQ907" s="379"/>
      <c r="BR907" s="379"/>
      <c r="BS907" s="379"/>
      <c r="BT907" s="379"/>
      <c r="BU907" s="379"/>
      <c r="BV907" s="379"/>
      <c r="BW907" s="379"/>
      <c r="BX907" s="379"/>
      <c r="BY907" s="379"/>
      <c r="BZ907" s="379"/>
      <c r="CA907" s="281"/>
      <c r="CB907" s="3" t="str">
        <f t="shared" si="115"/>
        <v>Riadok bude skrytý.</v>
      </c>
      <c r="CC907" s="271" t="s">
        <v>832</v>
      </c>
      <c r="CW907" s="35">
        <f t="shared" si="118"/>
        <v>1</v>
      </c>
      <c r="CX907" s="30">
        <f t="shared" si="119"/>
        <v>0</v>
      </c>
      <c r="CZ907" s="30">
        <f t="shared" si="110"/>
        <v>1</v>
      </c>
      <c r="DA907" s="52">
        <f t="shared" si="120"/>
        <v>0</v>
      </c>
      <c r="DB907" s="2">
        <f t="shared" si="116"/>
        <v>0</v>
      </c>
      <c r="DS907" s="130">
        <f>SI!BY907</f>
        <v>930</v>
      </c>
      <c r="DZ907" s="131">
        <f>SI!BZ907</f>
        <v>0</v>
      </c>
    </row>
    <row r="908" spans="1:132" hidden="1" x14ac:dyDescent="0.25">
      <c r="A908" s="141"/>
      <c r="B908" s="379"/>
      <c r="C908" s="379"/>
      <c r="D908" s="379"/>
      <c r="E908" s="379"/>
      <c r="F908" s="379"/>
      <c r="G908" s="379"/>
      <c r="H908" s="379"/>
      <c r="I908" s="379"/>
      <c r="J908" s="379"/>
      <c r="K908" s="379"/>
      <c r="L908" s="379"/>
      <c r="M908" s="379"/>
      <c r="N908" s="379"/>
      <c r="O908" s="379"/>
      <c r="P908" s="379"/>
      <c r="Q908" s="379"/>
      <c r="R908" s="379"/>
      <c r="S908" s="379"/>
      <c r="T908" s="379"/>
      <c r="U908" s="379"/>
      <c r="V908" s="379"/>
      <c r="W908" s="379"/>
      <c r="X908" s="379"/>
      <c r="Y908" s="379"/>
      <c r="Z908" s="379"/>
      <c r="AA908" s="379"/>
      <c r="AB908" s="379"/>
      <c r="AC908" s="379"/>
      <c r="AD908" s="379"/>
      <c r="AE908" s="379"/>
      <c r="AF908" s="379"/>
      <c r="AG908" s="379"/>
      <c r="AH908" s="379"/>
      <c r="AI908" s="379"/>
      <c r="AJ908" s="379"/>
      <c r="AK908" s="379"/>
      <c r="AL908" s="379"/>
      <c r="AM908" s="379"/>
      <c r="AN908" s="379"/>
      <c r="AO908" s="379"/>
      <c r="AP908" s="379"/>
      <c r="AQ908" s="379"/>
      <c r="AR908" s="379"/>
      <c r="AS908" s="379"/>
      <c r="AT908" s="379"/>
      <c r="AU908" s="379"/>
      <c r="AV908" s="379"/>
      <c r="AW908" s="379"/>
      <c r="AX908" s="379"/>
      <c r="AY908" s="379"/>
      <c r="AZ908" s="379"/>
      <c r="BA908" s="379"/>
      <c r="BB908" s="379"/>
      <c r="BC908" s="379"/>
      <c r="BD908" s="379"/>
      <c r="BE908" s="379"/>
      <c r="BF908" s="379"/>
      <c r="BG908" s="379"/>
      <c r="BH908" s="379"/>
      <c r="BI908" s="379"/>
      <c r="BJ908" s="379"/>
      <c r="BK908" s="379"/>
      <c r="BL908" s="379"/>
      <c r="BM908" s="379"/>
      <c r="BN908" s="379"/>
      <c r="BO908" s="379"/>
      <c r="BP908" s="379"/>
      <c r="BQ908" s="379"/>
      <c r="BR908" s="379"/>
      <c r="BS908" s="379"/>
      <c r="BT908" s="379"/>
      <c r="BU908" s="379"/>
      <c r="BV908" s="379"/>
      <c r="BW908" s="379"/>
      <c r="BX908" s="379"/>
      <c r="BY908" s="379"/>
      <c r="BZ908" s="379"/>
      <c r="CA908" s="281"/>
      <c r="CB908" s="3" t="str">
        <f t="shared" si="115"/>
        <v>Riadok bude skrytý.</v>
      </c>
      <c r="CC908" s="271" t="s">
        <v>832</v>
      </c>
      <c r="CW908" s="35">
        <f t="shared" si="118"/>
        <v>1</v>
      </c>
      <c r="CX908" s="30">
        <f t="shared" si="119"/>
        <v>0</v>
      </c>
      <c r="CZ908" s="30">
        <f t="shared" si="110"/>
        <v>1</v>
      </c>
      <c r="DA908" s="52">
        <f t="shared" si="120"/>
        <v>0</v>
      </c>
      <c r="DB908" s="2">
        <f t="shared" si="116"/>
        <v>0</v>
      </c>
      <c r="DS908" s="130">
        <f>SI!BY908</f>
        <v>193</v>
      </c>
      <c r="DZ908" s="131">
        <f>SI!BZ908</f>
        <v>0</v>
      </c>
    </row>
    <row r="909" spans="1:132" hidden="1" x14ac:dyDescent="0.25">
      <c r="A909" s="141"/>
      <c r="B909" s="379"/>
      <c r="C909" s="379"/>
      <c r="D909" s="379"/>
      <c r="E909" s="379"/>
      <c r="F909" s="379"/>
      <c r="G909" s="379"/>
      <c r="H909" s="379"/>
      <c r="I909" s="379"/>
      <c r="J909" s="379"/>
      <c r="K909" s="379"/>
      <c r="L909" s="379"/>
      <c r="M909" s="379"/>
      <c r="N909" s="379"/>
      <c r="O909" s="379"/>
      <c r="P909" s="379"/>
      <c r="Q909" s="379"/>
      <c r="R909" s="379"/>
      <c r="S909" s="379"/>
      <c r="T909" s="379"/>
      <c r="U909" s="379"/>
      <c r="V909" s="379"/>
      <c r="W909" s="379"/>
      <c r="X909" s="379"/>
      <c r="Y909" s="379"/>
      <c r="Z909" s="379"/>
      <c r="AA909" s="379"/>
      <c r="AB909" s="379"/>
      <c r="AC909" s="379"/>
      <c r="AD909" s="379"/>
      <c r="AE909" s="379"/>
      <c r="AF909" s="379"/>
      <c r="AG909" s="379"/>
      <c r="AH909" s="379"/>
      <c r="AI909" s="379"/>
      <c r="AJ909" s="379"/>
      <c r="AK909" s="379"/>
      <c r="AL909" s="379"/>
      <c r="AM909" s="379"/>
      <c r="AN909" s="379"/>
      <c r="AO909" s="379"/>
      <c r="AP909" s="379"/>
      <c r="AQ909" s="379"/>
      <c r="AR909" s="379"/>
      <c r="AS909" s="379"/>
      <c r="AT909" s="379"/>
      <c r="AU909" s="379"/>
      <c r="AV909" s="379"/>
      <c r="AW909" s="379"/>
      <c r="AX909" s="379"/>
      <c r="AY909" s="379"/>
      <c r="AZ909" s="379"/>
      <c r="BA909" s="379"/>
      <c r="BB909" s="379"/>
      <c r="BC909" s="379"/>
      <c r="BD909" s="379"/>
      <c r="BE909" s="379"/>
      <c r="BF909" s="379"/>
      <c r="BG909" s="379"/>
      <c r="BH909" s="379"/>
      <c r="BI909" s="379"/>
      <c r="BJ909" s="379"/>
      <c r="BK909" s="379"/>
      <c r="BL909" s="379"/>
      <c r="BM909" s="379"/>
      <c r="BN909" s="379"/>
      <c r="BO909" s="379"/>
      <c r="BP909" s="379"/>
      <c r="BQ909" s="379"/>
      <c r="BR909" s="379"/>
      <c r="BS909" s="379"/>
      <c r="BT909" s="379"/>
      <c r="BU909" s="379"/>
      <c r="BV909" s="379"/>
      <c r="BW909" s="379"/>
      <c r="BX909" s="379"/>
      <c r="BY909" s="379"/>
      <c r="BZ909" s="379"/>
      <c r="CA909" s="281"/>
      <c r="CB909" s="3" t="str">
        <f t="shared" si="115"/>
        <v>Riadok bude skrytý.</v>
      </c>
      <c r="CC909" s="271" t="s">
        <v>832</v>
      </c>
      <c r="CW909" s="35">
        <f t="shared" si="118"/>
        <v>1</v>
      </c>
      <c r="CX909" s="30">
        <f t="shared" si="119"/>
        <v>0</v>
      </c>
      <c r="CZ909" s="30">
        <f t="shared" si="110"/>
        <v>1</v>
      </c>
      <c r="DA909" s="52">
        <f t="shared" si="120"/>
        <v>0</v>
      </c>
      <c r="DB909" s="2">
        <f t="shared" si="116"/>
        <v>0</v>
      </c>
      <c r="DS909" s="130">
        <f>SI!BY909</f>
        <v>691</v>
      </c>
      <c r="DZ909" s="131">
        <f>SI!BZ909</f>
        <v>0</v>
      </c>
    </row>
    <row r="910" spans="1:132" hidden="1" x14ac:dyDescent="0.25">
      <c r="A910" s="141"/>
      <c r="B910" s="379"/>
      <c r="C910" s="379"/>
      <c r="D910" s="379"/>
      <c r="E910" s="379"/>
      <c r="F910" s="379"/>
      <c r="G910" s="379"/>
      <c r="H910" s="379"/>
      <c r="I910" s="379"/>
      <c r="J910" s="379"/>
      <c r="K910" s="379"/>
      <c r="L910" s="379"/>
      <c r="M910" s="379"/>
      <c r="N910" s="379"/>
      <c r="O910" s="379"/>
      <c r="P910" s="379"/>
      <c r="Q910" s="379"/>
      <c r="R910" s="379"/>
      <c r="S910" s="379"/>
      <c r="T910" s="379"/>
      <c r="U910" s="379"/>
      <c r="V910" s="379"/>
      <c r="W910" s="379"/>
      <c r="X910" s="379"/>
      <c r="Y910" s="379"/>
      <c r="Z910" s="379"/>
      <c r="AA910" s="379"/>
      <c r="AB910" s="379"/>
      <c r="AC910" s="379"/>
      <c r="AD910" s="379"/>
      <c r="AE910" s="379"/>
      <c r="AF910" s="379"/>
      <c r="AG910" s="379"/>
      <c r="AH910" s="379"/>
      <c r="AI910" s="379"/>
      <c r="AJ910" s="379"/>
      <c r="AK910" s="379"/>
      <c r="AL910" s="379"/>
      <c r="AM910" s="379"/>
      <c r="AN910" s="379"/>
      <c r="AO910" s="379"/>
      <c r="AP910" s="379"/>
      <c r="AQ910" s="379"/>
      <c r="AR910" s="379"/>
      <c r="AS910" s="379"/>
      <c r="AT910" s="379"/>
      <c r="AU910" s="379"/>
      <c r="AV910" s="379"/>
      <c r="AW910" s="379"/>
      <c r="AX910" s="379"/>
      <c r="AY910" s="379"/>
      <c r="AZ910" s="379"/>
      <c r="BA910" s="379"/>
      <c r="BB910" s="379"/>
      <c r="BC910" s="379"/>
      <c r="BD910" s="379"/>
      <c r="BE910" s="379"/>
      <c r="BF910" s="379"/>
      <c r="BG910" s="379"/>
      <c r="BH910" s="379"/>
      <c r="BI910" s="379"/>
      <c r="BJ910" s="379"/>
      <c r="BK910" s="379"/>
      <c r="BL910" s="379"/>
      <c r="BM910" s="379"/>
      <c r="BN910" s="379"/>
      <c r="BO910" s="379"/>
      <c r="BP910" s="379"/>
      <c r="BQ910" s="379"/>
      <c r="BR910" s="379"/>
      <c r="BS910" s="379"/>
      <c r="BT910" s="379"/>
      <c r="BU910" s="379"/>
      <c r="BV910" s="379"/>
      <c r="BW910" s="379"/>
      <c r="BX910" s="379"/>
      <c r="BY910" s="379"/>
      <c r="BZ910" s="379"/>
      <c r="CA910" s="281"/>
      <c r="CB910" s="3" t="str">
        <f t="shared" si="115"/>
        <v>Riadok bude skrytý.</v>
      </c>
      <c r="CC910" s="271" t="s">
        <v>832</v>
      </c>
      <c r="CW910" s="35">
        <f t="shared" si="118"/>
        <v>1</v>
      </c>
      <c r="CX910" s="30">
        <f t="shared" si="119"/>
        <v>0</v>
      </c>
      <c r="CZ910" s="30">
        <f t="shared" si="110"/>
        <v>1</v>
      </c>
      <c r="DA910" s="52">
        <f t="shared" si="120"/>
        <v>0</v>
      </c>
      <c r="DB910" s="2">
        <f t="shared" si="116"/>
        <v>0</v>
      </c>
      <c r="DS910" s="130">
        <f>SI!BY910</f>
        <v>190</v>
      </c>
      <c r="DZ910" s="131">
        <f>SI!BZ910</f>
        <v>0</v>
      </c>
    </row>
    <row r="911" spans="1:132" hidden="1" x14ac:dyDescent="0.25">
      <c r="A911" s="141"/>
      <c r="B911" s="379"/>
      <c r="C911" s="379"/>
      <c r="D911" s="379"/>
      <c r="E911" s="379"/>
      <c r="F911" s="379"/>
      <c r="G911" s="379"/>
      <c r="H911" s="379"/>
      <c r="I911" s="379"/>
      <c r="J911" s="379"/>
      <c r="K911" s="379"/>
      <c r="L911" s="379"/>
      <c r="M911" s="379"/>
      <c r="N911" s="379"/>
      <c r="O911" s="379"/>
      <c r="P911" s="379"/>
      <c r="Q911" s="379"/>
      <c r="R911" s="379"/>
      <c r="S911" s="379"/>
      <c r="T911" s="379"/>
      <c r="U911" s="379"/>
      <c r="V911" s="379"/>
      <c r="W911" s="379"/>
      <c r="X911" s="379"/>
      <c r="Y911" s="379"/>
      <c r="Z911" s="379"/>
      <c r="AA911" s="379"/>
      <c r="AB911" s="379"/>
      <c r="AC911" s="379"/>
      <c r="AD911" s="379"/>
      <c r="AE911" s="379"/>
      <c r="AF911" s="379"/>
      <c r="AG911" s="379"/>
      <c r="AH911" s="379"/>
      <c r="AI911" s="379"/>
      <c r="AJ911" s="379"/>
      <c r="AK911" s="379"/>
      <c r="AL911" s="379"/>
      <c r="AM911" s="379"/>
      <c r="AN911" s="379"/>
      <c r="AO911" s="379"/>
      <c r="AP911" s="379"/>
      <c r="AQ911" s="379"/>
      <c r="AR911" s="379"/>
      <c r="AS911" s="379"/>
      <c r="AT911" s="379"/>
      <c r="AU911" s="379"/>
      <c r="AV911" s="379"/>
      <c r="AW911" s="379"/>
      <c r="AX911" s="379"/>
      <c r="AY911" s="379"/>
      <c r="AZ911" s="379"/>
      <c r="BA911" s="379"/>
      <c r="BB911" s="379"/>
      <c r="BC911" s="379"/>
      <c r="BD911" s="379"/>
      <c r="BE911" s="379"/>
      <c r="BF911" s="379"/>
      <c r="BG911" s="379"/>
      <c r="BH911" s="379"/>
      <c r="BI911" s="379"/>
      <c r="BJ911" s="379"/>
      <c r="BK911" s="379"/>
      <c r="BL911" s="379"/>
      <c r="BM911" s="379"/>
      <c r="BN911" s="379"/>
      <c r="BO911" s="379"/>
      <c r="BP911" s="379"/>
      <c r="BQ911" s="379"/>
      <c r="BR911" s="379"/>
      <c r="BS911" s="379"/>
      <c r="BT911" s="379"/>
      <c r="BU911" s="379"/>
      <c r="BV911" s="379"/>
      <c r="BW911" s="379"/>
      <c r="BX911" s="379"/>
      <c r="BY911" s="379"/>
      <c r="BZ911" s="379"/>
      <c r="CA911" s="281"/>
      <c r="CB911" s="3" t="str">
        <f t="shared" si="115"/>
        <v>Riadok bude skrytý.</v>
      </c>
      <c r="CC911" s="271" t="s">
        <v>832</v>
      </c>
      <c r="CW911" s="35">
        <f t="shared" si="118"/>
        <v>1</v>
      </c>
      <c r="CX911" s="30">
        <f t="shared" si="119"/>
        <v>0</v>
      </c>
      <c r="CZ911" s="30">
        <f t="shared" si="110"/>
        <v>1</v>
      </c>
      <c r="DA911" s="52">
        <f t="shared" si="120"/>
        <v>0</v>
      </c>
      <c r="DB911" s="2">
        <f t="shared" si="116"/>
        <v>0</v>
      </c>
      <c r="DS911" s="130">
        <f>SI!BY911</f>
        <v>716</v>
      </c>
      <c r="DZ911" s="131">
        <f>SI!BZ911</f>
        <v>0</v>
      </c>
    </row>
    <row r="912" spans="1:132" hidden="1" x14ac:dyDescent="0.25">
      <c r="A912" s="141"/>
      <c r="B912" s="379"/>
      <c r="C912" s="379"/>
      <c r="D912" s="379"/>
      <c r="E912" s="379"/>
      <c r="F912" s="379"/>
      <c r="G912" s="379"/>
      <c r="H912" s="379"/>
      <c r="I912" s="379"/>
      <c r="J912" s="379"/>
      <c r="K912" s="379"/>
      <c r="L912" s="379"/>
      <c r="M912" s="379"/>
      <c r="N912" s="379"/>
      <c r="O912" s="379"/>
      <c r="P912" s="379"/>
      <c r="Q912" s="379"/>
      <c r="R912" s="379"/>
      <c r="S912" s="379"/>
      <c r="T912" s="379"/>
      <c r="U912" s="379"/>
      <c r="V912" s="379"/>
      <c r="W912" s="379"/>
      <c r="X912" s="379"/>
      <c r="Y912" s="379"/>
      <c r="Z912" s="379"/>
      <c r="AA912" s="379"/>
      <c r="AB912" s="379"/>
      <c r="AC912" s="379"/>
      <c r="AD912" s="379"/>
      <c r="AE912" s="379"/>
      <c r="AF912" s="379"/>
      <c r="AG912" s="379"/>
      <c r="AH912" s="379"/>
      <c r="AI912" s="379"/>
      <c r="AJ912" s="379"/>
      <c r="AK912" s="379"/>
      <c r="AL912" s="379"/>
      <c r="AM912" s="379"/>
      <c r="AN912" s="379"/>
      <c r="AO912" s="379"/>
      <c r="AP912" s="379"/>
      <c r="AQ912" s="379"/>
      <c r="AR912" s="379"/>
      <c r="AS912" s="379"/>
      <c r="AT912" s="379"/>
      <c r="AU912" s="379"/>
      <c r="AV912" s="379"/>
      <c r="AW912" s="379"/>
      <c r="AX912" s="379"/>
      <c r="AY912" s="379"/>
      <c r="AZ912" s="379"/>
      <c r="BA912" s="379"/>
      <c r="BB912" s="379"/>
      <c r="BC912" s="379"/>
      <c r="BD912" s="379"/>
      <c r="BE912" s="379"/>
      <c r="BF912" s="379"/>
      <c r="BG912" s="379"/>
      <c r="BH912" s="379"/>
      <c r="BI912" s="379"/>
      <c r="BJ912" s="379"/>
      <c r="BK912" s="379"/>
      <c r="BL912" s="379"/>
      <c r="BM912" s="379"/>
      <c r="BN912" s="379"/>
      <c r="BO912" s="379"/>
      <c r="BP912" s="379"/>
      <c r="BQ912" s="379"/>
      <c r="BR912" s="379"/>
      <c r="BS912" s="379"/>
      <c r="BT912" s="379"/>
      <c r="BU912" s="379"/>
      <c r="BV912" s="379"/>
      <c r="BW912" s="379"/>
      <c r="BX912" s="379"/>
      <c r="BY912" s="379"/>
      <c r="BZ912" s="379"/>
      <c r="CA912" s="281"/>
      <c r="CB912" s="3" t="str">
        <f t="shared" si="115"/>
        <v>Riadok bude skrytý.</v>
      </c>
      <c r="CC912" s="271" t="s">
        <v>832</v>
      </c>
      <c r="CW912" s="35">
        <f t="shared" si="118"/>
        <v>1</v>
      </c>
      <c r="CX912" s="30">
        <f t="shared" si="119"/>
        <v>0</v>
      </c>
      <c r="CZ912" s="30">
        <f t="shared" si="110"/>
        <v>1</v>
      </c>
      <c r="DA912" s="52">
        <f t="shared" si="120"/>
        <v>0</v>
      </c>
      <c r="DB912" s="2">
        <f t="shared" si="116"/>
        <v>0</v>
      </c>
      <c r="DS912" s="130">
        <f>SI!BY912</f>
        <v>166</v>
      </c>
      <c r="DZ912" s="131">
        <f>SI!BZ912</f>
        <v>0</v>
      </c>
    </row>
    <row r="913" spans="1:132" hidden="1" x14ac:dyDescent="0.25">
      <c r="A913" s="141"/>
      <c r="B913" s="379"/>
      <c r="C913" s="379"/>
      <c r="D913" s="379"/>
      <c r="E913" s="379"/>
      <c r="F913" s="379"/>
      <c r="G913" s="379"/>
      <c r="H913" s="379"/>
      <c r="I913" s="379"/>
      <c r="J913" s="379"/>
      <c r="K913" s="379"/>
      <c r="L913" s="379"/>
      <c r="M913" s="379"/>
      <c r="N913" s="379"/>
      <c r="O913" s="379"/>
      <c r="P913" s="379"/>
      <c r="Q913" s="379"/>
      <c r="R913" s="379"/>
      <c r="S913" s="379"/>
      <c r="T913" s="379"/>
      <c r="U913" s="379"/>
      <c r="V913" s="379"/>
      <c r="W913" s="379"/>
      <c r="X913" s="379"/>
      <c r="Y913" s="379"/>
      <c r="Z913" s="379"/>
      <c r="AA913" s="379"/>
      <c r="AB913" s="379"/>
      <c r="AC913" s="379"/>
      <c r="AD913" s="379"/>
      <c r="AE913" s="379"/>
      <c r="AF913" s="379"/>
      <c r="AG913" s="379"/>
      <c r="AH913" s="379"/>
      <c r="AI913" s="379"/>
      <c r="AJ913" s="379"/>
      <c r="AK913" s="379"/>
      <c r="AL913" s="379"/>
      <c r="AM913" s="379"/>
      <c r="AN913" s="379"/>
      <c r="AO913" s="379"/>
      <c r="AP913" s="379"/>
      <c r="AQ913" s="379"/>
      <c r="AR913" s="379"/>
      <c r="AS913" s="379"/>
      <c r="AT913" s="379"/>
      <c r="AU913" s="379"/>
      <c r="AV913" s="379"/>
      <c r="AW913" s="379"/>
      <c r="AX913" s="379"/>
      <c r="AY913" s="379"/>
      <c r="AZ913" s="379"/>
      <c r="BA913" s="379"/>
      <c r="BB913" s="379"/>
      <c r="BC913" s="379"/>
      <c r="BD913" s="379"/>
      <c r="BE913" s="379"/>
      <c r="BF913" s="379"/>
      <c r="BG913" s="379"/>
      <c r="BH913" s="379"/>
      <c r="BI913" s="379"/>
      <c r="BJ913" s="379"/>
      <c r="BK913" s="379"/>
      <c r="BL913" s="379"/>
      <c r="BM913" s="379"/>
      <c r="BN913" s="379"/>
      <c r="BO913" s="379"/>
      <c r="BP913" s="379"/>
      <c r="BQ913" s="379"/>
      <c r="BR913" s="379"/>
      <c r="BS913" s="379"/>
      <c r="BT913" s="379"/>
      <c r="BU913" s="379"/>
      <c r="BV913" s="379"/>
      <c r="BW913" s="379"/>
      <c r="BX913" s="379"/>
      <c r="BY913" s="379"/>
      <c r="BZ913" s="379"/>
      <c r="CA913" s="281"/>
      <c r="CB913" s="3" t="str">
        <f t="shared" si="115"/>
        <v>Riadok bude skrytý.</v>
      </c>
      <c r="CC913" s="271" t="s">
        <v>832</v>
      </c>
      <c r="CW913" s="35">
        <f t="shared" si="118"/>
        <v>1</v>
      </c>
      <c r="CX913" s="30">
        <f t="shared" si="119"/>
        <v>0</v>
      </c>
      <c r="CZ913" s="30">
        <f t="shared" si="110"/>
        <v>1</v>
      </c>
      <c r="DA913" s="52">
        <f t="shared" si="120"/>
        <v>0</v>
      </c>
      <c r="DB913" s="2">
        <f t="shared" si="116"/>
        <v>0</v>
      </c>
      <c r="DS913" s="130">
        <f>SI!BY913</f>
        <v>131</v>
      </c>
      <c r="DZ913" s="131">
        <f>SI!BZ913</f>
        <v>0</v>
      </c>
    </row>
    <row r="914" spans="1:132" hidden="1" x14ac:dyDescent="0.25">
      <c r="A914" s="141"/>
      <c r="B914" s="379"/>
      <c r="C914" s="379"/>
      <c r="D914" s="379"/>
      <c r="E914" s="379"/>
      <c r="F914" s="379"/>
      <c r="G914" s="379"/>
      <c r="H914" s="379"/>
      <c r="I914" s="379"/>
      <c r="J914" s="379"/>
      <c r="K914" s="379"/>
      <c r="L914" s="379"/>
      <c r="M914" s="379"/>
      <c r="N914" s="379"/>
      <c r="O914" s="379"/>
      <c r="P914" s="379"/>
      <c r="Q914" s="379"/>
      <c r="R914" s="379"/>
      <c r="S914" s="379"/>
      <c r="T914" s="379"/>
      <c r="U914" s="379"/>
      <c r="V914" s="379"/>
      <c r="W914" s="379"/>
      <c r="X914" s="379"/>
      <c r="Y914" s="379"/>
      <c r="Z914" s="379"/>
      <c r="AA914" s="379"/>
      <c r="AB914" s="379"/>
      <c r="AC914" s="379"/>
      <c r="AD914" s="379"/>
      <c r="AE914" s="379"/>
      <c r="AF914" s="379"/>
      <c r="AG914" s="379"/>
      <c r="AH914" s="379"/>
      <c r="AI914" s="379"/>
      <c r="AJ914" s="379"/>
      <c r="AK914" s="379"/>
      <c r="AL914" s="379"/>
      <c r="AM914" s="379"/>
      <c r="AN914" s="379"/>
      <c r="AO914" s="379"/>
      <c r="AP914" s="379"/>
      <c r="AQ914" s="379"/>
      <c r="AR914" s="379"/>
      <c r="AS914" s="379"/>
      <c r="AT914" s="379"/>
      <c r="AU914" s="379"/>
      <c r="AV914" s="379"/>
      <c r="AW914" s="379"/>
      <c r="AX914" s="379"/>
      <c r="AY914" s="379"/>
      <c r="AZ914" s="379"/>
      <c r="BA914" s="379"/>
      <c r="BB914" s="379"/>
      <c r="BC914" s="379"/>
      <c r="BD914" s="379"/>
      <c r="BE914" s="379"/>
      <c r="BF914" s="379"/>
      <c r="BG914" s="379"/>
      <c r="BH914" s="379"/>
      <c r="BI914" s="379"/>
      <c r="BJ914" s="379"/>
      <c r="BK914" s="379"/>
      <c r="BL914" s="379"/>
      <c r="BM914" s="379"/>
      <c r="BN914" s="379"/>
      <c r="BO914" s="379"/>
      <c r="BP914" s="379"/>
      <c r="BQ914" s="379"/>
      <c r="BR914" s="379"/>
      <c r="BS914" s="379"/>
      <c r="BT914" s="379"/>
      <c r="BU914" s="379"/>
      <c r="BV914" s="379"/>
      <c r="BW914" s="379"/>
      <c r="BX914" s="379"/>
      <c r="BY914" s="379"/>
      <c r="BZ914" s="379"/>
      <c r="CA914" s="281"/>
      <c r="CB914" s="3" t="str">
        <f t="shared" si="115"/>
        <v>Riadok bude skrytý.</v>
      </c>
      <c r="CC914" s="271" t="s">
        <v>832</v>
      </c>
      <c r="CW914" s="35">
        <f t="shared" si="118"/>
        <v>1</v>
      </c>
      <c r="CX914" s="30">
        <f t="shared" si="119"/>
        <v>0</v>
      </c>
      <c r="CZ914" s="30">
        <f t="shared" si="110"/>
        <v>1</v>
      </c>
      <c r="DA914" s="52">
        <f t="shared" si="120"/>
        <v>0</v>
      </c>
      <c r="DB914" s="2">
        <f t="shared" si="116"/>
        <v>0</v>
      </c>
      <c r="DS914" s="130">
        <f>SI!BY914</f>
        <v>142</v>
      </c>
      <c r="DZ914" s="131">
        <f>SI!BZ914</f>
        <v>0</v>
      </c>
    </row>
    <row r="915" spans="1:132" hidden="1" x14ac:dyDescent="0.25">
      <c r="A915" s="141"/>
      <c r="B915" s="379"/>
      <c r="C915" s="379"/>
      <c r="D915" s="379"/>
      <c r="E915" s="379"/>
      <c r="F915" s="379"/>
      <c r="G915" s="379"/>
      <c r="H915" s="379"/>
      <c r="I915" s="379"/>
      <c r="J915" s="379"/>
      <c r="K915" s="379"/>
      <c r="L915" s="379"/>
      <c r="M915" s="379"/>
      <c r="N915" s="379"/>
      <c r="O915" s="379"/>
      <c r="P915" s="379"/>
      <c r="Q915" s="379"/>
      <c r="R915" s="379"/>
      <c r="S915" s="379"/>
      <c r="T915" s="379"/>
      <c r="U915" s="379"/>
      <c r="V915" s="379"/>
      <c r="W915" s="379"/>
      <c r="X915" s="379"/>
      <c r="Y915" s="379"/>
      <c r="Z915" s="379"/>
      <c r="AA915" s="379"/>
      <c r="AB915" s="379"/>
      <c r="AC915" s="379"/>
      <c r="AD915" s="379"/>
      <c r="AE915" s="379"/>
      <c r="AF915" s="379"/>
      <c r="AG915" s="379"/>
      <c r="AH915" s="379"/>
      <c r="AI915" s="379"/>
      <c r="AJ915" s="379"/>
      <c r="AK915" s="379"/>
      <c r="AL915" s="379"/>
      <c r="AM915" s="379"/>
      <c r="AN915" s="379"/>
      <c r="AO915" s="379"/>
      <c r="AP915" s="379"/>
      <c r="AQ915" s="379"/>
      <c r="AR915" s="379"/>
      <c r="AS915" s="379"/>
      <c r="AT915" s="379"/>
      <c r="AU915" s="379"/>
      <c r="AV915" s="379"/>
      <c r="AW915" s="379"/>
      <c r="AX915" s="379"/>
      <c r="AY915" s="379"/>
      <c r="AZ915" s="379"/>
      <c r="BA915" s="379"/>
      <c r="BB915" s="379"/>
      <c r="BC915" s="379"/>
      <c r="BD915" s="379"/>
      <c r="BE915" s="379"/>
      <c r="BF915" s="379"/>
      <c r="BG915" s="379"/>
      <c r="BH915" s="379"/>
      <c r="BI915" s="379"/>
      <c r="BJ915" s="379"/>
      <c r="BK915" s="379"/>
      <c r="BL915" s="379"/>
      <c r="BM915" s="379"/>
      <c r="BN915" s="379"/>
      <c r="BO915" s="379"/>
      <c r="BP915" s="379"/>
      <c r="BQ915" s="379"/>
      <c r="BR915" s="379"/>
      <c r="BS915" s="379"/>
      <c r="BT915" s="379"/>
      <c r="BU915" s="379"/>
      <c r="BV915" s="379"/>
      <c r="BW915" s="379"/>
      <c r="BX915" s="379"/>
      <c r="BY915" s="379"/>
      <c r="BZ915" s="379"/>
      <c r="CA915" s="281"/>
      <c r="CB915" s="3" t="str">
        <f t="shared" si="115"/>
        <v>Riadok bude skrytý.</v>
      </c>
      <c r="CC915" s="271" t="s">
        <v>832</v>
      </c>
      <c r="CW915" s="35">
        <f t="shared" si="118"/>
        <v>1</v>
      </c>
      <c r="CX915" s="30">
        <f t="shared" si="119"/>
        <v>0</v>
      </c>
      <c r="CZ915" s="30">
        <f t="shared" si="110"/>
        <v>1</v>
      </c>
      <c r="DA915" s="52">
        <f t="shared" si="120"/>
        <v>0</v>
      </c>
      <c r="DB915" s="2">
        <f t="shared" si="116"/>
        <v>0</v>
      </c>
      <c r="DS915" s="130">
        <f>SI!BY915</f>
        <v>114</v>
      </c>
      <c r="DZ915" s="131">
        <f>SI!BZ915</f>
        <v>0</v>
      </c>
    </row>
    <row r="916" spans="1:132" hidden="1" x14ac:dyDescent="0.25">
      <c r="A916" s="141"/>
      <c r="B916" s="379"/>
      <c r="C916" s="379"/>
      <c r="D916" s="379"/>
      <c r="E916" s="379"/>
      <c r="F916" s="379"/>
      <c r="G916" s="379"/>
      <c r="H916" s="379"/>
      <c r="I916" s="379"/>
      <c r="J916" s="379"/>
      <c r="K916" s="379"/>
      <c r="L916" s="379"/>
      <c r="M916" s="379"/>
      <c r="N916" s="379"/>
      <c r="O916" s="379"/>
      <c r="P916" s="379"/>
      <c r="Q916" s="379"/>
      <c r="R916" s="379"/>
      <c r="S916" s="379"/>
      <c r="T916" s="379"/>
      <c r="U916" s="379"/>
      <c r="V916" s="379"/>
      <c r="W916" s="379"/>
      <c r="X916" s="379"/>
      <c r="Y916" s="379"/>
      <c r="Z916" s="379"/>
      <c r="AA916" s="379"/>
      <c r="AB916" s="379"/>
      <c r="AC916" s="379"/>
      <c r="AD916" s="379"/>
      <c r="AE916" s="379"/>
      <c r="AF916" s="379"/>
      <c r="AG916" s="379"/>
      <c r="AH916" s="379"/>
      <c r="AI916" s="379"/>
      <c r="AJ916" s="379"/>
      <c r="AK916" s="379"/>
      <c r="AL916" s="379"/>
      <c r="AM916" s="379"/>
      <c r="AN916" s="379"/>
      <c r="AO916" s="379"/>
      <c r="AP916" s="379"/>
      <c r="AQ916" s="379"/>
      <c r="AR916" s="379"/>
      <c r="AS916" s="379"/>
      <c r="AT916" s="379"/>
      <c r="AU916" s="379"/>
      <c r="AV916" s="379"/>
      <c r="AW916" s="379"/>
      <c r="AX916" s="379"/>
      <c r="AY916" s="379"/>
      <c r="AZ916" s="379"/>
      <c r="BA916" s="379"/>
      <c r="BB916" s="379"/>
      <c r="BC916" s="379"/>
      <c r="BD916" s="379"/>
      <c r="BE916" s="379"/>
      <c r="BF916" s="379"/>
      <c r="BG916" s="379"/>
      <c r="BH916" s="379"/>
      <c r="BI916" s="379"/>
      <c r="BJ916" s="379"/>
      <c r="BK916" s="379"/>
      <c r="BL916" s="379"/>
      <c r="BM916" s="379"/>
      <c r="BN916" s="379"/>
      <c r="BO916" s="379"/>
      <c r="BP916" s="379"/>
      <c r="BQ916" s="379"/>
      <c r="BR916" s="379"/>
      <c r="BS916" s="379"/>
      <c r="BT916" s="379"/>
      <c r="BU916" s="379"/>
      <c r="BV916" s="379"/>
      <c r="BW916" s="379"/>
      <c r="BX916" s="379"/>
      <c r="BY916" s="379"/>
      <c r="BZ916" s="379"/>
      <c r="CA916" s="281"/>
      <c r="CB916" s="3" t="str">
        <f t="shared" si="115"/>
        <v>Riadok bude skrytý.</v>
      </c>
      <c r="CC916" s="271" t="s">
        <v>832</v>
      </c>
      <c r="CW916" s="35">
        <f t="shared" si="118"/>
        <v>1</v>
      </c>
      <c r="CX916" s="30">
        <f t="shared" si="119"/>
        <v>0</v>
      </c>
      <c r="CZ916" s="30">
        <f t="shared" ref="CZ916:CZ983" si="121">IF(CC916="",1,IF(CC916="Chcem skryť riadok.",0,1))</f>
        <v>1</v>
      </c>
      <c r="DA916" s="52">
        <f t="shared" si="120"/>
        <v>0</v>
      </c>
      <c r="DB916" s="2">
        <f t="shared" si="116"/>
        <v>0</v>
      </c>
      <c r="DS916" s="130">
        <f>SI!BY916</f>
        <v>186</v>
      </c>
      <c r="DZ916" s="131">
        <f>SI!BZ916</f>
        <v>0</v>
      </c>
    </row>
    <row r="917" spans="1:132" hidden="1" x14ac:dyDescent="0.25">
      <c r="A917" s="141"/>
      <c r="B917" s="379"/>
      <c r="C917" s="379"/>
      <c r="D917" s="379"/>
      <c r="E917" s="379"/>
      <c r="F917" s="379"/>
      <c r="G917" s="379"/>
      <c r="H917" s="379"/>
      <c r="I917" s="379"/>
      <c r="J917" s="379"/>
      <c r="K917" s="379"/>
      <c r="L917" s="379"/>
      <c r="M917" s="379"/>
      <c r="N917" s="379"/>
      <c r="O917" s="379"/>
      <c r="P917" s="379"/>
      <c r="Q917" s="379"/>
      <c r="R917" s="379"/>
      <c r="S917" s="379"/>
      <c r="T917" s="379"/>
      <c r="U917" s="379"/>
      <c r="V917" s="379"/>
      <c r="W917" s="379"/>
      <c r="X917" s="379"/>
      <c r="Y917" s="379"/>
      <c r="Z917" s="379"/>
      <c r="AA917" s="379"/>
      <c r="AB917" s="379"/>
      <c r="AC917" s="379"/>
      <c r="AD917" s="379"/>
      <c r="AE917" s="379"/>
      <c r="AF917" s="379"/>
      <c r="AG917" s="379"/>
      <c r="AH917" s="379"/>
      <c r="AI917" s="379"/>
      <c r="AJ917" s="379"/>
      <c r="AK917" s="379"/>
      <c r="AL917" s="379"/>
      <c r="AM917" s="379"/>
      <c r="AN917" s="379"/>
      <c r="AO917" s="379"/>
      <c r="AP917" s="379"/>
      <c r="AQ917" s="379"/>
      <c r="AR917" s="379"/>
      <c r="AS917" s="379"/>
      <c r="AT917" s="379"/>
      <c r="AU917" s="379"/>
      <c r="AV917" s="379"/>
      <c r="AW917" s="379"/>
      <c r="AX917" s="379"/>
      <c r="AY917" s="379"/>
      <c r="AZ917" s="379"/>
      <c r="BA917" s="379"/>
      <c r="BB917" s="379"/>
      <c r="BC917" s="379"/>
      <c r="BD917" s="379"/>
      <c r="BE917" s="379"/>
      <c r="BF917" s="379"/>
      <c r="BG917" s="379"/>
      <c r="BH917" s="379"/>
      <c r="BI917" s="379"/>
      <c r="BJ917" s="379"/>
      <c r="BK917" s="379"/>
      <c r="BL917" s="379"/>
      <c r="BM917" s="379"/>
      <c r="BN917" s="379"/>
      <c r="BO917" s="379"/>
      <c r="BP917" s="379"/>
      <c r="BQ917" s="379"/>
      <c r="BR917" s="379"/>
      <c r="BS917" s="379"/>
      <c r="BT917" s="379"/>
      <c r="BU917" s="379"/>
      <c r="BV917" s="379"/>
      <c r="BW917" s="379"/>
      <c r="BX917" s="379"/>
      <c r="BY917" s="379"/>
      <c r="BZ917" s="379"/>
      <c r="CA917" s="281"/>
      <c r="CB917" s="3" t="str">
        <f t="shared" si="115"/>
        <v>Riadok bude skrytý.</v>
      </c>
      <c r="CC917" s="271" t="s">
        <v>832</v>
      </c>
      <c r="CW917" s="35">
        <f t="shared" si="118"/>
        <v>1</v>
      </c>
      <c r="CX917" s="30">
        <f t="shared" si="119"/>
        <v>0</v>
      </c>
      <c r="CZ917" s="30">
        <f t="shared" si="121"/>
        <v>1</v>
      </c>
      <c r="DA917" s="52">
        <f t="shared" si="120"/>
        <v>0</v>
      </c>
      <c r="DB917" s="2">
        <f t="shared" si="116"/>
        <v>0</v>
      </c>
      <c r="DS917" s="130">
        <f>SI!BY917</f>
        <v>141</v>
      </c>
      <c r="DZ917" s="131">
        <f>SI!BZ917</f>
        <v>0</v>
      </c>
    </row>
    <row r="918" spans="1:132" hidden="1" x14ac:dyDescent="0.25">
      <c r="A918" s="141"/>
      <c r="B918" s="379"/>
      <c r="C918" s="379"/>
      <c r="D918" s="379"/>
      <c r="E918" s="379"/>
      <c r="F918" s="379"/>
      <c r="G918" s="379"/>
      <c r="H918" s="379"/>
      <c r="I918" s="379"/>
      <c r="J918" s="379"/>
      <c r="K918" s="379"/>
      <c r="L918" s="379"/>
      <c r="M918" s="379"/>
      <c r="N918" s="379"/>
      <c r="O918" s="379"/>
      <c r="P918" s="379"/>
      <c r="Q918" s="379"/>
      <c r="R918" s="379"/>
      <c r="S918" s="379"/>
      <c r="T918" s="379"/>
      <c r="U918" s="379"/>
      <c r="V918" s="379"/>
      <c r="W918" s="379"/>
      <c r="X918" s="379"/>
      <c r="Y918" s="379"/>
      <c r="Z918" s="379"/>
      <c r="AA918" s="379"/>
      <c r="AB918" s="379"/>
      <c r="AC918" s="379"/>
      <c r="AD918" s="379"/>
      <c r="AE918" s="379"/>
      <c r="AF918" s="379"/>
      <c r="AG918" s="379"/>
      <c r="AH918" s="379"/>
      <c r="AI918" s="379"/>
      <c r="AJ918" s="379"/>
      <c r="AK918" s="379"/>
      <c r="AL918" s="379"/>
      <c r="AM918" s="379"/>
      <c r="AN918" s="379"/>
      <c r="AO918" s="379"/>
      <c r="AP918" s="379"/>
      <c r="AQ918" s="379"/>
      <c r="AR918" s="379"/>
      <c r="AS918" s="379"/>
      <c r="AT918" s="379"/>
      <c r="AU918" s="379"/>
      <c r="AV918" s="379"/>
      <c r="AW918" s="379"/>
      <c r="AX918" s="379"/>
      <c r="AY918" s="379"/>
      <c r="AZ918" s="379"/>
      <c r="BA918" s="379"/>
      <c r="BB918" s="379"/>
      <c r="BC918" s="379"/>
      <c r="BD918" s="379"/>
      <c r="BE918" s="379"/>
      <c r="BF918" s="379"/>
      <c r="BG918" s="379"/>
      <c r="BH918" s="379"/>
      <c r="BI918" s="379"/>
      <c r="BJ918" s="379"/>
      <c r="BK918" s="379"/>
      <c r="BL918" s="379"/>
      <c r="BM918" s="379"/>
      <c r="BN918" s="379"/>
      <c r="BO918" s="379"/>
      <c r="BP918" s="379"/>
      <c r="BQ918" s="379"/>
      <c r="BR918" s="379"/>
      <c r="BS918" s="379"/>
      <c r="BT918" s="379"/>
      <c r="BU918" s="379"/>
      <c r="BV918" s="379"/>
      <c r="BW918" s="379"/>
      <c r="BX918" s="379"/>
      <c r="BY918" s="379"/>
      <c r="BZ918" s="379"/>
      <c r="CA918" s="281"/>
      <c r="CB918" s="3" t="str">
        <f t="shared" si="115"/>
        <v>Riadok bude skrytý.</v>
      </c>
      <c r="CC918" s="271" t="s">
        <v>832</v>
      </c>
      <c r="CW918" s="35">
        <f t="shared" si="118"/>
        <v>1</v>
      </c>
      <c r="CX918" s="30">
        <f t="shared" si="119"/>
        <v>0</v>
      </c>
      <c r="CZ918" s="30">
        <f t="shared" si="121"/>
        <v>1</v>
      </c>
      <c r="DA918" s="52">
        <f t="shared" si="120"/>
        <v>0</v>
      </c>
      <c r="DB918" s="2">
        <f t="shared" si="116"/>
        <v>0</v>
      </c>
      <c r="DS918" s="130">
        <f>SI!BY918</f>
        <v>193</v>
      </c>
      <c r="DZ918" s="131">
        <f>SI!BZ918</f>
        <v>0</v>
      </c>
    </row>
    <row r="919" spans="1:132" hidden="1" x14ac:dyDescent="0.25">
      <c r="A919" s="141"/>
      <c r="B919" s="379"/>
      <c r="C919" s="379"/>
      <c r="D919" s="379"/>
      <c r="E919" s="379"/>
      <c r="F919" s="379"/>
      <c r="G919" s="379"/>
      <c r="H919" s="379"/>
      <c r="I919" s="379"/>
      <c r="J919" s="379"/>
      <c r="K919" s="379"/>
      <c r="L919" s="379"/>
      <c r="M919" s="379"/>
      <c r="N919" s="379"/>
      <c r="O919" s="379"/>
      <c r="P919" s="379"/>
      <c r="Q919" s="379"/>
      <c r="R919" s="379"/>
      <c r="S919" s="379"/>
      <c r="T919" s="379"/>
      <c r="U919" s="379"/>
      <c r="V919" s="379"/>
      <c r="W919" s="379"/>
      <c r="X919" s="379"/>
      <c r="Y919" s="379"/>
      <c r="Z919" s="379"/>
      <c r="AA919" s="379"/>
      <c r="AB919" s="379"/>
      <c r="AC919" s="379"/>
      <c r="AD919" s="379"/>
      <c r="AE919" s="379"/>
      <c r="AF919" s="379"/>
      <c r="AG919" s="379"/>
      <c r="AH919" s="379"/>
      <c r="AI919" s="379"/>
      <c r="AJ919" s="379"/>
      <c r="AK919" s="379"/>
      <c r="AL919" s="379"/>
      <c r="AM919" s="379"/>
      <c r="AN919" s="379"/>
      <c r="AO919" s="379"/>
      <c r="AP919" s="379"/>
      <c r="AQ919" s="379"/>
      <c r="AR919" s="379"/>
      <c r="AS919" s="379"/>
      <c r="AT919" s="379"/>
      <c r="AU919" s="379"/>
      <c r="AV919" s="379"/>
      <c r="AW919" s="379"/>
      <c r="AX919" s="379"/>
      <c r="AY919" s="379"/>
      <c r="AZ919" s="379"/>
      <c r="BA919" s="379"/>
      <c r="BB919" s="379"/>
      <c r="BC919" s="379"/>
      <c r="BD919" s="379"/>
      <c r="BE919" s="379"/>
      <c r="BF919" s="379"/>
      <c r="BG919" s="379"/>
      <c r="BH919" s="379"/>
      <c r="BI919" s="379"/>
      <c r="BJ919" s="379"/>
      <c r="BK919" s="379"/>
      <c r="BL919" s="379"/>
      <c r="BM919" s="379"/>
      <c r="BN919" s="379"/>
      <c r="BO919" s="379"/>
      <c r="BP919" s="379"/>
      <c r="BQ919" s="379"/>
      <c r="BR919" s="379"/>
      <c r="BS919" s="379"/>
      <c r="BT919" s="379"/>
      <c r="BU919" s="379"/>
      <c r="BV919" s="379"/>
      <c r="BW919" s="379"/>
      <c r="BX919" s="379"/>
      <c r="BY919" s="379"/>
      <c r="BZ919" s="379"/>
      <c r="CA919" s="281"/>
      <c r="CB919" s="3" t="str">
        <f t="shared" si="115"/>
        <v>Riadok bude skrytý.</v>
      </c>
      <c r="CC919" s="271" t="s">
        <v>832</v>
      </c>
      <c r="CW919" s="35">
        <f t="shared" si="118"/>
        <v>1</v>
      </c>
      <c r="CX919" s="30">
        <f t="shared" si="119"/>
        <v>0</v>
      </c>
      <c r="CZ919" s="30">
        <f t="shared" si="121"/>
        <v>1</v>
      </c>
      <c r="DA919" s="52">
        <f t="shared" si="120"/>
        <v>0</v>
      </c>
      <c r="DB919" s="2">
        <f t="shared" si="116"/>
        <v>0</v>
      </c>
      <c r="DS919" s="130">
        <f>SI!BY919</f>
        <v>138</v>
      </c>
      <c r="DZ919" s="131">
        <f>SI!BZ919</f>
        <v>0</v>
      </c>
    </row>
    <row r="920" spans="1:132" hidden="1" x14ac:dyDescent="0.25">
      <c r="A920" s="141"/>
      <c r="B920" s="379"/>
      <c r="C920" s="379"/>
      <c r="D920" s="379"/>
      <c r="E920" s="379"/>
      <c r="F920" s="379"/>
      <c r="G920" s="379"/>
      <c r="H920" s="379"/>
      <c r="I920" s="379"/>
      <c r="J920" s="379"/>
      <c r="K920" s="379"/>
      <c r="L920" s="379"/>
      <c r="M920" s="379"/>
      <c r="N920" s="379"/>
      <c r="O920" s="379"/>
      <c r="P920" s="379"/>
      <c r="Q920" s="379"/>
      <c r="R920" s="379"/>
      <c r="S920" s="379"/>
      <c r="T920" s="379"/>
      <c r="U920" s="379"/>
      <c r="V920" s="379"/>
      <c r="W920" s="379"/>
      <c r="X920" s="379"/>
      <c r="Y920" s="379"/>
      <c r="Z920" s="379"/>
      <c r="AA920" s="379"/>
      <c r="AB920" s="379"/>
      <c r="AC920" s="379"/>
      <c r="AD920" s="379"/>
      <c r="AE920" s="379"/>
      <c r="AF920" s="379"/>
      <c r="AG920" s="379"/>
      <c r="AH920" s="379"/>
      <c r="AI920" s="379"/>
      <c r="AJ920" s="379"/>
      <c r="AK920" s="379"/>
      <c r="AL920" s="379"/>
      <c r="AM920" s="379"/>
      <c r="AN920" s="379"/>
      <c r="AO920" s="379"/>
      <c r="AP920" s="379"/>
      <c r="AQ920" s="379"/>
      <c r="AR920" s="379"/>
      <c r="AS920" s="379"/>
      <c r="AT920" s="379"/>
      <c r="AU920" s="379"/>
      <c r="AV920" s="379"/>
      <c r="AW920" s="379"/>
      <c r="AX920" s="379"/>
      <c r="AY920" s="379"/>
      <c r="AZ920" s="379"/>
      <c r="BA920" s="379"/>
      <c r="BB920" s="379"/>
      <c r="BC920" s="379"/>
      <c r="BD920" s="379"/>
      <c r="BE920" s="379"/>
      <c r="BF920" s="379"/>
      <c r="BG920" s="379"/>
      <c r="BH920" s="379"/>
      <c r="BI920" s="379"/>
      <c r="BJ920" s="379"/>
      <c r="BK920" s="379"/>
      <c r="BL920" s="379"/>
      <c r="BM920" s="379"/>
      <c r="BN920" s="379"/>
      <c r="BO920" s="379"/>
      <c r="BP920" s="379"/>
      <c r="BQ920" s="379"/>
      <c r="BR920" s="379"/>
      <c r="BS920" s="379"/>
      <c r="BT920" s="379"/>
      <c r="BU920" s="379"/>
      <c r="BV920" s="379"/>
      <c r="BW920" s="379"/>
      <c r="BX920" s="379"/>
      <c r="BY920" s="379"/>
      <c r="BZ920" s="379"/>
      <c r="CA920" s="281"/>
      <c r="CB920" s="3" t="str">
        <f t="shared" si="115"/>
        <v>Riadok bude skrytý.</v>
      </c>
      <c r="CC920" s="271" t="s">
        <v>832</v>
      </c>
      <c r="CW920" s="35">
        <f t="shared" si="118"/>
        <v>1</v>
      </c>
      <c r="CX920" s="30">
        <f t="shared" si="119"/>
        <v>0</v>
      </c>
      <c r="CZ920" s="30">
        <f t="shared" si="121"/>
        <v>1</v>
      </c>
      <c r="DA920" s="52">
        <f t="shared" si="120"/>
        <v>0</v>
      </c>
      <c r="DB920" s="2">
        <f t="shared" si="116"/>
        <v>0</v>
      </c>
      <c r="DS920" s="130">
        <f>SI!BY920</f>
        <v>138</v>
      </c>
      <c r="DZ920" s="131">
        <f>SI!BZ920</f>
        <v>0</v>
      </c>
    </row>
    <row r="921" spans="1:132" hidden="1" x14ac:dyDescent="0.25">
      <c r="A921" s="141"/>
      <c r="B921" s="379"/>
      <c r="C921" s="379"/>
      <c r="D921" s="379"/>
      <c r="E921" s="379"/>
      <c r="F921" s="379"/>
      <c r="G921" s="379"/>
      <c r="H921" s="379"/>
      <c r="I921" s="379"/>
      <c r="J921" s="379"/>
      <c r="K921" s="379"/>
      <c r="L921" s="379"/>
      <c r="M921" s="379"/>
      <c r="N921" s="379"/>
      <c r="O921" s="379"/>
      <c r="P921" s="379"/>
      <c r="Q921" s="379"/>
      <c r="R921" s="379"/>
      <c r="S921" s="379"/>
      <c r="T921" s="379"/>
      <c r="U921" s="379"/>
      <c r="V921" s="379"/>
      <c r="W921" s="379"/>
      <c r="X921" s="379"/>
      <c r="Y921" s="379"/>
      <c r="Z921" s="379"/>
      <c r="AA921" s="379"/>
      <c r="AB921" s="379"/>
      <c r="AC921" s="379"/>
      <c r="AD921" s="379"/>
      <c r="AE921" s="379"/>
      <c r="AF921" s="379"/>
      <c r="AG921" s="379"/>
      <c r="AH921" s="379"/>
      <c r="AI921" s="379"/>
      <c r="AJ921" s="379"/>
      <c r="AK921" s="379"/>
      <c r="AL921" s="379"/>
      <c r="AM921" s="379"/>
      <c r="AN921" s="379"/>
      <c r="AO921" s="379"/>
      <c r="AP921" s="379"/>
      <c r="AQ921" s="379"/>
      <c r="AR921" s="379"/>
      <c r="AS921" s="379"/>
      <c r="AT921" s="379"/>
      <c r="AU921" s="379"/>
      <c r="AV921" s="379"/>
      <c r="AW921" s="379"/>
      <c r="AX921" s="379"/>
      <c r="AY921" s="379"/>
      <c r="AZ921" s="379"/>
      <c r="BA921" s="379"/>
      <c r="BB921" s="379"/>
      <c r="BC921" s="379"/>
      <c r="BD921" s="379"/>
      <c r="BE921" s="379"/>
      <c r="BF921" s="379"/>
      <c r="BG921" s="379"/>
      <c r="BH921" s="379"/>
      <c r="BI921" s="379"/>
      <c r="BJ921" s="379"/>
      <c r="BK921" s="379"/>
      <c r="BL921" s="379"/>
      <c r="BM921" s="379"/>
      <c r="BN921" s="379"/>
      <c r="BO921" s="379"/>
      <c r="BP921" s="379"/>
      <c r="BQ921" s="379"/>
      <c r="BR921" s="379"/>
      <c r="BS921" s="379"/>
      <c r="BT921" s="379"/>
      <c r="BU921" s="379"/>
      <c r="BV921" s="379"/>
      <c r="BW921" s="379"/>
      <c r="BX921" s="379"/>
      <c r="BY921" s="379"/>
      <c r="BZ921" s="379"/>
      <c r="CA921" s="281"/>
      <c r="CB921" s="3" t="str">
        <f t="shared" si="115"/>
        <v>Riadok bude skrytý.</v>
      </c>
      <c r="CC921" s="271" t="s">
        <v>832</v>
      </c>
      <c r="CW921" s="35">
        <f t="shared" si="118"/>
        <v>1</v>
      </c>
      <c r="CX921" s="30">
        <f t="shared" si="119"/>
        <v>0</v>
      </c>
      <c r="CZ921" s="30">
        <f t="shared" si="121"/>
        <v>1</v>
      </c>
      <c r="DA921" s="52">
        <f t="shared" si="120"/>
        <v>0</v>
      </c>
      <c r="DB921" s="2">
        <f t="shared" si="116"/>
        <v>0</v>
      </c>
      <c r="DS921" s="130">
        <f>SI!BY921</f>
        <v>136</v>
      </c>
      <c r="DZ921" s="131">
        <f>SI!BZ921</f>
        <v>0</v>
      </c>
    </row>
    <row r="922" spans="1:132" s="14" customFormat="1" hidden="1" x14ac:dyDescent="0.25">
      <c r="A922" s="290"/>
      <c r="B922" s="286"/>
      <c r="C922" s="37"/>
      <c r="D922" s="37"/>
      <c r="E922" s="37"/>
      <c r="F922" s="37"/>
      <c r="G922" s="38"/>
      <c r="H922" s="38"/>
      <c r="I922" s="38"/>
      <c r="J922" s="38"/>
      <c r="K922" s="38"/>
      <c r="L922" s="38"/>
      <c r="M922" s="38"/>
      <c r="N922" s="38"/>
      <c r="AM922" s="37"/>
      <c r="AN922" s="37"/>
      <c r="AO922" s="37"/>
      <c r="AP922" s="38"/>
      <c r="AQ922" s="38"/>
      <c r="AR922" s="38"/>
      <c r="AS922" s="38"/>
      <c r="AT922" s="38"/>
      <c r="AU922" s="38"/>
      <c r="AV922" s="38"/>
      <c r="AW922" s="38"/>
      <c r="AZ922" s="37"/>
      <c r="BA922" s="37"/>
      <c r="BB922" s="37"/>
      <c r="BC922" s="37"/>
      <c r="BD922" s="38"/>
      <c r="BE922" s="38"/>
      <c r="BF922" s="38"/>
      <c r="BG922" s="38"/>
      <c r="BH922" s="38"/>
      <c r="BI922" s="38"/>
      <c r="BJ922" s="38"/>
      <c r="CA922" s="291"/>
      <c r="CB922" s="3" t="str">
        <f t="shared" si="115"/>
        <v>Riadok bude skrytý.</v>
      </c>
      <c r="CC922" s="271" t="s">
        <v>832</v>
      </c>
      <c r="CW922" s="35">
        <f t="shared" si="118"/>
        <v>1</v>
      </c>
      <c r="CX922" s="30">
        <f>+IF(B921="",0,1)</f>
        <v>0</v>
      </c>
      <c r="CY922" s="30"/>
      <c r="CZ922" s="30">
        <f t="shared" si="121"/>
        <v>1</v>
      </c>
      <c r="DA922" s="30">
        <f t="shared" si="117"/>
        <v>1</v>
      </c>
      <c r="DB922" s="2">
        <f t="shared" si="116"/>
        <v>0</v>
      </c>
      <c r="DR922" s="76"/>
      <c r="DS922" s="130">
        <f>SI!BY922</f>
        <v>145</v>
      </c>
      <c r="DT922" s="130"/>
      <c r="DU922" s="130"/>
      <c r="DV922" s="130"/>
      <c r="DW922" s="130"/>
      <c r="DX922" s="130"/>
      <c r="DY922" s="130"/>
      <c r="DZ922" s="131">
        <f>SI!BZ922</f>
        <v>0</v>
      </c>
      <c r="EA922" s="76"/>
      <c r="EB922" s="76"/>
    </row>
    <row r="923" spans="1:132" s="14" customFormat="1" hidden="1" x14ac:dyDescent="0.25">
      <c r="A923" s="290"/>
      <c r="B923" s="286" t="str">
        <f>+IF(J900="eviduje","Prehľad pohybu dlhodobého nehmotného majetku je uvedený v nasledujúcich tabuľkách:","")</f>
        <v>Prehľad pohybu dlhodobého nehmotného majetku je uvedený v nasledujúcich tabuľkách:</v>
      </c>
      <c r="C923" s="37"/>
      <c r="D923" s="37"/>
      <c r="E923" s="37"/>
      <c r="F923" s="37"/>
      <c r="G923" s="38"/>
      <c r="H923" s="38"/>
      <c r="I923" s="38"/>
      <c r="J923" s="38"/>
      <c r="K923" s="38"/>
      <c r="L923" s="38"/>
      <c r="M923" s="38"/>
      <c r="N923" s="38"/>
      <c r="AM923" s="37"/>
      <c r="AN923" s="37"/>
      <c r="AO923" s="37"/>
      <c r="AP923" s="38"/>
      <c r="AQ923" s="38"/>
      <c r="AR923" s="38"/>
      <c r="AS923" s="38"/>
      <c r="AT923" s="38"/>
      <c r="AU923" s="38"/>
      <c r="AV923" s="38"/>
      <c r="AW923" s="38"/>
      <c r="AZ923" s="37"/>
      <c r="BA923" s="37"/>
      <c r="BB923" s="37"/>
      <c r="BC923" s="37"/>
      <c r="BD923" s="38"/>
      <c r="BE923" s="38"/>
      <c r="BF923" s="38"/>
      <c r="BG923" s="38"/>
      <c r="BH923" s="38"/>
      <c r="BI923" s="38"/>
      <c r="BJ923" s="38"/>
      <c r="CA923" s="265" t="s">
        <v>773</v>
      </c>
      <c r="CB923" s="3" t="str">
        <f t="shared" si="115"/>
        <v>Riadok bude skrytý.</v>
      </c>
      <c r="CC923" s="271" t="s">
        <v>832</v>
      </c>
      <c r="CW923" s="35">
        <f t="shared" si="118"/>
        <v>1</v>
      </c>
      <c r="CX923" s="30"/>
      <c r="CY923" s="30"/>
      <c r="CZ923" s="30">
        <f t="shared" si="121"/>
        <v>1</v>
      </c>
      <c r="DA923" s="30">
        <f t="shared" si="117"/>
        <v>1</v>
      </c>
      <c r="DB923" s="2">
        <f t="shared" si="116"/>
        <v>0</v>
      </c>
      <c r="DR923" s="76"/>
      <c r="DS923" s="130">
        <f>SI!BY923</f>
        <v>711</v>
      </c>
      <c r="DT923" s="130"/>
      <c r="DU923" s="130"/>
      <c r="DV923" s="130"/>
      <c r="DW923" s="130"/>
      <c r="DX923" s="130"/>
      <c r="DY923" s="130"/>
      <c r="DZ923" s="131">
        <f>SI!BZ923</f>
        <v>0</v>
      </c>
      <c r="EA923" s="76"/>
      <c r="EB923" s="76"/>
    </row>
    <row r="924" spans="1:132" s="14" customFormat="1" hidden="1" x14ac:dyDescent="0.25">
      <c r="A924" s="290"/>
      <c r="B924" s="286"/>
      <c r="C924" s="37"/>
      <c r="D924" s="37"/>
      <c r="E924" s="37"/>
      <c r="F924" s="37"/>
      <c r="G924" s="38"/>
      <c r="H924" s="38"/>
      <c r="I924" s="38"/>
      <c r="J924" s="38"/>
      <c r="K924" s="38"/>
      <c r="L924" s="38"/>
      <c r="M924" s="38"/>
      <c r="N924" s="38"/>
      <c r="AM924" s="37"/>
      <c r="AN924" s="37"/>
      <c r="AO924" s="37"/>
      <c r="AP924" s="38"/>
      <c r="AQ924" s="38"/>
      <c r="AR924" s="38"/>
      <c r="AS924" s="38"/>
      <c r="AT924" s="38"/>
      <c r="AU924" s="38"/>
      <c r="AV924" s="38"/>
      <c r="AW924" s="38"/>
      <c r="AZ924" s="37"/>
      <c r="BA924" s="37"/>
      <c r="BB924" s="37"/>
      <c r="BC924" s="37"/>
      <c r="BD924" s="38"/>
      <c r="BE924" s="38"/>
      <c r="BF924" s="38"/>
      <c r="BG924" s="38"/>
      <c r="BH924" s="38"/>
      <c r="BI924" s="38"/>
      <c r="BJ924" s="38"/>
      <c r="BZ924" s="66"/>
      <c r="CA924" s="292"/>
      <c r="CB924" s="3" t="str">
        <f t="shared" si="115"/>
        <v>Riadok bude skrytý.</v>
      </c>
      <c r="CC924" s="271" t="s">
        <v>832</v>
      </c>
      <c r="CW924" s="35">
        <f t="shared" si="118"/>
        <v>1</v>
      </c>
      <c r="CX924" s="30"/>
      <c r="CY924" s="30"/>
      <c r="CZ924" s="30">
        <f t="shared" si="121"/>
        <v>1</v>
      </c>
      <c r="DA924" s="30">
        <f t="shared" si="117"/>
        <v>1</v>
      </c>
      <c r="DB924" s="2">
        <f t="shared" si="116"/>
        <v>0</v>
      </c>
      <c r="DR924" s="76"/>
      <c r="DS924" s="130">
        <f>SI!BY924</f>
        <v>206</v>
      </c>
      <c r="DT924" s="130"/>
      <c r="DU924" s="130"/>
      <c r="DV924" s="130"/>
      <c r="DW924" s="130"/>
      <c r="DX924" s="130"/>
      <c r="DY924" s="130"/>
      <c r="DZ924" s="131">
        <f>SI!BZ924</f>
        <v>0</v>
      </c>
      <c r="EA924" s="76"/>
      <c r="EB924" s="76"/>
    </row>
    <row r="925" spans="1:132" s="14" customFormat="1" ht="14.95" hidden="1" customHeight="1" x14ac:dyDescent="0.25">
      <c r="A925" s="290"/>
      <c r="B925" s="439" t="str">
        <f>+IF(LEN(SI!J2)=Poznamky_k_UZ!DZ925,"Dlhodobý nehmotný majetok","")</f>
        <v>Dlhodobý nehmotný majetok</v>
      </c>
      <c r="C925" s="440"/>
      <c r="D925" s="440"/>
      <c r="E925" s="440"/>
      <c r="F925" s="440"/>
      <c r="G925" s="440"/>
      <c r="H925" s="440"/>
      <c r="I925" s="440"/>
      <c r="J925" s="440"/>
      <c r="K925" s="440"/>
      <c r="L925" s="440"/>
      <c r="M925" s="440"/>
      <c r="N925" s="440"/>
      <c r="O925" s="440"/>
      <c r="P925" s="440"/>
      <c r="Q925" s="440"/>
      <c r="R925" s="440"/>
      <c r="S925" s="440"/>
      <c r="T925" s="440"/>
      <c r="U925" s="440"/>
      <c r="V925" s="440"/>
      <c r="W925" s="650">
        <f>+AJ141</f>
        <v>2021</v>
      </c>
      <c r="X925" s="391"/>
      <c r="Y925" s="391"/>
      <c r="Z925" s="391"/>
      <c r="AA925" s="391"/>
      <c r="AB925" s="391"/>
      <c r="AC925" s="391"/>
      <c r="AD925" s="391"/>
      <c r="AE925" s="391"/>
      <c r="AF925" s="391"/>
      <c r="AG925" s="391"/>
      <c r="AH925" s="391"/>
      <c r="AI925" s="391"/>
      <c r="AJ925" s="391"/>
      <c r="AK925" s="391"/>
      <c r="AL925" s="391"/>
      <c r="AM925" s="391"/>
      <c r="AN925" s="391"/>
      <c r="AO925" s="391"/>
      <c r="AP925" s="391"/>
      <c r="AQ925" s="391"/>
      <c r="AR925" s="391"/>
      <c r="AS925" s="391"/>
      <c r="AT925" s="391"/>
      <c r="AU925" s="391"/>
      <c r="AV925" s="391"/>
      <c r="AW925" s="391"/>
      <c r="AX925" s="391"/>
      <c r="AY925" s="391"/>
      <c r="AZ925" s="391"/>
      <c r="BA925" s="391"/>
      <c r="BB925" s="391"/>
      <c r="BC925" s="391"/>
      <c r="BD925" s="391"/>
      <c r="BE925" s="391"/>
      <c r="BF925" s="391"/>
      <c r="BG925" s="391"/>
      <c r="BH925" s="391"/>
      <c r="BI925" s="391"/>
      <c r="BJ925" s="391"/>
      <c r="BK925" s="391"/>
      <c r="BL925" s="391"/>
      <c r="BM925" s="391"/>
      <c r="BN925" s="391"/>
      <c r="BO925" s="391"/>
      <c r="BP925" s="391"/>
      <c r="BQ925" s="391"/>
      <c r="BR925" s="391"/>
      <c r="BS925" s="391"/>
      <c r="BT925" s="391"/>
      <c r="BU925" s="391"/>
      <c r="BV925" s="391"/>
      <c r="BW925" s="391"/>
      <c r="BX925" s="391"/>
      <c r="BY925" s="391"/>
      <c r="BZ925" s="392"/>
      <c r="CA925" s="265" t="s">
        <v>773</v>
      </c>
      <c r="CB925" s="3" t="str">
        <f t="shared" si="115"/>
        <v>Riadok bude skrytý.</v>
      </c>
      <c r="CC925" s="271" t="s">
        <v>832</v>
      </c>
      <c r="CD925" s="4"/>
      <c r="CW925" s="35">
        <f t="shared" si="118"/>
        <v>1</v>
      </c>
      <c r="CX925" s="30"/>
      <c r="CY925" s="30"/>
      <c r="CZ925" s="30">
        <f t="shared" si="121"/>
        <v>1</v>
      </c>
      <c r="DA925" s="30">
        <f t="shared" si="117"/>
        <v>1</v>
      </c>
      <c r="DB925" s="2">
        <f t="shared" si="116"/>
        <v>0</v>
      </c>
      <c r="DR925" s="76"/>
      <c r="DS925" s="130">
        <f>SI!BY925</f>
        <v>252</v>
      </c>
      <c r="DT925" s="130"/>
      <c r="DU925" s="130"/>
      <c r="DV925" s="130"/>
      <c r="DW925" s="130"/>
      <c r="DX925" s="130"/>
      <c r="DY925" s="130"/>
      <c r="DZ925" s="131">
        <f>SI!BZ925</f>
        <v>13</v>
      </c>
      <c r="EA925" s="76"/>
      <c r="EB925" s="76"/>
    </row>
    <row r="926" spans="1:132" s="14" customFormat="1" ht="14.95" hidden="1" customHeight="1" x14ac:dyDescent="0.25">
      <c r="A926" s="290"/>
      <c r="B926" s="1019"/>
      <c r="C926" s="1020"/>
      <c r="D926" s="1020"/>
      <c r="E926" s="1020"/>
      <c r="F926" s="1020"/>
      <c r="G926" s="1020"/>
      <c r="H926" s="1020"/>
      <c r="I926" s="1020"/>
      <c r="J926" s="1020"/>
      <c r="K926" s="1020"/>
      <c r="L926" s="1020"/>
      <c r="M926" s="1020"/>
      <c r="N926" s="1020"/>
      <c r="O926" s="1020"/>
      <c r="P926" s="1020"/>
      <c r="Q926" s="1020"/>
      <c r="R926" s="1020"/>
      <c r="S926" s="1020"/>
      <c r="T926" s="1020"/>
      <c r="U926" s="1020"/>
      <c r="V926" s="1020"/>
      <c r="W926" s="855" t="s">
        <v>57</v>
      </c>
      <c r="X926" s="855"/>
      <c r="Y926" s="855"/>
      <c r="Z926" s="855"/>
      <c r="AA926" s="855"/>
      <c r="AB926" s="855"/>
      <c r="AC926" s="855"/>
      <c r="AD926" s="855" t="s">
        <v>58</v>
      </c>
      <c r="AE926" s="855"/>
      <c r="AF926" s="855"/>
      <c r="AG926" s="855"/>
      <c r="AH926" s="855"/>
      <c r="AI926" s="855"/>
      <c r="AJ926" s="855" t="s">
        <v>107</v>
      </c>
      <c r="AK926" s="855"/>
      <c r="AL926" s="855"/>
      <c r="AM926" s="855"/>
      <c r="AN926" s="855"/>
      <c r="AO926" s="855"/>
      <c r="AP926" s="855"/>
      <c r="AQ926" s="855"/>
      <c r="AR926" s="855" t="s">
        <v>108</v>
      </c>
      <c r="AS926" s="855"/>
      <c r="AT926" s="855"/>
      <c r="AU926" s="855"/>
      <c r="AV926" s="855"/>
      <c r="AW926" s="855" t="s">
        <v>110</v>
      </c>
      <c r="AX926" s="855"/>
      <c r="AY926" s="855"/>
      <c r="AZ926" s="855"/>
      <c r="BA926" s="855"/>
      <c r="BB926" s="855"/>
      <c r="BC926" s="855" t="s">
        <v>109</v>
      </c>
      <c r="BD926" s="855"/>
      <c r="BE926" s="855"/>
      <c r="BF926" s="855"/>
      <c r="BG926" s="855"/>
      <c r="BH926" s="855"/>
      <c r="BI926" s="855"/>
      <c r="BJ926" s="855" t="s">
        <v>792</v>
      </c>
      <c r="BK926" s="855"/>
      <c r="BL926" s="855"/>
      <c r="BM926" s="855"/>
      <c r="BN926" s="855"/>
      <c r="BO926" s="855"/>
      <c r="BP926" s="855"/>
      <c r="BQ926" s="855" t="s">
        <v>45</v>
      </c>
      <c r="BR926" s="855"/>
      <c r="BS926" s="855"/>
      <c r="BT926" s="855"/>
      <c r="BU926" s="855"/>
      <c r="BV926" s="855"/>
      <c r="BW926" s="855"/>
      <c r="BX926" s="855"/>
      <c r="BY926" s="855"/>
      <c r="BZ926" s="855"/>
      <c r="CA926" s="270"/>
      <c r="CB926" s="3" t="str">
        <f t="shared" si="115"/>
        <v>Riadok bude skrytý.</v>
      </c>
      <c r="CC926" s="271" t="s">
        <v>832</v>
      </c>
      <c r="CW926" s="35">
        <f t="shared" si="118"/>
        <v>1</v>
      </c>
      <c r="CX926" s="30"/>
      <c r="CY926" s="30"/>
      <c r="CZ926" s="30">
        <f t="shared" si="121"/>
        <v>1</v>
      </c>
      <c r="DA926" s="30">
        <f t="shared" si="117"/>
        <v>1</v>
      </c>
      <c r="DB926" s="2">
        <f t="shared" si="116"/>
        <v>0</v>
      </c>
      <c r="DR926" s="76"/>
      <c r="DS926" s="130">
        <f>SI!BY926</f>
        <v>181</v>
      </c>
      <c r="DT926" s="130"/>
      <c r="DU926" s="130"/>
      <c r="DV926" s="130"/>
      <c r="DW926" s="130"/>
      <c r="DX926" s="130"/>
      <c r="DY926" s="130"/>
      <c r="DZ926" s="131">
        <f>SI!BZ926</f>
        <v>13</v>
      </c>
      <c r="EA926" s="76"/>
      <c r="EB926" s="76"/>
    </row>
    <row r="927" spans="1:132" s="14" customFormat="1" hidden="1" x14ac:dyDescent="0.25">
      <c r="A927" s="290"/>
      <c r="B927" s="442"/>
      <c r="C927" s="443"/>
      <c r="D927" s="443"/>
      <c r="E927" s="443"/>
      <c r="F927" s="443"/>
      <c r="G927" s="443"/>
      <c r="H927" s="443"/>
      <c r="I927" s="443"/>
      <c r="J927" s="443"/>
      <c r="K927" s="443"/>
      <c r="L927" s="443"/>
      <c r="M927" s="443"/>
      <c r="N927" s="443"/>
      <c r="O927" s="443"/>
      <c r="P927" s="443"/>
      <c r="Q927" s="443"/>
      <c r="R927" s="443"/>
      <c r="S927" s="443"/>
      <c r="T927" s="443"/>
      <c r="U927" s="443"/>
      <c r="V927" s="443"/>
      <c r="W927" s="855"/>
      <c r="X927" s="855"/>
      <c r="Y927" s="855"/>
      <c r="Z927" s="855"/>
      <c r="AA927" s="855"/>
      <c r="AB927" s="855"/>
      <c r="AC927" s="855"/>
      <c r="AD927" s="855"/>
      <c r="AE927" s="855"/>
      <c r="AF927" s="855"/>
      <c r="AG927" s="855"/>
      <c r="AH927" s="855"/>
      <c r="AI927" s="855"/>
      <c r="AJ927" s="855"/>
      <c r="AK927" s="855"/>
      <c r="AL927" s="855"/>
      <c r="AM927" s="855"/>
      <c r="AN927" s="855"/>
      <c r="AO927" s="855"/>
      <c r="AP927" s="855"/>
      <c r="AQ927" s="855"/>
      <c r="AR927" s="855"/>
      <c r="AS927" s="855"/>
      <c r="AT927" s="855"/>
      <c r="AU927" s="855"/>
      <c r="AV927" s="855"/>
      <c r="AW927" s="855"/>
      <c r="AX927" s="855"/>
      <c r="AY927" s="855"/>
      <c r="AZ927" s="855"/>
      <c r="BA927" s="855"/>
      <c r="BB927" s="855"/>
      <c r="BC927" s="855"/>
      <c r="BD927" s="855"/>
      <c r="BE927" s="855"/>
      <c r="BF927" s="855"/>
      <c r="BG927" s="855"/>
      <c r="BH927" s="855"/>
      <c r="BI927" s="855"/>
      <c r="BJ927" s="855"/>
      <c r="BK927" s="855"/>
      <c r="BL927" s="855"/>
      <c r="BM927" s="855"/>
      <c r="BN927" s="855"/>
      <c r="BO927" s="855"/>
      <c r="BP927" s="855"/>
      <c r="BQ927" s="855"/>
      <c r="BR927" s="855"/>
      <c r="BS927" s="855"/>
      <c r="BT927" s="855"/>
      <c r="BU927" s="855"/>
      <c r="BV927" s="855"/>
      <c r="BW927" s="855"/>
      <c r="BX927" s="855"/>
      <c r="BY927" s="855"/>
      <c r="BZ927" s="855"/>
      <c r="CA927" s="270"/>
      <c r="CB927" s="3" t="str">
        <f t="shared" si="115"/>
        <v>Riadok bude skrytý.</v>
      </c>
      <c r="CC927" s="271" t="s">
        <v>832</v>
      </c>
      <c r="CW927" s="35">
        <f t="shared" si="118"/>
        <v>1</v>
      </c>
      <c r="CX927" s="30"/>
      <c r="CY927" s="30"/>
      <c r="CZ927" s="30">
        <f t="shared" si="121"/>
        <v>1</v>
      </c>
      <c r="DA927" s="30">
        <f t="shared" si="117"/>
        <v>1</v>
      </c>
      <c r="DB927" s="2">
        <f t="shared" si="116"/>
        <v>0</v>
      </c>
      <c r="DR927" s="76"/>
      <c r="DS927" s="130">
        <f>SI!BY927</f>
        <v>739</v>
      </c>
      <c r="DT927" s="130"/>
      <c r="DU927" s="130"/>
      <c r="DV927" s="130"/>
      <c r="DW927" s="130"/>
      <c r="DX927" s="130"/>
      <c r="DY927" s="130"/>
      <c r="DZ927" s="131">
        <f>SI!BZ927</f>
        <v>13</v>
      </c>
      <c r="EA927" s="76"/>
      <c r="EB927" s="76"/>
    </row>
    <row r="928" spans="1:132" hidden="1" x14ac:dyDescent="0.25">
      <c r="A928" s="141"/>
      <c r="B928" s="524" t="s">
        <v>0</v>
      </c>
      <c r="C928" s="525"/>
      <c r="D928" s="525"/>
      <c r="E928" s="525"/>
      <c r="F928" s="525"/>
      <c r="G928" s="525"/>
      <c r="H928" s="525"/>
      <c r="I928" s="525"/>
      <c r="J928" s="525"/>
      <c r="K928" s="525"/>
      <c r="L928" s="525"/>
      <c r="M928" s="525"/>
      <c r="N928" s="525"/>
      <c r="O928" s="525"/>
      <c r="P928" s="525"/>
      <c r="Q928" s="525"/>
      <c r="R928" s="525"/>
      <c r="S928" s="525"/>
      <c r="T928" s="525"/>
      <c r="U928" s="525"/>
      <c r="V928" s="525"/>
      <c r="W928" s="846" t="s">
        <v>1</v>
      </c>
      <c r="X928" s="846"/>
      <c r="Y928" s="846"/>
      <c r="Z928" s="846"/>
      <c r="AA928" s="846"/>
      <c r="AB928" s="846"/>
      <c r="AC928" s="846"/>
      <c r="AD928" s="846" t="s">
        <v>2</v>
      </c>
      <c r="AE928" s="846"/>
      <c r="AF928" s="846"/>
      <c r="AG928" s="846"/>
      <c r="AH928" s="846"/>
      <c r="AI928" s="846"/>
      <c r="AJ928" s="846" t="s">
        <v>28</v>
      </c>
      <c r="AK928" s="846"/>
      <c r="AL928" s="846"/>
      <c r="AM928" s="846"/>
      <c r="AN928" s="846"/>
      <c r="AO928" s="846"/>
      <c r="AP928" s="846"/>
      <c r="AQ928" s="846"/>
      <c r="AR928" s="846" t="s">
        <v>29</v>
      </c>
      <c r="AS928" s="846"/>
      <c r="AT928" s="846"/>
      <c r="AU928" s="846"/>
      <c r="AV928" s="846"/>
      <c r="AW928" s="846" t="s">
        <v>103</v>
      </c>
      <c r="AX928" s="846"/>
      <c r="AY928" s="846"/>
      <c r="AZ928" s="846"/>
      <c r="BA928" s="846"/>
      <c r="BB928" s="846"/>
      <c r="BC928" s="846" t="s">
        <v>104</v>
      </c>
      <c r="BD928" s="846"/>
      <c r="BE928" s="846"/>
      <c r="BF928" s="846"/>
      <c r="BG928" s="846"/>
      <c r="BH928" s="846"/>
      <c r="BI928" s="846"/>
      <c r="BJ928" s="846" t="s">
        <v>105</v>
      </c>
      <c r="BK928" s="846"/>
      <c r="BL928" s="846"/>
      <c r="BM928" s="846"/>
      <c r="BN928" s="846"/>
      <c r="BO928" s="846"/>
      <c r="BP928" s="846"/>
      <c r="BQ928" s="846" t="s">
        <v>27</v>
      </c>
      <c r="BR928" s="846"/>
      <c r="BS928" s="846"/>
      <c r="BT928" s="846"/>
      <c r="BU928" s="846"/>
      <c r="BV928" s="846"/>
      <c r="BW928" s="846"/>
      <c r="BX928" s="846"/>
      <c r="BY928" s="846"/>
      <c r="BZ928" s="846"/>
      <c r="CA928" s="270"/>
      <c r="CB928" s="3" t="str">
        <f t="shared" si="115"/>
        <v>Riadok bude skrytý.</v>
      </c>
      <c r="CC928" s="271" t="s">
        <v>832</v>
      </c>
      <c r="CW928" s="35">
        <f t="shared" si="118"/>
        <v>1</v>
      </c>
      <c r="CZ928" s="30">
        <f t="shared" si="121"/>
        <v>1</v>
      </c>
      <c r="DA928" s="30">
        <f t="shared" si="117"/>
        <v>1</v>
      </c>
      <c r="DB928" s="2">
        <f t="shared" si="116"/>
        <v>0</v>
      </c>
      <c r="DS928" s="130">
        <f>SI!BY928</f>
        <v>114</v>
      </c>
      <c r="DZ928" s="131">
        <f>SI!BZ928</f>
        <v>13</v>
      </c>
    </row>
    <row r="929" spans="1:132" s="14" customFormat="1" hidden="1" x14ac:dyDescent="0.25">
      <c r="A929" s="290"/>
      <c r="B929" s="1261" t="str">
        <f>+IF(LEN(SI!J2)=Poznamky_k_UZ!DZ929,"Prvotné ocenenie","")</f>
        <v>Prvotné ocenenie</v>
      </c>
      <c r="C929" s="1262"/>
      <c r="D929" s="1262"/>
      <c r="E929" s="1262"/>
      <c r="F929" s="1262"/>
      <c r="G929" s="1262"/>
      <c r="H929" s="1262"/>
      <c r="I929" s="1262"/>
      <c r="J929" s="1262"/>
      <c r="K929" s="1262"/>
      <c r="L929" s="1262"/>
      <c r="M929" s="1262"/>
      <c r="N929" s="1262"/>
      <c r="O929" s="1262"/>
      <c r="P929" s="1262"/>
      <c r="Q929" s="1262"/>
      <c r="R929" s="1262"/>
      <c r="S929" s="1262"/>
      <c r="T929" s="1262"/>
      <c r="U929" s="1262"/>
      <c r="V929" s="1262"/>
      <c r="W929" s="1262"/>
      <c r="X929" s="1262"/>
      <c r="Y929" s="1262"/>
      <c r="Z929" s="1262"/>
      <c r="AA929" s="1262"/>
      <c r="AB929" s="1262"/>
      <c r="AC929" s="1262"/>
      <c r="AD929" s="1262"/>
      <c r="AE929" s="1262"/>
      <c r="AF929" s="1262"/>
      <c r="AG929" s="1262"/>
      <c r="AH929" s="1262"/>
      <c r="AI929" s="1262"/>
      <c r="AJ929" s="1262"/>
      <c r="AK929" s="1262"/>
      <c r="AL929" s="1262"/>
      <c r="AM929" s="1262"/>
      <c r="AN929" s="1262"/>
      <c r="AO929" s="1262"/>
      <c r="AP929" s="1262"/>
      <c r="AQ929" s="1262"/>
      <c r="AR929" s="1262"/>
      <c r="AS929" s="1262"/>
      <c r="AT929" s="1262"/>
      <c r="AU929" s="1262"/>
      <c r="AV929" s="1262"/>
      <c r="AW929" s="1262"/>
      <c r="AX929" s="1262"/>
      <c r="AY929" s="1262"/>
      <c r="AZ929" s="1262"/>
      <c r="BA929" s="1262"/>
      <c r="BB929" s="1262"/>
      <c r="BC929" s="1262"/>
      <c r="BD929" s="1262"/>
      <c r="BE929" s="1262"/>
      <c r="BF929" s="1262"/>
      <c r="BG929" s="1262"/>
      <c r="BH929" s="1262"/>
      <c r="BI929" s="1262"/>
      <c r="BJ929" s="1262"/>
      <c r="BK929" s="1262"/>
      <c r="BL929" s="1262"/>
      <c r="BM929" s="1262"/>
      <c r="BN929" s="1262"/>
      <c r="BO929" s="1262"/>
      <c r="BP929" s="1262"/>
      <c r="BQ929" s="1262"/>
      <c r="BR929" s="1262"/>
      <c r="BS929" s="1262"/>
      <c r="BT929" s="1262"/>
      <c r="BU929" s="1262"/>
      <c r="BV929" s="1262"/>
      <c r="BW929" s="1262"/>
      <c r="BX929" s="1262"/>
      <c r="BY929" s="1262"/>
      <c r="BZ929" s="1263"/>
      <c r="CA929" s="270"/>
      <c r="CB929" s="3" t="str">
        <f t="shared" si="115"/>
        <v>Riadok bude skrytý.</v>
      </c>
      <c r="CC929" s="271" t="s">
        <v>832</v>
      </c>
      <c r="CW929" s="35">
        <f t="shared" si="118"/>
        <v>1</v>
      </c>
      <c r="CX929" s="30"/>
      <c r="CY929" s="30"/>
      <c r="CZ929" s="30">
        <f t="shared" si="121"/>
        <v>1</v>
      </c>
      <c r="DA929" s="30">
        <f t="shared" si="117"/>
        <v>1</v>
      </c>
      <c r="DB929" s="2">
        <f t="shared" si="116"/>
        <v>0</v>
      </c>
      <c r="DR929" s="76"/>
      <c r="DS929" s="130">
        <f>SI!BY929</f>
        <v>846</v>
      </c>
      <c r="DT929" s="130"/>
      <c r="DU929" s="130"/>
      <c r="DV929" s="130"/>
      <c r="DW929" s="130"/>
      <c r="DX929" s="130"/>
      <c r="DY929" s="130"/>
      <c r="DZ929" s="131">
        <f>SI!BZ929</f>
        <v>13</v>
      </c>
      <c r="EA929" s="76"/>
      <c r="EB929" s="76"/>
    </row>
    <row r="930" spans="1:132" s="14" customFormat="1" hidden="1" x14ac:dyDescent="0.25">
      <c r="A930" s="290"/>
      <c r="B930" s="816" t="str">
        <f>+IF(LEN(SI!J2)=Poznamky_k_UZ!DZ930,"Stav na začiatku účt. obdobia","")</f>
        <v>Stav na začiatku účt. obdobia</v>
      </c>
      <c r="C930" s="817"/>
      <c r="D930" s="817"/>
      <c r="E930" s="817"/>
      <c r="F930" s="817"/>
      <c r="G930" s="817"/>
      <c r="H930" s="817"/>
      <c r="I930" s="817"/>
      <c r="J930" s="817"/>
      <c r="K930" s="817"/>
      <c r="L930" s="817"/>
      <c r="M930" s="817"/>
      <c r="N930" s="817"/>
      <c r="O930" s="817"/>
      <c r="P930" s="817"/>
      <c r="Q930" s="817"/>
      <c r="R930" s="817"/>
      <c r="S930" s="817"/>
      <c r="T930" s="817"/>
      <c r="U930" s="817"/>
      <c r="V930" s="818"/>
      <c r="W930" s="782"/>
      <c r="X930" s="783"/>
      <c r="Y930" s="783"/>
      <c r="Z930" s="783"/>
      <c r="AA930" s="783"/>
      <c r="AB930" s="783"/>
      <c r="AC930" s="784"/>
      <c r="AD930" s="828"/>
      <c r="AE930" s="783"/>
      <c r="AF930" s="783"/>
      <c r="AG930" s="783"/>
      <c r="AH930" s="783"/>
      <c r="AI930" s="829"/>
      <c r="AJ930" s="830"/>
      <c r="AK930" s="831"/>
      <c r="AL930" s="831"/>
      <c r="AM930" s="831"/>
      <c r="AN930" s="831"/>
      <c r="AO930" s="831"/>
      <c r="AP930" s="831"/>
      <c r="AQ930" s="832"/>
      <c r="AR930" s="833"/>
      <c r="AS930" s="831"/>
      <c r="AT930" s="831"/>
      <c r="AU930" s="831"/>
      <c r="AV930" s="834"/>
      <c r="AW930" s="782"/>
      <c r="AX930" s="783"/>
      <c r="AY930" s="783"/>
      <c r="AZ930" s="783"/>
      <c r="BA930" s="783"/>
      <c r="BB930" s="784"/>
      <c r="BC930" s="828"/>
      <c r="BD930" s="783"/>
      <c r="BE930" s="783"/>
      <c r="BF930" s="783"/>
      <c r="BG930" s="783"/>
      <c r="BH930" s="783"/>
      <c r="BI930" s="829"/>
      <c r="BJ930" s="782"/>
      <c r="BK930" s="783"/>
      <c r="BL930" s="783"/>
      <c r="BM930" s="783"/>
      <c r="BN930" s="783"/>
      <c r="BO930" s="783"/>
      <c r="BP930" s="784"/>
      <c r="BQ930" s="777">
        <f>+SUM(W930:BP930)</f>
        <v>0</v>
      </c>
      <c r="BR930" s="774"/>
      <c r="BS930" s="774"/>
      <c r="BT930" s="774"/>
      <c r="BU930" s="774"/>
      <c r="BV930" s="774"/>
      <c r="BW930" s="774"/>
      <c r="BX930" s="774"/>
      <c r="BY930" s="774"/>
      <c r="BZ930" s="775"/>
      <c r="CA930" s="270"/>
      <c r="CB930" s="3" t="str">
        <f t="shared" si="115"/>
        <v>Riadok bude skrytý.</v>
      </c>
      <c r="CC930" s="271" t="s">
        <v>832</v>
      </c>
      <c r="CW930" s="35">
        <f t="shared" si="118"/>
        <v>1</v>
      </c>
      <c r="CX930" s="30"/>
      <c r="CY930" s="30"/>
      <c r="CZ930" s="30">
        <f t="shared" si="121"/>
        <v>1</v>
      </c>
      <c r="DA930" s="30">
        <f t="shared" si="117"/>
        <v>1</v>
      </c>
      <c r="DB930" s="2">
        <f t="shared" si="116"/>
        <v>0</v>
      </c>
      <c r="DR930" s="76"/>
      <c r="DS930" s="130">
        <f>SI!BY930</f>
        <v>176</v>
      </c>
      <c r="DT930" s="130"/>
      <c r="DU930" s="130"/>
      <c r="DV930" s="130"/>
      <c r="DW930" s="130"/>
      <c r="DX930" s="130"/>
      <c r="DY930" s="130"/>
      <c r="DZ930" s="131">
        <f>SI!BZ930</f>
        <v>13</v>
      </c>
      <c r="EA930" s="76"/>
      <c r="EB930" s="76"/>
    </row>
    <row r="931" spans="1:132" s="14" customFormat="1" hidden="1" x14ac:dyDescent="0.25">
      <c r="A931" s="290"/>
      <c r="B931" s="1796" t="str">
        <f>+IF(LEN(SI!J2)=Poznamky_k_UZ!DZ931,"Prírastky","")</f>
        <v>Prírastky</v>
      </c>
      <c r="C931" s="1797"/>
      <c r="D931" s="1797"/>
      <c r="E931" s="1797"/>
      <c r="F931" s="1797"/>
      <c r="G931" s="1797"/>
      <c r="H931" s="1797"/>
      <c r="I931" s="1797"/>
      <c r="J931" s="1797"/>
      <c r="K931" s="1797"/>
      <c r="L931" s="1797"/>
      <c r="M931" s="1797"/>
      <c r="N931" s="1797"/>
      <c r="O931" s="1797"/>
      <c r="P931" s="1797"/>
      <c r="Q931" s="1797"/>
      <c r="R931" s="1797"/>
      <c r="S931" s="1797"/>
      <c r="T931" s="1797"/>
      <c r="U931" s="1797"/>
      <c r="V931" s="1798"/>
      <c r="W931" s="800"/>
      <c r="X931" s="801"/>
      <c r="Y931" s="801"/>
      <c r="Z931" s="801"/>
      <c r="AA931" s="801"/>
      <c r="AB931" s="801"/>
      <c r="AC931" s="802"/>
      <c r="AD931" s="803"/>
      <c r="AE931" s="801"/>
      <c r="AF931" s="801"/>
      <c r="AG931" s="801"/>
      <c r="AH931" s="801"/>
      <c r="AI931" s="804"/>
      <c r="AJ931" s="805"/>
      <c r="AK931" s="806"/>
      <c r="AL931" s="806"/>
      <c r="AM931" s="806"/>
      <c r="AN931" s="806"/>
      <c r="AO931" s="806"/>
      <c r="AP931" s="806"/>
      <c r="AQ931" s="807"/>
      <c r="AR931" s="808"/>
      <c r="AS931" s="806"/>
      <c r="AT931" s="806"/>
      <c r="AU931" s="806"/>
      <c r="AV931" s="809"/>
      <c r="AW931" s="800"/>
      <c r="AX931" s="801"/>
      <c r="AY931" s="801"/>
      <c r="AZ931" s="801"/>
      <c r="BA931" s="801"/>
      <c r="BB931" s="802"/>
      <c r="BC931" s="803"/>
      <c r="BD931" s="801"/>
      <c r="BE931" s="801"/>
      <c r="BF931" s="801"/>
      <c r="BG931" s="801"/>
      <c r="BH931" s="801"/>
      <c r="BI931" s="804"/>
      <c r="BJ931" s="800"/>
      <c r="BK931" s="801"/>
      <c r="BL931" s="801"/>
      <c r="BM931" s="801"/>
      <c r="BN931" s="801"/>
      <c r="BO931" s="801"/>
      <c r="BP931" s="802"/>
      <c r="BQ931" s="825">
        <f>+SUM(W931:BP931)</f>
        <v>0</v>
      </c>
      <c r="BR931" s="826"/>
      <c r="BS931" s="826"/>
      <c r="BT931" s="826"/>
      <c r="BU931" s="826"/>
      <c r="BV931" s="826"/>
      <c r="BW931" s="826"/>
      <c r="BX931" s="826"/>
      <c r="BY931" s="826"/>
      <c r="BZ931" s="827"/>
      <c r="CA931" s="270"/>
      <c r="CB931" s="3" t="str">
        <f t="shared" si="115"/>
        <v>Riadok bude skrytý.</v>
      </c>
      <c r="CC931" s="271" t="s">
        <v>832</v>
      </c>
      <c r="CW931" s="35">
        <f t="shared" si="118"/>
        <v>1</v>
      </c>
      <c r="CX931" s="30"/>
      <c r="CY931" s="30"/>
      <c r="CZ931" s="30">
        <f t="shared" si="121"/>
        <v>1</v>
      </c>
      <c r="DA931" s="30">
        <f t="shared" si="117"/>
        <v>1</v>
      </c>
      <c r="DB931" s="2">
        <f t="shared" si="116"/>
        <v>0</v>
      </c>
      <c r="DR931" s="76"/>
      <c r="DS931" s="130">
        <f>SI!BY931</f>
        <v>194</v>
      </c>
      <c r="DT931" s="130"/>
      <c r="DU931" s="130"/>
      <c r="DV931" s="130"/>
      <c r="DW931" s="130"/>
      <c r="DX931" s="130"/>
      <c r="DY931" s="130"/>
      <c r="DZ931" s="131">
        <f>SI!BZ931</f>
        <v>13</v>
      </c>
      <c r="EA931" s="76"/>
      <c r="EB931" s="76"/>
    </row>
    <row r="932" spans="1:132" s="14" customFormat="1" hidden="1" x14ac:dyDescent="0.25">
      <c r="A932" s="290"/>
      <c r="B932" s="838" t="str">
        <f>+IF(LEN(SI!J2)=Poznamky_k_UZ!DZ932,"Úbytky","")</f>
        <v>Úbytky</v>
      </c>
      <c r="C932" s="839"/>
      <c r="D932" s="839"/>
      <c r="E932" s="839"/>
      <c r="F932" s="839"/>
      <c r="G932" s="839"/>
      <c r="H932" s="839"/>
      <c r="I932" s="839"/>
      <c r="J932" s="839"/>
      <c r="K932" s="839"/>
      <c r="L932" s="839"/>
      <c r="M932" s="839"/>
      <c r="N932" s="839"/>
      <c r="O932" s="839"/>
      <c r="P932" s="839"/>
      <c r="Q932" s="839"/>
      <c r="R932" s="839"/>
      <c r="S932" s="839"/>
      <c r="T932" s="839"/>
      <c r="U932" s="839"/>
      <c r="V932" s="840"/>
      <c r="W932" s="791"/>
      <c r="X932" s="792"/>
      <c r="Y932" s="792"/>
      <c r="Z932" s="792"/>
      <c r="AA932" s="792"/>
      <c r="AB932" s="792"/>
      <c r="AC932" s="793"/>
      <c r="AD932" s="810"/>
      <c r="AE932" s="792"/>
      <c r="AF932" s="792"/>
      <c r="AG932" s="792"/>
      <c r="AH932" s="792"/>
      <c r="AI932" s="811"/>
      <c r="AJ932" s="812"/>
      <c r="AK932" s="786"/>
      <c r="AL932" s="786"/>
      <c r="AM932" s="786"/>
      <c r="AN932" s="786"/>
      <c r="AO932" s="786"/>
      <c r="AP932" s="786"/>
      <c r="AQ932" s="813"/>
      <c r="AR932" s="785"/>
      <c r="AS932" s="786"/>
      <c r="AT932" s="786"/>
      <c r="AU932" s="786"/>
      <c r="AV932" s="787"/>
      <c r="AW932" s="791"/>
      <c r="AX932" s="792"/>
      <c r="AY932" s="792"/>
      <c r="AZ932" s="792"/>
      <c r="BA932" s="792"/>
      <c r="BB932" s="793"/>
      <c r="BC932" s="810"/>
      <c r="BD932" s="792"/>
      <c r="BE932" s="792"/>
      <c r="BF932" s="792"/>
      <c r="BG932" s="792"/>
      <c r="BH932" s="792"/>
      <c r="BI932" s="811"/>
      <c r="BJ932" s="791"/>
      <c r="BK932" s="792"/>
      <c r="BL932" s="792"/>
      <c r="BM932" s="792"/>
      <c r="BN932" s="792"/>
      <c r="BO932" s="792"/>
      <c r="BP932" s="793"/>
      <c r="BQ932" s="822">
        <f>+SUM(W932:BP932)</f>
        <v>0</v>
      </c>
      <c r="BR932" s="823"/>
      <c r="BS932" s="823"/>
      <c r="BT932" s="823"/>
      <c r="BU932" s="823"/>
      <c r="BV932" s="823"/>
      <c r="BW932" s="823"/>
      <c r="BX932" s="823"/>
      <c r="BY932" s="823"/>
      <c r="BZ932" s="824"/>
      <c r="CA932" s="270"/>
      <c r="CB932" s="3" t="str">
        <f t="shared" si="115"/>
        <v>Riadok bude skrytý.</v>
      </c>
      <c r="CC932" s="271" t="s">
        <v>832</v>
      </c>
      <c r="CW932" s="35">
        <f t="shared" si="118"/>
        <v>1</v>
      </c>
      <c r="CX932" s="30"/>
      <c r="CY932" s="30"/>
      <c r="CZ932" s="30">
        <f t="shared" si="121"/>
        <v>1</v>
      </c>
      <c r="DA932" s="30">
        <f t="shared" si="117"/>
        <v>1</v>
      </c>
      <c r="DB932" s="2">
        <f t="shared" si="116"/>
        <v>0</v>
      </c>
      <c r="DR932" s="76"/>
      <c r="DS932" s="130">
        <f>SI!BY932</f>
        <v>131</v>
      </c>
      <c r="DT932" s="130"/>
      <c r="DU932" s="130"/>
      <c r="DV932" s="130"/>
      <c r="DW932" s="130"/>
      <c r="DX932" s="130"/>
      <c r="DY932" s="130"/>
      <c r="DZ932" s="131">
        <f>SI!BZ932</f>
        <v>13</v>
      </c>
      <c r="EA932" s="76"/>
      <c r="EB932" s="76"/>
    </row>
    <row r="933" spans="1:132" s="14" customFormat="1" hidden="1" x14ac:dyDescent="0.25">
      <c r="A933" s="290"/>
      <c r="B933" s="847" t="str">
        <f>+IF(LEN(SI!J2)=Poznamky_k_UZ!DZ933,"Presuny","")</f>
        <v>Presuny</v>
      </c>
      <c r="C933" s="848"/>
      <c r="D933" s="848"/>
      <c r="E933" s="848"/>
      <c r="F933" s="848"/>
      <c r="G933" s="848"/>
      <c r="H933" s="848"/>
      <c r="I933" s="848"/>
      <c r="J933" s="848"/>
      <c r="K933" s="848"/>
      <c r="L933" s="848"/>
      <c r="M933" s="848"/>
      <c r="N933" s="848"/>
      <c r="O933" s="848"/>
      <c r="P933" s="848"/>
      <c r="Q933" s="848"/>
      <c r="R933" s="848"/>
      <c r="S933" s="848"/>
      <c r="T933" s="848"/>
      <c r="U933" s="848"/>
      <c r="V933" s="849"/>
      <c r="W933" s="835"/>
      <c r="X933" s="836"/>
      <c r="Y933" s="836"/>
      <c r="Z933" s="836"/>
      <c r="AA933" s="836"/>
      <c r="AB933" s="836"/>
      <c r="AC933" s="837"/>
      <c r="AD933" s="844"/>
      <c r="AE933" s="836"/>
      <c r="AF933" s="836"/>
      <c r="AG933" s="836"/>
      <c r="AH933" s="836"/>
      <c r="AI933" s="845"/>
      <c r="AJ933" s="850"/>
      <c r="AK933" s="851"/>
      <c r="AL933" s="851"/>
      <c r="AM933" s="851"/>
      <c r="AN933" s="851"/>
      <c r="AO933" s="851"/>
      <c r="AP933" s="851"/>
      <c r="AQ933" s="852"/>
      <c r="AR933" s="853"/>
      <c r="AS933" s="851"/>
      <c r="AT933" s="851"/>
      <c r="AU933" s="851"/>
      <c r="AV933" s="854"/>
      <c r="AW933" s="835"/>
      <c r="AX933" s="836"/>
      <c r="AY933" s="836"/>
      <c r="AZ933" s="836"/>
      <c r="BA933" s="836"/>
      <c r="BB933" s="837"/>
      <c r="BC933" s="844"/>
      <c r="BD933" s="836"/>
      <c r="BE933" s="836"/>
      <c r="BF933" s="836"/>
      <c r="BG933" s="836"/>
      <c r="BH933" s="836"/>
      <c r="BI933" s="845"/>
      <c r="BJ933" s="835"/>
      <c r="BK933" s="836"/>
      <c r="BL933" s="836"/>
      <c r="BM933" s="836"/>
      <c r="BN933" s="836"/>
      <c r="BO933" s="836"/>
      <c r="BP933" s="837"/>
      <c r="BQ933" s="841">
        <f>+SUM(W933:BP933)</f>
        <v>0</v>
      </c>
      <c r="BR933" s="842"/>
      <c r="BS933" s="842"/>
      <c r="BT933" s="842"/>
      <c r="BU933" s="842"/>
      <c r="BV933" s="842"/>
      <c r="BW933" s="842"/>
      <c r="BX933" s="842"/>
      <c r="BY933" s="842"/>
      <c r="BZ933" s="843"/>
      <c r="CA933" s="270"/>
      <c r="CB933" s="3" t="str">
        <f t="shared" si="115"/>
        <v>Riadok bude skrytý.</v>
      </c>
      <c r="CC933" s="271" t="s">
        <v>832</v>
      </c>
      <c r="CW933" s="35">
        <f t="shared" si="118"/>
        <v>1</v>
      </c>
      <c r="CX933" s="30"/>
      <c r="CY933" s="30"/>
      <c r="CZ933" s="30">
        <f t="shared" si="121"/>
        <v>1</v>
      </c>
      <c r="DA933" s="30">
        <f t="shared" si="117"/>
        <v>1</v>
      </c>
      <c r="DB933" s="2">
        <f t="shared" si="116"/>
        <v>0</v>
      </c>
      <c r="DR933" s="76"/>
      <c r="DS933" s="130">
        <f>SI!BY933</f>
        <v>4</v>
      </c>
      <c r="DT933" s="130"/>
      <c r="DU933" s="130"/>
      <c r="DV933" s="130"/>
      <c r="DW933" s="130"/>
      <c r="DX933" s="130"/>
      <c r="DY933" s="130"/>
      <c r="DZ933" s="131">
        <f>SI!BZ933</f>
        <v>13</v>
      </c>
      <c r="EA933" s="76"/>
      <c r="EB933" s="76"/>
    </row>
    <row r="934" spans="1:132" s="14" customFormat="1" hidden="1" x14ac:dyDescent="0.25">
      <c r="A934" s="290"/>
      <c r="B934" s="816" t="str">
        <f>+IF(LEN(SI!J2)=Poznamky_k_UZ!DZ934,"Stav na konci účt. obdobia","")</f>
        <v>Stav na konci účt. obdobia</v>
      </c>
      <c r="C934" s="817"/>
      <c r="D934" s="817"/>
      <c r="E934" s="817"/>
      <c r="F934" s="817"/>
      <c r="G934" s="817"/>
      <c r="H934" s="817"/>
      <c r="I934" s="817"/>
      <c r="J934" s="817"/>
      <c r="K934" s="817"/>
      <c r="L934" s="817"/>
      <c r="M934" s="817"/>
      <c r="N934" s="817"/>
      <c r="O934" s="817"/>
      <c r="P934" s="817"/>
      <c r="Q934" s="817"/>
      <c r="R934" s="817"/>
      <c r="S934" s="817"/>
      <c r="T934" s="817"/>
      <c r="U934" s="817"/>
      <c r="V934" s="818"/>
      <c r="W934" s="773">
        <f>+SUM(W930:AC933)</f>
        <v>0</v>
      </c>
      <c r="X934" s="774"/>
      <c r="Y934" s="774"/>
      <c r="Z934" s="774"/>
      <c r="AA934" s="774"/>
      <c r="AB934" s="774"/>
      <c r="AC934" s="775"/>
      <c r="AD934" s="777">
        <f>+SUM(AD930:AI933)</f>
        <v>0</v>
      </c>
      <c r="AE934" s="774"/>
      <c r="AF934" s="774"/>
      <c r="AG934" s="774"/>
      <c r="AH934" s="774"/>
      <c r="AI934" s="778"/>
      <c r="AJ934" s="794">
        <f>+SUM(AJ930:AQ933)</f>
        <v>0</v>
      </c>
      <c r="AK934" s="795"/>
      <c r="AL934" s="795"/>
      <c r="AM934" s="795"/>
      <c r="AN934" s="795"/>
      <c r="AO934" s="795"/>
      <c r="AP934" s="795"/>
      <c r="AQ934" s="796"/>
      <c r="AR934" s="797">
        <f>+SUM(AR930:AV933)</f>
        <v>0</v>
      </c>
      <c r="AS934" s="798"/>
      <c r="AT934" s="798"/>
      <c r="AU934" s="798"/>
      <c r="AV934" s="799"/>
      <c r="AW934" s="773">
        <f>+SUM(AW930:BB933)</f>
        <v>0</v>
      </c>
      <c r="AX934" s="774"/>
      <c r="AY934" s="774"/>
      <c r="AZ934" s="774"/>
      <c r="BA934" s="774"/>
      <c r="BB934" s="775"/>
      <c r="BC934" s="777">
        <f>+SUM(BC930:BI933)</f>
        <v>0</v>
      </c>
      <c r="BD934" s="774"/>
      <c r="BE934" s="774"/>
      <c r="BF934" s="774"/>
      <c r="BG934" s="774"/>
      <c r="BH934" s="774"/>
      <c r="BI934" s="778"/>
      <c r="BJ934" s="773">
        <f>+SUM(BJ930:BP933)</f>
        <v>0</v>
      </c>
      <c r="BK934" s="774"/>
      <c r="BL934" s="774"/>
      <c r="BM934" s="774"/>
      <c r="BN934" s="774"/>
      <c r="BO934" s="774"/>
      <c r="BP934" s="775"/>
      <c r="BQ934" s="777">
        <f>+SUM(BQ930:BZ933)</f>
        <v>0</v>
      </c>
      <c r="BR934" s="774"/>
      <c r="BS934" s="774"/>
      <c r="BT934" s="774"/>
      <c r="BU934" s="774"/>
      <c r="BV934" s="774"/>
      <c r="BW934" s="774"/>
      <c r="BX934" s="774"/>
      <c r="BY934" s="774"/>
      <c r="BZ934" s="775"/>
      <c r="CA934" s="270"/>
      <c r="CB934" s="3" t="str">
        <f t="shared" si="115"/>
        <v>Riadok bude skrytý.</v>
      </c>
      <c r="CC934" s="271" t="s">
        <v>832</v>
      </c>
      <c r="CW934" s="35">
        <f t="shared" si="118"/>
        <v>1</v>
      </c>
      <c r="CX934" s="30"/>
      <c r="CY934" s="30"/>
      <c r="CZ934" s="30">
        <f t="shared" si="121"/>
        <v>1</v>
      </c>
      <c r="DA934" s="30">
        <f t="shared" si="117"/>
        <v>1</v>
      </c>
      <c r="DB934" s="2">
        <f t="shared" si="116"/>
        <v>0</v>
      </c>
      <c r="DR934" s="76"/>
      <c r="DS934" s="130">
        <f>SI!BY934</f>
        <v>144</v>
      </c>
      <c r="DT934" s="130"/>
      <c r="DU934" s="130"/>
      <c r="DV934" s="130"/>
      <c r="DW934" s="130"/>
      <c r="DX934" s="130"/>
      <c r="DY934" s="130"/>
      <c r="DZ934" s="131">
        <f>SI!BZ934</f>
        <v>13</v>
      </c>
      <c r="EA934" s="76"/>
      <c r="EB934" s="76"/>
    </row>
    <row r="935" spans="1:132" s="14" customFormat="1" hidden="1" x14ac:dyDescent="0.25">
      <c r="A935" s="290"/>
      <c r="B935" s="819" t="str">
        <f>+IF(LEN(SI!J2)=Poznamky_k_UZ!DZ935,"Oprávky","")</f>
        <v>Oprávky</v>
      </c>
      <c r="C935" s="820"/>
      <c r="D935" s="820"/>
      <c r="E935" s="820"/>
      <c r="F935" s="820"/>
      <c r="G935" s="820"/>
      <c r="H935" s="820"/>
      <c r="I935" s="820"/>
      <c r="J935" s="820"/>
      <c r="K935" s="820"/>
      <c r="L935" s="820"/>
      <c r="M935" s="820"/>
      <c r="N935" s="820"/>
      <c r="O935" s="820"/>
      <c r="P935" s="820"/>
      <c r="Q935" s="820"/>
      <c r="R935" s="820"/>
      <c r="S935" s="820"/>
      <c r="T935" s="820"/>
      <c r="U935" s="820"/>
      <c r="V935" s="820"/>
      <c r="W935" s="820"/>
      <c r="X935" s="820"/>
      <c r="Y935" s="820"/>
      <c r="Z935" s="820"/>
      <c r="AA935" s="820"/>
      <c r="AB935" s="820"/>
      <c r="AC935" s="820"/>
      <c r="AD935" s="820"/>
      <c r="AE935" s="820"/>
      <c r="AF935" s="820"/>
      <c r="AG935" s="820"/>
      <c r="AH935" s="820"/>
      <c r="AI935" s="820"/>
      <c r="AJ935" s="820"/>
      <c r="AK935" s="820"/>
      <c r="AL935" s="820"/>
      <c r="AM935" s="820"/>
      <c r="AN935" s="820"/>
      <c r="AO935" s="820"/>
      <c r="AP935" s="820"/>
      <c r="AQ935" s="820"/>
      <c r="AR935" s="820"/>
      <c r="AS935" s="820"/>
      <c r="AT935" s="820"/>
      <c r="AU935" s="820"/>
      <c r="AV935" s="820"/>
      <c r="AW935" s="820"/>
      <c r="AX935" s="820"/>
      <c r="AY935" s="820"/>
      <c r="AZ935" s="820"/>
      <c r="BA935" s="820"/>
      <c r="BB935" s="820"/>
      <c r="BC935" s="820"/>
      <c r="BD935" s="820"/>
      <c r="BE935" s="820"/>
      <c r="BF935" s="820"/>
      <c r="BG935" s="820"/>
      <c r="BH935" s="820"/>
      <c r="BI935" s="820"/>
      <c r="BJ935" s="820"/>
      <c r="BK935" s="820"/>
      <c r="BL935" s="820"/>
      <c r="BM935" s="820"/>
      <c r="BN935" s="820"/>
      <c r="BO935" s="820"/>
      <c r="BP935" s="820"/>
      <c r="BQ935" s="820"/>
      <c r="BR935" s="820"/>
      <c r="BS935" s="820"/>
      <c r="BT935" s="820"/>
      <c r="BU935" s="820"/>
      <c r="BV935" s="820"/>
      <c r="BW935" s="820"/>
      <c r="BX935" s="820"/>
      <c r="BY935" s="820"/>
      <c r="BZ935" s="821"/>
      <c r="CA935" s="270"/>
      <c r="CB935" s="3" t="str">
        <f t="shared" si="115"/>
        <v>Riadok bude skrytý.</v>
      </c>
      <c r="CC935" s="271" t="s">
        <v>832</v>
      </c>
      <c r="CW935" s="35">
        <f t="shared" si="118"/>
        <v>1</v>
      </c>
      <c r="CX935" s="30"/>
      <c r="CY935" s="30"/>
      <c r="CZ935" s="30">
        <f t="shared" si="121"/>
        <v>1</v>
      </c>
      <c r="DA935" s="30">
        <f t="shared" si="117"/>
        <v>1</v>
      </c>
      <c r="DB935" s="2">
        <f t="shared" si="116"/>
        <v>0</v>
      </c>
      <c r="DR935" s="76"/>
      <c r="DS935" s="130">
        <f>SI!BY935</f>
        <v>120</v>
      </c>
      <c r="DT935" s="130"/>
      <c r="DU935" s="130"/>
      <c r="DV935" s="130"/>
      <c r="DW935" s="130"/>
      <c r="DX935" s="130"/>
      <c r="DY935" s="130"/>
      <c r="DZ935" s="131">
        <f>SI!BZ935</f>
        <v>13</v>
      </c>
      <c r="EA935" s="76"/>
      <c r="EB935" s="76"/>
    </row>
    <row r="936" spans="1:132" s="14" customFormat="1" hidden="1" x14ac:dyDescent="0.25">
      <c r="A936" s="290"/>
      <c r="B936" s="579" t="str">
        <f>+IF(LEN(SI!J2)=Poznamky_k_UZ!DZ936,"Stav na začiatku účt. obdobia","")</f>
        <v>Stav na začiatku účt. obdobia</v>
      </c>
      <c r="C936" s="580"/>
      <c r="D936" s="580"/>
      <c r="E936" s="580"/>
      <c r="F936" s="580"/>
      <c r="G936" s="580"/>
      <c r="H936" s="580"/>
      <c r="I936" s="580"/>
      <c r="J936" s="580"/>
      <c r="K936" s="580"/>
      <c r="L936" s="580"/>
      <c r="M936" s="580"/>
      <c r="N936" s="580"/>
      <c r="O936" s="580"/>
      <c r="P936" s="580"/>
      <c r="Q936" s="580"/>
      <c r="R936" s="580"/>
      <c r="S936" s="580"/>
      <c r="T936" s="580"/>
      <c r="U936" s="580"/>
      <c r="V936" s="580"/>
      <c r="W936" s="782"/>
      <c r="X936" s="783"/>
      <c r="Y936" s="783"/>
      <c r="Z936" s="783"/>
      <c r="AA936" s="783"/>
      <c r="AB936" s="783"/>
      <c r="AC936" s="784"/>
      <c r="AD936" s="828"/>
      <c r="AE936" s="783"/>
      <c r="AF936" s="783"/>
      <c r="AG936" s="783"/>
      <c r="AH936" s="783"/>
      <c r="AI936" s="829"/>
      <c r="AJ936" s="830"/>
      <c r="AK936" s="831"/>
      <c r="AL936" s="831"/>
      <c r="AM936" s="831"/>
      <c r="AN936" s="831"/>
      <c r="AO936" s="831"/>
      <c r="AP936" s="831"/>
      <c r="AQ936" s="832"/>
      <c r="AR936" s="833"/>
      <c r="AS936" s="831"/>
      <c r="AT936" s="831"/>
      <c r="AU936" s="831"/>
      <c r="AV936" s="834"/>
      <c r="AW936" s="782"/>
      <c r="AX936" s="783"/>
      <c r="AY936" s="783"/>
      <c r="AZ936" s="783"/>
      <c r="BA936" s="783"/>
      <c r="BB936" s="784"/>
      <c r="BC936" s="828"/>
      <c r="BD936" s="783"/>
      <c r="BE936" s="783"/>
      <c r="BF936" s="783"/>
      <c r="BG936" s="783"/>
      <c r="BH936" s="783"/>
      <c r="BI936" s="829"/>
      <c r="BJ936" s="782"/>
      <c r="BK936" s="783"/>
      <c r="BL936" s="783"/>
      <c r="BM936" s="783"/>
      <c r="BN936" s="783"/>
      <c r="BO936" s="783"/>
      <c r="BP936" s="784"/>
      <c r="BQ936" s="777">
        <f>+SUM(W936:BP936)</f>
        <v>0</v>
      </c>
      <c r="BR936" s="774"/>
      <c r="BS936" s="774"/>
      <c r="BT936" s="774"/>
      <c r="BU936" s="774"/>
      <c r="BV936" s="774"/>
      <c r="BW936" s="774"/>
      <c r="BX936" s="774"/>
      <c r="BY936" s="774"/>
      <c r="BZ936" s="775"/>
      <c r="CA936" s="270"/>
      <c r="CB936" s="3" t="str">
        <f t="shared" si="115"/>
        <v>Riadok bude skrytý.</v>
      </c>
      <c r="CC936" s="271" t="s">
        <v>832</v>
      </c>
      <c r="CW936" s="35">
        <f t="shared" si="118"/>
        <v>1</v>
      </c>
      <c r="CX936" s="30"/>
      <c r="CY936" s="30"/>
      <c r="CZ936" s="30">
        <f t="shared" si="121"/>
        <v>1</v>
      </c>
      <c r="DA936" s="30">
        <f t="shared" si="117"/>
        <v>1</v>
      </c>
      <c r="DB936" s="2">
        <f t="shared" si="116"/>
        <v>0</v>
      </c>
      <c r="DR936" s="76"/>
      <c r="DS936" s="130">
        <f>SI!BY936</f>
        <v>529</v>
      </c>
      <c r="DT936" s="130"/>
      <c r="DU936" s="130"/>
      <c r="DV936" s="130"/>
      <c r="DW936" s="130"/>
      <c r="DX936" s="130"/>
      <c r="DY936" s="130"/>
      <c r="DZ936" s="131">
        <f>SI!BZ936</f>
        <v>13</v>
      </c>
      <c r="EA936" s="76"/>
      <c r="EB936" s="76"/>
    </row>
    <row r="937" spans="1:132" s="14" customFormat="1" hidden="1" x14ac:dyDescent="0.25">
      <c r="A937" s="290"/>
      <c r="B937" s="814" t="str">
        <f>+IF(LEN(SI!J2)=Poznamky_k_UZ!DZ937,"Prírastky","")</f>
        <v>Prírastky</v>
      </c>
      <c r="C937" s="815"/>
      <c r="D937" s="815"/>
      <c r="E937" s="815"/>
      <c r="F937" s="815"/>
      <c r="G937" s="815"/>
      <c r="H937" s="815"/>
      <c r="I937" s="815"/>
      <c r="J937" s="815"/>
      <c r="K937" s="815"/>
      <c r="L937" s="815"/>
      <c r="M937" s="815"/>
      <c r="N937" s="815"/>
      <c r="O937" s="815"/>
      <c r="P937" s="815"/>
      <c r="Q937" s="815"/>
      <c r="R937" s="815"/>
      <c r="S937" s="815"/>
      <c r="T937" s="815"/>
      <c r="U937" s="815"/>
      <c r="V937" s="815"/>
      <c r="W937" s="800"/>
      <c r="X937" s="801"/>
      <c r="Y937" s="801"/>
      <c r="Z937" s="801"/>
      <c r="AA937" s="801"/>
      <c r="AB937" s="801"/>
      <c r="AC937" s="802"/>
      <c r="AD937" s="803"/>
      <c r="AE937" s="801"/>
      <c r="AF937" s="801"/>
      <c r="AG937" s="801"/>
      <c r="AH937" s="801"/>
      <c r="AI937" s="804"/>
      <c r="AJ937" s="805"/>
      <c r="AK937" s="806"/>
      <c r="AL937" s="806"/>
      <c r="AM937" s="806"/>
      <c r="AN937" s="806"/>
      <c r="AO937" s="806"/>
      <c r="AP937" s="806"/>
      <c r="AQ937" s="807"/>
      <c r="AR937" s="808"/>
      <c r="AS937" s="806"/>
      <c r="AT937" s="806"/>
      <c r="AU937" s="806"/>
      <c r="AV937" s="809"/>
      <c r="AW937" s="800"/>
      <c r="AX937" s="801"/>
      <c r="AY937" s="801"/>
      <c r="AZ937" s="801"/>
      <c r="BA937" s="801"/>
      <c r="BB937" s="802"/>
      <c r="BC937" s="803"/>
      <c r="BD937" s="801"/>
      <c r="BE937" s="801"/>
      <c r="BF937" s="801"/>
      <c r="BG937" s="801"/>
      <c r="BH937" s="801"/>
      <c r="BI937" s="804"/>
      <c r="BJ937" s="800"/>
      <c r="BK937" s="801"/>
      <c r="BL937" s="801"/>
      <c r="BM937" s="801"/>
      <c r="BN937" s="801"/>
      <c r="BO937" s="801"/>
      <c r="BP937" s="802"/>
      <c r="BQ937" s="825">
        <f>+SUM(W937:BP937)</f>
        <v>0</v>
      </c>
      <c r="BR937" s="826"/>
      <c r="BS937" s="826"/>
      <c r="BT937" s="826"/>
      <c r="BU937" s="826"/>
      <c r="BV937" s="826"/>
      <c r="BW937" s="826"/>
      <c r="BX937" s="826"/>
      <c r="BY937" s="826"/>
      <c r="BZ937" s="827"/>
      <c r="CA937" s="270"/>
      <c r="CB937" s="3" t="str">
        <f t="shared" si="115"/>
        <v>Riadok bude skrytý.</v>
      </c>
      <c r="CC937" s="271" t="s">
        <v>832</v>
      </c>
      <c r="CW937" s="35">
        <f t="shared" si="118"/>
        <v>1</v>
      </c>
      <c r="CX937" s="30"/>
      <c r="CY937" s="30"/>
      <c r="CZ937" s="30">
        <f t="shared" si="121"/>
        <v>1</v>
      </c>
      <c r="DA937" s="30">
        <f t="shared" si="117"/>
        <v>1</v>
      </c>
      <c r="DB937" s="2">
        <f t="shared" si="116"/>
        <v>0</v>
      </c>
      <c r="DR937" s="76"/>
      <c r="DS937" s="130">
        <f>SI!BY937</f>
        <v>176</v>
      </c>
      <c r="DT937" s="130"/>
      <c r="DU937" s="130"/>
      <c r="DV937" s="130"/>
      <c r="DW937" s="130"/>
      <c r="DX937" s="130"/>
      <c r="DY937" s="130"/>
      <c r="DZ937" s="131">
        <f>SI!BZ937</f>
        <v>13</v>
      </c>
      <c r="EA937" s="76"/>
      <c r="EB937" s="76"/>
    </row>
    <row r="938" spans="1:132" s="14" customFormat="1" hidden="1" x14ac:dyDescent="0.25">
      <c r="A938" s="290"/>
      <c r="B938" s="764" t="str">
        <f>+IF(LEN(SI!J2)=Poznamky_k_UZ!DZ938,"Úbytky","")</f>
        <v>Úbytky</v>
      </c>
      <c r="C938" s="765"/>
      <c r="D938" s="765"/>
      <c r="E938" s="765"/>
      <c r="F938" s="765"/>
      <c r="G938" s="765"/>
      <c r="H938" s="765"/>
      <c r="I938" s="765"/>
      <c r="J938" s="765"/>
      <c r="K938" s="765"/>
      <c r="L938" s="765"/>
      <c r="M938" s="765"/>
      <c r="N938" s="765"/>
      <c r="O938" s="765"/>
      <c r="P938" s="765"/>
      <c r="Q938" s="765"/>
      <c r="R938" s="765"/>
      <c r="S938" s="765"/>
      <c r="T938" s="765"/>
      <c r="U938" s="765"/>
      <c r="V938" s="766"/>
      <c r="W938" s="1246"/>
      <c r="X938" s="1247"/>
      <c r="Y938" s="1247"/>
      <c r="Z938" s="1247"/>
      <c r="AA938" s="1247"/>
      <c r="AB938" s="1247"/>
      <c r="AC938" s="1248"/>
      <c r="AD938" s="1246"/>
      <c r="AE938" s="1247"/>
      <c r="AF938" s="1247"/>
      <c r="AG938" s="1247"/>
      <c r="AH938" s="1247"/>
      <c r="AI938" s="1248"/>
      <c r="AJ938" s="1272"/>
      <c r="AK938" s="1273"/>
      <c r="AL938" s="1273"/>
      <c r="AM938" s="1273"/>
      <c r="AN938" s="1273"/>
      <c r="AO938" s="1273"/>
      <c r="AP938" s="1273"/>
      <c r="AQ938" s="1274"/>
      <c r="AR938" s="1272"/>
      <c r="AS938" s="1273"/>
      <c r="AT938" s="1273"/>
      <c r="AU938" s="1273"/>
      <c r="AV938" s="1274"/>
      <c r="AW938" s="1246"/>
      <c r="AX938" s="1247"/>
      <c r="AY938" s="1247"/>
      <c r="AZ938" s="1247"/>
      <c r="BA938" s="1247"/>
      <c r="BB938" s="1248"/>
      <c r="BC938" s="1246"/>
      <c r="BD938" s="1247"/>
      <c r="BE938" s="1247"/>
      <c r="BF938" s="1247"/>
      <c r="BG938" s="1247"/>
      <c r="BH938" s="1247"/>
      <c r="BI938" s="1248"/>
      <c r="BJ938" s="1246"/>
      <c r="BK938" s="1247"/>
      <c r="BL938" s="1247"/>
      <c r="BM938" s="1247"/>
      <c r="BN938" s="1247"/>
      <c r="BO938" s="1247"/>
      <c r="BP938" s="1248"/>
      <c r="BQ938" s="1269">
        <f>+SUM(W938:BP938)</f>
        <v>0</v>
      </c>
      <c r="BR938" s="1270"/>
      <c r="BS938" s="1270"/>
      <c r="BT938" s="1270"/>
      <c r="BU938" s="1270"/>
      <c r="BV938" s="1270"/>
      <c r="BW938" s="1270"/>
      <c r="BX938" s="1270"/>
      <c r="BY938" s="1270"/>
      <c r="BZ938" s="1271"/>
      <c r="CA938" s="270"/>
      <c r="CB938" s="3" t="str">
        <f t="shared" si="115"/>
        <v>Riadok bude skrytý.</v>
      </c>
      <c r="CC938" s="271" t="s">
        <v>832</v>
      </c>
      <c r="CW938" s="35">
        <f t="shared" si="118"/>
        <v>1</v>
      </c>
      <c r="CX938" s="30"/>
      <c r="CY938" s="30"/>
      <c r="CZ938" s="30">
        <f t="shared" si="121"/>
        <v>1</v>
      </c>
      <c r="DA938" s="30">
        <f t="shared" si="117"/>
        <v>1</v>
      </c>
      <c r="DB938" s="2">
        <f t="shared" si="116"/>
        <v>0</v>
      </c>
      <c r="DR938" s="76"/>
      <c r="DS938" s="130">
        <f>SI!BY938</f>
        <v>365</v>
      </c>
      <c r="DT938" s="130"/>
      <c r="DU938" s="130"/>
      <c r="DV938" s="130"/>
      <c r="DW938" s="130"/>
      <c r="DX938" s="130"/>
      <c r="DY938" s="130"/>
      <c r="DZ938" s="131">
        <f>SI!BZ938</f>
        <v>13</v>
      </c>
      <c r="EA938" s="76"/>
      <c r="EB938" s="76"/>
    </row>
    <row r="939" spans="1:132" s="14" customFormat="1" hidden="1" x14ac:dyDescent="0.25">
      <c r="A939" s="290"/>
      <c r="B939" s="861" t="s">
        <v>115</v>
      </c>
      <c r="C939" s="862"/>
      <c r="D939" s="862"/>
      <c r="E939" s="862"/>
      <c r="F939" s="862"/>
      <c r="G939" s="862"/>
      <c r="H939" s="862"/>
      <c r="I939" s="862"/>
      <c r="J939" s="862"/>
      <c r="K939" s="862"/>
      <c r="L939" s="862"/>
      <c r="M939" s="862"/>
      <c r="N939" s="862"/>
      <c r="O939" s="862"/>
      <c r="P939" s="862"/>
      <c r="Q939" s="862"/>
      <c r="R939" s="862"/>
      <c r="S939" s="862"/>
      <c r="T939" s="862"/>
      <c r="U939" s="862"/>
      <c r="V939" s="863"/>
      <c r="W939" s="856"/>
      <c r="X939" s="857"/>
      <c r="Y939" s="857"/>
      <c r="Z939" s="857"/>
      <c r="AA939" s="857"/>
      <c r="AB939" s="857"/>
      <c r="AC939" s="858"/>
      <c r="AD939" s="859"/>
      <c r="AE939" s="857"/>
      <c r="AF939" s="857"/>
      <c r="AG939" s="857"/>
      <c r="AH939" s="857"/>
      <c r="AI939" s="860"/>
      <c r="AJ939" s="788"/>
      <c r="AK939" s="789"/>
      <c r="AL939" s="789"/>
      <c r="AM939" s="789"/>
      <c r="AN939" s="789"/>
      <c r="AO939" s="789"/>
      <c r="AP939" s="789"/>
      <c r="AQ939" s="790"/>
      <c r="AR939" s="864"/>
      <c r="AS939" s="789"/>
      <c r="AT939" s="789"/>
      <c r="AU939" s="789"/>
      <c r="AV939" s="865"/>
      <c r="AW939" s="856"/>
      <c r="AX939" s="857"/>
      <c r="AY939" s="857"/>
      <c r="AZ939" s="857"/>
      <c r="BA939" s="857"/>
      <c r="BB939" s="858"/>
      <c r="BC939" s="859"/>
      <c r="BD939" s="857"/>
      <c r="BE939" s="857"/>
      <c r="BF939" s="857"/>
      <c r="BG939" s="857"/>
      <c r="BH939" s="857"/>
      <c r="BI939" s="860"/>
      <c r="BJ939" s="856"/>
      <c r="BK939" s="857"/>
      <c r="BL939" s="857"/>
      <c r="BM939" s="857"/>
      <c r="BN939" s="857"/>
      <c r="BO939" s="857"/>
      <c r="BP939" s="858"/>
      <c r="BQ939" s="767">
        <f>+SUM(W939:BP939)</f>
        <v>0</v>
      </c>
      <c r="BR939" s="768"/>
      <c r="BS939" s="768"/>
      <c r="BT939" s="768"/>
      <c r="BU939" s="768"/>
      <c r="BV939" s="768"/>
      <c r="BW939" s="768"/>
      <c r="BX939" s="768"/>
      <c r="BY939" s="768"/>
      <c r="BZ939" s="769"/>
      <c r="CA939" s="270"/>
      <c r="CB939" s="3" t="str">
        <f t="shared" si="115"/>
        <v>Riadok bude skrytý.</v>
      </c>
      <c r="CC939" s="271" t="s">
        <v>832</v>
      </c>
      <c r="CD939" s="121" t="s">
        <v>1006</v>
      </c>
      <c r="CE939" s="121"/>
      <c r="CW939" s="35">
        <f t="shared" si="118"/>
        <v>1</v>
      </c>
      <c r="CX939" s="30"/>
      <c r="CY939" s="30"/>
      <c r="CZ939" s="30">
        <f>IF(CC939="",1,IF(CC939="Chcem skryť riadok.",0,1))</f>
        <v>1</v>
      </c>
      <c r="DA939" s="30">
        <f>+IF(CW939+CX939+CY939=0,0,IF(CZ939=0,0,1))</f>
        <v>1</v>
      </c>
      <c r="DB939" s="2">
        <f t="shared" si="116"/>
        <v>0</v>
      </c>
      <c r="DR939" s="76"/>
      <c r="DS939" s="130">
        <f>SI!BY939</f>
        <v>1158</v>
      </c>
      <c r="DT939" s="130"/>
      <c r="DU939" s="130"/>
      <c r="DV939" s="130"/>
      <c r="DW939" s="130"/>
      <c r="DX939" s="130"/>
      <c r="DY939" s="130"/>
      <c r="DZ939" s="131">
        <f>SI!BZ939</f>
        <v>0</v>
      </c>
      <c r="EA939" s="76"/>
      <c r="EB939" s="76"/>
    </row>
    <row r="940" spans="1:132" s="14" customFormat="1" hidden="1" x14ac:dyDescent="0.25">
      <c r="A940" s="290"/>
      <c r="B940" s="579" t="str">
        <f>+IF(LEN(SI!J2)=Poznamky_k_UZ!DZ940,"Stav na konci účt. obdobia","")</f>
        <v>Stav na konci účt. obdobia</v>
      </c>
      <c r="C940" s="580"/>
      <c r="D940" s="580"/>
      <c r="E940" s="580"/>
      <c r="F940" s="580"/>
      <c r="G940" s="580"/>
      <c r="H940" s="580"/>
      <c r="I940" s="580"/>
      <c r="J940" s="580"/>
      <c r="K940" s="580"/>
      <c r="L940" s="580"/>
      <c r="M940" s="580"/>
      <c r="N940" s="580"/>
      <c r="O940" s="580"/>
      <c r="P940" s="580"/>
      <c r="Q940" s="580"/>
      <c r="R940" s="580"/>
      <c r="S940" s="580"/>
      <c r="T940" s="580"/>
      <c r="U940" s="580"/>
      <c r="V940" s="580"/>
      <c r="W940" s="773">
        <f>+SUM(W936:AC939)</f>
        <v>0</v>
      </c>
      <c r="X940" s="774"/>
      <c r="Y940" s="774"/>
      <c r="Z940" s="774"/>
      <c r="AA940" s="774"/>
      <c r="AB940" s="774"/>
      <c r="AC940" s="775"/>
      <c r="AD940" s="777">
        <f>+SUM(AD936:AI939)</f>
        <v>0</v>
      </c>
      <c r="AE940" s="774"/>
      <c r="AF940" s="774"/>
      <c r="AG940" s="774"/>
      <c r="AH940" s="774"/>
      <c r="AI940" s="778"/>
      <c r="AJ940" s="794">
        <f>+SUM(AJ936:AQ939)</f>
        <v>0</v>
      </c>
      <c r="AK940" s="795"/>
      <c r="AL940" s="795"/>
      <c r="AM940" s="795"/>
      <c r="AN940" s="795"/>
      <c r="AO940" s="795"/>
      <c r="AP940" s="795"/>
      <c r="AQ940" s="796"/>
      <c r="AR940" s="797">
        <f>+SUM(AR936:AV939)</f>
        <v>0</v>
      </c>
      <c r="AS940" s="798"/>
      <c r="AT940" s="798"/>
      <c r="AU940" s="798"/>
      <c r="AV940" s="799"/>
      <c r="AW940" s="773">
        <f>+SUM(AW936:BB939)</f>
        <v>0</v>
      </c>
      <c r="AX940" s="774"/>
      <c r="AY940" s="774"/>
      <c r="AZ940" s="774"/>
      <c r="BA940" s="774"/>
      <c r="BB940" s="775"/>
      <c r="BC940" s="777">
        <f>+SUM(BC936:BI939)</f>
        <v>0</v>
      </c>
      <c r="BD940" s="774"/>
      <c r="BE940" s="774"/>
      <c r="BF940" s="774"/>
      <c r="BG940" s="774"/>
      <c r="BH940" s="774"/>
      <c r="BI940" s="778"/>
      <c r="BJ940" s="773">
        <f>+SUM(BJ936:BP939)</f>
        <v>0</v>
      </c>
      <c r="BK940" s="774"/>
      <c r="BL940" s="774"/>
      <c r="BM940" s="774"/>
      <c r="BN940" s="774"/>
      <c r="BO940" s="774"/>
      <c r="BP940" s="775"/>
      <c r="BQ940" s="777">
        <f>+SUM(BQ936:BZ939)</f>
        <v>0</v>
      </c>
      <c r="BR940" s="774"/>
      <c r="BS940" s="774"/>
      <c r="BT940" s="774"/>
      <c r="BU940" s="774"/>
      <c r="BV940" s="774"/>
      <c r="BW940" s="774"/>
      <c r="BX940" s="774"/>
      <c r="BY940" s="774"/>
      <c r="BZ940" s="775"/>
      <c r="CA940" s="270"/>
      <c r="CB940" s="3" t="str">
        <f t="shared" si="115"/>
        <v>Riadok bude skrytý.</v>
      </c>
      <c r="CC940" s="271" t="s">
        <v>832</v>
      </c>
      <c r="CW940" s="35">
        <f t="shared" ref="CW940:CW945" si="122">+IF($J$900="neeviduje",0,1)</f>
        <v>1</v>
      </c>
      <c r="CX940" s="30"/>
      <c r="CY940" s="30"/>
      <c r="CZ940" s="30">
        <f t="shared" si="121"/>
        <v>1</v>
      </c>
      <c r="DA940" s="30">
        <f t="shared" si="117"/>
        <v>1</v>
      </c>
      <c r="DB940" s="2">
        <f t="shared" si="116"/>
        <v>0</v>
      </c>
      <c r="DR940" s="76"/>
      <c r="DS940" s="130">
        <f>SI!BY940</f>
        <v>121</v>
      </c>
      <c r="DT940" s="130"/>
      <c r="DU940" s="130"/>
      <c r="DV940" s="130"/>
      <c r="DW940" s="130"/>
      <c r="DX940" s="130"/>
      <c r="DY940" s="130"/>
      <c r="DZ940" s="131">
        <f>SI!BZ940</f>
        <v>13</v>
      </c>
      <c r="EA940" s="76"/>
      <c r="EB940" s="76"/>
    </row>
    <row r="941" spans="1:132" s="14" customFormat="1" hidden="1" x14ac:dyDescent="0.25">
      <c r="A941" s="290"/>
      <c r="B941" s="779" t="str">
        <f>+IF(LEN(SI!J2)=Poznamky_k_UZ!DZ941,"Opravné položky","")</f>
        <v>Opravné položky</v>
      </c>
      <c r="C941" s="780"/>
      <c r="D941" s="780"/>
      <c r="E941" s="780"/>
      <c r="F941" s="780"/>
      <c r="G941" s="780"/>
      <c r="H941" s="780"/>
      <c r="I941" s="780"/>
      <c r="J941" s="780"/>
      <c r="K941" s="780"/>
      <c r="L941" s="780"/>
      <c r="M941" s="780"/>
      <c r="N941" s="780"/>
      <c r="O941" s="780"/>
      <c r="P941" s="780"/>
      <c r="Q941" s="780"/>
      <c r="R941" s="780"/>
      <c r="S941" s="780"/>
      <c r="T941" s="780"/>
      <c r="U941" s="780"/>
      <c r="V941" s="780"/>
      <c r="W941" s="780"/>
      <c r="X941" s="780"/>
      <c r="Y941" s="780"/>
      <c r="Z941" s="780"/>
      <c r="AA941" s="780"/>
      <c r="AB941" s="780"/>
      <c r="AC941" s="780"/>
      <c r="AD941" s="780"/>
      <c r="AE941" s="780"/>
      <c r="AF941" s="780"/>
      <c r="AG941" s="780"/>
      <c r="AH941" s="780"/>
      <c r="AI941" s="780"/>
      <c r="AJ941" s="780"/>
      <c r="AK941" s="780"/>
      <c r="AL941" s="780"/>
      <c r="AM941" s="780"/>
      <c r="AN941" s="780"/>
      <c r="AO941" s="780"/>
      <c r="AP941" s="780"/>
      <c r="AQ941" s="780"/>
      <c r="AR941" s="780"/>
      <c r="AS941" s="780"/>
      <c r="AT941" s="780"/>
      <c r="AU941" s="780"/>
      <c r="AV941" s="780"/>
      <c r="AW941" s="780"/>
      <c r="AX941" s="780"/>
      <c r="AY941" s="780"/>
      <c r="AZ941" s="780"/>
      <c r="BA941" s="780"/>
      <c r="BB941" s="780"/>
      <c r="BC941" s="780"/>
      <c r="BD941" s="780"/>
      <c r="BE941" s="780"/>
      <c r="BF941" s="780"/>
      <c r="BG941" s="780"/>
      <c r="BH941" s="780"/>
      <c r="BI941" s="780"/>
      <c r="BJ941" s="780"/>
      <c r="BK941" s="780"/>
      <c r="BL941" s="780"/>
      <c r="BM941" s="780"/>
      <c r="BN941" s="780"/>
      <c r="BO941" s="780"/>
      <c r="BP941" s="780"/>
      <c r="BQ941" s="780"/>
      <c r="BR941" s="780"/>
      <c r="BS941" s="780"/>
      <c r="BT941" s="780"/>
      <c r="BU941" s="780"/>
      <c r="BV941" s="780"/>
      <c r="BW941" s="780"/>
      <c r="BX941" s="780"/>
      <c r="BY941" s="780"/>
      <c r="BZ941" s="781"/>
      <c r="CA941" s="270"/>
      <c r="CB941" s="3" t="str">
        <f t="shared" si="115"/>
        <v>Riadok bude skrytý.</v>
      </c>
      <c r="CC941" s="271" t="s">
        <v>832</v>
      </c>
      <c r="CW941" s="35">
        <f t="shared" si="122"/>
        <v>1</v>
      </c>
      <c r="CX941" s="30"/>
      <c r="CY941" s="30"/>
      <c r="CZ941" s="30">
        <f t="shared" si="121"/>
        <v>1</v>
      </c>
      <c r="DA941" s="30">
        <f t="shared" si="117"/>
        <v>1</v>
      </c>
      <c r="DB941" s="2">
        <f t="shared" si="116"/>
        <v>0</v>
      </c>
      <c r="DR941" s="76"/>
      <c r="DS941" s="130">
        <f>SI!BY941</f>
        <v>108</v>
      </c>
      <c r="DT941" s="130"/>
      <c r="DU941" s="130"/>
      <c r="DV941" s="130"/>
      <c r="DW941" s="130"/>
      <c r="DX941" s="130"/>
      <c r="DY941" s="130"/>
      <c r="DZ941" s="131">
        <f>SI!BZ941</f>
        <v>13</v>
      </c>
      <c r="EA941" s="76"/>
      <c r="EB941" s="76"/>
    </row>
    <row r="942" spans="1:132" s="14" customFormat="1" hidden="1" x14ac:dyDescent="0.25">
      <c r="A942" s="290"/>
      <c r="B942" s="579" t="str">
        <f>+IF(LEN(SI!J2)=Poznamky_k_UZ!DZ942,"Stav na začiatku účt. obdobia","")</f>
        <v>Stav na začiatku účt. obdobia</v>
      </c>
      <c r="C942" s="580"/>
      <c r="D942" s="580"/>
      <c r="E942" s="580"/>
      <c r="F942" s="580"/>
      <c r="G942" s="580"/>
      <c r="H942" s="580"/>
      <c r="I942" s="580"/>
      <c r="J942" s="580"/>
      <c r="K942" s="580"/>
      <c r="L942" s="580"/>
      <c r="M942" s="580"/>
      <c r="N942" s="580"/>
      <c r="O942" s="580"/>
      <c r="P942" s="580"/>
      <c r="Q942" s="580"/>
      <c r="R942" s="580"/>
      <c r="S942" s="580"/>
      <c r="T942" s="580"/>
      <c r="U942" s="580"/>
      <c r="V942" s="580"/>
      <c r="W942" s="782"/>
      <c r="X942" s="783"/>
      <c r="Y942" s="783"/>
      <c r="Z942" s="783"/>
      <c r="AA942" s="783"/>
      <c r="AB942" s="783"/>
      <c r="AC942" s="784"/>
      <c r="AD942" s="828"/>
      <c r="AE942" s="783"/>
      <c r="AF942" s="783"/>
      <c r="AG942" s="783"/>
      <c r="AH942" s="783"/>
      <c r="AI942" s="829"/>
      <c r="AJ942" s="830"/>
      <c r="AK942" s="831"/>
      <c r="AL942" s="831"/>
      <c r="AM942" s="831"/>
      <c r="AN942" s="831"/>
      <c r="AO942" s="831"/>
      <c r="AP942" s="831"/>
      <c r="AQ942" s="832"/>
      <c r="AR942" s="833"/>
      <c r="AS942" s="831"/>
      <c r="AT942" s="831"/>
      <c r="AU942" s="831"/>
      <c r="AV942" s="834"/>
      <c r="AW942" s="782"/>
      <c r="AX942" s="783"/>
      <c r="AY942" s="783"/>
      <c r="AZ942" s="783"/>
      <c r="BA942" s="783"/>
      <c r="BB942" s="784"/>
      <c r="BC942" s="828"/>
      <c r="BD942" s="783"/>
      <c r="BE942" s="783"/>
      <c r="BF942" s="783"/>
      <c r="BG942" s="783"/>
      <c r="BH942" s="783"/>
      <c r="BI942" s="829"/>
      <c r="BJ942" s="782"/>
      <c r="BK942" s="783"/>
      <c r="BL942" s="783"/>
      <c r="BM942" s="783"/>
      <c r="BN942" s="783"/>
      <c r="BO942" s="783"/>
      <c r="BP942" s="784"/>
      <c r="BQ942" s="777">
        <f>+SUM(W942:BP942)</f>
        <v>0</v>
      </c>
      <c r="BR942" s="774"/>
      <c r="BS942" s="774"/>
      <c r="BT942" s="774"/>
      <c r="BU942" s="774"/>
      <c r="BV942" s="774"/>
      <c r="BW942" s="774"/>
      <c r="BX942" s="774"/>
      <c r="BY942" s="774"/>
      <c r="BZ942" s="775"/>
      <c r="CA942" s="270"/>
      <c r="CB942" s="3" t="str">
        <f t="shared" si="115"/>
        <v>Riadok bude skrytý.</v>
      </c>
      <c r="CC942" s="271" t="s">
        <v>832</v>
      </c>
      <c r="CW942" s="35">
        <f t="shared" si="122"/>
        <v>1</v>
      </c>
      <c r="CX942" s="30"/>
      <c r="CY942" s="30"/>
      <c r="CZ942" s="30">
        <f t="shared" si="121"/>
        <v>1</v>
      </c>
      <c r="DA942" s="30">
        <f t="shared" si="117"/>
        <v>1</v>
      </c>
      <c r="DB942" s="2">
        <f t="shared" si="116"/>
        <v>0</v>
      </c>
      <c r="DR942" s="76"/>
      <c r="DS942" s="130">
        <f>SI!BY942</f>
        <v>130</v>
      </c>
      <c r="DT942" s="130"/>
      <c r="DU942" s="130"/>
      <c r="DV942" s="130"/>
      <c r="DW942" s="130"/>
      <c r="DX942" s="130"/>
      <c r="DY942" s="130"/>
      <c r="DZ942" s="131">
        <f>SI!BZ942</f>
        <v>13</v>
      </c>
      <c r="EA942" s="76"/>
      <c r="EB942" s="76"/>
    </row>
    <row r="943" spans="1:132" s="14" customFormat="1" hidden="1" x14ac:dyDescent="0.25">
      <c r="A943" s="290"/>
      <c r="B943" s="814" t="str">
        <f>+IF(LEN(SI!J2)=Poznamky_k_UZ!DZ943,"Prírastky","")</f>
        <v>Prírastky</v>
      </c>
      <c r="C943" s="815"/>
      <c r="D943" s="815"/>
      <c r="E943" s="815"/>
      <c r="F943" s="815"/>
      <c r="G943" s="815"/>
      <c r="H943" s="815"/>
      <c r="I943" s="815"/>
      <c r="J943" s="815"/>
      <c r="K943" s="815"/>
      <c r="L943" s="815"/>
      <c r="M943" s="815"/>
      <c r="N943" s="815"/>
      <c r="O943" s="815"/>
      <c r="P943" s="815"/>
      <c r="Q943" s="815"/>
      <c r="R943" s="815"/>
      <c r="S943" s="815"/>
      <c r="T943" s="815"/>
      <c r="U943" s="815"/>
      <c r="V943" s="815"/>
      <c r="W943" s="800"/>
      <c r="X943" s="801"/>
      <c r="Y943" s="801"/>
      <c r="Z943" s="801"/>
      <c r="AA943" s="801"/>
      <c r="AB943" s="801"/>
      <c r="AC943" s="802"/>
      <c r="AD943" s="803"/>
      <c r="AE943" s="801"/>
      <c r="AF943" s="801"/>
      <c r="AG943" s="801"/>
      <c r="AH943" s="801"/>
      <c r="AI943" s="804"/>
      <c r="AJ943" s="805"/>
      <c r="AK943" s="806"/>
      <c r="AL943" s="806"/>
      <c r="AM943" s="806"/>
      <c r="AN943" s="806"/>
      <c r="AO943" s="806"/>
      <c r="AP943" s="806"/>
      <c r="AQ943" s="807"/>
      <c r="AR943" s="808"/>
      <c r="AS943" s="806"/>
      <c r="AT943" s="806"/>
      <c r="AU943" s="806"/>
      <c r="AV943" s="809"/>
      <c r="AW943" s="800"/>
      <c r="AX943" s="801"/>
      <c r="AY943" s="801"/>
      <c r="AZ943" s="801"/>
      <c r="BA943" s="801"/>
      <c r="BB943" s="802"/>
      <c r="BC943" s="803"/>
      <c r="BD943" s="801"/>
      <c r="BE943" s="801"/>
      <c r="BF943" s="801"/>
      <c r="BG943" s="801"/>
      <c r="BH943" s="801"/>
      <c r="BI943" s="804"/>
      <c r="BJ943" s="800"/>
      <c r="BK943" s="801"/>
      <c r="BL943" s="801"/>
      <c r="BM943" s="801"/>
      <c r="BN943" s="801"/>
      <c r="BO943" s="801"/>
      <c r="BP943" s="802"/>
      <c r="BQ943" s="825">
        <f>+SUM(W943:BP943)</f>
        <v>0</v>
      </c>
      <c r="BR943" s="826"/>
      <c r="BS943" s="826"/>
      <c r="BT943" s="826"/>
      <c r="BU943" s="826"/>
      <c r="BV943" s="826"/>
      <c r="BW943" s="826"/>
      <c r="BX943" s="826"/>
      <c r="BY943" s="826"/>
      <c r="BZ943" s="827"/>
      <c r="CA943" s="270"/>
      <c r="CB943" s="3" t="str">
        <f t="shared" si="115"/>
        <v>Riadok bude skrytý.</v>
      </c>
      <c r="CC943" s="271" t="s">
        <v>832</v>
      </c>
      <c r="CW943" s="35">
        <f t="shared" si="122"/>
        <v>1</v>
      </c>
      <c r="CX943" s="30"/>
      <c r="CY943" s="30"/>
      <c r="CZ943" s="30">
        <f t="shared" si="121"/>
        <v>1</v>
      </c>
      <c r="DA943" s="30">
        <f t="shared" si="117"/>
        <v>1</v>
      </c>
      <c r="DB943" s="2">
        <f t="shared" si="116"/>
        <v>0</v>
      </c>
      <c r="DR943" s="76"/>
      <c r="DS943" s="130">
        <f>SI!BY943</f>
        <v>984</v>
      </c>
      <c r="DT943" s="130"/>
      <c r="DU943" s="130"/>
      <c r="DV943" s="130"/>
      <c r="DW943" s="130"/>
      <c r="DX943" s="130"/>
      <c r="DY943" s="130"/>
      <c r="DZ943" s="131">
        <f>SI!BZ943</f>
        <v>13</v>
      </c>
      <c r="EA943" s="76"/>
      <c r="EB943" s="76"/>
    </row>
    <row r="944" spans="1:132" s="14" customFormat="1" hidden="1" x14ac:dyDescent="0.25">
      <c r="A944" s="290"/>
      <c r="B944" s="764" t="str">
        <f>+IF(LEN(SI!J2)=Poznamky_k_UZ!DZ944,"Úbytky","")</f>
        <v>Úbytky</v>
      </c>
      <c r="C944" s="765"/>
      <c r="D944" s="765"/>
      <c r="E944" s="765"/>
      <c r="F944" s="765"/>
      <c r="G944" s="765"/>
      <c r="H944" s="765"/>
      <c r="I944" s="765"/>
      <c r="J944" s="765"/>
      <c r="K944" s="765"/>
      <c r="L944" s="765"/>
      <c r="M944" s="765"/>
      <c r="N944" s="765"/>
      <c r="O944" s="765"/>
      <c r="P944" s="765"/>
      <c r="Q944" s="765"/>
      <c r="R944" s="765"/>
      <c r="S944" s="765"/>
      <c r="T944" s="765"/>
      <c r="U944" s="765"/>
      <c r="V944" s="766"/>
      <c r="W944" s="791"/>
      <c r="X944" s="792"/>
      <c r="Y944" s="792"/>
      <c r="Z944" s="792"/>
      <c r="AA944" s="792"/>
      <c r="AB944" s="792"/>
      <c r="AC944" s="793"/>
      <c r="AD944" s="810"/>
      <c r="AE944" s="792"/>
      <c r="AF944" s="792"/>
      <c r="AG944" s="792"/>
      <c r="AH944" s="792"/>
      <c r="AI944" s="811"/>
      <c r="AJ944" s="812"/>
      <c r="AK944" s="786"/>
      <c r="AL944" s="786"/>
      <c r="AM944" s="786"/>
      <c r="AN944" s="786"/>
      <c r="AO944" s="786"/>
      <c r="AP944" s="786"/>
      <c r="AQ944" s="813"/>
      <c r="AR944" s="785"/>
      <c r="AS944" s="786"/>
      <c r="AT944" s="786"/>
      <c r="AU944" s="786"/>
      <c r="AV944" s="787"/>
      <c r="AW944" s="791"/>
      <c r="AX944" s="792"/>
      <c r="AY944" s="792"/>
      <c r="AZ944" s="792"/>
      <c r="BA944" s="792"/>
      <c r="BB944" s="793"/>
      <c r="BC944" s="810"/>
      <c r="BD944" s="792"/>
      <c r="BE944" s="792"/>
      <c r="BF944" s="792"/>
      <c r="BG944" s="792"/>
      <c r="BH944" s="792"/>
      <c r="BI944" s="811"/>
      <c r="BJ944" s="791"/>
      <c r="BK944" s="792"/>
      <c r="BL944" s="792"/>
      <c r="BM944" s="792"/>
      <c r="BN944" s="792"/>
      <c r="BO944" s="792"/>
      <c r="BP944" s="793"/>
      <c r="BQ944" s="822">
        <f>+SUM(W944:BP944)</f>
        <v>0</v>
      </c>
      <c r="BR944" s="823"/>
      <c r="BS944" s="823"/>
      <c r="BT944" s="823"/>
      <c r="BU944" s="823"/>
      <c r="BV944" s="823"/>
      <c r="BW944" s="823"/>
      <c r="BX944" s="823"/>
      <c r="BY944" s="823"/>
      <c r="BZ944" s="824"/>
      <c r="CA944" s="270"/>
      <c r="CB944" s="3" t="str">
        <f t="shared" si="115"/>
        <v>Riadok bude skrytý.</v>
      </c>
      <c r="CC944" s="271" t="s">
        <v>832</v>
      </c>
      <c r="CW944" s="35">
        <f t="shared" si="122"/>
        <v>1</v>
      </c>
      <c r="CX944" s="30"/>
      <c r="CY944" s="30"/>
      <c r="CZ944" s="30">
        <f t="shared" si="121"/>
        <v>1</v>
      </c>
      <c r="DA944" s="30">
        <f t="shared" si="117"/>
        <v>1</v>
      </c>
      <c r="DB944" s="2">
        <f t="shared" si="116"/>
        <v>0</v>
      </c>
      <c r="DR944" s="76"/>
      <c r="DS944" s="130">
        <f>SI!BY944</f>
        <v>167</v>
      </c>
      <c r="DT944" s="130"/>
      <c r="DU944" s="130"/>
      <c r="DV944" s="130"/>
      <c r="DW944" s="130"/>
      <c r="DX944" s="130"/>
      <c r="DY944" s="130"/>
      <c r="DZ944" s="131">
        <f>SI!BZ944</f>
        <v>13</v>
      </c>
      <c r="EA944" s="76"/>
      <c r="EB944" s="76"/>
    </row>
    <row r="945" spans="1:132" s="14" customFormat="1" hidden="1" x14ac:dyDescent="0.25">
      <c r="A945" s="290"/>
      <c r="B945" s="861" t="s">
        <v>115</v>
      </c>
      <c r="C945" s="862"/>
      <c r="D945" s="862"/>
      <c r="E945" s="862"/>
      <c r="F945" s="862"/>
      <c r="G945" s="862"/>
      <c r="H945" s="862"/>
      <c r="I945" s="862"/>
      <c r="J945" s="862"/>
      <c r="K945" s="862"/>
      <c r="L945" s="862"/>
      <c r="M945" s="862"/>
      <c r="N945" s="862"/>
      <c r="O945" s="862"/>
      <c r="P945" s="862"/>
      <c r="Q945" s="862"/>
      <c r="R945" s="862"/>
      <c r="S945" s="862"/>
      <c r="T945" s="862"/>
      <c r="U945" s="862"/>
      <c r="V945" s="863"/>
      <c r="W945" s="856"/>
      <c r="X945" s="857"/>
      <c r="Y945" s="857"/>
      <c r="Z945" s="857"/>
      <c r="AA945" s="857"/>
      <c r="AB945" s="857"/>
      <c r="AC945" s="858"/>
      <c r="AD945" s="859"/>
      <c r="AE945" s="857"/>
      <c r="AF945" s="857"/>
      <c r="AG945" s="857"/>
      <c r="AH945" s="857"/>
      <c r="AI945" s="860"/>
      <c r="AJ945" s="788"/>
      <c r="AK945" s="789"/>
      <c r="AL945" s="789"/>
      <c r="AM945" s="789"/>
      <c r="AN945" s="789"/>
      <c r="AO945" s="789"/>
      <c r="AP945" s="789"/>
      <c r="AQ945" s="790"/>
      <c r="AR945" s="864"/>
      <c r="AS945" s="789"/>
      <c r="AT945" s="789"/>
      <c r="AU945" s="789"/>
      <c r="AV945" s="865"/>
      <c r="AW945" s="856"/>
      <c r="AX945" s="857"/>
      <c r="AY945" s="857"/>
      <c r="AZ945" s="857"/>
      <c r="BA945" s="857"/>
      <c r="BB945" s="858"/>
      <c r="BC945" s="859"/>
      <c r="BD945" s="857"/>
      <c r="BE945" s="857"/>
      <c r="BF945" s="857"/>
      <c r="BG945" s="857"/>
      <c r="BH945" s="857"/>
      <c r="BI945" s="860"/>
      <c r="BJ945" s="856"/>
      <c r="BK945" s="857"/>
      <c r="BL945" s="857"/>
      <c r="BM945" s="857"/>
      <c r="BN945" s="857"/>
      <c r="BO945" s="857"/>
      <c r="BP945" s="858"/>
      <c r="BQ945" s="767">
        <f>+SUM(W945:BP945)</f>
        <v>0</v>
      </c>
      <c r="BR945" s="768"/>
      <c r="BS945" s="768"/>
      <c r="BT945" s="768"/>
      <c r="BU945" s="768"/>
      <c r="BV945" s="768"/>
      <c r="BW945" s="768"/>
      <c r="BX945" s="768"/>
      <c r="BY945" s="768"/>
      <c r="BZ945" s="769"/>
      <c r="CA945" s="270"/>
      <c r="CB945" s="3" t="str">
        <f t="shared" si="115"/>
        <v>Riadok bude skrytý.</v>
      </c>
      <c r="CC945" s="271" t="s">
        <v>832</v>
      </c>
      <c r="CD945" s="121" t="s">
        <v>1006</v>
      </c>
      <c r="CE945" s="121"/>
      <c r="CW945" s="35">
        <f t="shared" si="122"/>
        <v>1</v>
      </c>
      <c r="CX945" s="30"/>
      <c r="CY945" s="30"/>
      <c r="CZ945" s="30">
        <f>IF(CC945="",1,IF(CC945="Chcem skryť riadok.",0,1))</f>
        <v>1</v>
      </c>
      <c r="DA945" s="30">
        <f>+IF(CW945+CX945+CY945=0,0,IF(CZ945=0,0,1))</f>
        <v>1</v>
      </c>
      <c r="DB945" s="2">
        <f t="shared" si="116"/>
        <v>0</v>
      </c>
      <c r="DR945" s="76"/>
      <c r="DS945" s="130">
        <f>SI!BY945</f>
        <v>450</v>
      </c>
      <c r="DT945" s="130"/>
      <c r="DU945" s="130"/>
      <c r="DV945" s="130"/>
      <c r="DW945" s="130"/>
      <c r="DX945" s="130"/>
      <c r="DY945" s="130"/>
      <c r="DZ945" s="131">
        <f>SI!BZ945</f>
        <v>0</v>
      </c>
      <c r="EA945" s="76"/>
      <c r="EB945" s="76"/>
    </row>
    <row r="946" spans="1:132" s="14" customFormat="1" hidden="1" x14ac:dyDescent="0.25">
      <c r="A946" s="290"/>
      <c r="B946" s="579" t="str">
        <f>+IF(LEN(SI!J2)=Poznamky_k_UZ!DZ946,"Stav na konci účt. obdobia","")</f>
        <v>Stav na konci účt. obdobia</v>
      </c>
      <c r="C946" s="580"/>
      <c r="D946" s="580"/>
      <c r="E946" s="580"/>
      <c r="F946" s="580"/>
      <c r="G946" s="580"/>
      <c r="H946" s="580"/>
      <c r="I946" s="580"/>
      <c r="J946" s="580"/>
      <c r="K946" s="580"/>
      <c r="L946" s="580"/>
      <c r="M946" s="580"/>
      <c r="N946" s="580"/>
      <c r="O946" s="580"/>
      <c r="P946" s="580"/>
      <c r="Q946" s="580"/>
      <c r="R946" s="580"/>
      <c r="S946" s="580"/>
      <c r="T946" s="580"/>
      <c r="U946" s="580"/>
      <c r="V946" s="580"/>
      <c r="W946" s="773">
        <f>+SUM(W942:AC945)</f>
        <v>0</v>
      </c>
      <c r="X946" s="774"/>
      <c r="Y946" s="774"/>
      <c r="Z946" s="774"/>
      <c r="AA946" s="774"/>
      <c r="AB946" s="774"/>
      <c r="AC946" s="775"/>
      <c r="AD946" s="777">
        <f>+SUM(AD942:AI945)</f>
        <v>0</v>
      </c>
      <c r="AE946" s="774"/>
      <c r="AF946" s="774"/>
      <c r="AG946" s="774"/>
      <c r="AH946" s="774"/>
      <c r="AI946" s="778"/>
      <c r="AJ946" s="794">
        <f>+SUM(AJ942:AQ945)</f>
        <v>0</v>
      </c>
      <c r="AK946" s="795"/>
      <c r="AL946" s="795"/>
      <c r="AM946" s="795"/>
      <c r="AN946" s="795"/>
      <c r="AO946" s="795"/>
      <c r="AP946" s="795"/>
      <c r="AQ946" s="796"/>
      <c r="AR946" s="797">
        <f>+SUM(AR942:AV945)</f>
        <v>0</v>
      </c>
      <c r="AS946" s="798"/>
      <c r="AT946" s="798"/>
      <c r="AU946" s="798"/>
      <c r="AV946" s="799"/>
      <c r="AW946" s="773">
        <f>+SUM(AW942:BB945)</f>
        <v>0</v>
      </c>
      <c r="AX946" s="774"/>
      <c r="AY946" s="774"/>
      <c r="AZ946" s="774"/>
      <c r="BA946" s="774"/>
      <c r="BB946" s="775"/>
      <c r="BC946" s="777">
        <f>+SUM(BC942:BI945)</f>
        <v>0</v>
      </c>
      <c r="BD946" s="774"/>
      <c r="BE946" s="774"/>
      <c r="BF946" s="774"/>
      <c r="BG946" s="774"/>
      <c r="BH946" s="774"/>
      <c r="BI946" s="778"/>
      <c r="BJ946" s="773">
        <f>+SUM(BJ942:BP945)</f>
        <v>0</v>
      </c>
      <c r="BK946" s="774"/>
      <c r="BL946" s="774"/>
      <c r="BM946" s="774"/>
      <c r="BN946" s="774"/>
      <c r="BO946" s="774"/>
      <c r="BP946" s="775"/>
      <c r="BQ946" s="777">
        <f>+SUM(BQ942:BZ945)</f>
        <v>0</v>
      </c>
      <c r="BR946" s="774"/>
      <c r="BS946" s="774"/>
      <c r="BT946" s="774"/>
      <c r="BU946" s="774"/>
      <c r="BV946" s="774"/>
      <c r="BW946" s="774"/>
      <c r="BX946" s="774"/>
      <c r="BY946" s="774"/>
      <c r="BZ946" s="775"/>
      <c r="CA946" s="270"/>
      <c r="CB946" s="3" t="str">
        <f t="shared" si="115"/>
        <v>Riadok bude skrytý.</v>
      </c>
      <c r="CC946" s="271" t="s">
        <v>832</v>
      </c>
      <c r="CW946" s="35">
        <f t="shared" ref="CW946:CW965" si="123">+IF($J$900="neeviduje",0,1)</f>
        <v>1</v>
      </c>
      <c r="CX946" s="30"/>
      <c r="CY946" s="30"/>
      <c r="CZ946" s="30">
        <f t="shared" si="121"/>
        <v>1</v>
      </c>
      <c r="DA946" s="30">
        <f t="shared" si="117"/>
        <v>1</v>
      </c>
      <c r="DB946" s="2">
        <f t="shared" si="116"/>
        <v>0</v>
      </c>
      <c r="DR946" s="76"/>
      <c r="DS946" s="130">
        <f>SI!BY946</f>
        <v>1189</v>
      </c>
      <c r="DT946" s="130"/>
      <c r="DU946" s="130"/>
      <c r="DV946" s="130"/>
      <c r="DW946" s="130"/>
      <c r="DX946" s="130"/>
      <c r="DY946" s="130"/>
      <c r="DZ946" s="131">
        <f>SI!BZ946</f>
        <v>13</v>
      </c>
      <c r="EA946" s="76"/>
      <c r="EB946" s="76"/>
    </row>
    <row r="947" spans="1:132" s="14" customFormat="1" hidden="1" x14ac:dyDescent="0.25">
      <c r="A947" s="290"/>
      <c r="B947" s="779" t="str">
        <f>+IF(LEN(SI!J2)=Poznamky_k_UZ!DZ947,"Zostatková hodnota","")</f>
        <v>Zostatková hodnota</v>
      </c>
      <c r="C947" s="780"/>
      <c r="D947" s="780"/>
      <c r="E947" s="780"/>
      <c r="F947" s="780"/>
      <c r="G947" s="780"/>
      <c r="H947" s="780"/>
      <c r="I947" s="780"/>
      <c r="J947" s="780"/>
      <c r="K947" s="780"/>
      <c r="L947" s="780"/>
      <c r="M947" s="780"/>
      <c r="N947" s="780"/>
      <c r="O947" s="780"/>
      <c r="P947" s="780"/>
      <c r="Q947" s="780"/>
      <c r="R947" s="780"/>
      <c r="S947" s="780"/>
      <c r="T947" s="780"/>
      <c r="U947" s="780"/>
      <c r="V947" s="780"/>
      <c r="W947" s="780"/>
      <c r="X947" s="780"/>
      <c r="Y947" s="780"/>
      <c r="Z947" s="780"/>
      <c r="AA947" s="780"/>
      <c r="AB947" s="780"/>
      <c r="AC947" s="780"/>
      <c r="AD947" s="780"/>
      <c r="AE947" s="780"/>
      <c r="AF947" s="780"/>
      <c r="AG947" s="780"/>
      <c r="AH947" s="780"/>
      <c r="AI947" s="780"/>
      <c r="AJ947" s="780"/>
      <c r="AK947" s="780"/>
      <c r="AL947" s="780"/>
      <c r="AM947" s="780"/>
      <c r="AN947" s="780"/>
      <c r="AO947" s="780"/>
      <c r="AP947" s="780"/>
      <c r="AQ947" s="780"/>
      <c r="AR947" s="780"/>
      <c r="AS947" s="780"/>
      <c r="AT947" s="780"/>
      <c r="AU947" s="780"/>
      <c r="AV947" s="780"/>
      <c r="AW947" s="780"/>
      <c r="AX947" s="780"/>
      <c r="AY947" s="780"/>
      <c r="AZ947" s="780"/>
      <c r="BA947" s="780"/>
      <c r="BB947" s="780"/>
      <c r="BC947" s="780"/>
      <c r="BD947" s="780"/>
      <c r="BE947" s="780"/>
      <c r="BF947" s="780"/>
      <c r="BG947" s="780"/>
      <c r="BH947" s="780"/>
      <c r="BI947" s="780"/>
      <c r="BJ947" s="780"/>
      <c r="BK947" s="780"/>
      <c r="BL947" s="780"/>
      <c r="BM947" s="780"/>
      <c r="BN947" s="780"/>
      <c r="BO947" s="780"/>
      <c r="BP947" s="780"/>
      <c r="BQ947" s="780"/>
      <c r="BR947" s="780"/>
      <c r="BS947" s="780"/>
      <c r="BT947" s="780"/>
      <c r="BU947" s="780"/>
      <c r="BV947" s="780"/>
      <c r="BW947" s="780"/>
      <c r="BX947" s="780"/>
      <c r="BY947" s="780"/>
      <c r="BZ947" s="781"/>
      <c r="CA947" s="270"/>
      <c r="CB947" s="3" t="str">
        <f t="shared" ref="CB947:CB1010" si="124">+IF(DB947=0,"Riadok bude skrytý.","Riadok bude vidieť.")</f>
        <v>Riadok bude skrytý.</v>
      </c>
      <c r="CC947" s="271" t="s">
        <v>832</v>
      </c>
      <c r="CW947" s="35">
        <f t="shared" si="123"/>
        <v>1</v>
      </c>
      <c r="CX947" s="30"/>
      <c r="CY947" s="30"/>
      <c r="CZ947" s="30">
        <f t="shared" si="121"/>
        <v>1</v>
      </c>
      <c r="DA947" s="30">
        <f t="shared" si="117"/>
        <v>1</v>
      </c>
      <c r="DB947" s="2">
        <f t="shared" si="116"/>
        <v>0</v>
      </c>
      <c r="DR947" s="76"/>
      <c r="DS947" s="130">
        <f>SI!BY947</f>
        <v>130</v>
      </c>
      <c r="DT947" s="130"/>
      <c r="DU947" s="130"/>
      <c r="DV947" s="130"/>
      <c r="DW947" s="130"/>
      <c r="DX947" s="130"/>
      <c r="DY947" s="130"/>
      <c r="DZ947" s="131">
        <f>SI!BZ947</f>
        <v>13</v>
      </c>
      <c r="EA947" s="76"/>
      <c r="EB947" s="76"/>
    </row>
    <row r="948" spans="1:132" s="14" customFormat="1" hidden="1" x14ac:dyDescent="0.25">
      <c r="A948" s="290"/>
      <c r="B948" s="579" t="str">
        <f>+IF(LEN(SI!J2)=Poznamky_k_UZ!DZ948,"Stav na začiatku účt. obdobia","")</f>
        <v>Stav na začiatku účt. obdobia</v>
      </c>
      <c r="C948" s="580"/>
      <c r="D948" s="580"/>
      <c r="E948" s="580"/>
      <c r="F948" s="580"/>
      <c r="G948" s="580"/>
      <c r="H948" s="580"/>
      <c r="I948" s="580"/>
      <c r="J948" s="580"/>
      <c r="K948" s="580"/>
      <c r="L948" s="580"/>
      <c r="M948" s="580"/>
      <c r="N948" s="580"/>
      <c r="O948" s="580"/>
      <c r="P948" s="580"/>
      <c r="Q948" s="580"/>
      <c r="R948" s="580"/>
      <c r="S948" s="580"/>
      <c r="T948" s="580"/>
      <c r="U948" s="580"/>
      <c r="V948" s="580"/>
      <c r="W948" s="773">
        <f>+W930-W936-W942</f>
        <v>0</v>
      </c>
      <c r="X948" s="774"/>
      <c r="Y948" s="774"/>
      <c r="Z948" s="774"/>
      <c r="AA948" s="774"/>
      <c r="AB948" s="774"/>
      <c r="AC948" s="775"/>
      <c r="AD948" s="777">
        <f>+AD930-AD936-AD942</f>
        <v>0</v>
      </c>
      <c r="AE948" s="774"/>
      <c r="AF948" s="774"/>
      <c r="AG948" s="774"/>
      <c r="AH948" s="774"/>
      <c r="AI948" s="778"/>
      <c r="AJ948" s="794">
        <f>+AJ930-AJ936-AJ942</f>
        <v>0</v>
      </c>
      <c r="AK948" s="795"/>
      <c r="AL948" s="795"/>
      <c r="AM948" s="795"/>
      <c r="AN948" s="795"/>
      <c r="AO948" s="795"/>
      <c r="AP948" s="795"/>
      <c r="AQ948" s="796"/>
      <c r="AR948" s="797">
        <f>+AR930-AR936-AR942</f>
        <v>0</v>
      </c>
      <c r="AS948" s="798"/>
      <c r="AT948" s="798"/>
      <c r="AU948" s="798"/>
      <c r="AV948" s="799"/>
      <c r="AW948" s="773">
        <f>+AW930-AW936-AW942</f>
        <v>0</v>
      </c>
      <c r="AX948" s="774"/>
      <c r="AY948" s="774"/>
      <c r="AZ948" s="774"/>
      <c r="BA948" s="774"/>
      <c r="BB948" s="775"/>
      <c r="BC948" s="777">
        <f>+BC930-BC936-BC942</f>
        <v>0</v>
      </c>
      <c r="BD948" s="774"/>
      <c r="BE948" s="774"/>
      <c r="BF948" s="774"/>
      <c r="BG948" s="774"/>
      <c r="BH948" s="774"/>
      <c r="BI948" s="778"/>
      <c r="BJ948" s="773">
        <f>+BJ930-BJ936-BJ942</f>
        <v>0</v>
      </c>
      <c r="BK948" s="774"/>
      <c r="BL948" s="774"/>
      <c r="BM948" s="774"/>
      <c r="BN948" s="774"/>
      <c r="BO948" s="774"/>
      <c r="BP948" s="775"/>
      <c r="BQ948" s="777">
        <f>+BQ930-BQ936-BQ942</f>
        <v>0</v>
      </c>
      <c r="BR948" s="774"/>
      <c r="BS948" s="774"/>
      <c r="BT948" s="774"/>
      <c r="BU948" s="774"/>
      <c r="BV948" s="774"/>
      <c r="BW948" s="774"/>
      <c r="BX948" s="774"/>
      <c r="BY948" s="774"/>
      <c r="BZ948" s="775"/>
      <c r="CA948" s="270"/>
      <c r="CB948" s="3" t="str">
        <f t="shared" si="124"/>
        <v>Riadok bude skrytý.</v>
      </c>
      <c r="CC948" s="271" t="s">
        <v>832</v>
      </c>
      <c r="CW948" s="35">
        <f t="shared" si="123"/>
        <v>1</v>
      </c>
      <c r="CX948" s="30"/>
      <c r="CY948" s="30"/>
      <c r="CZ948" s="30">
        <f t="shared" si="121"/>
        <v>1</v>
      </c>
      <c r="DA948" s="30">
        <f t="shared" si="117"/>
        <v>1</v>
      </c>
      <c r="DB948" s="2">
        <f t="shared" si="116"/>
        <v>0</v>
      </c>
      <c r="DR948" s="76"/>
      <c r="DS948" s="130">
        <f>SI!BY948</f>
        <v>587</v>
      </c>
      <c r="DT948" s="130"/>
      <c r="DU948" s="130"/>
      <c r="DV948" s="130"/>
      <c r="DW948" s="130"/>
      <c r="DX948" s="130"/>
      <c r="DY948" s="130"/>
      <c r="DZ948" s="131">
        <f>SI!BZ948</f>
        <v>13</v>
      </c>
      <c r="EA948" s="76"/>
      <c r="EB948" s="76"/>
    </row>
    <row r="949" spans="1:132" s="14" customFormat="1" hidden="1" x14ac:dyDescent="0.25">
      <c r="A949" s="290"/>
      <c r="B949" s="579" t="str">
        <f>+IF(LEN(SI!J2)=Poznamky_k_UZ!DZ949,"Stav na konci účt. obdobia","")</f>
        <v>Stav na konci účt. obdobia</v>
      </c>
      <c r="C949" s="580"/>
      <c r="D949" s="580"/>
      <c r="E949" s="580"/>
      <c r="F949" s="580"/>
      <c r="G949" s="580"/>
      <c r="H949" s="580"/>
      <c r="I949" s="580"/>
      <c r="J949" s="580"/>
      <c r="K949" s="580"/>
      <c r="L949" s="580"/>
      <c r="M949" s="580"/>
      <c r="N949" s="580"/>
      <c r="O949" s="580"/>
      <c r="P949" s="580"/>
      <c r="Q949" s="580"/>
      <c r="R949" s="580"/>
      <c r="S949" s="580"/>
      <c r="T949" s="580"/>
      <c r="U949" s="580"/>
      <c r="V949" s="580"/>
      <c r="W949" s="773">
        <f>+W934-W940-W946</f>
        <v>0</v>
      </c>
      <c r="X949" s="774"/>
      <c r="Y949" s="774"/>
      <c r="Z949" s="774"/>
      <c r="AA949" s="774"/>
      <c r="AB949" s="774"/>
      <c r="AC949" s="775"/>
      <c r="AD949" s="777">
        <f>+AD934-AD940-AD946</f>
        <v>0</v>
      </c>
      <c r="AE949" s="774"/>
      <c r="AF949" s="774"/>
      <c r="AG949" s="774"/>
      <c r="AH949" s="774"/>
      <c r="AI949" s="778"/>
      <c r="AJ949" s="794">
        <f>+AJ934-AJ940-AJ946</f>
        <v>0</v>
      </c>
      <c r="AK949" s="795"/>
      <c r="AL949" s="795"/>
      <c r="AM949" s="795"/>
      <c r="AN949" s="795"/>
      <c r="AO949" s="795"/>
      <c r="AP949" s="795"/>
      <c r="AQ949" s="796"/>
      <c r="AR949" s="797">
        <f>+AR934-AR940-AR946</f>
        <v>0</v>
      </c>
      <c r="AS949" s="798"/>
      <c r="AT949" s="798"/>
      <c r="AU949" s="798"/>
      <c r="AV949" s="799"/>
      <c r="AW949" s="773">
        <f>+AW934-AW940-AW946</f>
        <v>0</v>
      </c>
      <c r="AX949" s="774"/>
      <c r="AY949" s="774"/>
      <c r="AZ949" s="774"/>
      <c r="BA949" s="774"/>
      <c r="BB949" s="775"/>
      <c r="BC949" s="777">
        <f>+BC934-BC940-BC946</f>
        <v>0</v>
      </c>
      <c r="BD949" s="774"/>
      <c r="BE949" s="774"/>
      <c r="BF949" s="774"/>
      <c r="BG949" s="774"/>
      <c r="BH949" s="774"/>
      <c r="BI949" s="778"/>
      <c r="BJ949" s="773">
        <f>+BJ934-BJ940-BJ946</f>
        <v>0</v>
      </c>
      <c r="BK949" s="774"/>
      <c r="BL949" s="774"/>
      <c r="BM949" s="774"/>
      <c r="BN949" s="774"/>
      <c r="BO949" s="774"/>
      <c r="BP949" s="775"/>
      <c r="BQ949" s="777">
        <f>+BQ934-BQ940-BQ946</f>
        <v>0</v>
      </c>
      <c r="BR949" s="774"/>
      <c r="BS949" s="774"/>
      <c r="BT949" s="774"/>
      <c r="BU949" s="774"/>
      <c r="BV949" s="774"/>
      <c r="BW949" s="774"/>
      <c r="BX949" s="774"/>
      <c r="BY949" s="774"/>
      <c r="BZ949" s="775"/>
      <c r="CA949" s="270"/>
      <c r="CB949" s="3" t="str">
        <f t="shared" si="124"/>
        <v>Riadok bude skrytý.</v>
      </c>
      <c r="CC949" s="271" t="s">
        <v>832</v>
      </c>
      <c r="CW949" s="35">
        <f t="shared" si="123"/>
        <v>1</v>
      </c>
      <c r="CX949" s="30"/>
      <c r="CY949" s="30"/>
      <c r="CZ949" s="30">
        <f t="shared" si="121"/>
        <v>1</v>
      </c>
      <c r="DA949" s="30">
        <f t="shared" si="117"/>
        <v>1</v>
      </c>
      <c r="DB949" s="2">
        <f t="shared" si="116"/>
        <v>0</v>
      </c>
      <c r="DR949" s="76"/>
      <c r="DS949" s="130">
        <f>SI!BY949</f>
        <v>168</v>
      </c>
      <c r="DT949" s="130"/>
      <c r="DU949" s="130"/>
      <c r="DV949" s="130"/>
      <c r="DW949" s="130"/>
      <c r="DX949" s="130"/>
      <c r="DY949" s="130"/>
      <c r="DZ949" s="131">
        <f>SI!BZ949</f>
        <v>13</v>
      </c>
      <c r="EA949" s="76"/>
      <c r="EB949" s="76"/>
    </row>
    <row r="950" spans="1:132" s="14" customFormat="1" hidden="1" x14ac:dyDescent="0.25">
      <c r="A950" s="290"/>
      <c r="B950" s="39"/>
      <c r="C950" s="293"/>
      <c r="D950" s="293"/>
      <c r="E950" s="293"/>
      <c r="F950" s="293"/>
      <c r="G950" s="280"/>
      <c r="H950" s="280"/>
      <c r="I950" s="280"/>
      <c r="J950" s="280"/>
      <c r="K950" s="280"/>
      <c r="L950" s="280"/>
      <c r="M950" s="280"/>
      <c r="N950" s="280"/>
      <c r="O950" s="20"/>
      <c r="P950" s="20"/>
      <c r="Q950" s="20"/>
      <c r="R950" s="20"/>
      <c r="S950" s="20"/>
      <c r="T950" s="20"/>
      <c r="U950" s="20"/>
      <c r="V950" s="20"/>
      <c r="W950" s="20"/>
      <c r="X950" s="20"/>
      <c r="Y950" s="20"/>
      <c r="Z950" s="20"/>
      <c r="AA950" s="20"/>
      <c r="AB950" s="20"/>
      <c r="AC950" s="20"/>
      <c r="AD950" s="20"/>
      <c r="AE950" s="20"/>
      <c r="AF950" s="20"/>
      <c r="AG950" s="20"/>
      <c r="AH950" s="20"/>
      <c r="AI950" s="20"/>
      <c r="AJ950" s="20"/>
      <c r="AK950" s="20"/>
      <c r="AL950" s="20"/>
      <c r="AM950" s="293"/>
      <c r="AN950" s="293"/>
      <c r="AO950" s="293"/>
      <c r="AP950" s="280"/>
      <c r="AQ950" s="280"/>
      <c r="AR950" s="280"/>
      <c r="AS950" s="280"/>
      <c r="AT950" s="280"/>
      <c r="AU950" s="280"/>
      <c r="AV950" s="280"/>
      <c r="AW950" s="280"/>
      <c r="AX950" s="20"/>
      <c r="AY950" s="20"/>
      <c r="AZ950" s="293"/>
      <c r="BA950" s="293"/>
      <c r="BB950" s="293"/>
      <c r="BC950" s="293"/>
      <c r="BD950" s="280"/>
      <c r="BE950" s="280"/>
      <c r="BF950" s="280"/>
      <c r="BG950" s="280"/>
      <c r="BH950" s="280"/>
      <c r="BI950" s="280"/>
      <c r="BJ950" s="280"/>
      <c r="BK950" s="20"/>
      <c r="BL950" s="20"/>
      <c r="BM950" s="20"/>
      <c r="BN950" s="20"/>
      <c r="BO950" s="20"/>
      <c r="BP950" s="20"/>
      <c r="BQ950" s="20"/>
      <c r="BR950" s="20"/>
      <c r="BS950" s="20"/>
      <c r="BT950" s="20"/>
      <c r="BU950" s="20"/>
      <c r="BV950" s="20"/>
      <c r="BW950" s="20"/>
      <c r="BX950" s="20"/>
      <c r="BY950" s="20"/>
      <c r="BZ950" s="20"/>
      <c r="CA950" s="270"/>
      <c r="CB950" s="3" t="str">
        <f t="shared" si="124"/>
        <v>Riadok bude skrytý.</v>
      </c>
      <c r="CC950" s="271" t="s">
        <v>832</v>
      </c>
      <c r="CW950" s="35">
        <f t="shared" si="123"/>
        <v>1</v>
      </c>
      <c r="CX950" s="30"/>
      <c r="CY950" s="30"/>
      <c r="CZ950" s="30">
        <f t="shared" si="121"/>
        <v>1</v>
      </c>
      <c r="DA950" s="30">
        <f t="shared" si="117"/>
        <v>1</v>
      </c>
      <c r="DB950" s="2">
        <f t="shared" si="116"/>
        <v>0</v>
      </c>
      <c r="DR950" s="76"/>
      <c r="DS950" s="130">
        <f>SI!BY950</f>
        <v>177</v>
      </c>
      <c r="DT950" s="130"/>
      <c r="DU950" s="130"/>
      <c r="DV950" s="130"/>
      <c r="DW950" s="130"/>
      <c r="DX950" s="130"/>
      <c r="DY950" s="130"/>
      <c r="DZ950" s="131">
        <f>SI!BZ950</f>
        <v>13</v>
      </c>
      <c r="EA950" s="76"/>
      <c r="EB950" s="76"/>
    </row>
    <row r="951" spans="1:132" s="14" customFormat="1" ht="14.95" hidden="1" customHeight="1" x14ac:dyDescent="0.25">
      <c r="A951" s="290"/>
      <c r="B951" s="439" t="str">
        <f>+IF(LEN(SI!J2)=Poznamky_k_UZ!DZ951,"Dlhodobý nehmotný majetok","")</f>
        <v>Dlhodobý nehmotný majetok</v>
      </c>
      <c r="C951" s="440"/>
      <c r="D951" s="440"/>
      <c r="E951" s="440"/>
      <c r="F951" s="440"/>
      <c r="G951" s="440"/>
      <c r="H951" s="440"/>
      <c r="I951" s="440"/>
      <c r="J951" s="440"/>
      <c r="K951" s="440"/>
      <c r="L951" s="440"/>
      <c r="M951" s="440"/>
      <c r="N951" s="440"/>
      <c r="O951" s="440"/>
      <c r="P951" s="440"/>
      <c r="Q951" s="440"/>
      <c r="R951" s="440"/>
      <c r="S951" s="440"/>
      <c r="T951" s="440"/>
      <c r="U951" s="440"/>
      <c r="V951" s="440"/>
      <c r="W951" s="650">
        <f>+BE141</f>
        <v>2020</v>
      </c>
      <c r="X951" s="391"/>
      <c r="Y951" s="391">
        <f>+BE141</f>
        <v>2020</v>
      </c>
      <c r="Z951" s="391"/>
      <c r="AA951" s="391"/>
      <c r="AB951" s="391"/>
      <c r="AC951" s="391"/>
      <c r="AD951" s="391"/>
      <c r="AE951" s="391"/>
      <c r="AF951" s="391"/>
      <c r="AG951" s="391"/>
      <c r="AH951" s="391"/>
      <c r="AI951" s="391"/>
      <c r="AJ951" s="391"/>
      <c r="AK951" s="391"/>
      <c r="AL951" s="391"/>
      <c r="AM951" s="391"/>
      <c r="AN951" s="391"/>
      <c r="AO951" s="391"/>
      <c r="AP951" s="391"/>
      <c r="AQ951" s="391"/>
      <c r="AR951" s="391"/>
      <c r="AS951" s="391"/>
      <c r="AT951" s="391"/>
      <c r="AU951" s="391"/>
      <c r="AV951" s="391"/>
      <c r="AW951" s="391"/>
      <c r="AX951" s="391"/>
      <c r="AY951" s="391"/>
      <c r="AZ951" s="391"/>
      <c r="BA951" s="391"/>
      <c r="BB951" s="391"/>
      <c r="BC951" s="391"/>
      <c r="BD951" s="391"/>
      <c r="BE951" s="391"/>
      <c r="BF951" s="391"/>
      <c r="BG951" s="391"/>
      <c r="BH951" s="391"/>
      <c r="BI951" s="391"/>
      <c r="BJ951" s="391"/>
      <c r="BK951" s="391"/>
      <c r="BL951" s="391"/>
      <c r="BM951" s="391"/>
      <c r="BN951" s="391"/>
      <c r="BO951" s="391"/>
      <c r="BP951" s="391"/>
      <c r="BQ951" s="391"/>
      <c r="BR951" s="391"/>
      <c r="BS951" s="391"/>
      <c r="BT951" s="391"/>
      <c r="BU951" s="391"/>
      <c r="BV951" s="391"/>
      <c r="BW951" s="391"/>
      <c r="BX951" s="391"/>
      <c r="BY951" s="391"/>
      <c r="BZ951" s="392"/>
      <c r="CA951" s="265" t="s">
        <v>773</v>
      </c>
      <c r="CB951" s="3" t="str">
        <f t="shared" si="124"/>
        <v>Riadok bude skrytý.</v>
      </c>
      <c r="CC951" s="271" t="s">
        <v>832</v>
      </c>
      <c r="CD951" s="4"/>
      <c r="CW951" s="35">
        <f t="shared" si="123"/>
        <v>1</v>
      </c>
      <c r="CX951" s="32">
        <f t="shared" ref="CX951:CX976" si="125">+IF(YEAR($AW$123)=YEAR($DC$4),0,1)</f>
        <v>1</v>
      </c>
      <c r="CY951" s="30"/>
      <c r="CZ951" s="30">
        <f t="shared" si="121"/>
        <v>1</v>
      </c>
      <c r="DA951" s="52">
        <f>+IF(CW951*CX951=0,0,IF(CZ951=0,0,1))</f>
        <v>1</v>
      </c>
      <c r="DB951" s="2">
        <f t="shared" si="116"/>
        <v>0</v>
      </c>
      <c r="DR951" s="76"/>
      <c r="DS951" s="130">
        <f>SI!BY951</f>
        <v>130</v>
      </c>
      <c r="DT951" s="130"/>
      <c r="DU951" s="130"/>
      <c r="DV951" s="130"/>
      <c r="DW951" s="130"/>
      <c r="DX951" s="130"/>
      <c r="DY951" s="130"/>
      <c r="DZ951" s="131">
        <f>SI!BZ951</f>
        <v>13</v>
      </c>
      <c r="EA951" s="76"/>
      <c r="EB951" s="76"/>
    </row>
    <row r="952" spans="1:132" s="14" customFormat="1" ht="14.95" hidden="1" customHeight="1" x14ac:dyDescent="0.25">
      <c r="A952" s="290"/>
      <c r="B952" s="1019"/>
      <c r="C952" s="1020"/>
      <c r="D952" s="1020"/>
      <c r="E952" s="1020"/>
      <c r="F952" s="1020"/>
      <c r="G952" s="1020"/>
      <c r="H952" s="1020"/>
      <c r="I952" s="1020"/>
      <c r="J952" s="1020"/>
      <c r="K952" s="1020"/>
      <c r="L952" s="1020"/>
      <c r="M952" s="1020"/>
      <c r="N952" s="1020"/>
      <c r="O952" s="1020"/>
      <c r="P952" s="1020"/>
      <c r="Q952" s="1020"/>
      <c r="R952" s="1020"/>
      <c r="S952" s="1020"/>
      <c r="T952" s="1020"/>
      <c r="U952" s="1020"/>
      <c r="V952" s="1020"/>
      <c r="W952" s="855" t="s">
        <v>57</v>
      </c>
      <c r="X952" s="855"/>
      <c r="Y952" s="855"/>
      <c r="Z952" s="855"/>
      <c r="AA952" s="855"/>
      <c r="AB952" s="855"/>
      <c r="AC952" s="855"/>
      <c r="AD952" s="855" t="s">
        <v>58</v>
      </c>
      <c r="AE952" s="855"/>
      <c r="AF952" s="855"/>
      <c r="AG952" s="855"/>
      <c r="AH952" s="855"/>
      <c r="AI952" s="855"/>
      <c r="AJ952" s="855" t="s">
        <v>107</v>
      </c>
      <c r="AK952" s="855"/>
      <c r="AL952" s="855"/>
      <c r="AM952" s="855"/>
      <c r="AN952" s="855"/>
      <c r="AO952" s="855"/>
      <c r="AP952" s="855"/>
      <c r="AQ952" s="855"/>
      <c r="AR952" s="855" t="s">
        <v>108</v>
      </c>
      <c r="AS952" s="855"/>
      <c r="AT952" s="855"/>
      <c r="AU952" s="855"/>
      <c r="AV952" s="855"/>
      <c r="AW952" s="855" t="s">
        <v>110</v>
      </c>
      <c r="AX952" s="855"/>
      <c r="AY952" s="855"/>
      <c r="AZ952" s="855"/>
      <c r="BA952" s="855"/>
      <c r="BB952" s="855"/>
      <c r="BC952" s="855" t="s">
        <v>109</v>
      </c>
      <c r="BD952" s="855"/>
      <c r="BE952" s="855"/>
      <c r="BF952" s="855"/>
      <c r="BG952" s="855"/>
      <c r="BH952" s="855"/>
      <c r="BI952" s="855"/>
      <c r="BJ952" s="855" t="s">
        <v>792</v>
      </c>
      <c r="BK952" s="855"/>
      <c r="BL952" s="855"/>
      <c r="BM952" s="855"/>
      <c r="BN952" s="855"/>
      <c r="BO952" s="855"/>
      <c r="BP952" s="855"/>
      <c r="BQ952" s="855" t="s">
        <v>45</v>
      </c>
      <c r="BR952" s="855"/>
      <c r="BS952" s="855"/>
      <c r="BT952" s="855"/>
      <c r="BU952" s="855"/>
      <c r="BV952" s="855"/>
      <c r="BW952" s="855"/>
      <c r="BX952" s="855"/>
      <c r="BY952" s="855"/>
      <c r="BZ952" s="855"/>
      <c r="CA952" s="270"/>
      <c r="CB952" s="3" t="str">
        <f t="shared" si="124"/>
        <v>Riadok bude skrytý.</v>
      </c>
      <c r="CC952" s="271" t="s">
        <v>832</v>
      </c>
      <c r="CW952" s="35">
        <f t="shared" si="123"/>
        <v>1</v>
      </c>
      <c r="CX952" s="32">
        <f t="shared" si="125"/>
        <v>1</v>
      </c>
      <c r="CY952" s="30"/>
      <c r="CZ952" s="30">
        <f t="shared" si="121"/>
        <v>1</v>
      </c>
      <c r="DA952" s="52">
        <f t="shared" ref="DA952:DA1020" si="126">+IF(CW952*CX952=0,0,IF(CZ952=0,0,1))</f>
        <v>1</v>
      </c>
      <c r="DB952" s="2">
        <f t="shared" si="116"/>
        <v>0</v>
      </c>
      <c r="DR952" s="76"/>
      <c r="DS952" s="130">
        <f>SI!BY952</f>
        <v>449</v>
      </c>
      <c r="DT952" s="130"/>
      <c r="DU952" s="130"/>
      <c r="DV952" s="130"/>
      <c r="DW952" s="130"/>
      <c r="DX952" s="130"/>
      <c r="DY952" s="130"/>
      <c r="DZ952" s="131">
        <f>SI!BZ952</f>
        <v>13</v>
      </c>
      <c r="EA952" s="76"/>
      <c r="EB952" s="76"/>
    </row>
    <row r="953" spans="1:132" s="14" customFormat="1" hidden="1" x14ac:dyDescent="0.25">
      <c r="A953" s="290"/>
      <c r="B953" s="442"/>
      <c r="C953" s="443"/>
      <c r="D953" s="443"/>
      <c r="E953" s="443"/>
      <c r="F953" s="443"/>
      <c r="G953" s="443"/>
      <c r="H953" s="443"/>
      <c r="I953" s="443"/>
      <c r="J953" s="443"/>
      <c r="K953" s="443"/>
      <c r="L953" s="443"/>
      <c r="M953" s="443"/>
      <c r="N953" s="443"/>
      <c r="O953" s="443"/>
      <c r="P953" s="443"/>
      <c r="Q953" s="443"/>
      <c r="R953" s="443"/>
      <c r="S953" s="443"/>
      <c r="T953" s="443"/>
      <c r="U953" s="443"/>
      <c r="V953" s="443"/>
      <c r="W953" s="855"/>
      <c r="X953" s="855"/>
      <c r="Y953" s="855"/>
      <c r="Z953" s="855"/>
      <c r="AA953" s="855"/>
      <c r="AB953" s="855"/>
      <c r="AC953" s="855"/>
      <c r="AD953" s="855"/>
      <c r="AE953" s="855"/>
      <c r="AF953" s="855"/>
      <c r="AG953" s="855"/>
      <c r="AH953" s="855"/>
      <c r="AI953" s="855"/>
      <c r="AJ953" s="855"/>
      <c r="AK953" s="855"/>
      <c r="AL953" s="855"/>
      <c r="AM953" s="855"/>
      <c r="AN953" s="855"/>
      <c r="AO953" s="855"/>
      <c r="AP953" s="855"/>
      <c r="AQ953" s="855"/>
      <c r="AR953" s="855"/>
      <c r="AS953" s="855"/>
      <c r="AT953" s="855"/>
      <c r="AU953" s="855"/>
      <c r="AV953" s="855"/>
      <c r="AW953" s="855"/>
      <c r="AX953" s="855"/>
      <c r="AY953" s="855"/>
      <c r="AZ953" s="855"/>
      <c r="BA953" s="855"/>
      <c r="BB953" s="855"/>
      <c r="BC953" s="855"/>
      <c r="BD953" s="855"/>
      <c r="BE953" s="855"/>
      <c r="BF953" s="855"/>
      <c r="BG953" s="855"/>
      <c r="BH953" s="855"/>
      <c r="BI953" s="855"/>
      <c r="BJ953" s="855"/>
      <c r="BK953" s="855"/>
      <c r="BL953" s="855"/>
      <c r="BM953" s="855"/>
      <c r="BN953" s="855"/>
      <c r="BO953" s="855"/>
      <c r="BP953" s="855"/>
      <c r="BQ953" s="855"/>
      <c r="BR953" s="855"/>
      <c r="BS953" s="855"/>
      <c r="BT953" s="855"/>
      <c r="BU953" s="855"/>
      <c r="BV953" s="855"/>
      <c r="BW953" s="855"/>
      <c r="BX953" s="855"/>
      <c r="BY953" s="855"/>
      <c r="BZ953" s="855"/>
      <c r="CA953" s="270"/>
      <c r="CB953" s="3" t="str">
        <f t="shared" si="124"/>
        <v>Riadok bude skrytý.</v>
      </c>
      <c r="CC953" s="271" t="s">
        <v>832</v>
      </c>
      <c r="CW953" s="35">
        <f t="shared" si="123"/>
        <v>1</v>
      </c>
      <c r="CX953" s="32">
        <f t="shared" si="125"/>
        <v>1</v>
      </c>
      <c r="CY953" s="30"/>
      <c r="CZ953" s="30">
        <f t="shared" si="121"/>
        <v>1</v>
      </c>
      <c r="DA953" s="52">
        <f t="shared" si="126"/>
        <v>1</v>
      </c>
      <c r="DB953" s="2">
        <f t="shared" si="116"/>
        <v>0</v>
      </c>
      <c r="DR953" s="76"/>
      <c r="DS953" s="130">
        <f>SI!BY953</f>
        <v>199</v>
      </c>
      <c r="DT953" s="130"/>
      <c r="DU953" s="130"/>
      <c r="DV953" s="130"/>
      <c r="DW953" s="130"/>
      <c r="DX953" s="130"/>
      <c r="DY953" s="130"/>
      <c r="DZ953" s="131">
        <f>SI!BZ953</f>
        <v>13</v>
      </c>
      <c r="EA953" s="76"/>
      <c r="EB953" s="76"/>
    </row>
    <row r="954" spans="1:132" s="14" customFormat="1" hidden="1" x14ac:dyDescent="0.25">
      <c r="A954" s="290"/>
      <c r="B954" s="524" t="s">
        <v>0</v>
      </c>
      <c r="C954" s="525"/>
      <c r="D954" s="525"/>
      <c r="E954" s="525"/>
      <c r="F954" s="525"/>
      <c r="G954" s="525"/>
      <c r="H954" s="525"/>
      <c r="I954" s="525"/>
      <c r="J954" s="525"/>
      <c r="K954" s="525"/>
      <c r="L954" s="525"/>
      <c r="M954" s="525"/>
      <c r="N954" s="525"/>
      <c r="O954" s="525"/>
      <c r="P954" s="525"/>
      <c r="Q954" s="525"/>
      <c r="R954" s="525"/>
      <c r="S954" s="525"/>
      <c r="T954" s="525"/>
      <c r="U954" s="525"/>
      <c r="V954" s="525"/>
      <c r="W954" s="846" t="s">
        <v>1</v>
      </c>
      <c r="X954" s="846"/>
      <c r="Y954" s="846"/>
      <c r="Z954" s="846"/>
      <c r="AA954" s="846"/>
      <c r="AB954" s="846"/>
      <c r="AC954" s="846"/>
      <c r="AD954" s="846" t="s">
        <v>2</v>
      </c>
      <c r="AE954" s="846"/>
      <c r="AF954" s="846"/>
      <c r="AG954" s="846"/>
      <c r="AH954" s="846"/>
      <c r="AI954" s="846"/>
      <c r="AJ954" s="846" t="s">
        <v>28</v>
      </c>
      <c r="AK954" s="846"/>
      <c r="AL954" s="846"/>
      <c r="AM954" s="846"/>
      <c r="AN954" s="846"/>
      <c r="AO954" s="846"/>
      <c r="AP954" s="846"/>
      <c r="AQ954" s="846"/>
      <c r="AR954" s="846" t="s">
        <v>29</v>
      </c>
      <c r="AS954" s="846"/>
      <c r="AT954" s="846"/>
      <c r="AU954" s="846"/>
      <c r="AV954" s="846"/>
      <c r="AW954" s="846" t="s">
        <v>103</v>
      </c>
      <c r="AX954" s="846"/>
      <c r="AY954" s="846"/>
      <c r="AZ954" s="846"/>
      <c r="BA954" s="846"/>
      <c r="BB954" s="846"/>
      <c r="BC954" s="846" t="s">
        <v>104</v>
      </c>
      <c r="BD954" s="846"/>
      <c r="BE954" s="846"/>
      <c r="BF954" s="846"/>
      <c r="BG954" s="846"/>
      <c r="BH954" s="846"/>
      <c r="BI954" s="846"/>
      <c r="BJ954" s="846" t="s">
        <v>105</v>
      </c>
      <c r="BK954" s="846"/>
      <c r="BL954" s="846"/>
      <c r="BM954" s="846"/>
      <c r="BN954" s="846"/>
      <c r="BO954" s="846"/>
      <c r="BP954" s="846"/>
      <c r="BQ954" s="846" t="s">
        <v>27</v>
      </c>
      <c r="BR954" s="846"/>
      <c r="BS954" s="846"/>
      <c r="BT954" s="846"/>
      <c r="BU954" s="846"/>
      <c r="BV954" s="846"/>
      <c r="BW954" s="846"/>
      <c r="BX954" s="846"/>
      <c r="BY954" s="846"/>
      <c r="BZ954" s="846"/>
      <c r="CA954" s="270"/>
      <c r="CB954" s="3" t="str">
        <f t="shared" si="124"/>
        <v>Riadok bude skrytý.</v>
      </c>
      <c r="CC954" s="271" t="s">
        <v>832</v>
      </c>
      <c r="CW954" s="35">
        <f t="shared" si="123"/>
        <v>1</v>
      </c>
      <c r="CX954" s="32">
        <f t="shared" si="125"/>
        <v>1</v>
      </c>
      <c r="CY954" s="30"/>
      <c r="CZ954" s="30">
        <f t="shared" si="121"/>
        <v>1</v>
      </c>
      <c r="DA954" s="52">
        <f t="shared" si="126"/>
        <v>1</v>
      </c>
      <c r="DB954" s="2">
        <f t="shared" si="116"/>
        <v>0</v>
      </c>
      <c r="DR954" s="76"/>
      <c r="DS954" s="130">
        <f>SI!BY954</f>
        <v>632</v>
      </c>
      <c r="DT954" s="130"/>
      <c r="DU954" s="130"/>
      <c r="DV954" s="130"/>
      <c r="DW954" s="130"/>
      <c r="DX954" s="130"/>
      <c r="DY954" s="130"/>
      <c r="DZ954" s="131">
        <f>SI!BZ954</f>
        <v>13</v>
      </c>
      <c r="EA954" s="76"/>
      <c r="EB954" s="76"/>
    </row>
    <row r="955" spans="1:132" s="14" customFormat="1" hidden="1" x14ac:dyDescent="0.25">
      <c r="A955" s="290"/>
      <c r="B955" s="1261" t="str">
        <f>+IF(LEN(SI!J2)=Poznamky_k_UZ!DZ955,"Prvotné ocenenie","")</f>
        <v>Prvotné ocenenie</v>
      </c>
      <c r="C955" s="1262"/>
      <c r="D955" s="1262"/>
      <c r="E955" s="1262"/>
      <c r="F955" s="1262"/>
      <c r="G955" s="1262"/>
      <c r="H955" s="1262"/>
      <c r="I955" s="1262"/>
      <c r="J955" s="1262"/>
      <c r="K955" s="1262"/>
      <c r="L955" s="1262"/>
      <c r="M955" s="1262"/>
      <c r="N955" s="1262"/>
      <c r="O955" s="1262"/>
      <c r="P955" s="1262"/>
      <c r="Q955" s="1262"/>
      <c r="R955" s="1262"/>
      <c r="S955" s="1262"/>
      <c r="T955" s="1262"/>
      <c r="U955" s="1262"/>
      <c r="V955" s="1262"/>
      <c r="W955" s="1262"/>
      <c r="X955" s="1262"/>
      <c r="Y955" s="1262"/>
      <c r="Z955" s="1262"/>
      <c r="AA955" s="1262"/>
      <c r="AB955" s="1262"/>
      <c r="AC955" s="1262"/>
      <c r="AD955" s="1262"/>
      <c r="AE955" s="1262"/>
      <c r="AF955" s="1262"/>
      <c r="AG955" s="1262"/>
      <c r="AH955" s="1262"/>
      <c r="AI955" s="1262"/>
      <c r="AJ955" s="1262"/>
      <c r="AK955" s="1262"/>
      <c r="AL955" s="1262"/>
      <c r="AM955" s="1262"/>
      <c r="AN955" s="1262"/>
      <c r="AO955" s="1262"/>
      <c r="AP955" s="1262"/>
      <c r="AQ955" s="1262"/>
      <c r="AR955" s="1262"/>
      <c r="AS955" s="1262"/>
      <c r="AT955" s="1262"/>
      <c r="AU955" s="1262"/>
      <c r="AV955" s="1262"/>
      <c r="AW955" s="1262"/>
      <c r="AX955" s="1262"/>
      <c r="AY955" s="1262"/>
      <c r="AZ955" s="1262"/>
      <c r="BA955" s="1262"/>
      <c r="BB955" s="1262"/>
      <c r="BC955" s="1262"/>
      <c r="BD955" s="1262"/>
      <c r="BE955" s="1262"/>
      <c r="BF955" s="1262"/>
      <c r="BG955" s="1262"/>
      <c r="BH955" s="1262"/>
      <c r="BI955" s="1262"/>
      <c r="BJ955" s="1262"/>
      <c r="BK955" s="1262"/>
      <c r="BL955" s="1262"/>
      <c r="BM955" s="1262"/>
      <c r="BN955" s="1262"/>
      <c r="BO955" s="1262"/>
      <c r="BP955" s="1262"/>
      <c r="BQ955" s="1262"/>
      <c r="BR955" s="1262"/>
      <c r="BS955" s="1262"/>
      <c r="BT955" s="1262"/>
      <c r="BU955" s="1262"/>
      <c r="BV955" s="1262"/>
      <c r="BW955" s="1262"/>
      <c r="BX955" s="1262"/>
      <c r="BY955" s="1262"/>
      <c r="BZ955" s="1263"/>
      <c r="CA955" s="270"/>
      <c r="CB955" s="3" t="str">
        <f t="shared" si="124"/>
        <v>Riadok bude skrytý.</v>
      </c>
      <c r="CC955" s="271" t="s">
        <v>832</v>
      </c>
      <c r="CW955" s="35">
        <f t="shared" si="123"/>
        <v>1</v>
      </c>
      <c r="CX955" s="32">
        <f t="shared" si="125"/>
        <v>1</v>
      </c>
      <c r="CY955" s="30"/>
      <c r="CZ955" s="30">
        <f t="shared" si="121"/>
        <v>1</v>
      </c>
      <c r="DA955" s="52">
        <f t="shared" si="126"/>
        <v>1</v>
      </c>
      <c r="DB955" s="2">
        <f t="shared" si="116"/>
        <v>0</v>
      </c>
      <c r="DR955" s="76"/>
      <c r="DS955" s="130">
        <f>SI!BY955</f>
        <v>191</v>
      </c>
      <c r="DT955" s="130"/>
      <c r="DU955" s="130"/>
      <c r="DV955" s="130"/>
      <c r="DW955" s="130"/>
      <c r="DX955" s="130"/>
      <c r="DY955" s="130"/>
      <c r="DZ955" s="131">
        <f>SI!BZ955</f>
        <v>13</v>
      </c>
      <c r="EA955" s="76"/>
      <c r="EB955" s="76"/>
    </row>
    <row r="956" spans="1:132" s="14" customFormat="1" hidden="1" x14ac:dyDescent="0.25">
      <c r="A956" s="290"/>
      <c r="B956" s="816" t="str">
        <f>+IF(LEN(SI!J2)=Poznamky_k_UZ!DZ956,"Stav na začiatku účt. obdobia","")</f>
        <v>Stav na začiatku účt. obdobia</v>
      </c>
      <c r="C956" s="817"/>
      <c r="D956" s="817"/>
      <c r="E956" s="817"/>
      <c r="F956" s="817"/>
      <c r="G956" s="817"/>
      <c r="H956" s="817"/>
      <c r="I956" s="817"/>
      <c r="J956" s="817"/>
      <c r="K956" s="817"/>
      <c r="L956" s="817"/>
      <c r="M956" s="817"/>
      <c r="N956" s="817"/>
      <c r="O956" s="817"/>
      <c r="P956" s="817"/>
      <c r="Q956" s="817"/>
      <c r="R956" s="817"/>
      <c r="S956" s="817"/>
      <c r="T956" s="817"/>
      <c r="U956" s="817"/>
      <c r="V956" s="818"/>
      <c r="W956" s="782"/>
      <c r="X956" s="783"/>
      <c r="Y956" s="783"/>
      <c r="Z956" s="783"/>
      <c r="AA956" s="783"/>
      <c r="AB956" s="783"/>
      <c r="AC956" s="784"/>
      <c r="AD956" s="828"/>
      <c r="AE956" s="783"/>
      <c r="AF956" s="783"/>
      <c r="AG956" s="783"/>
      <c r="AH956" s="783"/>
      <c r="AI956" s="829"/>
      <c r="AJ956" s="830"/>
      <c r="AK956" s="831"/>
      <c r="AL956" s="831"/>
      <c r="AM956" s="831"/>
      <c r="AN956" s="831"/>
      <c r="AO956" s="831"/>
      <c r="AP956" s="831"/>
      <c r="AQ956" s="832"/>
      <c r="AR956" s="833"/>
      <c r="AS956" s="831"/>
      <c r="AT956" s="831"/>
      <c r="AU956" s="831"/>
      <c r="AV956" s="834"/>
      <c r="AW956" s="782"/>
      <c r="AX956" s="783"/>
      <c r="AY956" s="783"/>
      <c r="AZ956" s="783"/>
      <c r="BA956" s="783"/>
      <c r="BB956" s="784"/>
      <c r="BC956" s="828"/>
      <c r="BD956" s="783"/>
      <c r="BE956" s="783"/>
      <c r="BF956" s="783"/>
      <c r="BG956" s="783"/>
      <c r="BH956" s="783"/>
      <c r="BI956" s="829"/>
      <c r="BJ956" s="782"/>
      <c r="BK956" s="783"/>
      <c r="BL956" s="783"/>
      <c r="BM956" s="783"/>
      <c r="BN956" s="783"/>
      <c r="BO956" s="783"/>
      <c r="BP956" s="784"/>
      <c r="BQ956" s="777">
        <f>+SUM(W956:BP956)</f>
        <v>0</v>
      </c>
      <c r="BR956" s="774"/>
      <c r="BS956" s="774"/>
      <c r="BT956" s="774"/>
      <c r="BU956" s="774"/>
      <c r="BV956" s="774"/>
      <c r="BW956" s="774"/>
      <c r="BX956" s="774"/>
      <c r="BY956" s="774"/>
      <c r="BZ956" s="775"/>
      <c r="CA956" s="270"/>
      <c r="CB956" s="3" t="str">
        <f t="shared" si="124"/>
        <v>Riadok bude skrytý.</v>
      </c>
      <c r="CC956" s="271" t="s">
        <v>832</v>
      </c>
      <c r="CW956" s="35">
        <f t="shared" si="123"/>
        <v>1</v>
      </c>
      <c r="CX956" s="32">
        <f t="shared" si="125"/>
        <v>1</v>
      </c>
      <c r="CY956" s="30"/>
      <c r="CZ956" s="30">
        <f t="shared" si="121"/>
        <v>1</v>
      </c>
      <c r="DA956" s="52">
        <f t="shared" si="126"/>
        <v>1</v>
      </c>
      <c r="DB956" s="2">
        <f t="shared" si="116"/>
        <v>0</v>
      </c>
      <c r="DR956" s="76"/>
      <c r="DS956" s="130">
        <f>SI!BY956</f>
        <v>262</v>
      </c>
      <c r="DT956" s="130"/>
      <c r="DU956" s="130"/>
      <c r="DV956" s="130"/>
      <c r="DW956" s="130"/>
      <c r="DX956" s="130"/>
      <c r="DY956" s="130"/>
      <c r="DZ956" s="131">
        <f>SI!BZ956</f>
        <v>13</v>
      </c>
      <c r="EA956" s="76"/>
      <c r="EB956" s="76"/>
    </row>
    <row r="957" spans="1:132" s="14" customFormat="1" hidden="1" x14ac:dyDescent="0.25">
      <c r="A957" s="290"/>
      <c r="B957" s="1796" t="str">
        <f>+IF(LEN(SI!J2)=Poznamky_k_UZ!DZ957,"Prírastky","")</f>
        <v>Prírastky</v>
      </c>
      <c r="C957" s="1797"/>
      <c r="D957" s="1797"/>
      <c r="E957" s="1797"/>
      <c r="F957" s="1797"/>
      <c r="G957" s="1797"/>
      <c r="H957" s="1797"/>
      <c r="I957" s="1797"/>
      <c r="J957" s="1797"/>
      <c r="K957" s="1797"/>
      <c r="L957" s="1797"/>
      <c r="M957" s="1797"/>
      <c r="N957" s="1797"/>
      <c r="O957" s="1797"/>
      <c r="P957" s="1797"/>
      <c r="Q957" s="1797"/>
      <c r="R957" s="1797"/>
      <c r="S957" s="1797"/>
      <c r="T957" s="1797"/>
      <c r="U957" s="1797"/>
      <c r="V957" s="1798"/>
      <c r="W957" s="800"/>
      <c r="X957" s="801"/>
      <c r="Y957" s="801"/>
      <c r="Z957" s="801"/>
      <c r="AA957" s="801"/>
      <c r="AB957" s="801"/>
      <c r="AC957" s="802"/>
      <c r="AD957" s="803"/>
      <c r="AE957" s="801"/>
      <c r="AF957" s="801"/>
      <c r="AG957" s="801"/>
      <c r="AH957" s="801"/>
      <c r="AI957" s="804"/>
      <c r="AJ957" s="805"/>
      <c r="AK957" s="806"/>
      <c r="AL957" s="806"/>
      <c r="AM957" s="806"/>
      <c r="AN957" s="806"/>
      <c r="AO957" s="806"/>
      <c r="AP957" s="806"/>
      <c r="AQ957" s="807"/>
      <c r="AR957" s="808"/>
      <c r="AS957" s="806"/>
      <c r="AT957" s="806"/>
      <c r="AU957" s="806"/>
      <c r="AV957" s="809"/>
      <c r="AW957" s="800"/>
      <c r="AX957" s="801"/>
      <c r="AY957" s="801"/>
      <c r="AZ957" s="801"/>
      <c r="BA957" s="801"/>
      <c r="BB957" s="802"/>
      <c r="BC957" s="803"/>
      <c r="BD957" s="801"/>
      <c r="BE957" s="801"/>
      <c r="BF957" s="801"/>
      <c r="BG957" s="801"/>
      <c r="BH957" s="801"/>
      <c r="BI957" s="804"/>
      <c r="BJ957" s="800"/>
      <c r="BK957" s="801"/>
      <c r="BL957" s="801"/>
      <c r="BM957" s="801"/>
      <c r="BN957" s="801"/>
      <c r="BO957" s="801"/>
      <c r="BP957" s="802"/>
      <c r="BQ957" s="825">
        <f>+SUM(W957:BP957)</f>
        <v>0</v>
      </c>
      <c r="BR957" s="826"/>
      <c r="BS957" s="826"/>
      <c r="BT957" s="826"/>
      <c r="BU957" s="826"/>
      <c r="BV957" s="826"/>
      <c r="BW957" s="826"/>
      <c r="BX957" s="826"/>
      <c r="BY957" s="826"/>
      <c r="BZ957" s="827"/>
      <c r="CA957" s="270"/>
      <c r="CB957" s="3" t="str">
        <f t="shared" si="124"/>
        <v>Riadok bude skrytý.</v>
      </c>
      <c r="CC957" s="271" t="s">
        <v>832</v>
      </c>
      <c r="CW957" s="35">
        <f t="shared" si="123"/>
        <v>1</v>
      </c>
      <c r="CX957" s="32">
        <f t="shared" si="125"/>
        <v>1</v>
      </c>
      <c r="CY957" s="30"/>
      <c r="CZ957" s="30">
        <f t="shared" si="121"/>
        <v>1</v>
      </c>
      <c r="DA957" s="52">
        <f t="shared" si="126"/>
        <v>1</v>
      </c>
      <c r="DB957" s="2">
        <f t="shared" ref="DB957:DB976" si="127">+IF($CD$1="malé",0,DA957)</f>
        <v>0</v>
      </c>
      <c r="DR957" s="76"/>
      <c r="DS957" s="130">
        <f>SI!BY957</f>
        <v>185</v>
      </c>
      <c r="DT957" s="130"/>
      <c r="DU957" s="130"/>
      <c r="DV957" s="130"/>
      <c r="DW957" s="130"/>
      <c r="DX957" s="130"/>
      <c r="DY957" s="130"/>
      <c r="DZ957" s="131">
        <f>SI!BZ957</f>
        <v>13</v>
      </c>
      <c r="EA957" s="76"/>
      <c r="EB957" s="76"/>
    </row>
    <row r="958" spans="1:132" s="14" customFormat="1" hidden="1" x14ac:dyDescent="0.25">
      <c r="A958" s="290"/>
      <c r="B958" s="838" t="str">
        <f>+IF(LEN(SI!J2)=Poznamky_k_UZ!DZ958,"Úbytky","")</f>
        <v>Úbytky</v>
      </c>
      <c r="C958" s="839"/>
      <c r="D958" s="839"/>
      <c r="E958" s="839"/>
      <c r="F958" s="839"/>
      <c r="G958" s="839"/>
      <c r="H958" s="839"/>
      <c r="I958" s="839"/>
      <c r="J958" s="839"/>
      <c r="K958" s="839"/>
      <c r="L958" s="839"/>
      <c r="M958" s="839"/>
      <c r="N958" s="839"/>
      <c r="O958" s="839"/>
      <c r="P958" s="839"/>
      <c r="Q958" s="839"/>
      <c r="R958" s="839"/>
      <c r="S958" s="839"/>
      <c r="T958" s="839"/>
      <c r="U958" s="839"/>
      <c r="V958" s="840"/>
      <c r="W958" s="791"/>
      <c r="X958" s="792"/>
      <c r="Y958" s="792"/>
      <c r="Z958" s="792"/>
      <c r="AA958" s="792"/>
      <c r="AB958" s="792"/>
      <c r="AC958" s="793"/>
      <c r="AD958" s="810"/>
      <c r="AE958" s="792"/>
      <c r="AF958" s="792"/>
      <c r="AG958" s="792"/>
      <c r="AH958" s="792"/>
      <c r="AI958" s="811"/>
      <c r="AJ958" s="812"/>
      <c r="AK958" s="786"/>
      <c r="AL958" s="786"/>
      <c r="AM958" s="786"/>
      <c r="AN958" s="786"/>
      <c r="AO958" s="786"/>
      <c r="AP958" s="786"/>
      <c r="AQ958" s="813"/>
      <c r="AR958" s="785"/>
      <c r="AS958" s="786"/>
      <c r="AT958" s="786"/>
      <c r="AU958" s="786"/>
      <c r="AV958" s="787"/>
      <c r="AW958" s="791"/>
      <c r="AX958" s="792"/>
      <c r="AY958" s="792"/>
      <c r="AZ958" s="792"/>
      <c r="BA958" s="792"/>
      <c r="BB958" s="793"/>
      <c r="BC958" s="810"/>
      <c r="BD958" s="792"/>
      <c r="BE958" s="792"/>
      <c r="BF958" s="792"/>
      <c r="BG958" s="792"/>
      <c r="BH958" s="792"/>
      <c r="BI958" s="811"/>
      <c r="BJ958" s="791"/>
      <c r="BK958" s="792"/>
      <c r="BL958" s="792"/>
      <c r="BM958" s="792"/>
      <c r="BN958" s="792"/>
      <c r="BO958" s="792"/>
      <c r="BP958" s="793"/>
      <c r="BQ958" s="822">
        <f>+SUM(W958:BP958)</f>
        <v>0</v>
      </c>
      <c r="BR958" s="823"/>
      <c r="BS958" s="823"/>
      <c r="BT958" s="823"/>
      <c r="BU958" s="823"/>
      <c r="BV958" s="823"/>
      <c r="BW958" s="823"/>
      <c r="BX958" s="823"/>
      <c r="BY958" s="823"/>
      <c r="BZ958" s="824"/>
      <c r="CA958" s="270"/>
      <c r="CB958" s="3" t="str">
        <f t="shared" si="124"/>
        <v>Riadok bude skrytý.</v>
      </c>
      <c r="CC958" s="271" t="s">
        <v>832</v>
      </c>
      <c r="CW958" s="35">
        <f t="shared" si="123"/>
        <v>1</v>
      </c>
      <c r="CX958" s="32">
        <f t="shared" si="125"/>
        <v>1</v>
      </c>
      <c r="CY958" s="30"/>
      <c r="CZ958" s="30">
        <f t="shared" si="121"/>
        <v>1</v>
      </c>
      <c r="DA958" s="52">
        <f t="shared" si="126"/>
        <v>1</v>
      </c>
      <c r="DB958" s="2">
        <f t="shared" si="127"/>
        <v>0</v>
      </c>
      <c r="DR958" s="76"/>
      <c r="DS958" s="130">
        <f>SI!BY958</f>
        <v>892</v>
      </c>
      <c r="DT958" s="130"/>
      <c r="DU958" s="130"/>
      <c r="DV958" s="130"/>
      <c r="DW958" s="130"/>
      <c r="DX958" s="130"/>
      <c r="DY958" s="130"/>
      <c r="DZ958" s="131">
        <f>SI!BZ958</f>
        <v>13</v>
      </c>
      <c r="EA958" s="76"/>
      <c r="EB958" s="76"/>
    </row>
    <row r="959" spans="1:132" s="14" customFormat="1" hidden="1" x14ac:dyDescent="0.25">
      <c r="A959" s="290"/>
      <c r="B959" s="847" t="str">
        <f>+IF(LEN(SI!J2)=Poznamky_k_UZ!DZ959,"Presuny","")</f>
        <v>Presuny</v>
      </c>
      <c r="C959" s="848"/>
      <c r="D959" s="848"/>
      <c r="E959" s="848"/>
      <c r="F959" s="848"/>
      <c r="G959" s="848"/>
      <c r="H959" s="848"/>
      <c r="I959" s="848"/>
      <c r="J959" s="848"/>
      <c r="K959" s="848"/>
      <c r="L959" s="848"/>
      <c r="M959" s="848"/>
      <c r="N959" s="848"/>
      <c r="O959" s="848"/>
      <c r="P959" s="848"/>
      <c r="Q959" s="848"/>
      <c r="R959" s="848"/>
      <c r="S959" s="848"/>
      <c r="T959" s="848"/>
      <c r="U959" s="848"/>
      <c r="V959" s="849"/>
      <c r="W959" s="835"/>
      <c r="X959" s="836"/>
      <c r="Y959" s="836"/>
      <c r="Z959" s="836"/>
      <c r="AA959" s="836"/>
      <c r="AB959" s="836"/>
      <c r="AC959" s="837"/>
      <c r="AD959" s="844"/>
      <c r="AE959" s="836"/>
      <c r="AF959" s="836"/>
      <c r="AG959" s="836"/>
      <c r="AH959" s="836"/>
      <c r="AI959" s="845"/>
      <c r="AJ959" s="850"/>
      <c r="AK959" s="851"/>
      <c r="AL959" s="851"/>
      <c r="AM959" s="851"/>
      <c r="AN959" s="851"/>
      <c r="AO959" s="851"/>
      <c r="AP959" s="851"/>
      <c r="AQ959" s="852"/>
      <c r="AR959" s="853"/>
      <c r="AS959" s="851"/>
      <c r="AT959" s="851"/>
      <c r="AU959" s="851"/>
      <c r="AV959" s="854"/>
      <c r="AW959" s="835"/>
      <c r="AX959" s="836"/>
      <c r="AY959" s="836"/>
      <c r="AZ959" s="836"/>
      <c r="BA959" s="836"/>
      <c r="BB959" s="837"/>
      <c r="BC959" s="844"/>
      <c r="BD959" s="836"/>
      <c r="BE959" s="836"/>
      <c r="BF959" s="836"/>
      <c r="BG959" s="836"/>
      <c r="BH959" s="836"/>
      <c r="BI959" s="845"/>
      <c r="BJ959" s="835"/>
      <c r="BK959" s="836"/>
      <c r="BL959" s="836"/>
      <c r="BM959" s="836"/>
      <c r="BN959" s="836"/>
      <c r="BO959" s="836"/>
      <c r="BP959" s="837"/>
      <c r="BQ959" s="841">
        <f>+SUM(W959:BP959)</f>
        <v>0</v>
      </c>
      <c r="BR959" s="842"/>
      <c r="BS959" s="842"/>
      <c r="BT959" s="842"/>
      <c r="BU959" s="842"/>
      <c r="BV959" s="842"/>
      <c r="BW959" s="842"/>
      <c r="BX959" s="842"/>
      <c r="BY959" s="842"/>
      <c r="BZ959" s="843"/>
      <c r="CA959" s="270"/>
      <c r="CB959" s="3" t="str">
        <f t="shared" si="124"/>
        <v>Riadok bude skrytý.</v>
      </c>
      <c r="CC959" s="271" t="s">
        <v>832</v>
      </c>
      <c r="CW959" s="35">
        <f t="shared" si="123"/>
        <v>1</v>
      </c>
      <c r="CX959" s="32">
        <f t="shared" si="125"/>
        <v>1</v>
      </c>
      <c r="CY959" s="30"/>
      <c r="CZ959" s="30">
        <f t="shared" si="121"/>
        <v>1</v>
      </c>
      <c r="DA959" s="52">
        <f t="shared" si="126"/>
        <v>1</v>
      </c>
      <c r="DB959" s="2">
        <f t="shared" si="127"/>
        <v>0</v>
      </c>
      <c r="DR959" s="76"/>
      <c r="DS959" s="130">
        <f>SI!BY959</f>
        <v>203</v>
      </c>
      <c r="DT959" s="130"/>
      <c r="DU959" s="130"/>
      <c r="DV959" s="130"/>
      <c r="DW959" s="130"/>
      <c r="DX959" s="130"/>
      <c r="DY959" s="130"/>
      <c r="DZ959" s="131">
        <f>SI!BZ959</f>
        <v>13</v>
      </c>
      <c r="EA959" s="76"/>
      <c r="EB959" s="76"/>
    </row>
    <row r="960" spans="1:132" s="14" customFormat="1" hidden="1" x14ac:dyDescent="0.25">
      <c r="A960" s="290"/>
      <c r="B960" s="816" t="str">
        <f>+IF(LEN(SI!J2)=Poznamky_k_UZ!DZ960,"Stav na konci účt. obdobia","")</f>
        <v>Stav na konci účt. obdobia</v>
      </c>
      <c r="C960" s="817"/>
      <c r="D960" s="817"/>
      <c r="E960" s="817"/>
      <c r="F960" s="817"/>
      <c r="G960" s="817"/>
      <c r="H960" s="817"/>
      <c r="I960" s="817"/>
      <c r="J960" s="817"/>
      <c r="K960" s="817"/>
      <c r="L960" s="817"/>
      <c r="M960" s="817"/>
      <c r="N960" s="817"/>
      <c r="O960" s="817"/>
      <c r="P960" s="817"/>
      <c r="Q960" s="817"/>
      <c r="R960" s="817"/>
      <c r="S960" s="817"/>
      <c r="T960" s="817"/>
      <c r="U960" s="817"/>
      <c r="V960" s="818"/>
      <c r="W960" s="773">
        <f>+SUM(W956:AC959)</f>
        <v>0</v>
      </c>
      <c r="X960" s="774"/>
      <c r="Y960" s="774"/>
      <c r="Z960" s="774"/>
      <c r="AA960" s="774"/>
      <c r="AB960" s="774"/>
      <c r="AC960" s="775"/>
      <c r="AD960" s="777">
        <f>+SUM(AD956:AI959)</f>
        <v>0</v>
      </c>
      <c r="AE960" s="774"/>
      <c r="AF960" s="774"/>
      <c r="AG960" s="774"/>
      <c r="AH960" s="774"/>
      <c r="AI960" s="778"/>
      <c r="AJ960" s="794">
        <f>+SUM(AJ956:AQ959)</f>
        <v>0</v>
      </c>
      <c r="AK960" s="795"/>
      <c r="AL960" s="795"/>
      <c r="AM960" s="795"/>
      <c r="AN960" s="795"/>
      <c r="AO960" s="795"/>
      <c r="AP960" s="795"/>
      <c r="AQ960" s="796"/>
      <c r="AR960" s="797">
        <f>+SUM(AR956:AV959)</f>
        <v>0</v>
      </c>
      <c r="AS960" s="798"/>
      <c r="AT960" s="798"/>
      <c r="AU960" s="798"/>
      <c r="AV960" s="799"/>
      <c r="AW960" s="773">
        <f>+SUM(AW956:BB959)</f>
        <v>0</v>
      </c>
      <c r="AX960" s="774"/>
      <c r="AY960" s="774"/>
      <c r="AZ960" s="774"/>
      <c r="BA960" s="774"/>
      <c r="BB960" s="775"/>
      <c r="BC960" s="777">
        <f>+SUM(BC956:BI959)</f>
        <v>0</v>
      </c>
      <c r="BD960" s="774"/>
      <c r="BE960" s="774"/>
      <c r="BF960" s="774"/>
      <c r="BG960" s="774"/>
      <c r="BH960" s="774"/>
      <c r="BI960" s="778"/>
      <c r="BJ960" s="773">
        <f>+SUM(BJ956:BP959)</f>
        <v>0</v>
      </c>
      <c r="BK960" s="774"/>
      <c r="BL960" s="774"/>
      <c r="BM960" s="774"/>
      <c r="BN960" s="774"/>
      <c r="BO960" s="774"/>
      <c r="BP960" s="775"/>
      <c r="BQ960" s="777">
        <f>+SUM(BQ956:BZ959)</f>
        <v>0</v>
      </c>
      <c r="BR960" s="774"/>
      <c r="BS960" s="774"/>
      <c r="BT960" s="774"/>
      <c r="BU960" s="774"/>
      <c r="BV960" s="774"/>
      <c r="BW960" s="774"/>
      <c r="BX960" s="774"/>
      <c r="BY960" s="774"/>
      <c r="BZ960" s="775"/>
      <c r="CA960" s="270"/>
      <c r="CB960" s="3" t="str">
        <f t="shared" si="124"/>
        <v>Riadok bude skrytý.</v>
      </c>
      <c r="CC960" s="271" t="s">
        <v>832</v>
      </c>
      <c r="CW960" s="35">
        <f t="shared" si="123"/>
        <v>1</v>
      </c>
      <c r="CX960" s="32">
        <f t="shared" si="125"/>
        <v>1</v>
      </c>
      <c r="CY960" s="30"/>
      <c r="CZ960" s="30">
        <f t="shared" si="121"/>
        <v>1</v>
      </c>
      <c r="DA960" s="52">
        <f t="shared" si="126"/>
        <v>1</v>
      </c>
      <c r="DB960" s="2">
        <f t="shared" si="127"/>
        <v>0</v>
      </c>
      <c r="DR960" s="76"/>
      <c r="DS960" s="130">
        <f>SI!BY960</f>
        <v>977</v>
      </c>
      <c r="DT960" s="130"/>
      <c r="DU960" s="130"/>
      <c r="DV960" s="130"/>
      <c r="DW960" s="130"/>
      <c r="DX960" s="130"/>
      <c r="DY960" s="130"/>
      <c r="DZ960" s="131">
        <f>SI!BZ960</f>
        <v>13</v>
      </c>
      <c r="EA960" s="76"/>
      <c r="EB960" s="76"/>
    </row>
    <row r="961" spans="1:132" s="14" customFormat="1" hidden="1" x14ac:dyDescent="0.25">
      <c r="A961" s="290"/>
      <c r="B961" s="819" t="str">
        <f>+IF(LEN(SI!J2)=Poznamky_k_UZ!DZ961,"Oprávky","")</f>
        <v>Oprávky</v>
      </c>
      <c r="C961" s="820"/>
      <c r="D961" s="820"/>
      <c r="E961" s="820"/>
      <c r="F961" s="820"/>
      <c r="G961" s="820"/>
      <c r="H961" s="820"/>
      <c r="I961" s="820"/>
      <c r="J961" s="820"/>
      <c r="K961" s="820"/>
      <c r="L961" s="820"/>
      <c r="M961" s="820"/>
      <c r="N961" s="820"/>
      <c r="O961" s="820"/>
      <c r="P961" s="820"/>
      <c r="Q961" s="820"/>
      <c r="R961" s="820"/>
      <c r="S961" s="820"/>
      <c r="T961" s="820"/>
      <c r="U961" s="820"/>
      <c r="V961" s="820"/>
      <c r="W961" s="820"/>
      <c r="X961" s="820"/>
      <c r="Y961" s="820"/>
      <c r="Z961" s="820"/>
      <c r="AA961" s="820"/>
      <c r="AB961" s="820"/>
      <c r="AC961" s="820"/>
      <c r="AD961" s="820"/>
      <c r="AE961" s="820"/>
      <c r="AF961" s="820"/>
      <c r="AG961" s="820"/>
      <c r="AH961" s="820"/>
      <c r="AI961" s="820"/>
      <c r="AJ961" s="820"/>
      <c r="AK961" s="820"/>
      <c r="AL961" s="820"/>
      <c r="AM961" s="820"/>
      <c r="AN961" s="820"/>
      <c r="AO961" s="820"/>
      <c r="AP961" s="820"/>
      <c r="AQ961" s="820"/>
      <c r="AR961" s="820"/>
      <c r="AS961" s="820"/>
      <c r="AT961" s="820"/>
      <c r="AU961" s="820"/>
      <c r="AV961" s="820"/>
      <c r="AW961" s="820"/>
      <c r="AX961" s="820"/>
      <c r="AY961" s="820"/>
      <c r="AZ961" s="820"/>
      <c r="BA961" s="820"/>
      <c r="BB961" s="820"/>
      <c r="BC961" s="820"/>
      <c r="BD961" s="820"/>
      <c r="BE961" s="820"/>
      <c r="BF961" s="820"/>
      <c r="BG961" s="820"/>
      <c r="BH961" s="820"/>
      <c r="BI961" s="820"/>
      <c r="BJ961" s="820"/>
      <c r="BK961" s="820"/>
      <c r="BL961" s="820"/>
      <c r="BM961" s="820"/>
      <c r="BN961" s="820"/>
      <c r="BO961" s="820"/>
      <c r="BP961" s="820"/>
      <c r="BQ961" s="820"/>
      <c r="BR961" s="820"/>
      <c r="BS961" s="820"/>
      <c r="BT961" s="820"/>
      <c r="BU961" s="820"/>
      <c r="BV961" s="820"/>
      <c r="BW961" s="820"/>
      <c r="BX961" s="820"/>
      <c r="BY961" s="820"/>
      <c r="BZ961" s="821"/>
      <c r="CA961" s="270"/>
      <c r="CB961" s="3" t="str">
        <f t="shared" si="124"/>
        <v>Riadok bude skrytý.</v>
      </c>
      <c r="CC961" s="271" t="s">
        <v>832</v>
      </c>
      <c r="CW961" s="35">
        <f t="shared" si="123"/>
        <v>1</v>
      </c>
      <c r="CX961" s="32">
        <f t="shared" si="125"/>
        <v>1</v>
      </c>
      <c r="CY961" s="30"/>
      <c r="CZ961" s="30">
        <f t="shared" si="121"/>
        <v>1</v>
      </c>
      <c r="DA961" s="52">
        <f t="shared" si="126"/>
        <v>1</v>
      </c>
      <c r="DB961" s="2">
        <f t="shared" si="127"/>
        <v>0</v>
      </c>
      <c r="DR961" s="76"/>
      <c r="DS961" s="130">
        <f>SI!BY961</f>
        <v>142</v>
      </c>
      <c r="DT961" s="130"/>
      <c r="DU961" s="130"/>
      <c r="DV961" s="130"/>
      <c r="DW961" s="130"/>
      <c r="DX961" s="130"/>
      <c r="DY961" s="130"/>
      <c r="DZ961" s="131">
        <f>SI!BZ961</f>
        <v>13</v>
      </c>
      <c r="EA961" s="76"/>
      <c r="EB961" s="76"/>
    </row>
    <row r="962" spans="1:132" s="14" customFormat="1" hidden="1" x14ac:dyDescent="0.25">
      <c r="A962" s="290"/>
      <c r="B962" s="579" t="str">
        <f>+IF(LEN(SI!J2)=Poznamky_k_UZ!DZ962,"Stav na začiatku účt. obdobia","")</f>
        <v>Stav na začiatku účt. obdobia</v>
      </c>
      <c r="C962" s="580"/>
      <c r="D962" s="580"/>
      <c r="E962" s="580"/>
      <c r="F962" s="580"/>
      <c r="G962" s="580"/>
      <c r="H962" s="580"/>
      <c r="I962" s="580"/>
      <c r="J962" s="580"/>
      <c r="K962" s="580"/>
      <c r="L962" s="580"/>
      <c r="M962" s="580"/>
      <c r="N962" s="580"/>
      <c r="O962" s="580"/>
      <c r="P962" s="580"/>
      <c r="Q962" s="580"/>
      <c r="R962" s="580"/>
      <c r="S962" s="580"/>
      <c r="T962" s="580"/>
      <c r="U962" s="580"/>
      <c r="V962" s="580"/>
      <c r="W962" s="782"/>
      <c r="X962" s="783"/>
      <c r="Y962" s="783"/>
      <c r="Z962" s="783"/>
      <c r="AA962" s="783"/>
      <c r="AB962" s="783"/>
      <c r="AC962" s="784"/>
      <c r="AD962" s="828"/>
      <c r="AE962" s="783"/>
      <c r="AF962" s="783"/>
      <c r="AG962" s="783"/>
      <c r="AH962" s="783"/>
      <c r="AI962" s="829"/>
      <c r="AJ962" s="830"/>
      <c r="AK962" s="831"/>
      <c r="AL962" s="831"/>
      <c r="AM962" s="831"/>
      <c r="AN962" s="831"/>
      <c r="AO962" s="831"/>
      <c r="AP962" s="831"/>
      <c r="AQ962" s="832"/>
      <c r="AR962" s="833"/>
      <c r="AS962" s="831"/>
      <c r="AT962" s="831"/>
      <c r="AU962" s="831"/>
      <c r="AV962" s="834"/>
      <c r="AW962" s="782"/>
      <c r="AX962" s="783"/>
      <c r="AY962" s="783"/>
      <c r="AZ962" s="783"/>
      <c r="BA962" s="783"/>
      <c r="BB962" s="784"/>
      <c r="BC962" s="828"/>
      <c r="BD962" s="783"/>
      <c r="BE962" s="783"/>
      <c r="BF962" s="783"/>
      <c r="BG962" s="783"/>
      <c r="BH962" s="783"/>
      <c r="BI962" s="829"/>
      <c r="BJ962" s="782"/>
      <c r="BK962" s="783"/>
      <c r="BL962" s="783"/>
      <c r="BM962" s="783"/>
      <c r="BN962" s="783"/>
      <c r="BO962" s="783"/>
      <c r="BP962" s="784"/>
      <c r="BQ962" s="777">
        <f>+SUM(W962:BP962)</f>
        <v>0</v>
      </c>
      <c r="BR962" s="774"/>
      <c r="BS962" s="774"/>
      <c r="BT962" s="774"/>
      <c r="BU962" s="774"/>
      <c r="BV962" s="774"/>
      <c r="BW962" s="774"/>
      <c r="BX962" s="774"/>
      <c r="BY962" s="774"/>
      <c r="BZ962" s="775"/>
      <c r="CA962" s="270"/>
      <c r="CB962" s="3" t="str">
        <f t="shared" si="124"/>
        <v>Riadok bude skrytý.</v>
      </c>
      <c r="CC962" s="271" t="s">
        <v>832</v>
      </c>
      <c r="CW962" s="35">
        <f t="shared" si="123"/>
        <v>1</v>
      </c>
      <c r="CX962" s="32">
        <f t="shared" si="125"/>
        <v>1</v>
      </c>
      <c r="CY962" s="30"/>
      <c r="CZ962" s="30">
        <f t="shared" si="121"/>
        <v>1</v>
      </c>
      <c r="DA962" s="52">
        <f t="shared" si="126"/>
        <v>1</v>
      </c>
      <c r="DB962" s="2">
        <f t="shared" si="127"/>
        <v>0</v>
      </c>
      <c r="DR962" s="76"/>
      <c r="DS962" s="130">
        <f>SI!BY962</f>
        <v>335</v>
      </c>
      <c r="DT962" s="130"/>
      <c r="DU962" s="130"/>
      <c r="DV962" s="130"/>
      <c r="DW962" s="130"/>
      <c r="DX962" s="130"/>
      <c r="DY962" s="130"/>
      <c r="DZ962" s="131">
        <f>SI!BZ962</f>
        <v>13</v>
      </c>
      <c r="EA962" s="76"/>
      <c r="EB962" s="76"/>
    </row>
    <row r="963" spans="1:132" s="14" customFormat="1" hidden="1" x14ac:dyDescent="0.25">
      <c r="A963" s="290"/>
      <c r="B963" s="814" t="str">
        <f>+IF(LEN(SI!J2)=Poznamky_k_UZ!DZ963,"Prírastky","")</f>
        <v>Prírastky</v>
      </c>
      <c r="C963" s="815"/>
      <c r="D963" s="815"/>
      <c r="E963" s="815"/>
      <c r="F963" s="815"/>
      <c r="G963" s="815"/>
      <c r="H963" s="815"/>
      <c r="I963" s="815"/>
      <c r="J963" s="815"/>
      <c r="K963" s="815"/>
      <c r="L963" s="815"/>
      <c r="M963" s="815"/>
      <c r="N963" s="815"/>
      <c r="O963" s="815"/>
      <c r="P963" s="815"/>
      <c r="Q963" s="815"/>
      <c r="R963" s="815"/>
      <c r="S963" s="815"/>
      <c r="T963" s="815"/>
      <c r="U963" s="815"/>
      <c r="V963" s="815"/>
      <c r="W963" s="800"/>
      <c r="X963" s="801"/>
      <c r="Y963" s="801"/>
      <c r="Z963" s="801"/>
      <c r="AA963" s="801"/>
      <c r="AB963" s="801"/>
      <c r="AC963" s="802"/>
      <c r="AD963" s="803"/>
      <c r="AE963" s="801"/>
      <c r="AF963" s="801"/>
      <c r="AG963" s="801"/>
      <c r="AH963" s="801"/>
      <c r="AI963" s="804"/>
      <c r="AJ963" s="805"/>
      <c r="AK963" s="806"/>
      <c r="AL963" s="806"/>
      <c r="AM963" s="806"/>
      <c r="AN963" s="806"/>
      <c r="AO963" s="806"/>
      <c r="AP963" s="806"/>
      <c r="AQ963" s="807"/>
      <c r="AR963" s="808"/>
      <c r="AS963" s="806"/>
      <c r="AT963" s="806"/>
      <c r="AU963" s="806"/>
      <c r="AV963" s="809"/>
      <c r="AW963" s="800"/>
      <c r="AX963" s="801"/>
      <c r="AY963" s="801"/>
      <c r="AZ963" s="801"/>
      <c r="BA963" s="801"/>
      <c r="BB963" s="802"/>
      <c r="BC963" s="803"/>
      <c r="BD963" s="801"/>
      <c r="BE963" s="801"/>
      <c r="BF963" s="801"/>
      <c r="BG963" s="801"/>
      <c r="BH963" s="801"/>
      <c r="BI963" s="804"/>
      <c r="BJ963" s="800"/>
      <c r="BK963" s="801"/>
      <c r="BL963" s="801"/>
      <c r="BM963" s="801"/>
      <c r="BN963" s="801"/>
      <c r="BO963" s="801"/>
      <c r="BP963" s="802"/>
      <c r="BQ963" s="825">
        <f>+SUM(W963:BP963)</f>
        <v>0</v>
      </c>
      <c r="BR963" s="826"/>
      <c r="BS963" s="826"/>
      <c r="BT963" s="826"/>
      <c r="BU963" s="826"/>
      <c r="BV963" s="826"/>
      <c r="BW963" s="826"/>
      <c r="BX963" s="826"/>
      <c r="BY963" s="826"/>
      <c r="BZ963" s="827"/>
      <c r="CA963" s="270"/>
      <c r="CB963" s="3" t="str">
        <f t="shared" si="124"/>
        <v>Riadok bude skrytý.</v>
      </c>
      <c r="CC963" s="271" t="s">
        <v>832</v>
      </c>
      <c r="CW963" s="35">
        <f t="shared" si="123"/>
        <v>1</v>
      </c>
      <c r="CX963" s="32">
        <f t="shared" si="125"/>
        <v>1</v>
      </c>
      <c r="CY963" s="30"/>
      <c r="CZ963" s="30">
        <f t="shared" si="121"/>
        <v>1</v>
      </c>
      <c r="DA963" s="52">
        <f t="shared" si="126"/>
        <v>1</v>
      </c>
      <c r="DB963" s="2">
        <f t="shared" si="127"/>
        <v>0</v>
      </c>
      <c r="DR963" s="76"/>
      <c r="DS963" s="130">
        <f>SI!BY963</f>
        <v>117</v>
      </c>
      <c r="DT963" s="130"/>
      <c r="DU963" s="130"/>
      <c r="DV963" s="130"/>
      <c r="DW963" s="130"/>
      <c r="DX963" s="130"/>
      <c r="DY963" s="130"/>
      <c r="DZ963" s="131">
        <f>SI!BZ963</f>
        <v>13</v>
      </c>
      <c r="EA963" s="76"/>
      <c r="EB963" s="76"/>
    </row>
    <row r="964" spans="1:132" s="14" customFormat="1" hidden="1" x14ac:dyDescent="0.25">
      <c r="A964" s="290"/>
      <c r="B964" s="764" t="str">
        <f>+IF(LEN(SI!J2)=Poznamky_k_UZ!DZ964,"Úbytky","")</f>
        <v>Úbytky</v>
      </c>
      <c r="C964" s="765"/>
      <c r="D964" s="765"/>
      <c r="E964" s="765"/>
      <c r="F964" s="765"/>
      <c r="G964" s="765"/>
      <c r="H964" s="765"/>
      <c r="I964" s="765"/>
      <c r="J964" s="765"/>
      <c r="K964" s="765"/>
      <c r="L964" s="765"/>
      <c r="M964" s="765"/>
      <c r="N964" s="765"/>
      <c r="O964" s="765"/>
      <c r="P964" s="765"/>
      <c r="Q964" s="765"/>
      <c r="R964" s="765"/>
      <c r="S964" s="765"/>
      <c r="T964" s="765"/>
      <c r="U964" s="765"/>
      <c r="V964" s="766"/>
      <c r="W964" s="791"/>
      <c r="X964" s="792"/>
      <c r="Y964" s="792"/>
      <c r="Z964" s="792"/>
      <c r="AA964" s="792"/>
      <c r="AB964" s="792"/>
      <c r="AC964" s="793"/>
      <c r="AD964" s="810"/>
      <c r="AE964" s="792"/>
      <c r="AF964" s="792"/>
      <c r="AG964" s="792"/>
      <c r="AH964" s="792"/>
      <c r="AI964" s="811"/>
      <c r="AJ964" s="812"/>
      <c r="AK964" s="786"/>
      <c r="AL964" s="786"/>
      <c r="AM964" s="786"/>
      <c r="AN964" s="786"/>
      <c r="AO964" s="786"/>
      <c r="AP964" s="786"/>
      <c r="AQ964" s="813"/>
      <c r="AR964" s="785"/>
      <c r="AS964" s="786"/>
      <c r="AT964" s="786"/>
      <c r="AU964" s="786"/>
      <c r="AV964" s="787"/>
      <c r="AW964" s="791"/>
      <c r="AX964" s="792"/>
      <c r="AY964" s="792"/>
      <c r="AZ964" s="792"/>
      <c r="BA964" s="792"/>
      <c r="BB964" s="793"/>
      <c r="BC964" s="810"/>
      <c r="BD964" s="792"/>
      <c r="BE964" s="792"/>
      <c r="BF964" s="792"/>
      <c r="BG964" s="792"/>
      <c r="BH964" s="792"/>
      <c r="BI964" s="811"/>
      <c r="BJ964" s="791"/>
      <c r="BK964" s="792"/>
      <c r="BL964" s="792"/>
      <c r="BM964" s="792"/>
      <c r="BN964" s="792"/>
      <c r="BO964" s="792"/>
      <c r="BP964" s="793"/>
      <c r="BQ964" s="822">
        <f>+SUM(W964:BP964)</f>
        <v>0</v>
      </c>
      <c r="BR964" s="823"/>
      <c r="BS964" s="823"/>
      <c r="BT964" s="823"/>
      <c r="BU964" s="823"/>
      <c r="BV964" s="823"/>
      <c r="BW964" s="823"/>
      <c r="BX964" s="823"/>
      <c r="BY964" s="823"/>
      <c r="BZ964" s="824"/>
      <c r="CA964" s="270"/>
      <c r="CB964" s="3" t="str">
        <f t="shared" si="124"/>
        <v>Riadok bude skrytý.</v>
      </c>
      <c r="CC964" s="271" t="s">
        <v>832</v>
      </c>
      <c r="CW964" s="35">
        <f t="shared" si="123"/>
        <v>1</v>
      </c>
      <c r="CX964" s="32">
        <f t="shared" si="125"/>
        <v>1</v>
      </c>
      <c r="CY964" s="30"/>
      <c r="CZ964" s="30">
        <f t="shared" si="121"/>
        <v>1</v>
      </c>
      <c r="DA964" s="52">
        <f t="shared" si="126"/>
        <v>1</v>
      </c>
      <c r="DB964" s="2">
        <f t="shared" si="127"/>
        <v>0</v>
      </c>
      <c r="DR964" s="76"/>
      <c r="DS964" s="130">
        <f>SI!BY964</f>
        <v>157</v>
      </c>
      <c r="DT964" s="130"/>
      <c r="DU964" s="130"/>
      <c r="DV964" s="130"/>
      <c r="DW964" s="130"/>
      <c r="DX964" s="130"/>
      <c r="DY964" s="130"/>
      <c r="DZ964" s="131">
        <f>SI!BZ964</f>
        <v>13</v>
      </c>
      <c r="EA964" s="76"/>
      <c r="EB964" s="76"/>
    </row>
    <row r="965" spans="1:132" s="14" customFormat="1" hidden="1" x14ac:dyDescent="0.25">
      <c r="A965" s="290"/>
      <c r="B965" s="861" t="s">
        <v>115</v>
      </c>
      <c r="C965" s="862"/>
      <c r="D965" s="862"/>
      <c r="E965" s="862"/>
      <c r="F965" s="862"/>
      <c r="G965" s="862"/>
      <c r="H965" s="862"/>
      <c r="I965" s="862"/>
      <c r="J965" s="862"/>
      <c r="K965" s="862"/>
      <c r="L965" s="862"/>
      <c r="M965" s="862"/>
      <c r="N965" s="862"/>
      <c r="O965" s="862"/>
      <c r="P965" s="862"/>
      <c r="Q965" s="862"/>
      <c r="R965" s="862"/>
      <c r="S965" s="862"/>
      <c r="T965" s="862"/>
      <c r="U965" s="862"/>
      <c r="V965" s="863"/>
      <c r="W965" s="856"/>
      <c r="X965" s="857"/>
      <c r="Y965" s="857"/>
      <c r="Z965" s="857"/>
      <c r="AA965" s="857"/>
      <c r="AB965" s="857"/>
      <c r="AC965" s="858"/>
      <c r="AD965" s="859"/>
      <c r="AE965" s="857"/>
      <c r="AF965" s="857"/>
      <c r="AG965" s="857"/>
      <c r="AH965" s="857"/>
      <c r="AI965" s="860"/>
      <c r="AJ965" s="788"/>
      <c r="AK965" s="789"/>
      <c r="AL965" s="789"/>
      <c r="AM965" s="789"/>
      <c r="AN965" s="789"/>
      <c r="AO965" s="789"/>
      <c r="AP965" s="789"/>
      <c r="AQ965" s="790"/>
      <c r="AR965" s="864"/>
      <c r="AS965" s="789"/>
      <c r="AT965" s="789"/>
      <c r="AU965" s="789"/>
      <c r="AV965" s="865"/>
      <c r="AW965" s="856"/>
      <c r="AX965" s="857"/>
      <c r="AY965" s="857"/>
      <c r="AZ965" s="857"/>
      <c r="BA965" s="857"/>
      <c r="BB965" s="858"/>
      <c r="BC965" s="859"/>
      <c r="BD965" s="857"/>
      <c r="BE965" s="857"/>
      <c r="BF965" s="857"/>
      <c r="BG965" s="857"/>
      <c r="BH965" s="857"/>
      <c r="BI965" s="860"/>
      <c r="BJ965" s="856"/>
      <c r="BK965" s="857"/>
      <c r="BL965" s="857"/>
      <c r="BM965" s="857"/>
      <c r="BN965" s="857"/>
      <c r="BO965" s="857"/>
      <c r="BP965" s="858"/>
      <c r="BQ965" s="767">
        <f>+SUM(W965:BP965)</f>
        <v>0</v>
      </c>
      <c r="BR965" s="768"/>
      <c r="BS965" s="768"/>
      <c r="BT965" s="768"/>
      <c r="BU965" s="768"/>
      <c r="BV965" s="768"/>
      <c r="BW965" s="768"/>
      <c r="BX965" s="768"/>
      <c r="BY965" s="768"/>
      <c r="BZ965" s="769"/>
      <c r="CA965" s="270"/>
      <c r="CB965" s="3" t="str">
        <f t="shared" si="124"/>
        <v>Riadok bude skrytý.</v>
      </c>
      <c r="CC965" s="271" t="s">
        <v>832</v>
      </c>
      <c r="CD965" s="121" t="s">
        <v>1006</v>
      </c>
      <c r="CE965" s="121"/>
      <c r="CW965" s="35">
        <f t="shared" si="123"/>
        <v>1</v>
      </c>
      <c r="CX965" s="32">
        <f t="shared" si="125"/>
        <v>1</v>
      </c>
      <c r="CY965" s="30"/>
      <c r="CZ965" s="30">
        <f>IF(CC965="",1,IF(CC965="Chcem skryť riadok.",0,1))</f>
        <v>1</v>
      </c>
      <c r="DA965" s="52">
        <f>+IF(CW965*CX965=0,0,IF(CZ965=0,0,1))</f>
        <v>1</v>
      </c>
      <c r="DB965" s="2">
        <f t="shared" si="127"/>
        <v>0</v>
      </c>
      <c r="DR965" s="76"/>
      <c r="DS965" s="130">
        <f>SI!BY965</f>
        <v>734</v>
      </c>
      <c r="DT965" s="130"/>
      <c r="DU965" s="130"/>
      <c r="DV965" s="130"/>
      <c r="DW965" s="130"/>
      <c r="DX965" s="130"/>
      <c r="DY965" s="130"/>
      <c r="DZ965" s="131">
        <f>SI!BZ965</f>
        <v>0</v>
      </c>
      <c r="EA965" s="76"/>
      <c r="EB965" s="76"/>
    </row>
    <row r="966" spans="1:132" s="14" customFormat="1" hidden="1" x14ac:dyDescent="0.25">
      <c r="A966" s="290"/>
      <c r="B966" s="579" t="str">
        <f>+IF(LEN(SI!J2)=Poznamky_k_UZ!DZ966,"Stav na konci účt. obdobia","")</f>
        <v>Stav na konci účt. obdobia</v>
      </c>
      <c r="C966" s="580"/>
      <c r="D966" s="580"/>
      <c r="E966" s="580"/>
      <c r="F966" s="580"/>
      <c r="G966" s="580"/>
      <c r="H966" s="580"/>
      <c r="I966" s="580"/>
      <c r="J966" s="580"/>
      <c r="K966" s="580"/>
      <c r="L966" s="580"/>
      <c r="M966" s="580"/>
      <c r="N966" s="580"/>
      <c r="O966" s="580"/>
      <c r="P966" s="580"/>
      <c r="Q966" s="580"/>
      <c r="R966" s="580"/>
      <c r="S966" s="580"/>
      <c r="T966" s="580"/>
      <c r="U966" s="580"/>
      <c r="V966" s="580"/>
      <c r="W966" s="773">
        <f>+SUM(W962:AC965)</f>
        <v>0</v>
      </c>
      <c r="X966" s="774"/>
      <c r="Y966" s="774"/>
      <c r="Z966" s="774"/>
      <c r="AA966" s="774"/>
      <c r="AB966" s="774"/>
      <c r="AC966" s="775"/>
      <c r="AD966" s="777">
        <f>+SUM(AD962:AI965)</f>
        <v>0</v>
      </c>
      <c r="AE966" s="774"/>
      <c r="AF966" s="774"/>
      <c r="AG966" s="774"/>
      <c r="AH966" s="774"/>
      <c r="AI966" s="778"/>
      <c r="AJ966" s="794">
        <f>+SUM(AJ962:AQ965)</f>
        <v>0</v>
      </c>
      <c r="AK966" s="795"/>
      <c r="AL966" s="795"/>
      <c r="AM966" s="795"/>
      <c r="AN966" s="795"/>
      <c r="AO966" s="795"/>
      <c r="AP966" s="795"/>
      <c r="AQ966" s="796"/>
      <c r="AR966" s="797">
        <f>+SUM(AR962:AV965)</f>
        <v>0</v>
      </c>
      <c r="AS966" s="798"/>
      <c r="AT966" s="798"/>
      <c r="AU966" s="798"/>
      <c r="AV966" s="799"/>
      <c r="AW966" s="773">
        <f>+SUM(AW962:BB965)</f>
        <v>0</v>
      </c>
      <c r="AX966" s="774"/>
      <c r="AY966" s="774"/>
      <c r="AZ966" s="774"/>
      <c r="BA966" s="774"/>
      <c r="BB966" s="775"/>
      <c r="BC966" s="777">
        <f>+SUM(BC962:BI965)</f>
        <v>0</v>
      </c>
      <c r="BD966" s="774"/>
      <c r="BE966" s="774"/>
      <c r="BF966" s="774"/>
      <c r="BG966" s="774"/>
      <c r="BH966" s="774"/>
      <c r="BI966" s="778"/>
      <c r="BJ966" s="773">
        <f>+SUM(BJ962:BP965)</f>
        <v>0</v>
      </c>
      <c r="BK966" s="774"/>
      <c r="BL966" s="774"/>
      <c r="BM966" s="774"/>
      <c r="BN966" s="774"/>
      <c r="BO966" s="774"/>
      <c r="BP966" s="775"/>
      <c r="BQ966" s="777">
        <f>+SUM(BQ962:BZ965)</f>
        <v>0</v>
      </c>
      <c r="BR966" s="774"/>
      <c r="BS966" s="774"/>
      <c r="BT966" s="774"/>
      <c r="BU966" s="774"/>
      <c r="BV966" s="774"/>
      <c r="BW966" s="774"/>
      <c r="BX966" s="774"/>
      <c r="BY966" s="774"/>
      <c r="BZ966" s="775"/>
      <c r="CA966" s="270"/>
      <c r="CB966" s="3" t="str">
        <f t="shared" si="124"/>
        <v>Riadok bude skrytý.</v>
      </c>
      <c r="CC966" s="271" t="s">
        <v>832</v>
      </c>
      <c r="CW966" s="35">
        <f t="shared" ref="CW966:CW971" si="128">+IF($J$900="neeviduje",0,1)</f>
        <v>1</v>
      </c>
      <c r="CX966" s="32">
        <f t="shared" si="125"/>
        <v>1</v>
      </c>
      <c r="CY966" s="30"/>
      <c r="CZ966" s="30">
        <f t="shared" si="121"/>
        <v>1</v>
      </c>
      <c r="DA966" s="52">
        <f t="shared" si="126"/>
        <v>1</v>
      </c>
      <c r="DB966" s="2">
        <f t="shared" si="127"/>
        <v>0</v>
      </c>
      <c r="DR966" s="76"/>
      <c r="DS966" s="130">
        <f>SI!BY966</f>
        <v>869</v>
      </c>
      <c r="DT966" s="130"/>
      <c r="DU966" s="130"/>
      <c r="DV966" s="130"/>
      <c r="DW966" s="130"/>
      <c r="DX966" s="130"/>
      <c r="DY966" s="130"/>
      <c r="DZ966" s="131">
        <f>SI!BZ966</f>
        <v>13</v>
      </c>
      <c r="EA966" s="76"/>
      <c r="EB966" s="76"/>
    </row>
    <row r="967" spans="1:132" s="14" customFormat="1" hidden="1" x14ac:dyDescent="0.25">
      <c r="A967" s="290"/>
      <c r="B967" s="779" t="str">
        <f>+IF(LEN(SI!J2)=Poznamky_k_UZ!DZ967,"Opravné položky","")</f>
        <v>Opravné položky</v>
      </c>
      <c r="C967" s="780"/>
      <c r="D967" s="780"/>
      <c r="E967" s="780"/>
      <c r="F967" s="780"/>
      <c r="G967" s="780"/>
      <c r="H967" s="780"/>
      <c r="I967" s="780"/>
      <c r="J967" s="780"/>
      <c r="K967" s="780"/>
      <c r="L967" s="780"/>
      <c r="M967" s="780"/>
      <c r="N967" s="780"/>
      <c r="O967" s="780"/>
      <c r="P967" s="780"/>
      <c r="Q967" s="780"/>
      <c r="R967" s="780"/>
      <c r="S967" s="780"/>
      <c r="T967" s="780"/>
      <c r="U967" s="780"/>
      <c r="V967" s="780"/>
      <c r="W967" s="780"/>
      <c r="X967" s="780"/>
      <c r="Y967" s="780"/>
      <c r="Z967" s="780"/>
      <c r="AA967" s="780"/>
      <c r="AB967" s="780"/>
      <c r="AC967" s="780"/>
      <c r="AD967" s="780"/>
      <c r="AE967" s="780"/>
      <c r="AF967" s="780"/>
      <c r="AG967" s="780"/>
      <c r="AH967" s="780"/>
      <c r="AI967" s="780"/>
      <c r="AJ967" s="780"/>
      <c r="AK967" s="780"/>
      <c r="AL967" s="780"/>
      <c r="AM967" s="780"/>
      <c r="AN967" s="780"/>
      <c r="AO967" s="780"/>
      <c r="AP967" s="780"/>
      <c r="AQ967" s="780"/>
      <c r="AR967" s="780"/>
      <c r="AS967" s="780"/>
      <c r="AT967" s="780"/>
      <c r="AU967" s="780"/>
      <c r="AV967" s="780"/>
      <c r="AW967" s="780"/>
      <c r="AX967" s="780"/>
      <c r="AY967" s="780"/>
      <c r="AZ967" s="780"/>
      <c r="BA967" s="780"/>
      <c r="BB967" s="780"/>
      <c r="BC967" s="780"/>
      <c r="BD967" s="780"/>
      <c r="BE967" s="780"/>
      <c r="BF967" s="780"/>
      <c r="BG967" s="780"/>
      <c r="BH967" s="780"/>
      <c r="BI967" s="780"/>
      <c r="BJ967" s="780"/>
      <c r="BK967" s="780"/>
      <c r="BL967" s="780"/>
      <c r="BM967" s="780"/>
      <c r="BN967" s="780"/>
      <c r="BO967" s="780"/>
      <c r="BP967" s="780"/>
      <c r="BQ967" s="780"/>
      <c r="BR967" s="780"/>
      <c r="BS967" s="780"/>
      <c r="BT967" s="780"/>
      <c r="BU967" s="780"/>
      <c r="BV967" s="780"/>
      <c r="BW967" s="780"/>
      <c r="BX967" s="780"/>
      <c r="BY967" s="780"/>
      <c r="BZ967" s="781"/>
      <c r="CA967" s="270"/>
      <c r="CB967" s="3" t="str">
        <f t="shared" si="124"/>
        <v>Riadok bude skrytý.</v>
      </c>
      <c r="CC967" s="271" t="s">
        <v>832</v>
      </c>
      <c r="CW967" s="35">
        <f t="shared" si="128"/>
        <v>1</v>
      </c>
      <c r="CX967" s="32">
        <f t="shared" si="125"/>
        <v>1</v>
      </c>
      <c r="CY967" s="30"/>
      <c r="CZ967" s="30">
        <f t="shared" si="121"/>
        <v>1</v>
      </c>
      <c r="DA967" s="52">
        <f t="shared" si="126"/>
        <v>1</v>
      </c>
      <c r="DB967" s="2">
        <f t="shared" si="127"/>
        <v>0</v>
      </c>
      <c r="DR967" s="76"/>
      <c r="DS967" s="130">
        <f>SI!BY967</f>
        <v>204</v>
      </c>
      <c r="DT967" s="130"/>
      <c r="DU967" s="130"/>
      <c r="DV967" s="130"/>
      <c r="DW967" s="130"/>
      <c r="DX967" s="130"/>
      <c r="DY967" s="130"/>
      <c r="DZ967" s="131">
        <f>SI!BZ967</f>
        <v>13</v>
      </c>
      <c r="EA967" s="76"/>
      <c r="EB967" s="76"/>
    </row>
    <row r="968" spans="1:132" s="14" customFormat="1" hidden="1" x14ac:dyDescent="0.25">
      <c r="A968" s="290"/>
      <c r="B968" s="579" t="str">
        <f>+IF(LEN(SI!J2)=Poznamky_k_UZ!DZ968,"Stav na začiatku účt. obdobia","")</f>
        <v>Stav na začiatku účt. obdobia</v>
      </c>
      <c r="C968" s="580"/>
      <c r="D968" s="580"/>
      <c r="E968" s="580"/>
      <c r="F968" s="580"/>
      <c r="G968" s="580"/>
      <c r="H968" s="580"/>
      <c r="I968" s="580"/>
      <c r="J968" s="580"/>
      <c r="K968" s="580"/>
      <c r="L968" s="580"/>
      <c r="M968" s="580"/>
      <c r="N968" s="580"/>
      <c r="O968" s="580"/>
      <c r="P968" s="580"/>
      <c r="Q968" s="580"/>
      <c r="R968" s="580"/>
      <c r="S968" s="580"/>
      <c r="T968" s="580"/>
      <c r="U968" s="580"/>
      <c r="V968" s="580"/>
      <c r="W968" s="782"/>
      <c r="X968" s="783"/>
      <c r="Y968" s="783"/>
      <c r="Z968" s="783"/>
      <c r="AA968" s="783"/>
      <c r="AB968" s="783"/>
      <c r="AC968" s="784"/>
      <c r="AD968" s="828"/>
      <c r="AE968" s="783"/>
      <c r="AF968" s="783"/>
      <c r="AG968" s="783"/>
      <c r="AH968" s="783"/>
      <c r="AI968" s="829"/>
      <c r="AJ968" s="830"/>
      <c r="AK968" s="831"/>
      <c r="AL968" s="831"/>
      <c r="AM968" s="831"/>
      <c r="AN968" s="831"/>
      <c r="AO968" s="831"/>
      <c r="AP968" s="831"/>
      <c r="AQ968" s="832"/>
      <c r="AR968" s="833"/>
      <c r="AS968" s="831"/>
      <c r="AT968" s="831"/>
      <c r="AU968" s="831"/>
      <c r="AV968" s="834"/>
      <c r="AW968" s="782"/>
      <c r="AX968" s="783"/>
      <c r="AY968" s="783"/>
      <c r="AZ968" s="783"/>
      <c r="BA968" s="783"/>
      <c r="BB968" s="784"/>
      <c r="BC968" s="828"/>
      <c r="BD968" s="783"/>
      <c r="BE968" s="783"/>
      <c r="BF968" s="783"/>
      <c r="BG968" s="783"/>
      <c r="BH968" s="783"/>
      <c r="BI968" s="829"/>
      <c r="BJ968" s="782"/>
      <c r="BK968" s="783"/>
      <c r="BL968" s="783"/>
      <c r="BM968" s="783"/>
      <c r="BN968" s="783"/>
      <c r="BO968" s="783"/>
      <c r="BP968" s="784"/>
      <c r="BQ968" s="777">
        <f>+SUM(W968:BP968)</f>
        <v>0</v>
      </c>
      <c r="BR968" s="774"/>
      <c r="BS968" s="774"/>
      <c r="BT968" s="774"/>
      <c r="BU968" s="774"/>
      <c r="BV968" s="774"/>
      <c r="BW968" s="774"/>
      <c r="BX968" s="774"/>
      <c r="BY968" s="774"/>
      <c r="BZ968" s="775"/>
      <c r="CA968" s="270"/>
      <c r="CB968" s="3" t="str">
        <f t="shared" si="124"/>
        <v>Riadok bude skrytý.</v>
      </c>
      <c r="CC968" s="271" t="s">
        <v>832</v>
      </c>
      <c r="CW968" s="35">
        <f t="shared" si="128"/>
        <v>1</v>
      </c>
      <c r="CX968" s="32">
        <f t="shared" si="125"/>
        <v>1</v>
      </c>
      <c r="CY968" s="30"/>
      <c r="CZ968" s="30">
        <f t="shared" si="121"/>
        <v>1</v>
      </c>
      <c r="DA968" s="52">
        <f t="shared" si="126"/>
        <v>1</v>
      </c>
      <c r="DB968" s="2">
        <f t="shared" si="127"/>
        <v>0</v>
      </c>
      <c r="DR968" s="76"/>
      <c r="DS968" s="130">
        <f>SI!BY968</f>
        <v>659</v>
      </c>
      <c r="DT968" s="130"/>
      <c r="DU968" s="130"/>
      <c r="DV968" s="130"/>
      <c r="DW968" s="130"/>
      <c r="DX968" s="130"/>
      <c r="DY968" s="130"/>
      <c r="DZ968" s="131">
        <f>SI!BZ968</f>
        <v>13</v>
      </c>
      <c r="EA968" s="76"/>
      <c r="EB968" s="76"/>
    </row>
    <row r="969" spans="1:132" s="14" customFormat="1" hidden="1" x14ac:dyDescent="0.25">
      <c r="A969" s="290"/>
      <c r="B969" s="814" t="str">
        <f>+IF(LEN(SI!J2)=Poznamky_k_UZ!DZ969,"Prírastky","")</f>
        <v>Prírastky</v>
      </c>
      <c r="C969" s="815"/>
      <c r="D969" s="815"/>
      <c r="E969" s="815"/>
      <c r="F969" s="815"/>
      <c r="G969" s="815"/>
      <c r="H969" s="815"/>
      <c r="I969" s="815"/>
      <c r="J969" s="815"/>
      <c r="K969" s="815"/>
      <c r="L969" s="815"/>
      <c r="M969" s="815"/>
      <c r="N969" s="815"/>
      <c r="O969" s="815"/>
      <c r="P969" s="815"/>
      <c r="Q969" s="815"/>
      <c r="R969" s="815"/>
      <c r="S969" s="815"/>
      <c r="T969" s="815"/>
      <c r="U969" s="815"/>
      <c r="V969" s="815"/>
      <c r="W969" s="800"/>
      <c r="X969" s="801"/>
      <c r="Y969" s="801"/>
      <c r="Z969" s="801"/>
      <c r="AA969" s="801"/>
      <c r="AB969" s="801"/>
      <c r="AC969" s="802"/>
      <c r="AD969" s="803"/>
      <c r="AE969" s="801"/>
      <c r="AF969" s="801"/>
      <c r="AG969" s="801"/>
      <c r="AH969" s="801"/>
      <c r="AI969" s="804"/>
      <c r="AJ969" s="805"/>
      <c r="AK969" s="806"/>
      <c r="AL969" s="806"/>
      <c r="AM969" s="806"/>
      <c r="AN969" s="806"/>
      <c r="AO969" s="806"/>
      <c r="AP969" s="806"/>
      <c r="AQ969" s="807"/>
      <c r="AR969" s="808"/>
      <c r="AS969" s="806"/>
      <c r="AT969" s="806"/>
      <c r="AU969" s="806"/>
      <c r="AV969" s="809"/>
      <c r="AW969" s="800"/>
      <c r="AX969" s="801"/>
      <c r="AY969" s="801"/>
      <c r="AZ969" s="801"/>
      <c r="BA969" s="801"/>
      <c r="BB969" s="802"/>
      <c r="BC969" s="803"/>
      <c r="BD969" s="801"/>
      <c r="BE969" s="801"/>
      <c r="BF969" s="801"/>
      <c r="BG969" s="801"/>
      <c r="BH969" s="801"/>
      <c r="BI969" s="804"/>
      <c r="BJ969" s="800"/>
      <c r="BK969" s="801"/>
      <c r="BL969" s="801"/>
      <c r="BM969" s="801"/>
      <c r="BN969" s="801"/>
      <c r="BO969" s="801"/>
      <c r="BP969" s="802"/>
      <c r="BQ969" s="825">
        <f>+SUM(W969:BP969)</f>
        <v>0</v>
      </c>
      <c r="BR969" s="826"/>
      <c r="BS969" s="826"/>
      <c r="BT969" s="826"/>
      <c r="BU969" s="826"/>
      <c r="BV969" s="826"/>
      <c r="BW969" s="826"/>
      <c r="BX969" s="826"/>
      <c r="BY969" s="826"/>
      <c r="BZ969" s="827"/>
      <c r="CA969" s="270"/>
      <c r="CB969" s="3" t="str">
        <f t="shared" si="124"/>
        <v>Riadok bude skrytý.</v>
      </c>
      <c r="CC969" s="271" t="s">
        <v>832</v>
      </c>
      <c r="CW969" s="35">
        <f t="shared" si="128"/>
        <v>1</v>
      </c>
      <c r="CX969" s="32">
        <f t="shared" si="125"/>
        <v>1</v>
      </c>
      <c r="CY969" s="30"/>
      <c r="CZ969" s="30">
        <f t="shared" si="121"/>
        <v>1</v>
      </c>
      <c r="DA969" s="52">
        <f t="shared" si="126"/>
        <v>1</v>
      </c>
      <c r="DB969" s="2">
        <f t="shared" si="127"/>
        <v>0</v>
      </c>
      <c r="DR969" s="76"/>
      <c r="DS969" s="130">
        <f>SI!BY969</f>
        <v>171</v>
      </c>
      <c r="DT969" s="130"/>
      <c r="DU969" s="130"/>
      <c r="DV969" s="130"/>
      <c r="DW969" s="130"/>
      <c r="DX969" s="130"/>
      <c r="DY969" s="130"/>
      <c r="DZ969" s="131">
        <f>SI!BZ969</f>
        <v>13</v>
      </c>
      <c r="EA969" s="76"/>
      <c r="EB969" s="76"/>
    </row>
    <row r="970" spans="1:132" s="14" customFormat="1" hidden="1" x14ac:dyDescent="0.25">
      <c r="A970" s="290"/>
      <c r="B970" s="764" t="str">
        <f>+IF(LEN(SI!J2)=Poznamky_k_UZ!DZ970,"Úbytky","")</f>
        <v>Úbytky</v>
      </c>
      <c r="C970" s="765"/>
      <c r="D970" s="765"/>
      <c r="E970" s="765"/>
      <c r="F970" s="765"/>
      <c r="G970" s="765"/>
      <c r="H970" s="765"/>
      <c r="I970" s="765"/>
      <c r="J970" s="765"/>
      <c r="K970" s="765"/>
      <c r="L970" s="765"/>
      <c r="M970" s="765"/>
      <c r="N970" s="765"/>
      <c r="O970" s="765"/>
      <c r="P970" s="765"/>
      <c r="Q970" s="765"/>
      <c r="R970" s="765"/>
      <c r="S970" s="765"/>
      <c r="T970" s="765"/>
      <c r="U970" s="765"/>
      <c r="V970" s="766"/>
      <c r="W970" s="791"/>
      <c r="X970" s="792"/>
      <c r="Y970" s="792"/>
      <c r="Z970" s="792"/>
      <c r="AA970" s="792"/>
      <c r="AB970" s="792"/>
      <c r="AC970" s="793"/>
      <c r="AD970" s="810"/>
      <c r="AE970" s="792"/>
      <c r="AF970" s="792"/>
      <c r="AG970" s="792"/>
      <c r="AH970" s="792"/>
      <c r="AI970" s="811"/>
      <c r="AJ970" s="812"/>
      <c r="AK970" s="786"/>
      <c r="AL970" s="786"/>
      <c r="AM970" s="786"/>
      <c r="AN970" s="786"/>
      <c r="AO970" s="786"/>
      <c r="AP970" s="786"/>
      <c r="AQ970" s="813"/>
      <c r="AR970" s="785"/>
      <c r="AS970" s="786"/>
      <c r="AT970" s="786"/>
      <c r="AU970" s="786"/>
      <c r="AV970" s="787"/>
      <c r="AW970" s="791"/>
      <c r="AX970" s="792"/>
      <c r="AY970" s="792"/>
      <c r="AZ970" s="792"/>
      <c r="BA970" s="792"/>
      <c r="BB970" s="793"/>
      <c r="BC970" s="810"/>
      <c r="BD970" s="792"/>
      <c r="BE970" s="792"/>
      <c r="BF970" s="792"/>
      <c r="BG970" s="792"/>
      <c r="BH970" s="792"/>
      <c r="BI970" s="811"/>
      <c r="BJ970" s="791"/>
      <c r="BK970" s="792"/>
      <c r="BL970" s="792"/>
      <c r="BM970" s="792"/>
      <c r="BN970" s="792"/>
      <c r="BO970" s="792"/>
      <c r="BP970" s="793"/>
      <c r="BQ970" s="822">
        <f>+SUM(W970:BP970)</f>
        <v>0</v>
      </c>
      <c r="BR970" s="823"/>
      <c r="BS970" s="823"/>
      <c r="BT970" s="823"/>
      <c r="BU970" s="823"/>
      <c r="BV970" s="823"/>
      <c r="BW970" s="823"/>
      <c r="BX970" s="823"/>
      <c r="BY970" s="823"/>
      <c r="BZ970" s="824"/>
      <c r="CA970" s="270"/>
      <c r="CB970" s="3" t="str">
        <f t="shared" si="124"/>
        <v>Riadok bude skrytý.</v>
      </c>
      <c r="CC970" s="271" t="s">
        <v>832</v>
      </c>
      <c r="CW970" s="35">
        <f t="shared" si="128"/>
        <v>1</v>
      </c>
      <c r="CX970" s="32">
        <f t="shared" si="125"/>
        <v>1</v>
      </c>
      <c r="CY970" s="30"/>
      <c r="CZ970" s="30">
        <f t="shared" si="121"/>
        <v>1</v>
      </c>
      <c r="DA970" s="52">
        <f t="shared" si="126"/>
        <v>1</v>
      </c>
      <c r="DB970" s="2">
        <f t="shared" si="127"/>
        <v>0</v>
      </c>
      <c r="DR970" s="76"/>
      <c r="DS970" s="130">
        <f>SI!BY970</f>
        <v>817</v>
      </c>
      <c r="DT970" s="130"/>
      <c r="DU970" s="130"/>
      <c r="DV970" s="130"/>
      <c r="DW970" s="130"/>
      <c r="DX970" s="130"/>
      <c r="DY970" s="130"/>
      <c r="DZ970" s="131">
        <f>SI!BZ970</f>
        <v>13</v>
      </c>
      <c r="EA970" s="76"/>
      <c r="EB970" s="76"/>
    </row>
    <row r="971" spans="1:132" s="14" customFormat="1" hidden="1" x14ac:dyDescent="0.25">
      <c r="A971" s="290"/>
      <c r="B971" s="861" t="s">
        <v>115</v>
      </c>
      <c r="C971" s="862"/>
      <c r="D971" s="862"/>
      <c r="E971" s="862"/>
      <c r="F971" s="862"/>
      <c r="G971" s="862"/>
      <c r="H971" s="862"/>
      <c r="I971" s="862"/>
      <c r="J971" s="862"/>
      <c r="K971" s="862"/>
      <c r="L971" s="862"/>
      <c r="M971" s="862"/>
      <c r="N971" s="862"/>
      <c r="O971" s="862"/>
      <c r="P971" s="862"/>
      <c r="Q971" s="862"/>
      <c r="R971" s="862"/>
      <c r="S971" s="862"/>
      <c r="T971" s="862"/>
      <c r="U971" s="862"/>
      <c r="V971" s="863"/>
      <c r="W971" s="856"/>
      <c r="X971" s="857"/>
      <c r="Y971" s="857"/>
      <c r="Z971" s="857"/>
      <c r="AA971" s="857"/>
      <c r="AB971" s="857"/>
      <c r="AC971" s="858"/>
      <c r="AD971" s="859"/>
      <c r="AE971" s="857"/>
      <c r="AF971" s="857"/>
      <c r="AG971" s="857"/>
      <c r="AH971" s="857"/>
      <c r="AI971" s="860"/>
      <c r="AJ971" s="788"/>
      <c r="AK971" s="789"/>
      <c r="AL971" s="789"/>
      <c r="AM971" s="789"/>
      <c r="AN971" s="789"/>
      <c r="AO971" s="789"/>
      <c r="AP971" s="789"/>
      <c r="AQ971" s="790"/>
      <c r="AR971" s="864"/>
      <c r="AS971" s="789"/>
      <c r="AT971" s="789"/>
      <c r="AU971" s="789"/>
      <c r="AV971" s="865"/>
      <c r="AW971" s="856"/>
      <c r="AX971" s="857"/>
      <c r="AY971" s="857"/>
      <c r="AZ971" s="857"/>
      <c r="BA971" s="857"/>
      <c r="BB971" s="858"/>
      <c r="BC971" s="859"/>
      <c r="BD971" s="857"/>
      <c r="BE971" s="857"/>
      <c r="BF971" s="857"/>
      <c r="BG971" s="857"/>
      <c r="BH971" s="857"/>
      <c r="BI971" s="860"/>
      <c r="BJ971" s="856"/>
      <c r="BK971" s="857"/>
      <c r="BL971" s="857"/>
      <c r="BM971" s="857"/>
      <c r="BN971" s="857"/>
      <c r="BO971" s="857"/>
      <c r="BP971" s="858"/>
      <c r="BQ971" s="767">
        <f>+SUM(W971:BP971)</f>
        <v>0</v>
      </c>
      <c r="BR971" s="768"/>
      <c r="BS971" s="768"/>
      <c r="BT971" s="768"/>
      <c r="BU971" s="768"/>
      <c r="BV971" s="768"/>
      <c r="BW971" s="768"/>
      <c r="BX971" s="768"/>
      <c r="BY971" s="768"/>
      <c r="BZ971" s="769"/>
      <c r="CA971" s="270"/>
      <c r="CB971" s="3" t="str">
        <f t="shared" si="124"/>
        <v>Riadok bude skrytý.</v>
      </c>
      <c r="CC971" s="271" t="s">
        <v>832</v>
      </c>
      <c r="CD971" s="121" t="s">
        <v>1006</v>
      </c>
      <c r="CE971" s="121"/>
      <c r="CW971" s="35">
        <f t="shared" si="128"/>
        <v>1</v>
      </c>
      <c r="CX971" s="32">
        <f t="shared" si="125"/>
        <v>1</v>
      </c>
      <c r="CY971" s="30"/>
      <c r="CZ971" s="30">
        <f>IF(CC971="",1,IF(CC971="Chcem skryť riadok.",0,1))</f>
        <v>1</v>
      </c>
      <c r="DA971" s="52">
        <f>+IF(CW971*CX971=0,0,IF(CZ971=0,0,1))</f>
        <v>1</v>
      </c>
      <c r="DB971" s="2">
        <f t="shared" si="127"/>
        <v>0</v>
      </c>
      <c r="DR971" s="76"/>
      <c r="DS971" s="130">
        <f>SI!BY971</f>
        <v>817</v>
      </c>
      <c r="DT971" s="130"/>
      <c r="DU971" s="130"/>
      <c r="DV971" s="130"/>
      <c r="DW971" s="130"/>
      <c r="DX971" s="130"/>
      <c r="DY971" s="130"/>
      <c r="DZ971" s="131">
        <f>SI!BZ971</f>
        <v>0</v>
      </c>
      <c r="EA971" s="76"/>
      <c r="EB971" s="76"/>
    </row>
    <row r="972" spans="1:132" s="14" customFormat="1" hidden="1" x14ac:dyDescent="0.25">
      <c r="A972" s="290"/>
      <c r="B972" s="579" t="str">
        <f>+IF(LEN(SI!J2)=Poznamky_k_UZ!DZ972,"Stav na konci účt. obdobia","")</f>
        <v>Stav na konci účt. obdobia</v>
      </c>
      <c r="C972" s="580"/>
      <c r="D972" s="580"/>
      <c r="E972" s="580"/>
      <c r="F972" s="580"/>
      <c r="G972" s="580"/>
      <c r="H972" s="580"/>
      <c r="I972" s="580"/>
      <c r="J972" s="580"/>
      <c r="K972" s="580"/>
      <c r="L972" s="580"/>
      <c r="M972" s="580"/>
      <c r="N972" s="580"/>
      <c r="O972" s="580"/>
      <c r="P972" s="580"/>
      <c r="Q972" s="580"/>
      <c r="R972" s="580"/>
      <c r="S972" s="580"/>
      <c r="T972" s="580"/>
      <c r="U972" s="580"/>
      <c r="V972" s="580"/>
      <c r="W972" s="773">
        <f>+SUM(W968:AC971)</f>
        <v>0</v>
      </c>
      <c r="X972" s="774"/>
      <c r="Y972" s="774"/>
      <c r="Z972" s="774"/>
      <c r="AA972" s="774"/>
      <c r="AB972" s="774"/>
      <c r="AC972" s="775"/>
      <c r="AD972" s="777">
        <f>+SUM(AD968:AI971)</f>
        <v>0</v>
      </c>
      <c r="AE972" s="774"/>
      <c r="AF972" s="774"/>
      <c r="AG972" s="774"/>
      <c r="AH972" s="774"/>
      <c r="AI972" s="778"/>
      <c r="AJ972" s="794">
        <f>+SUM(AJ968:AQ971)</f>
        <v>0</v>
      </c>
      <c r="AK972" s="795"/>
      <c r="AL972" s="795"/>
      <c r="AM972" s="795"/>
      <c r="AN972" s="795"/>
      <c r="AO972" s="795"/>
      <c r="AP972" s="795"/>
      <c r="AQ972" s="796"/>
      <c r="AR972" s="797">
        <f>+SUM(AR968:AV971)</f>
        <v>0</v>
      </c>
      <c r="AS972" s="798"/>
      <c r="AT972" s="798"/>
      <c r="AU972" s="798"/>
      <c r="AV972" s="799"/>
      <c r="AW972" s="773">
        <f>+SUM(AW968:BB971)</f>
        <v>0</v>
      </c>
      <c r="AX972" s="774"/>
      <c r="AY972" s="774"/>
      <c r="AZ972" s="774"/>
      <c r="BA972" s="774"/>
      <c r="BB972" s="775"/>
      <c r="BC972" s="777">
        <f>+SUM(BC968:BI971)</f>
        <v>0</v>
      </c>
      <c r="BD972" s="774"/>
      <c r="BE972" s="774"/>
      <c r="BF972" s="774"/>
      <c r="BG972" s="774"/>
      <c r="BH972" s="774"/>
      <c r="BI972" s="778"/>
      <c r="BJ972" s="773">
        <f>+SUM(BJ968:BP971)</f>
        <v>0</v>
      </c>
      <c r="BK972" s="774"/>
      <c r="BL972" s="774"/>
      <c r="BM972" s="774"/>
      <c r="BN972" s="774"/>
      <c r="BO972" s="774"/>
      <c r="BP972" s="775"/>
      <c r="BQ972" s="777">
        <f>+SUM(BQ968:BZ971)</f>
        <v>0</v>
      </c>
      <c r="BR972" s="774"/>
      <c r="BS972" s="774"/>
      <c r="BT972" s="774"/>
      <c r="BU972" s="774"/>
      <c r="BV972" s="774"/>
      <c r="BW972" s="774"/>
      <c r="BX972" s="774"/>
      <c r="BY972" s="774"/>
      <c r="BZ972" s="775"/>
      <c r="CA972" s="270"/>
      <c r="CB972" s="3" t="str">
        <f t="shared" si="124"/>
        <v>Riadok bude skrytý.</v>
      </c>
      <c r="CC972" s="271" t="s">
        <v>832</v>
      </c>
      <c r="CW972" s="35">
        <f t="shared" ref="CW972:CW1003" si="129">+IF($J$900="neeviduje",0,1)</f>
        <v>1</v>
      </c>
      <c r="CX972" s="32">
        <f t="shared" si="125"/>
        <v>1</v>
      </c>
      <c r="CY972" s="30"/>
      <c r="CZ972" s="30">
        <f t="shared" si="121"/>
        <v>1</v>
      </c>
      <c r="DA972" s="52">
        <f t="shared" si="126"/>
        <v>1</v>
      </c>
      <c r="DB972" s="2">
        <f t="shared" si="127"/>
        <v>0</v>
      </c>
      <c r="DR972" s="76"/>
      <c r="DS972" s="130">
        <f>SI!BY972</f>
        <v>134</v>
      </c>
      <c r="DT972" s="130"/>
      <c r="DU972" s="130"/>
      <c r="DV972" s="130"/>
      <c r="DW972" s="130"/>
      <c r="DX972" s="130"/>
      <c r="DY972" s="130"/>
      <c r="DZ972" s="131">
        <f>SI!BZ972</f>
        <v>13</v>
      </c>
      <c r="EA972" s="76"/>
      <c r="EB972" s="76"/>
    </row>
    <row r="973" spans="1:132" s="14" customFormat="1" hidden="1" x14ac:dyDescent="0.25">
      <c r="A973" s="290"/>
      <c r="B973" s="779" t="str">
        <f>+IF(LEN(SI!J2)=Poznamky_k_UZ!DZ973,"Zostatková hodnota","")</f>
        <v>Zostatková hodnota</v>
      </c>
      <c r="C973" s="780"/>
      <c r="D973" s="780"/>
      <c r="E973" s="780"/>
      <c r="F973" s="780"/>
      <c r="G973" s="780"/>
      <c r="H973" s="780"/>
      <c r="I973" s="780"/>
      <c r="J973" s="780"/>
      <c r="K973" s="780"/>
      <c r="L973" s="780"/>
      <c r="M973" s="780"/>
      <c r="N973" s="780"/>
      <c r="O973" s="780"/>
      <c r="P973" s="780"/>
      <c r="Q973" s="780"/>
      <c r="R973" s="780"/>
      <c r="S973" s="780"/>
      <c r="T973" s="780"/>
      <c r="U973" s="780"/>
      <c r="V973" s="780"/>
      <c r="W973" s="780"/>
      <c r="X973" s="780"/>
      <c r="Y973" s="780"/>
      <c r="Z973" s="780"/>
      <c r="AA973" s="780"/>
      <c r="AB973" s="780"/>
      <c r="AC973" s="780"/>
      <c r="AD973" s="780"/>
      <c r="AE973" s="780"/>
      <c r="AF973" s="780"/>
      <c r="AG973" s="780"/>
      <c r="AH973" s="780"/>
      <c r="AI973" s="780"/>
      <c r="AJ973" s="780"/>
      <c r="AK973" s="780"/>
      <c r="AL973" s="780"/>
      <c r="AM973" s="780"/>
      <c r="AN973" s="780"/>
      <c r="AO973" s="780"/>
      <c r="AP973" s="780"/>
      <c r="AQ973" s="780"/>
      <c r="AR973" s="780"/>
      <c r="AS973" s="780"/>
      <c r="AT973" s="780"/>
      <c r="AU973" s="780"/>
      <c r="AV973" s="780"/>
      <c r="AW973" s="780"/>
      <c r="AX973" s="780"/>
      <c r="AY973" s="780"/>
      <c r="AZ973" s="780"/>
      <c r="BA973" s="780"/>
      <c r="BB973" s="780"/>
      <c r="BC973" s="780"/>
      <c r="BD973" s="780"/>
      <c r="BE973" s="780"/>
      <c r="BF973" s="780"/>
      <c r="BG973" s="780"/>
      <c r="BH973" s="780"/>
      <c r="BI973" s="780"/>
      <c r="BJ973" s="780"/>
      <c r="BK973" s="780"/>
      <c r="BL973" s="780"/>
      <c r="BM973" s="780"/>
      <c r="BN973" s="780"/>
      <c r="BO973" s="780"/>
      <c r="BP973" s="780"/>
      <c r="BQ973" s="780"/>
      <c r="BR973" s="780"/>
      <c r="BS973" s="780"/>
      <c r="BT973" s="780"/>
      <c r="BU973" s="780"/>
      <c r="BV973" s="780"/>
      <c r="BW973" s="780"/>
      <c r="BX973" s="780"/>
      <c r="BY973" s="780"/>
      <c r="BZ973" s="781"/>
      <c r="CA973" s="270"/>
      <c r="CB973" s="3" t="str">
        <f t="shared" si="124"/>
        <v>Riadok bude skrytý.</v>
      </c>
      <c r="CC973" s="271" t="s">
        <v>832</v>
      </c>
      <c r="CW973" s="35">
        <f t="shared" si="129"/>
        <v>1</v>
      </c>
      <c r="CX973" s="32">
        <f t="shared" si="125"/>
        <v>1</v>
      </c>
      <c r="CY973" s="30"/>
      <c r="CZ973" s="30">
        <f t="shared" si="121"/>
        <v>1</v>
      </c>
      <c r="DA973" s="52">
        <f t="shared" si="126"/>
        <v>1</v>
      </c>
      <c r="DB973" s="2">
        <f t="shared" si="127"/>
        <v>0</v>
      </c>
      <c r="DR973" s="76"/>
      <c r="DS973" s="130">
        <f>SI!BY973</f>
        <v>545</v>
      </c>
      <c r="DT973" s="130"/>
      <c r="DU973" s="130"/>
      <c r="DV973" s="130"/>
      <c r="DW973" s="130"/>
      <c r="DX973" s="130"/>
      <c r="DY973" s="130"/>
      <c r="DZ973" s="131">
        <f>SI!BZ973</f>
        <v>13</v>
      </c>
      <c r="EA973" s="76"/>
      <c r="EB973" s="76"/>
    </row>
    <row r="974" spans="1:132" s="14" customFormat="1" hidden="1" x14ac:dyDescent="0.25">
      <c r="A974" s="290"/>
      <c r="B974" s="579" t="str">
        <f>+IF(LEN(SI!J2)=Poznamky_k_UZ!DZ974,"Stav na začiatku účt. obdobia","")</f>
        <v>Stav na začiatku účt. obdobia</v>
      </c>
      <c r="C974" s="580"/>
      <c r="D974" s="580"/>
      <c r="E974" s="580"/>
      <c r="F974" s="580"/>
      <c r="G974" s="580"/>
      <c r="H974" s="580"/>
      <c r="I974" s="580"/>
      <c r="J974" s="580"/>
      <c r="K974" s="580"/>
      <c r="L974" s="580"/>
      <c r="M974" s="580"/>
      <c r="N974" s="580"/>
      <c r="O974" s="580"/>
      <c r="P974" s="580"/>
      <c r="Q974" s="580"/>
      <c r="R974" s="580"/>
      <c r="S974" s="580"/>
      <c r="T974" s="580"/>
      <c r="U974" s="580"/>
      <c r="V974" s="580"/>
      <c r="W974" s="773">
        <f>+W956-W962-W968</f>
        <v>0</v>
      </c>
      <c r="X974" s="774"/>
      <c r="Y974" s="774"/>
      <c r="Z974" s="774"/>
      <c r="AA974" s="774"/>
      <c r="AB974" s="774"/>
      <c r="AC974" s="775"/>
      <c r="AD974" s="777">
        <f>+AD956-AD962-AD968</f>
        <v>0</v>
      </c>
      <c r="AE974" s="774"/>
      <c r="AF974" s="774"/>
      <c r="AG974" s="774"/>
      <c r="AH974" s="774"/>
      <c r="AI974" s="778"/>
      <c r="AJ974" s="794">
        <f>+AJ956-AJ962-AJ968</f>
        <v>0</v>
      </c>
      <c r="AK974" s="795"/>
      <c r="AL974" s="795"/>
      <c r="AM974" s="795"/>
      <c r="AN974" s="795"/>
      <c r="AO974" s="795"/>
      <c r="AP974" s="795"/>
      <c r="AQ974" s="796"/>
      <c r="AR974" s="797">
        <f>+AR956-AR962-AR968</f>
        <v>0</v>
      </c>
      <c r="AS974" s="798"/>
      <c r="AT974" s="798"/>
      <c r="AU974" s="798"/>
      <c r="AV974" s="799"/>
      <c r="AW974" s="773">
        <f>+AW956-AW962-AW968</f>
        <v>0</v>
      </c>
      <c r="AX974" s="774"/>
      <c r="AY974" s="774"/>
      <c r="AZ974" s="774"/>
      <c r="BA974" s="774"/>
      <c r="BB974" s="775"/>
      <c r="BC974" s="777">
        <f>+BC956-BC962-BC968</f>
        <v>0</v>
      </c>
      <c r="BD974" s="774"/>
      <c r="BE974" s="774"/>
      <c r="BF974" s="774"/>
      <c r="BG974" s="774"/>
      <c r="BH974" s="774"/>
      <c r="BI974" s="778"/>
      <c r="BJ974" s="773">
        <f>+BJ956-BJ962-BJ968</f>
        <v>0</v>
      </c>
      <c r="BK974" s="774"/>
      <c r="BL974" s="774"/>
      <c r="BM974" s="774"/>
      <c r="BN974" s="774"/>
      <c r="BO974" s="774"/>
      <c r="BP974" s="775"/>
      <c r="BQ974" s="777">
        <f>+BQ956-BQ962-BQ968</f>
        <v>0</v>
      </c>
      <c r="BR974" s="774"/>
      <c r="BS974" s="774"/>
      <c r="BT974" s="774"/>
      <c r="BU974" s="774"/>
      <c r="BV974" s="774"/>
      <c r="BW974" s="774"/>
      <c r="BX974" s="774"/>
      <c r="BY974" s="774"/>
      <c r="BZ974" s="775"/>
      <c r="CA974" s="270"/>
      <c r="CB974" s="3" t="str">
        <f t="shared" si="124"/>
        <v>Riadok bude skrytý.</v>
      </c>
      <c r="CC974" s="271" t="s">
        <v>832</v>
      </c>
      <c r="CW974" s="35">
        <f t="shared" si="129"/>
        <v>1</v>
      </c>
      <c r="CX974" s="32">
        <f t="shared" si="125"/>
        <v>1</v>
      </c>
      <c r="CY974" s="30"/>
      <c r="CZ974" s="30">
        <f t="shared" si="121"/>
        <v>1</v>
      </c>
      <c r="DA974" s="52">
        <f t="shared" si="126"/>
        <v>1</v>
      </c>
      <c r="DB974" s="2">
        <f t="shared" si="127"/>
        <v>0</v>
      </c>
      <c r="DR974" s="76"/>
      <c r="DS974" s="130">
        <f>SI!BY974</f>
        <v>140</v>
      </c>
      <c r="DT974" s="130"/>
      <c r="DU974" s="130"/>
      <c r="DV974" s="130"/>
      <c r="DW974" s="130"/>
      <c r="DX974" s="130"/>
      <c r="DY974" s="130"/>
      <c r="DZ974" s="131">
        <f>SI!BZ974</f>
        <v>13</v>
      </c>
      <c r="EA974" s="76"/>
      <c r="EB974" s="76"/>
    </row>
    <row r="975" spans="1:132" s="14" customFormat="1" hidden="1" x14ac:dyDescent="0.25">
      <c r="A975" s="290"/>
      <c r="B975" s="579" t="str">
        <f>+IF(LEN(SI!J2)=Poznamky_k_UZ!DZ975,"Stav na konci účt. obdobia","")</f>
        <v>Stav na konci účt. obdobia</v>
      </c>
      <c r="C975" s="580"/>
      <c r="D975" s="580"/>
      <c r="E975" s="580"/>
      <c r="F975" s="580"/>
      <c r="G975" s="580"/>
      <c r="H975" s="580"/>
      <c r="I975" s="580"/>
      <c r="J975" s="580"/>
      <c r="K975" s="580"/>
      <c r="L975" s="580"/>
      <c r="M975" s="580"/>
      <c r="N975" s="580"/>
      <c r="O975" s="580"/>
      <c r="P975" s="580"/>
      <c r="Q975" s="580"/>
      <c r="R975" s="580"/>
      <c r="S975" s="580"/>
      <c r="T975" s="580"/>
      <c r="U975" s="580"/>
      <c r="V975" s="580"/>
      <c r="W975" s="773">
        <f>+W960-W966-W972</f>
        <v>0</v>
      </c>
      <c r="X975" s="774"/>
      <c r="Y975" s="774"/>
      <c r="Z975" s="774"/>
      <c r="AA975" s="774"/>
      <c r="AB975" s="774"/>
      <c r="AC975" s="775"/>
      <c r="AD975" s="777">
        <f>+AD960-AD966-AD972</f>
        <v>0</v>
      </c>
      <c r="AE975" s="774"/>
      <c r="AF975" s="774"/>
      <c r="AG975" s="774"/>
      <c r="AH975" s="774"/>
      <c r="AI975" s="778"/>
      <c r="AJ975" s="794">
        <f>+AJ960-AJ966-AJ972</f>
        <v>0</v>
      </c>
      <c r="AK975" s="795"/>
      <c r="AL975" s="795"/>
      <c r="AM975" s="795"/>
      <c r="AN975" s="795"/>
      <c r="AO975" s="795"/>
      <c r="AP975" s="795"/>
      <c r="AQ975" s="796"/>
      <c r="AR975" s="797">
        <f>+AR960-AR966-AR972</f>
        <v>0</v>
      </c>
      <c r="AS975" s="798"/>
      <c r="AT975" s="798"/>
      <c r="AU975" s="798"/>
      <c r="AV975" s="799"/>
      <c r="AW975" s="773">
        <f>+AW960-AW966-AW972</f>
        <v>0</v>
      </c>
      <c r="AX975" s="774"/>
      <c r="AY975" s="774"/>
      <c r="AZ975" s="774"/>
      <c r="BA975" s="774"/>
      <c r="BB975" s="775"/>
      <c r="BC975" s="777">
        <f>+BC960-BC966-BC972</f>
        <v>0</v>
      </c>
      <c r="BD975" s="774"/>
      <c r="BE975" s="774"/>
      <c r="BF975" s="774"/>
      <c r="BG975" s="774"/>
      <c r="BH975" s="774"/>
      <c r="BI975" s="778"/>
      <c r="BJ975" s="773">
        <f>+BJ960-BJ966-BJ972</f>
        <v>0</v>
      </c>
      <c r="BK975" s="774"/>
      <c r="BL975" s="774"/>
      <c r="BM975" s="774"/>
      <c r="BN975" s="774"/>
      <c r="BO975" s="774"/>
      <c r="BP975" s="775"/>
      <c r="BQ975" s="777">
        <f>+BQ960-BQ966-BQ972</f>
        <v>0</v>
      </c>
      <c r="BR975" s="774"/>
      <c r="BS975" s="774"/>
      <c r="BT975" s="774"/>
      <c r="BU975" s="774"/>
      <c r="BV975" s="774"/>
      <c r="BW975" s="774"/>
      <c r="BX975" s="774"/>
      <c r="BY975" s="774"/>
      <c r="BZ975" s="775"/>
      <c r="CA975" s="270"/>
      <c r="CB975" s="3" t="str">
        <f t="shared" si="124"/>
        <v>Riadok bude skrytý.</v>
      </c>
      <c r="CC975" s="271" t="s">
        <v>832</v>
      </c>
      <c r="CW975" s="35">
        <f t="shared" si="129"/>
        <v>1</v>
      </c>
      <c r="CX975" s="32">
        <f t="shared" si="125"/>
        <v>1</v>
      </c>
      <c r="CY975" s="30"/>
      <c r="CZ975" s="30">
        <f t="shared" si="121"/>
        <v>1</v>
      </c>
      <c r="DA975" s="52">
        <f t="shared" si="126"/>
        <v>1</v>
      </c>
      <c r="DB975" s="2">
        <f t="shared" si="127"/>
        <v>0</v>
      </c>
      <c r="DR975" s="76"/>
      <c r="DS975" s="130">
        <f>SI!BY975</f>
        <v>580</v>
      </c>
      <c r="DT975" s="130"/>
      <c r="DU975" s="130"/>
      <c r="DV975" s="130"/>
      <c r="DW975" s="130"/>
      <c r="DX975" s="130"/>
      <c r="DY975" s="130"/>
      <c r="DZ975" s="131">
        <f>SI!BZ975</f>
        <v>13</v>
      </c>
      <c r="EA975" s="76"/>
      <c r="EB975" s="76"/>
    </row>
    <row r="976" spans="1:132" s="14" customFormat="1" hidden="1" x14ac:dyDescent="0.25">
      <c r="A976" s="290"/>
      <c r="B976" s="67"/>
      <c r="C976" s="67"/>
      <c r="D976" s="67"/>
      <c r="E976" s="67"/>
      <c r="F976" s="67"/>
      <c r="G976" s="67"/>
      <c r="H976" s="67"/>
      <c r="I976" s="67"/>
      <c r="J976" s="67"/>
      <c r="T976" s="67"/>
      <c r="U976" s="67"/>
      <c r="V976" s="67"/>
      <c r="W976" s="67"/>
      <c r="X976" s="67"/>
      <c r="Y976" s="67"/>
      <c r="Z976" s="67"/>
      <c r="AA976" s="67"/>
      <c r="AB976" s="67"/>
      <c r="AC976" s="67"/>
      <c r="AD976" s="67"/>
      <c r="AE976" s="67"/>
      <c r="AF976" s="67"/>
      <c r="AG976" s="67"/>
      <c r="AH976" s="67"/>
      <c r="AI976" s="67"/>
      <c r="AJ976" s="67"/>
      <c r="AK976" s="67"/>
      <c r="AL976" s="67"/>
      <c r="AM976" s="67"/>
      <c r="AN976" s="67"/>
      <c r="AO976" s="67"/>
      <c r="AP976" s="67"/>
      <c r="AQ976" s="67"/>
      <c r="AR976" s="67"/>
      <c r="AS976" s="67"/>
      <c r="AT976" s="67"/>
      <c r="AU976" s="67"/>
      <c r="AV976" s="67"/>
      <c r="AW976" s="67"/>
      <c r="AX976" s="67"/>
      <c r="AY976" s="67"/>
      <c r="AZ976" s="67"/>
      <c r="BA976" s="67"/>
      <c r="BB976" s="67"/>
      <c r="BC976" s="67"/>
      <c r="BD976" s="67"/>
      <c r="BE976" s="67"/>
      <c r="BF976" s="67"/>
      <c r="BG976" s="67"/>
      <c r="BH976" s="67"/>
      <c r="BI976" s="67"/>
      <c r="BJ976" s="67"/>
      <c r="BK976" s="67"/>
      <c r="BL976" s="67"/>
      <c r="BM976" s="67"/>
      <c r="BN976" s="67"/>
      <c r="BO976" s="67"/>
      <c r="BP976" s="67"/>
      <c r="BQ976" s="67"/>
      <c r="BR976" s="67"/>
      <c r="BS976" s="67"/>
      <c r="BT976" s="67"/>
      <c r="BU976" s="67"/>
      <c r="BV976" s="67"/>
      <c r="BW976" s="67"/>
      <c r="BX976" s="67"/>
      <c r="BY976" s="67"/>
      <c r="BZ976" s="67"/>
      <c r="CA976" s="270"/>
      <c r="CB976" s="3" t="str">
        <f t="shared" si="124"/>
        <v>Riadok bude skrytý.</v>
      </c>
      <c r="CC976" s="271" t="s">
        <v>832</v>
      </c>
      <c r="CW976" s="35">
        <f t="shared" si="129"/>
        <v>1</v>
      </c>
      <c r="CX976" s="32">
        <f t="shared" si="125"/>
        <v>1</v>
      </c>
      <c r="CY976" s="30"/>
      <c r="CZ976" s="30">
        <f t="shared" si="121"/>
        <v>1</v>
      </c>
      <c r="DA976" s="52">
        <f t="shared" si="126"/>
        <v>1</v>
      </c>
      <c r="DB976" s="2">
        <f t="shared" si="127"/>
        <v>0</v>
      </c>
      <c r="DR976" s="76"/>
      <c r="DS976" s="130">
        <f>SI!BY976</f>
        <v>146</v>
      </c>
      <c r="DT976" s="130"/>
      <c r="DU976" s="130"/>
      <c r="DV976" s="130"/>
      <c r="DW976" s="130"/>
      <c r="DX976" s="130"/>
      <c r="DY976" s="130"/>
      <c r="DZ976" s="131">
        <f>SI!BZ976</f>
        <v>0</v>
      </c>
      <c r="EA976" s="76"/>
      <c r="EB976" s="76"/>
    </row>
    <row r="977" spans="1:132" s="14" customFormat="1" x14ac:dyDescent="0.25">
      <c r="A977" s="290"/>
      <c r="B977" s="14" t="s">
        <v>96</v>
      </c>
      <c r="J977" s="378" t="s">
        <v>1063</v>
      </c>
      <c r="K977" s="378"/>
      <c r="L977" s="378"/>
      <c r="M977" s="378"/>
      <c r="N977" s="378"/>
      <c r="O977" s="378"/>
      <c r="P977" s="378"/>
      <c r="Q977" s="378"/>
      <c r="R977" s="378"/>
      <c r="S977" s="137" t="str">
        <f>+IF($E$52&lt;&gt;"",IF(ROUNDDOWN(CODE(MID($E$52,1,1))/10,0)*(IF(SI!EE977="",1,SI!EE977))+(LEN(SI!J2)+2)=DS977,"vo svojej evidencii nehmotný majetok goodwill. ","NEPOVOLENÉ POUŽITIE!"),"NEPOVOLENÉ POUŽITIE!")</f>
        <v xml:space="preserve">vo svojej evidencii nehmotný majetok goodwill. </v>
      </c>
      <c r="T977" s="38"/>
      <c r="V977" s="137"/>
      <c r="W977" s="137"/>
      <c r="X977" s="137"/>
      <c r="CA977" s="265" t="s">
        <v>773</v>
      </c>
      <c r="CB977" s="3" t="str">
        <f t="shared" si="124"/>
        <v>Riadok bude vidieť.</v>
      </c>
      <c r="CC977" s="271" t="s">
        <v>832</v>
      </c>
      <c r="CW977" s="35">
        <f t="shared" si="129"/>
        <v>1</v>
      </c>
      <c r="CX977" s="30">
        <f>+IF(J977="neeviduje",1,1)</f>
        <v>1</v>
      </c>
      <c r="CY977" s="30"/>
      <c r="CZ977" s="30">
        <f t="shared" si="121"/>
        <v>1</v>
      </c>
      <c r="DA977" s="52">
        <f t="shared" si="126"/>
        <v>1</v>
      </c>
      <c r="DB977" s="140">
        <f t="shared" ref="DB977:DB999" si="130">+DA977</f>
        <v>1</v>
      </c>
      <c r="DR977" s="76"/>
      <c r="DS977" s="130">
        <f>SI!BY977</f>
        <v>15</v>
      </c>
      <c r="DT977" s="130"/>
      <c r="DU977" s="130"/>
      <c r="DV977" s="130"/>
      <c r="DW977" s="130"/>
      <c r="DX977" s="130"/>
      <c r="DY977" s="130"/>
      <c r="DZ977" s="131">
        <f>SI!BZ977</f>
        <v>0</v>
      </c>
      <c r="EA977" s="76"/>
      <c r="EB977" s="76"/>
    </row>
    <row r="978" spans="1:132" s="14" customFormat="1" hidden="1" x14ac:dyDescent="0.25">
      <c r="A978" s="290"/>
      <c r="B978" s="137" t="str">
        <f>+IF(J977="neeviduje","","Spoločnosť k spôsobu výpočtu hodnoty goodwillu uvádza:")</f>
        <v/>
      </c>
      <c r="C978" s="137"/>
      <c r="D978" s="137"/>
      <c r="E978" s="137"/>
      <c r="F978" s="137"/>
      <c r="G978" s="137"/>
      <c r="H978" s="137"/>
      <c r="I978" s="137"/>
      <c r="J978" s="137"/>
      <c r="K978" s="137"/>
      <c r="L978" s="137"/>
      <c r="M978" s="137"/>
      <c r="N978" s="137"/>
      <c r="O978" s="137"/>
      <c r="P978" s="137"/>
      <c r="Q978" s="137"/>
      <c r="R978" s="137"/>
      <c r="S978" s="137"/>
      <c r="T978" s="137"/>
      <c r="U978" s="137"/>
      <c r="V978" s="137"/>
      <c r="W978" s="137"/>
      <c r="X978" s="137"/>
      <c r="Y978" s="137"/>
      <c r="Z978" s="137"/>
      <c r="AA978" s="137"/>
      <c r="AB978" s="137"/>
      <c r="AC978" s="137"/>
      <c r="AD978" s="137"/>
      <c r="AE978" s="137"/>
      <c r="AF978" s="137"/>
      <c r="AG978" s="137"/>
      <c r="AH978" s="137"/>
      <c r="AI978" s="137"/>
      <c r="AJ978" s="137"/>
      <c r="AK978" s="137"/>
      <c r="AL978" s="137"/>
      <c r="AM978" s="137"/>
      <c r="AN978" s="137"/>
      <c r="AO978" s="137"/>
      <c r="AP978" s="137"/>
      <c r="AQ978" s="137"/>
      <c r="AR978" s="137"/>
      <c r="AS978" s="137"/>
      <c r="AT978" s="137"/>
      <c r="AU978" s="137"/>
      <c r="AV978" s="137"/>
      <c r="AW978" s="137"/>
      <c r="AX978" s="137"/>
      <c r="AY978" s="137"/>
      <c r="AZ978" s="137"/>
      <c r="BA978" s="137"/>
      <c r="BB978" s="137"/>
      <c r="BC978" s="137"/>
      <c r="BD978" s="137"/>
      <c r="BE978" s="137"/>
      <c r="BF978" s="137"/>
      <c r="BG978" s="137"/>
      <c r="BH978" s="137"/>
      <c r="BI978" s="137"/>
      <c r="BJ978" s="137"/>
      <c r="BK978" s="137"/>
      <c r="BL978" s="137"/>
      <c r="BM978" s="137"/>
      <c r="BN978" s="137"/>
      <c r="BO978" s="137"/>
      <c r="BP978" s="137"/>
      <c r="BQ978" s="137"/>
      <c r="BR978" s="137"/>
      <c r="BS978" s="137"/>
      <c r="BT978" s="137"/>
      <c r="BU978" s="137"/>
      <c r="BV978" s="137"/>
      <c r="BW978" s="137"/>
      <c r="BX978" s="137"/>
      <c r="BY978" s="137"/>
      <c r="BZ978" s="137"/>
      <c r="CA978" s="270"/>
      <c r="CB978" s="3" t="str">
        <f t="shared" si="124"/>
        <v>Riadok bude skrytý.</v>
      </c>
      <c r="CC978" s="271" t="s">
        <v>832</v>
      </c>
      <c r="CW978" s="35">
        <f t="shared" si="129"/>
        <v>1</v>
      </c>
      <c r="CX978" s="30">
        <f>+IF(J977="neeviduje",0,1)</f>
        <v>0</v>
      </c>
      <c r="CY978" s="30"/>
      <c r="CZ978" s="30">
        <f t="shared" si="121"/>
        <v>1</v>
      </c>
      <c r="DA978" s="52">
        <f t="shared" si="126"/>
        <v>0</v>
      </c>
      <c r="DB978" s="140">
        <f t="shared" si="130"/>
        <v>0</v>
      </c>
      <c r="DR978" s="76"/>
      <c r="DS978" s="130">
        <f>SI!BY978</f>
        <v>163</v>
      </c>
      <c r="DT978" s="130"/>
      <c r="DU978" s="130"/>
      <c r="DV978" s="130"/>
      <c r="DW978" s="130"/>
      <c r="DX978" s="130"/>
      <c r="DY978" s="130"/>
      <c r="DZ978" s="131">
        <f>SI!BZ978</f>
        <v>0</v>
      </c>
      <c r="EA978" s="76"/>
      <c r="EB978" s="76"/>
    </row>
    <row r="979" spans="1:132" s="14" customFormat="1" hidden="1" x14ac:dyDescent="0.25">
      <c r="A979" s="290"/>
      <c r="B979" s="379"/>
      <c r="C979" s="379"/>
      <c r="D979" s="379"/>
      <c r="E979" s="379"/>
      <c r="F979" s="379"/>
      <c r="G979" s="379"/>
      <c r="H979" s="379"/>
      <c r="I979" s="379"/>
      <c r="J979" s="379"/>
      <c r="K979" s="379"/>
      <c r="L979" s="379"/>
      <c r="M979" s="379"/>
      <c r="N979" s="379"/>
      <c r="O979" s="379"/>
      <c r="P979" s="379"/>
      <c r="Q979" s="379"/>
      <c r="R979" s="379"/>
      <c r="S979" s="379"/>
      <c r="T979" s="379"/>
      <c r="U979" s="379"/>
      <c r="V979" s="379"/>
      <c r="W979" s="379"/>
      <c r="X979" s="379"/>
      <c r="Y979" s="379"/>
      <c r="Z979" s="379"/>
      <c r="AA979" s="379"/>
      <c r="AB979" s="379"/>
      <c r="AC979" s="379"/>
      <c r="AD979" s="379"/>
      <c r="AE979" s="379"/>
      <c r="AF979" s="379"/>
      <c r="AG979" s="379"/>
      <c r="AH979" s="379"/>
      <c r="AI979" s="379"/>
      <c r="AJ979" s="379"/>
      <c r="AK979" s="379"/>
      <c r="AL979" s="379"/>
      <c r="AM979" s="379"/>
      <c r="AN979" s="379"/>
      <c r="AO979" s="379"/>
      <c r="AP979" s="379"/>
      <c r="AQ979" s="379"/>
      <c r="AR979" s="379"/>
      <c r="AS979" s="379"/>
      <c r="AT979" s="379"/>
      <c r="AU979" s="379"/>
      <c r="AV979" s="379"/>
      <c r="AW979" s="379"/>
      <c r="AX979" s="379"/>
      <c r="AY979" s="379"/>
      <c r="AZ979" s="379"/>
      <c r="BA979" s="379"/>
      <c r="BB979" s="379"/>
      <c r="BC979" s="379"/>
      <c r="BD979" s="379"/>
      <c r="BE979" s="379"/>
      <c r="BF979" s="379"/>
      <c r="BG979" s="379"/>
      <c r="BH979" s="379"/>
      <c r="BI979" s="379"/>
      <c r="BJ979" s="379"/>
      <c r="BK979" s="379"/>
      <c r="BL979" s="379"/>
      <c r="BM979" s="379"/>
      <c r="BN979" s="379"/>
      <c r="BO979" s="379"/>
      <c r="BP979" s="379"/>
      <c r="BQ979" s="379"/>
      <c r="BR979" s="379"/>
      <c r="BS979" s="379"/>
      <c r="BT979" s="379"/>
      <c r="BU979" s="379"/>
      <c r="BV979" s="379"/>
      <c r="BW979" s="379"/>
      <c r="BX979" s="379"/>
      <c r="BY979" s="379"/>
      <c r="BZ979" s="379"/>
      <c r="CA979" s="281"/>
      <c r="CB979" s="3" t="str">
        <f t="shared" si="124"/>
        <v>Riadok bude skrytý.</v>
      </c>
      <c r="CC979" s="271" t="s">
        <v>832</v>
      </c>
      <c r="CW979" s="35">
        <f t="shared" si="129"/>
        <v>1</v>
      </c>
      <c r="CX979" s="30">
        <f t="shared" ref="CX979:CX998" si="131">+IF(B979="",0,1)</f>
        <v>0</v>
      </c>
      <c r="CY979" s="30"/>
      <c r="CZ979" s="30">
        <f t="shared" si="121"/>
        <v>1</v>
      </c>
      <c r="DA979" s="52">
        <f t="shared" si="126"/>
        <v>0</v>
      </c>
      <c r="DB979" s="140">
        <f t="shared" si="130"/>
        <v>0</v>
      </c>
      <c r="DR979" s="76"/>
      <c r="DS979" s="130">
        <f>SI!BY979</f>
        <v>193</v>
      </c>
      <c r="DT979" s="130"/>
      <c r="DU979" s="130"/>
      <c r="DV979" s="130"/>
      <c r="DW979" s="130"/>
      <c r="DX979" s="130"/>
      <c r="DY979" s="130"/>
      <c r="DZ979" s="131">
        <f>SI!BZ979</f>
        <v>0</v>
      </c>
      <c r="EA979" s="76"/>
      <c r="EB979" s="76"/>
    </row>
    <row r="980" spans="1:132" s="14" customFormat="1" hidden="1" x14ac:dyDescent="0.25">
      <c r="A980" s="290"/>
      <c r="B980" s="379"/>
      <c r="C980" s="379"/>
      <c r="D980" s="379"/>
      <c r="E980" s="379"/>
      <c r="F980" s="379"/>
      <c r="G980" s="379"/>
      <c r="H980" s="379"/>
      <c r="I980" s="379"/>
      <c r="J980" s="379"/>
      <c r="K980" s="379"/>
      <c r="L980" s="379"/>
      <c r="M980" s="379"/>
      <c r="N980" s="379"/>
      <c r="O980" s="379"/>
      <c r="P980" s="379"/>
      <c r="Q980" s="379"/>
      <c r="R980" s="379"/>
      <c r="S980" s="379"/>
      <c r="T980" s="379"/>
      <c r="U980" s="379"/>
      <c r="V980" s="379"/>
      <c r="W980" s="379"/>
      <c r="X980" s="379"/>
      <c r="Y980" s="379"/>
      <c r="Z980" s="379"/>
      <c r="AA980" s="379"/>
      <c r="AB980" s="379"/>
      <c r="AC980" s="379"/>
      <c r="AD980" s="379"/>
      <c r="AE980" s="379"/>
      <c r="AF980" s="379"/>
      <c r="AG980" s="379"/>
      <c r="AH980" s="379"/>
      <c r="AI980" s="379"/>
      <c r="AJ980" s="379"/>
      <c r="AK980" s="379"/>
      <c r="AL980" s="379"/>
      <c r="AM980" s="379"/>
      <c r="AN980" s="379"/>
      <c r="AO980" s="379"/>
      <c r="AP980" s="379"/>
      <c r="AQ980" s="379"/>
      <c r="AR980" s="379"/>
      <c r="AS980" s="379"/>
      <c r="AT980" s="379"/>
      <c r="AU980" s="379"/>
      <c r="AV980" s="379"/>
      <c r="AW980" s="379"/>
      <c r="AX980" s="379"/>
      <c r="AY980" s="379"/>
      <c r="AZ980" s="379"/>
      <c r="BA980" s="379"/>
      <c r="BB980" s="379"/>
      <c r="BC980" s="379"/>
      <c r="BD980" s="379"/>
      <c r="BE980" s="379"/>
      <c r="BF980" s="379"/>
      <c r="BG980" s="379"/>
      <c r="BH980" s="379"/>
      <c r="BI980" s="379"/>
      <c r="BJ980" s="379"/>
      <c r="BK980" s="379"/>
      <c r="BL980" s="379"/>
      <c r="BM980" s="379"/>
      <c r="BN980" s="379"/>
      <c r="BO980" s="379"/>
      <c r="BP980" s="379"/>
      <c r="BQ980" s="379"/>
      <c r="BR980" s="379"/>
      <c r="BS980" s="379"/>
      <c r="BT980" s="379"/>
      <c r="BU980" s="379"/>
      <c r="BV980" s="379"/>
      <c r="BW980" s="379"/>
      <c r="BX980" s="379"/>
      <c r="BY980" s="379"/>
      <c r="BZ980" s="379"/>
      <c r="CA980" s="281"/>
      <c r="CB980" s="3" t="str">
        <f t="shared" si="124"/>
        <v>Riadok bude skrytý.</v>
      </c>
      <c r="CC980" s="271" t="s">
        <v>832</v>
      </c>
      <c r="CW980" s="35">
        <f t="shared" si="129"/>
        <v>1</v>
      </c>
      <c r="CX980" s="30">
        <f t="shared" si="131"/>
        <v>0</v>
      </c>
      <c r="CY980" s="30"/>
      <c r="CZ980" s="30">
        <f t="shared" si="121"/>
        <v>1</v>
      </c>
      <c r="DA980" s="52">
        <f t="shared" si="126"/>
        <v>0</v>
      </c>
      <c r="DB980" s="140">
        <f t="shared" si="130"/>
        <v>0</v>
      </c>
      <c r="DR980" s="76"/>
      <c r="DS980" s="130">
        <f>SI!BY980</f>
        <v>502</v>
      </c>
      <c r="DT980" s="130"/>
      <c r="DU980" s="130"/>
      <c r="DV980" s="130"/>
      <c r="DW980" s="130"/>
      <c r="DX980" s="130"/>
      <c r="DY980" s="130"/>
      <c r="DZ980" s="131">
        <f>SI!BZ980</f>
        <v>0</v>
      </c>
      <c r="EA980" s="76"/>
      <c r="EB980" s="76"/>
    </row>
    <row r="981" spans="1:132" s="14" customFormat="1" hidden="1" x14ac:dyDescent="0.25">
      <c r="A981" s="290"/>
      <c r="B981" s="379"/>
      <c r="C981" s="379"/>
      <c r="D981" s="379"/>
      <c r="E981" s="379"/>
      <c r="F981" s="379"/>
      <c r="G981" s="379"/>
      <c r="H981" s="379"/>
      <c r="I981" s="379"/>
      <c r="J981" s="379"/>
      <c r="K981" s="379"/>
      <c r="L981" s="379"/>
      <c r="M981" s="379"/>
      <c r="N981" s="379"/>
      <c r="O981" s="379"/>
      <c r="P981" s="379"/>
      <c r="Q981" s="379"/>
      <c r="R981" s="379"/>
      <c r="S981" s="379"/>
      <c r="T981" s="379"/>
      <c r="U981" s="379"/>
      <c r="V981" s="379"/>
      <c r="W981" s="379"/>
      <c r="X981" s="379"/>
      <c r="Y981" s="379"/>
      <c r="Z981" s="379"/>
      <c r="AA981" s="379"/>
      <c r="AB981" s="379"/>
      <c r="AC981" s="379"/>
      <c r="AD981" s="379"/>
      <c r="AE981" s="379"/>
      <c r="AF981" s="379"/>
      <c r="AG981" s="379"/>
      <c r="AH981" s="379"/>
      <c r="AI981" s="379"/>
      <c r="AJ981" s="379"/>
      <c r="AK981" s="379"/>
      <c r="AL981" s="379"/>
      <c r="AM981" s="379"/>
      <c r="AN981" s="379"/>
      <c r="AO981" s="379"/>
      <c r="AP981" s="379"/>
      <c r="AQ981" s="379"/>
      <c r="AR981" s="379"/>
      <c r="AS981" s="379"/>
      <c r="AT981" s="379"/>
      <c r="AU981" s="379"/>
      <c r="AV981" s="379"/>
      <c r="AW981" s="379"/>
      <c r="AX981" s="379"/>
      <c r="AY981" s="379"/>
      <c r="AZ981" s="379"/>
      <c r="BA981" s="379"/>
      <c r="BB981" s="379"/>
      <c r="BC981" s="379"/>
      <c r="BD981" s="379"/>
      <c r="BE981" s="379"/>
      <c r="BF981" s="379"/>
      <c r="BG981" s="379"/>
      <c r="BH981" s="379"/>
      <c r="BI981" s="379"/>
      <c r="BJ981" s="379"/>
      <c r="BK981" s="379"/>
      <c r="BL981" s="379"/>
      <c r="BM981" s="379"/>
      <c r="BN981" s="379"/>
      <c r="BO981" s="379"/>
      <c r="BP981" s="379"/>
      <c r="BQ981" s="379"/>
      <c r="BR981" s="379"/>
      <c r="BS981" s="379"/>
      <c r="BT981" s="379"/>
      <c r="BU981" s="379"/>
      <c r="BV981" s="379"/>
      <c r="BW981" s="379"/>
      <c r="BX981" s="379"/>
      <c r="BY981" s="379"/>
      <c r="BZ981" s="379"/>
      <c r="CA981" s="281"/>
      <c r="CB981" s="3" t="str">
        <f t="shared" si="124"/>
        <v>Riadok bude skrytý.</v>
      </c>
      <c r="CC981" s="271" t="s">
        <v>832</v>
      </c>
      <c r="CW981" s="35">
        <f t="shared" si="129"/>
        <v>1</v>
      </c>
      <c r="CX981" s="30">
        <f t="shared" si="131"/>
        <v>0</v>
      </c>
      <c r="CY981" s="30"/>
      <c r="CZ981" s="30">
        <f t="shared" si="121"/>
        <v>1</v>
      </c>
      <c r="DA981" s="52">
        <f t="shared" si="126"/>
        <v>0</v>
      </c>
      <c r="DB981" s="140">
        <f t="shared" si="130"/>
        <v>0</v>
      </c>
      <c r="DR981" s="76"/>
      <c r="DS981" s="130">
        <f>SI!BY981</f>
        <v>177</v>
      </c>
      <c r="DT981" s="130"/>
      <c r="DU981" s="130"/>
      <c r="DV981" s="130"/>
      <c r="DW981" s="130"/>
      <c r="DX981" s="130"/>
      <c r="DY981" s="130"/>
      <c r="DZ981" s="131">
        <f>SI!BZ981</f>
        <v>0</v>
      </c>
      <c r="EA981" s="76"/>
      <c r="EB981" s="76"/>
    </row>
    <row r="982" spans="1:132" s="14" customFormat="1" hidden="1" x14ac:dyDescent="0.25">
      <c r="A982" s="290"/>
      <c r="B982" s="379"/>
      <c r="C982" s="379"/>
      <c r="D982" s="379"/>
      <c r="E982" s="379"/>
      <c r="F982" s="379"/>
      <c r="G982" s="379"/>
      <c r="H982" s="379"/>
      <c r="I982" s="379"/>
      <c r="J982" s="379"/>
      <c r="K982" s="379"/>
      <c r="L982" s="379"/>
      <c r="M982" s="379"/>
      <c r="N982" s="379"/>
      <c r="O982" s="379"/>
      <c r="P982" s="379"/>
      <c r="Q982" s="379"/>
      <c r="R982" s="379"/>
      <c r="S982" s="379"/>
      <c r="T982" s="379"/>
      <c r="U982" s="379"/>
      <c r="V982" s="379"/>
      <c r="W982" s="379"/>
      <c r="X982" s="379"/>
      <c r="Y982" s="379"/>
      <c r="Z982" s="379"/>
      <c r="AA982" s="379"/>
      <c r="AB982" s="379"/>
      <c r="AC982" s="379"/>
      <c r="AD982" s="379"/>
      <c r="AE982" s="379"/>
      <c r="AF982" s="379"/>
      <c r="AG982" s="379"/>
      <c r="AH982" s="379"/>
      <c r="AI982" s="379"/>
      <c r="AJ982" s="379"/>
      <c r="AK982" s="379"/>
      <c r="AL982" s="379"/>
      <c r="AM982" s="379"/>
      <c r="AN982" s="379"/>
      <c r="AO982" s="379"/>
      <c r="AP982" s="379"/>
      <c r="AQ982" s="379"/>
      <c r="AR982" s="379"/>
      <c r="AS982" s="379"/>
      <c r="AT982" s="379"/>
      <c r="AU982" s="379"/>
      <c r="AV982" s="379"/>
      <c r="AW982" s="379"/>
      <c r="AX982" s="379"/>
      <c r="AY982" s="379"/>
      <c r="AZ982" s="379"/>
      <c r="BA982" s="379"/>
      <c r="BB982" s="379"/>
      <c r="BC982" s="379"/>
      <c r="BD982" s="379"/>
      <c r="BE982" s="379"/>
      <c r="BF982" s="379"/>
      <c r="BG982" s="379"/>
      <c r="BH982" s="379"/>
      <c r="BI982" s="379"/>
      <c r="BJ982" s="379"/>
      <c r="BK982" s="379"/>
      <c r="BL982" s="379"/>
      <c r="BM982" s="379"/>
      <c r="BN982" s="379"/>
      <c r="BO982" s="379"/>
      <c r="BP982" s="379"/>
      <c r="BQ982" s="379"/>
      <c r="BR982" s="379"/>
      <c r="BS982" s="379"/>
      <c r="BT982" s="379"/>
      <c r="BU982" s="379"/>
      <c r="BV982" s="379"/>
      <c r="BW982" s="379"/>
      <c r="BX982" s="379"/>
      <c r="BY982" s="379"/>
      <c r="BZ982" s="379"/>
      <c r="CA982" s="281"/>
      <c r="CB982" s="3" t="str">
        <f t="shared" si="124"/>
        <v>Riadok bude skrytý.</v>
      </c>
      <c r="CC982" s="271" t="s">
        <v>832</v>
      </c>
      <c r="CD982" s="2"/>
      <c r="CE982" s="2"/>
      <c r="CW982" s="35">
        <f t="shared" si="129"/>
        <v>1</v>
      </c>
      <c r="CX982" s="30">
        <f t="shared" si="131"/>
        <v>0</v>
      </c>
      <c r="CY982" s="30"/>
      <c r="CZ982" s="30">
        <f t="shared" si="121"/>
        <v>1</v>
      </c>
      <c r="DA982" s="52">
        <f t="shared" si="126"/>
        <v>0</v>
      </c>
      <c r="DB982" s="140">
        <f t="shared" si="130"/>
        <v>0</v>
      </c>
      <c r="DR982" s="76"/>
      <c r="DS982" s="130">
        <f>SI!BY982</f>
        <v>1047</v>
      </c>
      <c r="DT982" s="130"/>
      <c r="DU982" s="130"/>
      <c r="DV982" s="130"/>
      <c r="DW982" s="130"/>
      <c r="DX982" s="130"/>
      <c r="DY982" s="130"/>
      <c r="DZ982" s="131">
        <f>SI!BZ982</f>
        <v>0</v>
      </c>
      <c r="EA982" s="76"/>
      <c r="EB982" s="76"/>
    </row>
    <row r="983" spans="1:132" s="14" customFormat="1" hidden="1" x14ac:dyDescent="0.25">
      <c r="A983" s="290"/>
      <c r="B983" s="379"/>
      <c r="C983" s="379"/>
      <c r="D983" s="379"/>
      <c r="E983" s="379"/>
      <c r="F983" s="379"/>
      <c r="G983" s="379"/>
      <c r="H983" s="379"/>
      <c r="I983" s="379"/>
      <c r="J983" s="379"/>
      <c r="K983" s="379"/>
      <c r="L983" s="379"/>
      <c r="M983" s="379"/>
      <c r="N983" s="379"/>
      <c r="O983" s="379"/>
      <c r="P983" s="379"/>
      <c r="Q983" s="379"/>
      <c r="R983" s="379"/>
      <c r="S983" s="379"/>
      <c r="T983" s="379"/>
      <c r="U983" s="379"/>
      <c r="V983" s="379"/>
      <c r="W983" s="379"/>
      <c r="X983" s="379"/>
      <c r="Y983" s="379"/>
      <c r="Z983" s="379"/>
      <c r="AA983" s="379"/>
      <c r="AB983" s="379"/>
      <c r="AC983" s="379"/>
      <c r="AD983" s="379"/>
      <c r="AE983" s="379"/>
      <c r="AF983" s="379"/>
      <c r="AG983" s="379"/>
      <c r="AH983" s="379"/>
      <c r="AI983" s="379"/>
      <c r="AJ983" s="379"/>
      <c r="AK983" s="379"/>
      <c r="AL983" s="379"/>
      <c r="AM983" s="379"/>
      <c r="AN983" s="379"/>
      <c r="AO983" s="379"/>
      <c r="AP983" s="379"/>
      <c r="AQ983" s="379"/>
      <c r="AR983" s="379"/>
      <c r="AS983" s="379"/>
      <c r="AT983" s="379"/>
      <c r="AU983" s="379"/>
      <c r="AV983" s="379"/>
      <c r="AW983" s="379"/>
      <c r="AX983" s="379"/>
      <c r="AY983" s="379"/>
      <c r="AZ983" s="379"/>
      <c r="BA983" s="379"/>
      <c r="BB983" s="379"/>
      <c r="BC983" s="379"/>
      <c r="BD983" s="379"/>
      <c r="BE983" s="379"/>
      <c r="BF983" s="379"/>
      <c r="BG983" s="379"/>
      <c r="BH983" s="379"/>
      <c r="BI983" s="379"/>
      <c r="BJ983" s="379"/>
      <c r="BK983" s="379"/>
      <c r="BL983" s="379"/>
      <c r="BM983" s="379"/>
      <c r="BN983" s="379"/>
      <c r="BO983" s="379"/>
      <c r="BP983" s="379"/>
      <c r="BQ983" s="379"/>
      <c r="BR983" s="379"/>
      <c r="BS983" s="379"/>
      <c r="BT983" s="379"/>
      <c r="BU983" s="379"/>
      <c r="BV983" s="379"/>
      <c r="BW983" s="379"/>
      <c r="BX983" s="379"/>
      <c r="BY983" s="379"/>
      <c r="BZ983" s="379"/>
      <c r="CA983" s="281"/>
      <c r="CB983" s="3" t="str">
        <f t="shared" si="124"/>
        <v>Riadok bude skrytý.</v>
      </c>
      <c r="CC983" s="271" t="s">
        <v>832</v>
      </c>
      <c r="CW983" s="35">
        <f t="shared" si="129"/>
        <v>1</v>
      </c>
      <c r="CX983" s="30">
        <f t="shared" si="131"/>
        <v>0</v>
      </c>
      <c r="CY983" s="30"/>
      <c r="CZ983" s="30">
        <f t="shared" si="121"/>
        <v>1</v>
      </c>
      <c r="DA983" s="52">
        <f t="shared" si="126"/>
        <v>0</v>
      </c>
      <c r="DB983" s="140">
        <f t="shared" si="130"/>
        <v>0</v>
      </c>
      <c r="DR983" s="76"/>
      <c r="DS983" s="130">
        <f>SI!BY983</f>
        <v>166</v>
      </c>
      <c r="DT983" s="130"/>
      <c r="DU983" s="130"/>
      <c r="DV983" s="130"/>
      <c r="DW983" s="130"/>
      <c r="DX983" s="130"/>
      <c r="DY983" s="130"/>
      <c r="DZ983" s="131">
        <f>SI!BZ983</f>
        <v>0</v>
      </c>
      <c r="EA983" s="76"/>
      <c r="EB983" s="76"/>
    </row>
    <row r="984" spans="1:132" s="14" customFormat="1" hidden="1" x14ac:dyDescent="0.25">
      <c r="A984" s="290"/>
      <c r="B984" s="379"/>
      <c r="C984" s="379"/>
      <c r="D984" s="379"/>
      <c r="E984" s="379"/>
      <c r="F984" s="379"/>
      <c r="G984" s="379"/>
      <c r="H984" s="379"/>
      <c r="I984" s="379"/>
      <c r="J984" s="379"/>
      <c r="K984" s="379"/>
      <c r="L984" s="379"/>
      <c r="M984" s="379"/>
      <c r="N984" s="379"/>
      <c r="O984" s="379"/>
      <c r="P984" s="379"/>
      <c r="Q984" s="379"/>
      <c r="R984" s="379"/>
      <c r="S984" s="379"/>
      <c r="T984" s="379"/>
      <c r="U984" s="379"/>
      <c r="V984" s="379"/>
      <c r="W984" s="379"/>
      <c r="X984" s="379"/>
      <c r="Y984" s="379"/>
      <c r="Z984" s="379"/>
      <c r="AA984" s="379"/>
      <c r="AB984" s="379"/>
      <c r="AC984" s="379"/>
      <c r="AD984" s="379"/>
      <c r="AE984" s="379"/>
      <c r="AF984" s="379"/>
      <c r="AG984" s="379"/>
      <c r="AH984" s="379"/>
      <c r="AI984" s="379"/>
      <c r="AJ984" s="379"/>
      <c r="AK984" s="379"/>
      <c r="AL984" s="379"/>
      <c r="AM984" s="379"/>
      <c r="AN984" s="379"/>
      <c r="AO984" s="379"/>
      <c r="AP984" s="379"/>
      <c r="AQ984" s="379"/>
      <c r="AR984" s="379"/>
      <c r="AS984" s="379"/>
      <c r="AT984" s="379"/>
      <c r="AU984" s="379"/>
      <c r="AV984" s="379"/>
      <c r="AW984" s="379"/>
      <c r="AX984" s="379"/>
      <c r="AY984" s="379"/>
      <c r="AZ984" s="379"/>
      <c r="BA984" s="379"/>
      <c r="BB984" s="379"/>
      <c r="BC984" s="379"/>
      <c r="BD984" s="379"/>
      <c r="BE984" s="379"/>
      <c r="BF984" s="379"/>
      <c r="BG984" s="379"/>
      <c r="BH984" s="379"/>
      <c r="BI984" s="379"/>
      <c r="BJ984" s="379"/>
      <c r="BK984" s="379"/>
      <c r="BL984" s="379"/>
      <c r="BM984" s="379"/>
      <c r="BN984" s="379"/>
      <c r="BO984" s="379"/>
      <c r="BP984" s="379"/>
      <c r="BQ984" s="379"/>
      <c r="BR984" s="379"/>
      <c r="BS984" s="379"/>
      <c r="BT984" s="379"/>
      <c r="BU984" s="379"/>
      <c r="BV984" s="379"/>
      <c r="BW984" s="379"/>
      <c r="BX984" s="379"/>
      <c r="BY984" s="379"/>
      <c r="BZ984" s="379"/>
      <c r="CA984" s="281"/>
      <c r="CB984" s="3" t="str">
        <f t="shared" si="124"/>
        <v>Riadok bude skrytý.</v>
      </c>
      <c r="CC984" s="271" t="s">
        <v>832</v>
      </c>
      <c r="CW984" s="35">
        <f t="shared" si="129"/>
        <v>1</v>
      </c>
      <c r="CX984" s="30">
        <f t="shared" si="131"/>
        <v>0</v>
      </c>
      <c r="CY984" s="30"/>
      <c r="CZ984" s="30">
        <f t="shared" ref="CZ984:CZ1047" si="132">IF(CC984="",1,IF(CC984="Chcem skryť riadok.",0,1))</f>
        <v>1</v>
      </c>
      <c r="DA984" s="52">
        <f t="shared" si="126"/>
        <v>0</v>
      </c>
      <c r="DB984" s="140">
        <f t="shared" si="130"/>
        <v>0</v>
      </c>
      <c r="DR984" s="76"/>
      <c r="DS984" s="130">
        <f>SI!BY984</f>
        <v>1126</v>
      </c>
      <c r="DT984" s="130"/>
      <c r="DU984" s="130"/>
      <c r="DV984" s="130"/>
      <c r="DW984" s="130"/>
      <c r="DX984" s="130"/>
      <c r="DY984" s="130"/>
      <c r="DZ984" s="131">
        <f>SI!BZ984</f>
        <v>0</v>
      </c>
      <c r="EA984" s="76"/>
      <c r="EB984" s="76"/>
    </row>
    <row r="985" spans="1:132" s="14" customFormat="1" hidden="1" x14ac:dyDescent="0.25">
      <c r="A985" s="290"/>
      <c r="B985" s="379"/>
      <c r="C985" s="379"/>
      <c r="D985" s="379"/>
      <c r="E985" s="379"/>
      <c r="F985" s="379"/>
      <c r="G985" s="379"/>
      <c r="H985" s="379"/>
      <c r="I985" s="379"/>
      <c r="J985" s="379"/>
      <c r="K985" s="379"/>
      <c r="L985" s="379"/>
      <c r="M985" s="379"/>
      <c r="N985" s="379"/>
      <c r="O985" s="379"/>
      <c r="P985" s="379"/>
      <c r="Q985" s="379"/>
      <c r="R985" s="379"/>
      <c r="S985" s="379"/>
      <c r="T985" s="379"/>
      <c r="U985" s="379"/>
      <c r="V985" s="379"/>
      <c r="W985" s="379"/>
      <c r="X985" s="379"/>
      <c r="Y985" s="379"/>
      <c r="Z985" s="379"/>
      <c r="AA985" s="379"/>
      <c r="AB985" s="379"/>
      <c r="AC985" s="379"/>
      <c r="AD985" s="379"/>
      <c r="AE985" s="379"/>
      <c r="AF985" s="379"/>
      <c r="AG985" s="379"/>
      <c r="AH985" s="379"/>
      <c r="AI985" s="379"/>
      <c r="AJ985" s="379"/>
      <c r="AK985" s="379"/>
      <c r="AL985" s="379"/>
      <c r="AM985" s="379"/>
      <c r="AN985" s="379"/>
      <c r="AO985" s="379"/>
      <c r="AP985" s="379"/>
      <c r="AQ985" s="379"/>
      <c r="AR985" s="379"/>
      <c r="AS985" s="379"/>
      <c r="AT985" s="379"/>
      <c r="AU985" s="379"/>
      <c r="AV985" s="379"/>
      <c r="AW985" s="379"/>
      <c r="AX985" s="379"/>
      <c r="AY985" s="379"/>
      <c r="AZ985" s="379"/>
      <c r="BA985" s="379"/>
      <c r="BB985" s="379"/>
      <c r="BC985" s="379"/>
      <c r="BD985" s="379"/>
      <c r="BE985" s="379"/>
      <c r="BF985" s="379"/>
      <c r="BG985" s="379"/>
      <c r="BH985" s="379"/>
      <c r="BI985" s="379"/>
      <c r="BJ985" s="379"/>
      <c r="BK985" s="379"/>
      <c r="BL985" s="379"/>
      <c r="BM985" s="379"/>
      <c r="BN985" s="379"/>
      <c r="BO985" s="379"/>
      <c r="BP985" s="379"/>
      <c r="BQ985" s="379"/>
      <c r="BR985" s="379"/>
      <c r="BS985" s="379"/>
      <c r="BT985" s="379"/>
      <c r="BU985" s="379"/>
      <c r="BV985" s="379"/>
      <c r="BW985" s="379"/>
      <c r="BX985" s="379"/>
      <c r="BY985" s="379"/>
      <c r="BZ985" s="379"/>
      <c r="CA985" s="281"/>
      <c r="CB985" s="3" t="str">
        <f t="shared" si="124"/>
        <v>Riadok bude skrytý.</v>
      </c>
      <c r="CC985" s="271" t="s">
        <v>832</v>
      </c>
      <c r="CW985" s="35">
        <f t="shared" si="129"/>
        <v>1</v>
      </c>
      <c r="CX985" s="30">
        <f t="shared" si="131"/>
        <v>0</v>
      </c>
      <c r="CY985" s="30"/>
      <c r="CZ985" s="30">
        <f t="shared" si="132"/>
        <v>1</v>
      </c>
      <c r="DA985" s="52">
        <f t="shared" si="126"/>
        <v>0</v>
      </c>
      <c r="DB985" s="140">
        <f t="shared" si="130"/>
        <v>0</v>
      </c>
      <c r="DR985" s="76"/>
      <c r="DS985" s="130">
        <f>SI!BY985</f>
        <v>169</v>
      </c>
      <c r="DT985" s="130"/>
      <c r="DU985" s="130"/>
      <c r="DV985" s="130"/>
      <c r="DW985" s="130"/>
      <c r="DX985" s="130"/>
      <c r="DY985" s="130"/>
      <c r="DZ985" s="131">
        <f>SI!BZ985</f>
        <v>0</v>
      </c>
      <c r="EA985" s="76"/>
      <c r="EB985" s="76"/>
    </row>
    <row r="986" spans="1:132" s="14" customFormat="1" hidden="1" x14ac:dyDescent="0.25">
      <c r="A986" s="290"/>
      <c r="B986" s="379"/>
      <c r="C986" s="379"/>
      <c r="D986" s="379"/>
      <c r="E986" s="379"/>
      <c r="F986" s="379"/>
      <c r="G986" s="379"/>
      <c r="H986" s="379"/>
      <c r="I986" s="379"/>
      <c r="J986" s="379"/>
      <c r="K986" s="379"/>
      <c r="L986" s="379"/>
      <c r="M986" s="379"/>
      <c r="N986" s="379"/>
      <c r="O986" s="379"/>
      <c r="P986" s="379"/>
      <c r="Q986" s="379"/>
      <c r="R986" s="379"/>
      <c r="S986" s="379"/>
      <c r="T986" s="379"/>
      <c r="U986" s="379"/>
      <c r="V986" s="379"/>
      <c r="W986" s="379"/>
      <c r="X986" s="379"/>
      <c r="Y986" s="379"/>
      <c r="Z986" s="379"/>
      <c r="AA986" s="379"/>
      <c r="AB986" s="379"/>
      <c r="AC986" s="379"/>
      <c r="AD986" s="379"/>
      <c r="AE986" s="379"/>
      <c r="AF986" s="379"/>
      <c r="AG986" s="379"/>
      <c r="AH986" s="379"/>
      <c r="AI986" s="379"/>
      <c r="AJ986" s="379"/>
      <c r="AK986" s="379"/>
      <c r="AL986" s="379"/>
      <c r="AM986" s="379"/>
      <c r="AN986" s="379"/>
      <c r="AO986" s="379"/>
      <c r="AP986" s="379"/>
      <c r="AQ986" s="379"/>
      <c r="AR986" s="379"/>
      <c r="AS986" s="379"/>
      <c r="AT986" s="379"/>
      <c r="AU986" s="379"/>
      <c r="AV986" s="379"/>
      <c r="AW986" s="379"/>
      <c r="AX986" s="379"/>
      <c r="AY986" s="379"/>
      <c r="AZ986" s="379"/>
      <c r="BA986" s="379"/>
      <c r="BB986" s="379"/>
      <c r="BC986" s="379"/>
      <c r="BD986" s="379"/>
      <c r="BE986" s="379"/>
      <c r="BF986" s="379"/>
      <c r="BG986" s="379"/>
      <c r="BH986" s="379"/>
      <c r="BI986" s="379"/>
      <c r="BJ986" s="379"/>
      <c r="BK986" s="379"/>
      <c r="BL986" s="379"/>
      <c r="BM986" s="379"/>
      <c r="BN986" s="379"/>
      <c r="BO986" s="379"/>
      <c r="BP986" s="379"/>
      <c r="BQ986" s="379"/>
      <c r="BR986" s="379"/>
      <c r="BS986" s="379"/>
      <c r="BT986" s="379"/>
      <c r="BU986" s="379"/>
      <c r="BV986" s="379"/>
      <c r="BW986" s="379"/>
      <c r="BX986" s="379"/>
      <c r="BY986" s="379"/>
      <c r="BZ986" s="379"/>
      <c r="CA986" s="281"/>
      <c r="CB986" s="3" t="str">
        <f t="shared" si="124"/>
        <v>Riadok bude skrytý.</v>
      </c>
      <c r="CC986" s="271" t="s">
        <v>832</v>
      </c>
      <c r="CW986" s="35">
        <f t="shared" si="129"/>
        <v>1</v>
      </c>
      <c r="CX986" s="30">
        <f t="shared" si="131"/>
        <v>0</v>
      </c>
      <c r="CY986" s="30"/>
      <c r="CZ986" s="30">
        <f t="shared" si="132"/>
        <v>1</v>
      </c>
      <c r="DA986" s="52">
        <f t="shared" si="126"/>
        <v>0</v>
      </c>
      <c r="DB986" s="140">
        <f t="shared" si="130"/>
        <v>0</v>
      </c>
      <c r="DR986" s="76"/>
      <c r="DS986" s="130">
        <f>SI!BY986</f>
        <v>286</v>
      </c>
      <c r="DT986" s="130"/>
      <c r="DU986" s="130"/>
      <c r="DV986" s="130"/>
      <c r="DW986" s="130"/>
      <c r="DX986" s="130"/>
      <c r="DY986" s="130"/>
      <c r="DZ986" s="131">
        <f>SI!BZ986</f>
        <v>0</v>
      </c>
      <c r="EA986" s="76"/>
      <c r="EB986" s="76"/>
    </row>
    <row r="987" spans="1:132" s="14" customFormat="1" hidden="1" x14ac:dyDescent="0.25">
      <c r="A987" s="290"/>
      <c r="B987" s="379"/>
      <c r="C987" s="379"/>
      <c r="D987" s="379"/>
      <c r="E987" s="379"/>
      <c r="F987" s="379"/>
      <c r="G987" s="379"/>
      <c r="H987" s="379"/>
      <c r="I987" s="379"/>
      <c r="J987" s="379"/>
      <c r="K987" s="379"/>
      <c r="L987" s="379"/>
      <c r="M987" s="379"/>
      <c r="N987" s="379"/>
      <c r="O987" s="379"/>
      <c r="P987" s="379"/>
      <c r="Q987" s="379"/>
      <c r="R987" s="379"/>
      <c r="S987" s="379"/>
      <c r="T987" s="379"/>
      <c r="U987" s="379"/>
      <c r="V987" s="379"/>
      <c r="W987" s="379"/>
      <c r="X987" s="379"/>
      <c r="Y987" s="379"/>
      <c r="Z987" s="379"/>
      <c r="AA987" s="379"/>
      <c r="AB987" s="379"/>
      <c r="AC987" s="379"/>
      <c r="AD987" s="379"/>
      <c r="AE987" s="379"/>
      <c r="AF987" s="379"/>
      <c r="AG987" s="379"/>
      <c r="AH987" s="379"/>
      <c r="AI987" s="379"/>
      <c r="AJ987" s="379"/>
      <c r="AK987" s="379"/>
      <c r="AL987" s="379"/>
      <c r="AM987" s="379"/>
      <c r="AN987" s="379"/>
      <c r="AO987" s="379"/>
      <c r="AP987" s="379"/>
      <c r="AQ987" s="379"/>
      <c r="AR987" s="379"/>
      <c r="AS987" s="379"/>
      <c r="AT987" s="379"/>
      <c r="AU987" s="379"/>
      <c r="AV987" s="379"/>
      <c r="AW987" s="379"/>
      <c r="AX987" s="379"/>
      <c r="AY987" s="379"/>
      <c r="AZ987" s="379"/>
      <c r="BA987" s="379"/>
      <c r="BB987" s="379"/>
      <c r="BC987" s="379"/>
      <c r="BD987" s="379"/>
      <c r="BE987" s="379"/>
      <c r="BF987" s="379"/>
      <c r="BG987" s="379"/>
      <c r="BH987" s="379"/>
      <c r="BI987" s="379"/>
      <c r="BJ987" s="379"/>
      <c r="BK987" s="379"/>
      <c r="BL987" s="379"/>
      <c r="BM987" s="379"/>
      <c r="BN987" s="379"/>
      <c r="BO987" s="379"/>
      <c r="BP987" s="379"/>
      <c r="BQ987" s="379"/>
      <c r="BR987" s="379"/>
      <c r="BS987" s="379"/>
      <c r="BT987" s="379"/>
      <c r="BU987" s="379"/>
      <c r="BV987" s="379"/>
      <c r="BW987" s="379"/>
      <c r="BX987" s="379"/>
      <c r="BY987" s="379"/>
      <c r="BZ987" s="379"/>
      <c r="CA987" s="281"/>
      <c r="CB987" s="3" t="str">
        <f t="shared" si="124"/>
        <v>Riadok bude skrytý.</v>
      </c>
      <c r="CC987" s="271" t="s">
        <v>832</v>
      </c>
      <c r="CW987" s="35">
        <f t="shared" si="129"/>
        <v>1</v>
      </c>
      <c r="CX987" s="30">
        <f t="shared" si="131"/>
        <v>0</v>
      </c>
      <c r="CY987" s="30"/>
      <c r="CZ987" s="30">
        <f t="shared" si="132"/>
        <v>1</v>
      </c>
      <c r="DA987" s="52">
        <f t="shared" si="126"/>
        <v>0</v>
      </c>
      <c r="DB987" s="140">
        <f t="shared" si="130"/>
        <v>0</v>
      </c>
      <c r="DR987" s="76"/>
      <c r="DS987" s="130">
        <f>SI!BY987</f>
        <v>197</v>
      </c>
      <c r="DT987" s="130"/>
      <c r="DU987" s="130"/>
      <c r="DV987" s="130"/>
      <c r="DW987" s="130"/>
      <c r="DX987" s="130"/>
      <c r="DY987" s="130"/>
      <c r="DZ987" s="131">
        <f>SI!BZ987</f>
        <v>0</v>
      </c>
      <c r="EA987" s="76"/>
      <c r="EB987" s="76"/>
    </row>
    <row r="988" spans="1:132" s="14" customFormat="1" hidden="1" x14ac:dyDescent="0.25">
      <c r="A988" s="290"/>
      <c r="B988" s="379"/>
      <c r="C988" s="379"/>
      <c r="D988" s="379"/>
      <c r="E988" s="379"/>
      <c r="F988" s="379"/>
      <c r="G988" s="379"/>
      <c r="H988" s="379"/>
      <c r="I988" s="379"/>
      <c r="J988" s="379"/>
      <c r="K988" s="379"/>
      <c r="L988" s="379"/>
      <c r="M988" s="379"/>
      <c r="N988" s="379"/>
      <c r="O988" s="379"/>
      <c r="P988" s="379"/>
      <c r="Q988" s="379"/>
      <c r="R988" s="379"/>
      <c r="S988" s="379"/>
      <c r="T988" s="379"/>
      <c r="U988" s="379"/>
      <c r="V988" s="379"/>
      <c r="W988" s="379"/>
      <c r="X988" s="379"/>
      <c r="Y988" s="379"/>
      <c r="Z988" s="379"/>
      <c r="AA988" s="379"/>
      <c r="AB988" s="379"/>
      <c r="AC988" s="379"/>
      <c r="AD988" s="379"/>
      <c r="AE988" s="379"/>
      <c r="AF988" s="379"/>
      <c r="AG988" s="379"/>
      <c r="AH988" s="379"/>
      <c r="AI988" s="379"/>
      <c r="AJ988" s="379"/>
      <c r="AK988" s="379"/>
      <c r="AL988" s="379"/>
      <c r="AM988" s="379"/>
      <c r="AN988" s="379"/>
      <c r="AO988" s="379"/>
      <c r="AP988" s="379"/>
      <c r="AQ988" s="379"/>
      <c r="AR988" s="379"/>
      <c r="AS988" s="379"/>
      <c r="AT988" s="379"/>
      <c r="AU988" s="379"/>
      <c r="AV988" s="379"/>
      <c r="AW988" s="379"/>
      <c r="AX988" s="379"/>
      <c r="AY988" s="379"/>
      <c r="AZ988" s="379"/>
      <c r="BA988" s="379"/>
      <c r="BB988" s="379"/>
      <c r="BC988" s="379"/>
      <c r="BD988" s="379"/>
      <c r="BE988" s="379"/>
      <c r="BF988" s="379"/>
      <c r="BG988" s="379"/>
      <c r="BH988" s="379"/>
      <c r="BI988" s="379"/>
      <c r="BJ988" s="379"/>
      <c r="BK988" s="379"/>
      <c r="BL988" s="379"/>
      <c r="BM988" s="379"/>
      <c r="BN988" s="379"/>
      <c r="BO988" s="379"/>
      <c r="BP988" s="379"/>
      <c r="BQ988" s="379"/>
      <c r="BR988" s="379"/>
      <c r="BS988" s="379"/>
      <c r="BT988" s="379"/>
      <c r="BU988" s="379"/>
      <c r="BV988" s="379"/>
      <c r="BW988" s="379"/>
      <c r="BX988" s="379"/>
      <c r="BY988" s="379"/>
      <c r="BZ988" s="379"/>
      <c r="CA988" s="281"/>
      <c r="CB988" s="3" t="str">
        <f t="shared" si="124"/>
        <v>Riadok bude skrytý.</v>
      </c>
      <c r="CC988" s="271" t="s">
        <v>832</v>
      </c>
      <c r="CW988" s="35">
        <f t="shared" si="129"/>
        <v>1</v>
      </c>
      <c r="CX988" s="30">
        <f t="shared" si="131"/>
        <v>0</v>
      </c>
      <c r="CY988" s="30"/>
      <c r="CZ988" s="30">
        <f t="shared" si="132"/>
        <v>1</v>
      </c>
      <c r="DA988" s="52">
        <f t="shared" si="126"/>
        <v>0</v>
      </c>
      <c r="DB988" s="140">
        <f t="shared" si="130"/>
        <v>0</v>
      </c>
      <c r="DR988" s="76"/>
      <c r="DS988" s="130">
        <f>SI!BY988</f>
        <v>958</v>
      </c>
      <c r="DT988" s="130"/>
      <c r="DU988" s="130"/>
      <c r="DV988" s="130"/>
      <c r="DW988" s="130"/>
      <c r="DX988" s="130"/>
      <c r="DY988" s="130"/>
      <c r="DZ988" s="131">
        <f>SI!BZ988</f>
        <v>0</v>
      </c>
      <c r="EA988" s="76"/>
      <c r="EB988" s="76"/>
    </row>
    <row r="989" spans="1:132" s="14" customFormat="1" hidden="1" x14ac:dyDescent="0.25">
      <c r="A989" s="290"/>
      <c r="B989" s="379"/>
      <c r="C989" s="379"/>
      <c r="D989" s="379"/>
      <c r="E989" s="379"/>
      <c r="F989" s="379"/>
      <c r="G989" s="379"/>
      <c r="H989" s="379"/>
      <c r="I989" s="379"/>
      <c r="J989" s="379"/>
      <c r="K989" s="379"/>
      <c r="L989" s="379"/>
      <c r="M989" s="379"/>
      <c r="N989" s="379"/>
      <c r="O989" s="379"/>
      <c r="P989" s="379"/>
      <c r="Q989" s="379"/>
      <c r="R989" s="379"/>
      <c r="S989" s="379"/>
      <c r="T989" s="379"/>
      <c r="U989" s="379"/>
      <c r="V989" s="379"/>
      <c r="W989" s="379"/>
      <c r="X989" s="379"/>
      <c r="Y989" s="379"/>
      <c r="Z989" s="379"/>
      <c r="AA989" s="379"/>
      <c r="AB989" s="379"/>
      <c r="AC989" s="379"/>
      <c r="AD989" s="379"/>
      <c r="AE989" s="379"/>
      <c r="AF989" s="379"/>
      <c r="AG989" s="379"/>
      <c r="AH989" s="379"/>
      <c r="AI989" s="379"/>
      <c r="AJ989" s="379"/>
      <c r="AK989" s="379"/>
      <c r="AL989" s="379"/>
      <c r="AM989" s="379"/>
      <c r="AN989" s="379"/>
      <c r="AO989" s="379"/>
      <c r="AP989" s="379"/>
      <c r="AQ989" s="379"/>
      <c r="AR989" s="379"/>
      <c r="AS989" s="379"/>
      <c r="AT989" s="379"/>
      <c r="AU989" s="379"/>
      <c r="AV989" s="379"/>
      <c r="AW989" s="379"/>
      <c r="AX989" s="379"/>
      <c r="AY989" s="379"/>
      <c r="AZ989" s="379"/>
      <c r="BA989" s="379"/>
      <c r="BB989" s="379"/>
      <c r="BC989" s="379"/>
      <c r="BD989" s="379"/>
      <c r="BE989" s="379"/>
      <c r="BF989" s="379"/>
      <c r="BG989" s="379"/>
      <c r="BH989" s="379"/>
      <c r="BI989" s="379"/>
      <c r="BJ989" s="379"/>
      <c r="BK989" s="379"/>
      <c r="BL989" s="379"/>
      <c r="BM989" s="379"/>
      <c r="BN989" s="379"/>
      <c r="BO989" s="379"/>
      <c r="BP989" s="379"/>
      <c r="BQ989" s="379"/>
      <c r="BR989" s="379"/>
      <c r="BS989" s="379"/>
      <c r="BT989" s="379"/>
      <c r="BU989" s="379"/>
      <c r="BV989" s="379"/>
      <c r="BW989" s="379"/>
      <c r="BX989" s="379"/>
      <c r="BY989" s="379"/>
      <c r="BZ989" s="379"/>
      <c r="CA989" s="281"/>
      <c r="CB989" s="3" t="str">
        <f t="shared" si="124"/>
        <v>Riadok bude skrytý.</v>
      </c>
      <c r="CC989" s="271" t="s">
        <v>832</v>
      </c>
      <c r="CW989" s="35">
        <f t="shared" si="129"/>
        <v>1</v>
      </c>
      <c r="CX989" s="30">
        <f t="shared" si="131"/>
        <v>0</v>
      </c>
      <c r="CY989" s="30"/>
      <c r="CZ989" s="30">
        <f t="shared" si="132"/>
        <v>1</v>
      </c>
      <c r="DA989" s="52">
        <f t="shared" si="126"/>
        <v>0</v>
      </c>
      <c r="DB989" s="140">
        <f t="shared" si="130"/>
        <v>0</v>
      </c>
      <c r="DR989" s="76"/>
      <c r="DS989" s="130">
        <f>SI!BY989</f>
        <v>117</v>
      </c>
      <c r="DT989" s="130"/>
      <c r="DU989" s="130"/>
      <c r="DV989" s="130"/>
      <c r="DW989" s="130"/>
      <c r="DX989" s="130"/>
      <c r="DY989" s="130"/>
      <c r="DZ989" s="131">
        <f>SI!BZ989</f>
        <v>0</v>
      </c>
      <c r="EA989" s="76"/>
      <c r="EB989" s="76"/>
    </row>
    <row r="990" spans="1:132" s="14" customFormat="1" hidden="1" x14ac:dyDescent="0.25">
      <c r="A990" s="290"/>
      <c r="B990" s="379"/>
      <c r="C990" s="379"/>
      <c r="D990" s="379"/>
      <c r="E990" s="379"/>
      <c r="F990" s="379"/>
      <c r="G990" s="379"/>
      <c r="H990" s="379"/>
      <c r="I990" s="379"/>
      <c r="J990" s="379"/>
      <c r="K990" s="379"/>
      <c r="L990" s="379"/>
      <c r="M990" s="379"/>
      <c r="N990" s="379"/>
      <c r="O990" s="379"/>
      <c r="P990" s="379"/>
      <c r="Q990" s="379"/>
      <c r="R990" s="379"/>
      <c r="S990" s="379"/>
      <c r="T990" s="379"/>
      <c r="U990" s="379"/>
      <c r="V990" s="379"/>
      <c r="W990" s="379"/>
      <c r="X990" s="379"/>
      <c r="Y990" s="379"/>
      <c r="Z990" s="379"/>
      <c r="AA990" s="379"/>
      <c r="AB990" s="379"/>
      <c r="AC990" s="379"/>
      <c r="AD990" s="379"/>
      <c r="AE990" s="379"/>
      <c r="AF990" s="379"/>
      <c r="AG990" s="379"/>
      <c r="AH990" s="379"/>
      <c r="AI990" s="379"/>
      <c r="AJ990" s="379"/>
      <c r="AK990" s="379"/>
      <c r="AL990" s="379"/>
      <c r="AM990" s="379"/>
      <c r="AN990" s="379"/>
      <c r="AO990" s="379"/>
      <c r="AP990" s="379"/>
      <c r="AQ990" s="379"/>
      <c r="AR990" s="379"/>
      <c r="AS990" s="379"/>
      <c r="AT990" s="379"/>
      <c r="AU990" s="379"/>
      <c r="AV990" s="379"/>
      <c r="AW990" s="379"/>
      <c r="AX990" s="379"/>
      <c r="AY990" s="379"/>
      <c r="AZ990" s="379"/>
      <c r="BA990" s="379"/>
      <c r="BB990" s="379"/>
      <c r="BC990" s="379"/>
      <c r="BD990" s="379"/>
      <c r="BE990" s="379"/>
      <c r="BF990" s="379"/>
      <c r="BG990" s="379"/>
      <c r="BH990" s="379"/>
      <c r="BI990" s="379"/>
      <c r="BJ990" s="379"/>
      <c r="BK990" s="379"/>
      <c r="BL990" s="379"/>
      <c r="BM990" s="379"/>
      <c r="BN990" s="379"/>
      <c r="BO990" s="379"/>
      <c r="BP990" s="379"/>
      <c r="BQ990" s="379"/>
      <c r="BR990" s="379"/>
      <c r="BS990" s="379"/>
      <c r="BT990" s="379"/>
      <c r="BU990" s="379"/>
      <c r="BV990" s="379"/>
      <c r="BW990" s="379"/>
      <c r="BX990" s="379"/>
      <c r="BY990" s="379"/>
      <c r="BZ990" s="379"/>
      <c r="CA990" s="281"/>
      <c r="CB990" s="3" t="str">
        <f t="shared" si="124"/>
        <v>Riadok bude skrytý.</v>
      </c>
      <c r="CC990" s="271" t="s">
        <v>832</v>
      </c>
      <c r="CW990" s="35">
        <f t="shared" si="129"/>
        <v>1</v>
      </c>
      <c r="CX990" s="30">
        <f t="shared" si="131"/>
        <v>0</v>
      </c>
      <c r="CY990" s="30"/>
      <c r="CZ990" s="30">
        <f t="shared" si="132"/>
        <v>1</v>
      </c>
      <c r="DA990" s="52">
        <f t="shared" si="126"/>
        <v>0</v>
      </c>
      <c r="DB990" s="140">
        <f t="shared" si="130"/>
        <v>0</v>
      </c>
      <c r="DR990" s="76"/>
      <c r="DS990" s="130">
        <f>SI!BY990</f>
        <v>110</v>
      </c>
      <c r="DT990" s="130"/>
      <c r="DU990" s="130"/>
      <c r="DV990" s="130"/>
      <c r="DW990" s="130"/>
      <c r="DX990" s="130"/>
      <c r="DY990" s="130"/>
      <c r="DZ990" s="131">
        <f>SI!BZ990</f>
        <v>0</v>
      </c>
      <c r="EA990" s="76"/>
      <c r="EB990" s="76"/>
    </row>
    <row r="991" spans="1:132" s="14" customFormat="1" hidden="1" x14ac:dyDescent="0.25">
      <c r="A991" s="290"/>
      <c r="B991" s="379"/>
      <c r="C991" s="379"/>
      <c r="D991" s="379"/>
      <c r="E991" s="379"/>
      <c r="F991" s="379"/>
      <c r="G991" s="379"/>
      <c r="H991" s="379"/>
      <c r="I991" s="379"/>
      <c r="J991" s="379"/>
      <c r="K991" s="379"/>
      <c r="L991" s="379"/>
      <c r="M991" s="379"/>
      <c r="N991" s="379"/>
      <c r="O991" s="379"/>
      <c r="P991" s="379"/>
      <c r="Q991" s="379"/>
      <c r="R991" s="379"/>
      <c r="S991" s="379"/>
      <c r="T991" s="379"/>
      <c r="U991" s="379"/>
      <c r="V991" s="379"/>
      <c r="W991" s="379"/>
      <c r="X991" s="379"/>
      <c r="Y991" s="379"/>
      <c r="Z991" s="379"/>
      <c r="AA991" s="379"/>
      <c r="AB991" s="379"/>
      <c r="AC991" s="379"/>
      <c r="AD991" s="379"/>
      <c r="AE991" s="379"/>
      <c r="AF991" s="379"/>
      <c r="AG991" s="379"/>
      <c r="AH991" s="379"/>
      <c r="AI991" s="379"/>
      <c r="AJ991" s="379"/>
      <c r="AK991" s="379"/>
      <c r="AL991" s="379"/>
      <c r="AM991" s="379"/>
      <c r="AN991" s="379"/>
      <c r="AO991" s="379"/>
      <c r="AP991" s="379"/>
      <c r="AQ991" s="379"/>
      <c r="AR991" s="379"/>
      <c r="AS991" s="379"/>
      <c r="AT991" s="379"/>
      <c r="AU991" s="379"/>
      <c r="AV991" s="379"/>
      <c r="AW991" s="379"/>
      <c r="AX991" s="379"/>
      <c r="AY991" s="379"/>
      <c r="AZ991" s="379"/>
      <c r="BA991" s="379"/>
      <c r="BB991" s="379"/>
      <c r="BC991" s="379"/>
      <c r="BD991" s="379"/>
      <c r="BE991" s="379"/>
      <c r="BF991" s="379"/>
      <c r="BG991" s="379"/>
      <c r="BH991" s="379"/>
      <c r="BI991" s="379"/>
      <c r="BJ991" s="379"/>
      <c r="BK991" s="379"/>
      <c r="BL991" s="379"/>
      <c r="BM991" s="379"/>
      <c r="BN991" s="379"/>
      <c r="BO991" s="379"/>
      <c r="BP991" s="379"/>
      <c r="BQ991" s="379"/>
      <c r="BR991" s="379"/>
      <c r="BS991" s="379"/>
      <c r="BT991" s="379"/>
      <c r="BU991" s="379"/>
      <c r="BV991" s="379"/>
      <c r="BW991" s="379"/>
      <c r="BX991" s="379"/>
      <c r="BY991" s="379"/>
      <c r="BZ991" s="379"/>
      <c r="CA991" s="281"/>
      <c r="CB991" s="3" t="str">
        <f t="shared" si="124"/>
        <v>Riadok bude skrytý.</v>
      </c>
      <c r="CC991" s="271" t="s">
        <v>832</v>
      </c>
      <c r="CW991" s="35">
        <f t="shared" si="129"/>
        <v>1</v>
      </c>
      <c r="CX991" s="30">
        <f t="shared" si="131"/>
        <v>0</v>
      </c>
      <c r="CY991" s="30"/>
      <c r="CZ991" s="30">
        <f t="shared" si="132"/>
        <v>1</v>
      </c>
      <c r="DA991" s="52">
        <f t="shared" si="126"/>
        <v>0</v>
      </c>
      <c r="DB991" s="140">
        <f t="shared" si="130"/>
        <v>0</v>
      </c>
      <c r="DR991" s="76"/>
      <c r="DS991" s="130">
        <f>SI!BY991</f>
        <v>142</v>
      </c>
      <c r="DT991" s="130"/>
      <c r="DU991" s="130"/>
      <c r="DV991" s="130"/>
      <c r="DW991" s="130"/>
      <c r="DX991" s="130"/>
      <c r="DY991" s="130"/>
      <c r="DZ991" s="131">
        <f>SI!BZ991</f>
        <v>0</v>
      </c>
      <c r="EA991" s="76"/>
      <c r="EB991" s="76"/>
    </row>
    <row r="992" spans="1:132" s="14" customFormat="1" hidden="1" x14ac:dyDescent="0.25">
      <c r="A992" s="290"/>
      <c r="B992" s="379"/>
      <c r="C992" s="379"/>
      <c r="D992" s="379"/>
      <c r="E992" s="379"/>
      <c r="F992" s="379"/>
      <c r="G992" s="379"/>
      <c r="H992" s="379"/>
      <c r="I992" s="379"/>
      <c r="J992" s="379"/>
      <c r="K992" s="379"/>
      <c r="L992" s="379"/>
      <c r="M992" s="379"/>
      <c r="N992" s="379"/>
      <c r="O992" s="379"/>
      <c r="P992" s="379"/>
      <c r="Q992" s="379"/>
      <c r="R992" s="379"/>
      <c r="S992" s="379"/>
      <c r="T992" s="379"/>
      <c r="U992" s="379"/>
      <c r="V992" s="379"/>
      <c r="W992" s="379"/>
      <c r="X992" s="379"/>
      <c r="Y992" s="379"/>
      <c r="Z992" s="379"/>
      <c r="AA992" s="379"/>
      <c r="AB992" s="379"/>
      <c r="AC992" s="379"/>
      <c r="AD992" s="379"/>
      <c r="AE992" s="379"/>
      <c r="AF992" s="379"/>
      <c r="AG992" s="379"/>
      <c r="AH992" s="379"/>
      <c r="AI992" s="379"/>
      <c r="AJ992" s="379"/>
      <c r="AK992" s="379"/>
      <c r="AL992" s="379"/>
      <c r="AM992" s="379"/>
      <c r="AN992" s="379"/>
      <c r="AO992" s="379"/>
      <c r="AP992" s="379"/>
      <c r="AQ992" s="379"/>
      <c r="AR992" s="379"/>
      <c r="AS992" s="379"/>
      <c r="AT992" s="379"/>
      <c r="AU992" s="379"/>
      <c r="AV992" s="379"/>
      <c r="AW992" s="379"/>
      <c r="AX992" s="379"/>
      <c r="AY992" s="379"/>
      <c r="AZ992" s="379"/>
      <c r="BA992" s="379"/>
      <c r="BB992" s="379"/>
      <c r="BC992" s="379"/>
      <c r="BD992" s="379"/>
      <c r="BE992" s="379"/>
      <c r="BF992" s="379"/>
      <c r="BG992" s="379"/>
      <c r="BH992" s="379"/>
      <c r="BI992" s="379"/>
      <c r="BJ992" s="379"/>
      <c r="BK992" s="379"/>
      <c r="BL992" s="379"/>
      <c r="BM992" s="379"/>
      <c r="BN992" s="379"/>
      <c r="BO992" s="379"/>
      <c r="BP992" s="379"/>
      <c r="BQ992" s="379"/>
      <c r="BR992" s="379"/>
      <c r="BS992" s="379"/>
      <c r="BT992" s="379"/>
      <c r="BU992" s="379"/>
      <c r="BV992" s="379"/>
      <c r="BW992" s="379"/>
      <c r="BX992" s="379"/>
      <c r="BY992" s="379"/>
      <c r="BZ992" s="379"/>
      <c r="CA992" s="281"/>
      <c r="CB992" s="3" t="str">
        <f t="shared" si="124"/>
        <v>Riadok bude skrytý.</v>
      </c>
      <c r="CC992" s="271" t="s">
        <v>832</v>
      </c>
      <c r="CW992" s="35">
        <f t="shared" si="129"/>
        <v>1</v>
      </c>
      <c r="CX992" s="30">
        <f t="shared" si="131"/>
        <v>0</v>
      </c>
      <c r="CY992" s="30"/>
      <c r="CZ992" s="30">
        <f t="shared" si="132"/>
        <v>1</v>
      </c>
      <c r="DA992" s="52">
        <f t="shared" si="126"/>
        <v>0</v>
      </c>
      <c r="DB992" s="140">
        <f t="shared" si="130"/>
        <v>0</v>
      </c>
      <c r="DR992" s="76"/>
      <c r="DS992" s="130">
        <f>SI!BY992</f>
        <v>201</v>
      </c>
      <c r="DT992" s="130"/>
      <c r="DU992" s="130"/>
      <c r="DV992" s="130"/>
      <c r="DW992" s="130"/>
      <c r="DX992" s="130"/>
      <c r="DY992" s="130"/>
      <c r="DZ992" s="131">
        <f>SI!BZ992</f>
        <v>0</v>
      </c>
      <c r="EA992" s="76"/>
      <c r="EB992" s="76"/>
    </row>
    <row r="993" spans="1:132" s="14" customFormat="1" hidden="1" x14ac:dyDescent="0.25">
      <c r="A993" s="290"/>
      <c r="B993" s="379"/>
      <c r="C993" s="379"/>
      <c r="D993" s="379"/>
      <c r="E993" s="379"/>
      <c r="F993" s="379"/>
      <c r="G993" s="379"/>
      <c r="H993" s="379"/>
      <c r="I993" s="379"/>
      <c r="J993" s="379"/>
      <c r="K993" s="379"/>
      <c r="L993" s="379"/>
      <c r="M993" s="379"/>
      <c r="N993" s="379"/>
      <c r="O993" s="379"/>
      <c r="P993" s="379"/>
      <c r="Q993" s="379"/>
      <c r="R993" s="379"/>
      <c r="S993" s="379"/>
      <c r="T993" s="379"/>
      <c r="U993" s="379"/>
      <c r="V993" s="379"/>
      <c r="W993" s="379"/>
      <c r="X993" s="379"/>
      <c r="Y993" s="379"/>
      <c r="Z993" s="379"/>
      <c r="AA993" s="379"/>
      <c r="AB993" s="379"/>
      <c r="AC993" s="379"/>
      <c r="AD993" s="379"/>
      <c r="AE993" s="379"/>
      <c r="AF993" s="379"/>
      <c r="AG993" s="379"/>
      <c r="AH993" s="379"/>
      <c r="AI993" s="379"/>
      <c r="AJ993" s="379"/>
      <c r="AK993" s="379"/>
      <c r="AL993" s="379"/>
      <c r="AM993" s="379"/>
      <c r="AN993" s="379"/>
      <c r="AO993" s="379"/>
      <c r="AP993" s="379"/>
      <c r="AQ993" s="379"/>
      <c r="AR993" s="379"/>
      <c r="AS993" s="379"/>
      <c r="AT993" s="379"/>
      <c r="AU993" s="379"/>
      <c r="AV993" s="379"/>
      <c r="AW993" s="379"/>
      <c r="AX993" s="379"/>
      <c r="AY993" s="379"/>
      <c r="AZ993" s="379"/>
      <c r="BA993" s="379"/>
      <c r="BB993" s="379"/>
      <c r="BC993" s="379"/>
      <c r="BD993" s="379"/>
      <c r="BE993" s="379"/>
      <c r="BF993" s="379"/>
      <c r="BG993" s="379"/>
      <c r="BH993" s="379"/>
      <c r="BI993" s="379"/>
      <c r="BJ993" s="379"/>
      <c r="BK993" s="379"/>
      <c r="BL993" s="379"/>
      <c r="BM993" s="379"/>
      <c r="BN993" s="379"/>
      <c r="BO993" s="379"/>
      <c r="BP993" s="379"/>
      <c r="BQ993" s="379"/>
      <c r="BR993" s="379"/>
      <c r="BS993" s="379"/>
      <c r="BT993" s="379"/>
      <c r="BU993" s="379"/>
      <c r="BV993" s="379"/>
      <c r="BW993" s="379"/>
      <c r="BX993" s="379"/>
      <c r="BY993" s="379"/>
      <c r="BZ993" s="379"/>
      <c r="CA993" s="281"/>
      <c r="CB993" s="3" t="str">
        <f t="shared" si="124"/>
        <v>Riadok bude skrytý.</v>
      </c>
      <c r="CC993" s="271" t="s">
        <v>832</v>
      </c>
      <c r="CW993" s="35">
        <f t="shared" si="129"/>
        <v>1</v>
      </c>
      <c r="CX993" s="30">
        <f t="shared" si="131"/>
        <v>0</v>
      </c>
      <c r="CY993" s="30"/>
      <c r="CZ993" s="30">
        <f t="shared" si="132"/>
        <v>1</v>
      </c>
      <c r="DA993" s="52">
        <f t="shared" si="126"/>
        <v>0</v>
      </c>
      <c r="DB993" s="140">
        <f t="shared" si="130"/>
        <v>0</v>
      </c>
      <c r="DR993" s="76"/>
      <c r="DS993" s="130">
        <f>SI!BY993</f>
        <v>156</v>
      </c>
      <c r="DT993" s="130"/>
      <c r="DU993" s="130"/>
      <c r="DV993" s="130"/>
      <c r="DW993" s="130"/>
      <c r="DX993" s="130"/>
      <c r="DY993" s="130"/>
      <c r="DZ993" s="131">
        <f>SI!BZ993</f>
        <v>0</v>
      </c>
      <c r="EA993" s="76"/>
      <c r="EB993" s="76"/>
    </row>
    <row r="994" spans="1:132" s="14" customFormat="1" hidden="1" x14ac:dyDescent="0.25">
      <c r="A994" s="290"/>
      <c r="B994" s="379"/>
      <c r="C994" s="379"/>
      <c r="D994" s="379"/>
      <c r="E994" s="379"/>
      <c r="F994" s="379"/>
      <c r="G994" s="379"/>
      <c r="H994" s="379"/>
      <c r="I994" s="379"/>
      <c r="J994" s="379"/>
      <c r="K994" s="379"/>
      <c r="L994" s="379"/>
      <c r="M994" s="379"/>
      <c r="N994" s="379"/>
      <c r="O994" s="379"/>
      <c r="P994" s="379"/>
      <c r="Q994" s="379"/>
      <c r="R994" s="379"/>
      <c r="S994" s="379"/>
      <c r="T994" s="379"/>
      <c r="U994" s="379"/>
      <c r="V994" s="379"/>
      <c r="W994" s="379"/>
      <c r="X994" s="379"/>
      <c r="Y994" s="379"/>
      <c r="Z994" s="379"/>
      <c r="AA994" s="379"/>
      <c r="AB994" s="379"/>
      <c r="AC994" s="379"/>
      <c r="AD994" s="379"/>
      <c r="AE994" s="379"/>
      <c r="AF994" s="379"/>
      <c r="AG994" s="379"/>
      <c r="AH994" s="379"/>
      <c r="AI994" s="379"/>
      <c r="AJ994" s="379"/>
      <c r="AK994" s="379"/>
      <c r="AL994" s="379"/>
      <c r="AM994" s="379"/>
      <c r="AN994" s="379"/>
      <c r="AO994" s="379"/>
      <c r="AP994" s="379"/>
      <c r="AQ994" s="379"/>
      <c r="AR994" s="379"/>
      <c r="AS994" s="379"/>
      <c r="AT994" s="379"/>
      <c r="AU994" s="379"/>
      <c r="AV994" s="379"/>
      <c r="AW994" s="379"/>
      <c r="AX994" s="379"/>
      <c r="AY994" s="379"/>
      <c r="AZ994" s="379"/>
      <c r="BA994" s="379"/>
      <c r="BB994" s="379"/>
      <c r="BC994" s="379"/>
      <c r="BD994" s="379"/>
      <c r="BE994" s="379"/>
      <c r="BF994" s="379"/>
      <c r="BG994" s="379"/>
      <c r="BH994" s="379"/>
      <c r="BI994" s="379"/>
      <c r="BJ994" s="379"/>
      <c r="BK994" s="379"/>
      <c r="BL994" s="379"/>
      <c r="BM994" s="379"/>
      <c r="BN994" s="379"/>
      <c r="BO994" s="379"/>
      <c r="BP994" s="379"/>
      <c r="BQ994" s="379"/>
      <c r="BR994" s="379"/>
      <c r="BS994" s="379"/>
      <c r="BT994" s="379"/>
      <c r="BU994" s="379"/>
      <c r="BV994" s="379"/>
      <c r="BW994" s="379"/>
      <c r="BX994" s="379"/>
      <c r="BY994" s="379"/>
      <c r="BZ994" s="379"/>
      <c r="CA994" s="281"/>
      <c r="CB994" s="3" t="str">
        <f t="shared" si="124"/>
        <v>Riadok bude skrytý.</v>
      </c>
      <c r="CC994" s="271" t="s">
        <v>832</v>
      </c>
      <c r="CW994" s="35">
        <f t="shared" si="129"/>
        <v>1</v>
      </c>
      <c r="CX994" s="30">
        <f t="shared" si="131"/>
        <v>0</v>
      </c>
      <c r="CY994" s="30"/>
      <c r="CZ994" s="30">
        <f t="shared" si="132"/>
        <v>1</v>
      </c>
      <c r="DA994" s="52">
        <f t="shared" si="126"/>
        <v>0</v>
      </c>
      <c r="DB994" s="140">
        <f t="shared" si="130"/>
        <v>0</v>
      </c>
      <c r="DR994" s="76"/>
      <c r="DS994" s="130">
        <f>SI!BY994</f>
        <v>531</v>
      </c>
      <c r="DT994" s="130"/>
      <c r="DU994" s="130"/>
      <c r="DV994" s="130"/>
      <c r="DW994" s="130"/>
      <c r="DX994" s="130"/>
      <c r="DY994" s="130"/>
      <c r="DZ994" s="131">
        <f>SI!BZ994</f>
        <v>0</v>
      </c>
      <c r="EA994" s="76"/>
      <c r="EB994" s="76"/>
    </row>
    <row r="995" spans="1:132" s="14" customFormat="1" hidden="1" x14ac:dyDescent="0.25">
      <c r="A995" s="290"/>
      <c r="B995" s="379"/>
      <c r="C995" s="379"/>
      <c r="D995" s="379"/>
      <c r="E995" s="379"/>
      <c r="F995" s="379"/>
      <c r="G995" s="379"/>
      <c r="H995" s="379"/>
      <c r="I995" s="379"/>
      <c r="J995" s="379"/>
      <c r="K995" s="379"/>
      <c r="L995" s="379"/>
      <c r="M995" s="379"/>
      <c r="N995" s="379"/>
      <c r="O995" s="379"/>
      <c r="P995" s="379"/>
      <c r="Q995" s="379"/>
      <c r="R995" s="379"/>
      <c r="S995" s="379"/>
      <c r="T995" s="379"/>
      <c r="U995" s="379"/>
      <c r="V995" s="379"/>
      <c r="W995" s="379"/>
      <c r="X995" s="379"/>
      <c r="Y995" s="379"/>
      <c r="Z995" s="379"/>
      <c r="AA995" s="379"/>
      <c r="AB995" s="379"/>
      <c r="AC995" s="379"/>
      <c r="AD995" s="379"/>
      <c r="AE995" s="379"/>
      <c r="AF995" s="379"/>
      <c r="AG995" s="379"/>
      <c r="AH995" s="379"/>
      <c r="AI995" s="379"/>
      <c r="AJ995" s="379"/>
      <c r="AK995" s="379"/>
      <c r="AL995" s="379"/>
      <c r="AM995" s="379"/>
      <c r="AN995" s="379"/>
      <c r="AO995" s="379"/>
      <c r="AP995" s="379"/>
      <c r="AQ995" s="379"/>
      <c r="AR995" s="379"/>
      <c r="AS995" s="379"/>
      <c r="AT995" s="379"/>
      <c r="AU995" s="379"/>
      <c r="AV995" s="379"/>
      <c r="AW995" s="379"/>
      <c r="AX995" s="379"/>
      <c r="AY995" s="379"/>
      <c r="AZ995" s="379"/>
      <c r="BA995" s="379"/>
      <c r="BB995" s="379"/>
      <c r="BC995" s="379"/>
      <c r="BD995" s="379"/>
      <c r="BE995" s="379"/>
      <c r="BF995" s="379"/>
      <c r="BG995" s="379"/>
      <c r="BH995" s="379"/>
      <c r="BI995" s="379"/>
      <c r="BJ995" s="379"/>
      <c r="BK995" s="379"/>
      <c r="BL995" s="379"/>
      <c r="BM995" s="379"/>
      <c r="BN995" s="379"/>
      <c r="BO995" s="379"/>
      <c r="BP995" s="379"/>
      <c r="BQ995" s="379"/>
      <c r="BR995" s="379"/>
      <c r="BS995" s="379"/>
      <c r="BT995" s="379"/>
      <c r="BU995" s="379"/>
      <c r="BV995" s="379"/>
      <c r="BW995" s="379"/>
      <c r="BX995" s="379"/>
      <c r="BY995" s="379"/>
      <c r="BZ995" s="379"/>
      <c r="CA995" s="281"/>
      <c r="CB995" s="3" t="str">
        <f t="shared" si="124"/>
        <v>Riadok bude skrytý.</v>
      </c>
      <c r="CC995" s="271" t="s">
        <v>832</v>
      </c>
      <c r="CW995" s="35">
        <f t="shared" si="129"/>
        <v>1</v>
      </c>
      <c r="CX995" s="30">
        <f t="shared" si="131"/>
        <v>0</v>
      </c>
      <c r="CY995" s="30"/>
      <c r="CZ995" s="30">
        <f t="shared" si="132"/>
        <v>1</v>
      </c>
      <c r="DA995" s="52">
        <f t="shared" si="126"/>
        <v>0</v>
      </c>
      <c r="DB995" s="140">
        <f t="shared" si="130"/>
        <v>0</v>
      </c>
      <c r="DR995" s="76"/>
      <c r="DS995" s="130">
        <f>SI!BY995</f>
        <v>141</v>
      </c>
      <c r="DT995" s="130"/>
      <c r="DU995" s="130"/>
      <c r="DV995" s="130"/>
      <c r="DW995" s="130"/>
      <c r="DX995" s="130"/>
      <c r="DY995" s="130"/>
      <c r="DZ995" s="131">
        <f>SI!BZ995</f>
        <v>0</v>
      </c>
      <c r="EA995" s="76"/>
      <c r="EB995" s="76"/>
    </row>
    <row r="996" spans="1:132" s="14" customFormat="1" hidden="1" x14ac:dyDescent="0.25">
      <c r="A996" s="290"/>
      <c r="B996" s="379"/>
      <c r="C996" s="379"/>
      <c r="D996" s="379"/>
      <c r="E996" s="379"/>
      <c r="F996" s="379"/>
      <c r="G996" s="379"/>
      <c r="H996" s="379"/>
      <c r="I996" s="379"/>
      <c r="J996" s="379"/>
      <c r="K996" s="379"/>
      <c r="L996" s="379"/>
      <c r="M996" s="379"/>
      <c r="N996" s="379"/>
      <c r="O996" s="379"/>
      <c r="P996" s="379"/>
      <c r="Q996" s="379"/>
      <c r="R996" s="379"/>
      <c r="S996" s="379"/>
      <c r="T996" s="379"/>
      <c r="U996" s="379"/>
      <c r="V996" s="379"/>
      <c r="W996" s="379"/>
      <c r="X996" s="379"/>
      <c r="Y996" s="379"/>
      <c r="Z996" s="379"/>
      <c r="AA996" s="379"/>
      <c r="AB996" s="379"/>
      <c r="AC996" s="379"/>
      <c r="AD996" s="379"/>
      <c r="AE996" s="379"/>
      <c r="AF996" s="379"/>
      <c r="AG996" s="379"/>
      <c r="AH996" s="379"/>
      <c r="AI996" s="379"/>
      <c r="AJ996" s="379"/>
      <c r="AK996" s="379"/>
      <c r="AL996" s="379"/>
      <c r="AM996" s="379"/>
      <c r="AN996" s="379"/>
      <c r="AO996" s="379"/>
      <c r="AP996" s="379"/>
      <c r="AQ996" s="379"/>
      <c r="AR996" s="379"/>
      <c r="AS996" s="379"/>
      <c r="AT996" s="379"/>
      <c r="AU996" s="379"/>
      <c r="AV996" s="379"/>
      <c r="AW996" s="379"/>
      <c r="AX996" s="379"/>
      <c r="AY996" s="379"/>
      <c r="AZ996" s="379"/>
      <c r="BA996" s="379"/>
      <c r="BB996" s="379"/>
      <c r="BC996" s="379"/>
      <c r="BD996" s="379"/>
      <c r="BE996" s="379"/>
      <c r="BF996" s="379"/>
      <c r="BG996" s="379"/>
      <c r="BH996" s="379"/>
      <c r="BI996" s="379"/>
      <c r="BJ996" s="379"/>
      <c r="BK996" s="379"/>
      <c r="BL996" s="379"/>
      <c r="BM996" s="379"/>
      <c r="BN996" s="379"/>
      <c r="BO996" s="379"/>
      <c r="BP996" s="379"/>
      <c r="BQ996" s="379"/>
      <c r="BR996" s="379"/>
      <c r="BS996" s="379"/>
      <c r="BT996" s="379"/>
      <c r="BU996" s="379"/>
      <c r="BV996" s="379"/>
      <c r="BW996" s="379"/>
      <c r="BX996" s="379"/>
      <c r="BY996" s="379"/>
      <c r="BZ996" s="379"/>
      <c r="CA996" s="281"/>
      <c r="CB996" s="3" t="str">
        <f t="shared" si="124"/>
        <v>Riadok bude skrytý.</v>
      </c>
      <c r="CC996" s="271" t="s">
        <v>832</v>
      </c>
      <c r="CW996" s="35">
        <f t="shared" si="129"/>
        <v>1</v>
      </c>
      <c r="CX996" s="30">
        <f t="shared" si="131"/>
        <v>0</v>
      </c>
      <c r="CY996" s="30"/>
      <c r="CZ996" s="30">
        <f t="shared" si="132"/>
        <v>1</v>
      </c>
      <c r="DA996" s="52">
        <f t="shared" si="126"/>
        <v>0</v>
      </c>
      <c r="DB996" s="140">
        <f t="shared" si="130"/>
        <v>0</v>
      </c>
      <c r="DR996" s="76"/>
      <c r="DS996" s="130">
        <f>SI!BY996</f>
        <v>1033</v>
      </c>
      <c r="DT996" s="130"/>
      <c r="DU996" s="130"/>
      <c r="DV996" s="130"/>
      <c r="DW996" s="130"/>
      <c r="DX996" s="130"/>
      <c r="DY996" s="130"/>
      <c r="DZ996" s="131">
        <f>SI!BZ996</f>
        <v>0</v>
      </c>
      <c r="EA996" s="76"/>
      <c r="EB996" s="76"/>
    </row>
    <row r="997" spans="1:132" s="14" customFormat="1" hidden="1" x14ac:dyDescent="0.25">
      <c r="A997" s="290"/>
      <c r="B997" s="379"/>
      <c r="C997" s="379"/>
      <c r="D997" s="379"/>
      <c r="E997" s="379"/>
      <c r="F997" s="379"/>
      <c r="G997" s="379"/>
      <c r="H997" s="379"/>
      <c r="I997" s="379"/>
      <c r="J997" s="379"/>
      <c r="K997" s="379"/>
      <c r="L997" s="379"/>
      <c r="M997" s="379"/>
      <c r="N997" s="379"/>
      <c r="O997" s="379"/>
      <c r="P997" s="379"/>
      <c r="Q997" s="379"/>
      <c r="R997" s="379"/>
      <c r="S997" s="379"/>
      <c r="T997" s="379"/>
      <c r="U997" s="379"/>
      <c r="V997" s="379"/>
      <c r="W997" s="379"/>
      <c r="X997" s="379"/>
      <c r="Y997" s="379"/>
      <c r="Z997" s="379"/>
      <c r="AA997" s="379"/>
      <c r="AB997" s="379"/>
      <c r="AC997" s="379"/>
      <c r="AD997" s="379"/>
      <c r="AE997" s="379"/>
      <c r="AF997" s="379"/>
      <c r="AG997" s="379"/>
      <c r="AH997" s="379"/>
      <c r="AI997" s="379"/>
      <c r="AJ997" s="379"/>
      <c r="AK997" s="379"/>
      <c r="AL997" s="379"/>
      <c r="AM997" s="379"/>
      <c r="AN997" s="379"/>
      <c r="AO997" s="379"/>
      <c r="AP997" s="379"/>
      <c r="AQ997" s="379"/>
      <c r="AR997" s="379"/>
      <c r="AS997" s="379"/>
      <c r="AT997" s="379"/>
      <c r="AU997" s="379"/>
      <c r="AV997" s="379"/>
      <c r="AW997" s="379"/>
      <c r="AX997" s="379"/>
      <c r="AY997" s="379"/>
      <c r="AZ997" s="379"/>
      <c r="BA997" s="379"/>
      <c r="BB997" s="379"/>
      <c r="BC997" s="379"/>
      <c r="BD997" s="379"/>
      <c r="BE997" s="379"/>
      <c r="BF997" s="379"/>
      <c r="BG997" s="379"/>
      <c r="BH997" s="379"/>
      <c r="BI997" s="379"/>
      <c r="BJ997" s="379"/>
      <c r="BK997" s="379"/>
      <c r="BL997" s="379"/>
      <c r="BM997" s="379"/>
      <c r="BN997" s="379"/>
      <c r="BO997" s="379"/>
      <c r="BP997" s="379"/>
      <c r="BQ997" s="379"/>
      <c r="BR997" s="379"/>
      <c r="BS997" s="379"/>
      <c r="BT997" s="379"/>
      <c r="BU997" s="379"/>
      <c r="BV997" s="379"/>
      <c r="BW997" s="379"/>
      <c r="BX997" s="379"/>
      <c r="BY997" s="379"/>
      <c r="BZ997" s="379"/>
      <c r="CA997" s="281"/>
      <c r="CB997" s="3" t="str">
        <f t="shared" si="124"/>
        <v>Riadok bude skrytý.</v>
      </c>
      <c r="CC997" s="271" t="s">
        <v>832</v>
      </c>
      <c r="CW997" s="35">
        <f t="shared" si="129"/>
        <v>1</v>
      </c>
      <c r="CX997" s="30">
        <f t="shared" si="131"/>
        <v>0</v>
      </c>
      <c r="CY997" s="30"/>
      <c r="CZ997" s="30">
        <f t="shared" si="132"/>
        <v>1</v>
      </c>
      <c r="DA997" s="52">
        <f t="shared" si="126"/>
        <v>0</v>
      </c>
      <c r="DB997" s="140">
        <f t="shared" si="130"/>
        <v>0</v>
      </c>
      <c r="DR997" s="76"/>
      <c r="DS997" s="130">
        <f>SI!BY997</f>
        <v>195</v>
      </c>
      <c r="DT997" s="130"/>
      <c r="DU997" s="130"/>
      <c r="DV997" s="130"/>
      <c r="DW997" s="130"/>
      <c r="DX997" s="130"/>
      <c r="DY997" s="130"/>
      <c r="DZ997" s="131">
        <f>SI!BZ997</f>
        <v>0</v>
      </c>
      <c r="EA997" s="76"/>
      <c r="EB997" s="76"/>
    </row>
    <row r="998" spans="1:132" s="14" customFormat="1" hidden="1" x14ac:dyDescent="0.25">
      <c r="A998" s="290"/>
      <c r="B998" s="379"/>
      <c r="C998" s="379"/>
      <c r="D998" s="379"/>
      <c r="E998" s="379"/>
      <c r="F998" s="379"/>
      <c r="G998" s="379"/>
      <c r="H998" s="379"/>
      <c r="I998" s="379"/>
      <c r="J998" s="379"/>
      <c r="K998" s="379"/>
      <c r="L998" s="379"/>
      <c r="M998" s="379"/>
      <c r="N998" s="379"/>
      <c r="O998" s="379"/>
      <c r="P998" s="379"/>
      <c r="Q998" s="379"/>
      <c r="R998" s="379"/>
      <c r="S998" s="379"/>
      <c r="T998" s="379"/>
      <c r="U998" s="379"/>
      <c r="V998" s="379"/>
      <c r="W998" s="379"/>
      <c r="X998" s="379"/>
      <c r="Y998" s="379"/>
      <c r="Z998" s="379"/>
      <c r="AA998" s="379"/>
      <c r="AB998" s="379"/>
      <c r="AC998" s="379"/>
      <c r="AD998" s="379"/>
      <c r="AE998" s="379"/>
      <c r="AF998" s="379"/>
      <c r="AG998" s="379"/>
      <c r="AH998" s="379"/>
      <c r="AI998" s="379"/>
      <c r="AJ998" s="379"/>
      <c r="AK998" s="379"/>
      <c r="AL998" s="379"/>
      <c r="AM998" s="379"/>
      <c r="AN998" s="379"/>
      <c r="AO998" s="379"/>
      <c r="AP998" s="379"/>
      <c r="AQ998" s="379"/>
      <c r="AR998" s="379"/>
      <c r="AS998" s="379"/>
      <c r="AT998" s="379"/>
      <c r="AU998" s="379"/>
      <c r="AV998" s="379"/>
      <c r="AW998" s="379"/>
      <c r="AX998" s="379"/>
      <c r="AY998" s="379"/>
      <c r="AZ998" s="379"/>
      <c r="BA998" s="379"/>
      <c r="BB998" s="379"/>
      <c r="BC998" s="379"/>
      <c r="BD998" s="379"/>
      <c r="BE998" s="379"/>
      <c r="BF998" s="379"/>
      <c r="BG998" s="379"/>
      <c r="BH998" s="379"/>
      <c r="BI998" s="379"/>
      <c r="BJ998" s="379"/>
      <c r="BK998" s="379"/>
      <c r="BL998" s="379"/>
      <c r="BM998" s="379"/>
      <c r="BN998" s="379"/>
      <c r="BO998" s="379"/>
      <c r="BP998" s="379"/>
      <c r="BQ998" s="379"/>
      <c r="BR998" s="379"/>
      <c r="BS998" s="379"/>
      <c r="BT998" s="379"/>
      <c r="BU998" s="379"/>
      <c r="BV998" s="379"/>
      <c r="BW998" s="379"/>
      <c r="BX998" s="379"/>
      <c r="BY998" s="379"/>
      <c r="BZ998" s="379"/>
      <c r="CA998" s="281"/>
      <c r="CB998" s="3" t="str">
        <f t="shared" si="124"/>
        <v>Riadok bude skrytý.</v>
      </c>
      <c r="CC998" s="271" t="s">
        <v>832</v>
      </c>
      <c r="CW998" s="35">
        <f t="shared" si="129"/>
        <v>1</v>
      </c>
      <c r="CX998" s="30">
        <f t="shared" si="131"/>
        <v>0</v>
      </c>
      <c r="CY998" s="30"/>
      <c r="CZ998" s="30">
        <f t="shared" si="132"/>
        <v>1</v>
      </c>
      <c r="DA998" s="52">
        <f t="shared" si="126"/>
        <v>0</v>
      </c>
      <c r="DB998" s="140">
        <f t="shared" si="130"/>
        <v>0</v>
      </c>
      <c r="DR998" s="76"/>
      <c r="DS998" s="130">
        <f>SI!BY998</f>
        <v>314</v>
      </c>
      <c r="DT998" s="130"/>
      <c r="DU998" s="130"/>
      <c r="DV998" s="130"/>
      <c r="DW998" s="130"/>
      <c r="DX998" s="130"/>
      <c r="DY998" s="130"/>
      <c r="DZ998" s="131">
        <f>SI!BZ998</f>
        <v>0</v>
      </c>
      <c r="EA998" s="76"/>
      <c r="EB998" s="76"/>
    </row>
    <row r="999" spans="1:132" s="14" customFormat="1" x14ac:dyDescent="0.25">
      <c r="A999" s="290"/>
      <c r="B999" s="67"/>
      <c r="C999" s="67"/>
      <c r="D999" s="67"/>
      <c r="E999" s="67"/>
      <c r="F999" s="67"/>
      <c r="G999" s="67"/>
      <c r="H999" s="67"/>
      <c r="I999" s="67"/>
      <c r="J999" s="67"/>
      <c r="P999" s="67"/>
      <c r="Q999" s="67"/>
      <c r="R999" s="67"/>
      <c r="S999" s="67"/>
      <c r="T999" s="67"/>
      <c r="U999" s="67"/>
      <c r="V999" s="67"/>
      <c r="W999" s="67"/>
      <c r="X999" s="67"/>
      <c r="Y999" s="67"/>
      <c r="Z999" s="67"/>
      <c r="AA999" s="67"/>
      <c r="AB999" s="67"/>
      <c r="AC999" s="67"/>
      <c r="AD999" s="67"/>
      <c r="AE999" s="67"/>
      <c r="AF999" s="67"/>
      <c r="AG999" s="67"/>
      <c r="AH999" s="67"/>
      <c r="AI999" s="67"/>
      <c r="AJ999" s="67"/>
      <c r="AK999" s="67"/>
      <c r="AL999" s="67"/>
      <c r="AM999" s="67"/>
      <c r="AN999" s="67"/>
      <c r="AO999" s="67"/>
      <c r="AP999" s="67"/>
      <c r="AQ999" s="67"/>
      <c r="AR999" s="67"/>
      <c r="AS999" s="67"/>
      <c r="AT999" s="67"/>
      <c r="AU999" s="67"/>
      <c r="AV999" s="67"/>
      <c r="AW999" s="67"/>
      <c r="AX999" s="67"/>
      <c r="AY999" s="67"/>
      <c r="AZ999" s="67"/>
      <c r="BA999" s="67"/>
      <c r="BB999" s="67"/>
      <c r="BC999" s="67"/>
      <c r="BD999" s="67"/>
      <c r="BE999" s="67"/>
      <c r="BF999" s="67"/>
      <c r="BG999" s="67"/>
      <c r="BH999" s="67"/>
      <c r="BI999" s="67"/>
      <c r="BJ999" s="67"/>
      <c r="BK999" s="67"/>
      <c r="BL999" s="67"/>
      <c r="BM999" s="67"/>
      <c r="BN999" s="67"/>
      <c r="BO999" s="67"/>
      <c r="BP999" s="67"/>
      <c r="BQ999" s="67"/>
      <c r="BR999" s="67"/>
      <c r="BS999" s="67"/>
      <c r="BT999" s="67"/>
      <c r="BU999" s="67"/>
      <c r="BV999" s="67"/>
      <c r="BW999" s="67"/>
      <c r="BX999" s="67"/>
      <c r="BY999" s="67"/>
      <c r="BZ999" s="67"/>
      <c r="CA999" s="270"/>
      <c r="CB999" s="3" t="str">
        <f t="shared" si="124"/>
        <v>Riadok bude vidieť.</v>
      </c>
      <c r="CC999" s="271" t="s">
        <v>832</v>
      </c>
      <c r="CW999" s="35">
        <f t="shared" si="129"/>
        <v>1</v>
      </c>
      <c r="CX999" s="30"/>
      <c r="CY999" s="30"/>
      <c r="CZ999" s="30">
        <f t="shared" si="132"/>
        <v>1</v>
      </c>
      <c r="DA999" s="30">
        <f>+IF(CW999+CX999+CY999=0,0,IF(CZ999=0,0,1))</f>
        <v>1</v>
      </c>
      <c r="DB999" s="140">
        <f t="shared" si="130"/>
        <v>1</v>
      </c>
      <c r="DR999" s="76"/>
      <c r="DS999" s="130">
        <f>SI!BY999</f>
        <v>125</v>
      </c>
      <c r="DT999" s="130"/>
      <c r="DU999" s="130"/>
      <c r="DV999" s="130"/>
      <c r="DW999" s="130"/>
      <c r="DX999" s="130"/>
      <c r="DY999" s="130"/>
      <c r="DZ999" s="131">
        <f>SI!BZ999</f>
        <v>0</v>
      </c>
      <c r="EA999" s="76"/>
      <c r="EB999" s="76"/>
    </row>
    <row r="1000" spans="1:132" s="14" customFormat="1" hidden="1" x14ac:dyDescent="0.25">
      <c r="A1000" s="290"/>
      <c r="B1000" s="14" t="s">
        <v>96</v>
      </c>
      <c r="J1000" s="378" t="s">
        <v>872</v>
      </c>
      <c r="K1000" s="378"/>
      <c r="L1000" s="378"/>
      <c r="M1000" s="378"/>
      <c r="N1000" s="378"/>
      <c r="O1000" s="137" t="str">
        <f>+IF($Q$52&lt;&gt;"",IF((CODE(MID($Q$52,1,1)))*(GCD(121,132))*(IF(SI!EE1000="",1,SI!EE1000))+(LEN(SI!J5)+LEN(SI!J6))=DS1000,"vo svojej evidencii nehmotný majetok, ku ktorému je zriadené záložné právo. ","NEPOVOLENÉ POUŽITIE!"),"NEPOVOLENÉ POUŽITIE!")</f>
        <v xml:space="preserve">vo svojej evidencii nehmotný majetok, ku ktorému je zriadené záložné právo. </v>
      </c>
      <c r="P1000" s="38"/>
      <c r="R1000" s="137"/>
      <c r="CA1000" s="265" t="s">
        <v>773</v>
      </c>
      <c r="CB1000" s="3" t="str">
        <f t="shared" si="124"/>
        <v>Riadok bude skrytý.</v>
      </c>
      <c r="CC1000" s="271" t="s">
        <v>832</v>
      </c>
      <c r="CF1000" s="13"/>
      <c r="CW1000" s="35">
        <f t="shared" si="129"/>
        <v>1</v>
      </c>
      <c r="CX1000" s="30">
        <f>+IF($J$1000="nemá",1,1)</f>
        <v>1</v>
      </c>
      <c r="CY1000" s="43"/>
      <c r="CZ1000" s="30">
        <f t="shared" si="132"/>
        <v>1</v>
      </c>
      <c r="DA1000" s="52">
        <f t="shared" si="126"/>
        <v>1</v>
      </c>
      <c r="DB1000" s="2">
        <f t="shared" ref="DB1000:DB1063" si="133">+IF($CD$1="malé",0,DA1000)</f>
        <v>0</v>
      </c>
      <c r="DR1000" s="76"/>
      <c r="DS1000" s="130">
        <f>SI!BY1000</f>
        <v>20</v>
      </c>
      <c r="DT1000" s="130"/>
      <c r="DU1000" s="130"/>
      <c r="DV1000" s="130"/>
      <c r="DW1000" s="130"/>
      <c r="DX1000" s="130"/>
      <c r="DY1000" s="130"/>
      <c r="DZ1000" s="131">
        <f>SI!BZ1000</f>
        <v>0</v>
      </c>
      <c r="EA1000" s="76"/>
      <c r="EB1000" s="76"/>
    </row>
    <row r="1001" spans="1:132" hidden="1" x14ac:dyDescent="0.25">
      <c r="A1001" s="141"/>
      <c r="B1001" s="137" t="str">
        <f>+IF($M$52&lt;&gt;"",IF(SQRT(INT(FACT(DAY(24324))*FACT(DAY(24385))/576))=DS1001,IF(J1000="nemá","","Hodnota dlhodobého nehmotného majetku, ku ktorému je zriadené záložné právo, je uvedená v tabuľke:"),"NEPOVOLENÉ POUŽITIE!"),"NEPOVOLENÉ POUŽITIE!")</f>
        <v/>
      </c>
      <c r="CA1001" s="270"/>
      <c r="CB1001" s="3" t="str">
        <f t="shared" si="124"/>
        <v>Riadok bude skrytý.</v>
      </c>
      <c r="CC1001" s="271" t="s">
        <v>832</v>
      </c>
      <c r="CW1001" s="35">
        <f t="shared" si="129"/>
        <v>1</v>
      </c>
      <c r="CX1001" s="30">
        <f>+IF($J$1000="nemá",0,1)</f>
        <v>0</v>
      </c>
      <c r="CZ1001" s="30">
        <f t="shared" si="132"/>
        <v>1</v>
      </c>
      <c r="DA1001" s="52">
        <f t="shared" si="126"/>
        <v>0</v>
      </c>
      <c r="DB1001" s="2">
        <f t="shared" si="133"/>
        <v>0</v>
      </c>
      <c r="DS1001" s="130">
        <f>SI!BY1001</f>
        <v>5</v>
      </c>
      <c r="DZ1001" s="131">
        <f>SI!BZ1001</f>
        <v>0</v>
      </c>
    </row>
    <row r="1002" spans="1:132" hidden="1" x14ac:dyDescent="0.25">
      <c r="A1002" s="141"/>
      <c r="CA1002" s="270"/>
      <c r="CB1002" s="3" t="str">
        <f t="shared" si="124"/>
        <v>Riadok bude skrytý.</v>
      </c>
      <c r="CC1002" s="271" t="s">
        <v>832</v>
      </c>
      <c r="CW1002" s="35">
        <f t="shared" si="129"/>
        <v>1</v>
      </c>
      <c r="CX1002" s="30">
        <f>+IF($J$1000="nemá",0,1)</f>
        <v>0</v>
      </c>
      <c r="CZ1002" s="30">
        <f t="shared" si="132"/>
        <v>1</v>
      </c>
      <c r="DA1002" s="52">
        <f t="shared" si="126"/>
        <v>0</v>
      </c>
      <c r="DB1002" s="2">
        <f t="shared" si="133"/>
        <v>0</v>
      </c>
      <c r="DS1002" s="130">
        <f>SI!BY1002</f>
        <v>110</v>
      </c>
      <c r="DZ1002" s="131">
        <f>SI!BZ1002</f>
        <v>0</v>
      </c>
    </row>
    <row r="1003" spans="1:132" hidden="1" x14ac:dyDescent="0.25">
      <c r="A1003" s="141"/>
      <c r="B1003" s="401" t="s">
        <v>106</v>
      </c>
      <c r="C1003" s="402"/>
      <c r="D1003" s="402"/>
      <c r="E1003" s="402"/>
      <c r="F1003" s="402"/>
      <c r="G1003" s="402"/>
      <c r="H1003" s="402"/>
      <c r="I1003" s="402"/>
      <c r="J1003" s="402"/>
      <c r="K1003" s="402"/>
      <c r="L1003" s="402"/>
      <c r="M1003" s="402"/>
      <c r="N1003" s="402"/>
      <c r="O1003" s="402"/>
      <c r="P1003" s="402"/>
      <c r="Q1003" s="402"/>
      <c r="R1003" s="402"/>
      <c r="S1003" s="402"/>
      <c r="T1003" s="402"/>
      <c r="U1003" s="402"/>
      <c r="V1003" s="402"/>
      <c r="W1003" s="402"/>
      <c r="X1003" s="402"/>
      <c r="Y1003" s="402"/>
      <c r="Z1003" s="402"/>
      <c r="AA1003" s="402"/>
      <c r="AB1003" s="402"/>
      <c r="AC1003" s="402"/>
      <c r="AD1003" s="402"/>
      <c r="AE1003" s="402"/>
      <c r="AF1003" s="402"/>
      <c r="AG1003" s="402"/>
      <c r="AH1003" s="402"/>
      <c r="AI1003" s="402"/>
      <c r="AJ1003" s="402"/>
      <c r="AK1003" s="402"/>
      <c r="AL1003" s="402"/>
      <c r="AM1003" s="402"/>
      <c r="AN1003" s="402"/>
      <c r="AO1003" s="402"/>
      <c r="AP1003" s="402"/>
      <c r="AQ1003" s="402"/>
      <c r="AR1003" s="402"/>
      <c r="AS1003" s="402"/>
      <c r="AT1003" s="402"/>
      <c r="AU1003" s="402"/>
      <c r="AV1003" s="402"/>
      <c r="AW1003" s="402"/>
      <c r="AX1003" s="402"/>
      <c r="AY1003" s="402"/>
      <c r="AZ1003" s="402"/>
      <c r="BA1003" s="402"/>
      <c r="BB1003" s="402"/>
      <c r="BC1003" s="402"/>
      <c r="BD1003" s="402"/>
      <c r="BE1003" s="402"/>
      <c r="BF1003" s="402"/>
      <c r="BG1003" s="402"/>
      <c r="BH1003" s="402"/>
      <c r="BI1003" s="402"/>
      <c r="BJ1003" s="393" t="s">
        <v>1010</v>
      </c>
      <c r="BK1003" s="394"/>
      <c r="BL1003" s="394"/>
      <c r="BM1003" s="394"/>
      <c r="BN1003" s="394"/>
      <c r="BO1003" s="394"/>
      <c r="BP1003" s="394"/>
      <c r="BQ1003" s="394"/>
      <c r="BR1003" s="394"/>
      <c r="BS1003" s="391">
        <f>+AJ141</f>
        <v>2021</v>
      </c>
      <c r="BT1003" s="391"/>
      <c r="BU1003" s="391"/>
      <c r="BV1003" s="391"/>
      <c r="BW1003" s="391"/>
      <c r="BX1003" s="391"/>
      <c r="BY1003" s="391"/>
      <c r="BZ1003" s="392"/>
      <c r="CA1003" s="265" t="s">
        <v>773</v>
      </c>
      <c r="CB1003" s="3" t="str">
        <f t="shared" si="124"/>
        <v>Riadok bude skrytý.</v>
      </c>
      <c r="CC1003" s="271" t="s">
        <v>832</v>
      </c>
      <c r="CD1003" s="4"/>
      <c r="CW1003" s="35">
        <f t="shared" si="129"/>
        <v>1</v>
      </c>
      <c r="CX1003" s="30">
        <f>+IF($J$1000="nemá",0,1)</f>
        <v>0</v>
      </c>
      <c r="CZ1003" s="30">
        <f t="shared" si="132"/>
        <v>1</v>
      </c>
      <c r="DA1003" s="52">
        <f t="shared" si="126"/>
        <v>0</v>
      </c>
      <c r="DB1003" s="2">
        <f t="shared" si="133"/>
        <v>0</v>
      </c>
      <c r="DS1003" s="130">
        <f>SI!BY1003</f>
        <v>497</v>
      </c>
      <c r="DZ1003" s="131">
        <f>SI!BZ1003</f>
        <v>0</v>
      </c>
    </row>
    <row r="1004" spans="1:132" hidden="1" x14ac:dyDescent="0.25">
      <c r="A1004" s="141"/>
      <c r="B1004" s="401" t="s">
        <v>774</v>
      </c>
      <c r="C1004" s="402"/>
      <c r="D1004" s="402"/>
      <c r="E1004" s="402"/>
      <c r="F1004" s="402"/>
      <c r="G1004" s="402"/>
      <c r="H1004" s="402"/>
      <c r="I1004" s="402"/>
      <c r="J1004" s="402"/>
      <c r="K1004" s="402"/>
      <c r="L1004" s="402"/>
      <c r="M1004" s="402"/>
      <c r="N1004" s="402"/>
      <c r="O1004" s="402"/>
      <c r="P1004" s="402"/>
      <c r="Q1004" s="402"/>
      <c r="R1004" s="402"/>
      <c r="S1004" s="402"/>
      <c r="T1004" s="402"/>
      <c r="U1004" s="402"/>
      <c r="V1004" s="402"/>
      <c r="W1004" s="402"/>
      <c r="X1004" s="402"/>
      <c r="Y1004" s="402"/>
      <c r="Z1004" s="402"/>
      <c r="AA1004" s="402"/>
      <c r="AB1004" s="402"/>
      <c r="AC1004" s="402"/>
      <c r="AD1004" s="402"/>
      <c r="AE1004" s="402"/>
      <c r="AF1004" s="402"/>
      <c r="AG1004" s="402"/>
      <c r="AH1004" s="402"/>
      <c r="AI1004" s="402"/>
      <c r="AJ1004" s="402"/>
      <c r="AK1004" s="402"/>
      <c r="AL1004" s="402"/>
      <c r="AM1004" s="402"/>
      <c r="AN1004" s="402"/>
      <c r="AO1004" s="402"/>
      <c r="AP1004" s="402"/>
      <c r="AQ1004" s="402"/>
      <c r="AR1004" s="402"/>
      <c r="AS1004" s="402"/>
      <c r="AT1004" s="402"/>
      <c r="AU1004" s="402"/>
      <c r="AV1004" s="402"/>
      <c r="AW1004" s="402"/>
      <c r="AX1004" s="402"/>
      <c r="AY1004" s="402"/>
      <c r="AZ1004" s="402"/>
      <c r="BA1004" s="402"/>
      <c r="BB1004" s="402"/>
      <c r="BC1004" s="402"/>
      <c r="BD1004" s="402"/>
      <c r="BE1004" s="402"/>
      <c r="BF1004" s="402"/>
      <c r="BG1004" s="402"/>
      <c r="BH1004" s="402"/>
      <c r="BI1004" s="776"/>
      <c r="BJ1004" s="770"/>
      <c r="BK1004" s="771"/>
      <c r="BL1004" s="771"/>
      <c r="BM1004" s="771"/>
      <c r="BN1004" s="771"/>
      <c r="BO1004" s="771"/>
      <c r="BP1004" s="771"/>
      <c r="BQ1004" s="771"/>
      <c r="BR1004" s="771"/>
      <c r="BS1004" s="771"/>
      <c r="BT1004" s="771"/>
      <c r="BU1004" s="771"/>
      <c r="BV1004" s="771"/>
      <c r="BW1004" s="771"/>
      <c r="BX1004" s="771"/>
      <c r="BY1004" s="771"/>
      <c r="BZ1004" s="772"/>
      <c r="CA1004" s="270"/>
      <c r="CB1004" s="3" t="str">
        <f t="shared" si="124"/>
        <v>Riadok bude skrytý.</v>
      </c>
      <c r="CC1004" s="271" t="s">
        <v>832</v>
      </c>
      <c r="CW1004" s="35">
        <f t="shared" ref="CW1004:CW1020" si="134">+IF($J$900="neeviduje",0,1)</f>
        <v>1</v>
      </c>
      <c r="CX1004" s="30">
        <f>+IF($J$1000="nemá",0,1)</f>
        <v>0</v>
      </c>
      <c r="CZ1004" s="30">
        <f t="shared" si="132"/>
        <v>1</v>
      </c>
      <c r="DA1004" s="52">
        <f t="shared" si="126"/>
        <v>0</v>
      </c>
      <c r="DB1004" s="2">
        <f t="shared" si="133"/>
        <v>0</v>
      </c>
      <c r="DS1004" s="130">
        <f>SI!BY1004</f>
        <v>189</v>
      </c>
      <c r="DZ1004" s="131">
        <f>SI!BZ1004</f>
        <v>0</v>
      </c>
    </row>
    <row r="1005" spans="1:132" hidden="1" x14ac:dyDescent="0.25">
      <c r="A1005" s="141"/>
      <c r="B1005" s="1759" t="s">
        <v>804</v>
      </c>
      <c r="C1005" s="1760"/>
      <c r="D1005" s="1760"/>
      <c r="E1005" s="1760"/>
      <c r="F1005" s="1760"/>
      <c r="G1005" s="1760"/>
      <c r="H1005" s="1760"/>
      <c r="I1005" s="1760"/>
      <c r="J1005" s="1760"/>
      <c r="K1005" s="1760"/>
      <c r="L1005" s="1760"/>
      <c r="M1005" s="1760"/>
      <c r="N1005" s="1760"/>
      <c r="O1005" s="1760"/>
      <c r="P1005" s="1760"/>
      <c r="Q1005" s="1760"/>
      <c r="R1005" s="1760"/>
      <c r="S1005" s="1760"/>
      <c r="T1005" s="1760"/>
      <c r="U1005" s="1760"/>
      <c r="V1005" s="1760"/>
      <c r="W1005" s="1760"/>
      <c r="X1005" s="1760"/>
      <c r="Y1005" s="1760"/>
      <c r="Z1005" s="1760"/>
      <c r="AA1005" s="1760"/>
      <c r="AB1005" s="1760"/>
      <c r="AC1005" s="1760"/>
      <c r="AD1005" s="1760"/>
      <c r="AE1005" s="1760"/>
      <c r="AF1005" s="1760"/>
      <c r="AG1005" s="1760"/>
      <c r="AH1005" s="1760"/>
      <c r="AI1005" s="1760"/>
      <c r="AJ1005" s="1760"/>
      <c r="AK1005" s="1760"/>
      <c r="AL1005" s="1760"/>
      <c r="AM1005" s="1760"/>
      <c r="AN1005" s="1760"/>
      <c r="AO1005" s="1760"/>
      <c r="AP1005" s="1760"/>
      <c r="AQ1005" s="1760"/>
      <c r="AR1005" s="1760"/>
      <c r="AS1005" s="1760"/>
      <c r="AT1005" s="1760"/>
      <c r="AU1005" s="1760"/>
      <c r="AV1005" s="1760"/>
      <c r="AW1005" s="1760"/>
      <c r="AX1005" s="1760"/>
      <c r="AY1005" s="1760"/>
      <c r="AZ1005" s="1760"/>
      <c r="BA1005" s="1760"/>
      <c r="BB1005" s="1760"/>
      <c r="BC1005" s="1760"/>
      <c r="BD1005" s="1760"/>
      <c r="BE1005" s="1760"/>
      <c r="BF1005" s="1760"/>
      <c r="BG1005" s="1760"/>
      <c r="BH1005" s="1760"/>
      <c r="BI1005" s="1761"/>
      <c r="BJ1005" s="770"/>
      <c r="BK1005" s="771"/>
      <c r="BL1005" s="771"/>
      <c r="BM1005" s="771"/>
      <c r="BN1005" s="771"/>
      <c r="BO1005" s="771"/>
      <c r="BP1005" s="771"/>
      <c r="BQ1005" s="771"/>
      <c r="BR1005" s="771"/>
      <c r="BS1005" s="771"/>
      <c r="BT1005" s="771"/>
      <c r="BU1005" s="771"/>
      <c r="BV1005" s="771"/>
      <c r="BW1005" s="771"/>
      <c r="BX1005" s="771"/>
      <c r="BY1005" s="771"/>
      <c r="BZ1005" s="772"/>
      <c r="CA1005" s="270"/>
      <c r="CB1005" s="3" t="str">
        <f t="shared" si="124"/>
        <v>Riadok bude skrytý.</v>
      </c>
      <c r="CC1005" s="271" t="s">
        <v>832</v>
      </c>
      <c r="CD1005" s="4"/>
      <c r="CE1005" s="4"/>
      <c r="CF1005" s="4"/>
      <c r="CG1005" s="4"/>
      <c r="CH1005" s="4"/>
      <c r="CI1005" s="4"/>
      <c r="CJ1005" s="4"/>
      <c r="CK1005" s="4"/>
      <c r="CL1005" s="4"/>
      <c r="CM1005" s="4"/>
      <c r="CN1005" s="4"/>
      <c r="CO1005" s="4"/>
      <c r="CP1005" s="4"/>
      <c r="CW1005" s="35">
        <f t="shared" si="134"/>
        <v>1</v>
      </c>
      <c r="CX1005" s="30">
        <f>+IF($J$1000="nemá",0,1)</f>
        <v>0</v>
      </c>
      <c r="CZ1005" s="30">
        <f t="shared" si="132"/>
        <v>1</v>
      </c>
      <c r="DA1005" s="52">
        <f t="shared" si="126"/>
        <v>0</v>
      </c>
      <c r="DB1005" s="2">
        <f t="shared" si="133"/>
        <v>0</v>
      </c>
      <c r="DS1005" s="130">
        <f>SI!BY1005</f>
        <v>298</v>
      </c>
      <c r="DZ1005" s="131">
        <f>SI!BZ1005</f>
        <v>0</v>
      </c>
    </row>
    <row r="1006" spans="1:132" hidden="1" x14ac:dyDescent="0.25">
      <c r="A1006" s="141"/>
      <c r="B1006" s="15"/>
      <c r="C1006" s="15"/>
      <c r="D1006" s="15"/>
      <c r="E1006" s="15"/>
      <c r="F1006" s="15"/>
      <c r="G1006" s="15"/>
      <c r="H1006" s="15"/>
      <c r="I1006" s="15"/>
      <c r="J1006" s="15"/>
      <c r="P1006" s="15"/>
      <c r="Q1006" s="15"/>
      <c r="R1006" s="15"/>
      <c r="S1006" s="15"/>
      <c r="T1006" s="15"/>
      <c r="U1006" s="15"/>
      <c r="V1006" s="15"/>
      <c r="W1006" s="15"/>
      <c r="X1006" s="15"/>
      <c r="Y1006" s="15"/>
      <c r="Z1006" s="15"/>
      <c r="AA1006" s="15"/>
      <c r="AB1006" s="15"/>
      <c r="AC1006" s="15"/>
      <c r="AD1006" s="15"/>
      <c r="AE1006" s="15"/>
      <c r="AF1006" s="15"/>
      <c r="AG1006" s="15"/>
      <c r="AH1006" s="15"/>
      <c r="AI1006" s="15"/>
      <c r="AJ1006" s="15"/>
      <c r="AK1006" s="15"/>
      <c r="AL1006" s="15"/>
      <c r="AM1006" s="15"/>
      <c r="AN1006" s="15"/>
      <c r="AO1006" s="15"/>
      <c r="AP1006" s="15"/>
      <c r="AQ1006" s="15"/>
      <c r="AR1006" s="15"/>
      <c r="AS1006" s="15"/>
      <c r="AT1006" s="15"/>
      <c r="AU1006" s="15"/>
      <c r="AV1006" s="15"/>
      <c r="AW1006" s="15"/>
      <c r="AX1006" s="15"/>
      <c r="AY1006" s="15"/>
      <c r="AZ1006" s="15"/>
      <c r="BA1006" s="15"/>
      <c r="BB1006" s="15"/>
      <c r="BC1006" s="15"/>
      <c r="BD1006" s="15"/>
      <c r="BE1006" s="15"/>
      <c r="BF1006" s="15"/>
      <c r="BG1006" s="15"/>
      <c r="BH1006" s="15"/>
      <c r="BI1006" s="15"/>
      <c r="BJ1006" s="15"/>
      <c r="BK1006" s="294"/>
      <c r="BL1006" s="294"/>
      <c r="BM1006" s="295"/>
      <c r="BN1006" s="295"/>
      <c r="BO1006" s="295"/>
      <c r="BP1006" s="295"/>
      <c r="BQ1006" s="295"/>
      <c r="BR1006" s="295"/>
      <c r="BS1006" s="295"/>
      <c r="BT1006" s="295"/>
      <c r="BU1006" s="295"/>
      <c r="BV1006" s="295"/>
      <c r="BW1006" s="295"/>
      <c r="BX1006" s="295"/>
      <c r="BY1006" s="295"/>
      <c r="BZ1006" s="295"/>
      <c r="CA1006" s="270"/>
      <c r="CB1006" s="3" t="str">
        <f t="shared" si="124"/>
        <v>Riadok bude skrytý.</v>
      </c>
      <c r="CC1006" s="271" t="s">
        <v>832</v>
      </c>
      <c r="CW1006" s="35">
        <f t="shared" si="134"/>
        <v>1</v>
      </c>
      <c r="CZ1006" s="30">
        <f t="shared" si="132"/>
        <v>1</v>
      </c>
      <c r="DA1006" s="30">
        <f>+IF(CW1006+CX1006+CY1006=0,0,IF(CZ1006=0,0,1))</f>
        <v>1</v>
      </c>
      <c r="DB1006" s="2">
        <f t="shared" si="133"/>
        <v>0</v>
      </c>
      <c r="DS1006" s="130">
        <f>SI!BY1006</f>
        <v>173</v>
      </c>
      <c r="DZ1006" s="131">
        <f>SI!BZ1006</f>
        <v>0</v>
      </c>
    </row>
    <row r="1007" spans="1:132" hidden="1" x14ac:dyDescent="0.25">
      <c r="A1007" s="141"/>
      <c r="B1007" s="137" t="s">
        <v>96</v>
      </c>
      <c r="J1007" s="378" t="s">
        <v>97</v>
      </c>
      <c r="K1007" s="378"/>
      <c r="L1007" s="378"/>
      <c r="M1007" s="378"/>
      <c r="N1007" s="378"/>
      <c r="O1007" s="137" t="str">
        <f>+IF($K$52&lt;&gt;"",IF(INT(SQRT((CODE(MID($K$52,1,1)))))*(IF(SI!EE1007="",1,SI!EE1007))+LEN(SI!J5)=DS1007,"vo svojej evidencii nehmotný majetok, ku ktorému tvorila opravné položky.","NEPOVOLENÉ POUŽITIE!"),"NEPOVOLENÉ POUŽITIE!")</f>
        <v>vo svojej evidencii nehmotný majetok, ku ktorému tvorila opravné položky.</v>
      </c>
      <c r="P1007" s="38"/>
      <c r="CA1007" s="265" t="s">
        <v>773</v>
      </c>
      <c r="CB1007" s="3" t="str">
        <f t="shared" si="124"/>
        <v>Riadok bude skrytý.</v>
      </c>
      <c r="CC1007" s="271" t="s">
        <v>832</v>
      </c>
      <c r="CF1007" s="13"/>
      <c r="CW1007" s="35">
        <f t="shared" si="134"/>
        <v>1</v>
      </c>
      <c r="CX1007" s="30">
        <f>+IF($J$1007="nemá",1,1)</f>
        <v>1</v>
      </c>
      <c r="CY1007" s="43"/>
      <c r="CZ1007" s="30">
        <f t="shared" si="132"/>
        <v>1</v>
      </c>
      <c r="DA1007" s="52">
        <f t="shared" si="126"/>
        <v>1</v>
      </c>
      <c r="DB1007" s="2">
        <f t="shared" si="133"/>
        <v>0</v>
      </c>
      <c r="DS1007" s="130">
        <f>SI!BY1007</f>
        <v>15</v>
      </c>
      <c r="DZ1007" s="131">
        <f>SI!BZ1007</f>
        <v>0</v>
      </c>
    </row>
    <row r="1008" spans="1:132" hidden="1" x14ac:dyDescent="0.25">
      <c r="A1008" s="141"/>
      <c r="B1008" s="137" t="str">
        <f>+IF(J1007="má","Údaje o opravných položkách k dlhodobému nehmotnému majetku sú uvedené v tabuľke:","")</f>
        <v>Údaje o opravných položkách k dlhodobému nehmotnému majetku sú uvedené v tabuľke:</v>
      </c>
      <c r="CA1008" s="270"/>
      <c r="CB1008" s="3" t="str">
        <f t="shared" si="124"/>
        <v>Riadok bude skrytý.</v>
      </c>
      <c r="CC1008" s="271" t="s">
        <v>832</v>
      </c>
      <c r="CF1008" s="13"/>
      <c r="CW1008" s="35">
        <f t="shared" si="134"/>
        <v>1</v>
      </c>
      <c r="CX1008" s="30">
        <f t="shared" ref="CX1008:CX1021" si="135">+IF($J$1007="nemá",0,1)</f>
        <v>1</v>
      </c>
      <c r="CY1008" s="43"/>
      <c r="CZ1008" s="30">
        <f t="shared" si="132"/>
        <v>1</v>
      </c>
      <c r="DA1008" s="52">
        <f t="shared" si="126"/>
        <v>1</v>
      </c>
      <c r="DB1008" s="2">
        <f t="shared" si="133"/>
        <v>0</v>
      </c>
      <c r="DS1008" s="130">
        <f>SI!BY1008</f>
        <v>176</v>
      </c>
      <c r="DZ1008" s="131">
        <f>SI!BZ1008</f>
        <v>0</v>
      </c>
    </row>
    <row r="1009" spans="1:132" hidden="1" x14ac:dyDescent="0.25">
      <c r="A1009" s="141"/>
      <c r="CA1009" s="270"/>
      <c r="CB1009" s="3" t="str">
        <f t="shared" si="124"/>
        <v>Riadok bude skrytý.</v>
      </c>
      <c r="CC1009" s="271" t="s">
        <v>832</v>
      </c>
      <c r="CW1009" s="35">
        <f t="shared" si="134"/>
        <v>1</v>
      </c>
      <c r="CX1009" s="30">
        <f t="shared" si="135"/>
        <v>1</v>
      </c>
      <c r="CZ1009" s="30">
        <f t="shared" si="132"/>
        <v>1</v>
      </c>
      <c r="DA1009" s="52">
        <f t="shared" si="126"/>
        <v>1</v>
      </c>
      <c r="DB1009" s="2">
        <f t="shared" si="133"/>
        <v>0</v>
      </c>
      <c r="DS1009" s="130">
        <f>SI!BY1009</f>
        <v>168</v>
      </c>
      <c r="DZ1009" s="131">
        <f>SI!BZ1009</f>
        <v>0</v>
      </c>
    </row>
    <row r="1010" spans="1:132" hidden="1" x14ac:dyDescent="0.25">
      <c r="A1010" s="141"/>
      <c r="B1010" s="401" t="s">
        <v>99</v>
      </c>
      <c r="C1010" s="402"/>
      <c r="D1010" s="402"/>
      <c r="E1010" s="402"/>
      <c r="F1010" s="402"/>
      <c r="G1010" s="402"/>
      <c r="H1010" s="402"/>
      <c r="I1010" s="402"/>
      <c r="J1010" s="402"/>
      <c r="K1010" s="402"/>
      <c r="L1010" s="402"/>
      <c r="M1010" s="402"/>
      <c r="N1010" s="402"/>
      <c r="O1010" s="402"/>
      <c r="P1010" s="402"/>
      <c r="Q1010" s="402"/>
      <c r="R1010" s="402"/>
      <c r="S1010" s="402"/>
      <c r="T1010" s="402"/>
      <c r="U1010" s="402"/>
      <c r="V1010" s="402"/>
      <c r="W1010" s="402"/>
      <c r="X1010" s="402"/>
      <c r="Y1010" s="402"/>
      <c r="Z1010" s="402"/>
      <c r="AA1010" s="402"/>
      <c r="AB1010" s="402"/>
      <c r="AC1010" s="402"/>
      <c r="AD1010" s="402"/>
      <c r="AE1010" s="402"/>
      <c r="AF1010" s="402"/>
      <c r="AG1010" s="402"/>
      <c r="AH1010" s="402"/>
      <c r="AI1010" s="402"/>
      <c r="AJ1010" s="402"/>
      <c r="AK1010" s="402"/>
      <c r="AL1010" s="776"/>
      <c r="AM1010" s="1443" t="s">
        <v>101</v>
      </c>
      <c r="AN1010" s="1444"/>
      <c r="AO1010" s="1444"/>
      <c r="AP1010" s="1444"/>
      <c r="AQ1010" s="1444"/>
      <c r="AR1010" s="1444"/>
      <c r="AS1010" s="1444"/>
      <c r="AT1010" s="1444"/>
      <c r="AU1010" s="1444"/>
      <c r="AV1010" s="1444"/>
      <c r="AW1010" s="1444"/>
      <c r="AX1010" s="1444"/>
      <c r="AY1010" s="1444"/>
      <c r="AZ1010" s="1445"/>
      <c r="BA1010" s="598" t="s">
        <v>100</v>
      </c>
      <c r="BB1010" s="645"/>
      <c r="BC1010" s="645"/>
      <c r="BD1010" s="645"/>
      <c r="BE1010" s="645"/>
      <c r="BF1010" s="645"/>
      <c r="BG1010" s="645"/>
      <c r="BH1010" s="645"/>
      <c r="BI1010" s="645"/>
      <c r="BJ1010" s="645"/>
      <c r="BK1010" s="645"/>
      <c r="BL1010" s="645"/>
      <c r="BM1010" s="645"/>
      <c r="BN1010" s="645"/>
      <c r="BO1010" s="598" t="s">
        <v>102</v>
      </c>
      <c r="BP1010" s="645"/>
      <c r="BQ1010" s="645"/>
      <c r="BR1010" s="645"/>
      <c r="BS1010" s="645"/>
      <c r="BT1010" s="645"/>
      <c r="BU1010" s="645"/>
      <c r="BV1010" s="645"/>
      <c r="BW1010" s="645"/>
      <c r="BX1010" s="645"/>
      <c r="BY1010" s="645"/>
      <c r="BZ1010" s="646"/>
      <c r="CA1010" s="270"/>
      <c r="CB1010" s="3" t="str">
        <f t="shared" si="124"/>
        <v>Riadok bude skrytý.</v>
      </c>
      <c r="CC1010" s="271" t="s">
        <v>832</v>
      </c>
      <c r="CW1010" s="35">
        <f t="shared" si="134"/>
        <v>1</v>
      </c>
      <c r="CX1010" s="30">
        <f t="shared" si="135"/>
        <v>1</v>
      </c>
      <c r="CZ1010" s="30">
        <f t="shared" si="132"/>
        <v>1</v>
      </c>
      <c r="DA1010" s="52">
        <f t="shared" si="126"/>
        <v>1</v>
      </c>
      <c r="DB1010" s="2">
        <f t="shared" si="133"/>
        <v>0</v>
      </c>
      <c r="DS1010" s="130">
        <f>SI!BY1010</f>
        <v>176</v>
      </c>
      <c r="DZ1010" s="131">
        <f>SI!BZ1010</f>
        <v>0</v>
      </c>
    </row>
    <row r="1011" spans="1:132" hidden="1" x14ac:dyDescent="0.25">
      <c r="A1011" s="141"/>
      <c r="B1011" s="1258"/>
      <c r="C1011" s="1259"/>
      <c r="D1011" s="1259"/>
      <c r="E1011" s="1259"/>
      <c r="F1011" s="1259"/>
      <c r="G1011" s="1259"/>
      <c r="H1011" s="1259"/>
      <c r="I1011" s="1259"/>
      <c r="J1011" s="1259"/>
      <c r="K1011" s="1259"/>
      <c r="L1011" s="1259"/>
      <c r="M1011" s="1259"/>
      <c r="N1011" s="1259"/>
      <c r="O1011" s="1259"/>
      <c r="P1011" s="1259"/>
      <c r="Q1011" s="1259"/>
      <c r="R1011" s="1259"/>
      <c r="S1011" s="1259"/>
      <c r="T1011" s="1259"/>
      <c r="U1011" s="1259"/>
      <c r="V1011" s="1259"/>
      <c r="W1011" s="1259"/>
      <c r="X1011" s="1259"/>
      <c r="Y1011" s="1259"/>
      <c r="Z1011" s="1259"/>
      <c r="AA1011" s="1259"/>
      <c r="AB1011" s="1259"/>
      <c r="AC1011" s="1259"/>
      <c r="AD1011" s="1259"/>
      <c r="AE1011" s="1259"/>
      <c r="AF1011" s="1259"/>
      <c r="AG1011" s="1259"/>
      <c r="AH1011" s="1259"/>
      <c r="AI1011" s="1259"/>
      <c r="AJ1011" s="1259"/>
      <c r="AK1011" s="1259"/>
      <c r="AL1011" s="1260"/>
      <c r="AM1011" s="417"/>
      <c r="AN1011" s="418"/>
      <c r="AO1011" s="418"/>
      <c r="AP1011" s="418"/>
      <c r="AQ1011" s="418"/>
      <c r="AR1011" s="418"/>
      <c r="AS1011" s="418"/>
      <c r="AT1011" s="418"/>
      <c r="AU1011" s="418"/>
      <c r="AV1011" s="418"/>
      <c r="AW1011" s="418"/>
      <c r="AX1011" s="418"/>
      <c r="AY1011" s="418"/>
      <c r="AZ1011" s="419"/>
      <c r="BA1011" s="417"/>
      <c r="BB1011" s="418"/>
      <c r="BC1011" s="418"/>
      <c r="BD1011" s="418"/>
      <c r="BE1011" s="418"/>
      <c r="BF1011" s="418"/>
      <c r="BG1011" s="418"/>
      <c r="BH1011" s="418"/>
      <c r="BI1011" s="418"/>
      <c r="BJ1011" s="418"/>
      <c r="BK1011" s="418"/>
      <c r="BL1011" s="418"/>
      <c r="BM1011" s="418"/>
      <c r="BN1011" s="418"/>
      <c r="BO1011" s="1222">
        <f t="shared" ref="BO1011:BO1020" si="136">+AM1011-BA1011</f>
        <v>0</v>
      </c>
      <c r="BP1011" s="1223"/>
      <c r="BQ1011" s="1223"/>
      <c r="BR1011" s="1223"/>
      <c r="BS1011" s="1223"/>
      <c r="BT1011" s="1223"/>
      <c r="BU1011" s="1223"/>
      <c r="BV1011" s="1223"/>
      <c r="BW1011" s="1223"/>
      <c r="BX1011" s="1223"/>
      <c r="BY1011" s="1223"/>
      <c r="BZ1011" s="1224"/>
      <c r="CA1011" s="270"/>
      <c r="CB1011" s="3" t="str">
        <f t="shared" ref="CB1011:CB1074" si="137">+IF(DB1011=0,"Riadok bude skrytý.","Riadok bude vidieť.")</f>
        <v>Riadok bude skrytý.</v>
      </c>
      <c r="CC1011" s="271" t="s">
        <v>832</v>
      </c>
      <c r="CW1011" s="35">
        <f t="shared" si="134"/>
        <v>1</v>
      </c>
      <c r="CX1011" s="30">
        <f t="shared" si="135"/>
        <v>1</v>
      </c>
      <c r="CZ1011" s="30">
        <f>IF(CC1011="",1,IF(CC1011="Chcem skryť riadok.",0,1))</f>
        <v>1</v>
      </c>
      <c r="DA1011" s="52">
        <f>+IF(CW1011*CX1011=0,0,IF(CZ1011=0,0,1))</f>
        <v>1</v>
      </c>
      <c r="DB1011" s="2">
        <f t="shared" si="133"/>
        <v>0</v>
      </c>
      <c r="DS1011" s="130">
        <f>SI!BY1011</f>
        <v>8</v>
      </c>
      <c r="DZ1011" s="131">
        <f>SI!BZ1011</f>
        <v>0</v>
      </c>
    </row>
    <row r="1012" spans="1:132" hidden="1" x14ac:dyDescent="0.25">
      <c r="A1012" s="141"/>
      <c r="B1012" s="907"/>
      <c r="C1012" s="908"/>
      <c r="D1012" s="908"/>
      <c r="E1012" s="908"/>
      <c r="F1012" s="908"/>
      <c r="G1012" s="908"/>
      <c r="H1012" s="908"/>
      <c r="I1012" s="908"/>
      <c r="J1012" s="908"/>
      <c r="K1012" s="908"/>
      <c r="L1012" s="908"/>
      <c r="M1012" s="908"/>
      <c r="N1012" s="908"/>
      <c r="O1012" s="908"/>
      <c r="P1012" s="908"/>
      <c r="Q1012" s="908"/>
      <c r="R1012" s="908"/>
      <c r="S1012" s="908"/>
      <c r="T1012" s="908"/>
      <c r="U1012" s="908"/>
      <c r="V1012" s="908"/>
      <c r="W1012" s="908"/>
      <c r="X1012" s="908"/>
      <c r="Y1012" s="908"/>
      <c r="Z1012" s="908"/>
      <c r="AA1012" s="908"/>
      <c r="AB1012" s="908"/>
      <c r="AC1012" s="908"/>
      <c r="AD1012" s="908"/>
      <c r="AE1012" s="908"/>
      <c r="AF1012" s="908"/>
      <c r="AG1012" s="908"/>
      <c r="AH1012" s="908"/>
      <c r="AI1012" s="908"/>
      <c r="AJ1012" s="908"/>
      <c r="AK1012" s="908"/>
      <c r="AL1012" s="909"/>
      <c r="AM1012" s="511"/>
      <c r="AN1012" s="482"/>
      <c r="AO1012" s="482"/>
      <c r="AP1012" s="482"/>
      <c r="AQ1012" s="482"/>
      <c r="AR1012" s="482"/>
      <c r="AS1012" s="482"/>
      <c r="AT1012" s="482"/>
      <c r="AU1012" s="482"/>
      <c r="AV1012" s="482"/>
      <c r="AW1012" s="482"/>
      <c r="AX1012" s="482"/>
      <c r="AY1012" s="482"/>
      <c r="AZ1012" s="483"/>
      <c r="BA1012" s="511"/>
      <c r="BB1012" s="482"/>
      <c r="BC1012" s="482"/>
      <c r="BD1012" s="482"/>
      <c r="BE1012" s="482"/>
      <c r="BF1012" s="482"/>
      <c r="BG1012" s="482"/>
      <c r="BH1012" s="482"/>
      <c r="BI1012" s="482"/>
      <c r="BJ1012" s="482"/>
      <c r="BK1012" s="482"/>
      <c r="BL1012" s="482"/>
      <c r="BM1012" s="482"/>
      <c r="BN1012" s="482"/>
      <c r="BO1012" s="398">
        <f t="shared" si="136"/>
        <v>0</v>
      </c>
      <c r="BP1012" s="1446"/>
      <c r="BQ1012" s="1446"/>
      <c r="BR1012" s="1446"/>
      <c r="BS1012" s="1446"/>
      <c r="BT1012" s="1446"/>
      <c r="BU1012" s="1446"/>
      <c r="BV1012" s="1446"/>
      <c r="BW1012" s="1446"/>
      <c r="BX1012" s="1446"/>
      <c r="BY1012" s="1446"/>
      <c r="BZ1012" s="1447"/>
      <c r="CA1012" s="270"/>
      <c r="CB1012" s="3" t="str">
        <f t="shared" si="137"/>
        <v>Riadok bude skrytý.</v>
      </c>
      <c r="CC1012" s="271" t="s">
        <v>832</v>
      </c>
      <c r="CW1012" s="35">
        <f t="shared" si="134"/>
        <v>1</v>
      </c>
      <c r="CX1012" s="30">
        <f t="shared" si="135"/>
        <v>1</v>
      </c>
      <c r="CY1012" s="30">
        <f t="shared" ref="CY1012:CY1019" si="138">+IF(B1012="",0,1)</f>
        <v>0</v>
      </c>
      <c r="CZ1012" s="30">
        <f t="shared" si="132"/>
        <v>1</v>
      </c>
      <c r="DA1012" s="53">
        <f t="shared" ref="DA1012:DA1018" si="139">+IF(CW1012*CX1012*CY1012=0,0,IF(CZ1012=0,0,1))</f>
        <v>0</v>
      </c>
      <c r="DB1012" s="2">
        <f t="shared" si="133"/>
        <v>0</v>
      </c>
      <c r="DS1012" s="130">
        <f>SI!BY1012</f>
        <v>118</v>
      </c>
      <c r="DZ1012" s="131">
        <f>SI!BZ1012</f>
        <v>0</v>
      </c>
    </row>
    <row r="1013" spans="1:132" hidden="1" x14ac:dyDescent="0.25">
      <c r="A1013" s="141"/>
      <c r="B1013" s="907"/>
      <c r="C1013" s="908"/>
      <c r="D1013" s="908"/>
      <c r="E1013" s="908"/>
      <c r="F1013" s="908"/>
      <c r="G1013" s="908"/>
      <c r="H1013" s="908"/>
      <c r="I1013" s="908"/>
      <c r="J1013" s="908"/>
      <c r="K1013" s="908"/>
      <c r="L1013" s="908"/>
      <c r="M1013" s="908"/>
      <c r="N1013" s="908"/>
      <c r="O1013" s="908"/>
      <c r="P1013" s="908"/>
      <c r="Q1013" s="908"/>
      <c r="R1013" s="908"/>
      <c r="S1013" s="908"/>
      <c r="T1013" s="908"/>
      <c r="U1013" s="908"/>
      <c r="V1013" s="908"/>
      <c r="W1013" s="908"/>
      <c r="X1013" s="908"/>
      <c r="Y1013" s="908"/>
      <c r="Z1013" s="908"/>
      <c r="AA1013" s="908"/>
      <c r="AB1013" s="908"/>
      <c r="AC1013" s="908"/>
      <c r="AD1013" s="908"/>
      <c r="AE1013" s="908"/>
      <c r="AF1013" s="908"/>
      <c r="AG1013" s="908"/>
      <c r="AH1013" s="908"/>
      <c r="AI1013" s="908"/>
      <c r="AJ1013" s="908"/>
      <c r="AK1013" s="908"/>
      <c r="AL1013" s="909"/>
      <c r="AM1013" s="511"/>
      <c r="AN1013" s="482"/>
      <c r="AO1013" s="482"/>
      <c r="AP1013" s="482"/>
      <c r="AQ1013" s="482"/>
      <c r="AR1013" s="482"/>
      <c r="AS1013" s="482"/>
      <c r="AT1013" s="482"/>
      <c r="AU1013" s="482"/>
      <c r="AV1013" s="482"/>
      <c r="AW1013" s="482"/>
      <c r="AX1013" s="482"/>
      <c r="AY1013" s="482"/>
      <c r="AZ1013" s="483"/>
      <c r="BA1013" s="511"/>
      <c r="BB1013" s="482"/>
      <c r="BC1013" s="482"/>
      <c r="BD1013" s="482"/>
      <c r="BE1013" s="482"/>
      <c r="BF1013" s="482"/>
      <c r="BG1013" s="482"/>
      <c r="BH1013" s="482"/>
      <c r="BI1013" s="482"/>
      <c r="BJ1013" s="482"/>
      <c r="BK1013" s="482"/>
      <c r="BL1013" s="482"/>
      <c r="BM1013" s="482"/>
      <c r="BN1013" s="482"/>
      <c r="BO1013" s="398">
        <f t="shared" si="136"/>
        <v>0</v>
      </c>
      <c r="BP1013" s="1446"/>
      <c r="BQ1013" s="1446"/>
      <c r="BR1013" s="1446"/>
      <c r="BS1013" s="1446"/>
      <c r="BT1013" s="1446"/>
      <c r="BU1013" s="1446"/>
      <c r="BV1013" s="1446"/>
      <c r="BW1013" s="1446"/>
      <c r="BX1013" s="1446"/>
      <c r="BY1013" s="1446"/>
      <c r="BZ1013" s="1447"/>
      <c r="CA1013" s="270"/>
      <c r="CB1013" s="3" t="str">
        <f t="shared" si="137"/>
        <v>Riadok bude skrytý.</v>
      </c>
      <c r="CC1013" s="271" t="s">
        <v>832</v>
      </c>
      <c r="CW1013" s="35">
        <f t="shared" si="134"/>
        <v>1</v>
      </c>
      <c r="CX1013" s="30">
        <f t="shared" si="135"/>
        <v>1</v>
      </c>
      <c r="CY1013" s="30">
        <f t="shared" si="138"/>
        <v>0</v>
      </c>
      <c r="CZ1013" s="30">
        <f t="shared" si="132"/>
        <v>1</v>
      </c>
      <c r="DA1013" s="53">
        <f t="shared" si="139"/>
        <v>0</v>
      </c>
      <c r="DB1013" s="2">
        <f t="shared" si="133"/>
        <v>0</v>
      </c>
      <c r="DS1013" s="130">
        <f>SI!BY1013</f>
        <v>1044</v>
      </c>
      <c r="DZ1013" s="131">
        <f>SI!BZ1013</f>
        <v>0</v>
      </c>
    </row>
    <row r="1014" spans="1:132" hidden="1" x14ac:dyDescent="0.25">
      <c r="A1014" s="141"/>
      <c r="B1014" s="907"/>
      <c r="C1014" s="908"/>
      <c r="D1014" s="908"/>
      <c r="E1014" s="908"/>
      <c r="F1014" s="908"/>
      <c r="G1014" s="908"/>
      <c r="H1014" s="908"/>
      <c r="I1014" s="908"/>
      <c r="J1014" s="908"/>
      <c r="K1014" s="908"/>
      <c r="L1014" s="908"/>
      <c r="M1014" s="908"/>
      <c r="N1014" s="908"/>
      <c r="O1014" s="908"/>
      <c r="P1014" s="908"/>
      <c r="Q1014" s="908"/>
      <c r="R1014" s="908"/>
      <c r="S1014" s="908"/>
      <c r="T1014" s="908"/>
      <c r="U1014" s="908"/>
      <c r="V1014" s="908"/>
      <c r="W1014" s="908"/>
      <c r="X1014" s="908"/>
      <c r="Y1014" s="908"/>
      <c r="Z1014" s="908"/>
      <c r="AA1014" s="908"/>
      <c r="AB1014" s="908"/>
      <c r="AC1014" s="908"/>
      <c r="AD1014" s="908"/>
      <c r="AE1014" s="908"/>
      <c r="AF1014" s="908"/>
      <c r="AG1014" s="908"/>
      <c r="AH1014" s="908"/>
      <c r="AI1014" s="908"/>
      <c r="AJ1014" s="908"/>
      <c r="AK1014" s="908"/>
      <c r="AL1014" s="909"/>
      <c r="AM1014" s="511"/>
      <c r="AN1014" s="482"/>
      <c r="AO1014" s="482"/>
      <c r="AP1014" s="482"/>
      <c r="AQ1014" s="482"/>
      <c r="AR1014" s="482"/>
      <c r="AS1014" s="482"/>
      <c r="AT1014" s="482"/>
      <c r="AU1014" s="482"/>
      <c r="AV1014" s="482"/>
      <c r="AW1014" s="482"/>
      <c r="AX1014" s="482"/>
      <c r="AY1014" s="482"/>
      <c r="AZ1014" s="483"/>
      <c r="BA1014" s="511"/>
      <c r="BB1014" s="482"/>
      <c r="BC1014" s="482"/>
      <c r="BD1014" s="482"/>
      <c r="BE1014" s="482"/>
      <c r="BF1014" s="482"/>
      <c r="BG1014" s="482"/>
      <c r="BH1014" s="482"/>
      <c r="BI1014" s="482"/>
      <c r="BJ1014" s="482"/>
      <c r="BK1014" s="482"/>
      <c r="BL1014" s="482"/>
      <c r="BM1014" s="482"/>
      <c r="BN1014" s="482"/>
      <c r="BO1014" s="398">
        <f t="shared" si="136"/>
        <v>0</v>
      </c>
      <c r="BP1014" s="1446"/>
      <c r="BQ1014" s="1446"/>
      <c r="BR1014" s="1446"/>
      <c r="BS1014" s="1446"/>
      <c r="BT1014" s="1446"/>
      <c r="BU1014" s="1446"/>
      <c r="BV1014" s="1446"/>
      <c r="BW1014" s="1446"/>
      <c r="BX1014" s="1446"/>
      <c r="BY1014" s="1446"/>
      <c r="BZ1014" s="1447"/>
      <c r="CA1014" s="270"/>
      <c r="CB1014" s="3" t="str">
        <f t="shared" si="137"/>
        <v>Riadok bude skrytý.</v>
      </c>
      <c r="CC1014" s="271" t="s">
        <v>832</v>
      </c>
      <c r="CW1014" s="35">
        <f t="shared" si="134"/>
        <v>1</v>
      </c>
      <c r="CX1014" s="30">
        <f t="shared" si="135"/>
        <v>1</v>
      </c>
      <c r="CY1014" s="30">
        <f t="shared" si="138"/>
        <v>0</v>
      </c>
      <c r="CZ1014" s="30">
        <f t="shared" si="132"/>
        <v>1</v>
      </c>
      <c r="DA1014" s="53">
        <f t="shared" si="139"/>
        <v>0</v>
      </c>
      <c r="DB1014" s="2">
        <f t="shared" si="133"/>
        <v>0</v>
      </c>
      <c r="DS1014" s="130">
        <f>SI!BY1014</f>
        <v>111</v>
      </c>
      <c r="DZ1014" s="131">
        <f>SI!BZ1014</f>
        <v>0</v>
      </c>
    </row>
    <row r="1015" spans="1:132" hidden="1" x14ac:dyDescent="0.25">
      <c r="A1015" s="141"/>
      <c r="B1015" s="907"/>
      <c r="C1015" s="908"/>
      <c r="D1015" s="908"/>
      <c r="E1015" s="908"/>
      <c r="F1015" s="908"/>
      <c r="G1015" s="908"/>
      <c r="H1015" s="908"/>
      <c r="I1015" s="908"/>
      <c r="J1015" s="908"/>
      <c r="K1015" s="908"/>
      <c r="L1015" s="908"/>
      <c r="M1015" s="908"/>
      <c r="N1015" s="908"/>
      <c r="O1015" s="908"/>
      <c r="P1015" s="908"/>
      <c r="Q1015" s="908"/>
      <c r="R1015" s="908"/>
      <c r="S1015" s="908"/>
      <c r="T1015" s="908"/>
      <c r="U1015" s="908"/>
      <c r="V1015" s="908"/>
      <c r="W1015" s="908"/>
      <c r="X1015" s="908"/>
      <c r="Y1015" s="908"/>
      <c r="Z1015" s="908"/>
      <c r="AA1015" s="908"/>
      <c r="AB1015" s="908"/>
      <c r="AC1015" s="908"/>
      <c r="AD1015" s="908"/>
      <c r="AE1015" s="908"/>
      <c r="AF1015" s="908"/>
      <c r="AG1015" s="908"/>
      <c r="AH1015" s="908"/>
      <c r="AI1015" s="908"/>
      <c r="AJ1015" s="908"/>
      <c r="AK1015" s="908"/>
      <c r="AL1015" s="909"/>
      <c r="AM1015" s="511"/>
      <c r="AN1015" s="482"/>
      <c r="AO1015" s="482"/>
      <c r="AP1015" s="482"/>
      <c r="AQ1015" s="482"/>
      <c r="AR1015" s="482"/>
      <c r="AS1015" s="482"/>
      <c r="AT1015" s="482"/>
      <c r="AU1015" s="482"/>
      <c r="AV1015" s="482"/>
      <c r="AW1015" s="482"/>
      <c r="AX1015" s="482"/>
      <c r="AY1015" s="482"/>
      <c r="AZ1015" s="483"/>
      <c r="BA1015" s="511"/>
      <c r="BB1015" s="482"/>
      <c r="BC1015" s="482"/>
      <c r="BD1015" s="482"/>
      <c r="BE1015" s="482"/>
      <c r="BF1015" s="482"/>
      <c r="BG1015" s="482"/>
      <c r="BH1015" s="482"/>
      <c r="BI1015" s="482"/>
      <c r="BJ1015" s="482"/>
      <c r="BK1015" s="482"/>
      <c r="BL1015" s="482"/>
      <c r="BM1015" s="482"/>
      <c r="BN1015" s="482"/>
      <c r="BO1015" s="398">
        <f t="shared" si="136"/>
        <v>0</v>
      </c>
      <c r="BP1015" s="1446"/>
      <c r="BQ1015" s="1446"/>
      <c r="BR1015" s="1446"/>
      <c r="BS1015" s="1446"/>
      <c r="BT1015" s="1446"/>
      <c r="BU1015" s="1446"/>
      <c r="BV1015" s="1446"/>
      <c r="BW1015" s="1446"/>
      <c r="BX1015" s="1446"/>
      <c r="BY1015" s="1446"/>
      <c r="BZ1015" s="1447"/>
      <c r="CA1015" s="270"/>
      <c r="CB1015" s="3" t="str">
        <f t="shared" si="137"/>
        <v>Riadok bude skrytý.</v>
      </c>
      <c r="CC1015" s="271" t="s">
        <v>832</v>
      </c>
      <c r="CW1015" s="35">
        <f t="shared" si="134"/>
        <v>1</v>
      </c>
      <c r="CX1015" s="30">
        <f t="shared" si="135"/>
        <v>1</v>
      </c>
      <c r="CY1015" s="30">
        <f t="shared" si="138"/>
        <v>0</v>
      </c>
      <c r="CZ1015" s="30">
        <f t="shared" si="132"/>
        <v>1</v>
      </c>
      <c r="DA1015" s="53">
        <f t="shared" si="139"/>
        <v>0</v>
      </c>
      <c r="DB1015" s="2">
        <f t="shared" si="133"/>
        <v>0</v>
      </c>
      <c r="DS1015" s="130">
        <f>SI!BY1015</f>
        <v>299</v>
      </c>
      <c r="DZ1015" s="131">
        <f>SI!BZ1015</f>
        <v>0</v>
      </c>
    </row>
    <row r="1016" spans="1:132" hidden="1" x14ac:dyDescent="0.25">
      <c r="A1016" s="141"/>
      <c r="B1016" s="907"/>
      <c r="C1016" s="908"/>
      <c r="D1016" s="908"/>
      <c r="E1016" s="908"/>
      <c r="F1016" s="908"/>
      <c r="G1016" s="908"/>
      <c r="H1016" s="908"/>
      <c r="I1016" s="908"/>
      <c r="J1016" s="908"/>
      <c r="K1016" s="908"/>
      <c r="L1016" s="908"/>
      <c r="M1016" s="908"/>
      <c r="N1016" s="908"/>
      <c r="O1016" s="908"/>
      <c r="P1016" s="908"/>
      <c r="Q1016" s="908"/>
      <c r="R1016" s="908"/>
      <c r="S1016" s="908"/>
      <c r="T1016" s="908"/>
      <c r="U1016" s="908"/>
      <c r="V1016" s="908"/>
      <c r="W1016" s="908"/>
      <c r="X1016" s="908"/>
      <c r="Y1016" s="908"/>
      <c r="Z1016" s="908"/>
      <c r="AA1016" s="908"/>
      <c r="AB1016" s="908"/>
      <c r="AC1016" s="908"/>
      <c r="AD1016" s="908"/>
      <c r="AE1016" s="908"/>
      <c r="AF1016" s="908"/>
      <c r="AG1016" s="908"/>
      <c r="AH1016" s="908"/>
      <c r="AI1016" s="908"/>
      <c r="AJ1016" s="908"/>
      <c r="AK1016" s="908"/>
      <c r="AL1016" s="909"/>
      <c r="AM1016" s="511"/>
      <c r="AN1016" s="482"/>
      <c r="AO1016" s="482"/>
      <c r="AP1016" s="482"/>
      <c r="AQ1016" s="482"/>
      <c r="AR1016" s="482"/>
      <c r="AS1016" s="482"/>
      <c r="AT1016" s="482"/>
      <c r="AU1016" s="482"/>
      <c r="AV1016" s="482"/>
      <c r="AW1016" s="482"/>
      <c r="AX1016" s="482"/>
      <c r="AY1016" s="482"/>
      <c r="AZ1016" s="483"/>
      <c r="BA1016" s="511"/>
      <c r="BB1016" s="482"/>
      <c r="BC1016" s="482"/>
      <c r="BD1016" s="482"/>
      <c r="BE1016" s="482"/>
      <c r="BF1016" s="482"/>
      <c r="BG1016" s="482"/>
      <c r="BH1016" s="482"/>
      <c r="BI1016" s="482"/>
      <c r="BJ1016" s="482"/>
      <c r="BK1016" s="482"/>
      <c r="BL1016" s="482"/>
      <c r="BM1016" s="482"/>
      <c r="BN1016" s="482"/>
      <c r="BO1016" s="398">
        <f t="shared" si="136"/>
        <v>0</v>
      </c>
      <c r="BP1016" s="1446"/>
      <c r="BQ1016" s="1446"/>
      <c r="BR1016" s="1446"/>
      <c r="BS1016" s="1446"/>
      <c r="BT1016" s="1446"/>
      <c r="BU1016" s="1446"/>
      <c r="BV1016" s="1446"/>
      <c r="BW1016" s="1446"/>
      <c r="BX1016" s="1446"/>
      <c r="BY1016" s="1446"/>
      <c r="BZ1016" s="1447"/>
      <c r="CA1016" s="270"/>
      <c r="CB1016" s="3" t="str">
        <f t="shared" si="137"/>
        <v>Riadok bude skrytý.</v>
      </c>
      <c r="CC1016" s="271" t="s">
        <v>832</v>
      </c>
      <c r="CW1016" s="35">
        <f t="shared" si="134"/>
        <v>1</v>
      </c>
      <c r="CX1016" s="30">
        <f t="shared" si="135"/>
        <v>1</v>
      </c>
      <c r="CY1016" s="30">
        <f t="shared" si="138"/>
        <v>0</v>
      </c>
      <c r="CZ1016" s="30">
        <f t="shared" si="132"/>
        <v>1</v>
      </c>
      <c r="DA1016" s="53">
        <f t="shared" si="139"/>
        <v>0</v>
      </c>
      <c r="DB1016" s="2">
        <f t="shared" si="133"/>
        <v>0</v>
      </c>
      <c r="DS1016" s="130">
        <f>SI!BY1016</f>
        <v>220</v>
      </c>
      <c r="DZ1016" s="131">
        <f>SI!BZ1016</f>
        <v>0</v>
      </c>
    </row>
    <row r="1017" spans="1:132" hidden="1" x14ac:dyDescent="0.25">
      <c r="A1017" s="141"/>
      <c r="B1017" s="907"/>
      <c r="C1017" s="908"/>
      <c r="D1017" s="908"/>
      <c r="E1017" s="908"/>
      <c r="F1017" s="908"/>
      <c r="G1017" s="908"/>
      <c r="H1017" s="908"/>
      <c r="I1017" s="908"/>
      <c r="J1017" s="908"/>
      <c r="K1017" s="908"/>
      <c r="L1017" s="908"/>
      <c r="M1017" s="908"/>
      <c r="N1017" s="908"/>
      <c r="O1017" s="908"/>
      <c r="P1017" s="908"/>
      <c r="Q1017" s="908"/>
      <c r="R1017" s="908"/>
      <c r="S1017" s="908"/>
      <c r="T1017" s="908"/>
      <c r="U1017" s="908"/>
      <c r="V1017" s="908"/>
      <c r="W1017" s="908"/>
      <c r="X1017" s="908"/>
      <c r="Y1017" s="908"/>
      <c r="Z1017" s="908"/>
      <c r="AA1017" s="908"/>
      <c r="AB1017" s="908"/>
      <c r="AC1017" s="908"/>
      <c r="AD1017" s="908"/>
      <c r="AE1017" s="908"/>
      <c r="AF1017" s="908"/>
      <c r="AG1017" s="908"/>
      <c r="AH1017" s="908"/>
      <c r="AI1017" s="908"/>
      <c r="AJ1017" s="908"/>
      <c r="AK1017" s="908"/>
      <c r="AL1017" s="909"/>
      <c r="AM1017" s="511"/>
      <c r="AN1017" s="482"/>
      <c r="AO1017" s="482"/>
      <c r="AP1017" s="482"/>
      <c r="AQ1017" s="482"/>
      <c r="AR1017" s="482"/>
      <c r="AS1017" s="482"/>
      <c r="AT1017" s="482"/>
      <c r="AU1017" s="482"/>
      <c r="AV1017" s="482"/>
      <c r="AW1017" s="482"/>
      <c r="AX1017" s="482"/>
      <c r="AY1017" s="482"/>
      <c r="AZ1017" s="483"/>
      <c r="BA1017" s="511"/>
      <c r="BB1017" s="482"/>
      <c r="BC1017" s="482"/>
      <c r="BD1017" s="482"/>
      <c r="BE1017" s="482"/>
      <c r="BF1017" s="482"/>
      <c r="BG1017" s="482"/>
      <c r="BH1017" s="482"/>
      <c r="BI1017" s="482"/>
      <c r="BJ1017" s="482"/>
      <c r="BK1017" s="482"/>
      <c r="BL1017" s="482"/>
      <c r="BM1017" s="482"/>
      <c r="BN1017" s="482"/>
      <c r="BO1017" s="398">
        <f t="shared" si="136"/>
        <v>0</v>
      </c>
      <c r="BP1017" s="1446"/>
      <c r="BQ1017" s="1446"/>
      <c r="BR1017" s="1446"/>
      <c r="BS1017" s="1446"/>
      <c r="BT1017" s="1446"/>
      <c r="BU1017" s="1446"/>
      <c r="BV1017" s="1446"/>
      <c r="BW1017" s="1446"/>
      <c r="BX1017" s="1446"/>
      <c r="BY1017" s="1446"/>
      <c r="BZ1017" s="1447"/>
      <c r="CA1017" s="270"/>
      <c r="CB1017" s="3" t="str">
        <f t="shared" si="137"/>
        <v>Riadok bude skrytý.</v>
      </c>
      <c r="CC1017" s="271" t="s">
        <v>832</v>
      </c>
      <c r="CW1017" s="35">
        <f t="shared" si="134"/>
        <v>1</v>
      </c>
      <c r="CX1017" s="30">
        <f t="shared" si="135"/>
        <v>1</v>
      </c>
      <c r="CY1017" s="30">
        <f t="shared" si="138"/>
        <v>0</v>
      </c>
      <c r="CZ1017" s="30">
        <f t="shared" si="132"/>
        <v>1</v>
      </c>
      <c r="DA1017" s="53">
        <f t="shared" si="139"/>
        <v>0</v>
      </c>
      <c r="DB1017" s="2">
        <f t="shared" si="133"/>
        <v>0</v>
      </c>
      <c r="DS1017" s="130">
        <f>SI!BY1017</f>
        <v>126</v>
      </c>
      <c r="DZ1017" s="131">
        <f>SI!BZ1017</f>
        <v>0</v>
      </c>
    </row>
    <row r="1018" spans="1:132" hidden="1" x14ac:dyDescent="0.25">
      <c r="A1018" s="141"/>
      <c r="B1018" s="907"/>
      <c r="C1018" s="908"/>
      <c r="D1018" s="908"/>
      <c r="E1018" s="908"/>
      <c r="F1018" s="908"/>
      <c r="G1018" s="908"/>
      <c r="H1018" s="908"/>
      <c r="I1018" s="908"/>
      <c r="J1018" s="908"/>
      <c r="K1018" s="908"/>
      <c r="L1018" s="908"/>
      <c r="M1018" s="908"/>
      <c r="N1018" s="908"/>
      <c r="O1018" s="908"/>
      <c r="P1018" s="908"/>
      <c r="Q1018" s="908"/>
      <c r="R1018" s="908"/>
      <c r="S1018" s="908"/>
      <c r="T1018" s="908"/>
      <c r="U1018" s="908"/>
      <c r="V1018" s="908"/>
      <c r="W1018" s="908"/>
      <c r="X1018" s="908"/>
      <c r="Y1018" s="908"/>
      <c r="Z1018" s="908"/>
      <c r="AA1018" s="908"/>
      <c r="AB1018" s="908"/>
      <c r="AC1018" s="908"/>
      <c r="AD1018" s="908"/>
      <c r="AE1018" s="908"/>
      <c r="AF1018" s="908"/>
      <c r="AG1018" s="908"/>
      <c r="AH1018" s="908"/>
      <c r="AI1018" s="908"/>
      <c r="AJ1018" s="908"/>
      <c r="AK1018" s="908"/>
      <c r="AL1018" s="909"/>
      <c r="AM1018" s="511"/>
      <c r="AN1018" s="482"/>
      <c r="AO1018" s="482"/>
      <c r="AP1018" s="482"/>
      <c r="AQ1018" s="482"/>
      <c r="AR1018" s="482"/>
      <c r="AS1018" s="482"/>
      <c r="AT1018" s="482"/>
      <c r="AU1018" s="482"/>
      <c r="AV1018" s="482"/>
      <c r="AW1018" s="482"/>
      <c r="AX1018" s="482"/>
      <c r="AY1018" s="482"/>
      <c r="AZ1018" s="483"/>
      <c r="BA1018" s="511"/>
      <c r="BB1018" s="482"/>
      <c r="BC1018" s="482"/>
      <c r="BD1018" s="482"/>
      <c r="BE1018" s="482"/>
      <c r="BF1018" s="482"/>
      <c r="BG1018" s="482"/>
      <c r="BH1018" s="482"/>
      <c r="BI1018" s="482"/>
      <c r="BJ1018" s="482"/>
      <c r="BK1018" s="482"/>
      <c r="BL1018" s="482"/>
      <c r="BM1018" s="482"/>
      <c r="BN1018" s="482"/>
      <c r="BO1018" s="398">
        <f t="shared" si="136"/>
        <v>0</v>
      </c>
      <c r="BP1018" s="1446"/>
      <c r="BQ1018" s="1446"/>
      <c r="BR1018" s="1446"/>
      <c r="BS1018" s="1446"/>
      <c r="BT1018" s="1446"/>
      <c r="BU1018" s="1446"/>
      <c r="BV1018" s="1446"/>
      <c r="BW1018" s="1446"/>
      <c r="BX1018" s="1446"/>
      <c r="BY1018" s="1446"/>
      <c r="BZ1018" s="1447"/>
      <c r="CA1018" s="270"/>
      <c r="CB1018" s="3" t="str">
        <f t="shared" si="137"/>
        <v>Riadok bude skrytý.</v>
      </c>
      <c r="CC1018" s="271" t="s">
        <v>832</v>
      </c>
      <c r="CW1018" s="35">
        <f t="shared" si="134"/>
        <v>1</v>
      </c>
      <c r="CX1018" s="30">
        <f t="shared" si="135"/>
        <v>1</v>
      </c>
      <c r="CY1018" s="30">
        <f t="shared" si="138"/>
        <v>0</v>
      </c>
      <c r="CZ1018" s="30">
        <f t="shared" si="132"/>
        <v>1</v>
      </c>
      <c r="DA1018" s="53">
        <f t="shared" si="139"/>
        <v>0</v>
      </c>
      <c r="DB1018" s="2">
        <f t="shared" si="133"/>
        <v>0</v>
      </c>
      <c r="DS1018" s="130">
        <f>SI!BY1018</f>
        <v>663</v>
      </c>
      <c r="DZ1018" s="131">
        <f>SI!BZ1018</f>
        <v>0</v>
      </c>
    </row>
    <row r="1019" spans="1:132" hidden="1" x14ac:dyDescent="0.25">
      <c r="A1019" s="141"/>
      <c r="B1019" s="907"/>
      <c r="C1019" s="908"/>
      <c r="D1019" s="908"/>
      <c r="E1019" s="908"/>
      <c r="F1019" s="908"/>
      <c r="G1019" s="908"/>
      <c r="H1019" s="908"/>
      <c r="I1019" s="908"/>
      <c r="J1019" s="908"/>
      <c r="K1019" s="908"/>
      <c r="L1019" s="908"/>
      <c r="M1019" s="908"/>
      <c r="N1019" s="908"/>
      <c r="O1019" s="908"/>
      <c r="P1019" s="908"/>
      <c r="Q1019" s="908"/>
      <c r="R1019" s="908"/>
      <c r="S1019" s="908"/>
      <c r="T1019" s="908"/>
      <c r="U1019" s="908"/>
      <c r="V1019" s="908"/>
      <c r="W1019" s="908"/>
      <c r="X1019" s="908"/>
      <c r="Y1019" s="908"/>
      <c r="Z1019" s="908"/>
      <c r="AA1019" s="908"/>
      <c r="AB1019" s="908"/>
      <c r="AC1019" s="908"/>
      <c r="AD1019" s="908"/>
      <c r="AE1019" s="908"/>
      <c r="AF1019" s="908"/>
      <c r="AG1019" s="908"/>
      <c r="AH1019" s="908"/>
      <c r="AI1019" s="908"/>
      <c r="AJ1019" s="908"/>
      <c r="AK1019" s="908"/>
      <c r="AL1019" s="909"/>
      <c r="AM1019" s="511"/>
      <c r="AN1019" s="482"/>
      <c r="AO1019" s="482"/>
      <c r="AP1019" s="482"/>
      <c r="AQ1019" s="482"/>
      <c r="AR1019" s="482"/>
      <c r="AS1019" s="482"/>
      <c r="AT1019" s="482"/>
      <c r="AU1019" s="482"/>
      <c r="AV1019" s="482"/>
      <c r="AW1019" s="482"/>
      <c r="AX1019" s="482"/>
      <c r="AY1019" s="482"/>
      <c r="AZ1019" s="483"/>
      <c r="BA1019" s="511"/>
      <c r="BB1019" s="482"/>
      <c r="BC1019" s="482"/>
      <c r="BD1019" s="482"/>
      <c r="BE1019" s="482"/>
      <c r="BF1019" s="482"/>
      <c r="BG1019" s="482"/>
      <c r="BH1019" s="482"/>
      <c r="BI1019" s="482"/>
      <c r="BJ1019" s="482"/>
      <c r="BK1019" s="482"/>
      <c r="BL1019" s="482"/>
      <c r="BM1019" s="482"/>
      <c r="BN1019" s="482"/>
      <c r="BO1019" s="398">
        <f t="shared" si="136"/>
        <v>0</v>
      </c>
      <c r="BP1019" s="1446"/>
      <c r="BQ1019" s="1446"/>
      <c r="BR1019" s="1446"/>
      <c r="BS1019" s="1446"/>
      <c r="BT1019" s="1446"/>
      <c r="BU1019" s="1446"/>
      <c r="BV1019" s="1446"/>
      <c r="BW1019" s="1446"/>
      <c r="BX1019" s="1446"/>
      <c r="BY1019" s="1446"/>
      <c r="BZ1019" s="1447"/>
      <c r="CA1019" s="270"/>
      <c r="CB1019" s="3" t="str">
        <f t="shared" si="137"/>
        <v>Riadok bude skrytý.</v>
      </c>
      <c r="CC1019" s="271" t="s">
        <v>832</v>
      </c>
      <c r="CW1019" s="35">
        <f t="shared" si="134"/>
        <v>1</v>
      </c>
      <c r="CX1019" s="30">
        <f t="shared" si="135"/>
        <v>1</v>
      </c>
      <c r="CY1019" s="30">
        <f t="shared" si="138"/>
        <v>0</v>
      </c>
      <c r="CZ1019" s="30">
        <f t="shared" si="132"/>
        <v>1</v>
      </c>
      <c r="DA1019" s="53">
        <f>+IF(CW1019*CX1019*CY1019=0,0,IF(CZ1019=0,0,1))</f>
        <v>0</v>
      </c>
      <c r="DB1019" s="2">
        <f t="shared" si="133"/>
        <v>0</v>
      </c>
      <c r="DS1019" s="130">
        <f>SI!BY1019</f>
        <v>173</v>
      </c>
      <c r="DZ1019" s="131">
        <f>SI!BZ1019</f>
        <v>0</v>
      </c>
    </row>
    <row r="1020" spans="1:132" hidden="1" x14ac:dyDescent="0.25">
      <c r="A1020" s="141"/>
      <c r="B1020" s="975"/>
      <c r="C1020" s="976"/>
      <c r="D1020" s="976"/>
      <c r="E1020" s="976"/>
      <c r="F1020" s="976"/>
      <c r="G1020" s="976"/>
      <c r="H1020" s="976"/>
      <c r="I1020" s="976"/>
      <c r="J1020" s="976"/>
      <c r="K1020" s="976"/>
      <c r="L1020" s="976"/>
      <c r="M1020" s="976"/>
      <c r="N1020" s="976"/>
      <c r="O1020" s="976"/>
      <c r="P1020" s="976"/>
      <c r="Q1020" s="976"/>
      <c r="R1020" s="976"/>
      <c r="S1020" s="976"/>
      <c r="T1020" s="976"/>
      <c r="U1020" s="976"/>
      <c r="V1020" s="976"/>
      <c r="W1020" s="976"/>
      <c r="X1020" s="976"/>
      <c r="Y1020" s="976"/>
      <c r="Z1020" s="976"/>
      <c r="AA1020" s="976"/>
      <c r="AB1020" s="976"/>
      <c r="AC1020" s="976"/>
      <c r="AD1020" s="976"/>
      <c r="AE1020" s="976"/>
      <c r="AF1020" s="976"/>
      <c r="AG1020" s="976"/>
      <c r="AH1020" s="976"/>
      <c r="AI1020" s="976"/>
      <c r="AJ1020" s="976"/>
      <c r="AK1020" s="976"/>
      <c r="AL1020" s="977"/>
      <c r="AM1020" s="454"/>
      <c r="AN1020" s="455"/>
      <c r="AO1020" s="455"/>
      <c r="AP1020" s="455"/>
      <c r="AQ1020" s="455"/>
      <c r="AR1020" s="455"/>
      <c r="AS1020" s="455"/>
      <c r="AT1020" s="455"/>
      <c r="AU1020" s="455"/>
      <c r="AV1020" s="455"/>
      <c r="AW1020" s="455"/>
      <c r="AX1020" s="455"/>
      <c r="AY1020" s="455"/>
      <c r="AZ1020" s="456"/>
      <c r="BA1020" s="454"/>
      <c r="BB1020" s="455"/>
      <c r="BC1020" s="455"/>
      <c r="BD1020" s="455"/>
      <c r="BE1020" s="455"/>
      <c r="BF1020" s="455"/>
      <c r="BG1020" s="455"/>
      <c r="BH1020" s="455"/>
      <c r="BI1020" s="455"/>
      <c r="BJ1020" s="455"/>
      <c r="BK1020" s="455"/>
      <c r="BL1020" s="455"/>
      <c r="BM1020" s="455"/>
      <c r="BN1020" s="455"/>
      <c r="BO1020" s="1209">
        <f t="shared" si="136"/>
        <v>0</v>
      </c>
      <c r="BP1020" s="1772"/>
      <c r="BQ1020" s="1772"/>
      <c r="BR1020" s="1772"/>
      <c r="BS1020" s="1772"/>
      <c r="BT1020" s="1772"/>
      <c r="BU1020" s="1772"/>
      <c r="BV1020" s="1772"/>
      <c r="BW1020" s="1772"/>
      <c r="BX1020" s="1772"/>
      <c r="BY1020" s="1772"/>
      <c r="BZ1020" s="1773"/>
      <c r="CA1020" s="270"/>
      <c r="CB1020" s="3" t="str">
        <f t="shared" si="137"/>
        <v>Riadok bude skrytý.</v>
      </c>
      <c r="CC1020" s="271" t="s">
        <v>832</v>
      </c>
      <c r="CW1020" s="35">
        <f t="shared" si="134"/>
        <v>1</v>
      </c>
      <c r="CX1020" s="30">
        <f t="shared" si="135"/>
        <v>1</v>
      </c>
      <c r="CZ1020" s="30">
        <f t="shared" si="132"/>
        <v>1</v>
      </c>
      <c r="DA1020" s="52">
        <f t="shared" si="126"/>
        <v>1</v>
      </c>
      <c r="DB1020" s="2">
        <f t="shared" si="133"/>
        <v>0</v>
      </c>
      <c r="DS1020" s="130">
        <f>SI!BY1020</f>
        <v>225</v>
      </c>
      <c r="DZ1020" s="131">
        <f>SI!BZ1020</f>
        <v>0</v>
      </c>
    </row>
    <row r="1021" spans="1:132" hidden="1" x14ac:dyDescent="0.25">
      <c r="A1021" s="141"/>
      <c r="B1021" s="15"/>
      <c r="C1021" s="15"/>
      <c r="D1021" s="15"/>
      <c r="E1021" s="15"/>
      <c r="F1021" s="15"/>
      <c r="G1021" s="15"/>
      <c r="H1021" s="15"/>
      <c r="I1021" s="15"/>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c r="AJ1021" s="15"/>
      <c r="AK1021" s="15"/>
      <c r="AL1021" s="15"/>
      <c r="AM1021" s="15"/>
      <c r="AN1021" s="15"/>
      <c r="AO1021" s="15"/>
      <c r="AP1021" s="15"/>
      <c r="AQ1021" s="15"/>
      <c r="AR1021" s="15"/>
      <c r="AS1021" s="15"/>
      <c r="AT1021" s="15"/>
      <c r="AU1021" s="15"/>
      <c r="AV1021" s="15"/>
      <c r="AW1021" s="15"/>
      <c r="AX1021" s="15"/>
      <c r="AY1021" s="15"/>
      <c r="AZ1021" s="15"/>
      <c r="BA1021" s="15"/>
      <c r="BB1021" s="15"/>
      <c r="BC1021" s="15"/>
      <c r="BD1021" s="15"/>
      <c r="BE1021" s="15"/>
      <c r="BF1021" s="15"/>
      <c r="BG1021" s="15"/>
      <c r="BH1021" s="15"/>
      <c r="BI1021" s="15"/>
      <c r="BJ1021" s="15"/>
      <c r="BK1021" s="294"/>
      <c r="BL1021" s="294"/>
      <c r="BM1021" s="295"/>
      <c r="BN1021" s="295"/>
      <c r="BO1021" s="295"/>
      <c r="BP1021" s="295"/>
      <c r="BQ1021" s="295"/>
      <c r="BR1021" s="295"/>
      <c r="BS1021" s="295"/>
      <c r="BT1021" s="295"/>
      <c r="BU1021" s="295"/>
      <c r="BV1021" s="295"/>
      <c r="BW1021" s="295"/>
      <c r="BX1021" s="295"/>
      <c r="BY1021" s="295"/>
      <c r="BZ1021" s="295"/>
      <c r="CA1021" s="142"/>
      <c r="CB1021" s="3" t="str">
        <f t="shared" si="137"/>
        <v>Riadok bude skrytý.</v>
      </c>
      <c r="CC1021" s="271" t="s">
        <v>832</v>
      </c>
      <c r="CW1021" s="49">
        <v>1</v>
      </c>
      <c r="CX1021" s="30">
        <f t="shared" si="135"/>
        <v>1</v>
      </c>
      <c r="CZ1021" s="30">
        <f t="shared" si="132"/>
        <v>1</v>
      </c>
      <c r="DA1021" s="30">
        <f>+IF(CW1021+CX1021+CY1021=0,0,IF(CZ1021=0,0,1))</f>
        <v>1</v>
      </c>
      <c r="DB1021" s="2">
        <f t="shared" si="133"/>
        <v>0</v>
      </c>
      <c r="DS1021" s="130">
        <f>SI!BY1021</f>
        <v>132</v>
      </c>
      <c r="DZ1021" s="131">
        <f>SI!BZ1021</f>
        <v>0</v>
      </c>
    </row>
    <row r="1022" spans="1:132" hidden="1" x14ac:dyDescent="0.25">
      <c r="A1022" s="141"/>
      <c r="B1022" s="288" t="s">
        <v>149</v>
      </c>
      <c r="C1022" s="288"/>
      <c r="D1022" s="288"/>
      <c r="E1022" s="288"/>
      <c r="F1022" s="288"/>
      <c r="G1022" s="289" t="str">
        <f>+IF($S$52&lt;&gt;"",IF((CODE(MID($S$52,1,1))/100)&lt;10,IF(COMBIN(LEN(SI!J3),2)=DS1022,"Dlhodobý hmotný majetok","NEPOVOLENÉ POUŽITIE !"),"NEPOVOLENÉ POUŽITIE !"),"NEPOVOLENÉ POUŽITIE !")</f>
        <v>Dlhodobý hmotný majetok</v>
      </c>
      <c r="H1022" s="289"/>
      <c r="I1022" s="288"/>
      <c r="J1022" s="288"/>
      <c r="K1022" s="288"/>
      <c r="L1022" s="288"/>
      <c r="M1022" s="288"/>
      <c r="N1022" s="288"/>
      <c r="O1022" s="288"/>
      <c r="P1022" s="288"/>
      <c r="Q1022" s="288"/>
      <c r="R1022" s="288"/>
      <c r="S1022" s="288"/>
      <c r="T1022" s="288"/>
      <c r="U1022" s="288"/>
      <c r="V1022" s="288"/>
      <c r="W1022" s="288"/>
      <c r="X1022" s="288"/>
      <c r="Y1022" s="288"/>
      <c r="Z1022" s="288"/>
      <c r="AA1022" s="288"/>
      <c r="AB1022" s="288"/>
      <c r="AC1022" s="288"/>
      <c r="AD1022" s="288"/>
      <c r="AE1022" s="288"/>
      <c r="AF1022" s="288"/>
      <c r="AG1022" s="288"/>
      <c r="AH1022" s="288"/>
      <c r="AI1022" s="288"/>
      <c r="AJ1022" s="288"/>
      <c r="AK1022" s="288"/>
      <c r="AL1022" s="288"/>
      <c r="AM1022" s="288"/>
      <c r="AN1022" s="288"/>
      <c r="AO1022" s="288"/>
      <c r="AP1022" s="288"/>
      <c r="AQ1022" s="288"/>
      <c r="AR1022" s="288"/>
      <c r="AS1022" s="288"/>
      <c r="AT1022" s="288"/>
      <c r="AU1022" s="288"/>
      <c r="AV1022" s="288"/>
      <c r="AW1022" s="288"/>
      <c r="AX1022" s="288"/>
      <c r="AY1022" s="288"/>
      <c r="AZ1022" s="288"/>
      <c r="BA1022" s="288"/>
      <c r="BB1022" s="288"/>
      <c r="BC1022" s="288"/>
      <c r="BD1022" s="288"/>
      <c r="BE1022" s="288"/>
      <c r="BF1022" s="288"/>
      <c r="BG1022" s="288"/>
      <c r="BH1022" s="288"/>
      <c r="BI1022" s="288"/>
      <c r="BJ1022" s="288"/>
      <c r="BK1022" s="288"/>
      <c r="BL1022" s="288"/>
      <c r="BM1022" s="288"/>
      <c r="BN1022" s="288"/>
      <c r="BO1022" s="288"/>
      <c r="BP1022" s="288"/>
      <c r="BQ1022" s="288"/>
      <c r="BR1022" s="288"/>
      <c r="BS1022" s="288"/>
      <c r="BT1022" s="288"/>
      <c r="BU1022" s="288"/>
      <c r="BV1022" s="288"/>
      <c r="BW1022" s="288"/>
      <c r="BX1022" s="288"/>
      <c r="BY1022" s="288"/>
      <c r="BZ1022" s="288"/>
      <c r="CA1022" s="265" t="s">
        <v>773</v>
      </c>
      <c r="CB1022" s="3" t="str">
        <f t="shared" si="137"/>
        <v>Riadok bude skrytý.</v>
      </c>
      <c r="CW1022" s="49">
        <v>1</v>
      </c>
      <c r="CZ1022" s="30">
        <f t="shared" si="132"/>
        <v>1</v>
      </c>
      <c r="DA1022" s="30">
        <f>+IF(CW1022+CX1022+CY1022=0,0,IF(CZ1022=0,0,1))</f>
        <v>1</v>
      </c>
      <c r="DB1022" s="2">
        <f t="shared" si="133"/>
        <v>0</v>
      </c>
      <c r="DS1022" s="130">
        <f>SI!BY1022</f>
        <v>10</v>
      </c>
      <c r="DZ1022" s="131">
        <f>SI!BZ1022</f>
        <v>0</v>
      </c>
    </row>
    <row r="1023" spans="1:132" hidden="1" x14ac:dyDescent="0.25">
      <c r="A1023" s="141"/>
      <c r="B1023" s="15"/>
      <c r="C1023" s="15"/>
      <c r="D1023" s="15"/>
      <c r="E1023" s="15"/>
      <c r="F1023" s="15"/>
      <c r="G1023" s="15"/>
      <c r="H1023" s="15"/>
      <c r="I1023" s="15"/>
      <c r="J1023" s="15"/>
      <c r="K1023" s="15"/>
      <c r="L1023" s="15"/>
      <c r="M1023" s="15"/>
      <c r="N1023" s="15"/>
      <c r="O1023" s="15"/>
      <c r="P1023" s="15"/>
      <c r="Q1023" s="15"/>
      <c r="R1023" s="15"/>
      <c r="S1023" s="15"/>
      <c r="T1023" s="15"/>
      <c r="U1023" s="15"/>
      <c r="V1023" s="15"/>
      <c r="W1023" s="15"/>
      <c r="X1023" s="15"/>
      <c r="Y1023" s="15"/>
      <c r="Z1023" s="15"/>
      <c r="AL1023" s="15"/>
      <c r="AM1023" s="15"/>
      <c r="AN1023" s="15"/>
      <c r="AO1023" s="15"/>
      <c r="AP1023" s="15"/>
      <c r="AQ1023" s="15"/>
      <c r="AR1023" s="15"/>
      <c r="AS1023" s="15"/>
      <c r="AT1023" s="15"/>
      <c r="AU1023" s="15"/>
      <c r="AV1023" s="15"/>
      <c r="AW1023" s="15"/>
      <c r="AX1023" s="15"/>
      <c r="AY1023" s="15"/>
      <c r="AZ1023" s="15"/>
      <c r="BA1023" s="15"/>
      <c r="BB1023" s="15"/>
      <c r="BC1023" s="15"/>
      <c r="BD1023" s="15"/>
      <c r="BE1023" s="15"/>
      <c r="BF1023" s="15"/>
      <c r="BG1023" s="15"/>
      <c r="BH1023" s="15"/>
      <c r="BI1023" s="15"/>
      <c r="BJ1023" s="15"/>
      <c r="BK1023" s="294"/>
      <c r="BL1023" s="294"/>
      <c r="BM1023" s="295"/>
      <c r="BN1023" s="295"/>
      <c r="BO1023" s="295"/>
      <c r="BP1023" s="295"/>
      <c r="BQ1023" s="295"/>
      <c r="BR1023" s="295"/>
      <c r="BS1023" s="295"/>
      <c r="BT1023" s="295"/>
      <c r="BU1023" s="295"/>
      <c r="BV1023" s="295"/>
      <c r="BW1023" s="295"/>
      <c r="BX1023" s="295"/>
      <c r="BY1023" s="295"/>
      <c r="BZ1023" s="295"/>
      <c r="CA1023" s="142"/>
      <c r="CB1023" s="3" t="str">
        <f t="shared" si="137"/>
        <v>Riadok bude skrytý.</v>
      </c>
      <c r="CW1023" s="49">
        <v>1</v>
      </c>
      <c r="CZ1023" s="30">
        <f t="shared" si="132"/>
        <v>1</v>
      </c>
      <c r="DA1023" s="30">
        <f>+IF(CW1023+CX1023+CY1023=0,0,IF(CZ1023=0,0,1))</f>
        <v>1</v>
      </c>
      <c r="DB1023" s="2">
        <f t="shared" si="133"/>
        <v>0</v>
      </c>
      <c r="DS1023" s="130">
        <f>SI!BY1023</f>
        <v>143</v>
      </c>
      <c r="DZ1023" s="131">
        <f>SI!BZ1023</f>
        <v>0</v>
      </c>
    </row>
    <row r="1024" spans="1:132" s="14" customFormat="1" hidden="1" x14ac:dyDescent="0.25">
      <c r="A1024" s="290"/>
      <c r="B1024" s="286" t="str">
        <f>+IF($O$52&lt;&gt;"",IF(CODE(MID($O$52,1,1))*(IF(SI!EE1024="",1,SI!EE1024))+ROUNDDOWN(LEN(SI!J5)/2,0)=DS1024,IF(YEAR(AW123)=YEAR(DC4),"Spoločnosť v uvedenom období","Spoločnosť v uvedených obdobiach"),"NEPOVOLENÉ POUŽITIE!"),"NEPOVOLENÉ POUŽITIE!")</f>
        <v>Spoločnosť v uvedených obdobiach</v>
      </c>
      <c r="C1024" s="37"/>
      <c r="D1024" s="37"/>
      <c r="E1024" s="37"/>
      <c r="F1024" s="37"/>
      <c r="G1024" s="38"/>
      <c r="H1024" s="38"/>
      <c r="I1024" s="38"/>
      <c r="J1024" s="38"/>
      <c r="AB1024" s="385" t="s">
        <v>152</v>
      </c>
      <c r="AC1024" s="385"/>
      <c r="AD1024" s="385"/>
      <c r="AE1024" s="385"/>
      <c r="AF1024" s="385"/>
      <c r="AG1024" s="385"/>
      <c r="AH1024" s="385"/>
      <c r="AI1024" s="385"/>
      <c r="AJ1024" s="385"/>
      <c r="AK1024" s="137" t="s">
        <v>791</v>
      </c>
      <c r="AL1024" s="38"/>
      <c r="AN1024" s="137"/>
      <c r="AO1024" s="137"/>
      <c r="AZ1024" s="37"/>
      <c r="BA1024" s="37"/>
      <c r="BB1024" s="37"/>
      <c r="BC1024" s="37"/>
      <c r="BD1024" s="38"/>
      <c r="BE1024" s="38"/>
      <c r="BF1024" s="38"/>
      <c r="BG1024" s="38"/>
      <c r="BH1024" s="38"/>
      <c r="BI1024" s="38"/>
      <c r="BJ1024" s="38"/>
      <c r="CA1024" s="291"/>
      <c r="CB1024" s="3" t="str">
        <f t="shared" si="137"/>
        <v>Riadok bude skrytý.</v>
      </c>
      <c r="CC1024" s="271" t="s">
        <v>832</v>
      </c>
      <c r="CW1024" s="49">
        <v>1</v>
      </c>
      <c r="CX1024" s="30"/>
      <c r="CY1024" s="30"/>
      <c r="CZ1024" s="30">
        <f t="shared" si="132"/>
        <v>1</v>
      </c>
      <c r="DA1024" s="30">
        <f>+IF(CW1024+CX1024+CY1024=0,0,IF(CZ1024=0,0,1))</f>
        <v>1</v>
      </c>
      <c r="DB1024" s="2">
        <f t="shared" si="133"/>
        <v>0</v>
      </c>
      <c r="DR1024" s="76"/>
      <c r="DS1024" s="130">
        <f>SI!BY1024</f>
        <v>7</v>
      </c>
      <c r="DT1024" s="130"/>
      <c r="DU1024" s="130"/>
      <c r="DV1024" s="130"/>
      <c r="DW1024" s="130"/>
      <c r="DX1024" s="130"/>
      <c r="DY1024" s="130"/>
      <c r="DZ1024" s="131">
        <f>SI!BZ1024</f>
        <v>0</v>
      </c>
      <c r="EA1024" s="76"/>
      <c r="EB1024" s="76"/>
    </row>
    <row r="1025" spans="1:132" s="14" customFormat="1" hidden="1" x14ac:dyDescent="0.25">
      <c r="A1025" s="290"/>
      <c r="B1025" s="286" t="str">
        <f>+IF($U$52&lt;&gt;"",IF((ROUNDDOWN(CODE(MID($U$52,1,1)),0)-(BIN2DEC(1010)/10))*(IF(SI!EE1025="",1,SI!EE1025))+(LEN(SI!J2)+LEN(SI!J5))=DS1025,IF(AB1024="eviduje","K dlhodobému hmotnému majetku Spoločnosť uvádza nasledujúce informácie:","Spoločnosť nemá pre túto časť poznámok obsahovú náplň."),"NEPOVOLENÉ POUŽITIE!"),"NEPOVOLENÉ POUŽITIE!")</f>
        <v>K dlhodobému hmotnému majetku Spoločnosť uvádza nasledujúce informácie:</v>
      </c>
      <c r="C1025" s="37"/>
      <c r="D1025" s="37"/>
      <c r="E1025" s="37"/>
      <c r="F1025" s="37"/>
      <c r="G1025" s="38"/>
      <c r="H1025" s="38"/>
      <c r="I1025" s="38"/>
      <c r="J1025" s="38"/>
      <c r="K1025" s="38"/>
      <c r="L1025" s="38"/>
      <c r="M1025" s="38"/>
      <c r="N1025" s="38"/>
      <c r="AM1025" s="37"/>
      <c r="AN1025" s="37"/>
      <c r="AO1025" s="37"/>
      <c r="AP1025" s="38"/>
      <c r="AQ1025" s="38"/>
      <c r="AR1025" s="38"/>
      <c r="AS1025" s="38"/>
      <c r="AT1025" s="38"/>
      <c r="AU1025" s="38"/>
      <c r="AV1025" s="38"/>
      <c r="AW1025" s="38"/>
      <c r="AZ1025" s="37"/>
      <c r="BA1025" s="37"/>
      <c r="BB1025" s="37"/>
      <c r="BC1025" s="37"/>
      <c r="BD1025" s="38"/>
      <c r="BE1025" s="38"/>
      <c r="BF1025" s="38"/>
      <c r="BG1025" s="38"/>
      <c r="BH1025" s="38"/>
      <c r="BI1025" s="38"/>
      <c r="BJ1025" s="38"/>
      <c r="CA1025" s="292"/>
      <c r="CB1025" s="3" t="str">
        <f t="shared" si="137"/>
        <v>Riadok bude skrytý.</v>
      </c>
      <c r="CC1025" s="271" t="s">
        <v>832</v>
      </c>
      <c r="CW1025" s="30">
        <f>+IF($AB$1024="neeviduje",1,1)</f>
        <v>1</v>
      </c>
      <c r="CX1025" s="30"/>
      <c r="CY1025" s="30"/>
      <c r="CZ1025" s="30">
        <f t="shared" si="132"/>
        <v>1</v>
      </c>
      <c r="DA1025" s="30">
        <f>+IF(CW1025+CX1025+CY1025=0,0,IF(CZ1025=0,0,1))</f>
        <v>1</v>
      </c>
      <c r="DB1025" s="2">
        <f t="shared" si="133"/>
        <v>0</v>
      </c>
      <c r="DR1025" s="76"/>
      <c r="DS1025" s="130">
        <f>SI!BY1025</f>
        <v>28</v>
      </c>
      <c r="DT1025" s="130"/>
      <c r="DU1025" s="130"/>
      <c r="DV1025" s="130"/>
      <c r="DW1025" s="130"/>
      <c r="DX1025" s="130"/>
      <c r="DY1025" s="130"/>
      <c r="DZ1025" s="131">
        <f>SI!BZ1025</f>
        <v>0</v>
      </c>
      <c r="EA1025" s="76"/>
      <c r="EB1025" s="76"/>
    </row>
    <row r="1026" spans="1:132" hidden="1" x14ac:dyDescent="0.25">
      <c r="A1026" s="141"/>
      <c r="B1026" s="379"/>
      <c r="C1026" s="379"/>
      <c r="D1026" s="379"/>
      <c r="E1026" s="379"/>
      <c r="F1026" s="379"/>
      <c r="G1026" s="379"/>
      <c r="H1026" s="379"/>
      <c r="I1026" s="379"/>
      <c r="J1026" s="379"/>
      <c r="K1026" s="379"/>
      <c r="L1026" s="379"/>
      <c r="M1026" s="379"/>
      <c r="N1026" s="379"/>
      <c r="O1026" s="379"/>
      <c r="P1026" s="379"/>
      <c r="Q1026" s="379"/>
      <c r="R1026" s="379"/>
      <c r="S1026" s="379"/>
      <c r="T1026" s="379"/>
      <c r="U1026" s="379"/>
      <c r="V1026" s="379"/>
      <c r="W1026" s="379"/>
      <c r="X1026" s="379"/>
      <c r="Y1026" s="379"/>
      <c r="Z1026" s="379"/>
      <c r="AA1026" s="379"/>
      <c r="AB1026" s="379"/>
      <c r="AC1026" s="379"/>
      <c r="AD1026" s="379"/>
      <c r="AE1026" s="379"/>
      <c r="AF1026" s="379"/>
      <c r="AG1026" s="379"/>
      <c r="AH1026" s="379"/>
      <c r="AI1026" s="379"/>
      <c r="AJ1026" s="379"/>
      <c r="AK1026" s="379"/>
      <c r="AL1026" s="379"/>
      <c r="AM1026" s="379"/>
      <c r="AN1026" s="379"/>
      <c r="AO1026" s="379"/>
      <c r="AP1026" s="379"/>
      <c r="AQ1026" s="379"/>
      <c r="AR1026" s="379"/>
      <c r="AS1026" s="379"/>
      <c r="AT1026" s="379"/>
      <c r="AU1026" s="379"/>
      <c r="AV1026" s="379"/>
      <c r="AW1026" s="379"/>
      <c r="AX1026" s="379"/>
      <c r="AY1026" s="379"/>
      <c r="AZ1026" s="379"/>
      <c r="BA1026" s="379"/>
      <c r="BB1026" s="379"/>
      <c r="BC1026" s="379"/>
      <c r="BD1026" s="379"/>
      <c r="BE1026" s="379"/>
      <c r="BF1026" s="379"/>
      <c r="BG1026" s="379"/>
      <c r="BH1026" s="379"/>
      <c r="BI1026" s="379"/>
      <c r="BJ1026" s="379"/>
      <c r="BK1026" s="379"/>
      <c r="BL1026" s="379"/>
      <c r="BM1026" s="379"/>
      <c r="BN1026" s="379"/>
      <c r="BO1026" s="379"/>
      <c r="BP1026" s="379"/>
      <c r="BQ1026" s="379"/>
      <c r="BR1026" s="379"/>
      <c r="BS1026" s="379"/>
      <c r="BT1026" s="379"/>
      <c r="BU1026" s="379"/>
      <c r="BV1026" s="379"/>
      <c r="BW1026" s="379"/>
      <c r="BX1026" s="379"/>
      <c r="BY1026" s="379"/>
      <c r="BZ1026" s="379"/>
      <c r="CA1026" s="281"/>
      <c r="CB1026" s="3" t="str">
        <f t="shared" si="137"/>
        <v>Riadok bude skrytý.</v>
      </c>
      <c r="CC1026" s="271" t="s">
        <v>832</v>
      </c>
      <c r="CW1026" s="30">
        <f t="shared" ref="CW1026:CW1057" si="140">+IF($AB$1024="neeviduje",0,1)</f>
        <v>1</v>
      </c>
      <c r="CX1026" s="30">
        <f t="shared" ref="CX1026:CX1045" si="141">+IF(B1026="",0,1)</f>
        <v>0</v>
      </c>
      <c r="CZ1026" s="30">
        <f t="shared" si="132"/>
        <v>1</v>
      </c>
      <c r="DA1026" s="52">
        <f t="shared" ref="DA1026:DA1045" si="142">+IF(CW1026*CX1026=0,0,IF(CZ1026=0,0,1))</f>
        <v>0</v>
      </c>
      <c r="DB1026" s="2">
        <f t="shared" si="133"/>
        <v>0</v>
      </c>
      <c r="DS1026" s="130">
        <f>SI!BY1026</f>
        <v>1071</v>
      </c>
      <c r="DZ1026" s="131">
        <f>SI!BZ1026</f>
        <v>0</v>
      </c>
    </row>
    <row r="1027" spans="1:132" hidden="1" x14ac:dyDescent="0.25">
      <c r="A1027" s="141"/>
      <c r="B1027" s="379"/>
      <c r="C1027" s="379"/>
      <c r="D1027" s="379"/>
      <c r="E1027" s="379"/>
      <c r="F1027" s="379"/>
      <c r="G1027" s="379"/>
      <c r="H1027" s="379"/>
      <c r="I1027" s="379"/>
      <c r="J1027" s="379"/>
      <c r="K1027" s="379"/>
      <c r="L1027" s="379"/>
      <c r="M1027" s="379"/>
      <c r="N1027" s="379"/>
      <c r="O1027" s="379"/>
      <c r="P1027" s="379"/>
      <c r="Q1027" s="379"/>
      <c r="R1027" s="379"/>
      <c r="S1027" s="379"/>
      <c r="T1027" s="379"/>
      <c r="U1027" s="379"/>
      <c r="V1027" s="379"/>
      <c r="W1027" s="379"/>
      <c r="X1027" s="379"/>
      <c r="Y1027" s="379"/>
      <c r="Z1027" s="379"/>
      <c r="AA1027" s="379"/>
      <c r="AB1027" s="379"/>
      <c r="AC1027" s="379"/>
      <c r="AD1027" s="379"/>
      <c r="AE1027" s="379"/>
      <c r="AF1027" s="379"/>
      <c r="AG1027" s="379"/>
      <c r="AH1027" s="379"/>
      <c r="AI1027" s="379"/>
      <c r="AJ1027" s="379"/>
      <c r="AK1027" s="379"/>
      <c r="AL1027" s="379"/>
      <c r="AM1027" s="379"/>
      <c r="AN1027" s="379"/>
      <c r="AO1027" s="379"/>
      <c r="AP1027" s="379"/>
      <c r="AQ1027" s="379"/>
      <c r="AR1027" s="379"/>
      <c r="AS1027" s="379"/>
      <c r="AT1027" s="379"/>
      <c r="AU1027" s="379"/>
      <c r="AV1027" s="379"/>
      <c r="AW1027" s="379"/>
      <c r="AX1027" s="379"/>
      <c r="AY1027" s="379"/>
      <c r="AZ1027" s="379"/>
      <c r="BA1027" s="379"/>
      <c r="BB1027" s="379"/>
      <c r="BC1027" s="379"/>
      <c r="BD1027" s="379"/>
      <c r="BE1027" s="379"/>
      <c r="BF1027" s="379"/>
      <c r="BG1027" s="379"/>
      <c r="BH1027" s="379"/>
      <c r="BI1027" s="379"/>
      <c r="BJ1027" s="379"/>
      <c r="BK1027" s="379"/>
      <c r="BL1027" s="379"/>
      <c r="BM1027" s="379"/>
      <c r="BN1027" s="379"/>
      <c r="BO1027" s="379"/>
      <c r="BP1027" s="379"/>
      <c r="BQ1027" s="379"/>
      <c r="BR1027" s="379"/>
      <c r="BS1027" s="379"/>
      <c r="BT1027" s="379"/>
      <c r="BU1027" s="379"/>
      <c r="BV1027" s="379"/>
      <c r="BW1027" s="379"/>
      <c r="BX1027" s="379"/>
      <c r="BY1027" s="379"/>
      <c r="BZ1027" s="379"/>
      <c r="CA1027" s="281"/>
      <c r="CB1027" s="3" t="str">
        <f t="shared" si="137"/>
        <v>Riadok bude skrytý.</v>
      </c>
      <c r="CC1027" s="271" t="s">
        <v>832</v>
      </c>
      <c r="CW1027" s="30">
        <f t="shared" si="140"/>
        <v>1</v>
      </c>
      <c r="CX1027" s="30">
        <f t="shared" si="141"/>
        <v>0</v>
      </c>
      <c r="CZ1027" s="30">
        <f t="shared" si="132"/>
        <v>1</v>
      </c>
      <c r="DA1027" s="52">
        <f t="shared" si="142"/>
        <v>0</v>
      </c>
      <c r="DB1027" s="2">
        <f t="shared" si="133"/>
        <v>0</v>
      </c>
      <c r="DS1027" s="130">
        <f>SI!BY1027</f>
        <v>125</v>
      </c>
      <c r="DZ1027" s="131">
        <f>SI!BZ1027</f>
        <v>0</v>
      </c>
    </row>
    <row r="1028" spans="1:132" hidden="1" x14ac:dyDescent="0.25">
      <c r="A1028" s="141"/>
      <c r="B1028" s="379"/>
      <c r="C1028" s="379"/>
      <c r="D1028" s="379"/>
      <c r="E1028" s="379"/>
      <c r="F1028" s="379"/>
      <c r="G1028" s="379"/>
      <c r="H1028" s="379"/>
      <c r="I1028" s="379"/>
      <c r="J1028" s="379"/>
      <c r="K1028" s="379"/>
      <c r="L1028" s="379"/>
      <c r="M1028" s="379"/>
      <c r="N1028" s="379"/>
      <c r="O1028" s="379"/>
      <c r="P1028" s="379"/>
      <c r="Q1028" s="379"/>
      <c r="R1028" s="379"/>
      <c r="S1028" s="379"/>
      <c r="T1028" s="379"/>
      <c r="U1028" s="379"/>
      <c r="V1028" s="379"/>
      <c r="W1028" s="379"/>
      <c r="X1028" s="379"/>
      <c r="Y1028" s="379"/>
      <c r="Z1028" s="379"/>
      <c r="AA1028" s="379"/>
      <c r="AB1028" s="379"/>
      <c r="AC1028" s="379"/>
      <c r="AD1028" s="379"/>
      <c r="AE1028" s="379"/>
      <c r="AF1028" s="379"/>
      <c r="AG1028" s="379"/>
      <c r="AH1028" s="379"/>
      <c r="AI1028" s="379"/>
      <c r="AJ1028" s="379"/>
      <c r="AK1028" s="379"/>
      <c r="AL1028" s="379"/>
      <c r="AM1028" s="379"/>
      <c r="AN1028" s="379"/>
      <c r="AO1028" s="379"/>
      <c r="AP1028" s="379"/>
      <c r="AQ1028" s="379"/>
      <c r="AR1028" s="379"/>
      <c r="AS1028" s="379"/>
      <c r="AT1028" s="379"/>
      <c r="AU1028" s="379"/>
      <c r="AV1028" s="379"/>
      <c r="AW1028" s="379"/>
      <c r="AX1028" s="379"/>
      <c r="AY1028" s="379"/>
      <c r="AZ1028" s="379"/>
      <c r="BA1028" s="379"/>
      <c r="BB1028" s="379"/>
      <c r="BC1028" s="379"/>
      <c r="BD1028" s="379"/>
      <c r="BE1028" s="379"/>
      <c r="BF1028" s="379"/>
      <c r="BG1028" s="379"/>
      <c r="BH1028" s="379"/>
      <c r="BI1028" s="379"/>
      <c r="BJ1028" s="379"/>
      <c r="BK1028" s="379"/>
      <c r="BL1028" s="379"/>
      <c r="BM1028" s="379"/>
      <c r="BN1028" s="379"/>
      <c r="BO1028" s="379"/>
      <c r="BP1028" s="379"/>
      <c r="BQ1028" s="379"/>
      <c r="BR1028" s="379"/>
      <c r="BS1028" s="379"/>
      <c r="BT1028" s="379"/>
      <c r="BU1028" s="379"/>
      <c r="BV1028" s="379"/>
      <c r="BW1028" s="379"/>
      <c r="BX1028" s="379"/>
      <c r="BY1028" s="379"/>
      <c r="BZ1028" s="379"/>
      <c r="CA1028" s="281"/>
      <c r="CB1028" s="3" t="str">
        <f t="shared" si="137"/>
        <v>Riadok bude skrytý.</v>
      </c>
      <c r="CC1028" s="271" t="s">
        <v>832</v>
      </c>
      <c r="CW1028" s="30">
        <f t="shared" si="140"/>
        <v>1</v>
      </c>
      <c r="CX1028" s="30">
        <f t="shared" si="141"/>
        <v>0</v>
      </c>
      <c r="CZ1028" s="30">
        <f t="shared" si="132"/>
        <v>1</v>
      </c>
      <c r="DA1028" s="52">
        <f t="shared" si="142"/>
        <v>0</v>
      </c>
      <c r="DB1028" s="2">
        <f t="shared" si="133"/>
        <v>0</v>
      </c>
      <c r="DS1028" s="130">
        <f>SI!BY1028</f>
        <v>109</v>
      </c>
      <c r="DZ1028" s="131">
        <f>SI!BZ1028</f>
        <v>0</v>
      </c>
    </row>
    <row r="1029" spans="1:132" hidden="1" x14ac:dyDescent="0.25">
      <c r="A1029" s="141"/>
      <c r="B1029" s="379"/>
      <c r="C1029" s="379"/>
      <c r="D1029" s="379"/>
      <c r="E1029" s="379"/>
      <c r="F1029" s="379"/>
      <c r="G1029" s="379"/>
      <c r="H1029" s="379"/>
      <c r="I1029" s="379"/>
      <c r="J1029" s="379"/>
      <c r="K1029" s="379"/>
      <c r="L1029" s="379"/>
      <c r="M1029" s="379"/>
      <c r="N1029" s="379"/>
      <c r="O1029" s="379"/>
      <c r="P1029" s="379"/>
      <c r="Q1029" s="379"/>
      <c r="R1029" s="379"/>
      <c r="S1029" s="379"/>
      <c r="T1029" s="379"/>
      <c r="U1029" s="379"/>
      <c r="V1029" s="379"/>
      <c r="W1029" s="379"/>
      <c r="X1029" s="379"/>
      <c r="Y1029" s="379"/>
      <c r="Z1029" s="379"/>
      <c r="AA1029" s="379"/>
      <c r="AB1029" s="379"/>
      <c r="AC1029" s="379"/>
      <c r="AD1029" s="379"/>
      <c r="AE1029" s="379"/>
      <c r="AF1029" s="379"/>
      <c r="AG1029" s="379"/>
      <c r="AH1029" s="379"/>
      <c r="AI1029" s="379"/>
      <c r="AJ1029" s="379"/>
      <c r="AK1029" s="379"/>
      <c r="AL1029" s="379"/>
      <c r="AM1029" s="379"/>
      <c r="AN1029" s="379"/>
      <c r="AO1029" s="379"/>
      <c r="AP1029" s="379"/>
      <c r="AQ1029" s="379"/>
      <c r="AR1029" s="379"/>
      <c r="AS1029" s="379"/>
      <c r="AT1029" s="379"/>
      <c r="AU1029" s="379"/>
      <c r="AV1029" s="379"/>
      <c r="AW1029" s="379"/>
      <c r="AX1029" s="379"/>
      <c r="AY1029" s="379"/>
      <c r="AZ1029" s="379"/>
      <c r="BA1029" s="379"/>
      <c r="BB1029" s="379"/>
      <c r="BC1029" s="379"/>
      <c r="BD1029" s="379"/>
      <c r="BE1029" s="379"/>
      <c r="BF1029" s="379"/>
      <c r="BG1029" s="379"/>
      <c r="BH1029" s="379"/>
      <c r="BI1029" s="379"/>
      <c r="BJ1029" s="379"/>
      <c r="BK1029" s="379"/>
      <c r="BL1029" s="379"/>
      <c r="BM1029" s="379"/>
      <c r="BN1029" s="379"/>
      <c r="BO1029" s="379"/>
      <c r="BP1029" s="379"/>
      <c r="BQ1029" s="379"/>
      <c r="BR1029" s="379"/>
      <c r="BS1029" s="379"/>
      <c r="BT1029" s="379"/>
      <c r="BU1029" s="379"/>
      <c r="BV1029" s="379"/>
      <c r="BW1029" s="379"/>
      <c r="BX1029" s="379"/>
      <c r="BY1029" s="379"/>
      <c r="BZ1029" s="379"/>
      <c r="CA1029" s="281"/>
      <c r="CB1029" s="3" t="str">
        <f t="shared" si="137"/>
        <v>Riadok bude skrytý.</v>
      </c>
      <c r="CC1029" s="271" t="s">
        <v>832</v>
      </c>
      <c r="CW1029" s="30">
        <f t="shared" si="140"/>
        <v>1</v>
      </c>
      <c r="CX1029" s="30">
        <f t="shared" si="141"/>
        <v>0</v>
      </c>
      <c r="CZ1029" s="30">
        <f t="shared" si="132"/>
        <v>1</v>
      </c>
      <c r="DA1029" s="52">
        <f t="shared" si="142"/>
        <v>0</v>
      </c>
      <c r="DB1029" s="2">
        <f t="shared" si="133"/>
        <v>0</v>
      </c>
      <c r="DS1029" s="130">
        <f>SI!BY1029</f>
        <v>183</v>
      </c>
      <c r="DZ1029" s="131">
        <f>SI!BZ1029</f>
        <v>0</v>
      </c>
    </row>
    <row r="1030" spans="1:132" hidden="1" x14ac:dyDescent="0.25">
      <c r="A1030" s="141"/>
      <c r="B1030" s="379"/>
      <c r="C1030" s="379"/>
      <c r="D1030" s="379"/>
      <c r="E1030" s="379"/>
      <c r="F1030" s="379"/>
      <c r="G1030" s="379"/>
      <c r="H1030" s="379"/>
      <c r="I1030" s="379"/>
      <c r="J1030" s="379"/>
      <c r="K1030" s="379"/>
      <c r="L1030" s="379"/>
      <c r="M1030" s="379"/>
      <c r="N1030" s="379"/>
      <c r="O1030" s="379"/>
      <c r="P1030" s="379"/>
      <c r="Q1030" s="379"/>
      <c r="R1030" s="379"/>
      <c r="S1030" s="379"/>
      <c r="T1030" s="379"/>
      <c r="U1030" s="379"/>
      <c r="V1030" s="379"/>
      <c r="W1030" s="379"/>
      <c r="X1030" s="379"/>
      <c r="Y1030" s="379"/>
      <c r="Z1030" s="379"/>
      <c r="AA1030" s="379"/>
      <c r="AB1030" s="379"/>
      <c r="AC1030" s="379"/>
      <c r="AD1030" s="379"/>
      <c r="AE1030" s="379"/>
      <c r="AF1030" s="379"/>
      <c r="AG1030" s="379"/>
      <c r="AH1030" s="379"/>
      <c r="AI1030" s="379"/>
      <c r="AJ1030" s="379"/>
      <c r="AK1030" s="379"/>
      <c r="AL1030" s="379"/>
      <c r="AM1030" s="379"/>
      <c r="AN1030" s="379"/>
      <c r="AO1030" s="379"/>
      <c r="AP1030" s="379"/>
      <c r="AQ1030" s="379"/>
      <c r="AR1030" s="379"/>
      <c r="AS1030" s="379"/>
      <c r="AT1030" s="379"/>
      <c r="AU1030" s="379"/>
      <c r="AV1030" s="379"/>
      <c r="AW1030" s="379"/>
      <c r="AX1030" s="379"/>
      <c r="AY1030" s="379"/>
      <c r="AZ1030" s="379"/>
      <c r="BA1030" s="379"/>
      <c r="BB1030" s="379"/>
      <c r="BC1030" s="379"/>
      <c r="BD1030" s="379"/>
      <c r="BE1030" s="379"/>
      <c r="BF1030" s="379"/>
      <c r="BG1030" s="379"/>
      <c r="BH1030" s="379"/>
      <c r="BI1030" s="379"/>
      <c r="BJ1030" s="379"/>
      <c r="BK1030" s="379"/>
      <c r="BL1030" s="379"/>
      <c r="BM1030" s="379"/>
      <c r="BN1030" s="379"/>
      <c r="BO1030" s="379"/>
      <c r="BP1030" s="379"/>
      <c r="BQ1030" s="379"/>
      <c r="BR1030" s="379"/>
      <c r="BS1030" s="379"/>
      <c r="BT1030" s="379"/>
      <c r="BU1030" s="379"/>
      <c r="BV1030" s="379"/>
      <c r="BW1030" s="379"/>
      <c r="BX1030" s="379"/>
      <c r="BY1030" s="379"/>
      <c r="BZ1030" s="379"/>
      <c r="CA1030" s="281"/>
      <c r="CB1030" s="3" t="str">
        <f t="shared" si="137"/>
        <v>Riadok bude skrytý.</v>
      </c>
      <c r="CC1030" s="271" t="s">
        <v>832</v>
      </c>
      <c r="CW1030" s="30">
        <f t="shared" si="140"/>
        <v>1</v>
      </c>
      <c r="CX1030" s="30">
        <f t="shared" si="141"/>
        <v>0</v>
      </c>
      <c r="CZ1030" s="30">
        <f t="shared" si="132"/>
        <v>1</v>
      </c>
      <c r="DA1030" s="52">
        <f t="shared" si="142"/>
        <v>0</v>
      </c>
      <c r="DB1030" s="2">
        <f t="shared" si="133"/>
        <v>0</v>
      </c>
      <c r="DS1030" s="130">
        <f>SI!BY1030</f>
        <v>112</v>
      </c>
      <c r="DZ1030" s="131">
        <f>SI!BZ1030</f>
        <v>0</v>
      </c>
    </row>
    <row r="1031" spans="1:132" hidden="1" x14ac:dyDescent="0.25">
      <c r="A1031" s="141"/>
      <c r="B1031" s="379"/>
      <c r="C1031" s="379"/>
      <c r="D1031" s="379"/>
      <c r="E1031" s="379"/>
      <c r="F1031" s="379"/>
      <c r="G1031" s="379"/>
      <c r="H1031" s="379"/>
      <c r="I1031" s="379"/>
      <c r="J1031" s="379"/>
      <c r="K1031" s="379"/>
      <c r="L1031" s="379"/>
      <c r="M1031" s="379"/>
      <c r="N1031" s="379"/>
      <c r="O1031" s="379"/>
      <c r="P1031" s="379"/>
      <c r="Q1031" s="379"/>
      <c r="R1031" s="379"/>
      <c r="S1031" s="379"/>
      <c r="T1031" s="379"/>
      <c r="U1031" s="379"/>
      <c r="V1031" s="379"/>
      <c r="W1031" s="379"/>
      <c r="X1031" s="379"/>
      <c r="Y1031" s="379"/>
      <c r="Z1031" s="379"/>
      <c r="AA1031" s="379"/>
      <c r="AB1031" s="379"/>
      <c r="AC1031" s="379"/>
      <c r="AD1031" s="379"/>
      <c r="AE1031" s="379"/>
      <c r="AF1031" s="379"/>
      <c r="AG1031" s="379"/>
      <c r="AH1031" s="379"/>
      <c r="AI1031" s="379"/>
      <c r="AJ1031" s="379"/>
      <c r="AK1031" s="379"/>
      <c r="AL1031" s="379"/>
      <c r="AM1031" s="379"/>
      <c r="AN1031" s="379"/>
      <c r="AO1031" s="379"/>
      <c r="AP1031" s="379"/>
      <c r="AQ1031" s="379"/>
      <c r="AR1031" s="379"/>
      <c r="AS1031" s="379"/>
      <c r="AT1031" s="379"/>
      <c r="AU1031" s="379"/>
      <c r="AV1031" s="379"/>
      <c r="AW1031" s="379"/>
      <c r="AX1031" s="379"/>
      <c r="AY1031" s="379"/>
      <c r="AZ1031" s="379"/>
      <c r="BA1031" s="379"/>
      <c r="BB1031" s="379"/>
      <c r="BC1031" s="379"/>
      <c r="BD1031" s="379"/>
      <c r="BE1031" s="379"/>
      <c r="BF1031" s="379"/>
      <c r="BG1031" s="379"/>
      <c r="BH1031" s="379"/>
      <c r="BI1031" s="379"/>
      <c r="BJ1031" s="379"/>
      <c r="BK1031" s="379"/>
      <c r="BL1031" s="379"/>
      <c r="BM1031" s="379"/>
      <c r="BN1031" s="379"/>
      <c r="BO1031" s="379"/>
      <c r="BP1031" s="379"/>
      <c r="BQ1031" s="379"/>
      <c r="BR1031" s="379"/>
      <c r="BS1031" s="379"/>
      <c r="BT1031" s="379"/>
      <c r="BU1031" s="379"/>
      <c r="BV1031" s="379"/>
      <c r="BW1031" s="379"/>
      <c r="BX1031" s="379"/>
      <c r="BY1031" s="379"/>
      <c r="BZ1031" s="379"/>
      <c r="CA1031" s="281"/>
      <c r="CB1031" s="3" t="str">
        <f t="shared" si="137"/>
        <v>Riadok bude skrytý.</v>
      </c>
      <c r="CC1031" s="271" t="s">
        <v>832</v>
      </c>
      <c r="CW1031" s="30">
        <f t="shared" si="140"/>
        <v>1</v>
      </c>
      <c r="CX1031" s="30">
        <f t="shared" si="141"/>
        <v>0</v>
      </c>
      <c r="CZ1031" s="30">
        <f t="shared" si="132"/>
        <v>1</v>
      </c>
      <c r="DA1031" s="52">
        <f t="shared" si="142"/>
        <v>0</v>
      </c>
      <c r="DB1031" s="2">
        <f t="shared" si="133"/>
        <v>0</v>
      </c>
      <c r="DS1031" s="130">
        <f>SI!BY1031</f>
        <v>132</v>
      </c>
      <c r="DZ1031" s="131">
        <f>SI!BZ1031</f>
        <v>0</v>
      </c>
    </row>
    <row r="1032" spans="1:132" hidden="1" x14ac:dyDescent="0.25">
      <c r="A1032" s="141"/>
      <c r="B1032" s="379"/>
      <c r="C1032" s="379"/>
      <c r="D1032" s="379"/>
      <c r="E1032" s="379"/>
      <c r="F1032" s="379"/>
      <c r="G1032" s="379"/>
      <c r="H1032" s="379"/>
      <c r="I1032" s="379"/>
      <c r="J1032" s="379"/>
      <c r="K1032" s="379"/>
      <c r="L1032" s="379"/>
      <c r="M1032" s="379"/>
      <c r="N1032" s="379"/>
      <c r="O1032" s="379"/>
      <c r="P1032" s="379"/>
      <c r="Q1032" s="379"/>
      <c r="R1032" s="379"/>
      <c r="S1032" s="379"/>
      <c r="T1032" s="379"/>
      <c r="U1032" s="379"/>
      <c r="V1032" s="379"/>
      <c r="W1032" s="379"/>
      <c r="X1032" s="379"/>
      <c r="Y1032" s="379"/>
      <c r="Z1032" s="379"/>
      <c r="AA1032" s="379"/>
      <c r="AB1032" s="379"/>
      <c r="AC1032" s="379"/>
      <c r="AD1032" s="379"/>
      <c r="AE1032" s="379"/>
      <c r="AF1032" s="379"/>
      <c r="AG1032" s="379"/>
      <c r="AH1032" s="379"/>
      <c r="AI1032" s="379"/>
      <c r="AJ1032" s="379"/>
      <c r="AK1032" s="379"/>
      <c r="AL1032" s="379"/>
      <c r="AM1032" s="379"/>
      <c r="AN1032" s="379"/>
      <c r="AO1032" s="379"/>
      <c r="AP1032" s="379"/>
      <c r="AQ1032" s="379"/>
      <c r="AR1032" s="379"/>
      <c r="AS1032" s="379"/>
      <c r="AT1032" s="379"/>
      <c r="AU1032" s="379"/>
      <c r="AV1032" s="379"/>
      <c r="AW1032" s="379"/>
      <c r="AX1032" s="379"/>
      <c r="AY1032" s="379"/>
      <c r="AZ1032" s="379"/>
      <c r="BA1032" s="379"/>
      <c r="BB1032" s="379"/>
      <c r="BC1032" s="379"/>
      <c r="BD1032" s="379"/>
      <c r="BE1032" s="379"/>
      <c r="BF1032" s="379"/>
      <c r="BG1032" s="379"/>
      <c r="BH1032" s="379"/>
      <c r="BI1032" s="379"/>
      <c r="BJ1032" s="379"/>
      <c r="BK1032" s="379"/>
      <c r="BL1032" s="379"/>
      <c r="BM1032" s="379"/>
      <c r="BN1032" s="379"/>
      <c r="BO1032" s="379"/>
      <c r="BP1032" s="379"/>
      <c r="BQ1032" s="379"/>
      <c r="BR1032" s="379"/>
      <c r="BS1032" s="379"/>
      <c r="BT1032" s="379"/>
      <c r="BU1032" s="379"/>
      <c r="BV1032" s="379"/>
      <c r="BW1032" s="379"/>
      <c r="BX1032" s="379"/>
      <c r="BY1032" s="379"/>
      <c r="BZ1032" s="379"/>
      <c r="CA1032" s="281"/>
      <c r="CB1032" s="3" t="str">
        <f t="shared" si="137"/>
        <v>Riadok bude skrytý.</v>
      </c>
      <c r="CC1032" s="271" t="s">
        <v>832</v>
      </c>
      <c r="CW1032" s="30">
        <f t="shared" si="140"/>
        <v>1</v>
      </c>
      <c r="CX1032" s="30">
        <f t="shared" si="141"/>
        <v>0</v>
      </c>
      <c r="CZ1032" s="30">
        <f t="shared" si="132"/>
        <v>1</v>
      </c>
      <c r="DA1032" s="52">
        <f t="shared" si="142"/>
        <v>0</v>
      </c>
      <c r="DB1032" s="2">
        <f t="shared" si="133"/>
        <v>0</v>
      </c>
      <c r="DS1032" s="130">
        <f>SI!BY1032</f>
        <v>478</v>
      </c>
      <c r="DZ1032" s="131">
        <f>SI!BZ1032</f>
        <v>0</v>
      </c>
    </row>
    <row r="1033" spans="1:132" hidden="1" x14ac:dyDescent="0.25">
      <c r="A1033" s="141"/>
      <c r="B1033" s="379"/>
      <c r="C1033" s="379"/>
      <c r="D1033" s="379"/>
      <c r="E1033" s="379"/>
      <c r="F1033" s="379"/>
      <c r="G1033" s="379"/>
      <c r="H1033" s="379"/>
      <c r="I1033" s="379"/>
      <c r="J1033" s="379"/>
      <c r="K1033" s="379"/>
      <c r="L1033" s="379"/>
      <c r="M1033" s="379"/>
      <c r="N1033" s="379"/>
      <c r="O1033" s="379"/>
      <c r="P1033" s="379"/>
      <c r="Q1033" s="379"/>
      <c r="R1033" s="379"/>
      <c r="S1033" s="379"/>
      <c r="T1033" s="379"/>
      <c r="U1033" s="379"/>
      <c r="V1033" s="379"/>
      <c r="W1033" s="379"/>
      <c r="X1033" s="379"/>
      <c r="Y1033" s="379"/>
      <c r="Z1033" s="379"/>
      <c r="AA1033" s="379"/>
      <c r="AB1033" s="379"/>
      <c r="AC1033" s="379"/>
      <c r="AD1033" s="379"/>
      <c r="AE1033" s="379"/>
      <c r="AF1033" s="379"/>
      <c r="AG1033" s="379"/>
      <c r="AH1033" s="379"/>
      <c r="AI1033" s="379"/>
      <c r="AJ1033" s="379"/>
      <c r="AK1033" s="379"/>
      <c r="AL1033" s="379"/>
      <c r="AM1033" s="379"/>
      <c r="AN1033" s="379"/>
      <c r="AO1033" s="379"/>
      <c r="AP1033" s="379"/>
      <c r="AQ1033" s="379"/>
      <c r="AR1033" s="379"/>
      <c r="AS1033" s="379"/>
      <c r="AT1033" s="379"/>
      <c r="AU1033" s="379"/>
      <c r="AV1033" s="379"/>
      <c r="AW1033" s="379"/>
      <c r="AX1033" s="379"/>
      <c r="AY1033" s="379"/>
      <c r="AZ1033" s="379"/>
      <c r="BA1033" s="379"/>
      <c r="BB1033" s="379"/>
      <c r="BC1033" s="379"/>
      <c r="BD1033" s="379"/>
      <c r="BE1033" s="379"/>
      <c r="BF1033" s="379"/>
      <c r="BG1033" s="379"/>
      <c r="BH1033" s="379"/>
      <c r="BI1033" s="379"/>
      <c r="BJ1033" s="379"/>
      <c r="BK1033" s="379"/>
      <c r="BL1033" s="379"/>
      <c r="BM1033" s="379"/>
      <c r="BN1033" s="379"/>
      <c r="BO1033" s="379"/>
      <c r="BP1033" s="379"/>
      <c r="BQ1033" s="379"/>
      <c r="BR1033" s="379"/>
      <c r="BS1033" s="379"/>
      <c r="BT1033" s="379"/>
      <c r="BU1033" s="379"/>
      <c r="BV1033" s="379"/>
      <c r="BW1033" s="379"/>
      <c r="BX1033" s="379"/>
      <c r="BY1033" s="379"/>
      <c r="BZ1033" s="379"/>
      <c r="CA1033" s="281"/>
      <c r="CB1033" s="3" t="str">
        <f t="shared" si="137"/>
        <v>Riadok bude skrytý.</v>
      </c>
      <c r="CC1033" s="271" t="s">
        <v>832</v>
      </c>
      <c r="CW1033" s="30">
        <f t="shared" si="140"/>
        <v>1</v>
      </c>
      <c r="CX1033" s="30">
        <f t="shared" si="141"/>
        <v>0</v>
      </c>
      <c r="CZ1033" s="30">
        <f t="shared" si="132"/>
        <v>1</v>
      </c>
      <c r="DA1033" s="52">
        <f t="shared" si="142"/>
        <v>0</v>
      </c>
      <c r="DB1033" s="2">
        <f t="shared" si="133"/>
        <v>0</v>
      </c>
      <c r="DS1033" s="130">
        <f>SI!BY1033</f>
        <v>150</v>
      </c>
      <c r="DZ1033" s="131">
        <f>SI!BZ1033</f>
        <v>0</v>
      </c>
    </row>
    <row r="1034" spans="1:132" hidden="1" x14ac:dyDescent="0.25">
      <c r="A1034" s="141"/>
      <c r="B1034" s="379"/>
      <c r="C1034" s="379"/>
      <c r="D1034" s="379"/>
      <c r="E1034" s="379"/>
      <c r="F1034" s="379"/>
      <c r="G1034" s="379"/>
      <c r="H1034" s="379"/>
      <c r="I1034" s="379"/>
      <c r="J1034" s="379"/>
      <c r="K1034" s="379"/>
      <c r="L1034" s="379"/>
      <c r="M1034" s="379"/>
      <c r="N1034" s="379"/>
      <c r="O1034" s="379"/>
      <c r="P1034" s="379"/>
      <c r="Q1034" s="379"/>
      <c r="R1034" s="379"/>
      <c r="S1034" s="379"/>
      <c r="T1034" s="379"/>
      <c r="U1034" s="379"/>
      <c r="V1034" s="379"/>
      <c r="W1034" s="379"/>
      <c r="X1034" s="379"/>
      <c r="Y1034" s="379"/>
      <c r="Z1034" s="379"/>
      <c r="AA1034" s="379"/>
      <c r="AB1034" s="379"/>
      <c r="AC1034" s="379"/>
      <c r="AD1034" s="379"/>
      <c r="AE1034" s="379"/>
      <c r="AF1034" s="379"/>
      <c r="AG1034" s="379"/>
      <c r="AH1034" s="379"/>
      <c r="AI1034" s="379"/>
      <c r="AJ1034" s="379"/>
      <c r="AK1034" s="379"/>
      <c r="AL1034" s="379"/>
      <c r="AM1034" s="379"/>
      <c r="AN1034" s="379"/>
      <c r="AO1034" s="379"/>
      <c r="AP1034" s="379"/>
      <c r="AQ1034" s="379"/>
      <c r="AR1034" s="379"/>
      <c r="AS1034" s="379"/>
      <c r="AT1034" s="379"/>
      <c r="AU1034" s="379"/>
      <c r="AV1034" s="379"/>
      <c r="AW1034" s="379"/>
      <c r="AX1034" s="379"/>
      <c r="AY1034" s="379"/>
      <c r="AZ1034" s="379"/>
      <c r="BA1034" s="379"/>
      <c r="BB1034" s="379"/>
      <c r="BC1034" s="379"/>
      <c r="BD1034" s="379"/>
      <c r="BE1034" s="379"/>
      <c r="BF1034" s="379"/>
      <c r="BG1034" s="379"/>
      <c r="BH1034" s="379"/>
      <c r="BI1034" s="379"/>
      <c r="BJ1034" s="379"/>
      <c r="BK1034" s="379"/>
      <c r="BL1034" s="379"/>
      <c r="BM1034" s="379"/>
      <c r="BN1034" s="379"/>
      <c r="BO1034" s="379"/>
      <c r="BP1034" s="379"/>
      <c r="BQ1034" s="379"/>
      <c r="BR1034" s="379"/>
      <c r="BS1034" s="379"/>
      <c r="BT1034" s="379"/>
      <c r="BU1034" s="379"/>
      <c r="BV1034" s="379"/>
      <c r="BW1034" s="379"/>
      <c r="BX1034" s="379"/>
      <c r="BY1034" s="379"/>
      <c r="BZ1034" s="379"/>
      <c r="CA1034" s="281"/>
      <c r="CB1034" s="3" t="str">
        <f t="shared" si="137"/>
        <v>Riadok bude skrytý.</v>
      </c>
      <c r="CC1034" s="271" t="s">
        <v>832</v>
      </c>
      <c r="CW1034" s="30">
        <f t="shared" si="140"/>
        <v>1</v>
      </c>
      <c r="CX1034" s="30">
        <f t="shared" si="141"/>
        <v>0</v>
      </c>
      <c r="CZ1034" s="30">
        <f t="shared" si="132"/>
        <v>1</v>
      </c>
      <c r="DA1034" s="52">
        <f t="shared" si="142"/>
        <v>0</v>
      </c>
      <c r="DB1034" s="2">
        <f t="shared" si="133"/>
        <v>0</v>
      </c>
      <c r="DS1034" s="130">
        <f>SI!BY1034</f>
        <v>473</v>
      </c>
      <c r="DZ1034" s="131">
        <f>SI!BZ1034</f>
        <v>0</v>
      </c>
    </row>
    <row r="1035" spans="1:132" hidden="1" x14ac:dyDescent="0.25">
      <c r="A1035" s="141"/>
      <c r="B1035" s="379"/>
      <c r="C1035" s="379"/>
      <c r="D1035" s="379"/>
      <c r="E1035" s="379"/>
      <c r="F1035" s="379"/>
      <c r="G1035" s="379"/>
      <c r="H1035" s="379"/>
      <c r="I1035" s="379"/>
      <c r="J1035" s="379"/>
      <c r="K1035" s="379"/>
      <c r="L1035" s="379"/>
      <c r="M1035" s="379"/>
      <c r="N1035" s="379"/>
      <c r="O1035" s="379"/>
      <c r="P1035" s="379"/>
      <c r="Q1035" s="379"/>
      <c r="R1035" s="379"/>
      <c r="S1035" s="379"/>
      <c r="T1035" s="379"/>
      <c r="U1035" s="379"/>
      <c r="V1035" s="379"/>
      <c r="W1035" s="379"/>
      <c r="X1035" s="379"/>
      <c r="Y1035" s="379"/>
      <c r="Z1035" s="379"/>
      <c r="AA1035" s="379"/>
      <c r="AB1035" s="379"/>
      <c r="AC1035" s="379"/>
      <c r="AD1035" s="379"/>
      <c r="AE1035" s="379"/>
      <c r="AF1035" s="379"/>
      <c r="AG1035" s="379"/>
      <c r="AH1035" s="379"/>
      <c r="AI1035" s="379"/>
      <c r="AJ1035" s="379"/>
      <c r="AK1035" s="379"/>
      <c r="AL1035" s="379"/>
      <c r="AM1035" s="379"/>
      <c r="AN1035" s="379"/>
      <c r="AO1035" s="379"/>
      <c r="AP1035" s="379"/>
      <c r="AQ1035" s="379"/>
      <c r="AR1035" s="379"/>
      <c r="AS1035" s="379"/>
      <c r="AT1035" s="379"/>
      <c r="AU1035" s="379"/>
      <c r="AV1035" s="379"/>
      <c r="AW1035" s="379"/>
      <c r="AX1035" s="379"/>
      <c r="AY1035" s="379"/>
      <c r="AZ1035" s="379"/>
      <c r="BA1035" s="379"/>
      <c r="BB1035" s="379"/>
      <c r="BC1035" s="379"/>
      <c r="BD1035" s="379"/>
      <c r="BE1035" s="379"/>
      <c r="BF1035" s="379"/>
      <c r="BG1035" s="379"/>
      <c r="BH1035" s="379"/>
      <c r="BI1035" s="379"/>
      <c r="BJ1035" s="379"/>
      <c r="BK1035" s="379"/>
      <c r="BL1035" s="379"/>
      <c r="BM1035" s="379"/>
      <c r="BN1035" s="379"/>
      <c r="BO1035" s="379"/>
      <c r="BP1035" s="379"/>
      <c r="BQ1035" s="379"/>
      <c r="BR1035" s="379"/>
      <c r="BS1035" s="379"/>
      <c r="BT1035" s="379"/>
      <c r="BU1035" s="379"/>
      <c r="BV1035" s="379"/>
      <c r="BW1035" s="379"/>
      <c r="BX1035" s="379"/>
      <c r="BY1035" s="379"/>
      <c r="BZ1035" s="379"/>
      <c r="CA1035" s="281"/>
      <c r="CB1035" s="3" t="str">
        <f t="shared" si="137"/>
        <v>Riadok bude skrytý.</v>
      </c>
      <c r="CC1035" s="271" t="s">
        <v>832</v>
      </c>
      <c r="CW1035" s="30">
        <f t="shared" si="140"/>
        <v>1</v>
      </c>
      <c r="CX1035" s="30">
        <f t="shared" si="141"/>
        <v>0</v>
      </c>
      <c r="CZ1035" s="30">
        <f t="shared" si="132"/>
        <v>1</v>
      </c>
      <c r="DA1035" s="52">
        <f t="shared" si="142"/>
        <v>0</v>
      </c>
      <c r="DB1035" s="2">
        <f t="shared" si="133"/>
        <v>0</v>
      </c>
      <c r="DS1035" s="130">
        <f>SI!BY1035</f>
        <v>160</v>
      </c>
      <c r="DZ1035" s="131">
        <f>SI!BZ1035</f>
        <v>0</v>
      </c>
    </row>
    <row r="1036" spans="1:132" hidden="1" x14ac:dyDescent="0.25">
      <c r="A1036" s="141"/>
      <c r="B1036" s="379"/>
      <c r="C1036" s="379"/>
      <c r="D1036" s="379"/>
      <c r="E1036" s="379"/>
      <c r="F1036" s="379"/>
      <c r="G1036" s="379"/>
      <c r="H1036" s="379"/>
      <c r="I1036" s="379"/>
      <c r="J1036" s="379"/>
      <c r="K1036" s="379"/>
      <c r="L1036" s="379"/>
      <c r="M1036" s="379"/>
      <c r="N1036" s="379"/>
      <c r="O1036" s="379"/>
      <c r="P1036" s="379"/>
      <c r="Q1036" s="379"/>
      <c r="R1036" s="379"/>
      <c r="S1036" s="379"/>
      <c r="T1036" s="379"/>
      <c r="U1036" s="379"/>
      <c r="V1036" s="379"/>
      <c r="W1036" s="379"/>
      <c r="X1036" s="379"/>
      <c r="Y1036" s="379"/>
      <c r="Z1036" s="379"/>
      <c r="AA1036" s="379"/>
      <c r="AB1036" s="379"/>
      <c r="AC1036" s="379"/>
      <c r="AD1036" s="379"/>
      <c r="AE1036" s="379"/>
      <c r="AF1036" s="379"/>
      <c r="AG1036" s="379"/>
      <c r="AH1036" s="379"/>
      <c r="AI1036" s="379"/>
      <c r="AJ1036" s="379"/>
      <c r="AK1036" s="379"/>
      <c r="AL1036" s="379"/>
      <c r="AM1036" s="379"/>
      <c r="AN1036" s="379"/>
      <c r="AO1036" s="379"/>
      <c r="AP1036" s="379"/>
      <c r="AQ1036" s="379"/>
      <c r="AR1036" s="379"/>
      <c r="AS1036" s="379"/>
      <c r="AT1036" s="379"/>
      <c r="AU1036" s="379"/>
      <c r="AV1036" s="379"/>
      <c r="AW1036" s="379"/>
      <c r="AX1036" s="379"/>
      <c r="AY1036" s="379"/>
      <c r="AZ1036" s="379"/>
      <c r="BA1036" s="379"/>
      <c r="BB1036" s="379"/>
      <c r="BC1036" s="379"/>
      <c r="BD1036" s="379"/>
      <c r="BE1036" s="379"/>
      <c r="BF1036" s="379"/>
      <c r="BG1036" s="379"/>
      <c r="BH1036" s="379"/>
      <c r="BI1036" s="379"/>
      <c r="BJ1036" s="379"/>
      <c r="BK1036" s="379"/>
      <c r="BL1036" s="379"/>
      <c r="BM1036" s="379"/>
      <c r="BN1036" s="379"/>
      <c r="BO1036" s="379"/>
      <c r="BP1036" s="379"/>
      <c r="BQ1036" s="379"/>
      <c r="BR1036" s="379"/>
      <c r="BS1036" s="379"/>
      <c r="BT1036" s="379"/>
      <c r="BU1036" s="379"/>
      <c r="BV1036" s="379"/>
      <c r="BW1036" s="379"/>
      <c r="BX1036" s="379"/>
      <c r="BY1036" s="379"/>
      <c r="BZ1036" s="379"/>
      <c r="CA1036" s="281"/>
      <c r="CB1036" s="3" t="str">
        <f t="shared" si="137"/>
        <v>Riadok bude skrytý.</v>
      </c>
      <c r="CC1036" s="271" t="s">
        <v>832</v>
      </c>
      <c r="CW1036" s="30">
        <f t="shared" si="140"/>
        <v>1</v>
      </c>
      <c r="CX1036" s="30">
        <f t="shared" si="141"/>
        <v>0</v>
      </c>
      <c r="CZ1036" s="30">
        <f t="shared" si="132"/>
        <v>1</v>
      </c>
      <c r="DA1036" s="52">
        <f t="shared" si="142"/>
        <v>0</v>
      </c>
      <c r="DB1036" s="2">
        <f t="shared" si="133"/>
        <v>0</v>
      </c>
      <c r="DS1036" s="130">
        <f>SI!BY1036</f>
        <v>426</v>
      </c>
      <c r="DZ1036" s="131">
        <f>SI!BZ1036</f>
        <v>0</v>
      </c>
    </row>
    <row r="1037" spans="1:132" hidden="1" x14ac:dyDescent="0.25">
      <c r="A1037" s="141"/>
      <c r="B1037" s="379"/>
      <c r="C1037" s="379"/>
      <c r="D1037" s="379"/>
      <c r="E1037" s="379"/>
      <c r="F1037" s="379"/>
      <c r="G1037" s="379"/>
      <c r="H1037" s="379"/>
      <c r="I1037" s="379"/>
      <c r="J1037" s="379"/>
      <c r="K1037" s="379"/>
      <c r="L1037" s="379"/>
      <c r="M1037" s="379"/>
      <c r="N1037" s="379"/>
      <c r="O1037" s="379"/>
      <c r="P1037" s="379"/>
      <c r="Q1037" s="379"/>
      <c r="R1037" s="379"/>
      <c r="S1037" s="379"/>
      <c r="T1037" s="379"/>
      <c r="U1037" s="379"/>
      <c r="V1037" s="379"/>
      <c r="W1037" s="379"/>
      <c r="X1037" s="379"/>
      <c r="Y1037" s="379"/>
      <c r="Z1037" s="379"/>
      <c r="AA1037" s="379"/>
      <c r="AB1037" s="379"/>
      <c r="AC1037" s="379"/>
      <c r="AD1037" s="379"/>
      <c r="AE1037" s="379"/>
      <c r="AF1037" s="379"/>
      <c r="AG1037" s="379"/>
      <c r="AH1037" s="379"/>
      <c r="AI1037" s="379"/>
      <c r="AJ1037" s="379"/>
      <c r="AK1037" s="379"/>
      <c r="AL1037" s="379"/>
      <c r="AM1037" s="379"/>
      <c r="AN1037" s="379"/>
      <c r="AO1037" s="379"/>
      <c r="AP1037" s="379"/>
      <c r="AQ1037" s="379"/>
      <c r="AR1037" s="379"/>
      <c r="AS1037" s="379"/>
      <c r="AT1037" s="379"/>
      <c r="AU1037" s="379"/>
      <c r="AV1037" s="379"/>
      <c r="AW1037" s="379"/>
      <c r="AX1037" s="379"/>
      <c r="AY1037" s="379"/>
      <c r="AZ1037" s="379"/>
      <c r="BA1037" s="379"/>
      <c r="BB1037" s="379"/>
      <c r="BC1037" s="379"/>
      <c r="BD1037" s="379"/>
      <c r="BE1037" s="379"/>
      <c r="BF1037" s="379"/>
      <c r="BG1037" s="379"/>
      <c r="BH1037" s="379"/>
      <c r="BI1037" s="379"/>
      <c r="BJ1037" s="379"/>
      <c r="BK1037" s="379"/>
      <c r="BL1037" s="379"/>
      <c r="BM1037" s="379"/>
      <c r="BN1037" s="379"/>
      <c r="BO1037" s="379"/>
      <c r="BP1037" s="379"/>
      <c r="BQ1037" s="379"/>
      <c r="BR1037" s="379"/>
      <c r="BS1037" s="379"/>
      <c r="BT1037" s="379"/>
      <c r="BU1037" s="379"/>
      <c r="BV1037" s="379"/>
      <c r="BW1037" s="379"/>
      <c r="BX1037" s="379"/>
      <c r="BY1037" s="379"/>
      <c r="BZ1037" s="379"/>
      <c r="CA1037" s="281"/>
      <c r="CB1037" s="3" t="str">
        <f t="shared" si="137"/>
        <v>Riadok bude skrytý.</v>
      </c>
      <c r="CC1037" s="271" t="s">
        <v>832</v>
      </c>
      <c r="CW1037" s="30">
        <f t="shared" si="140"/>
        <v>1</v>
      </c>
      <c r="CX1037" s="30">
        <f t="shared" si="141"/>
        <v>0</v>
      </c>
      <c r="CZ1037" s="30">
        <f t="shared" si="132"/>
        <v>1</v>
      </c>
      <c r="DA1037" s="52">
        <f t="shared" si="142"/>
        <v>0</v>
      </c>
      <c r="DB1037" s="2">
        <f t="shared" si="133"/>
        <v>0</v>
      </c>
      <c r="DS1037" s="130">
        <f>SI!BY1037</f>
        <v>128</v>
      </c>
      <c r="DZ1037" s="131">
        <f>SI!BZ1037</f>
        <v>0</v>
      </c>
    </row>
    <row r="1038" spans="1:132" hidden="1" x14ac:dyDescent="0.25">
      <c r="A1038" s="141"/>
      <c r="B1038" s="379"/>
      <c r="C1038" s="379"/>
      <c r="D1038" s="379"/>
      <c r="E1038" s="379"/>
      <c r="F1038" s="379"/>
      <c r="G1038" s="379"/>
      <c r="H1038" s="379"/>
      <c r="I1038" s="379"/>
      <c r="J1038" s="379"/>
      <c r="K1038" s="379"/>
      <c r="L1038" s="379"/>
      <c r="M1038" s="379"/>
      <c r="N1038" s="379"/>
      <c r="O1038" s="379"/>
      <c r="P1038" s="379"/>
      <c r="Q1038" s="379"/>
      <c r="R1038" s="379"/>
      <c r="S1038" s="379"/>
      <c r="T1038" s="379"/>
      <c r="U1038" s="379"/>
      <c r="V1038" s="379"/>
      <c r="W1038" s="379"/>
      <c r="X1038" s="379"/>
      <c r="Y1038" s="379"/>
      <c r="Z1038" s="379"/>
      <c r="AA1038" s="379"/>
      <c r="AB1038" s="379"/>
      <c r="AC1038" s="379"/>
      <c r="AD1038" s="379"/>
      <c r="AE1038" s="379"/>
      <c r="AF1038" s="379"/>
      <c r="AG1038" s="379"/>
      <c r="AH1038" s="379"/>
      <c r="AI1038" s="379"/>
      <c r="AJ1038" s="379"/>
      <c r="AK1038" s="379"/>
      <c r="AL1038" s="379"/>
      <c r="AM1038" s="379"/>
      <c r="AN1038" s="379"/>
      <c r="AO1038" s="379"/>
      <c r="AP1038" s="379"/>
      <c r="AQ1038" s="379"/>
      <c r="AR1038" s="379"/>
      <c r="AS1038" s="379"/>
      <c r="AT1038" s="379"/>
      <c r="AU1038" s="379"/>
      <c r="AV1038" s="379"/>
      <c r="AW1038" s="379"/>
      <c r="AX1038" s="379"/>
      <c r="AY1038" s="379"/>
      <c r="AZ1038" s="379"/>
      <c r="BA1038" s="379"/>
      <c r="BB1038" s="379"/>
      <c r="BC1038" s="379"/>
      <c r="BD1038" s="379"/>
      <c r="BE1038" s="379"/>
      <c r="BF1038" s="379"/>
      <c r="BG1038" s="379"/>
      <c r="BH1038" s="379"/>
      <c r="BI1038" s="379"/>
      <c r="BJ1038" s="379"/>
      <c r="BK1038" s="379"/>
      <c r="BL1038" s="379"/>
      <c r="BM1038" s="379"/>
      <c r="BN1038" s="379"/>
      <c r="BO1038" s="379"/>
      <c r="BP1038" s="379"/>
      <c r="BQ1038" s="379"/>
      <c r="BR1038" s="379"/>
      <c r="BS1038" s="379"/>
      <c r="BT1038" s="379"/>
      <c r="BU1038" s="379"/>
      <c r="BV1038" s="379"/>
      <c r="BW1038" s="379"/>
      <c r="BX1038" s="379"/>
      <c r="BY1038" s="379"/>
      <c r="BZ1038" s="379"/>
      <c r="CA1038" s="281"/>
      <c r="CB1038" s="3" t="str">
        <f t="shared" si="137"/>
        <v>Riadok bude skrytý.</v>
      </c>
      <c r="CC1038" s="271" t="s">
        <v>832</v>
      </c>
      <c r="CW1038" s="30">
        <f t="shared" si="140"/>
        <v>1</v>
      </c>
      <c r="CX1038" s="30">
        <f t="shared" si="141"/>
        <v>0</v>
      </c>
      <c r="CZ1038" s="30">
        <f t="shared" si="132"/>
        <v>1</v>
      </c>
      <c r="DA1038" s="52">
        <f t="shared" si="142"/>
        <v>0</v>
      </c>
      <c r="DB1038" s="2">
        <f t="shared" si="133"/>
        <v>0</v>
      </c>
      <c r="DS1038" s="130">
        <f>SI!BY1038</f>
        <v>847</v>
      </c>
      <c r="DZ1038" s="131">
        <f>SI!BZ1038</f>
        <v>0</v>
      </c>
    </row>
    <row r="1039" spans="1:132" hidden="1" x14ac:dyDescent="0.25">
      <c r="A1039" s="141"/>
      <c r="B1039" s="379"/>
      <c r="C1039" s="379"/>
      <c r="D1039" s="379"/>
      <c r="E1039" s="379"/>
      <c r="F1039" s="379"/>
      <c r="G1039" s="379"/>
      <c r="H1039" s="379"/>
      <c r="I1039" s="379"/>
      <c r="J1039" s="379"/>
      <c r="K1039" s="379"/>
      <c r="L1039" s="379"/>
      <c r="M1039" s="379"/>
      <c r="N1039" s="379"/>
      <c r="O1039" s="379"/>
      <c r="P1039" s="379"/>
      <c r="Q1039" s="379"/>
      <c r="R1039" s="379"/>
      <c r="S1039" s="379"/>
      <c r="T1039" s="379"/>
      <c r="U1039" s="379"/>
      <c r="V1039" s="379"/>
      <c r="W1039" s="379"/>
      <c r="X1039" s="379"/>
      <c r="Y1039" s="379"/>
      <c r="Z1039" s="379"/>
      <c r="AA1039" s="379"/>
      <c r="AB1039" s="379"/>
      <c r="AC1039" s="379"/>
      <c r="AD1039" s="379"/>
      <c r="AE1039" s="379"/>
      <c r="AF1039" s="379"/>
      <c r="AG1039" s="379"/>
      <c r="AH1039" s="379"/>
      <c r="AI1039" s="379"/>
      <c r="AJ1039" s="379"/>
      <c r="AK1039" s="379"/>
      <c r="AL1039" s="379"/>
      <c r="AM1039" s="379"/>
      <c r="AN1039" s="379"/>
      <c r="AO1039" s="379"/>
      <c r="AP1039" s="379"/>
      <c r="AQ1039" s="379"/>
      <c r="AR1039" s="379"/>
      <c r="AS1039" s="379"/>
      <c r="AT1039" s="379"/>
      <c r="AU1039" s="379"/>
      <c r="AV1039" s="379"/>
      <c r="AW1039" s="379"/>
      <c r="AX1039" s="379"/>
      <c r="AY1039" s="379"/>
      <c r="AZ1039" s="379"/>
      <c r="BA1039" s="379"/>
      <c r="BB1039" s="379"/>
      <c r="BC1039" s="379"/>
      <c r="BD1039" s="379"/>
      <c r="BE1039" s="379"/>
      <c r="BF1039" s="379"/>
      <c r="BG1039" s="379"/>
      <c r="BH1039" s="379"/>
      <c r="BI1039" s="379"/>
      <c r="BJ1039" s="379"/>
      <c r="BK1039" s="379"/>
      <c r="BL1039" s="379"/>
      <c r="BM1039" s="379"/>
      <c r="BN1039" s="379"/>
      <c r="BO1039" s="379"/>
      <c r="BP1039" s="379"/>
      <c r="BQ1039" s="379"/>
      <c r="BR1039" s="379"/>
      <c r="BS1039" s="379"/>
      <c r="BT1039" s="379"/>
      <c r="BU1039" s="379"/>
      <c r="BV1039" s="379"/>
      <c r="BW1039" s="379"/>
      <c r="BX1039" s="379"/>
      <c r="BY1039" s="379"/>
      <c r="BZ1039" s="379"/>
      <c r="CA1039" s="281"/>
      <c r="CB1039" s="3" t="str">
        <f t="shared" si="137"/>
        <v>Riadok bude skrytý.</v>
      </c>
      <c r="CC1039" s="271" t="s">
        <v>832</v>
      </c>
      <c r="CW1039" s="30">
        <f t="shared" si="140"/>
        <v>1</v>
      </c>
      <c r="CX1039" s="30">
        <f t="shared" si="141"/>
        <v>0</v>
      </c>
      <c r="CZ1039" s="30">
        <f t="shared" si="132"/>
        <v>1</v>
      </c>
      <c r="DA1039" s="52">
        <f t="shared" si="142"/>
        <v>0</v>
      </c>
      <c r="DB1039" s="2">
        <f t="shared" si="133"/>
        <v>0</v>
      </c>
      <c r="DS1039" s="130">
        <f>SI!BY1039</f>
        <v>124</v>
      </c>
      <c r="DZ1039" s="131">
        <f>SI!BZ1039</f>
        <v>0</v>
      </c>
    </row>
    <row r="1040" spans="1:132" hidden="1" x14ac:dyDescent="0.25">
      <c r="A1040" s="141"/>
      <c r="B1040" s="379"/>
      <c r="C1040" s="379"/>
      <c r="D1040" s="379"/>
      <c r="E1040" s="379"/>
      <c r="F1040" s="379"/>
      <c r="G1040" s="379"/>
      <c r="H1040" s="379"/>
      <c r="I1040" s="379"/>
      <c r="J1040" s="379"/>
      <c r="K1040" s="379"/>
      <c r="L1040" s="379"/>
      <c r="M1040" s="379"/>
      <c r="N1040" s="379"/>
      <c r="O1040" s="379"/>
      <c r="P1040" s="379"/>
      <c r="Q1040" s="379"/>
      <c r="R1040" s="379"/>
      <c r="S1040" s="379"/>
      <c r="T1040" s="379"/>
      <c r="U1040" s="379"/>
      <c r="V1040" s="379"/>
      <c r="W1040" s="379"/>
      <c r="X1040" s="379"/>
      <c r="Y1040" s="379"/>
      <c r="Z1040" s="379"/>
      <c r="AA1040" s="379"/>
      <c r="AB1040" s="379"/>
      <c r="AC1040" s="379"/>
      <c r="AD1040" s="379"/>
      <c r="AE1040" s="379"/>
      <c r="AF1040" s="379"/>
      <c r="AG1040" s="379"/>
      <c r="AH1040" s="379"/>
      <c r="AI1040" s="379"/>
      <c r="AJ1040" s="379"/>
      <c r="AK1040" s="379"/>
      <c r="AL1040" s="379"/>
      <c r="AM1040" s="379"/>
      <c r="AN1040" s="379"/>
      <c r="AO1040" s="379"/>
      <c r="AP1040" s="379"/>
      <c r="AQ1040" s="379"/>
      <c r="AR1040" s="379"/>
      <c r="AS1040" s="379"/>
      <c r="AT1040" s="379"/>
      <c r="AU1040" s="379"/>
      <c r="AV1040" s="379"/>
      <c r="AW1040" s="379"/>
      <c r="AX1040" s="379"/>
      <c r="AY1040" s="379"/>
      <c r="AZ1040" s="379"/>
      <c r="BA1040" s="379"/>
      <c r="BB1040" s="379"/>
      <c r="BC1040" s="379"/>
      <c r="BD1040" s="379"/>
      <c r="BE1040" s="379"/>
      <c r="BF1040" s="379"/>
      <c r="BG1040" s="379"/>
      <c r="BH1040" s="379"/>
      <c r="BI1040" s="379"/>
      <c r="BJ1040" s="379"/>
      <c r="BK1040" s="379"/>
      <c r="BL1040" s="379"/>
      <c r="BM1040" s="379"/>
      <c r="BN1040" s="379"/>
      <c r="BO1040" s="379"/>
      <c r="BP1040" s="379"/>
      <c r="BQ1040" s="379"/>
      <c r="BR1040" s="379"/>
      <c r="BS1040" s="379"/>
      <c r="BT1040" s="379"/>
      <c r="BU1040" s="379"/>
      <c r="BV1040" s="379"/>
      <c r="BW1040" s="379"/>
      <c r="BX1040" s="379"/>
      <c r="BY1040" s="379"/>
      <c r="BZ1040" s="379"/>
      <c r="CA1040" s="281"/>
      <c r="CB1040" s="3" t="str">
        <f t="shared" si="137"/>
        <v>Riadok bude skrytý.</v>
      </c>
      <c r="CC1040" s="271" t="s">
        <v>832</v>
      </c>
      <c r="CW1040" s="30">
        <f t="shared" si="140"/>
        <v>1</v>
      </c>
      <c r="CX1040" s="30">
        <f t="shared" si="141"/>
        <v>0</v>
      </c>
      <c r="CZ1040" s="30">
        <f t="shared" si="132"/>
        <v>1</v>
      </c>
      <c r="DA1040" s="52">
        <f t="shared" si="142"/>
        <v>0</v>
      </c>
      <c r="DB1040" s="2">
        <f t="shared" si="133"/>
        <v>0</v>
      </c>
      <c r="DS1040" s="130">
        <f>SI!BY1040</f>
        <v>293</v>
      </c>
      <c r="DZ1040" s="131">
        <f>SI!BZ1040</f>
        <v>0</v>
      </c>
    </row>
    <row r="1041" spans="1:132" hidden="1" x14ac:dyDescent="0.25">
      <c r="A1041" s="141"/>
      <c r="B1041" s="379"/>
      <c r="C1041" s="379"/>
      <c r="D1041" s="379"/>
      <c r="E1041" s="379"/>
      <c r="F1041" s="379"/>
      <c r="G1041" s="379"/>
      <c r="H1041" s="379"/>
      <c r="I1041" s="379"/>
      <c r="J1041" s="379"/>
      <c r="K1041" s="379"/>
      <c r="L1041" s="379"/>
      <c r="M1041" s="379"/>
      <c r="N1041" s="379"/>
      <c r="O1041" s="379"/>
      <c r="P1041" s="379"/>
      <c r="Q1041" s="379"/>
      <c r="R1041" s="379"/>
      <c r="S1041" s="379"/>
      <c r="T1041" s="379"/>
      <c r="U1041" s="379"/>
      <c r="V1041" s="379"/>
      <c r="W1041" s="379"/>
      <c r="X1041" s="379"/>
      <c r="Y1041" s="379"/>
      <c r="Z1041" s="379"/>
      <c r="AA1041" s="379"/>
      <c r="AB1041" s="379"/>
      <c r="AC1041" s="379"/>
      <c r="AD1041" s="379"/>
      <c r="AE1041" s="379"/>
      <c r="AF1041" s="379"/>
      <c r="AG1041" s="379"/>
      <c r="AH1041" s="379"/>
      <c r="AI1041" s="379"/>
      <c r="AJ1041" s="379"/>
      <c r="AK1041" s="379"/>
      <c r="AL1041" s="379"/>
      <c r="AM1041" s="379"/>
      <c r="AN1041" s="379"/>
      <c r="AO1041" s="379"/>
      <c r="AP1041" s="379"/>
      <c r="AQ1041" s="379"/>
      <c r="AR1041" s="379"/>
      <c r="AS1041" s="379"/>
      <c r="AT1041" s="379"/>
      <c r="AU1041" s="379"/>
      <c r="AV1041" s="379"/>
      <c r="AW1041" s="379"/>
      <c r="AX1041" s="379"/>
      <c r="AY1041" s="379"/>
      <c r="AZ1041" s="379"/>
      <c r="BA1041" s="379"/>
      <c r="BB1041" s="379"/>
      <c r="BC1041" s="379"/>
      <c r="BD1041" s="379"/>
      <c r="BE1041" s="379"/>
      <c r="BF1041" s="379"/>
      <c r="BG1041" s="379"/>
      <c r="BH1041" s="379"/>
      <c r="BI1041" s="379"/>
      <c r="BJ1041" s="379"/>
      <c r="BK1041" s="379"/>
      <c r="BL1041" s="379"/>
      <c r="BM1041" s="379"/>
      <c r="BN1041" s="379"/>
      <c r="BO1041" s="379"/>
      <c r="BP1041" s="379"/>
      <c r="BQ1041" s="379"/>
      <c r="BR1041" s="379"/>
      <c r="BS1041" s="379"/>
      <c r="BT1041" s="379"/>
      <c r="BU1041" s="379"/>
      <c r="BV1041" s="379"/>
      <c r="BW1041" s="379"/>
      <c r="BX1041" s="379"/>
      <c r="BY1041" s="379"/>
      <c r="BZ1041" s="379"/>
      <c r="CA1041" s="281"/>
      <c r="CB1041" s="3" t="str">
        <f t="shared" si="137"/>
        <v>Riadok bude skrytý.</v>
      </c>
      <c r="CC1041" s="271" t="s">
        <v>832</v>
      </c>
      <c r="CW1041" s="30">
        <f t="shared" si="140"/>
        <v>1</v>
      </c>
      <c r="CX1041" s="30">
        <f t="shared" si="141"/>
        <v>0</v>
      </c>
      <c r="CZ1041" s="30">
        <f t="shared" si="132"/>
        <v>1</v>
      </c>
      <c r="DA1041" s="52">
        <f t="shared" si="142"/>
        <v>0</v>
      </c>
      <c r="DB1041" s="2">
        <f t="shared" si="133"/>
        <v>0</v>
      </c>
      <c r="DS1041" s="130">
        <f>SI!BY1041</f>
        <v>137</v>
      </c>
      <c r="DZ1041" s="131">
        <f>SI!BZ1041</f>
        <v>0</v>
      </c>
    </row>
    <row r="1042" spans="1:132" hidden="1" x14ac:dyDescent="0.25">
      <c r="A1042" s="141"/>
      <c r="B1042" s="379"/>
      <c r="C1042" s="379"/>
      <c r="D1042" s="379"/>
      <c r="E1042" s="379"/>
      <c r="F1042" s="379"/>
      <c r="G1042" s="379"/>
      <c r="H1042" s="379"/>
      <c r="I1042" s="379"/>
      <c r="J1042" s="379"/>
      <c r="K1042" s="379"/>
      <c r="L1042" s="379"/>
      <c r="M1042" s="379"/>
      <c r="N1042" s="379"/>
      <c r="O1042" s="379"/>
      <c r="P1042" s="379"/>
      <c r="Q1042" s="379"/>
      <c r="R1042" s="379"/>
      <c r="S1042" s="379"/>
      <c r="T1042" s="379"/>
      <c r="U1042" s="379"/>
      <c r="V1042" s="379"/>
      <c r="W1042" s="379"/>
      <c r="X1042" s="379"/>
      <c r="Y1042" s="379"/>
      <c r="Z1042" s="379"/>
      <c r="AA1042" s="379"/>
      <c r="AB1042" s="379"/>
      <c r="AC1042" s="379"/>
      <c r="AD1042" s="379"/>
      <c r="AE1042" s="379"/>
      <c r="AF1042" s="379"/>
      <c r="AG1042" s="379"/>
      <c r="AH1042" s="379"/>
      <c r="AI1042" s="379"/>
      <c r="AJ1042" s="379"/>
      <c r="AK1042" s="379"/>
      <c r="AL1042" s="379"/>
      <c r="AM1042" s="379"/>
      <c r="AN1042" s="379"/>
      <c r="AO1042" s="379"/>
      <c r="AP1042" s="379"/>
      <c r="AQ1042" s="379"/>
      <c r="AR1042" s="379"/>
      <c r="AS1042" s="379"/>
      <c r="AT1042" s="379"/>
      <c r="AU1042" s="379"/>
      <c r="AV1042" s="379"/>
      <c r="AW1042" s="379"/>
      <c r="AX1042" s="379"/>
      <c r="AY1042" s="379"/>
      <c r="AZ1042" s="379"/>
      <c r="BA1042" s="379"/>
      <c r="BB1042" s="379"/>
      <c r="BC1042" s="379"/>
      <c r="BD1042" s="379"/>
      <c r="BE1042" s="379"/>
      <c r="BF1042" s="379"/>
      <c r="BG1042" s="379"/>
      <c r="BH1042" s="379"/>
      <c r="BI1042" s="379"/>
      <c r="BJ1042" s="379"/>
      <c r="BK1042" s="379"/>
      <c r="BL1042" s="379"/>
      <c r="BM1042" s="379"/>
      <c r="BN1042" s="379"/>
      <c r="BO1042" s="379"/>
      <c r="BP1042" s="379"/>
      <c r="BQ1042" s="379"/>
      <c r="BR1042" s="379"/>
      <c r="BS1042" s="379"/>
      <c r="BT1042" s="379"/>
      <c r="BU1042" s="379"/>
      <c r="BV1042" s="379"/>
      <c r="BW1042" s="379"/>
      <c r="BX1042" s="379"/>
      <c r="BY1042" s="379"/>
      <c r="BZ1042" s="379"/>
      <c r="CA1042" s="281"/>
      <c r="CB1042" s="3" t="str">
        <f t="shared" si="137"/>
        <v>Riadok bude skrytý.</v>
      </c>
      <c r="CC1042" s="271" t="s">
        <v>832</v>
      </c>
      <c r="CW1042" s="30">
        <f t="shared" si="140"/>
        <v>1</v>
      </c>
      <c r="CX1042" s="30">
        <f t="shared" si="141"/>
        <v>0</v>
      </c>
      <c r="CZ1042" s="30">
        <f t="shared" si="132"/>
        <v>1</v>
      </c>
      <c r="DA1042" s="52">
        <f t="shared" si="142"/>
        <v>0</v>
      </c>
      <c r="DB1042" s="2">
        <f t="shared" si="133"/>
        <v>0</v>
      </c>
      <c r="DS1042" s="130">
        <f>SI!BY1042</f>
        <v>122</v>
      </c>
      <c r="DZ1042" s="131">
        <f>SI!BZ1042</f>
        <v>0</v>
      </c>
    </row>
    <row r="1043" spans="1:132" hidden="1" x14ac:dyDescent="0.25">
      <c r="A1043" s="141"/>
      <c r="B1043" s="379"/>
      <c r="C1043" s="379"/>
      <c r="D1043" s="379"/>
      <c r="E1043" s="379"/>
      <c r="F1043" s="379"/>
      <c r="G1043" s="379"/>
      <c r="H1043" s="379"/>
      <c r="I1043" s="379"/>
      <c r="J1043" s="379"/>
      <c r="K1043" s="379"/>
      <c r="L1043" s="379"/>
      <c r="M1043" s="379"/>
      <c r="N1043" s="379"/>
      <c r="O1043" s="379"/>
      <c r="P1043" s="379"/>
      <c r="Q1043" s="379"/>
      <c r="R1043" s="379"/>
      <c r="S1043" s="379"/>
      <c r="T1043" s="379"/>
      <c r="U1043" s="379"/>
      <c r="V1043" s="379"/>
      <c r="W1043" s="379"/>
      <c r="X1043" s="379"/>
      <c r="Y1043" s="379"/>
      <c r="Z1043" s="379"/>
      <c r="AA1043" s="379"/>
      <c r="AB1043" s="379"/>
      <c r="AC1043" s="379"/>
      <c r="AD1043" s="379"/>
      <c r="AE1043" s="379"/>
      <c r="AF1043" s="379"/>
      <c r="AG1043" s="379"/>
      <c r="AH1043" s="379"/>
      <c r="AI1043" s="379"/>
      <c r="AJ1043" s="379"/>
      <c r="AK1043" s="379"/>
      <c r="AL1043" s="379"/>
      <c r="AM1043" s="379"/>
      <c r="AN1043" s="379"/>
      <c r="AO1043" s="379"/>
      <c r="AP1043" s="379"/>
      <c r="AQ1043" s="379"/>
      <c r="AR1043" s="379"/>
      <c r="AS1043" s="379"/>
      <c r="AT1043" s="379"/>
      <c r="AU1043" s="379"/>
      <c r="AV1043" s="379"/>
      <c r="AW1043" s="379"/>
      <c r="AX1043" s="379"/>
      <c r="AY1043" s="379"/>
      <c r="AZ1043" s="379"/>
      <c r="BA1043" s="379"/>
      <c r="BB1043" s="379"/>
      <c r="BC1043" s="379"/>
      <c r="BD1043" s="379"/>
      <c r="BE1043" s="379"/>
      <c r="BF1043" s="379"/>
      <c r="BG1043" s="379"/>
      <c r="BH1043" s="379"/>
      <c r="BI1043" s="379"/>
      <c r="BJ1043" s="379"/>
      <c r="BK1043" s="379"/>
      <c r="BL1043" s="379"/>
      <c r="BM1043" s="379"/>
      <c r="BN1043" s="379"/>
      <c r="BO1043" s="379"/>
      <c r="BP1043" s="379"/>
      <c r="BQ1043" s="379"/>
      <c r="BR1043" s="379"/>
      <c r="BS1043" s="379"/>
      <c r="BT1043" s="379"/>
      <c r="BU1043" s="379"/>
      <c r="BV1043" s="379"/>
      <c r="BW1043" s="379"/>
      <c r="BX1043" s="379"/>
      <c r="BY1043" s="379"/>
      <c r="BZ1043" s="379"/>
      <c r="CA1043" s="281"/>
      <c r="CB1043" s="3" t="str">
        <f t="shared" si="137"/>
        <v>Riadok bude skrytý.</v>
      </c>
      <c r="CC1043" s="271" t="s">
        <v>832</v>
      </c>
      <c r="CW1043" s="30">
        <f t="shared" si="140"/>
        <v>1</v>
      </c>
      <c r="CX1043" s="30">
        <f t="shared" si="141"/>
        <v>0</v>
      </c>
      <c r="CZ1043" s="30">
        <f t="shared" si="132"/>
        <v>1</v>
      </c>
      <c r="DA1043" s="52">
        <f t="shared" si="142"/>
        <v>0</v>
      </c>
      <c r="DB1043" s="2">
        <f t="shared" si="133"/>
        <v>0</v>
      </c>
      <c r="DS1043" s="130">
        <f>SI!BY1043</f>
        <v>189</v>
      </c>
      <c r="DZ1043" s="131">
        <f>SI!BZ1043</f>
        <v>0</v>
      </c>
    </row>
    <row r="1044" spans="1:132" hidden="1" x14ac:dyDescent="0.25">
      <c r="A1044" s="141"/>
      <c r="B1044" s="379"/>
      <c r="C1044" s="379"/>
      <c r="D1044" s="379"/>
      <c r="E1044" s="379"/>
      <c r="F1044" s="379"/>
      <c r="G1044" s="379"/>
      <c r="H1044" s="379"/>
      <c r="I1044" s="379"/>
      <c r="J1044" s="379"/>
      <c r="K1044" s="379"/>
      <c r="L1044" s="379"/>
      <c r="M1044" s="379"/>
      <c r="N1044" s="379"/>
      <c r="O1044" s="379"/>
      <c r="P1044" s="379"/>
      <c r="Q1044" s="379"/>
      <c r="R1044" s="379"/>
      <c r="S1044" s="379"/>
      <c r="T1044" s="379"/>
      <c r="U1044" s="379"/>
      <c r="V1044" s="379"/>
      <c r="W1044" s="379"/>
      <c r="X1044" s="379"/>
      <c r="Y1044" s="379"/>
      <c r="Z1044" s="379"/>
      <c r="AA1044" s="379"/>
      <c r="AB1044" s="379"/>
      <c r="AC1044" s="379"/>
      <c r="AD1044" s="379"/>
      <c r="AE1044" s="379"/>
      <c r="AF1044" s="379"/>
      <c r="AG1044" s="379"/>
      <c r="AH1044" s="379"/>
      <c r="AI1044" s="379"/>
      <c r="AJ1044" s="379"/>
      <c r="AK1044" s="379"/>
      <c r="AL1044" s="379"/>
      <c r="AM1044" s="379"/>
      <c r="AN1044" s="379"/>
      <c r="AO1044" s="379"/>
      <c r="AP1044" s="379"/>
      <c r="AQ1044" s="379"/>
      <c r="AR1044" s="379"/>
      <c r="AS1044" s="379"/>
      <c r="AT1044" s="379"/>
      <c r="AU1044" s="379"/>
      <c r="AV1044" s="379"/>
      <c r="AW1044" s="379"/>
      <c r="AX1044" s="379"/>
      <c r="AY1044" s="379"/>
      <c r="AZ1044" s="379"/>
      <c r="BA1044" s="379"/>
      <c r="BB1044" s="379"/>
      <c r="BC1044" s="379"/>
      <c r="BD1044" s="379"/>
      <c r="BE1044" s="379"/>
      <c r="BF1044" s="379"/>
      <c r="BG1044" s="379"/>
      <c r="BH1044" s="379"/>
      <c r="BI1044" s="379"/>
      <c r="BJ1044" s="379"/>
      <c r="BK1044" s="379"/>
      <c r="BL1044" s="379"/>
      <c r="BM1044" s="379"/>
      <c r="BN1044" s="379"/>
      <c r="BO1044" s="379"/>
      <c r="BP1044" s="379"/>
      <c r="BQ1044" s="379"/>
      <c r="BR1044" s="379"/>
      <c r="BS1044" s="379"/>
      <c r="BT1044" s="379"/>
      <c r="BU1044" s="379"/>
      <c r="BV1044" s="379"/>
      <c r="BW1044" s="379"/>
      <c r="BX1044" s="379"/>
      <c r="BY1044" s="379"/>
      <c r="BZ1044" s="379"/>
      <c r="CA1044" s="281"/>
      <c r="CB1044" s="3" t="str">
        <f t="shared" si="137"/>
        <v>Riadok bude skrytý.</v>
      </c>
      <c r="CC1044" s="271" t="s">
        <v>832</v>
      </c>
      <c r="CW1044" s="30">
        <f t="shared" si="140"/>
        <v>1</v>
      </c>
      <c r="CX1044" s="30">
        <f t="shared" si="141"/>
        <v>0</v>
      </c>
      <c r="CZ1044" s="30">
        <f t="shared" si="132"/>
        <v>1</v>
      </c>
      <c r="DA1044" s="52">
        <f t="shared" si="142"/>
        <v>0</v>
      </c>
      <c r="DB1044" s="2">
        <f t="shared" si="133"/>
        <v>0</v>
      </c>
      <c r="DS1044" s="130">
        <f>SI!BY1044</f>
        <v>159</v>
      </c>
      <c r="DZ1044" s="131">
        <f>SI!BZ1044</f>
        <v>0</v>
      </c>
    </row>
    <row r="1045" spans="1:132" hidden="1" x14ac:dyDescent="0.25">
      <c r="A1045" s="141"/>
      <c r="B1045" s="379"/>
      <c r="C1045" s="379"/>
      <c r="D1045" s="379"/>
      <c r="E1045" s="379"/>
      <c r="F1045" s="379"/>
      <c r="G1045" s="379"/>
      <c r="H1045" s="379"/>
      <c r="I1045" s="379"/>
      <c r="J1045" s="379"/>
      <c r="K1045" s="379"/>
      <c r="L1045" s="379"/>
      <c r="M1045" s="379"/>
      <c r="N1045" s="379"/>
      <c r="O1045" s="379"/>
      <c r="P1045" s="379"/>
      <c r="Q1045" s="379"/>
      <c r="R1045" s="379"/>
      <c r="S1045" s="379"/>
      <c r="T1045" s="379"/>
      <c r="U1045" s="379"/>
      <c r="V1045" s="379"/>
      <c r="W1045" s="379"/>
      <c r="X1045" s="379"/>
      <c r="Y1045" s="379"/>
      <c r="Z1045" s="379"/>
      <c r="AA1045" s="379"/>
      <c r="AB1045" s="379"/>
      <c r="AC1045" s="379"/>
      <c r="AD1045" s="379"/>
      <c r="AE1045" s="379"/>
      <c r="AF1045" s="379"/>
      <c r="AG1045" s="379"/>
      <c r="AH1045" s="379"/>
      <c r="AI1045" s="379"/>
      <c r="AJ1045" s="379"/>
      <c r="AK1045" s="379"/>
      <c r="AL1045" s="379"/>
      <c r="AM1045" s="379"/>
      <c r="AN1045" s="379"/>
      <c r="AO1045" s="379"/>
      <c r="AP1045" s="379"/>
      <c r="AQ1045" s="379"/>
      <c r="AR1045" s="379"/>
      <c r="AS1045" s="379"/>
      <c r="AT1045" s="379"/>
      <c r="AU1045" s="379"/>
      <c r="AV1045" s="379"/>
      <c r="AW1045" s="379"/>
      <c r="AX1045" s="379"/>
      <c r="AY1045" s="379"/>
      <c r="AZ1045" s="379"/>
      <c r="BA1045" s="379"/>
      <c r="BB1045" s="379"/>
      <c r="BC1045" s="379"/>
      <c r="BD1045" s="379"/>
      <c r="BE1045" s="379"/>
      <c r="BF1045" s="379"/>
      <c r="BG1045" s="379"/>
      <c r="BH1045" s="379"/>
      <c r="BI1045" s="379"/>
      <c r="BJ1045" s="379"/>
      <c r="BK1045" s="379"/>
      <c r="BL1045" s="379"/>
      <c r="BM1045" s="379"/>
      <c r="BN1045" s="379"/>
      <c r="BO1045" s="379"/>
      <c r="BP1045" s="379"/>
      <c r="BQ1045" s="379"/>
      <c r="BR1045" s="379"/>
      <c r="BS1045" s="379"/>
      <c r="BT1045" s="379"/>
      <c r="BU1045" s="379"/>
      <c r="BV1045" s="379"/>
      <c r="BW1045" s="379"/>
      <c r="BX1045" s="379"/>
      <c r="BY1045" s="379"/>
      <c r="BZ1045" s="379"/>
      <c r="CA1045" s="281"/>
      <c r="CB1045" s="3" t="str">
        <f t="shared" si="137"/>
        <v>Riadok bude skrytý.</v>
      </c>
      <c r="CC1045" s="271" t="s">
        <v>832</v>
      </c>
      <c r="CW1045" s="30">
        <f t="shared" si="140"/>
        <v>1</v>
      </c>
      <c r="CX1045" s="30">
        <f t="shared" si="141"/>
        <v>0</v>
      </c>
      <c r="CZ1045" s="30">
        <f t="shared" si="132"/>
        <v>1</v>
      </c>
      <c r="DA1045" s="52">
        <f t="shared" si="142"/>
        <v>0</v>
      </c>
      <c r="DB1045" s="2">
        <f t="shared" si="133"/>
        <v>0</v>
      </c>
      <c r="DS1045" s="130">
        <f>SI!BY1045</f>
        <v>930</v>
      </c>
      <c r="DZ1045" s="131">
        <f>SI!BZ1045</f>
        <v>0</v>
      </c>
    </row>
    <row r="1046" spans="1:132" hidden="1" x14ac:dyDescent="0.25">
      <c r="A1046" s="141"/>
      <c r="B1046" s="15"/>
      <c r="C1046" s="15"/>
      <c r="D1046" s="15"/>
      <c r="E1046" s="15"/>
      <c r="F1046" s="15"/>
      <c r="G1046" s="15"/>
      <c r="H1046" s="15"/>
      <c r="I1046" s="15"/>
      <c r="J1046" s="15"/>
      <c r="K1046" s="15"/>
      <c r="L1046" s="15"/>
      <c r="M1046" s="15"/>
      <c r="N1046" s="15"/>
      <c r="O1046" s="15"/>
      <c r="P1046" s="15"/>
      <c r="Q1046" s="15"/>
      <c r="R1046" s="15"/>
      <c r="S1046" s="15"/>
      <c r="T1046" s="15"/>
      <c r="U1046" s="15"/>
      <c r="V1046" s="15"/>
      <c r="W1046" s="15"/>
      <c r="X1046" s="15"/>
      <c r="Y1046" s="15"/>
      <c r="Z1046" s="15"/>
      <c r="AA1046" s="15"/>
      <c r="AB1046" s="15"/>
      <c r="AC1046" s="15"/>
      <c r="AD1046" s="15"/>
      <c r="AE1046" s="15"/>
      <c r="AF1046" s="15"/>
      <c r="AG1046" s="15"/>
      <c r="AH1046" s="15"/>
      <c r="AI1046" s="15"/>
      <c r="AJ1046" s="15"/>
      <c r="AK1046" s="15"/>
      <c r="AL1046" s="15"/>
      <c r="AM1046" s="15"/>
      <c r="AN1046" s="15"/>
      <c r="AO1046" s="15"/>
      <c r="AP1046" s="15"/>
      <c r="AQ1046" s="15"/>
      <c r="AR1046" s="15"/>
      <c r="AS1046" s="15"/>
      <c r="AT1046" s="15"/>
      <c r="AU1046" s="15"/>
      <c r="AV1046" s="15"/>
      <c r="AW1046" s="15"/>
      <c r="AX1046" s="15"/>
      <c r="AY1046" s="15"/>
      <c r="AZ1046" s="15"/>
      <c r="BA1046" s="15"/>
      <c r="BB1046" s="15"/>
      <c r="BC1046" s="15"/>
      <c r="BD1046" s="15"/>
      <c r="BE1046" s="15"/>
      <c r="BF1046" s="15"/>
      <c r="BG1046" s="15"/>
      <c r="BH1046" s="15"/>
      <c r="BI1046" s="15"/>
      <c r="BJ1046" s="15"/>
      <c r="BK1046" s="294"/>
      <c r="BL1046" s="294"/>
      <c r="BM1046" s="295"/>
      <c r="BN1046" s="295"/>
      <c r="BO1046" s="295"/>
      <c r="BP1046" s="295"/>
      <c r="BQ1046" s="295"/>
      <c r="BR1046" s="295"/>
      <c r="BS1046" s="295"/>
      <c r="BT1046" s="295"/>
      <c r="BU1046" s="295"/>
      <c r="BV1046" s="295"/>
      <c r="BW1046" s="295"/>
      <c r="BX1046" s="295"/>
      <c r="BY1046" s="295"/>
      <c r="BZ1046" s="295"/>
      <c r="CA1046" s="270"/>
      <c r="CB1046" s="3" t="str">
        <f t="shared" si="137"/>
        <v>Riadok bude skrytý.</v>
      </c>
      <c r="CC1046" s="271" t="s">
        <v>832</v>
      </c>
      <c r="CW1046" s="30">
        <f t="shared" si="140"/>
        <v>1</v>
      </c>
      <c r="CZ1046" s="30">
        <f t="shared" si="132"/>
        <v>1</v>
      </c>
      <c r="DA1046" s="30">
        <f t="shared" ref="DA1046:DA1072" si="143">+IF(CW1046+CX1046+CY1046=0,0,IF(CZ1046=0,0,1))</f>
        <v>1</v>
      </c>
      <c r="DB1046" s="2">
        <f t="shared" si="133"/>
        <v>0</v>
      </c>
      <c r="DS1046" s="130">
        <f>SI!BY1046</f>
        <v>156</v>
      </c>
      <c r="DZ1046" s="131">
        <f>SI!BZ1046</f>
        <v>0</v>
      </c>
    </row>
    <row r="1047" spans="1:132" ht="14.95" hidden="1" customHeight="1" x14ac:dyDescent="0.25">
      <c r="A1047" s="141"/>
      <c r="B1047" s="1065" t="s">
        <v>98</v>
      </c>
      <c r="C1047" s="1066"/>
      <c r="D1047" s="1066"/>
      <c r="E1047" s="1066"/>
      <c r="F1047" s="1066"/>
      <c r="G1047" s="1066"/>
      <c r="H1047" s="1066"/>
      <c r="I1047" s="1066"/>
      <c r="J1047" s="1066"/>
      <c r="K1047" s="1066"/>
      <c r="L1047" s="1066"/>
      <c r="M1047" s="1066"/>
      <c r="N1047" s="1066"/>
      <c r="O1047" s="1066"/>
      <c r="P1047" s="1067"/>
      <c r="Q1047" s="1740">
        <f>+AJ141</f>
        <v>2021</v>
      </c>
      <c r="R1047" s="1741"/>
      <c r="S1047" s="1741"/>
      <c r="T1047" s="1741"/>
      <c r="U1047" s="1741"/>
      <c r="V1047" s="1741"/>
      <c r="W1047" s="1741"/>
      <c r="X1047" s="1741"/>
      <c r="Y1047" s="1741"/>
      <c r="Z1047" s="1741"/>
      <c r="AA1047" s="1741"/>
      <c r="AB1047" s="1741"/>
      <c r="AC1047" s="1741"/>
      <c r="AD1047" s="1741"/>
      <c r="AE1047" s="1741"/>
      <c r="AF1047" s="1741"/>
      <c r="AG1047" s="1741"/>
      <c r="AH1047" s="1741"/>
      <c r="AI1047" s="1741"/>
      <c r="AJ1047" s="1741"/>
      <c r="AK1047" s="1741"/>
      <c r="AL1047" s="1741"/>
      <c r="AM1047" s="1741"/>
      <c r="AN1047" s="1741"/>
      <c r="AO1047" s="1741"/>
      <c r="AP1047" s="1741"/>
      <c r="AQ1047" s="1741"/>
      <c r="AR1047" s="1741"/>
      <c r="AS1047" s="1741"/>
      <c r="AT1047" s="1741"/>
      <c r="AU1047" s="1741"/>
      <c r="AV1047" s="1741"/>
      <c r="AW1047" s="1741"/>
      <c r="AX1047" s="1741"/>
      <c r="AY1047" s="1741"/>
      <c r="AZ1047" s="1741"/>
      <c r="BA1047" s="1741"/>
      <c r="BB1047" s="1741"/>
      <c r="BC1047" s="1741"/>
      <c r="BD1047" s="1741"/>
      <c r="BE1047" s="1741"/>
      <c r="BF1047" s="1741"/>
      <c r="BG1047" s="1741"/>
      <c r="BH1047" s="1741"/>
      <c r="BI1047" s="1741"/>
      <c r="BJ1047" s="1741"/>
      <c r="BK1047" s="1741"/>
      <c r="BL1047" s="1741"/>
      <c r="BM1047" s="1741"/>
      <c r="BN1047" s="1741"/>
      <c r="BO1047" s="1741"/>
      <c r="BP1047" s="1741"/>
      <c r="BQ1047" s="1741"/>
      <c r="BR1047" s="1741"/>
      <c r="BS1047" s="1741"/>
      <c r="BT1047" s="1741"/>
      <c r="BU1047" s="1741"/>
      <c r="BV1047" s="1741"/>
      <c r="BW1047" s="1741"/>
      <c r="BX1047" s="1741"/>
      <c r="BY1047" s="1741"/>
      <c r="BZ1047" s="1742"/>
      <c r="CA1047" s="265" t="s">
        <v>773</v>
      </c>
      <c r="CB1047" s="3" t="str">
        <f t="shared" si="137"/>
        <v>Riadok bude skrytý.</v>
      </c>
      <c r="CC1047" s="271" t="s">
        <v>832</v>
      </c>
      <c r="CD1047" s="4"/>
      <c r="CW1047" s="30">
        <f t="shared" si="140"/>
        <v>1</v>
      </c>
      <c r="CZ1047" s="30">
        <f t="shared" si="132"/>
        <v>1</v>
      </c>
      <c r="DA1047" s="30">
        <f t="shared" si="143"/>
        <v>1</v>
      </c>
      <c r="DB1047" s="2">
        <f t="shared" si="133"/>
        <v>0</v>
      </c>
      <c r="DS1047" s="130">
        <f>SI!BY1047</f>
        <v>962</v>
      </c>
      <c r="DZ1047" s="131">
        <f>SI!BZ1047</f>
        <v>0</v>
      </c>
    </row>
    <row r="1048" spans="1:132" ht="23.3" hidden="1" customHeight="1" x14ac:dyDescent="0.25">
      <c r="A1048" s="141"/>
      <c r="B1048" s="1693"/>
      <c r="C1048" s="1694"/>
      <c r="D1048" s="1694"/>
      <c r="E1048" s="1694"/>
      <c r="F1048" s="1694"/>
      <c r="G1048" s="1694"/>
      <c r="H1048" s="1694"/>
      <c r="I1048" s="1694"/>
      <c r="J1048" s="1694"/>
      <c r="K1048" s="1694"/>
      <c r="L1048" s="1694"/>
      <c r="M1048" s="1694"/>
      <c r="N1048" s="1694"/>
      <c r="O1048" s="1694"/>
      <c r="P1048" s="1752"/>
      <c r="Q1048" s="724" t="s">
        <v>121</v>
      </c>
      <c r="R1048" s="725"/>
      <c r="S1048" s="725"/>
      <c r="T1048" s="725"/>
      <c r="U1048" s="725"/>
      <c r="V1048" s="726"/>
      <c r="W1048" s="724" t="s">
        <v>62</v>
      </c>
      <c r="X1048" s="725"/>
      <c r="Y1048" s="725"/>
      <c r="Z1048" s="725"/>
      <c r="AA1048" s="725"/>
      <c r="AB1048" s="725"/>
      <c r="AC1048" s="726"/>
      <c r="AD1048" s="724" t="s">
        <v>122</v>
      </c>
      <c r="AE1048" s="725"/>
      <c r="AF1048" s="725"/>
      <c r="AG1048" s="725"/>
      <c r="AH1048" s="725"/>
      <c r="AI1048" s="725"/>
      <c r="AJ1048" s="725"/>
      <c r="AK1048" s="726"/>
      <c r="AL1048" s="724" t="s">
        <v>927</v>
      </c>
      <c r="AM1048" s="725"/>
      <c r="AN1048" s="725"/>
      <c r="AO1048" s="725"/>
      <c r="AP1048" s="725"/>
      <c r="AQ1048" s="725"/>
      <c r="AR1048" s="725"/>
      <c r="AS1048" s="726"/>
      <c r="AT1048" s="724" t="s">
        <v>123</v>
      </c>
      <c r="AU1048" s="725"/>
      <c r="AV1048" s="725"/>
      <c r="AW1048" s="725"/>
      <c r="AX1048" s="725"/>
      <c r="AY1048" s="1744"/>
      <c r="AZ1048" s="1743" t="s">
        <v>124</v>
      </c>
      <c r="BA1048" s="725"/>
      <c r="BB1048" s="725"/>
      <c r="BC1048" s="725"/>
      <c r="BD1048" s="725"/>
      <c r="BE1048" s="1744"/>
      <c r="BF1048" s="1743" t="s">
        <v>125</v>
      </c>
      <c r="BG1048" s="725"/>
      <c r="BH1048" s="725"/>
      <c r="BI1048" s="725"/>
      <c r="BJ1048" s="725"/>
      <c r="BK1048" s="1744"/>
      <c r="BL1048" s="1743" t="s">
        <v>793</v>
      </c>
      <c r="BM1048" s="725"/>
      <c r="BN1048" s="725"/>
      <c r="BO1048" s="725"/>
      <c r="BP1048" s="725"/>
      <c r="BQ1048" s="725"/>
      <c r="BR1048" s="1744"/>
      <c r="BS1048" s="1743" t="s">
        <v>45</v>
      </c>
      <c r="BT1048" s="725"/>
      <c r="BU1048" s="725"/>
      <c r="BV1048" s="725"/>
      <c r="BW1048" s="725"/>
      <c r="BX1048" s="725"/>
      <c r="BY1048" s="725"/>
      <c r="BZ1048" s="1744"/>
      <c r="CA1048" s="270"/>
      <c r="CB1048" s="3" t="str">
        <f t="shared" si="137"/>
        <v>Riadok bude skrytý.</v>
      </c>
      <c r="CC1048" s="271" t="s">
        <v>832</v>
      </c>
      <c r="CW1048" s="30">
        <f t="shared" si="140"/>
        <v>1</v>
      </c>
      <c r="CZ1048" s="30">
        <f t="shared" ref="CZ1048:CZ1115" si="144">IF(CC1048="",1,IF(CC1048="Chcem skryť riadok.",0,1))</f>
        <v>1</v>
      </c>
      <c r="DA1048" s="30">
        <f t="shared" si="143"/>
        <v>1</v>
      </c>
      <c r="DB1048" s="2">
        <f t="shared" si="133"/>
        <v>0</v>
      </c>
      <c r="DS1048" s="130">
        <f>SI!BY1048</f>
        <v>6</v>
      </c>
      <c r="DZ1048" s="131">
        <f>SI!BZ1048</f>
        <v>0</v>
      </c>
    </row>
    <row r="1049" spans="1:132" ht="23.3" hidden="1" customHeight="1" x14ac:dyDescent="0.25">
      <c r="A1049" s="141"/>
      <c r="B1049" s="1693"/>
      <c r="C1049" s="1694"/>
      <c r="D1049" s="1694"/>
      <c r="E1049" s="1694"/>
      <c r="F1049" s="1694"/>
      <c r="G1049" s="1694"/>
      <c r="H1049" s="1694"/>
      <c r="I1049" s="1694"/>
      <c r="J1049" s="1694"/>
      <c r="K1049" s="1694"/>
      <c r="L1049" s="1694"/>
      <c r="M1049" s="1694"/>
      <c r="N1049" s="1694"/>
      <c r="O1049" s="1694"/>
      <c r="P1049" s="1752"/>
      <c r="Q1049" s="727"/>
      <c r="R1049" s="728"/>
      <c r="S1049" s="728"/>
      <c r="T1049" s="728"/>
      <c r="U1049" s="728"/>
      <c r="V1049" s="729"/>
      <c r="W1049" s="727"/>
      <c r="X1049" s="728"/>
      <c r="Y1049" s="728"/>
      <c r="Z1049" s="728"/>
      <c r="AA1049" s="728"/>
      <c r="AB1049" s="728"/>
      <c r="AC1049" s="729"/>
      <c r="AD1049" s="727"/>
      <c r="AE1049" s="728"/>
      <c r="AF1049" s="728"/>
      <c r="AG1049" s="728"/>
      <c r="AH1049" s="728"/>
      <c r="AI1049" s="728"/>
      <c r="AJ1049" s="728"/>
      <c r="AK1049" s="729"/>
      <c r="AL1049" s="727"/>
      <c r="AM1049" s="728"/>
      <c r="AN1049" s="728"/>
      <c r="AO1049" s="728"/>
      <c r="AP1049" s="728"/>
      <c r="AQ1049" s="728"/>
      <c r="AR1049" s="728"/>
      <c r="AS1049" s="729"/>
      <c r="AT1049" s="727"/>
      <c r="AU1049" s="728"/>
      <c r="AV1049" s="728"/>
      <c r="AW1049" s="728"/>
      <c r="AX1049" s="728"/>
      <c r="AY1049" s="1746"/>
      <c r="AZ1049" s="1745"/>
      <c r="BA1049" s="728"/>
      <c r="BB1049" s="728"/>
      <c r="BC1049" s="728"/>
      <c r="BD1049" s="728"/>
      <c r="BE1049" s="1746"/>
      <c r="BF1049" s="1745"/>
      <c r="BG1049" s="728"/>
      <c r="BH1049" s="728"/>
      <c r="BI1049" s="728"/>
      <c r="BJ1049" s="728"/>
      <c r="BK1049" s="1746"/>
      <c r="BL1049" s="1745"/>
      <c r="BM1049" s="728"/>
      <c r="BN1049" s="728"/>
      <c r="BO1049" s="728"/>
      <c r="BP1049" s="728"/>
      <c r="BQ1049" s="728"/>
      <c r="BR1049" s="1746"/>
      <c r="BS1049" s="1745"/>
      <c r="BT1049" s="728"/>
      <c r="BU1049" s="728"/>
      <c r="BV1049" s="728"/>
      <c r="BW1049" s="728"/>
      <c r="BX1049" s="728"/>
      <c r="BY1049" s="728"/>
      <c r="BZ1049" s="1746"/>
      <c r="CA1049" s="270"/>
      <c r="CB1049" s="3" t="str">
        <f t="shared" si="137"/>
        <v>Riadok bude skrytý.</v>
      </c>
      <c r="CC1049" s="271" t="s">
        <v>832</v>
      </c>
      <c r="CW1049" s="30">
        <f t="shared" si="140"/>
        <v>1</v>
      </c>
      <c r="CZ1049" s="30">
        <f t="shared" si="144"/>
        <v>1</v>
      </c>
      <c r="DA1049" s="30">
        <f t="shared" si="143"/>
        <v>1</v>
      </c>
      <c r="DB1049" s="2">
        <f t="shared" si="133"/>
        <v>0</v>
      </c>
      <c r="DS1049" s="130">
        <f>SI!BY1049</f>
        <v>1049</v>
      </c>
      <c r="DZ1049" s="131">
        <f>SI!BZ1049</f>
        <v>0</v>
      </c>
    </row>
    <row r="1050" spans="1:132" s="89" customFormat="1" hidden="1" x14ac:dyDescent="0.25">
      <c r="A1050" s="296"/>
      <c r="B1050" s="1738" t="s">
        <v>0</v>
      </c>
      <c r="C1050" s="1739"/>
      <c r="D1050" s="1739"/>
      <c r="E1050" s="1739"/>
      <c r="F1050" s="1739"/>
      <c r="G1050" s="1739"/>
      <c r="H1050" s="1739"/>
      <c r="I1050" s="1739"/>
      <c r="J1050" s="1739"/>
      <c r="K1050" s="1739"/>
      <c r="L1050" s="1739"/>
      <c r="M1050" s="1739"/>
      <c r="N1050" s="1739"/>
      <c r="O1050" s="1739"/>
      <c r="P1050" s="1329"/>
      <c r="Q1050" s="1738" t="s">
        <v>1</v>
      </c>
      <c r="R1050" s="1739"/>
      <c r="S1050" s="1739"/>
      <c r="T1050" s="1739"/>
      <c r="U1050" s="1739"/>
      <c r="V1050" s="1329"/>
      <c r="W1050" s="1738" t="s">
        <v>2</v>
      </c>
      <c r="X1050" s="1739"/>
      <c r="Y1050" s="1739"/>
      <c r="Z1050" s="1739"/>
      <c r="AA1050" s="1739"/>
      <c r="AB1050" s="1739"/>
      <c r="AC1050" s="1329"/>
      <c r="AD1050" s="1738" t="s">
        <v>28</v>
      </c>
      <c r="AE1050" s="1739"/>
      <c r="AF1050" s="1739"/>
      <c r="AG1050" s="1739"/>
      <c r="AH1050" s="1739"/>
      <c r="AI1050" s="1739"/>
      <c r="AJ1050" s="1739"/>
      <c r="AK1050" s="1329"/>
      <c r="AL1050" s="1738" t="s">
        <v>29</v>
      </c>
      <c r="AM1050" s="1739"/>
      <c r="AN1050" s="1739"/>
      <c r="AO1050" s="1739"/>
      <c r="AP1050" s="1739"/>
      <c r="AQ1050" s="1739"/>
      <c r="AR1050" s="1739"/>
      <c r="AS1050" s="1329"/>
      <c r="AT1050" s="1738" t="s">
        <v>103</v>
      </c>
      <c r="AU1050" s="1739"/>
      <c r="AV1050" s="1739"/>
      <c r="AW1050" s="1739"/>
      <c r="AX1050" s="1739"/>
      <c r="AY1050" s="1747"/>
      <c r="AZ1050" s="1326" t="s">
        <v>104</v>
      </c>
      <c r="BA1050" s="1739"/>
      <c r="BB1050" s="1739"/>
      <c r="BC1050" s="1739"/>
      <c r="BD1050" s="1739"/>
      <c r="BE1050" s="1747"/>
      <c r="BF1050" s="1326" t="s">
        <v>105</v>
      </c>
      <c r="BG1050" s="1739"/>
      <c r="BH1050" s="1739"/>
      <c r="BI1050" s="1739"/>
      <c r="BJ1050" s="1739"/>
      <c r="BK1050" s="1747"/>
      <c r="BL1050" s="1326" t="s">
        <v>27</v>
      </c>
      <c r="BM1050" s="1739"/>
      <c r="BN1050" s="1739"/>
      <c r="BO1050" s="1739"/>
      <c r="BP1050" s="1739"/>
      <c r="BQ1050" s="1739"/>
      <c r="BR1050" s="1747"/>
      <c r="BS1050" s="1326" t="s">
        <v>120</v>
      </c>
      <c r="BT1050" s="1739"/>
      <c r="BU1050" s="1739"/>
      <c r="BV1050" s="1739"/>
      <c r="BW1050" s="1739"/>
      <c r="BX1050" s="1739"/>
      <c r="BY1050" s="1739"/>
      <c r="BZ1050" s="1747"/>
      <c r="CA1050" s="270"/>
      <c r="CB1050" s="3" t="str">
        <f t="shared" si="137"/>
        <v>Riadok bude skrytý.</v>
      </c>
      <c r="CC1050" s="271" t="s">
        <v>832</v>
      </c>
      <c r="CW1050" s="30">
        <f t="shared" si="140"/>
        <v>1</v>
      </c>
      <c r="CX1050" s="44"/>
      <c r="CY1050" s="44"/>
      <c r="CZ1050" s="30">
        <f t="shared" si="144"/>
        <v>1</v>
      </c>
      <c r="DA1050" s="30">
        <f t="shared" si="143"/>
        <v>1</v>
      </c>
      <c r="DB1050" s="2">
        <f t="shared" si="133"/>
        <v>0</v>
      </c>
      <c r="DR1050" s="83"/>
      <c r="DS1050" s="130">
        <f>SI!BY1050</f>
        <v>148</v>
      </c>
      <c r="DT1050" s="130"/>
      <c r="DU1050" s="130"/>
      <c r="DV1050" s="130"/>
      <c r="DW1050" s="130"/>
      <c r="DX1050" s="130"/>
      <c r="DY1050" s="130"/>
      <c r="DZ1050" s="131">
        <f>SI!BZ1050</f>
        <v>0</v>
      </c>
      <c r="EA1050" s="83"/>
      <c r="EB1050" s="83"/>
    </row>
    <row r="1051" spans="1:132" hidden="1" x14ac:dyDescent="0.25">
      <c r="A1051" s="141"/>
      <c r="B1051" s="819" t="s">
        <v>111</v>
      </c>
      <c r="C1051" s="820"/>
      <c r="D1051" s="820"/>
      <c r="E1051" s="820"/>
      <c r="F1051" s="820"/>
      <c r="G1051" s="820"/>
      <c r="H1051" s="820"/>
      <c r="I1051" s="820"/>
      <c r="J1051" s="820"/>
      <c r="K1051" s="820"/>
      <c r="L1051" s="820"/>
      <c r="M1051" s="820"/>
      <c r="N1051" s="820"/>
      <c r="O1051" s="820"/>
      <c r="P1051" s="820"/>
      <c r="Q1051" s="1770"/>
      <c r="R1051" s="1770"/>
      <c r="S1051" s="1770"/>
      <c r="T1051" s="1770"/>
      <c r="U1051" s="1770"/>
      <c r="V1051" s="1770"/>
      <c r="W1051" s="1770"/>
      <c r="X1051" s="1770"/>
      <c r="Y1051" s="1770"/>
      <c r="Z1051" s="1770"/>
      <c r="AA1051" s="1770"/>
      <c r="AB1051" s="1770"/>
      <c r="AC1051" s="1770"/>
      <c r="AD1051" s="1770"/>
      <c r="AE1051" s="1770"/>
      <c r="AF1051" s="1770"/>
      <c r="AG1051" s="1770"/>
      <c r="AH1051" s="1770"/>
      <c r="AI1051" s="1770"/>
      <c r="AJ1051" s="1770"/>
      <c r="AK1051" s="1770"/>
      <c r="AL1051" s="1770"/>
      <c r="AM1051" s="1770"/>
      <c r="AN1051" s="1770"/>
      <c r="AO1051" s="1770"/>
      <c r="AP1051" s="1770"/>
      <c r="AQ1051" s="1770"/>
      <c r="AR1051" s="1770"/>
      <c r="AS1051" s="1770"/>
      <c r="AT1051" s="1770"/>
      <c r="AU1051" s="1770"/>
      <c r="AV1051" s="1770"/>
      <c r="AW1051" s="1770"/>
      <c r="AX1051" s="1770"/>
      <c r="AY1051" s="1770"/>
      <c r="AZ1051" s="1770"/>
      <c r="BA1051" s="1770"/>
      <c r="BB1051" s="1770"/>
      <c r="BC1051" s="1770"/>
      <c r="BD1051" s="1770"/>
      <c r="BE1051" s="1770"/>
      <c r="BF1051" s="1770"/>
      <c r="BG1051" s="1770"/>
      <c r="BH1051" s="1770"/>
      <c r="BI1051" s="1770"/>
      <c r="BJ1051" s="1770"/>
      <c r="BK1051" s="1770"/>
      <c r="BL1051" s="1770"/>
      <c r="BM1051" s="1770"/>
      <c r="BN1051" s="1770"/>
      <c r="BO1051" s="1770"/>
      <c r="BP1051" s="1770"/>
      <c r="BQ1051" s="1770"/>
      <c r="BR1051" s="1770"/>
      <c r="BS1051" s="1770"/>
      <c r="BT1051" s="1770"/>
      <c r="BU1051" s="1770"/>
      <c r="BV1051" s="1770"/>
      <c r="BW1051" s="1770"/>
      <c r="BX1051" s="1770"/>
      <c r="BY1051" s="1770"/>
      <c r="BZ1051" s="1771"/>
      <c r="CA1051" s="270"/>
      <c r="CB1051" s="3" t="str">
        <f t="shared" si="137"/>
        <v>Riadok bude skrytý.</v>
      </c>
      <c r="CC1051" s="271" t="s">
        <v>832</v>
      </c>
      <c r="CW1051" s="30">
        <f t="shared" si="140"/>
        <v>1</v>
      </c>
      <c r="CZ1051" s="30">
        <f t="shared" si="144"/>
        <v>1</v>
      </c>
      <c r="DA1051" s="30">
        <f t="shared" si="143"/>
        <v>1</v>
      </c>
      <c r="DB1051" s="2">
        <f t="shared" si="133"/>
        <v>0</v>
      </c>
      <c r="DS1051" s="130">
        <f>SI!BY1051</f>
        <v>331</v>
      </c>
      <c r="DZ1051" s="131">
        <f>SI!BZ1051</f>
        <v>0</v>
      </c>
    </row>
    <row r="1052" spans="1:132" hidden="1" x14ac:dyDescent="0.25">
      <c r="A1052" s="141"/>
      <c r="B1052" s="734" t="s">
        <v>118</v>
      </c>
      <c r="C1052" s="735"/>
      <c r="D1052" s="735"/>
      <c r="E1052" s="735"/>
      <c r="F1052" s="735"/>
      <c r="G1052" s="735"/>
      <c r="H1052" s="735"/>
      <c r="I1052" s="735"/>
      <c r="J1052" s="735"/>
      <c r="K1052" s="735"/>
      <c r="L1052" s="735"/>
      <c r="M1052" s="735"/>
      <c r="N1052" s="735"/>
      <c r="O1052" s="735"/>
      <c r="P1052" s="735"/>
      <c r="Q1052" s="751"/>
      <c r="R1052" s="752"/>
      <c r="S1052" s="752"/>
      <c r="T1052" s="752"/>
      <c r="U1052" s="752"/>
      <c r="V1052" s="752"/>
      <c r="W1052" s="751"/>
      <c r="X1052" s="752"/>
      <c r="Y1052" s="752"/>
      <c r="Z1052" s="752"/>
      <c r="AA1052" s="752"/>
      <c r="AB1052" s="752"/>
      <c r="AC1052" s="753"/>
      <c r="AD1052" s="752"/>
      <c r="AE1052" s="752"/>
      <c r="AF1052" s="752"/>
      <c r="AG1052" s="752"/>
      <c r="AH1052" s="752"/>
      <c r="AI1052" s="752"/>
      <c r="AJ1052" s="752"/>
      <c r="AK1052" s="752"/>
      <c r="AL1052" s="751"/>
      <c r="AM1052" s="752"/>
      <c r="AN1052" s="752"/>
      <c r="AO1052" s="752"/>
      <c r="AP1052" s="752"/>
      <c r="AQ1052" s="752"/>
      <c r="AR1052" s="752"/>
      <c r="AS1052" s="753"/>
      <c r="AT1052" s="752"/>
      <c r="AU1052" s="752"/>
      <c r="AV1052" s="752"/>
      <c r="AW1052" s="752"/>
      <c r="AX1052" s="752"/>
      <c r="AY1052" s="752"/>
      <c r="AZ1052" s="751"/>
      <c r="BA1052" s="752"/>
      <c r="BB1052" s="752"/>
      <c r="BC1052" s="752"/>
      <c r="BD1052" s="752"/>
      <c r="BE1052" s="753"/>
      <c r="BF1052" s="752"/>
      <c r="BG1052" s="752"/>
      <c r="BH1052" s="752"/>
      <c r="BI1052" s="752"/>
      <c r="BJ1052" s="752"/>
      <c r="BK1052" s="752"/>
      <c r="BL1052" s="751"/>
      <c r="BM1052" s="752"/>
      <c r="BN1052" s="752"/>
      <c r="BO1052" s="752"/>
      <c r="BP1052" s="752"/>
      <c r="BQ1052" s="752"/>
      <c r="BR1052" s="753"/>
      <c r="BS1052" s="403">
        <f>+SUM(Q1052:BR1052)</f>
        <v>0</v>
      </c>
      <c r="BT1052" s="403"/>
      <c r="BU1052" s="403"/>
      <c r="BV1052" s="403"/>
      <c r="BW1052" s="403"/>
      <c r="BX1052" s="403"/>
      <c r="BY1052" s="403"/>
      <c r="BZ1052" s="405"/>
      <c r="CA1052" s="270"/>
      <c r="CB1052" s="3" t="str">
        <f t="shared" si="137"/>
        <v>Riadok bude skrytý.</v>
      </c>
      <c r="CC1052" s="271" t="s">
        <v>832</v>
      </c>
      <c r="CW1052" s="30">
        <f t="shared" si="140"/>
        <v>1</v>
      </c>
      <c r="CZ1052" s="30">
        <f t="shared" si="144"/>
        <v>1</v>
      </c>
      <c r="DA1052" s="30">
        <f t="shared" si="143"/>
        <v>1</v>
      </c>
      <c r="DB1052" s="2">
        <f t="shared" si="133"/>
        <v>0</v>
      </c>
      <c r="DS1052" s="130">
        <f>SI!BY1052</f>
        <v>159</v>
      </c>
      <c r="DZ1052" s="131">
        <f>SI!BZ1052</f>
        <v>0</v>
      </c>
    </row>
    <row r="1053" spans="1:132" hidden="1" x14ac:dyDescent="0.25">
      <c r="A1053" s="141"/>
      <c r="B1053" s="814" t="s">
        <v>113</v>
      </c>
      <c r="C1053" s="815"/>
      <c r="D1053" s="815"/>
      <c r="E1053" s="815"/>
      <c r="F1053" s="815"/>
      <c r="G1053" s="815"/>
      <c r="H1053" s="815"/>
      <c r="I1053" s="815"/>
      <c r="J1053" s="815"/>
      <c r="K1053" s="815"/>
      <c r="L1053" s="815"/>
      <c r="M1053" s="815"/>
      <c r="N1053" s="815"/>
      <c r="O1053" s="815"/>
      <c r="P1053" s="815"/>
      <c r="Q1053" s="761"/>
      <c r="R1053" s="762"/>
      <c r="S1053" s="762"/>
      <c r="T1053" s="762"/>
      <c r="U1053" s="762"/>
      <c r="V1053" s="762"/>
      <c r="W1053" s="761"/>
      <c r="X1053" s="762"/>
      <c r="Y1053" s="762"/>
      <c r="Z1053" s="762"/>
      <c r="AA1053" s="762"/>
      <c r="AB1053" s="762"/>
      <c r="AC1053" s="763"/>
      <c r="AD1053" s="762"/>
      <c r="AE1053" s="762"/>
      <c r="AF1053" s="762"/>
      <c r="AG1053" s="762"/>
      <c r="AH1053" s="762"/>
      <c r="AI1053" s="762"/>
      <c r="AJ1053" s="762"/>
      <c r="AK1053" s="762"/>
      <c r="AL1053" s="761"/>
      <c r="AM1053" s="762"/>
      <c r="AN1053" s="762"/>
      <c r="AO1053" s="762"/>
      <c r="AP1053" s="762"/>
      <c r="AQ1053" s="762"/>
      <c r="AR1053" s="762"/>
      <c r="AS1053" s="763"/>
      <c r="AT1053" s="762"/>
      <c r="AU1053" s="762"/>
      <c r="AV1053" s="762"/>
      <c r="AW1053" s="762"/>
      <c r="AX1053" s="762"/>
      <c r="AY1053" s="762"/>
      <c r="AZ1053" s="761"/>
      <c r="BA1053" s="762"/>
      <c r="BB1053" s="762"/>
      <c r="BC1053" s="762"/>
      <c r="BD1053" s="762"/>
      <c r="BE1053" s="763"/>
      <c r="BF1053" s="762"/>
      <c r="BG1053" s="762"/>
      <c r="BH1053" s="762"/>
      <c r="BI1053" s="762"/>
      <c r="BJ1053" s="762"/>
      <c r="BK1053" s="762"/>
      <c r="BL1053" s="761"/>
      <c r="BM1053" s="762"/>
      <c r="BN1053" s="762"/>
      <c r="BO1053" s="762"/>
      <c r="BP1053" s="762"/>
      <c r="BQ1053" s="762"/>
      <c r="BR1053" s="763"/>
      <c r="BS1053" s="1748">
        <f>+SUM(Q1053:BR1053)</f>
        <v>0</v>
      </c>
      <c r="BT1053" s="1748"/>
      <c r="BU1053" s="1748"/>
      <c r="BV1053" s="1748"/>
      <c r="BW1053" s="1748"/>
      <c r="BX1053" s="1748"/>
      <c r="BY1053" s="1748"/>
      <c r="BZ1053" s="1749"/>
      <c r="CA1053" s="270"/>
      <c r="CB1053" s="3" t="str">
        <f t="shared" si="137"/>
        <v>Riadok bude skrytý.</v>
      </c>
      <c r="CC1053" s="271" t="s">
        <v>832</v>
      </c>
      <c r="CW1053" s="30">
        <f t="shared" si="140"/>
        <v>1</v>
      </c>
      <c r="CZ1053" s="30">
        <f t="shared" si="144"/>
        <v>1</v>
      </c>
      <c r="DA1053" s="30">
        <f t="shared" si="143"/>
        <v>1</v>
      </c>
      <c r="DB1053" s="2">
        <f t="shared" si="133"/>
        <v>0</v>
      </c>
      <c r="DS1053" s="130">
        <f>SI!BY1053</f>
        <v>908</v>
      </c>
      <c r="DZ1053" s="131">
        <f>SI!BZ1053</f>
        <v>0</v>
      </c>
    </row>
    <row r="1054" spans="1:132" hidden="1" x14ac:dyDescent="0.25">
      <c r="A1054" s="141"/>
      <c r="B1054" s="764" t="s">
        <v>114</v>
      </c>
      <c r="C1054" s="765"/>
      <c r="D1054" s="765"/>
      <c r="E1054" s="765"/>
      <c r="F1054" s="765"/>
      <c r="G1054" s="765"/>
      <c r="H1054" s="765"/>
      <c r="I1054" s="765"/>
      <c r="J1054" s="765"/>
      <c r="K1054" s="765"/>
      <c r="L1054" s="765"/>
      <c r="M1054" s="765"/>
      <c r="N1054" s="765"/>
      <c r="O1054" s="765"/>
      <c r="P1054" s="765"/>
      <c r="Q1054" s="1246"/>
      <c r="R1054" s="1247"/>
      <c r="S1054" s="1247"/>
      <c r="T1054" s="1247"/>
      <c r="U1054" s="1247"/>
      <c r="V1054" s="1247"/>
      <c r="W1054" s="1246"/>
      <c r="X1054" s="1247"/>
      <c r="Y1054" s="1247"/>
      <c r="Z1054" s="1247"/>
      <c r="AA1054" s="1247"/>
      <c r="AB1054" s="1247"/>
      <c r="AC1054" s="1248"/>
      <c r="AD1054" s="1247"/>
      <c r="AE1054" s="1247"/>
      <c r="AF1054" s="1247"/>
      <c r="AG1054" s="1247"/>
      <c r="AH1054" s="1247"/>
      <c r="AI1054" s="1247"/>
      <c r="AJ1054" s="1247"/>
      <c r="AK1054" s="1247"/>
      <c r="AL1054" s="1246"/>
      <c r="AM1054" s="1247"/>
      <c r="AN1054" s="1247"/>
      <c r="AO1054" s="1247"/>
      <c r="AP1054" s="1247"/>
      <c r="AQ1054" s="1247"/>
      <c r="AR1054" s="1247"/>
      <c r="AS1054" s="1248"/>
      <c r="AT1054" s="1247"/>
      <c r="AU1054" s="1247"/>
      <c r="AV1054" s="1247"/>
      <c r="AW1054" s="1247"/>
      <c r="AX1054" s="1247"/>
      <c r="AY1054" s="1247"/>
      <c r="AZ1054" s="1246"/>
      <c r="BA1054" s="1247"/>
      <c r="BB1054" s="1247"/>
      <c r="BC1054" s="1247"/>
      <c r="BD1054" s="1247"/>
      <c r="BE1054" s="1248"/>
      <c r="BF1054" s="1247"/>
      <c r="BG1054" s="1247"/>
      <c r="BH1054" s="1247"/>
      <c r="BI1054" s="1247"/>
      <c r="BJ1054" s="1247"/>
      <c r="BK1054" s="1247"/>
      <c r="BL1054" s="1246"/>
      <c r="BM1054" s="1247"/>
      <c r="BN1054" s="1247"/>
      <c r="BO1054" s="1247"/>
      <c r="BP1054" s="1247"/>
      <c r="BQ1054" s="1247"/>
      <c r="BR1054" s="1248"/>
      <c r="BS1054" s="1270">
        <f>+SUM(Q1054:BR1054)</f>
        <v>0</v>
      </c>
      <c r="BT1054" s="1270"/>
      <c r="BU1054" s="1270"/>
      <c r="BV1054" s="1270"/>
      <c r="BW1054" s="1270"/>
      <c r="BX1054" s="1270"/>
      <c r="BY1054" s="1270"/>
      <c r="BZ1054" s="1271"/>
      <c r="CA1054" s="270"/>
      <c r="CB1054" s="3" t="str">
        <f t="shared" si="137"/>
        <v>Riadok bude skrytý.</v>
      </c>
      <c r="CC1054" s="271" t="s">
        <v>832</v>
      </c>
      <c r="CW1054" s="30">
        <f t="shared" si="140"/>
        <v>1</v>
      </c>
      <c r="CZ1054" s="30">
        <f t="shared" si="144"/>
        <v>1</v>
      </c>
      <c r="DA1054" s="30">
        <f t="shared" si="143"/>
        <v>1</v>
      </c>
      <c r="DB1054" s="2">
        <f t="shared" si="133"/>
        <v>0</v>
      </c>
      <c r="DS1054" s="130">
        <f>SI!BY1054</f>
        <v>122</v>
      </c>
      <c r="DZ1054" s="131">
        <f>SI!BZ1054</f>
        <v>0</v>
      </c>
    </row>
    <row r="1055" spans="1:132" hidden="1" x14ac:dyDescent="0.25">
      <c r="A1055" s="141"/>
      <c r="B1055" s="1275" t="s">
        <v>115</v>
      </c>
      <c r="C1055" s="1276"/>
      <c r="D1055" s="1276"/>
      <c r="E1055" s="1276"/>
      <c r="F1055" s="1276"/>
      <c r="G1055" s="1276"/>
      <c r="H1055" s="1276"/>
      <c r="I1055" s="1276"/>
      <c r="J1055" s="1276"/>
      <c r="K1055" s="1276"/>
      <c r="L1055" s="1276"/>
      <c r="M1055" s="1276"/>
      <c r="N1055" s="1276"/>
      <c r="O1055" s="1276"/>
      <c r="P1055" s="1276"/>
      <c r="Q1055" s="1244"/>
      <c r="R1055" s="1245"/>
      <c r="S1055" s="1245"/>
      <c r="T1055" s="1245"/>
      <c r="U1055" s="1245"/>
      <c r="V1055" s="1245"/>
      <c r="W1055" s="1244"/>
      <c r="X1055" s="1245"/>
      <c r="Y1055" s="1245"/>
      <c r="Z1055" s="1245"/>
      <c r="AA1055" s="1245"/>
      <c r="AB1055" s="1245"/>
      <c r="AC1055" s="1264"/>
      <c r="AD1055" s="1245"/>
      <c r="AE1055" s="1245"/>
      <c r="AF1055" s="1245"/>
      <c r="AG1055" s="1245"/>
      <c r="AH1055" s="1245"/>
      <c r="AI1055" s="1245"/>
      <c r="AJ1055" s="1245"/>
      <c r="AK1055" s="1245"/>
      <c r="AL1055" s="1244"/>
      <c r="AM1055" s="1245"/>
      <c r="AN1055" s="1245"/>
      <c r="AO1055" s="1245"/>
      <c r="AP1055" s="1245"/>
      <c r="AQ1055" s="1245"/>
      <c r="AR1055" s="1245"/>
      <c r="AS1055" s="1264"/>
      <c r="AT1055" s="1245"/>
      <c r="AU1055" s="1245"/>
      <c r="AV1055" s="1245"/>
      <c r="AW1055" s="1245"/>
      <c r="AX1055" s="1245"/>
      <c r="AY1055" s="1245"/>
      <c r="AZ1055" s="1244"/>
      <c r="BA1055" s="1245"/>
      <c r="BB1055" s="1245"/>
      <c r="BC1055" s="1245"/>
      <c r="BD1055" s="1245"/>
      <c r="BE1055" s="1264"/>
      <c r="BF1055" s="1245"/>
      <c r="BG1055" s="1245"/>
      <c r="BH1055" s="1245"/>
      <c r="BI1055" s="1245"/>
      <c r="BJ1055" s="1245"/>
      <c r="BK1055" s="1245"/>
      <c r="BL1055" s="1244"/>
      <c r="BM1055" s="1245"/>
      <c r="BN1055" s="1245"/>
      <c r="BO1055" s="1245"/>
      <c r="BP1055" s="1245"/>
      <c r="BQ1055" s="1245"/>
      <c r="BR1055" s="1264"/>
      <c r="BS1055" s="1750">
        <f>+SUM(Q1055:BR1055)</f>
        <v>0</v>
      </c>
      <c r="BT1055" s="1750"/>
      <c r="BU1055" s="1750"/>
      <c r="BV1055" s="1750"/>
      <c r="BW1055" s="1750"/>
      <c r="BX1055" s="1750"/>
      <c r="BY1055" s="1750"/>
      <c r="BZ1055" s="1751"/>
      <c r="CA1055" s="270"/>
      <c r="CB1055" s="3" t="str">
        <f t="shared" si="137"/>
        <v>Riadok bude skrytý.</v>
      </c>
      <c r="CC1055" s="271" t="s">
        <v>832</v>
      </c>
      <c r="CW1055" s="30">
        <f t="shared" si="140"/>
        <v>1</v>
      </c>
      <c r="CZ1055" s="30">
        <f t="shared" si="144"/>
        <v>1</v>
      </c>
      <c r="DA1055" s="30">
        <f t="shared" si="143"/>
        <v>1</v>
      </c>
      <c r="DB1055" s="2">
        <f t="shared" si="133"/>
        <v>0</v>
      </c>
      <c r="DS1055" s="130">
        <f>SI!BY1055</f>
        <v>1043</v>
      </c>
      <c r="DZ1055" s="131">
        <f>SI!BZ1055</f>
        <v>0</v>
      </c>
    </row>
    <row r="1056" spans="1:132" hidden="1" x14ac:dyDescent="0.25">
      <c r="A1056" s="141"/>
      <c r="B1056" s="734" t="s">
        <v>119</v>
      </c>
      <c r="C1056" s="735"/>
      <c r="D1056" s="735"/>
      <c r="E1056" s="735"/>
      <c r="F1056" s="735"/>
      <c r="G1056" s="735"/>
      <c r="H1056" s="735"/>
      <c r="I1056" s="735"/>
      <c r="J1056" s="735"/>
      <c r="K1056" s="735"/>
      <c r="L1056" s="735"/>
      <c r="M1056" s="735"/>
      <c r="N1056" s="735"/>
      <c r="O1056" s="735"/>
      <c r="P1056" s="735"/>
      <c r="Q1056" s="404">
        <f>+SUM(Q1052:V1055)</f>
        <v>0</v>
      </c>
      <c r="R1056" s="403"/>
      <c r="S1056" s="403"/>
      <c r="T1056" s="403"/>
      <c r="U1056" s="403"/>
      <c r="V1056" s="403"/>
      <c r="W1056" s="404">
        <f>+SUM(W1052:AC1055)</f>
        <v>0</v>
      </c>
      <c r="X1056" s="403"/>
      <c r="Y1056" s="403"/>
      <c r="Z1056" s="403"/>
      <c r="AA1056" s="403"/>
      <c r="AB1056" s="403"/>
      <c r="AC1056" s="405"/>
      <c r="AD1056" s="403">
        <f>+SUM(AD1052:AK1055)</f>
        <v>0</v>
      </c>
      <c r="AE1056" s="403"/>
      <c r="AF1056" s="403"/>
      <c r="AG1056" s="403"/>
      <c r="AH1056" s="403"/>
      <c r="AI1056" s="403"/>
      <c r="AJ1056" s="403"/>
      <c r="AK1056" s="403"/>
      <c r="AL1056" s="404">
        <f>+SUM(AL1052:AS1055)</f>
        <v>0</v>
      </c>
      <c r="AM1056" s="403"/>
      <c r="AN1056" s="403"/>
      <c r="AO1056" s="403"/>
      <c r="AP1056" s="403"/>
      <c r="AQ1056" s="403"/>
      <c r="AR1056" s="403"/>
      <c r="AS1056" s="405"/>
      <c r="AT1056" s="403">
        <f>+SUM(AT1052:AY1055)</f>
        <v>0</v>
      </c>
      <c r="AU1056" s="403"/>
      <c r="AV1056" s="403"/>
      <c r="AW1056" s="403"/>
      <c r="AX1056" s="403"/>
      <c r="AY1056" s="403"/>
      <c r="AZ1056" s="404">
        <f>+SUM(AZ1052:BE1055)</f>
        <v>0</v>
      </c>
      <c r="BA1056" s="403"/>
      <c r="BB1056" s="403"/>
      <c r="BC1056" s="403"/>
      <c r="BD1056" s="403"/>
      <c r="BE1056" s="405"/>
      <c r="BF1056" s="403">
        <f>+SUM(BF1052:BK1055)</f>
        <v>0</v>
      </c>
      <c r="BG1056" s="403"/>
      <c r="BH1056" s="403"/>
      <c r="BI1056" s="403"/>
      <c r="BJ1056" s="403"/>
      <c r="BK1056" s="403"/>
      <c r="BL1056" s="404">
        <f>+SUM(BL1052:BR1055)</f>
        <v>0</v>
      </c>
      <c r="BM1056" s="403"/>
      <c r="BN1056" s="403"/>
      <c r="BO1056" s="403"/>
      <c r="BP1056" s="403"/>
      <c r="BQ1056" s="403"/>
      <c r="BR1056" s="405"/>
      <c r="BS1056" s="403">
        <f>+SUM(BS1052:BZ1055)</f>
        <v>0</v>
      </c>
      <c r="BT1056" s="403"/>
      <c r="BU1056" s="403"/>
      <c r="BV1056" s="403"/>
      <c r="BW1056" s="403"/>
      <c r="BX1056" s="403"/>
      <c r="BY1056" s="403"/>
      <c r="BZ1056" s="405"/>
      <c r="CA1056" s="270"/>
      <c r="CB1056" s="3" t="str">
        <f t="shared" si="137"/>
        <v>Riadok bude skrytý.</v>
      </c>
      <c r="CC1056" s="271" t="s">
        <v>832</v>
      </c>
      <c r="CW1056" s="30">
        <f t="shared" si="140"/>
        <v>1</v>
      </c>
      <c r="CZ1056" s="30">
        <f t="shared" si="144"/>
        <v>1</v>
      </c>
      <c r="DA1056" s="30">
        <f t="shared" si="143"/>
        <v>1</v>
      </c>
      <c r="DB1056" s="2">
        <f t="shared" si="133"/>
        <v>0</v>
      </c>
      <c r="DS1056" s="130">
        <f>SI!BY1056</f>
        <v>798</v>
      </c>
      <c r="DZ1056" s="131">
        <f>SI!BZ1056</f>
        <v>0</v>
      </c>
    </row>
    <row r="1057" spans="1:130" hidden="1" x14ac:dyDescent="0.25">
      <c r="A1057" s="141"/>
      <c r="B1057" s="779" t="s">
        <v>116</v>
      </c>
      <c r="C1057" s="780"/>
      <c r="D1057" s="780"/>
      <c r="E1057" s="780"/>
      <c r="F1057" s="780"/>
      <c r="G1057" s="780"/>
      <c r="H1057" s="780"/>
      <c r="I1057" s="780"/>
      <c r="J1057" s="780"/>
      <c r="K1057" s="780"/>
      <c r="L1057" s="780"/>
      <c r="M1057" s="780"/>
      <c r="N1057" s="780"/>
      <c r="O1057" s="780"/>
      <c r="P1057" s="780"/>
      <c r="Q1057" s="1770"/>
      <c r="R1057" s="1770"/>
      <c r="S1057" s="1770"/>
      <c r="T1057" s="1770"/>
      <c r="U1057" s="1770"/>
      <c r="V1057" s="1770"/>
      <c r="W1057" s="1770"/>
      <c r="X1057" s="1770"/>
      <c r="Y1057" s="1770"/>
      <c r="Z1057" s="1770"/>
      <c r="AA1057" s="1770"/>
      <c r="AB1057" s="1770"/>
      <c r="AC1057" s="1770"/>
      <c r="AD1057" s="1770"/>
      <c r="AE1057" s="1770"/>
      <c r="AF1057" s="1770"/>
      <c r="AG1057" s="1770"/>
      <c r="AH1057" s="1770"/>
      <c r="AI1057" s="1770"/>
      <c r="AJ1057" s="1770"/>
      <c r="AK1057" s="1770"/>
      <c r="AL1057" s="1770"/>
      <c r="AM1057" s="1770"/>
      <c r="AN1057" s="1770"/>
      <c r="AO1057" s="1770"/>
      <c r="AP1057" s="1770"/>
      <c r="AQ1057" s="1770"/>
      <c r="AR1057" s="1770"/>
      <c r="AS1057" s="1770"/>
      <c r="AT1057" s="1770"/>
      <c r="AU1057" s="1770"/>
      <c r="AV1057" s="1770"/>
      <c r="AW1057" s="1770"/>
      <c r="AX1057" s="1770"/>
      <c r="AY1057" s="1770"/>
      <c r="AZ1057" s="1770"/>
      <c r="BA1057" s="1770"/>
      <c r="BB1057" s="1770"/>
      <c r="BC1057" s="1770"/>
      <c r="BD1057" s="1770"/>
      <c r="BE1057" s="1770"/>
      <c r="BF1057" s="1770"/>
      <c r="BG1057" s="1770"/>
      <c r="BH1057" s="1770"/>
      <c r="BI1057" s="1770"/>
      <c r="BJ1057" s="1770"/>
      <c r="BK1057" s="1770"/>
      <c r="BL1057" s="1770"/>
      <c r="BM1057" s="1770"/>
      <c r="BN1057" s="1770"/>
      <c r="BO1057" s="1770"/>
      <c r="BP1057" s="1770"/>
      <c r="BQ1057" s="1770"/>
      <c r="BR1057" s="1770"/>
      <c r="BS1057" s="1770"/>
      <c r="BT1057" s="1770"/>
      <c r="BU1057" s="1770"/>
      <c r="BV1057" s="1770"/>
      <c r="BW1057" s="1770"/>
      <c r="BX1057" s="1770"/>
      <c r="BY1057" s="1770"/>
      <c r="BZ1057" s="1771"/>
      <c r="CA1057" s="270"/>
      <c r="CB1057" s="3" t="str">
        <f t="shared" si="137"/>
        <v>Riadok bude skrytý.</v>
      </c>
      <c r="CC1057" s="271" t="s">
        <v>832</v>
      </c>
      <c r="CW1057" s="30">
        <f t="shared" si="140"/>
        <v>1</v>
      </c>
      <c r="CZ1057" s="30">
        <f t="shared" si="144"/>
        <v>1</v>
      </c>
      <c r="DA1057" s="30">
        <f t="shared" si="143"/>
        <v>1</v>
      </c>
      <c r="DB1057" s="2">
        <f t="shared" si="133"/>
        <v>0</v>
      </c>
      <c r="DS1057" s="130">
        <f>SI!BY1057</f>
        <v>147</v>
      </c>
      <c r="DZ1057" s="131">
        <f>SI!BZ1057</f>
        <v>0</v>
      </c>
    </row>
    <row r="1058" spans="1:130" hidden="1" x14ac:dyDescent="0.25">
      <c r="A1058" s="141"/>
      <c r="B1058" s="734" t="s">
        <v>118</v>
      </c>
      <c r="C1058" s="735"/>
      <c r="D1058" s="735"/>
      <c r="E1058" s="735"/>
      <c r="F1058" s="735"/>
      <c r="G1058" s="735"/>
      <c r="H1058" s="735"/>
      <c r="I1058" s="735"/>
      <c r="J1058" s="735"/>
      <c r="K1058" s="735"/>
      <c r="L1058" s="735"/>
      <c r="M1058" s="735"/>
      <c r="N1058" s="735"/>
      <c r="O1058" s="735"/>
      <c r="P1058" s="735"/>
      <c r="Q1058" s="751"/>
      <c r="R1058" s="752"/>
      <c r="S1058" s="752"/>
      <c r="T1058" s="752"/>
      <c r="U1058" s="752"/>
      <c r="V1058" s="752"/>
      <c r="W1058" s="751"/>
      <c r="X1058" s="752"/>
      <c r="Y1058" s="752"/>
      <c r="Z1058" s="752"/>
      <c r="AA1058" s="752"/>
      <c r="AB1058" s="752"/>
      <c r="AC1058" s="753"/>
      <c r="AD1058" s="752"/>
      <c r="AE1058" s="752"/>
      <c r="AF1058" s="752"/>
      <c r="AG1058" s="752"/>
      <c r="AH1058" s="752"/>
      <c r="AI1058" s="752"/>
      <c r="AJ1058" s="752"/>
      <c r="AK1058" s="752"/>
      <c r="AL1058" s="751"/>
      <c r="AM1058" s="752"/>
      <c r="AN1058" s="752"/>
      <c r="AO1058" s="752"/>
      <c r="AP1058" s="752"/>
      <c r="AQ1058" s="752"/>
      <c r="AR1058" s="752"/>
      <c r="AS1058" s="753"/>
      <c r="AT1058" s="751"/>
      <c r="AU1058" s="752"/>
      <c r="AV1058" s="752"/>
      <c r="AW1058" s="752"/>
      <c r="AX1058" s="752"/>
      <c r="AY1058" s="753"/>
      <c r="AZ1058" s="752"/>
      <c r="BA1058" s="752"/>
      <c r="BB1058" s="752"/>
      <c r="BC1058" s="752"/>
      <c r="BD1058" s="752"/>
      <c r="BE1058" s="752"/>
      <c r="BF1058" s="751"/>
      <c r="BG1058" s="752"/>
      <c r="BH1058" s="752"/>
      <c r="BI1058" s="752"/>
      <c r="BJ1058" s="752"/>
      <c r="BK1058" s="753"/>
      <c r="BL1058" s="752"/>
      <c r="BM1058" s="752"/>
      <c r="BN1058" s="752"/>
      <c r="BO1058" s="752"/>
      <c r="BP1058" s="752"/>
      <c r="BQ1058" s="752"/>
      <c r="BR1058" s="752"/>
      <c r="BS1058" s="404">
        <f>+SUM(Q1058:BR1058)</f>
        <v>0</v>
      </c>
      <c r="BT1058" s="403"/>
      <c r="BU1058" s="403"/>
      <c r="BV1058" s="403"/>
      <c r="BW1058" s="403"/>
      <c r="BX1058" s="403"/>
      <c r="BY1058" s="403"/>
      <c r="BZ1058" s="405"/>
      <c r="CA1058" s="270"/>
      <c r="CB1058" s="3" t="str">
        <f t="shared" si="137"/>
        <v>Riadok bude skrytý.</v>
      </c>
      <c r="CC1058" s="271" t="s">
        <v>832</v>
      </c>
      <c r="CW1058" s="30">
        <f t="shared" ref="CW1058:CW1089" si="145">+IF($AB$1024="neeviduje",0,1)</f>
        <v>1</v>
      </c>
      <c r="CZ1058" s="30">
        <f t="shared" si="144"/>
        <v>1</v>
      </c>
      <c r="DA1058" s="30">
        <f t="shared" si="143"/>
        <v>1</v>
      </c>
      <c r="DB1058" s="2">
        <f t="shared" si="133"/>
        <v>0</v>
      </c>
      <c r="DS1058" s="130">
        <f>SI!BY1058</f>
        <v>912</v>
      </c>
      <c r="DZ1058" s="131">
        <f>SI!BZ1058</f>
        <v>0</v>
      </c>
    </row>
    <row r="1059" spans="1:130" hidden="1" x14ac:dyDescent="0.25">
      <c r="A1059" s="141"/>
      <c r="B1059" s="814" t="s">
        <v>113</v>
      </c>
      <c r="C1059" s="815"/>
      <c r="D1059" s="815"/>
      <c r="E1059" s="815"/>
      <c r="F1059" s="815"/>
      <c r="G1059" s="815"/>
      <c r="H1059" s="815"/>
      <c r="I1059" s="815"/>
      <c r="J1059" s="815"/>
      <c r="K1059" s="815"/>
      <c r="L1059" s="815"/>
      <c r="M1059" s="815"/>
      <c r="N1059" s="815"/>
      <c r="O1059" s="815"/>
      <c r="P1059" s="1661"/>
      <c r="Q1059" s="804"/>
      <c r="R1059" s="762"/>
      <c r="S1059" s="762"/>
      <c r="T1059" s="762"/>
      <c r="U1059" s="762"/>
      <c r="V1059" s="762"/>
      <c r="W1059" s="761"/>
      <c r="X1059" s="762"/>
      <c r="Y1059" s="762"/>
      <c r="Z1059" s="762"/>
      <c r="AA1059" s="762"/>
      <c r="AB1059" s="762"/>
      <c r="AC1059" s="763"/>
      <c r="AD1059" s="762"/>
      <c r="AE1059" s="762"/>
      <c r="AF1059" s="762"/>
      <c r="AG1059" s="762"/>
      <c r="AH1059" s="762"/>
      <c r="AI1059" s="762"/>
      <c r="AJ1059" s="762"/>
      <c r="AK1059" s="762"/>
      <c r="AL1059" s="761"/>
      <c r="AM1059" s="762"/>
      <c r="AN1059" s="762"/>
      <c r="AO1059" s="762"/>
      <c r="AP1059" s="762"/>
      <c r="AQ1059" s="762"/>
      <c r="AR1059" s="762"/>
      <c r="AS1059" s="763"/>
      <c r="AT1059" s="761"/>
      <c r="AU1059" s="762"/>
      <c r="AV1059" s="762"/>
      <c r="AW1059" s="762"/>
      <c r="AX1059" s="762"/>
      <c r="AY1059" s="763"/>
      <c r="AZ1059" s="762"/>
      <c r="BA1059" s="762"/>
      <c r="BB1059" s="762"/>
      <c r="BC1059" s="762"/>
      <c r="BD1059" s="762"/>
      <c r="BE1059" s="762"/>
      <c r="BF1059" s="761"/>
      <c r="BG1059" s="762"/>
      <c r="BH1059" s="762"/>
      <c r="BI1059" s="762"/>
      <c r="BJ1059" s="762"/>
      <c r="BK1059" s="763"/>
      <c r="BL1059" s="762"/>
      <c r="BM1059" s="762"/>
      <c r="BN1059" s="762"/>
      <c r="BO1059" s="762"/>
      <c r="BP1059" s="762"/>
      <c r="BQ1059" s="762"/>
      <c r="BR1059" s="762"/>
      <c r="BS1059" s="1758">
        <f>+SUM(Q1059:BR1059)</f>
        <v>0</v>
      </c>
      <c r="BT1059" s="1748"/>
      <c r="BU1059" s="1748"/>
      <c r="BV1059" s="1748"/>
      <c r="BW1059" s="1748"/>
      <c r="BX1059" s="1748"/>
      <c r="BY1059" s="1748"/>
      <c r="BZ1059" s="1749"/>
      <c r="CA1059" s="270"/>
      <c r="CB1059" s="3" t="str">
        <f t="shared" si="137"/>
        <v>Riadok bude skrytý.</v>
      </c>
      <c r="CC1059" s="271" t="s">
        <v>832</v>
      </c>
      <c r="CW1059" s="30">
        <f t="shared" si="145"/>
        <v>1</v>
      </c>
      <c r="CZ1059" s="30">
        <f t="shared" si="144"/>
        <v>1</v>
      </c>
      <c r="DA1059" s="30">
        <f t="shared" si="143"/>
        <v>1</v>
      </c>
      <c r="DB1059" s="2">
        <f t="shared" si="133"/>
        <v>0</v>
      </c>
      <c r="DS1059" s="130">
        <f>SI!BY1059</f>
        <v>142</v>
      </c>
      <c r="DZ1059" s="131">
        <f>SI!BZ1059</f>
        <v>0</v>
      </c>
    </row>
    <row r="1060" spans="1:130" hidden="1" x14ac:dyDescent="0.25">
      <c r="A1060" s="141"/>
      <c r="B1060" s="764" t="s">
        <v>114</v>
      </c>
      <c r="C1060" s="765"/>
      <c r="D1060" s="765"/>
      <c r="E1060" s="765"/>
      <c r="F1060" s="765"/>
      <c r="G1060" s="765"/>
      <c r="H1060" s="765"/>
      <c r="I1060" s="765"/>
      <c r="J1060" s="765"/>
      <c r="K1060" s="765"/>
      <c r="L1060" s="765"/>
      <c r="M1060" s="765"/>
      <c r="N1060" s="765"/>
      <c r="O1060" s="765"/>
      <c r="P1060" s="766"/>
      <c r="Q1060" s="811"/>
      <c r="R1060" s="1247"/>
      <c r="S1060" s="1247"/>
      <c r="T1060" s="1247"/>
      <c r="U1060" s="1247"/>
      <c r="V1060" s="1247"/>
      <c r="W1060" s="1246"/>
      <c r="X1060" s="1247"/>
      <c r="Y1060" s="1247"/>
      <c r="Z1060" s="1247"/>
      <c r="AA1060" s="1247"/>
      <c r="AB1060" s="1247"/>
      <c r="AC1060" s="1248"/>
      <c r="AD1060" s="1247"/>
      <c r="AE1060" s="1247"/>
      <c r="AF1060" s="1247"/>
      <c r="AG1060" s="1247"/>
      <c r="AH1060" s="1247"/>
      <c r="AI1060" s="1247"/>
      <c r="AJ1060" s="1247"/>
      <c r="AK1060" s="1247"/>
      <c r="AL1060" s="1246"/>
      <c r="AM1060" s="1247"/>
      <c r="AN1060" s="1247"/>
      <c r="AO1060" s="1247"/>
      <c r="AP1060" s="1247"/>
      <c r="AQ1060" s="1247"/>
      <c r="AR1060" s="1247"/>
      <c r="AS1060" s="1248"/>
      <c r="AT1060" s="1246"/>
      <c r="AU1060" s="1247"/>
      <c r="AV1060" s="1247"/>
      <c r="AW1060" s="1247"/>
      <c r="AX1060" s="1247"/>
      <c r="AY1060" s="1248"/>
      <c r="AZ1060" s="1247"/>
      <c r="BA1060" s="1247"/>
      <c r="BB1060" s="1247"/>
      <c r="BC1060" s="1247"/>
      <c r="BD1060" s="1247"/>
      <c r="BE1060" s="1247"/>
      <c r="BF1060" s="1246"/>
      <c r="BG1060" s="1247"/>
      <c r="BH1060" s="1247"/>
      <c r="BI1060" s="1247"/>
      <c r="BJ1060" s="1247"/>
      <c r="BK1060" s="1248"/>
      <c r="BL1060" s="1247"/>
      <c r="BM1060" s="1247"/>
      <c r="BN1060" s="1247"/>
      <c r="BO1060" s="1247"/>
      <c r="BP1060" s="1247"/>
      <c r="BQ1060" s="1247"/>
      <c r="BR1060" s="1247"/>
      <c r="BS1060" s="1269">
        <f>+SUM(Q1060:BR1060)</f>
        <v>0</v>
      </c>
      <c r="BT1060" s="1270"/>
      <c r="BU1060" s="1270"/>
      <c r="BV1060" s="1270"/>
      <c r="BW1060" s="1270"/>
      <c r="BX1060" s="1270"/>
      <c r="BY1060" s="1270"/>
      <c r="BZ1060" s="1271"/>
      <c r="CA1060" s="270"/>
      <c r="CB1060" s="3" t="str">
        <f t="shared" si="137"/>
        <v>Riadok bude skrytý.</v>
      </c>
      <c r="CC1060" s="271" t="s">
        <v>832</v>
      </c>
      <c r="CW1060" s="30">
        <f t="shared" si="145"/>
        <v>1</v>
      </c>
      <c r="CZ1060" s="30">
        <f t="shared" si="144"/>
        <v>1</v>
      </c>
      <c r="DA1060" s="30">
        <f t="shared" si="143"/>
        <v>1</v>
      </c>
      <c r="DB1060" s="2">
        <f t="shared" si="133"/>
        <v>0</v>
      </c>
      <c r="DS1060" s="130">
        <f>SI!BY1060</f>
        <v>736</v>
      </c>
      <c r="DZ1060" s="131">
        <f>SI!BZ1060</f>
        <v>0</v>
      </c>
    </row>
    <row r="1061" spans="1:130" hidden="1" x14ac:dyDescent="0.25">
      <c r="A1061" s="141"/>
      <c r="B1061" s="759" t="s">
        <v>115</v>
      </c>
      <c r="C1061" s="760"/>
      <c r="D1061" s="760"/>
      <c r="E1061" s="760"/>
      <c r="F1061" s="760"/>
      <c r="G1061" s="760"/>
      <c r="H1061" s="760"/>
      <c r="I1061" s="760"/>
      <c r="J1061" s="760"/>
      <c r="K1061" s="760"/>
      <c r="L1061" s="760"/>
      <c r="M1061" s="760"/>
      <c r="N1061" s="760"/>
      <c r="O1061" s="760"/>
      <c r="P1061" s="760"/>
      <c r="Q1061" s="754"/>
      <c r="R1061" s="755"/>
      <c r="S1061" s="755"/>
      <c r="T1061" s="755"/>
      <c r="U1061" s="755"/>
      <c r="V1061" s="755"/>
      <c r="W1061" s="754"/>
      <c r="X1061" s="755"/>
      <c r="Y1061" s="755"/>
      <c r="Z1061" s="755"/>
      <c r="AA1061" s="755"/>
      <c r="AB1061" s="755"/>
      <c r="AC1061" s="756"/>
      <c r="AD1061" s="755"/>
      <c r="AE1061" s="755"/>
      <c r="AF1061" s="755"/>
      <c r="AG1061" s="755"/>
      <c r="AH1061" s="755"/>
      <c r="AI1061" s="755"/>
      <c r="AJ1061" s="755"/>
      <c r="AK1061" s="755"/>
      <c r="AL1061" s="754"/>
      <c r="AM1061" s="755"/>
      <c r="AN1061" s="755"/>
      <c r="AO1061" s="755"/>
      <c r="AP1061" s="755"/>
      <c r="AQ1061" s="755"/>
      <c r="AR1061" s="755"/>
      <c r="AS1061" s="756"/>
      <c r="AT1061" s="755"/>
      <c r="AU1061" s="755"/>
      <c r="AV1061" s="755"/>
      <c r="AW1061" s="755"/>
      <c r="AX1061" s="755"/>
      <c r="AY1061" s="755"/>
      <c r="AZ1061" s="754"/>
      <c r="BA1061" s="755"/>
      <c r="BB1061" s="755"/>
      <c r="BC1061" s="755"/>
      <c r="BD1061" s="755"/>
      <c r="BE1061" s="756"/>
      <c r="BF1061" s="755"/>
      <c r="BG1061" s="755"/>
      <c r="BH1061" s="755"/>
      <c r="BI1061" s="755"/>
      <c r="BJ1061" s="755"/>
      <c r="BK1061" s="755"/>
      <c r="BL1061" s="754"/>
      <c r="BM1061" s="755"/>
      <c r="BN1061" s="755"/>
      <c r="BO1061" s="755"/>
      <c r="BP1061" s="755"/>
      <c r="BQ1061" s="755"/>
      <c r="BR1061" s="756"/>
      <c r="BS1061" s="757">
        <f>+SUM(Q1061:BR1061)</f>
        <v>0</v>
      </c>
      <c r="BT1061" s="757"/>
      <c r="BU1061" s="757"/>
      <c r="BV1061" s="757"/>
      <c r="BW1061" s="757"/>
      <c r="BX1061" s="757"/>
      <c r="BY1061" s="757"/>
      <c r="BZ1061" s="758"/>
      <c r="CA1061" s="270"/>
      <c r="CB1061" s="3" t="str">
        <f t="shared" si="137"/>
        <v>Riadok bude skrytý.</v>
      </c>
      <c r="CC1061" s="271" t="s">
        <v>832</v>
      </c>
      <c r="CD1061" s="137"/>
      <c r="CE1061" s="137"/>
      <c r="CW1061" s="30">
        <f t="shared" si="145"/>
        <v>1</v>
      </c>
      <c r="CZ1061" s="30">
        <f>IF(CC1061="",1,IF(CC1061="Chcem skryť riadok.",0,1))</f>
        <v>1</v>
      </c>
      <c r="DA1061" s="30">
        <f>+IF(CW1061+CX1061+CY1061=0,0,IF(CZ1061=0,0,1))</f>
        <v>1</v>
      </c>
      <c r="DB1061" s="2">
        <f t="shared" si="133"/>
        <v>0</v>
      </c>
      <c r="DS1061" s="130">
        <f>SI!BY1061</f>
        <v>519</v>
      </c>
      <c r="DZ1061" s="131">
        <f>SI!BZ1061</f>
        <v>0</v>
      </c>
    </row>
    <row r="1062" spans="1:130" hidden="1" x14ac:dyDescent="0.25">
      <c r="A1062" s="141"/>
      <c r="B1062" s="734" t="s">
        <v>119</v>
      </c>
      <c r="C1062" s="735"/>
      <c r="D1062" s="735"/>
      <c r="E1062" s="735"/>
      <c r="F1062" s="735"/>
      <c r="G1062" s="735"/>
      <c r="H1062" s="735"/>
      <c r="I1062" s="735"/>
      <c r="J1062" s="735"/>
      <c r="K1062" s="735"/>
      <c r="L1062" s="735"/>
      <c r="M1062" s="735"/>
      <c r="N1062" s="735"/>
      <c r="O1062" s="735"/>
      <c r="P1062" s="735"/>
      <c r="Q1062" s="404">
        <f>+SUM(Q1058:V1061)</f>
        <v>0</v>
      </c>
      <c r="R1062" s="403"/>
      <c r="S1062" s="403"/>
      <c r="T1062" s="403"/>
      <c r="U1062" s="403"/>
      <c r="V1062" s="403"/>
      <c r="W1062" s="404">
        <f>+SUM(W1058:AC1061)</f>
        <v>0</v>
      </c>
      <c r="X1062" s="403"/>
      <c r="Y1062" s="403"/>
      <c r="Z1062" s="403"/>
      <c r="AA1062" s="403"/>
      <c r="AB1062" s="403"/>
      <c r="AC1062" s="405"/>
      <c r="AD1062" s="403">
        <f>+SUM(AD1058:AK1061)</f>
        <v>0</v>
      </c>
      <c r="AE1062" s="403"/>
      <c r="AF1062" s="403"/>
      <c r="AG1062" s="403"/>
      <c r="AH1062" s="403"/>
      <c r="AI1062" s="403"/>
      <c r="AJ1062" s="403"/>
      <c r="AK1062" s="403"/>
      <c r="AL1062" s="404">
        <f>+SUM(AL1058:AS1061)</f>
        <v>0</v>
      </c>
      <c r="AM1062" s="403"/>
      <c r="AN1062" s="403"/>
      <c r="AO1062" s="403"/>
      <c r="AP1062" s="403"/>
      <c r="AQ1062" s="403"/>
      <c r="AR1062" s="403"/>
      <c r="AS1062" s="405"/>
      <c r="AT1062" s="403">
        <f>+SUM(AT1058:AY1061)</f>
        <v>0</v>
      </c>
      <c r="AU1062" s="403"/>
      <c r="AV1062" s="403"/>
      <c r="AW1062" s="403"/>
      <c r="AX1062" s="403"/>
      <c r="AY1062" s="403"/>
      <c r="AZ1062" s="404">
        <f>+SUM(AZ1058:BE1061)</f>
        <v>0</v>
      </c>
      <c r="BA1062" s="403"/>
      <c r="BB1062" s="403"/>
      <c r="BC1062" s="403"/>
      <c r="BD1062" s="403"/>
      <c r="BE1062" s="405"/>
      <c r="BF1062" s="403">
        <f>+SUM(BF1058:BK1061)</f>
        <v>0</v>
      </c>
      <c r="BG1062" s="403"/>
      <c r="BH1062" s="403"/>
      <c r="BI1062" s="403"/>
      <c r="BJ1062" s="403"/>
      <c r="BK1062" s="403"/>
      <c r="BL1062" s="404">
        <f>+SUM(BL1058:BR1061)</f>
        <v>0</v>
      </c>
      <c r="BM1062" s="403"/>
      <c r="BN1062" s="403"/>
      <c r="BO1062" s="403"/>
      <c r="BP1062" s="403"/>
      <c r="BQ1062" s="403"/>
      <c r="BR1062" s="405"/>
      <c r="BS1062" s="403">
        <f>+SUM(BS1058:BZ1061)</f>
        <v>0</v>
      </c>
      <c r="BT1062" s="403"/>
      <c r="BU1062" s="403"/>
      <c r="BV1062" s="403"/>
      <c r="BW1062" s="403"/>
      <c r="BX1062" s="403"/>
      <c r="BY1062" s="403"/>
      <c r="BZ1062" s="405"/>
      <c r="CA1062" s="270"/>
      <c r="CB1062" s="3" t="str">
        <f t="shared" si="137"/>
        <v>Riadok bude skrytý.</v>
      </c>
      <c r="CC1062" s="271" t="s">
        <v>832</v>
      </c>
      <c r="CW1062" s="30">
        <f t="shared" si="145"/>
        <v>1</v>
      </c>
      <c r="CZ1062" s="30">
        <f t="shared" si="144"/>
        <v>1</v>
      </c>
      <c r="DA1062" s="30">
        <f t="shared" si="143"/>
        <v>1</v>
      </c>
      <c r="DB1062" s="2">
        <f t="shared" si="133"/>
        <v>0</v>
      </c>
      <c r="DS1062" s="130">
        <f>SI!BY1062</f>
        <v>164</v>
      </c>
      <c r="DZ1062" s="131">
        <f>SI!BZ1062</f>
        <v>0</v>
      </c>
    </row>
    <row r="1063" spans="1:130" hidden="1" x14ac:dyDescent="0.25">
      <c r="A1063" s="141"/>
      <c r="B1063" s="779" t="s">
        <v>117</v>
      </c>
      <c r="C1063" s="780"/>
      <c r="D1063" s="780"/>
      <c r="E1063" s="780"/>
      <c r="F1063" s="780"/>
      <c r="G1063" s="780"/>
      <c r="H1063" s="780"/>
      <c r="I1063" s="780"/>
      <c r="J1063" s="780"/>
      <c r="K1063" s="780"/>
      <c r="L1063" s="780"/>
      <c r="M1063" s="780"/>
      <c r="N1063" s="780"/>
      <c r="O1063" s="780"/>
      <c r="P1063" s="780"/>
      <c r="Q1063" s="820"/>
      <c r="R1063" s="820"/>
      <c r="S1063" s="820"/>
      <c r="T1063" s="820"/>
      <c r="U1063" s="820"/>
      <c r="V1063" s="820"/>
      <c r="W1063" s="820"/>
      <c r="X1063" s="820"/>
      <c r="Y1063" s="820"/>
      <c r="Z1063" s="820"/>
      <c r="AA1063" s="820"/>
      <c r="AB1063" s="820"/>
      <c r="AC1063" s="820"/>
      <c r="AD1063" s="820"/>
      <c r="AE1063" s="820"/>
      <c r="AF1063" s="820"/>
      <c r="AG1063" s="820"/>
      <c r="AH1063" s="820"/>
      <c r="AI1063" s="820"/>
      <c r="AJ1063" s="820"/>
      <c r="AK1063" s="820"/>
      <c r="AL1063" s="820"/>
      <c r="AM1063" s="820"/>
      <c r="AN1063" s="820"/>
      <c r="AO1063" s="820"/>
      <c r="AP1063" s="820"/>
      <c r="AQ1063" s="820"/>
      <c r="AR1063" s="820"/>
      <c r="AS1063" s="820"/>
      <c r="AT1063" s="820"/>
      <c r="AU1063" s="820"/>
      <c r="AV1063" s="820"/>
      <c r="AW1063" s="820"/>
      <c r="AX1063" s="820"/>
      <c r="AY1063" s="820"/>
      <c r="AZ1063" s="820"/>
      <c r="BA1063" s="820"/>
      <c r="BB1063" s="820"/>
      <c r="BC1063" s="820"/>
      <c r="BD1063" s="820"/>
      <c r="BE1063" s="820"/>
      <c r="BF1063" s="820"/>
      <c r="BG1063" s="820"/>
      <c r="BH1063" s="820"/>
      <c r="BI1063" s="820"/>
      <c r="BJ1063" s="820"/>
      <c r="BK1063" s="820"/>
      <c r="BL1063" s="820"/>
      <c r="BM1063" s="820"/>
      <c r="BN1063" s="820"/>
      <c r="BO1063" s="820"/>
      <c r="BP1063" s="820"/>
      <c r="BQ1063" s="820"/>
      <c r="BR1063" s="820"/>
      <c r="BS1063" s="820"/>
      <c r="BT1063" s="820"/>
      <c r="BU1063" s="820"/>
      <c r="BV1063" s="820"/>
      <c r="BW1063" s="820"/>
      <c r="BX1063" s="820"/>
      <c r="BY1063" s="820"/>
      <c r="BZ1063" s="821"/>
      <c r="CA1063" s="270"/>
      <c r="CB1063" s="3" t="str">
        <f t="shared" si="137"/>
        <v>Riadok bude skrytý.</v>
      </c>
      <c r="CC1063" s="271" t="s">
        <v>832</v>
      </c>
      <c r="CW1063" s="30">
        <f t="shared" si="145"/>
        <v>1</v>
      </c>
      <c r="CZ1063" s="30">
        <f t="shared" si="144"/>
        <v>1</v>
      </c>
      <c r="DA1063" s="30">
        <f t="shared" si="143"/>
        <v>1</v>
      </c>
      <c r="DB1063" s="2">
        <f t="shared" si="133"/>
        <v>0</v>
      </c>
      <c r="DS1063" s="130">
        <f>SI!BY1063</f>
        <v>1045</v>
      </c>
      <c r="DZ1063" s="131">
        <f>SI!BZ1063</f>
        <v>0</v>
      </c>
    </row>
    <row r="1064" spans="1:130" hidden="1" x14ac:dyDescent="0.25">
      <c r="A1064" s="141"/>
      <c r="B1064" s="734" t="s">
        <v>118</v>
      </c>
      <c r="C1064" s="735"/>
      <c r="D1064" s="735"/>
      <c r="E1064" s="735"/>
      <c r="F1064" s="735"/>
      <c r="G1064" s="735"/>
      <c r="H1064" s="735"/>
      <c r="I1064" s="735"/>
      <c r="J1064" s="735"/>
      <c r="K1064" s="735"/>
      <c r="L1064" s="735"/>
      <c r="M1064" s="735"/>
      <c r="N1064" s="735"/>
      <c r="O1064" s="735"/>
      <c r="P1064" s="1265"/>
      <c r="Q1064" s="751"/>
      <c r="R1064" s="752"/>
      <c r="S1064" s="752"/>
      <c r="T1064" s="752"/>
      <c r="U1064" s="752"/>
      <c r="V1064" s="752"/>
      <c r="W1064" s="751"/>
      <c r="X1064" s="752"/>
      <c r="Y1064" s="752"/>
      <c r="Z1064" s="752"/>
      <c r="AA1064" s="752"/>
      <c r="AB1064" s="752"/>
      <c r="AC1064" s="753"/>
      <c r="AD1064" s="752"/>
      <c r="AE1064" s="752"/>
      <c r="AF1064" s="752"/>
      <c r="AG1064" s="752"/>
      <c r="AH1064" s="752"/>
      <c r="AI1064" s="752"/>
      <c r="AJ1064" s="752"/>
      <c r="AK1064" s="752"/>
      <c r="AL1064" s="751"/>
      <c r="AM1064" s="752"/>
      <c r="AN1064" s="752"/>
      <c r="AO1064" s="752"/>
      <c r="AP1064" s="752"/>
      <c r="AQ1064" s="752"/>
      <c r="AR1064" s="752"/>
      <c r="AS1064" s="753"/>
      <c r="AT1064" s="751"/>
      <c r="AU1064" s="752"/>
      <c r="AV1064" s="752"/>
      <c r="AW1064" s="752"/>
      <c r="AX1064" s="752"/>
      <c r="AY1064" s="753"/>
      <c r="AZ1064" s="752"/>
      <c r="BA1064" s="752"/>
      <c r="BB1064" s="752"/>
      <c r="BC1064" s="752"/>
      <c r="BD1064" s="752"/>
      <c r="BE1064" s="752"/>
      <c r="BF1064" s="751"/>
      <c r="BG1064" s="752"/>
      <c r="BH1064" s="752"/>
      <c r="BI1064" s="752"/>
      <c r="BJ1064" s="752"/>
      <c r="BK1064" s="753"/>
      <c r="BL1064" s="752"/>
      <c r="BM1064" s="752"/>
      <c r="BN1064" s="752"/>
      <c r="BO1064" s="752"/>
      <c r="BP1064" s="752"/>
      <c r="BQ1064" s="752"/>
      <c r="BR1064" s="752"/>
      <c r="BS1064" s="404">
        <f>+SUM(Q1064:BR1064)</f>
        <v>0</v>
      </c>
      <c r="BT1064" s="403"/>
      <c r="BU1064" s="403"/>
      <c r="BV1064" s="403"/>
      <c r="BW1064" s="403"/>
      <c r="BX1064" s="403"/>
      <c r="BY1064" s="403"/>
      <c r="BZ1064" s="405"/>
      <c r="CA1064" s="270"/>
      <c r="CB1064" s="3" t="str">
        <f t="shared" si="137"/>
        <v>Riadok bude skrytý.</v>
      </c>
      <c r="CC1064" s="271" t="s">
        <v>832</v>
      </c>
      <c r="CW1064" s="30">
        <f t="shared" si="145"/>
        <v>1</v>
      </c>
      <c r="CZ1064" s="30">
        <f t="shared" si="144"/>
        <v>1</v>
      </c>
      <c r="DA1064" s="30">
        <f t="shared" si="143"/>
        <v>1</v>
      </c>
      <c r="DB1064" s="2">
        <f t="shared" ref="DB1064:DB1127" si="146">+IF($CD$1="malé",0,DA1064)</f>
        <v>0</v>
      </c>
      <c r="DS1064" s="130">
        <f>SI!BY1064</f>
        <v>107</v>
      </c>
      <c r="DZ1064" s="131">
        <f>SI!BZ1064</f>
        <v>0</v>
      </c>
    </row>
    <row r="1065" spans="1:130" hidden="1" x14ac:dyDescent="0.25">
      <c r="A1065" s="141"/>
      <c r="B1065" s="814" t="s">
        <v>113</v>
      </c>
      <c r="C1065" s="815"/>
      <c r="D1065" s="815"/>
      <c r="E1065" s="815"/>
      <c r="F1065" s="815"/>
      <c r="G1065" s="815"/>
      <c r="H1065" s="815"/>
      <c r="I1065" s="815"/>
      <c r="J1065" s="815"/>
      <c r="K1065" s="815"/>
      <c r="L1065" s="815"/>
      <c r="M1065" s="815"/>
      <c r="N1065" s="815"/>
      <c r="O1065" s="815"/>
      <c r="P1065" s="1661"/>
      <c r="Q1065" s="804"/>
      <c r="R1065" s="762"/>
      <c r="S1065" s="762"/>
      <c r="T1065" s="762"/>
      <c r="U1065" s="762"/>
      <c r="V1065" s="762"/>
      <c r="W1065" s="761"/>
      <c r="X1065" s="762"/>
      <c r="Y1065" s="762"/>
      <c r="Z1065" s="762"/>
      <c r="AA1065" s="762"/>
      <c r="AB1065" s="762"/>
      <c r="AC1065" s="763"/>
      <c r="AD1065" s="762"/>
      <c r="AE1065" s="762"/>
      <c r="AF1065" s="762"/>
      <c r="AG1065" s="762"/>
      <c r="AH1065" s="762"/>
      <c r="AI1065" s="762"/>
      <c r="AJ1065" s="762"/>
      <c r="AK1065" s="762"/>
      <c r="AL1065" s="761"/>
      <c r="AM1065" s="762"/>
      <c r="AN1065" s="762"/>
      <c r="AO1065" s="762"/>
      <c r="AP1065" s="762"/>
      <c r="AQ1065" s="762"/>
      <c r="AR1065" s="762"/>
      <c r="AS1065" s="763"/>
      <c r="AT1065" s="761"/>
      <c r="AU1065" s="762"/>
      <c r="AV1065" s="762"/>
      <c r="AW1065" s="762"/>
      <c r="AX1065" s="762"/>
      <c r="AY1065" s="763"/>
      <c r="AZ1065" s="762"/>
      <c r="BA1065" s="762"/>
      <c r="BB1065" s="762"/>
      <c r="BC1065" s="762"/>
      <c r="BD1065" s="762"/>
      <c r="BE1065" s="762"/>
      <c r="BF1065" s="761"/>
      <c r="BG1065" s="762"/>
      <c r="BH1065" s="762"/>
      <c r="BI1065" s="762"/>
      <c r="BJ1065" s="762"/>
      <c r="BK1065" s="763"/>
      <c r="BL1065" s="762"/>
      <c r="BM1065" s="762"/>
      <c r="BN1065" s="762"/>
      <c r="BO1065" s="762"/>
      <c r="BP1065" s="762"/>
      <c r="BQ1065" s="762"/>
      <c r="BR1065" s="762"/>
      <c r="BS1065" s="1758">
        <f>+SUM(Q1065:BR1065)</f>
        <v>0</v>
      </c>
      <c r="BT1065" s="1748"/>
      <c r="BU1065" s="1748"/>
      <c r="BV1065" s="1748"/>
      <c r="BW1065" s="1748"/>
      <c r="BX1065" s="1748"/>
      <c r="BY1065" s="1748"/>
      <c r="BZ1065" s="1749"/>
      <c r="CA1065" s="270"/>
      <c r="CB1065" s="3" t="str">
        <f t="shared" si="137"/>
        <v>Riadok bude skrytý.</v>
      </c>
      <c r="CC1065" s="271" t="s">
        <v>832</v>
      </c>
      <c r="CW1065" s="30">
        <f t="shared" si="145"/>
        <v>1</v>
      </c>
      <c r="CZ1065" s="30">
        <f t="shared" si="144"/>
        <v>1</v>
      </c>
      <c r="DA1065" s="30">
        <f t="shared" si="143"/>
        <v>1</v>
      </c>
      <c r="DB1065" s="2">
        <f t="shared" si="146"/>
        <v>0</v>
      </c>
      <c r="DS1065" s="130">
        <f>SI!BY1065</f>
        <v>405</v>
      </c>
      <c r="DZ1065" s="131">
        <f>SI!BZ1065</f>
        <v>0</v>
      </c>
    </row>
    <row r="1066" spans="1:130" hidden="1" x14ac:dyDescent="0.25">
      <c r="A1066" s="141"/>
      <c r="B1066" s="764" t="s">
        <v>114</v>
      </c>
      <c r="C1066" s="765"/>
      <c r="D1066" s="765"/>
      <c r="E1066" s="765"/>
      <c r="F1066" s="765"/>
      <c r="G1066" s="765"/>
      <c r="H1066" s="765"/>
      <c r="I1066" s="765"/>
      <c r="J1066" s="765"/>
      <c r="K1066" s="765"/>
      <c r="L1066" s="765"/>
      <c r="M1066" s="765"/>
      <c r="N1066" s="765"/>
      <c r="O1066" s="765"/>
      <c r="P1066" s="766"/>
      <c r="Q1066" s="811"/>
      <c r="R1066" s="1247"/>
      <c r="S1066" s="1247"/>
      <c r="T1066" s="1247"/>
      <c r="U1066" s="1247"/>
      <c r="V1066" s="1247"/>
      <c r="W1066" s="1246"/>
      <c r="X1066" s="1247"/>
      <c r="Y1066" s="1247"/>
      <c r="Z1066" s="1247"/>
      <c r="AA1066" s="1247"/>
      <c r="AB1066" s="1247"/>
      <c r="AC1066" s="1248"/>
      <c r="AD1066" s="1247"/>
      <c r="AE1066" s="1247"/>
      <c r="AF1066" s="1247"/>
      <c r="AG1066" s="1247"/>
      <c r="AH1066" s="1247"/>
      <c r="AI1066" s="1247"/>
      <c r="AJ1066" s="1247"/>
      <c r="AK1066" s="1247"/>
      <c r="AL1066" s="1246"/>
      <c r="AM1066" s="1247"/>
      <c r="AN1066" s="1247"/>
      <c r="AO1066" s="1247"/>
      <c r="AP1066" s="1247"/>
      <c r="AQ1066" s="1247"/>
      <c r="AR1066" s="1247"/>
      <c r="AS1066" s="1248"/>
      <c r="AT1066" s="1246"/>
      <c r="AU1066" s="1247"/>
      <c r="AV1066" s="1247"/>
      <c r="AW1066" s="1247"/>
      <c r="AX1066" s="1247"/>
      <c r="AY1066" s="1248"/>
      <c r="AZ1066" s="1247"/>
      <c r="BA1066" s="1247"/>
      <c r="BB1066" s="1247"/>
      <c r="BC1066" s="1247"/>
      <c r="BD1066" s="1247"/>
      <c r="BE1066" s="1247"/>
      <c r="BF1066" s="1246"/>
      <c r="BG1066" s="1247"/>
      <c r="BH1066" s="1247"/>
      <c r="BI1066" s="1247"/>
      <c r="BJ1066" s="1247"/>
      <c r="BK1066" s="1248"/>
      <c r="BL1066" s="1247"/>
      <c r="BM1066" s="1247"/>
      <c r="BN1066" s="1247"/>
      <c r="BO1066" s="1247"/>
      <c r="BP1066" s="1247"/>
      <c r="BQ1066" s="1247"/>
      <c r="BR1066" s="1247"/>
      <c r="BS1066" s="1269">
        <f>+SUM(Q1066:BR1066)</f>
        <v>0</v>
      </c>
      <c r="BT1066" s="1270"/>
      <c r="BU1066" s="1270"/>
      <c r="BV1066" s="1270"/>
      <c r="BW1066" s="1270"/>
      <c r="BX1066" s="1270"/>
      <c r="BY1066" s="1270"/>
      <c r="BZ1066" s="1271"/>
      <c r="CA1066" s="270"/>
      <c r="CB1066" s="3" t="str">
        <f t="shared" si="137"/>
        <v>Riadok bude skrytý.</v>
      </c>
      <c r="CC1066" s="271" t="s">
        <v>832</v>
      </c>
      <c r="CW1066" s="30">
        <f t="shared" si="145"/>
        <v>1</v>
      </c>
      <c r="CZ1066" s="30">
        <f t="shared" si="144"/>
        <v>1</v>
      </c>
      <c r="DA1066" s="30">
        <f t="shared" si="143"/>
        <v>1</v>
      </c>
      <c r="DB1066" s="2">
        <f t="shared" si="146"/>
        <v>0</v>
      </c>
      <c r="DS1066" s="130">
        <f>SI!BY1066</f>
        <v>95</v>
      </c>
      <c r="DZ1066" s="131">
        <f>SI!BZ1066</f>
        <v>0</v>
      </c>
    </row>
    <row r="1067" spans="1:130" hidden="1" x14ac:dyDescent="0.25">
      <c r="A1067" s="141"/>
      <c r="B1067" s="759" t="s">
        <v>115</v>
      </c>
      <c r="C1067" s="760"/>
      <c r="D1067" s="760"/>
      <c r="E1067" s="760"/>
      <c r="F1067" s="760"/>
      <c r="G1067" s="760"/>
      <c r="H1067" s="760"/>
      <c r="I1067" s="760"/>
      <c r="J1067" s="760"/>
      <c r="K1067" s="760"/>
      <c r="L1067" s="760"/>
      <c r="M1067" s="760"/>
      <c r="N1067" s="760"/>
      <c r="O1067" s="760"/>
      <c r="P1067" s="760"/>
      <c r="Q1067" s="754"/>
      <c r="R1067" s="755"/>
      <c r="S1067" s="755"/>
      <c r="T1067" s="755"/>
      <c r="U1067" s="755"/>
      <c r="V1067" s="755"/>
      <c r="W1067" s="754"/>
      <c r="X1067" s="755"/>
      <c r="Y1067" s="755"/>
      <c r="Z1067" s="755"/>
      <c r="AA1067" s="755"/>
      <c r="AB1067" s="755"/>
      <c r="AC1067" s="756"/>
      <c r="AD1067" s="755"/>
      <c r="AE1067" s="755"/>
      <c r="AF1067" s="755"/>
      <c r="AG1067" s="755"/>
      <c r="AH1067" s="755"/>
      <c r="AI1067" s="755"/>
      <c r="AJ1067" s="755"/>
      <c r="AK1067" s="755"/>
      <c r="AL1067" s="754"/>
      <c r="AM1067" s="755"/>
      <c r="AN1067" s="755"/>
      <c r="AO1067" s="755"/>
      <c r="AP1067" s="755"/>
      <c r="AQ1067" s="755"/>
      <c r="AR1067" s="755"/>
      <c r="AS1067" s="756"/>
      <c r="AT1067" s="755"/>
      <c r="AU1067" s="755"/>
      <c r="AV1067" s="755"/>
      <c r="AW1067" s="755"/>
      <c r="AX1067" s="755"/>
      <c r="AY1067" s="755"/>
      <c r="AZ1067" s="754"/>
      <c r="BA1067" s="755"/>
      <c r="BB1067" s="755"/>
      <c r="BC1067" s="755"/>
      <c r="BD1067" s="755"/>
      <c r="BE1067" s="756"/>
      <c r="BF1067" s="755"/>
      <c r="BG1067" s="755"/>
      <c r="BH1067" s="755"/>
      <c r="BI1067" s="755"/>
      <c r="BJ1067" s="755"/>
      <c r="BK1067" s="755"/>
      <c r="BL1067" s="754"/>
      <c r="BM1067" s="755"/>
      <c r="BN1067" s="755"/>
      <c r="BO1067" s="755"/>
      <c r="BP1067" s="755"/>
      <c r="BQ1067" s="755"/>
      <c r="BR1067" s="756"/>
      <c r="BS1067" s="757">
        <f>+SUM(Q1067:BR1067)</f>
        <v>0</v>
      </c>
      <c r="BT1067" s="757"/>
      <c r="BU1067" s="757"/>
      <c r="BV1067" s="757"/>
      <c r="BW1067" s="757"/>
      <c r="BX1067" s="757"/>
      <c r="BY1067" s="757"/>
      <c r="BZ1067" s="758"/>
      <c r="CA1067" s="270"/>
      <c r="CB1067" s="3" t="str">
        <f t="shared" si="137"/>
        <v>Riadok bude skrytý.</v>
      </c>
      <c r="CC1067" s="271" t="s">
        <v>832</v>
      </c>
      <c r="CD1067" s="137"/>
      <c r="CE1067" s="137"/>
      <c r="CF1067" s="137"/>
      <c r="CW1067" s="30">
        <f t="shared" si="145"/>
        <v>1</v>
      </c>
      <c r="CZ1067" s="30">
        <f>IF(CC1067="",1,IF(CC1067="Chcem skryť riadok.",0,1))</f>
        <v>1</v>
      </c>
      <c r="DA1067" s="30">
        <f>+IF(CW1067+CX1067+CY1067=0,0,IF(CZ1067=0,0,1))</f>
        <v>1</v>
      </c>
      <c r="DB1067" s="2">
        <f t="shared" si="146"/>
        <v>0</v>
      </c>
      <c r="DS1067" s="130">
        <f>SI!BY1067</f>
        <v>978</v>
      </c>
      <c r="DZ1067" s="131">
        <f>SI!BZ1067</f>
        <v>0</v>
      </c>
    </row>
    <row r="1068" spans="1:130" hidden="1" x14ac:dyDescent="0.25">
      <c r="A1068" s="141"/>
      <c r="B1068" s="734" t="s">
        <v>119</v>
      </c>
      <c r="C1068" s="735"/>
      <c r="D1068" s="735"/>
      <c r="E1068" s="735"/>
      <c r="F1068" s="735"/>
      <c r="G1068" s="735"/>
      <c r="H1068" s="735"/>
      <c r="I1068" s="735"/>
      <c r="J1068" s="735"/>
      <c r="K1068" s="735"/>
      <c r="L1068" s="735"/>
      <c r="M1068" s="735"/>
      <c r="N1068" s="735"/>
      <c r="O1068" s="735"/>
      <c r="P1068" s="1265"/>
      <c r="Q1068" s="404">
        <f>+SUM(Q1064:V1067)</f>
        <v>0</v>
      </c>
      <c r="R1068" s="403"/>
      <c r="S1068" s="403"/>
      <c r="T1068" s="403"/>
      <c r="U1068" s="403"/>
      <c r="V1068" s="403"/>
      <c r="W1068" s="404">
        <f>+SUM(W1064:AC1067)</f>
        <v>0</v>
      </c>
      <c r="X1068" s="403"/>
      <c r="Y1068" s="403"/>
      <c r="Z1068" s="403"/>
      <c r="AA1068" s="403"/>
      <c r="AB1068" s="403"/>
      <c r="AC1068" s="405"/>
      <c r="AD1068" s="403">
        <f>+SUM(AD1064:AK1067)</f>
        <v>0</v>
      </c>
      <c r="AE1068" s="403"/>
      <c r="AF1068" s="403"/>
      <c r="AG1068" s="403"/>
      <c r="AH1068" s="403"/>
      <c r="AI1068" s="403"/>
      <c r="AJ1068" s="403"/>
      <c r="AK1068" s="403"/>
      <c r="AL1068" s="404">
        <f>+SUM(AL1064:AS1067)</f>
        <v>0</v>
      </c>
      <c r="AM1068" s="403"/>
      <c r="AN1068" s="403"/>
      <c r="AO1068" s="403"/>
      <c r="AP1068" s="403"/>
      <c r="AQ1068" s="403"/>
      <c r="AR1068" s="403"/>
      <c r="AS1068" s="405"/>
      <c r="AT1068" s="403">
        <f>+SUM(AT1064:AY1067)</f>
        <v>0</v>
      </c>
      <c r="AU1068" s="403"/>
      <c r="AV1068" s="403"/>
      <c r="AW1068" s="403"/>
      <c r="AX1068" s="403"/>
      <c r="AY1068" s="403"/>
      <c r="AZ1068" s="404">
        <f>+SUM(AZ1064:BE1067)</f>
        <v>0</v>
      </c>
      <c r="BA1068" s="403"/>
      <c r="BB1068" s="403"/>
      <c r="BC1068" s="403"/>
      <c r="BD1068" s="403"/>
      <c r="BE1068" s="405"/>
      <c r="BF1068" s="403">
        <f>+SUM(BF1064:BK1067)</f>
        <v>0</v>
      </c>
      <c r="BG1068" s="403"/>
      <c r="BH1068" s="403"/>
      <c r="BI1068" s="403"/>
      <c r="BJ1068" s="403"/>
      <c r="BK1068" s="403"/>
      <c r="BL1068" s="404">
        <f>+SUM(BL1064:BR1067)</f>
        <v>0</v>
      </c>
      <c r="BM1068" s="403"/>
      <c r="BN1068" s="403"/>
      <c r="BO1068" s="403"/>
      <c r="BP1068" s="403"/>
      <c r="BQ1068" s="403"/>
      <c r="BR1068" s="405"/>
      <c r="BS1068" s="403">
        <f>+SUM(BS1064:BZ1067)</f>
        <v>0</v>
      </c>
      <c r="BT1068" s="403"/>
      <c r="BU1068" s="403"/>
      <c r="BV1068" s="403"/>
      <c r="BW1068" s="403"/>
      <c r="BX1068" s="403"/>
      <c r="BY1068" s="403"/>
      <c r="BZ1068" s="405"/>
      <c r="CA1068" s="270"/>
      <c r="CB1068" s="3" t="str">
        <f t="shared" si="137"/>
        <v>Riadok bude skrytý.</v>
      </c>
      <c r="CC1068" s="271" t="s">
        <v>832</v>
      </c>
      <c r="CW1068" s="30">
        <f t="shared" si="145"/>
        <v>1</v>
      </c>
      <c r="CZ1068" s="30">
        <f t="shared" si="144"/>
        <v>1</v>
      </c>
      <c r="DA1068" s="30">
        <f t="shared" si="143"/>
        <v>1</v>
      </c>
      <c r="DB1068" s="2">
        <f t="shared" si="146"/>
        <v>0</v>
      </c>
      <c r="DS1068" s="130">
        <f>SI!BY1068</f>
        <v>104</v>
      </c>
      <c r="DZ1068" s="131">
        <f>SI!BZ1068</f>
        <v>0</v>
      </c>
    </row>
    <row r="1069" spans="1:130" hidden="1" x14ac:dyDescent="0.25">
      <c r="A1069" s="141"/>
      <c r="B1069" s="779" t="s">
        <v>126</v>
      </c>
      <c r="C1069" s="780"/>
      <c r="D1069" s="780"/>
      <c r="E1069" s="780"/>
      <c r="F1069" s="780"/>
      <c r="G1069" s="780"/>
      <c r="H1069" s="780"/>
      <c r="I1069" s="780"/>
      <c r="J1069" s="780"/>
      <c r="K1069" s="780"/>
      <c r="L1069" s="780"/>
      <c r="M1069" s="780"/>
      <c r="N1069" s="780"/>
      <c r="O1069" s="780"/>
      <c r="P1069" s="780"/>
      <c r="Q1069" s="780"/>
      <c r="R1069" s="780"/>
      <c r="S1069" s="780"/>
      <c r="T1069" s="780"/>
      <c r="U1069" s="780"/>
      <c r="V1069" s="780"/>
      <c r="W1069" s="780"/>
      <c r="X1069" s="780"/>
      <c r="Y1069" s="780"/>
      <c r="Z1069" s="780"/>
      <c r="AA1069" s="780"/>
      <c r="AB1069" s="780"/>
      <c r="AC1069" s="780"/>
      <c r="AD1069" s="780"/>
      <c r="AE1069" s="780"/>
      <c r="AF1069" s="780"/>
      <c r="AG1069" s="780"/>
      <c r="AH1069" s="780"/>
      <c r="AI1069" s="780"/>
      <c r="AJ1069" s="780"/>
      <c r="AK1069" s="780"/>
      <c r="AL1069" s="780"/>
      <c r="AM1069" s="780"/>
      <c r="AN1069" s="780"/>
      <c r="AO1069" s="780"/>
      <c r="AP1069" s="780"/>
      <c r="AQ1069" s="780"/>
      <c r="AR1069" s="780"/>
      <c r="AS1069" s="780"/>
      <c r="AT1069" s="780"/>
      <c r="AU1069" s="780"/>
      <c r="AV1069" s="780"/>
      <c r="AW1069" s="780"/>
      <c r="AX1069" s="780"/>
      <c r="AY1069" s="780"/>
      <c r="AZ1069" s="780"/>
      <c r="BA1069" s="780"/>
      <c r="BB1069" s="780"/>
      <c r="BC1069" s="780"/>
      <c r="BD1069" s="780"/>
      <c r="BE1069" s="780"/>
      <c r="BF1069" s="780"/>
      <c r="BG1069" s="780"/>
      <c r="BH1069" s="780"/>
      <c r="BI1069" s="780"/>
      <c r="BJ1069" s="780"/>
      <c r="BK1069" s="780"/>
      <c r="BL1069" s="780"/>
      <c r="BM1069" s="780"/>
      <c r="BN1069" s="780"/>
      <c r="BO1069" s="780"/>
      <c r="BP1069" s="780"/>
      <c r="BQ1069" s="780"/>
      <c r="BR1069" s="780"/>
      <c r="BS1069" s="780"/>
      <c r="BT1069" s="780"/>
      <c r="BU1069" s="780"/>
      <c r="BV1069" s="780"/>
      <c r="BW1069" s="780"/>
      <c r="BX1069" s="780"/>
      <c r="BY1069" s="780"/>
      <c r="BZ1069" s="781"/>
      <c r="CA1069" s="270"/>
      <c r="CB1069" s="3" t="str">
        <f t="shared" si="137"/>
        <v>Riadok bude skrytý.</v>
      </c>
      <c r="CC1069" s="271" t="s">
        <v>832</v>
      </c>
      <c r="CW1069" s="30">
        <f t="shared" si="145"/>
        <v>1</v>
      </c>
      <c r="CZ1069" s="30">
        <f t="shared" si="144"/>
        <v>1</v>
      </c>
      <c r="DA1069" s="30">
        <f t="shared" si="143"/>
        <v>1</v>
      </c>
      <c r="DB1069" s="2">
        <f t="shared" si="146"/>
        <v>0</v>
      </c>
      <c r="DS1069" s="130">
        <f>SI!BY1069</f>
        <v>179</v>
      </c>
      <c r="DZ1069" s="131">
        <f>SI!BZ1069</f>
        <v>0</v>
      </c>
    </row>
    <row r="1070" spans="1:130" hidden="1" x14ac:dyDescent="0.25">
      <c r="A1070" s="141"/>
      <c r="B1070" s="734" t="s">
        <v>118</v>
      </c>
      <c r="C1070" s="735"/>
      <c r="D1070" s="735"/>
      <c r="E1070" s="735"/>
      <c r="F1070" s="735"/>
      <c r="G1070" s="735"/>
      <c r="H1070" s="735"/>
      <c r="I1070" s="735"/>
      <c r="J1070" s="735"/>
      <c r="K1070" s="735"/>
      <c r="L1070" s="735"/>
      <c r="M1070" s="735"/>
      <c r="N1070" s="735"/>
      <c r="O1070" s="735"/>
      <c r="P1070" s="1265"/>
      <c r="Q1070" s="404">
        <f>+Q1052-Q1058-Q1064</f>
        <v>0</v>
      </c>
      <c r="R1070" s="403"/>
      <c r="S1070" s="403"/>
      <c r="T1070" s="403"/>
      <c r="U1070" s="403"/>
      <c r="V1070" s="403"/>
      <c r="W1070" s="404">
        <f>+W1052-W1058-W1064</f>
        <v>0</v>
      </c>
      <c r="X1070" s="403"/>
      <c r="Y1070" s="403"/>
      <c r="Z1070" s="403"/>
      <c r="AA1070" s="403"/>
      <c r="AB1070" s="403"/>
      <c r="AC1070" s="405"/>
      <c r="AD1070" s="403">
        <f>+AD1052-AD1058-AD1064</f>
        <v>0</v>
      </c>
      <c r="AE1070" s="403"/>
      <c r="AF1070" s="403"/>
      <c r="AG1070" s="403"/>
      <c r="AH1070" s="403"/>
      <c r="AI1070" s="403"/>
      <c r="AJ1070" s="403"/>
      <c r="AK1070" s="403"/>
      <c r="AL1070" s="404">
        <f>+AL1052-AL1058-AL1064</f>
        <v>0</v>
      </c>
      <c r="AM1070" s="403"/>
      <c r="AN1070" s="403"/>
      <c r="AO1070" s="403"/>
      <c r="AP1070" s="403"/>
      <c r="AQ1070" s="403"/>
      <c r="AR1070" s="403"/>
      <c r="AS1070" s="405"/>
      <c r="AT1070" s="404">
        <f>+AT1052-AT1058-AT1064</f>
        <v>0</v>
      </c>
      <c r="AU1070" s="403"/>
      <c r="AV1070" s="403"/>
      <c r="AW1070" s="403"/>
      <c r="AX1070" s="403"/>
      <c r="AY1070" s="405"/>
      <c r="AZ1070" s="403">
        <f>+AZ1052-AZ1058-AZ1064</f>
        <v>0</v>
      </c>
      <c r="BA1070" s="403"/>
      <c r="BB1070" s="403"/>
      <c r="BC1070" s="403"/>
      <c r="BD1070" s="403"/>
      <c r="BE1070" s="403"/>
      <c r="BF1070" s="404">
        <f>+BF1052-BF1058-BF1064</f>
        <v>0</v>
      </c>
      <c r="BG1070" s="403"/>
      <c r="BH1070" s="403"/>
      <c r="BI1070" s="403"/>
      <c r="BJ1070" s="403"/>
      <c r="BK1070" s="405"/>
      <c r="BL1070" s="404">
        <f>+BL1052-BL1058-BL1064</f>
        <v>0</v>
      </c>
      <c r="BM1070" s="403"/>
      <c r="BN1070" s="403"/>
      <c r="BO1070" s="403"/>
      <c r="BP1070" s="403"/>
      <c r="BQ1070" s="403"/>
      <c r="BR1070" s="405"/>
      <c r="BS1070" s="403">
        <f>+BS1052-BS1058-BS1064</f>
        <v>0</v>
      </c>
      <c r="BT1070" s="403"/>
      <c r="BU1070" s="403"/>
      <c r="BV1070" s="403"/>
      <c r="BW1070" s="403"/>
      <c r="BX1070" s="403"/>
      <c r="BY1070" s="403"/>
      <c r="BZ1070" s="405"/>
      <c r="CA1070" s="270"/>
      <c r="CB1070" s="3" t="str">
        <f t="shared" si="137"/>
        <v>Riadok bude skrytý.</v>
      </c>
      <c r="CC1070" s="271" t="s">
        <v>832</v>
      </c>
      <c r="CW1070" s="30">
        <f t="shared" si="145"/>
        <v>1</v>
      </c>
      <c r="CZ1070" s="30">
        <f t="shared" si="144"/>
        <v>1</v>
      </c>
      <c r="DA1070" s="30">
        <f t="shared" si="143"/>
        <v>1</v>
      </c>
      <c r="DB1070" s="2">
        <f t="shared" si="146"/>
        <v>0</v>
      </c>
      <c r="DS1070" s="130">
        <f>SI!BY1070</f>
        <v>142</v>
      </c>
      <c r="DZ1070" s="131">
        <f>SI!BZ1070</f>
        <v>0</v>
      </c>
    </row>
    <row r="1071" spans="1:130" hidden="1" x14ac:dyDescent="0.25">
      <c r="A1071" s="141"/>
      <c r="B1071" s="734" t="s">
        <v>119</v>
      </c>
      <c r="C1071" s="735"/>
      <c r="D1071" s="735"/>
      <c r="E1071" s="735"/>
      <c r="F1071" s="735"/>
      <c r="G1071" s="735"/>
      <c r="H1071" s="735"/>
      <c r="I1071" s="735"/>
      <c r="J1071" s="735"/>
      <c r="K1071" s="735"/>
      <c r="L1071" s="735"/>
      <c r="M1071" s="735"/>
      <c r="N1071" s="735"/>
      <c r="O1071" s="735"/>
      <c r="P1071" s="1265"/>
      <c r="Q1071" s="404">
        <f>+Q1056-Q1062-Q1068</f>
        <v>0</v>
      </c>
      <c r="R1071" s="403"/>
      <c r="S1071" s="403"/>
      <c r="T1071" s="403"/>
      <c r="U1071" s="403"/>
      <c r="V1071" s="403"/>
      <c r="W1071" s="404">
        <f>+W1056-W1062-W1068</f>
        <v>0</v>
      </c>
      <c r="X1071" s="403"/>
      <c r="Y1071" s="403"/>
      <c r="Z1071" s="403"/>
      <c r="AA1071" s="403"/>
      <c r="AB1071" s="403"/>
      <c r="AC1071" s="405"/>
      <c r="AD1071" s="403">
        <f>+AD1056-AD1062-AD1068</f>
        <v>0</v>
      </c>
      <c r="AE1071" s="403"/>
      <c r="AF1071" s="403"/>
      <c r="AG1071" s="403"/>
      <c r="AH1071" s="403"/>
      <c r="AI1071" s="403"/>
      <c r="AJ1071" s="403"/>
      <c r="AK1071" s="403"/>
      <c r="AL1071" s="404">
        <f>+AL1056-AL1062-AL1068</f>
        <v>0</v>
      </c>
      <c r="AM1071" s="403"/>
      <c r="AN1071" s="403"/>
      <c r="AO1071" s="403"/>
      <c r="AP1071" s="403"/>
      <c r="AQ1071" s="403"/>
      <c r="AR1071" s="403"/>
      <c r="AS1071" s="405"/>
      <c r="AT1071" s="404">
        <f>+AT1056-AT1062-AT1068</f>
        <v>0</v>
      </c>
      <c r="AU1071" s="403"/>
      <c r="AV1071" s="403"/>
      <c r="AW1071" s="403"/>
      <c r="AX1071" s="403"/>
      <c r="AY1071" s="405"/>
      <c r="AZ1071" s="403">
        <f>+AZ1056-AZ1062-AZ1068</f>
        <v>0</v>
      </c>
      <c r="BA1071" s="403"/>
      <c r="BB1071" s="403"/>
      <c r="BC1071" s="403"/>
      <c r="BD1071" s="403"/>
      <c r="BE1071" s="403"/>
      <c r="BF1071" s="404">
        <f>+BF1056-BF1062-BF1068</f>
        <v>0</v>
      </c>
      <c r="BG1071" s="403"/>
      <c r="BH1071" s="403"/>
      <c r="BI1071" s="403"/>
      <c r="BJ1071" s="403"/>
      <c r="BK1071" s="405"/>
      <c r="BL1071" s="404">
        <f>+BL1056-BL1062-BL1068</f>
        <v>0</v>
      </c>
      <c r="BM1071" s="403"/>
      <c r="BN1071" s="403"/>
      <c r="BO1071" s="403"/>
      <c r="BP1071" s="403"/>
      <c r="BQ1071" s="403"/>
      <c r="BR1071" s="405"/>
      <c r="BS1071" s="403">
        <f>+BS1056-BS1062-BS1068</f>
        <v>0</v>
      </c>
      <c r="BT1071" s="403"/>
      <c r="BU1071" s="403"/>
      <c r="BV1071" s="403"/>
      <c r="BW1071" s="403"/>
      <c r="BX1071" s="403"/>
      <c r="BY1071" s="403"/>
      <c r="BZ1071" s="405"/>
      <c r="CA1071" s="270"/>
      <c r="CB1071" s="3" t="str">
        <f t="shared" si="137"/>
        <v>Riadok bude skrytý.</v>
      </c>
      <c r="CC1071" s="271" t="s">
        <v>832</v>
      </c>
      <c r="CW1071" s="30">
        <f t="shared" si="145"/>
        <v>1</v>
      </c>
      <c r="CZ1071" s="30">
        <f t="shared" si="144"/>
        <v>1</v>
      </c>
      <c r="DA1071" s="30">
        <f t="shared" si="143"/>
        <v>1</v>
      </c>
      <c r="DB1071" s="2">
        <f t="shared" si="146"/>
        <v>0</v>
      </c>
      <c r="DS1071" s="130">
        <f>SI!BY1071</f>
        <v>158</v>
      </c>
      <c r="DZ1071" s="131">
        <f>SI!BZ1071</f>
        <v>0</v>
      </c>
    </row>
    <row r="1072" spans="1:130" hidden="1" x14ac:dyDescent="0.25">
      <c r="A1072" s="141"/>
      <c r="CA1072" s="270"/>
      <c r="CB1072" s="3" t="str">
        <f t="shared" si="137"/>
        <v>Riadok bude skrytý.</v>
      </c>
      <c r="CC1072" s="271" t="s">
        <v>832</v>
      </c>
      <c r="CW1072" s="30">
        <f t="shared" si="145"/>
        <v>1</v>
      </c>
      <c r="CZ1072" s="30">
        <f t="shared" si="144"/>
        <v>1</v>
      </c>
      <c r="DA1072" s="30">
        <f t="shared" si="143"/>
        <v>1</v>
      </c>
      <c r="DB1072" s="2">
        <f t="shared" si="146"/>
        <v>0</v>
      </c>
      <c r="DS1072" s="130">
        <f>SI!BY1072</f>
        <v>246</v>
      </c>
      <c r="DZ1072" s="131">
        <f>SI!BZ1072</f>
        <v>0</v>
      </c>
    </row>
    <row r="1073" spans="1:130" ht="14.95" hidden="1" customHeight="1" x14ac:dyDescent="0.25">
      <c r="A1073" s="141"/>
      <c r="B1073" s="1065" t="s">
        <v>98</v>
      </c>
      <c r="C1073" s="1066"/>
      <c r="D1073" s="1066"/>
      <c r="E1073" s="1066"/>
      <c r="F1073" s="1066"/>
      <c r="G1073" s="1066"/>
      <c r="H1073" s="1066"/>
      <c r="I1073" s="1066"/>
      <c r="J1073" s="1066"/>
      <c r="K1073" s="1066"/>
      <c r="L1073" s="1066"/>
      <c r="M1073" s="1066"/>
      <c r="N1073" s="1066"/>
      <c r="O1073" s="1066"/>
      <c r="P1073" s="1067"/>
      <c r="Q1073" s="1740">
        <f>+BE141</f>
        <v>2020</v>
      </c>
      <c r="R1073" s="1741"/>
      <c r="S1073" s="1741"/>
      <c r="T1073" s="1741"/>
      <c r="U1073" s="1741"/>
      <c r="V1073" s="1741"/>
      <c r="W1073" s="1741"/>
      <c r="X1073" s="1741"/>
      <c r="Y1073" s="1741"/>
      <c r="Z1073" s="1741"/>
      <c r="AA1073" s="1741"/>
      <c r="AB1073" s="1741"/>
      <c r="AC1073" s="1741"/>
      <c r="AD1073" s="1741"/>
      <c r="AE1073" s="1741"/>
      <c r="AF1073" s="1741"/>
      <c r="AG1073" s="1741"/>
      <c r="AH1073" s="1741"/>
      <c r="AI1073" s="1741"/>
      <c r="AJ1073" s="1741"/>
      <c r="AK1073" s="1741"/>
      <c r="AL1073" s="1741"/>
      <c r="AM1073" s="1741"/>
      <c r="AN1073" s="1741"/>
      <c r="AO1073" s="1741"/>
      <c r="AP1073" s="1741"/>
      <c r="AQ1073" s="1741"/>
      <c r="AR1073" s="1741"/>
      <c r="AS1073" s="1741"/>
      <c r="AT1073" s="1741"/>
      <c r="AU1073" s="1741"/>
      <c r="AV1073" s="1741"/>
      <c r="AW1073" s="1741"/>
      <c r="AX1073" s="1741"/>
      <c r="AY1073" s="1741"/>
      <c r="AZ1073" s="1741"/>
      <c r="BA1073" s="1741"/>
      <c r="BB1073" s="1741"/>
      <c r="BC1073" s="1741"/>
      <c r="BD1073" s="1741"/>
      <c r="BE1073" s="1741"/>
      <c r="BF1073" s="1741"/>
      <c r="BG1073" s="1741"/>
      <c r="BH1073" s="1741"/>
      <c r="BI1073" s="1741"/>
      <c r="BJ1073" s="1741"/>
      <c r="BK1073" s="1741"/>
      <c r="BL1073" s="1741"/>
      <c r="BM1073" s="1741"/>
      <c r="BN1073" s="1741"/>
      <c r="BO1073" s="1741"/>
      <c r="BP1073" s="1741"/>
      <c r="BQ1073" s="1741"/>
      <c r="BR1073" s="1741"/>
      <c r="BS1073" s="1741"/>
      <c r="BT1073" s="1741"/>
      <c r="BU1073" s="1741"/>
      <c r="BV1073" s="1741"/>
      <c r="BW1073" s="1741"/>
      <c r="BX1073" s="1741"/>
      <c r="BY1073" s="1741"/>
      <c r="BZ1073" s="1742"/>
      <c r="CA1073" s="265" t="s">
        <v>773</v>
      </c>
      <c r="CB1073" s="3" t="str">
        <f t="shared" si="137"/>
        <v>Riadok bude skrytý.</v>
      </c>
      <c r="CC1073" s="271" t="s">
        <v>832</v>
      </c>
      <c r="CD1073" s="4"/>
      <c r="CW1073" s="30">
        <f t="shared" si="145"/>
        <v>1</v>
      </c>
      <c r="CX1073" s="32">
        <f t="shared" ref="CX1073:CX1098" si="147">+IF(YEAR($AW$123)=YEAR($DC$4),0,1)</f>
        <v>1</v>
      </c>
      <c r="CZ1073" s="30">
        <f t="shared" si="144"/>
        <v>1</v>
      </c>
      <c r="DA1073" s="52">
        <f t="shared" ref="DA1073:DA1098" si="148">+IF(CW1073*CX1073=0,0,IF(CZ1073=0,0,1))</f>
        <v>1</v>
      </c>
      <c r="DB1073" s="2">
        <f t="shared" si="146"/>
        <v>0</v>
      </c>
      <c r="DS1073" s="130">
        <f>SI!BY1073</f>
        <v>127</v>
      </c>
      <c r="DZ1073" s="131">
        <f>SI!BZ1073</f>
        <v>0</v>
      </c>
    </row>
    <row r="1074" spans="1:130" ht="22.6" hidden="1" customHeight="1" x14ac:dyDescent="0.25">
      <c r="A1074" s="141"/>
      <c r="B1074" s="1693"/>
      <c r="C1074" s="1694"/>
      <c r="D1074" s="1694"/>
      <c r="E1074" s="1694"/>
      <c r="F1074" s="1694"/>
      <c r="G1074" s="1694"/>
      <c r="H1074" s="1694"/>
      <c r="I1074" s="1694"/>
      <c r="J1074" s="1694"/>
      <c r="K1074" s="1694"/>
      <c r="L1074" s="1694"/>
      <c r="M1074" s="1694"/>
      <c r="N1074" s="1694"/>
      <c r="O1074" s="1694"/>
      <c r="P1074" s="1752"/>
      <c r="Q1074" s="724" t="s">
        <v>121</v>
      </c>
      <c r="R1074" s="725"/>
      <c r="S1074" s="725"/>
      <c r="T1074" s="725"/>
      <c r="U1074" s="725"/>
      <c r="V1074" s="726"/>
      <c r="W1074" s="724" t="s">
        <v>62</v>
      </c>
      <c r="X1074" s="725"/>
      <c r="Y1074" s="725"/>
      <c r="Z1074" s="725"/>
      <c r="AA1074" s="725"/>
      <c r="AB1074" s="725"/>
      <c r="AC1074" s="726"/>
      <c r="AD1074" s="724" t="s">
        <v>122</v>
      </c>
      <c r="AE1074" s="725"/>
      <c r="AF1074" s="725"/>
      <c r="AG1074" s="725"/>
      <c r="AH1074" s="725"/>
      <c r="AI1074" s="725"/>
      <c r="AJ1074" s="725"/>
      <c r="AK1074" s="726"/>
      <c r="AL1074" s="724" t="s">
        <v>927</v>
      </c>
      <c r="AM1074" s="725"/>
      <c r="AN1074" s="725"/>
      <c r="AO1074" s="725"/>
      <c r="AP1074" s="725"/>
      <c r="AQ1074" s="725"/>
      <c r="AR1074" s="725"/>
      <c r="AS1074" s="726"/>
      <c r="AT1074" s="724" t="s">
        <v>123</v>
      </c>
      <c r="AU1074" s="725"/>
      <c r="AV1074" s="725"/>
      <c r="AW1074" s="725"/>
      <c r="AX1074" s="725"/>
      <c r="AY1074" s="1744"/>
      <c r="AZ1074" s="1743" t="s">
        <v>124</v>
      </c>
      <c r="BA1074" s="725"/>
      <c r="BB1074" s="725"/>
      <c r="BC1074" s="725"/>
      <c r="BD1074" s="725"/>
      <c r="BE1074" s="1744"/>
      <c r="BF1074" s="1743" t="s">
        <v>125</v>
      </c>
      <c r="BG1074" s="725"/>
      <c r="BH1074" s="725"/>
      <c r="BI1074" s="725"/>
      <c r="BJ1074" s="725"/>
      <c r="BK1074" s="1744"/>
      <c r="BL1074" s="1743" t="s">
        <v>793</v>
      </c>
      <c r="BM1074" s="725"/>
      <c r="BN1074" s="725"/>
      <c r="BO1074" s="725"/>
      <c r="BP1074" s="725"/>
      <c r="BQ1074" s="725"/>
      <c r="BR1074" s="1744"/>
      <c r="BS1074" s="1743" t="s">
        <v>45</v>
      </c>
      <c r="BT1074" s="725"/>
      <c r="BU1074" s="725"/>
      <c r="BV1074" s="725"/>
      <c r="BW1074" s="725"/>
      <c r="BX1074" s="725"/>
      <c r="BY1074" s="725"/>
      <c r="BZ1074" s="1744"/>
      <c r="CA1074" s="270"/>
      <c r="CB1074" s="3" t="str">
        <f t="shared" si="137"/>
        <v>Riadok bude skrytý.</v>
      </c>
      <c r="CC1074" s="271" t="s">
        <v>832</v>
      </c>
      <c r="CW1074" s="30">
        <f t="shared" si="145"/>
        <v>1</v>
      </c>
      <c r="CX1074" s="32">
        <f t="shared" si="147"/>
        <v>1</v>
      </c>
      <c r="CZ1074" s="30">
        <f t="shared" si="144"/>
        <v>1</v>
      </c>
      <c r="DA1074" s="52">
        <f t="shared" si="148"/>
        <v>1</v>
      </c>
      <c r="DB1074" s="2">
        <f t="shared" si="146"/>
        <v>0</v>
      </c>
      <c r="DS1074" s="130">
        <f>SI!BY1074</f>
        <v>343</v>
      </c>
      <c r="DZ1074" s="131">
        <f>SI!BZ1074</f>
        <v>0</v>
      </c>
    </row>
    <row r="1075" spans="1:130" ht="22.6" hidden="1" customHeight="1" x14ac:dyDescent="0.25">
      <c r="A1075" s="141"/>
      <c r="B1075" s="1693"/>
      <c r="C1075" s="1694"/>
      <c r="D1075" s="1694"/>
      <c r="E1075" s="1694"/>
      <c r="F1075" s="1694"/>
      <c r="G1075" s="1694"/>
      <c r="H1075" s="1694"/>
      <c r="I1075" s="1694"/>
      <c r="J1075" s="1694"/>
      <c r="K1075" s="1694"/>
      <c r="L1075" s="1694"/>
      <c r="M1075" s="1694"/>
      <c r="N1075" s="1694"/>
      <c r="O1075" s="1694"/>
      <c r="P1075" s="1752"/>
      <c r="Q1075" s="727"/>
      <c r="R1075" s="728"/>
      <c r="S1075" s="728"/>
      <c r="T1075" s="728"/>
      <c r="U1075" s="728"/>
      <c r="V1075" s="729"/>
      <c r="W1075" s="727"/>
      <c r="X1075" s="728"/>
      <c r="Y1075" s="728"/>
      <c r="Z1075" s="728"/>
      <c r="AA1075" s="728"/>
      <c r="AB1075" s="728"/>
      <c r="AC1075" s="729"/>
      <c r="AD1075" s="727"/>
      <c r="AE1075" s="728"/>
      <c r="AF1075" s="728"/>
      <c r="AG1075" s="728"/>
      <c r="AH1075" s="728"/>
      <c r="AI1075" s="728"/>
      <c r="AJ1075" s="728"/>
      <c r="AK1075" s="729"/>
      <c r="AL1075" s="727"/>
      <c r="AM1075" s="728"/>
      <c r="AN1075" s="728"/>
      <c r="AO1075" s="728"/>
      <c r="AP1075" s="728"/>
      <c r="AQ1075" s="728"/>
      <c r="AR1075" s="728"/>
      <c r="AS1075" s="729"/>
      <c r="AT1075" s="727"/>
      <c r="AU1075" s="728"/>
      <c r="AV1075" s="728"/>
      <c r="AW1075" s="728"/>
      <c r="AX1075" s="728"/>
      <c r="AY1075" s="1746"/>
      <c r="AZ1075" s="1745"/>
      <c r="BA1075" s="728"/>
      <c r="BB1075" s="728"/>
      <c r="BC1075" s="728"/>
      <c r="BD1075" s="728"/>
      <c r="BE1075" s="1746"/>
      <c r="BF1075" s="1745"/>
      <c r="BG1075" s="728"/>
      <c r="BH1075" s="728"/>
      <c r="BI1075" s="728"/>
      <c r="BJ1075" s="728"/>
      <c r="BK1075" s="1746"/>
      <c r="BL1075" s="1745"/>
      <c r="BM1075" s="728"/>
      <c r="BN1075" s="728"/>
      <c r="BO1075" s="728"/>
      <c r="BP1075" s="728"/>
      <c r="BQ1075" s="728"/>
      <c r="BR1075" s="1746"/>
      <c r="BS1075" s="1745"/>
      <c r="BT1075" s="728"/>
      <c r="BU1075" s="728"/>
      <c r="BV1075" s="728"/>
      <c r="BW1075" s="728"/>
      <c r="BX1075" s="728"/>
      <c r="BY1075" s="728"/>
      <c r="BZ1075" s="1746"/>
      <c r="CA1075" s="270"/>
      <c r="CB1075" s="3" t="str">
        <f t="shared" ref="CB1075:CB1138" si="149">+IF(DB1075=0,"Riadok bude skrytý.","Riadok bude vidieť.")</f>
        <v>Riadok bude skrytý.</v>
      </c>
      <c r="CC1075" s="271" t="s">
        <v>832</v>
      </c>
      <c r="CW1075" s="30">
        <f t="shared" si="145"/>
        <v>1</v>
      </c>
      <c r="CX1075" s="32">
        <f t="shared" si="147"/>
        <v>1</v>
      </c>
      <c r="CZ1075" s="30">
        <f t="shared" si="144"/>
        <v>1</v>
      </c>
      <c r="DA1075" s="52">
        <f t="shared" si="148"/>
        <v>1</v>
      </c>
      <c r="DB1075" s="2">
        <f t="shared" si="146"/>
        <v>0</v>
      </c>
      <c r="DS1075" s="130">
        <f>SI!BY1075</f>
        <v>175</v>
      </c>
      <c r="DZ1075" s="131">
        <f>SI!BZ1075</f>
        <v>0</v>
      </c>
    </row>
    <row r="1076" spans="1:130" hidden="1" x14ac:dyDescent="0.25">
      <c r="A1076" s="141"/>
      <c r="B1076" s="1738" t="s">
        <v>0</v>
      </c>
      <c r="C1076" s="1739"/>
      <c r="D1076" s="1739"/>
      <c r="E1076" s="1739"/>
      <c r="F1076" s="1739"/>
      <c r="G1076" s="1739"/>
      <c r="H1076" s="1739"/>
      <c r="I1076" s="1739"/>
      <c r="J1076" s="1739"/>
      <c r="K1076" s="1739"/>
      <c r="L1076" s="1739"/>
      <c r="M1076" s="1739"/>
      <c r="N1076" s="1739"/>
      <c r="O1076" s="1739"/>
      <c r="P1076" s="1329"/>
      <c r="Q1076" s="1738" t="s">
        <v>1</v>
      </c>
      <c r="R1076" s="1739"/>
      <c r="S1076" s="1739"/>
      <c r="T1076" s="1739"/>
      <c r="U1076" s="1739"/>
      <c r="V1076" s="1329"/>
      <c r="W1076" s="1738" t="s">
        <v>2</v>
      </c>
      <c r="X1076" s="1739"/>
      <c r="Y1076" s="1739"/>
      <c r="Z1076" s="1739"/>
      <c r="AA1076" s="1739"/>
      <c r="AB1076" s="1739"/>
      <c r="AC1076" s="1329"/>
      <c r="AD1076" s="1738" t="s">
        <v>28</v>
      </c>
      <c r="AE1076" s="1739"/>
      <c r="AF1076" s="1739"/>
      <c r="AG1076" s="1739"/>
      <c r="AH1076" s="1739"/>
      <c r="AI1076" s="1739"/>
      <c r="AJ1076" s="1739"/>
      <c r="AK1076" s="1329"/>
      <c r="AL1076" s="1738" t="s">
        <v>29</v>
      </c>
      <c r="AM1076" s="1739"/>
      <c r="AN1076" s="1739"/>
      <c r="AO1076" s="1739"/>
      <c r="AP1076" s="1739"/>
      <c r="AQ1076" s="1739"/>
      <c r="AR1076" s="1739"/>
      <c r="AS1076" s="1329"/>
      <c r="AT1076" s="1738" t="s">
        <v>103</v>
      </c>
      <c r="AU1076" s="1739"/>
      <c r="AV1076" s="1739"/>
      <c r="AW1076" s="1739"/>
      <c r="AX1076" s="1739"/>
      <c r="AY1076" s="1747"/>
      <c r="AZ1076" s="1326" t="s">
        <v>104</v>
      </c>
      <c r="BA1076" s="1739"/>
      <c r="BB1076" s="1739"/>
      <c r="BC1076" s="1739"/>
      <c r="BD1076" s="1739"/>
      <c r="BE1076" s="1747"/>
      <c r="BF1076" s="1326" t="s">
        <v>105</v>
      </c>
      <c r="BG1076" s="1739"/>
      <c r="BH1076" s="1739"/>
      <c r="BI1076" s="1739"/>
      <c r="BJ1076" s="1739"/>
      <c r="BK1076" s="1747"/>
      <c r="BL1076" s="1326" t="s">
        <v>27</v>
      </c>
      <c r="BM1076" s="1739"/>
      <c r="BN1076" s="1739"/>
      <c r="BO1076" s="1739"/>
      <c r="BP1076" s="1739"/>
      <c r="BQ1076" s="1739"/>
      <c r="BR1076" s="1747"/>
      <c r="BS1076" s="1326" t="s">
        <v>120</v>
      </c>
      <c r="BT1076" s="1739"/>
      <c r="BU1076" s="1739"/>
      <c r="BV1076" s="1739"/>
      <c r="BW1076" s="1739"/>
      <c r="BX1076" s="1739"/>
      <c r="BY1076" s="1739"/>
      <c r="BZ1076" s="1747"/>
      <c r="CA1076" s="270"/>
      <c r="CB1076" s="3" t="str">
        <f t="shared" si="149"/>
        <v>Riadok bude skrytý.</v>
      </c>
      <c r="CC1076" s="271" t="s">
        <v>832</v>
      </c>
      <c r="CW1076" s="30">
        <f t="shared" si="145"/>
        <v>1</v>
      </c>
      <c r="CX1076" s="32">
        <f t="shared" si="147"/>
        <v>1</v>
      </c>
      <c r="CZ1076" s="30">
        <f t="shared" si="144"/>
        <v>1</v>
      </c>
      <c r="DA1076" s="52">
        <f t="shared" si="148"/>
        <v>1</v>
      </c>
      <c r="DB1076" s="2">
        <f t="shared" si="146"/>
        <v>0</v>
      </c>
      <c r="DS1076" s="130">
        <f>SI!BY1076</f>
        <v>236</v>
      </c>
      <c r="DZ1076" s="131">
        <f>SI!BZ1076</f>
        <v>0</v>
      </c>
    </row>
    <row r="1077" spans="1:130" hidden="1" x14ac:dyDescent="0.25">
      <c r="A1077" s="141"/>
      <c r="B1077" s="819" t="s">
        <v>111</v>
      </c>
      <c r="C1077" s="820"/>
      <c r="D1077" s="820"/>
      <c r="E1077" s="820"/>
      <c r="F1077" s="820"/>
      <c r="G1077" s="820"/>
      <c r="H1077" s="820"/>
      <c r="I1077" s="820"/>
      <c r="J1077" s="820"/>
      <c r="K1077" s="820"/>
      <c r="L1077" s="820"/>
      <c r="M1077" s="820"/>
      <c r="N1077" s="820"/>
      <c r="O1077" s="820"/>
      <c r="P1077" s="820"/>
      <c r="Q1077" s="1770"/>
      <c r="R1077" s="1770"/>
      <c r="S1077" s="1770"/>
      <c r="T1077" s="1770"/>
      <c r="U1077" s="1770"/>
      <c r="V1077" s="1770"/>
      <c r="W1077" s="1770"/>
      <c r="X1077" s="1770"/>
      <c r="Y1077" s="1770"/>
      <c r="Z1077" s="1770"/>
      <c r="AA1077" s="1770"/>
      <c r="AB1077" s="1770"/>
      <c r="AC1077" s="1770"/>
      <c r="AD1077" s="1770"/>
      <c r="AE1077" s="1770"/>
      <c r="AF1077" s="1770"/>
      <c r="AG1077" s="1770"/>
      <c r="AH1077" s="1770"/>
      <c r="AI1077" s="1770"/>
      <c r="AJ1077" s="1770"/>
      <c r="AK1077" s="1770"/>
      <c r="AL1077" s="1770"/>
      <c r="AM1077" s="1770"/>
      <c r="AN1077" s="1770"/>
      <c r="AO1077" s="1770"/>
      <c r="AP1077" s="1770"/>
      <c r="AQ1077" s="1770"/>
      <c r="AR1077" s="1770"/>
      <c r="AS1077" s="1770"/>
      <c r="AT1077" s="1770"/>
      <c r="AU1077" s="1770"/>
      <c r="AV1077" s="1770"/>
      <c r="AW1077" s="1770"/>
      <c r="AX1077" s="1770"/>
      <c r="AY1077" s="1770"/>
      <c r="AZ1077" s="1770"/>
      <c r="BA1077" s="1770"/>
      <c r="BB1077" s="1770"/>
      <c r="BC1077" s="1770"/>
      <c r="BD1077" s="1770"/>
      <c r="BE1077" s="1770"/>
      <c r="BF1077" s="1770"/>
      <c r="BG1077" s="1770"/>
      <c r="BH1077" s="1770"/>
      <c r="BI1077" s="1770"/>
      <c r="BJ1077" s="1770"/>
      <c r="BK1077" s="1770"/>
      <c r="BL1077" s="1770"/>
      <c r="BM1077" s="1770"/>
      <c r="BN1077" s="1770"/>
      <c r="BO1077" s="1770"/>
      <c r="BP1077" s="1770"/>
      <c r="BQ1077" s="1770"/>
      <c r="BR1077" s="1770"/>
      <c r="BS1077" s="1770"/>
      <c r="BT1077" s="1770"/>
      <c r="BU1077" s="1770"/>
      <c r="BV1077" s="1770"/>
      <c r="BW1077" s="1770"/>
      <c r="BX1077" s="1770"/>
      <c r="BY1077" s="1770"/>
      <c r="BZ1077" s="1771"/>
      <c r="CA1077" s="270"/>
      <c r="CB1077" s="3" t="str">
        <f t="shared" si="149"/>
        <v>Riadok bude skrytý.</v>
      </c>
      <c r="CC1077" s="271" t="s">
        <v>832</v>
      </c>
      <c r="CW1077" s="30">
        <f t="shared" si="145"/>
        <v>1</v>
      </c>
      <c r="CX1077" s="32">
        <f t="shared" si="147"/>
        <v>1</v>
      </c>
      <c r="CZ1077" s="30">
        <f t="shared" si="144"/>
        <v>1</v>
      </c>
      <c r="DA1077" s="52">
        <f t="shared" si="148"/>
        <v>1</v>
      </c>
      <c r="DB1077" s="2">
        <f t="shared" si="146"/>
        <v>0</v>
      </c>
      <c r="DS1077" s="130">
        <f>SI!BY1077</f>
        <v>149</v>
      </c>
      <c r="DZ1077" s="131">
        <f>SI!BZ1077</f>
        <v>0</v>
      </c>
    </row>
    <row r="1078" spans="1:130" hidden="1" x14ac:dyDescent="0.25">
      <c r="A1078" s="141"/>
      <c r="B1078" s="734" t="s">
        <v>118</v>
      </c>
      <c r="C1078" s="735"/>
      <c r="D1078" s="735"/>
      <c r="E1078" s="735"/>
      <c r="F1078" s="735"/>
      <c r="G1078" s="735"/>
      <c r="H1078" s="735"/>
      <c r="I1078" s="735"/>
      <c r="J1078" s="735"/>
      <c r="K1078" s="735"/>
      <c r="L1078" s="735"/>
      <c r="M1078" s="735"/>
      <c r="N1078" s="735"/>
      <c r="O1078" s="735"/>
      <c r="P1078" s="735"/>
      <c r="Q1078" s="751"/>
      <c r="R1078" s="752"/>
      <c r="S1078" s="752"/>
      <c r="T1078" s="752"/>
      <c r="U1078" s="752"/>
      <c r="V1078" s="752"/>
      <c r="W1078" s="751"/>
      <c r="X1078" s="752"/>
      <c r="Y1078" s="752"/>
      <c r="Z1078" s="752"/>
      <c r="AA1078" s="752"/>
      <c r="AB1078" s="752"/>
      <c r="AC1078" s="753"/>
      <c r="AD1078" s="752"/>
      <c r="AE1078" s="752"/>
      <c r="AF1078" s="752"/>
      <c r="AG1078" s="752"/>
      <c r="AH1078" s="752"/>
      <c r="AI1078" s="752"/>
      <c r="AJ1078" s="752"/>
      <c r="AK1078" s="752"/>
      <c r="AL1078" s="751"/>
      <c r="AM1078" s="752"/>
      <c r="AN1078" s="752"/>
      <c r="AO1078" s="752"/>
      <c r="AP1078" s="752"/>
      <c r="AQ1078" s="752"/>
      <c r="AR1078" s="752"/>
      <c r="AS1078" s="753"/>
      <c r="AT1078" s="752"/>
      <c r="AU1078" s="752"/>
      <c r="AV1078" s="752"/>
      <c r="AW1078" s="752"/>
      <c r="AX1078" s="752"/>
      <c r="AY1078" s="752"/>
      <c r="AZ1078" s="751"/>
      <c r="BA1078" s="752"/>
      <c r="BB1078" s="752"/>
      <c r="BC1078" s="752"/>
      <c r="BD1078" s="752"/>
      <c r="BE1078" s="753"/>
      <c r="BF1078" s="752"/>
      <c r="BG1078" s="752"/>
      <c r="BH1078" s="752"/>
      <c r="BI1078" s="752"/>
      <c r="BJ1078" s="752"/>
      <c r="BK1078" s="752"/>
      <c r="BL1078" s="751"/>
      <c r="BM1078" s="752"/>
      <c r="BN1078" s="752"/>
      <c r="BO1078" s="752"/>
      <c r="BP1078" s="752"/>
      <c r="BQ1078" s="752"/>
      <c r="BR1078" s="753"/>
      <c r="BS1078" s="403">
        <f>+SUM(Q1078:BR1078)</f>
        <v>0</v>
      </c>
      <c r="BT1078" s="403"/>
      <c r="BU1078" s="403"/>
      <c r="BV1078" s="403"/>
      <c r="BW1078" s="403"/>
      <c r="BX1078" s="403"/>
      <c r="BY1078" s="403"/>
      <c r="BZ1078" s="405"/>
      <c r="CA1078" s="270"/>
      <c r="CB1078" s="3" t="str">
        <f t="shared" si="149"/>
        <v>Riadok bude skrytý.</v>
      </c>
      <c r="CC1078" s="271" t="s">
        <v>832</v>
      </c>
      <c r="CW1078" s="30">
        <f t="shared" si="145"/>
        <v>1</v>
      </c>
      <c r="CX1078" s="32">
        <f t="shared" si="147"/>
        <v>1</v>
      </c>
      <c r="CZ1078" s="30">
        <f t="shared" si="144"/>
        <v>1</v>
      </c>
      <c r="DA1078" s="52">
        <f t="shared" si="148"/>
        <v>1</v>
      </c>
      <c r="DB1078" s="2">
        <f t="shared" si="146"/>
        <v>0</v>
      </c>
      <c r="DS1078" s="130">
        <f>SI!BY1078</f>
        <v>936</v>
      </c>
      <c r="DZ1078" s="131">
        <f>SI!BZ1078</f>
        <v>0</v>
      </c>
    </row>
    <row r="1079" spans="1:130" hidden="1" x14ac:dyDescent="0.25">
      <c r="A1079" s="141"/>
      <c r="B1079" s="814" t="s">
        <v>113</v>
      </c>
      <c r="C1079" s="815"/>
      <c r="D1079" s="815"/>
      <c r="E1079" s="815"/>
      <c r="F1079" s="815"/>
      <c r="G1079" s="815"/>
      <c r="H1079" s="815"/>
      <c r="I1079" s="815"/>
      <c r="J1079" s="815"/>
      <c r="K1079" s="815"/>
      <c r="L1079" s="815"/>
      <c r="M1079" s="815"/>
      <c r="N1079" s="815"/>
      <c r="O1079" s="815"/>
      <c r="P1079" s="815"/>
      <c r="Q1079" s="761"/>
      <c r="R1079" s="762"/>
      <c r="S1079" s="762"/>
      <c r="T1079" s="762"/>
      <c r="U1079" s="762"/>
      <c r="V1079" s="762"/>
      <c r="W1079" s="761"/>
      <c r="X1079" s="762"/>
      <c r="Y1079" s="762"/>
      <c r="Z1079" s="762"/>
      <c r="AA1079" s="762"/>
      <c r="AB1079" s="762"/>
      <c r="AC1079" s="763"/>
      <c r="AD1079" s="762"/>
      <c r="AE1079" s="762"/>
      <c r="AF1079" s="762"/>
      <c r="AG1079" s="762"/>
      <c r="AH1079" s="762"/>
      <c r="AI1079" s="762"/>
      <c r="AJ1079" s="762"/>
      <c r="AK1079" s="762"/>
      <c r="AL1079" s="761"/>
      <c r="AM1079" s="762"/>
      <c r="AN1079" s="762"/>
      <c r="AO1079" s="762"/>
      <c r="AP1079" s="762"/>
      <c r="AQ1079" s="762"/>
      <c r="AR1079" s="762"/>
      <c r="AS1079" s="763"/>
      <c r="AT1079" s="762"/>
      <c r="AU1079" s="762"/>
      <c r="AV1079" s="762"/>
      <c r="AW1079" s="762"/>
      <c r="AX1079" s="762"/>
      <c r="AY1079" s="762"/>
      <c r="AZ1079" s="761"/>
      <c r="BA1079" s="762"/>
      <c r="BB1079" s="762"/>
      <c r="BC1079" s="762"/>
      <c r="BD1079" s="762"/>
      <c r="BE1079" s="763"/>
      <c r="BF1079" s="762"/>
      <c r="BG1079" s="762"/>
      <c r="BH1079" s="762"/>
      <c r="BI1079" s="762"/>
      <c r="BJ1079" s="762"/>
      <c r="BK1079" s="762"/>
      <c r="BL1079" s="761"/>
      <c r="BM1079" s="762"/>
      <c r="BN1079" s="762"/>
      <c r="BO1079" s="762"/>
      <c r="BP1079" s="762"/>
      <c r="BQ1079" s="762"/>
      <c r="BR1079" s="763"/>
      <c r="BS1079" s="1748">
        <f>+SUM(Q1079:BR1079)</f>
        <v>0</v>
      </c>
      <c r="BT1079" s="1748"/>
      <c r="BU1079" s="1748"/>
      <c r="BV1079" s="1748"/>
      <c r="BW1079" s="1748"/>
      <c r="BX1079" s="1748"/>
      <c r="BY1079" s="1748"/>
      <c r="BZ1079" s="1749"/>
      <c r="CA1079" s="270"/>
      <c r="CB1079" s="3" t="str">
        <f t="shared" si="149"/>
        <v>Riadok bude skrytý.</v>
      </c>
      <c r="CC1079" s="271" t="s">
        <v>832</v>
      </c>
      <c r="CW1079" s="30">
        <f t="shared" si="145"/>
        <v>1</v>
      </c>
      <c r="CX1079" s="32">
        <f t="shared" si="147"/>
        <v>1</v>
      </c>
      <c r="CZ1079" s="30">
        <f t="shared" si="144"/>
        <v>1</v>
      </c>
      <c r="DA1079" s="52">
        <f t="shared" si="148"/>
        <v>1</v>
      </c>
      <c r="DB1079" s="2">
        <f t="shared" si="146"/>
        <v>0</v>
      </c>
      <c r="DS1079" s="130">
        <f>SI!BY1079</f>
        <v>105</v>
      </c>
      <c r="DZ1079" s="131">
        <f>SI!BZ1079</f>
        <v>0</v>
      </c>
    </row>
    <row r="1080" spans="1:130" hidden="1" x14ac:dyDescent="0.25">
      <c r="A1080" s="141"/>
      <c r="B1080" s="764" t="s">
        <v>114</v>
      </c>
      <c r="C1080" s="765"/>
      <c r="D1080" s="765"/>
      <c r="E1080" s="765"/>
      <c r="F1080" s="765"/>
      <c r="G1080" s="765"/>
      <c r="H1080" s="765"/>
      <c r="I1080" s="765"/>
      <c r="J1080" s="765"/>
      <c r="K1080" s="765"/>
      <c r="L1080" s="765"/>
      <c r="M1080" s="765"/>
      <c r="N1080" s="765"/>
      <c r="O1080" s="765"/>
      <c r="P1080" s="765"/>
      <c r="Q1080" s="1246"/>
      <c r="R1080" s="1247"/>
      <c r="S1080" s="1247"/>
      <c r="T1080" s="1247"/>
      <c r="U1080" s="1247"/>
      <c r="V1080" s="1247"/>
      <c r="W1080" s="1246"/>
      <c r="X1080" s="1247"/>
      <c r="Y1080" s="1247"/>
      <c r="Z1080" s="1247"/>
      <c r="AA1080" s="1247"/>
      <c r="AB1080" s="1247"/>
      <c r="AC1080" s="1248"/>
      <c r="AD1080" s="1247"/>
      <c r="AE1080" s="1247"/>
      <c r="AF1080" s="1247"/>
      <c r="AG1080" s="1247"/>
      <c r="AH1080" s="1247"/>
      <c r="AI1080" s="1247"/>
      <c r="AJ1080" s="1247"/>
      <c r="AK1080" s="1247"/>
      <c r="AL1080" s="1246"/>
      <c r="AM1080" s="1247"/>
      <c r="AN1080" s="1247"/>
      <c r="AO1080" s="1247"/>
      <c r="AP1080" s="1247"/>
      <c r="AQ1080" s="1247"/>
      <c r="AR1080" s="1247"/>
      <c r="AS1080" s="1248"/>
      <c r="AT1080" s="1247"/>
      <c r="AU1080" s="1247"/>
      <c r="AV1080" s="1247"/>
      <c r="AW1080" s="1247"/>
      <c r="AX1080" s="1247"/>
      <c r="AY1080" s="1247"/>
      <c r="AZ1080" s="1246"/>
      <c r="BA1080" s="1247"/>
      <c r="BB1080" s="1247"/>
      <c r="BC1080" s="1247"/>
      <c r="BD1080" s="1247"/>
      <c r="BE1080" s="1248"/>
      <c r="BF1080" s="1247"/>
      <c r="BG1080" s="1247"/>
      <c r="BH1080" s="1247"/>
      <c r="BI1080" s="1247"/>
      <c r="BJ1080" s="1247"/>
      <c r="BK1080" s="1247"/>
      <c r="BL1080" s="1246"/>
      <c r="BM1080" s="1247"/>
      <c r="BN1080" s="1247"/>
      <c r="BO1080" s="1247"/>
      <c r="BP1080" s="1247"/>
      <c r="BQ1080" s="1247"/>
      <c r="BR1080" s="1248"/>
      <c r="BS1080" s="1270">
        <f>+SUM(Q1080:BR1080)</f>
        <v>0</v>
      </c>
      <c r="BT1080" s="1270"/>
      <c r="BU1080" s="1270"/>
      <c r="BV1080" s="1270"/>
      <c r="BW1080" s="1270"/>
      <c r="BX1080" s="1270"/>
      <c r="BY1080" s="1270"/>
      <c r="BZ1080" s="1271"/>
      <c r="CA1080" s="270"/>
      <c r="CB1080" s="3" t="str">
        <f t="shared" si="149"/>
        <v>Riadok bude skrytý.</v>
      </c>
      <c r="CC1080" s="271" t="s">
        <v>832</v>
      </c>
      <c r="CW1080" s="30">
        <f t="shared" si="145"/>
        <v>1</v>
      </c>
      <c r="CX1080" s="32">
        <f t="shared" si="147"/>
        <v>1</v>
      </c>
      <c r="CZ1080" s="30">
        <f t="shared" si="144"/>
        <v>1</v>
      </c>
      <c r="DA1080" s="52">
        <f t="shared" si="148"/>
        <v>1</v>
      </c>
      <c r="DB1080" s="2">
        <f t="shared" si="146"/>
        <v>0</v>
      </c>
      <c r="DS1080" s="130">
        <f>SI!BY1080</f>
        <v>196</v>
      </c>
      <c r="DZ1080" s="131">
        <f>SI!BZ1080</f>
        <v>0</v>
      </c>
    </row>
    <row r="1081" spans="1:130" hidden="1" x14ac:dyDescent="0.25">
      <c r="A1081" s="141"/>
      <c r="B1081" s="1275" t="s">
        <v>115</v>
      </c>
      <c r="C1081" s="1276"/>
      <c r="D1081" s="1276"/>
      <c r="E1081" s="1276"/>
      <c r="F1081" s="1276"/>
      <c r="G1081" s="1276"/>
      <c r="H1081" s="1276"/>
      <c r="I1081" s="1276"/>
      <c r="J1081" s="1276"/>
      <c r="K1081" s="1276"/>
      <c r="L1081" s="1276"/>
      <c r="M1081" s="1276"/>
      <c r="N1081" s="1276"/>
      <c r="O1081" s="1276"/>
      <c r="P1081" s="1276"/>
      <c r="Q1081" s="1244"/>
      <c r="R1081" s="1245"/>
      <c r="S1081" s="1245"/>
      <c r="T1081" s="1245"/>
      <c r="U1081" s="1245"/>
      <c r="V1081" s="1245"/>
      <c r="W1081" s="1244"/>
      <c r="X1081" s="1245"/>
      <c r="Y1081" s="1245"/>
      <c r="Z1081" s="1245"/>
      <c r="AA1081" s="1245"/>
      <c r="AB1081" s="1245"/>
      <c r="AC1081" s="1264"/>
      <c r="AD1081" s="1245"/>
      <c r="AE1081" s="1245"/>
      <c r="AF1081" s="1245"/>
      <c r="AG1081" s="1245"/>
      <c r="AH1081" s="1245"/>
      <c r="AI1081" s="1245"/>
      <c r="AJ1081" s="1245"/>
      <c r="AK1081" s="1245"/>
      <c r="AL1081" s="1244"/>
      <c r="AM1081" s="1245"/>
      <c r="AN1081" s="1245"/>
      <c r="AO1081" s="1245"/>
      <c r="AP1081" s="1245"/>
      <c r="AQ1081" s="1245"/>
      <c r="AR1081" s="1245"/>
      <c r="AS1081" s="1264"/>
      <c r="AT1081" s="1245"/>
      <c r="AU1081" s="1245"/>
      <c r="AV1081" s="1245"/>
      <c r="AW1081" s="1245"/>
      <c r="AX1081" s="1245"/>
      <c r="AY1081" s="1245"/>
      <c r="AZ1081" s="1244"/>
      <c r="BA1081" s="1245"/>
      <c r="BB1081" s="1245"/>
      <c r="BC1081" s="1245"/>
      <c r="BD1081" s="1245"/>
      <c r="BE1081" s="1264"/>
      <c r="BF1081" s="1245"/>
      <c r="BG1081" s="1245"/>
      <c r="BH1081" s="1245"/>
      <c r="BI1081" s="1245"/>
      <c r="BJ1081" s="1245"/>
      <c r="BK1081" s="1245"/>
      <c r="BL1081" s="1244"/>
      <c r="BM1081" s="1245"/>
      <c r="BN1081" s="1245"/>
      <c r="BO1081" s="1245"/>
      <c r="BP1081" s="1245"/>
      <c r="BQ1081" s="1245"/>
      <c r="BR1081" s="1264"/>
      <c r="BS1081" s="1750">
        <f>+SUM(Q1081:BR1081)</f>
        <v>0</v>
      </c>
      <c r="BT1081" s="1750"/>
      <c r="BU1081" s="1750"/>
      <c r="BV1081" s="1750"/>
      <c r="BW1081" s="1750"/>
      <c r="BX1081" s="1750"/>
      <c r="BY1081" s="1750"/>
      <c r="BZ1081" s="1751"/>
      <c r="CA1081" s="270"/>
      <c r="CB1081" s="3" t="str">
        <f t="shared" si="149"/>
        <v>Riadok bude skrytý.</v>
      </c>
      <c r="CC1081" s="271" t="s">
        <v>832</v>
      </c>
      <c r="CW1081" s="30">
        <f t="shared" si="145"/>
        <v>1</v>
      </c>
      <c r="CX1081" s="32">
        <f t="shared" si="147"/>
        <v>1</v>
      </c>
      <c r="CZ1081" s="30">
        <f t="shared" si="144"/>
        <v>1</v>
      </c>
      <c r="DA1081" s="52">
        <f t="shared" si="148"/>
        <v>1</v>
      </c>
      <c r="DB1081" s="2">
        <f t="shared" si="146"/>
        <v>0</v>
      </c>
      <c r="DS1081" s="130">
        <f>SI!BY1081</f>
        <v>176</v>
      </c>
      <c r="DZ1081" s="131">
        <f>SI!BZ1081</f>
        <v>0</v>
      </c>
    </row>
    <row r="1082" spans="1:130" hidden="1" x14ac:dyDescent="0.25">
      <c r="A1082" s="141"/>
      <c r="B1082" s="734" t="s">
        <v>119</v>
      </c>
      <c r="C1082" s="735"/>
      <c r="D1082" s="735"/>
      <c r="E1082" s="735"/>
      <c r="F1082" s="735"/>
      <c r="G1082" s="735"/>
      <c r="H1082" s="735"/>
      <c r="I1082" s="735"/>
      <c r="J1082" s="735"/>
      <c r="K1082" s="735"/>
      <c r="L1082" s="735"/>
      <c r="M1082" s="735"/>
      <c r="N1082" s="735"/>
      <c r="O1082" s="735"/>
      <c r="P1082" s="735"/>
      <c r="Q1082" s="404">
        <f>+SUM(Q1078:V1081)</f>
        <v>0</v>
      </c>
      <c r="R1082" s="403"/>
      <c r="S1082" s="403"/>
      <c r="T1082" s="403"/>
      <c r="U1082" s="403"/>
      <c r="V1082" s="403"/>
      <c r="W1082" s="404">
        <f>+SUM(W1078:AC1081)</f>
        <v>0</v>
      </c>
      <c r="X1082" s="403"/>
      <c r="Y1082" s="403"/>
      <c r="Z1082" s="403"/>
      <c r="AA1082" s="403"/>
      <c r="AB1082" s="403"/>
      <c r="AC1082" s="405"/>
      <c r="AD1082" s="403">
        <f>+SUM(AD1078:AK1081)</f>
        <v>0</v>
      </c>
      <c r="AE1082" s="403"/>
      <c r="AF1082" s="403"/>
      <c r="AG1082" s="403"/>
      <c r="AH1082" s="403"/>
      <c r="AI1082" s="403"/>
      <c r="AJ1082" s="403"/>
      <c r="AK1082" s="403"/>
      <c r="AL1082" s="404">
        <f>+SUM(AL1078:AS1081)</f>
        <v>0</v>
      </c>
      <c r="AM1082" s="403"/>
      <c r="AN1082" s="403"/>
      <c r="AO1082" s="403"/>
      <c r="AP1082" s="403"/>
      <c r="AQ1082" s="403"/>
      <c r="AR1082" s="403"/>
      <c r="AS1082" s="405"/>
      <c r="AT1082" s="403">
        <f>+SUM(AT1078:AY1081)</f>
        <v>0</v>
      </c>
      <c r="AU1082" s="403"/>
      <c r="AV1082" s="403"/>
      <c r="AW1082" s="403"/>
      <c r="AX1082" s="403"/>
      <c r="AY1082" s="403"/>
      <c r="AZ1082" s="404">
        <f>+SUM(AZ1078:BE1081)</f>
        <v>0</v>
      </c>
      <c r="BA1082" s="403"/>
      <c r="BB1082" s="403"/>
      <c r="BC1082" s="403"/>
      <c r="BD1082" s="403"/>
      <c r="BE1082" s="405"/>
      <c r="BF1082" s="403">
        <f>+SUM(BF1078:BK1081)</f>
        <v>0</v>
      </c>
      <c r="BG1082" s="403"/>
      <c r="BH1082" s="403"/>
      <c r="BI1082" s="403"/>
      <c r="BJ1082" s="403"/>
      <c r="BK1082" s="403"/>
      <c r="BL1082" s="404">
        <f>+SUM(BL1078:BR1081)</f>
        <v>0</v>
      </c>
      <c r="BM1082" s="403"/>
      <c r="BN1082" s="403"/>
      <c r="BO1082" s="403"/>
      <c r="BP1082" s="403"/>
      <c r="BQ1082" s="403"/>
      <c r="BR1082" s="405"/>
      <c r="BS1082" s="403">
        <f>+SUM(BS1078:BZ1081)</f>
        <v>0</v>
      </c>
      <c r="BT1082" s="403"/>
      <c r="BU1082" s="403"/>
      <c r="BV1082" s="403"/>
      <c r="BW1082" s="403"/>
      <c r="BX1082" s="403"/>
      <c r="BY1082" s="403"/>
      <c r="BZ1082" s="405"/>
      <c r="CA1082" s="270"/>
      <c r="CB1082" s="3" t="str">
        <f t="shared" si="149"/>
        <v>Riadok bude skrytý.</v>
      </c>
      <c r="CC1082" s="271" t="s">
        <v>832</v>
      </c>
      <c r="CW1082" s="30">
        <f t="shared" si="145"/>
        <v>1</v>
      </c>
      <c r="CX1082" s="32">
        <f t="shared" si="147"/>
        <v>1</v>
      </c>
      <c r="CZ1082" s="30">
        <f t="shared" si="144"/>
        <v>1</v>
      </c>
      <c r="DA1082" s="52">
        <f t="shared" si="148"/>
        <v>1</v>
      </c>
      <c r="DB1082" s="2">
        <f t="shared" si="146"/>
        <v>0</v>
      </c>
      <c r="DS1082" s="130">
        <f>SI!BY1082</f>
        <v>150</v>
      </c>
      <c r="DZ1082" s="131">
        <f>SI!BZ1082</f>
        <v>0</v>
      </c>
    </row>
    <row r="1083" spans="1:130" hidden="1" x14ac:dyDescent="0.25">
      <c r="A1083" s="141"/>
      <c r="B1083" s="779" t="s">
        <v>116</v>
      </c>
      <c r="C1083" s="780"/>
      <c r="D1083" s="780"/>
      <c r="E1083" s="780"/>
      <c r="F1083" s="780"/>
      <c r="G1083" s="780"/>
      <c r="H1083" s="780"/>
      <c r="I1083" s="780"/>
      <c r="J1083" s="780"/>
      <c r="K1083" s="780"/>
      <c r="L1083" s="780"/>
      <c r="M1083" s="780"/>
      <c r="N1083" s="780"/>
      <c r="O1083" s="780"/>
      <c r="P1083" s="780"/>
      <c r="Q1083" s="1770"/>
      <c r="R1083" s="1770"/>
      <c r="S1083" s="1770"/>
      <c r="T1083" s="1770"/>
      <c r="U1083" s="1770"/>
      <c r="V1083" s="1770"/>
      <c r="W1083" s="1770"/>
      <c r="X1083" s="1770"/>
      <c r="Y1083" s="1770"/>
      <c r="Z1083" s="1770"/>
      <c r="AA1083" s="1770"/>
      <c r="AB1083" s="1770"/>
      <c r="AC1083" s="1770"/>
      <c r="AD1083" s="1770"/>
      <c r="AE1083" s="1770"/>
      <c r="AF1083" s="1770"/>
      <c r="AG1083" s="1770"/>
      <c r="AH1083" s="1770"/>
      <c r="AI1083" s="1770"/>
      <c r="AJ1083" s="1770"/>
      <c r="AK1083" s="1770"/>
      <c r="AL1083" s="1770"/>
      <c r="AM1083" s="1770"/>
      <c r="AN1083" s="1770"/>
      <c r="AO1083" s="1770"/>
      <c r="AP1083" s="1770"/>
      <c r="AQ1083" s="1770"/>
      <c r="AR1083" s="1770"/>
      <c r="AS1083" s="1770"/>
      <c r="AT1083" s="1770"/>
      <c r="AU1083" s="1770"/>
      <c r="AV1083" s="1770"/>
      <c r="AW1083" s="1770"/>
      <c r="AX1083" s="1770"/>
      <c r="AY1083" s="1770"/>
      <c r="AZ1083" s="1770"/>
      <c r="BA1083" s="1770"/>
      <c r="BB1083" s="1770"/>
      <c r="BC1083" s="1770"/>
      <c r="BD1083" s="1770"/>
      <c r="BE1083" s="1770"/>
      <c r="BF1083" s="1770"/>
      <c r="BG1083" s="1770"/>
      <c r="BH1083" s="1770"/>
      <c r="BI1083" s="1770"/>
      <c r="BJ1083" s="1770"/>
      <c r="BK1083" s="1770"/>
      <c r="BL1083" s="1770"/>
      <c r="BM1083" s="1770"/>
      <c r="BN1083" s="1770"/>
      <c r="BO1083" s="1770"/>
      <c r="BP1083" s="1770"/>
      <c r="BQ1083" s="1770"/>
      <c r="BR1083" s="1770"/>
      <c r="BS1083" s="1770"/>
      <c r="BT1083" s="1770"/>
      <c r="BU1083" s="1770"/>
      <c r="BV1083" s="1770"/>
      <c r="BW1083" s="1770"/>
      <c r="BX1083" s="1770"/>
      <c r="BY1083" s="1770"/>
      <c r="BZ1083" s="1771"/>
      <c r="CA1083" s="270"/>
      <c r="CB1083" s="3" t="str">
        <f t="shared" si="149"/>
        <v>Riadok bude skrytý.</v>
      </c>
      <c r="CC1083" s="271" t="s">
        <v>832</v>
      </c>
      <c r="CW1083" s="30">
        <f t="shared" si="145"/>
        <v>1</v>
      </c>
      <c r="CX1083" s="32">
        <f t="shared" si="147"/>
        <v>1</v>
      </c>
      <c r="CZ1083" s="30">
        <f t="shared" si="144"/>
        <v>1</v>
      </c>
      <c r="DA1083" s="52">
        <f t="shared" si="148"/>
        <v>1</v>
      </c>
      <c r="DB1083" s="2">
        <f t="shared" si="146"/>
        <v>0</v>
      </c>
      <c r="DS1083" s="130">
        <f>SI!BY1083</f>
        <v>129</v>
      </c>
      <c r="DZ1083" s="131">
        <f>SI!BZ1083</f>
        <v>0</v>
      </c>
    </row>
    <row r="1084" spans="1:130" hidden="1" x14ac:dyDescent="0.25">
      <c r="A1084" s="141"/>
      <c r="B1084" s="734" t="s">
        <v>118</v>
      </c>
      <c r="C1084" s="735"/>
      <c r="D1084" s="735"/>
      <c r="E1084" s="735"/>
      <c r="F1084" s="735"/>
      <c r="G1084" s="735"/>
      <c r="H1084" s="735"/>
      <c r="I1084" s="735"/>
      <c r="J1084" s="735"/>
      <c r="K1084" s="735"/>
      <c r="L1084" s="735"/>
      <c r="M1084" s="735"/>
      <c r="N1084" s="735"/>
      <c r="O1084" s="735"/>
      <c r="P1084" s="735"/>
      <c r="Q1084" s="751"/>
      <c r="R1084" s="752"/>
      <c r="S1084" s="752"/>
      <c r="T1084" s="752"/>
      <c r="U1084" s="752"/>
      <c r="V1084" s="752"/>
      <c r="W1084" s="751"/>
      <c r="X1084" s="752"/>
      <c r="Y1084" s="752"/>
      <c r="Z1084" s="752"/>
      <c r="AA1084" s="752"/>
      <c r="AB1084" s="752"/>
      <c r="AC1084" s="753"/>
      <c r="AD1084" s="752"/>
      <c r="AE1084" s="752"/>
      <c r="AF1084" s="752"/>
      <c r="AG1084" s="752"/>
      <c r="AH1084" s="752"/>
      <c r="AI1084" s="752"/>
      <c r="AJ1084" s="752"/>
      <c r="AK1084" s="752"/>
      <c r="AL1084" s="751"/>
      <c r="AM1084" s="752"/>
      <c r="AN1084" s="752"/>
      <c r="AO1084" s="752"/>
      <c r="AP1084" s="752"/>
      <c r="AQ1084" s="752"/>
      <c r="AR1084" s="752"/>
      <c r="AS1084" s="753"/>
      <c r="AT1084" s="751"/>
      <c r="AU1084" s="752"/>
      <c r="AV1084" s="752"/>
      <c r="AW1084" s="752"/>
      <c r="AX1084" s="752"/>
      <c r="AY1084" s="753"/>
      <c r="AZ1084" s="752"/>
      <c r="BA1084" s="752"/>
      <c r="BB1084" s="752"/>
      <c r="BC1084" s="752"/>
      <c r="BD1084" s="752"/>
      <c r="BE1084" s="752"/>
      <c r="BF1084" s="751"/>
      <c r="BG1084" s="752"/>
      <c r="BH1084" s="752"/>
      <c r="BI1084" s="752"/>
      <c r="BJ1084" s="752"/>
      <c r="BK1084" s="753"/>
      <c r="BL1084" s="752"/>
      <c r="BM1084" s="752"/>
      <c r="BN1084" s="752"/>
      <c r="BO1084" s="752"/>
      <c r="BP1084" s="752"/>
      <c r="BQ1084" s="752"/>
      <c r="BR1084" s="752"/>
      <c r="BS1084" s="404">
        <f>+SUM(Q1084:BR1084)</f>
        <v>0</v>
      </c>
      <c r="BT1084" s="403"/>
      <c r="BU1084" s="403"/>
      <c r="BV1084" s="403"/>
      <c r="BW1084" s="403"/>
      <c r="BX1084" s="403"/>
      <c r="BY1084" s="403"/>
      <c r="BZ1084" s="405"/>
      <c r="CA1084" s="270"/>
      <c r="CB1084" s="3" t="str">
        <f t="shared" si="149"/>
        <v>Riadok bude skrytý.</v>
      </c>
      <c r="CC1084" s="271" t="s">
        <v>832</v>
      </c>
      <c r="CW1084" s="30">
        <f t="shared" si="145"/>
        <v>1</v>
      </c>
      <c r="CX1084" s="32">
        <f t="shared" si="147"/>
        <v>1</v>
      </c>
      <c r="CZ1084" s="30">
        <f t="shared" si="144"/>
        <v>1</v>
      </c>
      <c r="DA1084" s="52">
        <f t="shared" si="148"/>
        <v>1</v>
      </c>
      <c r="DB1084" s="2">
        <f t="shared" si="146"/>
        <v>0</v>
      </c>
      <c r="DS1084" s="130">
        <f>SI!BY1084</f>
        <v>866</v>
      </c>
      <c r="DZ1084" s="131">
        <f>SI!BZ1084</f>
        <v>0</v>
      </c>
    </row>
    <row r="1085" spans="1:130" hidden="1" x14ac:dyDescent="0.25">
      <c r="A1085" s="141"/>
      <c r="B1085" s="814" t="s">
        <v>113</v>
      </c>
      <c r="C1085" s="815"/>
      <c r="D1085" s="815"/>
      <c r="E1085" s="815"/>
      <c r="F1085" s="815"/>
      <c r="G1085" s="815"/>
      <c r="H1085" s="815"/>
      <c r="I1085" s="815"/>
      <c r="J1085" s="815"/>
      <c r="K1085" s="815"/>
      <c r="L1085" s="815"/>
      <c r="M1085" s="815"/>
      <c r="N1085" s="815"/>
      <c r="O1085" s="815"/>
      <c r="P1085" s="1661"/>
      <c r="Q1085" s="804"/>
      <c r="R1085" s="762"/>
      <c r="S1085" s="762"/>
      <c r="T1085" s="762"/>
      <c r="U1085" s="762"/>
      <c r="V1085" s="762"/>
      <c r="W1085" s="761"/>
      <c r="X1085" s="762"/>
      <c r="Y1085" s="762"/>
      <c r="Z1085" s="762"/>
      <c r="AA1085" s="762"/>
      <c r="AB1085" s="762"/>
      <c r="AC1085" s="763"/>
      <c r="AD1085" s="762"/>
      <c r="AE1085" s="762"/>
      <c r="AF1085" s="762"/>
      <c r="AG1085" s="762"/>
      <c r="AH1085" s="762"/>
      <c r="AI1085" s="762"/>
      <c r="AJ1085" s="762"/>
      <c r="AK1085" s="762"/>
      <c r="AL1085" s="761"/>
      <c r="AM1085" s="762"/>
      <c r="AN1085" s="762"/>
      <c r="AO1085" s="762"/>
      <c r="AP1085" s="762"/>
      <c r="AQ1085" s="762"/>
      <c r="AR1085" s="762"/>
      <c r="AS1085" s="763"/>
      <c r="AT1085" s="761"/>
      <c r="AU1085" s="762"/>
      <c r="AV1085" s="762"/>
      <c r="AW1085" s="762"/>
      <c r="AX1085" s="762"/>
      <c r="AY1085" s="763"/>
      <c r="AZ1085" s="762"/>
      <c r="BA1085" s="762"/>
      <c r="BB1085" s="762"/>
      <c r="BC1085" s="762"/>
      <c r="BD1085" s="762"/>
      <c r="BE1085" s="762"/>
      <c r="BF1085" s="761"/>
      <c r="BG1085" s="762"/>
      <c r="BH1085" s="762"/>
      <c r="BI1085" s="762"/>
      <c r="BJ1085" s="762"/>
      <c r="BK1085" s="763"/>
      <c r="BL1085" s="762"/>
      <c r="BM1085" s="762"/>
      <c r="BN1085" s="762"/>
      <c r="BO1085" s="762"/>
      <c r="BP1085" s="762"/>
      <c r="BQ1085" s="762"/>
      <c r="BR1085" s="762"/>
      <c r="BS1085" s="1758">
        <f>+SUM(Q1085:BR1085)</f>
        <v>0</v>
      </c>
      <c r="BT1085" s="1748"/>
      <c r="BU1085" s="1748"/>
      <c r="BV1085" s="1748"/>
      <c r="BW1085" s="1748"/>
      <c r="BX1085" s="1748"/>
      <c r="BY1085" s="1748"/>
      <c r="BZ1085" s="1749"/>
      <c r="CA1085" s="270"/>
      <c r="CB1085" s="3" t="str">
        <f t="shared" si="149"/>
        <v>Riadok bude skrytý.</v>
      </c>
      <c r="CC1085" s="271" t="s">
        <v>832</v>
      </c>
      <c r="CW1085" s="30">
        <f t="shared" si="145"/>
        <v>1</v>
      </c>
      <c r="CX1085" s="32">
        <f t="shared" si="147"/>
        <v>1</v>
      </c>
      <c r="CZ1085" s="30">
        <f t="shared" si="144"/>
        <v>1</v>
      </c>
      <c r="DA1085" s="52">
        <f t="shared" si="148"/>
        <v>1</v>
      </c>
      <c r="DB1085" s="2">
        <f t="shared" si="146"/>
        <v>0</v>
      </c>
      <c r="DS1085" s="130">
        <f>SI!BY1085</f>
        <v>105</v>
      </c>
      <c r="DZ1085" s="131">
        <f>SI!BZ1085</f>
        <v>0</v>
      </c>
    </row>
    <row r="1086" spans="1:130" hidden="1" x14ac:dyDescent="0.25">
      <c r="A1086" s="141"/>
      <c r="B1086" s="764" t="s">
        <v>114</v>
      </c>
      <c r="C1086" s="765"/>
      <c r="D1086" s="765"/>
      <c r="E1086" s="765"/>
      <c r="F1086" s="765"/>
      <c r="G1086" s="765"/>
      <c r="H1086" s="765"/>
      <c r="I1086" s="765"/>
      <c r="J1086" s="765"/>
      <c r="K1086" s="765"/>
      <c r="L1086" s="765"/>
      <c r="M1086" s="765"/>
      <c r="N1086" s="765"/>
      <c r="O1086" s="765"/>
      <c r="P1086" s="766"/>
      <c r="Q1086" s="811"/>
      <c r="R1086" s="1247"/>
      <c r="S1086" s="1247"/>
      <c r="T1086" s="1247"/>
      <c r="U1086" s="1247"/>
      <c r="V1086" s="1247"/>
      <c r="W1086" s="1246"/>
      <c r="X1086" s="1247"/>
      <c r="Y1086" s="1247"/>
      <c r="Z1086" s="1247"/>
      <c r="AA1086" s="1247"/>
      <c r="AB1086" s="1247"/>
      <c r="AC1086" s="1248"/>
      <c r="AD1086" s="1247"/>
      <c r="AE1086" s="1247"/>
      <c r="AF1086" s="1247"/>
      <c r="AG1086" s="1247"/>
      <c r="AH1086" s="1247"/>
      <c r="AI1086" s="1247"/>
      <c r="AJ1086" s="1247"/>
      <c r="AK1086" s="1247"/>
      <c r="AL1086" s="1246"/>
      <c r="AM1086" s="1247"/>
      <c r="AN1086" s="1247"/>
      <c r="AO1086" s="1247"/>
      <c r="AP1086" s="1247"/>
      <c r="AQ1086" s="1247"/>
      <c r="AR1086" s="1247"/>
      <c r="AS1086" s="1248"/>
      <c r="AT1086" s="1246"/>
      <c r="AU1086" s="1247"/>
      <c r="AV1086" s="1247"/>
      <c r="AW1086" s="1247"/>
      <c r="AX1086" s="1247"/>
      <c r="AY1086" s="1248"/>
      <c r="AZ1086" s="1247"/>
      <c r="BA1086" s="1247"/>
      <c r="BB1086" s="1247"/>
      <c r="BC1086" s="1247"/>
      <c r="BD1086" s="1247"/>
      <c r="BE1086" s="1247"/>
      <c r="BF1086" s="1246"/>
      <c r="BG1086" s="1247"/>
      <c r="BH1086" s="1247"/>
      <c r="BI1086" s="1247"/>
      <c r="BJ1086" s="1247"/>
      <c r="BK1086" s="1248"/>
      <c r="BL1086" s="1247"/>
      <c r="BM1086" s="1247"/>
      <c r="BN1086" s="1247"/>
      <c r="BO1086" s="1247"/>
      <c r="BP1086" s="1247"/>
      <c r="BQ1086" s="1247"/>
      <c r="BR1086" s="1247"/>
      <c r="BS1086" s="1269">
        <f>+SUM(Q1086:BR1086)</f>
        <v>0</v>
      </c>
      <c r="BT1086" s="1270"/>
      <c r="BU1086" s="1270"/>
      <c r="BV1086" s="1270"/>
      <c r="BW1086" s="1270"/>
      <c r="BX1086" s="1270"/>
      <c r="BY1086" s="1270"/>
      <c r="BZ1086" s="1271"/>
      <c r="CA1086" s="270"/>
      <c r="CB1086" s="3" t="str">
        <f t="shared" si="149"/>
        <v>Riadok bude skrytý.</v>
      </c>
      <c r="CC1086" s="271" t="s">
        <v>832</v>
      </c>
      <c r="CW1086" s="30">
        <f t="shared" si="145"/>
        <v>1</v>
      </c>
      <c r="CX1086" s="32">
        <f t="shared" si="147"/>
        <v>1</v>
      </c>
      <c r="CZ1086" s="30">
        <f t="shared" si="144"/>
        <v>1</v>
      </c>
      <c r="DA1086" s="52">
        <f t="shared" si="148"/>
        <v>1</v>
      </c>
      <c r="DB1086" s="2">
        <f t="shared" si="146"/>
        <v>0</v>
      </c>
      <c r="DS1086" s="130">
        <f>SI!BY1086</f>
        <v>637</v>
      </c>
      <c r="DZ1086" s="131">
        <f>SI!BZ1086</f>
        <v>0</v>
      </c>
    </row>
    <row r="1087" spans="1:130" hidden="1" x14ac:dyDescent="0.25">
      <c r="A1087" s="141"/>
      <c r="B1087" s="759" t="s">
        <v>115</v>
      </c>
      <c r="C1087" s="760"/>
      <c r="D1087" s="760"/>
      <c r="E1087" s="760"/>
      <c r="F1087" s="760"/>
      <c r="G1087" s="760"/>
      <c r="H1087" s="760"/>
      <c r="I1087" s="760"/>
      <c r="J1087" s="760"/>
      <c r="K1087" s="760"/>
      <c r="L1087" s="760"/>
      <c r="M1087" s="760"/>
      <c r="N1087" s="760"/>
      <c r="O1087" s="760"/>
      <c r="P1087" s="760"/>
      <c r="Q1087" s="754"/>
      <c r="R1087" s="755"/>
      <c r="S1087" s="755"/>
      <c r="T1087" s="755"/>
      <c r="U1087" s="755"/>
      <c r="V1087" s="755"/>
      <c r="W1087" s="754"/>
      <c r="X1087" s="755"/>
      <c r="Y1087" s="755"/>
      <c r="Z1087" s="755"/>
      <c r="AA1087" s="755"/>
      <c r="AB1087" s="755"/>
      <c r="AC1087" s="756"/>
      <c r="AD1087" s="755"/>
      <c r="AE1087" s="755"/>
      <c r="AF1087" s="755"/>
      <c r="AG1087" s="755"/>
      <c r="AH1087" s="755"/>
      <c r="AI1087" s="755"/>
      <c r="AJ1087" s="755"/>
      <c r="AK1087" s="755"/>
      <c r="AL1087" s="754"/>
      <c r="AM1087" s="755"/>
      <c r="AN1087" s="755"/>
      <c r="AO1087" s="755"/>
      <c r="AP1087" s="755"/>
      <c r="AQ1087" s="755"/>
      <c r="AR1087" s="755"/>
      <c r="AS1087" s="756"/>
      <c r="AT1087" s="755"/>
      <c r="AU1087" s="755"/>
      <c r="AV1087" s="755"/>
      <c r="AW1087" s="755"/>
      <c r="AX1087" s="755"/>
      <c r="AY1087" s="755"/>
      <c r="AZ1087" s="754"/>
      <c r="BA1087" s="755"/>
      <c r="BB1087" s="755"/>
      <c r="BC1087" s="755"/>
      <c r="BD1087" s="755"/>
      <c r="BE1087" s="756"/>
      <c r="BF1087" s="755"/>
      <c r="BG1087" s="755"/>
      <c r="BH1087" s="755"/>
      <c r="BI1087" s="755"/>
      <c r="BJ1087" s="755"/>
      <c r="BK1087" s="755"/>
      <c r="BL1087" s="754"/>
      <c r="BM1087" s="755"/>
      <c r="BN1087" s="755"/>
      <c r="BO1087" s="755"/>
      <c r="BP1087" s="755"/>
      <c r="BQ1087" s="755"/>
      <c r="BR1087" s="756"/>
      <c r="BS1087" s="757">
        <f>+SUM(Q1087:BR1087)</f>
        <v>0</v>
      </c>
      <c r="BT1087" s="757"/>
      <c r="BU1087" s="757"/>
      <c r="BV1087" s="757"/>
      <c r="BW1087" s="757"/>
      <c r="BX1087" s="757"/>
      <c r="BY1087" s="757"/>
      <c r="BZ1087" s="758"/>
      <c r="CA1087" s="270"/>
      <c r="CB1087" s="3" t="str">
        <f t="shared" si="149"/>
        <v>Riadok bude skrytý.</v>
      </c>
      <c r="CC1087" s="271" t="s">
        <v>832</v>
      </c>
      <c r="CD1087" s="137"/>
      <c r="CE1087" s="137"/>
      <c r="CW1087" s="30">
        <f t="shared" si="145"/>
        <v>1</v>
      </c>
      <c r="CX1087" s="32">
        <f t="shared" si="147"/>
        <v>1</v>
      </c>
      <c r="CZ1087" s="30">
        <f>IF(CC1087="",1,IF(CC1087="Chcem skryť riadok.",0,1))</f>
        <v>1</v>
      </c>
      <c r="DA1087" s="52">
        <f>+IF(CW1087*CX1087=0,0,IF(CZ1087=0,0,1))</f>
        <v>1</v>
      </c>
      <c r="DB1087" s="2">
        <f t="shared" si="146"/>
        <v>0</v>
      </c>
      <c r="DS1087" s="130">
        <f>SI!BY1087</f>
        <v>499</v>
      </c>
      <c r="DZ1087" s="131">
        <f>SI!BZ1087</f>
        <v>0</v>
      </c>
    </row>
    <row r="1088" spans="1:130" hidden="1" x14ac:dyDescent="0.25">
      <c r="A1088" s="141"/>
      <c r="B1088" s="734" t="s">
        <v>119</v>
      </c>
      <c r="C1088" s="735"/>
      <c r="D1088" s="735"/>
      <c r="E1088" s="735"/>
      <c r="F1088" s="735"/>
      <c r="G1088" s="735"/>
      <c r="H1088" s="735"/>
      <c r="I1088" s="735"/>
      <c r="J1088" s="735"/>
      <c r="K1088" s="735"/>
      <c r="L1088" s="735"/>
      <c r="M1088" s="735"/>
      <c r="N1088" s="735"/>
      <c r="O1088" s="735"/>
      <c r="P1088" s="735"/>
      <c r="Q1088" s="404">
        <f>+SUM(Q1084:V1087)</f>
        <v>0</v>
      </c>
      <c r="R1088" s="403"/>
      <c r="S1088" s="403"/>
      <c r="T1088" s="403"/>
      <c r="U1088" s="403"/>
      <c r="V1088" s="403"/>
      <c r="W1088" s="404">
        <f>+SUM(W1084:AC1087)</f>
        <v>0</v>
      </c>
      <c r="X1088" s="403"/>
      <c r="Y1088" s="403"/>
      <c r="Z1088" s="403"/>
      <c r="AA1088" s="403"/>
      <c r="AB1088" s="403"/>
      <c r="AC1088" s="405"/>
      <c r="AD1088" s="403">
        <f>+SUM(AD1084:AK1087)</f>
        <v>0</v>
      </c>
      <c r="AE1088" s="403"/>
      <c r="AF1088" s="403"/>
      <c r="AG1088" s="403"/>
      <c r="AH1088" s="403"/>
      <c r="AI1088" s="403"/>
      <c r="AJ1088" s="403"/>
      <c r="AK1088" s="403"/>
      <c r="AL1088" s="404">
        <f>+SUM(AL1084:AS1087)</f>
        <v>0</v>
      </c>
      <c r="AM1088" s="403"/>
      <c r="AN1088" s="403"/>
      <c r="AO1088" s="403"/>
      <c r="AP1088" s="403"/>
      <c r="AQ1088" s="403"/>
      <c r="AR1088" s="403"/>
      <c r="AS1088" s="405"/>
      <c r="AT1088" s="403">
        <f>+SUM(AT1084:AY1087)</f>
        <v>0</v>
      </c>
      <c r="AU1088" s="403"/>
      <c r="AV1088" s="403"/>
      <c r="AW1088" s="403"/>
      <c r="AX1088" s="403"/>
      <c r="AY1088" s="403"/>
      <c r="AZ1088" s="404">
        <f>+SUM(AZ1084:BE1087)</f>
        <v>0</v>
      </c>
      <c r="BA1088" s="403"/>
      <c r="BB1088" s="403"/>
      <c r="BC1088" s="403"/>
      <c r="BD1088" s="403"/>
      <c r="BE1088" s="405"/>
      <c r="BF1088" s="403">
        <f>+SUM(BF1084:BK1087)</f>
        <v>0</v>
      </c>
      <c r="BG1088" s="403"/>
      <c r="BH1088" s="403"/>
      <c r="BI1088" s="403"/>
      <c r="BJ1088" s="403"/>
      <c r="BK1088" s="403"/>
      <c r="BL1088" s="404">
        <f>+SUM(BL1084:BR1087)</f>
        <v>0</v>
      </c>
      <c r="BM1088" s="403"/>
      <c r="BN1088" s="403"/>
      <c r="BO1088" s="403"/>
      <c r="BP1088" s="403"/>
      <c r="BQ1088" s="403"/>
      <c r="BR1088" s="405"/>
      <c r="BS1088" s="403">
        <f>+SUM(BS1084:BZ1087)</f>
        <v>0</v>
      </c>
      <c r="BT1088" s="403"/>
      <c r="BU1088" s="403"/>
      <c r="BV1088" s="403"/>
      <c r="BW1088" s="403"/>
      <c r="BX1088" s="403"/>
      <c r="BY1088" s="403"/>
      <c r="BZ1088" s="405"/>
      <c r="CA1088" s="270"/>
      <c r="CB1088" s="3" t="str">
        <f t="shared" si="149"/>
        <v>Riadok bude skrytý.</v>
      </c>
      <c r="CC1088" s="271" t="s">
        <v>832</v>
      </c>
      <c r="CW1088" s="30">
        <f t="shared" si="145"/>
        <v>1</v>
      </c>
      <c r="CX1088" s="32">
        <f t="shared" si="147"/>
        <v>1</v>
      </c>
      <c r="CZ1088" s="30">
        <f t="shared" si="144"/>
        <v>1</v>
      </c>
      <c r="DA1088" s="52">
        <f t="shared" si="148"/>
        <v>1</v>
      </c>
      <c r="DB1088" s="2">
        <f t="shared" si="146"/>
        <v>0</v>
      </c>
      <c r="DS1088" s="130">
        <f>SI!BY1088</f>
        <v>108</v>
      </c>
      <c r="DZ1088" s="131">
        <f>SI!BZ1088</f>
        <v>0</v>
      </c>
    </row>
    <row r="1089" spans="1:130" hidden="1" x14ac:dyDescent="0.25">
      <c r="A1089" s="141"/>
      <c r="B1089" s="779" t="s">
        <v>117</v>
      </c>
      <c r="C1089" s="780"/>
      <c r="D1089" s="780"/>
      <c r="E1089" s="780"/>
      <c r="F1089" s="780"/>
      <c r="G1089" s="780"/>
      <c r="H1089" s="780"/>
      <c r="I1089" s="780"/>
      <c r="J1089" s="780"/>
      <c r="K1089" s="780"/>
      <c r="L1089" s="780"/>
      <c r="M1089" s="780"/>
      <c r="N1089" s="780"/>
      <c r="O1089" s="780"/>
      <c r="P1089" s="780"/>
      <c r="Q1089" s="820"/>
      <c r="R1089" s="820"/>
      <c r="S1089" s="820"/>
      <c r="T1089" s="820"/>
      <c r="U1089" s="820"/>
      <c r="V1089" s="820"/>
      <c r="W1089" s="820"/>
      <c r="X1089" s="820"/>
      <c r="Y1089" s="820"/>
      <c r="Z1089" s="820"/>
      <c r="AA1089" s="820"/>
      <c r="AB1089" s="820"/>
      <c r="AC1089" s="820"/>
      <c r="AD1089" s="820"/>
      <c r="AE1089" s="820"/>
      <c r="AF1089" s="820"/>
      <c r="AG1089" s="820"/>
      <c r="AH1089" s="820"/>
      <c r="AI1089" s="820"/>
      <c r="AJ1089" s="820"/>
      <c r="AK1089" s="820"/>
      <c r="AL1089" s="820"/>
      <c r="AM1089" s="820"/>
      <c r="AN1089" s="820"/>
      <c r="AO1089" s="820"/>
      <c r="AP1089" s="820"/>
      <c r="AQ1089" s="820"/>
      <c r="AR1089" s="820"/>
      <c r="AS1089" s="820"/>
      <c r="AT1089" s="820"/>
      <c r="AU1089" s="820"/>
      <c r="AV1089" s="820"/>
      <c r="AW1089" s="820"/>
      <c r="AX1089" s="820"/>
      <c r="AY1089" s="820"/>
      <c r="AZ1089" s="820"/>
      <c r="BA1089" s="820"/>
      <c r="BB1089" s="820"/>
      <c r="BC1089" s="820"/>
      <c r="BD1089" s="820"/>
      <c r="BE1089" s="820"/>
      <c r="BF1089" s="820"/>
      <c r="BG1089" s="820"/>
      <c r="BH1089" s="820"/>
      <c r="BI1089" s="820"/>
      <c r="BJ1089" s="820"/>
      <c r="BK1089" s="820"/>
      <c r="BL1089" s="820"/>
      <c r="BM1089" s="820"/>
      <c r="BN1089" s="820"/>
      <c r="BO1089" s="820"/>
      <c r="BP1089" s="820"/>
      <c r="BQ1089" s="820"/>
      <c r="BR1089" s="820"/>
      <c r="BS1089" s="820"/>
      <c r="BT1089" s="820"/>
      <c r="BU1089" s="820"/>
      <c r="BV1089" s="820"/>
      <c r="BW1089" s="820"/>
      <c r="BX1089" s="820"/>
      <c r="BY1089" s="820"/>
      <c r="BZ1089" s="821"/>
      <c r="CA1089" s="270"/>
      <c r="CB1089" s="3" t="str">
        <f t="shared" si="149"/>
        <v>Riadok bude skrytý.</v>
      </c>
      <c r="CC1089" s="271" t="s">
        <v>832</v>
      </c>
      <c r="CW1089" s="30">
        <f t="shared" si="145"/>
        <v>1</v>
      </c>
      <c r="CX1089" s="32">
        <f t="shared" si="147"/>
        <v>1</v>
      </c>
      <c r="CZ1089" s="30">
        <f t="shared" si="144"/>
        <v>1</v>
      </c>
      <c r="DA1089" s="52">
        <f t="shared" si="148"/>
        <v>1</v>
      </c>
      <c r="DB1089" s="2">
        <f t="shared" si="146"/>
        <v>0</v>
      </c>
      <c r="DS1089" s="130">
        <f>SI!BY1089</f>
        <v>993</v>
      </c>
      <c r="DZ1089" s="131">
        <f>SI!BZ1089</f>
        <v>0</v>
      </c>
    </row>
    <row r="1090" spans="1:130" hidden="1" x14ac:dyDescent="0.25">
      <c r="A1090" s="141"/>
      <c r="B1090" s="734" t="s">
        <v>118</v>
      </c>
      <c r="C1090" s="735"/>
      <c r="D1090" s="735"/>
      <c r="E1090" s="735"/>
      <c r="F1090" s="735"/>
      <c r="G1090" s="735"/>
      <c r="H1090" s="735"/>
      <c r="I1090" s="735"/>
      <c r="J1090" s="735"/>
      <c r="K1090" s="735"/>
      <c r="L1090" s="735"/>
      <c r="M1090" s="735"/>
      <c r="N1090" s="735"/>
      <c r="O1090" s="735"/>
      <c r="P1090" s="1265"/>
      <c r="Q1090" s="751"/>
      <c r="R1090" s="752"/>
      <c r="S1090" s="752"/>
      <c r="T1090" s="752"/>
      <c r="U1090" s="752"/>
      <c r="V1090" s="752"/>
      <c r="W1090" s="751"/>
      <c r="X1090" s="752"/>
      <c r="Y1090" s="752"/>
      <c r="Z1090" s="752"/>
      <c r="AA1090" s="752"/>
      <c r="AB1090" s="752"/>
      <c r="AC1090" s="753"/>
      <c r="AD1090" s="752"/>
      <c r="AE1090" s="752"/>
      <c r="AF1090" s="752"/>
      <c r="AG1090" s="752"/>
      <c r="AH1090" s="752"/>
      <c r="AI1090" s="752"/>
      <c r="AJ1090" s="752"/>
      <c r="AK1090" s="752"/>
      <c r="AL1090" s="751"/>
      <c r="AM1090" s="752"/>
      <c r="AN1090" s="752"/>
      <c r="AO1090" s="752"/>
      <c r="AP1090" s="752"/>
      <c r="AQ1090" s="752"/>
      <c r="AR1090" s="752"/>
      <c r="AS1090" s="753"/>
      <c r="AT1090" s="751"/>
      <c r="AU1090" s="752"/>
      <c r="AV1090" s="752"/>
      <c r="AW1090" s="752"/>
      <c r="AX1090" s="752"/>
      <c r="AY1090" s="753"/>
      <c r="AZ1090" s="752"/>
      <c r="BA1090" s="752"/>
      <c r="BB1090" s="752"/>
      <c r="BC1090" s="752"/>
      <c r="BD1090" s="752"/>
      <c r="BE1090" s="752"/>
      <c r="BF1090" s="751"/>
      <c r="BG1090" s="752"/>
      <c r="BH1090" s="752"/>
      <c r="BI1090" s="752"/>
      <c r="BJ1090" s="752"/>
      <c r="BK1090" s="753"/>
      <c r="BL1090" s="752"/>
      <c r="BM1090" s="752"/>
      <c r="BN1090" s="752"/>
      <c r="BO1090" s="752"/>
      <c r="BP1090" s="752"/>
      <c r="BQ1090" s="752"/>
      <c r="BR1090" s="752"/>
      <c r="BS1090" s="404">
        <f>+SUM(Q1090:BR1090)</f>
        <v>0</v>
      </c>
      <c r="BT1090" s="403"/>
      <c r="BU1090" s="403"/>
      <c r="BV1090" s="403"/>
      <c r="BW1090" s="403"/>
      <c r="BX1090" s="403"/>
      <c r="BY1090" s="403"/>
      <c r="BZ1090" s="405"/>
      <c r="CA1090" s="270"/>
      <c r="CB1090" s="3" t="str">
        <f t="shared" si="149"/>
        <v>Riadok bude skrytý.</v>
      </c>
      <c r="CC1090" s="271" t="s">
        <v>832</v>
      </c>
      <c r="CW1090" s="30">
        <f t="shared" ref="CW1090:CW1121" si="150">+IF($AB$1024="neeviduje",0,1)</f>
        <v>1</v>
      </c>
      <c r="CX1090" s="32">
        <f t="shared" si="147"/>
        <v>1</v>
      </c>
      <c r="CZ1090" s="30">
        <f t="shared" si="144"/>
        <v>1</v>
      </c>
      <c r="DA1090" s="52">
        <f t="shared" si="148"/>
        <v>1</v>
      </c>
      <c r="DB1090" s="2">
        <f t="shared" si="146"/>
        <v>0</v>
      </c>
      <c r="DS1090" s="130">
        <f>SI!BY1090</f>
        <v>154</v>
      </c>
      <c r="DZ1090" s="131">
        <f>SI!BZ1090</f>
        <v>0</v>
      </c>
    </row>
    <row r="1091" spans="1:130" hidden="1" x14ac:dyDescent="0.25">
      <c r="A1091" s="141"/>
      <c r="B1091" s="814" t="s">
        <v>113</v>
      </c>
      <c r="C1091" s="815"/>
      <c r="D1091" s="815"/>
      <c r="E1091" s="815"/>
      <c r="F1091" s="815"/>
      <c r="G1091" s="815"/>
      <c r="H1091" s="815"/>
      <c r="I1091" s="815"/>
      <c r="J1091" s="815"/>
      <c r="K1091" s="815"/>
      <c r="L1091" s="815"/>
      <c r="M1091" s="815"/>
      <c r="N1091" s="815"/>
      <c r="O1091" s="815"/>
      <c r="P1091" s="1661"/>
      <c r="Q1091" s="804"/>
      <c r="R1091" s="762"/>
      <c r="S1091" s="762"/>
      <c r="T1091" s="762"/>
      <c r="U1091" s="762"/>
      <c r="V1091" s="762"/>
      <c r="W1091" s="761"/>
      <c r="X1091" s="762"/>
      <c r="Y1091" s="762"/>
      <c r="Z1091" s="762"/>
      <c r="AA1091" s="762"/>
      <c r="AB1091" s="762"/>
      <c r="AC1091" s="763"/>
      <c r="AD1091" s="762"/>
      <c r="AE1091" s="762"/>
      <c r="AF1091" s="762"/>
      <c r="AG1091" s="762"/>
      <c r="AH1091" s="762"/>
      <c r="AI1091" s="762"/>
      <c r="AJ1091" s="762"/>
      <c r="AK1091" s="762"/>
      <c r="AL1091" s="761"/>
      <c r="AM1091" s="762"/>
      <c r="AN1091" s="762"/>
      <c r="AO1091" s="762"/>
      <c r="AP1091" s="762"/>
      <c r="AQ1091" s="762"/>
      <c r="AR1091" s="762"/>
      <c r="AS1091" s="763"/>
      <c r="AT1091" s="761"/>
      <c r="AU1091" s="762"/>
      <c r="AV1091" s="762"/>
      <c r="AW1091" s="762"/>
      <c r="AX1091" s="762"/>
      <c r="AY1091" s="763"/>
      <c r="AZ1091" s="762"/>
      <c r="BA1091" s="762"/>
      <c r="BB1091" s="762"/>
      <c r="BC1091" s="762"/>
      <c r="BD1091" s="762"/>
      <c r="BE1091" s="762"/>
      <c r="BF1091" s="761"/>
      <c r="BG1091" s="762"/>
      <c r="BH1091" s="762"/>
      <c r="BI1091" s="762"/>
      <c r="BJ1091" s="762"/>
      <c r="BK1091" s="763"/>
      <c r="BL1091" s="762"/>
      <c r="BM1091" s="762"/>
      <c r="BN1091" s="762"/>
      <c r="BO1091" s="762"/>
      <c r="BP1091" s="762"/>
      <c r="BQ1091" s="762"/>
      <c r="BR1091" s="762"/>
      <c r="BS1091" s="1758">
        <f>+SUM(Q1091:BR1091)</f>
        <v>0</v>
      </c>
      <c r="BT1091" s="1748"/>
      <c r="BU1091" s="1748"/>
      <c r="BV1091" s="1748"/>
      <c r="BW1091" s="1748"/>
      <c r="BX1091" s="1748"/>
      <c r="BY1091" s="1748"/>
      <c r="BZ1091" s="1749"/>
      <c r="CA1091" s="270"/>
      <c r="CB1091" s="3" t="str">
        <f t="shared" si="149"/>
        <v>Riadok bude skrytý.</v>
      </c>
      <c r="CC1091" s="271" t="s">
        <v>832</v>
      </c>
      <c r="CW1091" s="30">
        <f t="shared" si="150"/>
        <v>1</v>
      </c>
      <c r="CX1091" s="32">
        <f t="shared" si="147"/>
        <v>1</v>
      </c>
      <c r="CZ1091" s="30">
        <f t="shared" si="144"/>
        <v>1</v>
      </c>
      <c r="DA1091" s="52">
        <f t="shared" si="148"/>
        <v>1</v>
      </c>
      <c r="DB1091" s="2">
        <f t="shared" si="146"/>
        <v>0</v>
      </c>
      <c r="DS1091" s="130">
        <f>SI!BY1091</f>
        <v>232</v>
      </c>
      <c r="DZ1091" s="131">
        <f>SI!BZ1091</f>
        <v>0</v>
      </c>
    </row>
    <row r="1092" spans="1:130" hidden="1" x14ac:dyDescent="0.25">
      <c r="A1092" s="141"/>
      <c r="B1092" s="764" t="s">
        <v>114</v>
      </c>
      <c r="C1092" s="765"/>
      <c r="D1092" s="765"/>
      <c r="E1092" s="765"/>
      <c r="F1092" s="765"/>
      <c r="G1092" s="765"/>
      <c r="H1092" s="765"/>
      <c r="I1092" s="765"/>
      <c r="J1092" s="765"/>
      <c r="K1092" s="765"/>
      <c r="L1092" s="765"/>
      <c r="M1092" s="765"/>
      <c r="N1092" s="765"/>
      <c r="O1092" s="765"/>
      <c r="P1092" s="766"/>
      <c r="Q1092" s="811"/>
      <c r="R1092" s="1247"/>
      <c r="S1092" s="1247"/>
      <c r="T1092" s="1247"/>
      <c r="U1092" s="1247"/>
      <c r="V1092" s="1247"/>
      <c r="W1092" s="1246"/>
      <c r="X1092" s="1247"/>
      <c r="Y1092" s="1247"/>
      <c r="Z1092" s="1247"/>
      <c r="AA1092" s="1247"/>
      <c r="AB1092" s="1247"/>
      <c r="AC1092" s="1248"/>
      <c r="AD1092" s="1247"/>
      <c r="AE1092" s="1247"/>
      <c r="AF1092" s="1247"/>
      <c r="AG1092" s="1247"/>
      <c r="AH1092" s="1247"/>
      <c r="AI1092" s="1247"/>
      <c r="AJ1092" s="1247"/>
      <c r="AK1092" s="1247"/>
      <c r="AL1092" s="1246"/>
      <c r="AM1092" s="1247"/>
      <c r="AN1092" s="1247"/>
      <c r="AO1092" s="1247"/>
      <c r="AP1092" s="1247"/>
      <c r="AQ1092" s="1247"/>
      <c r="AR1092" s="1247"/>
      <c r="AS1092" s="1248"/>
      <c r="AT1092" s="1246"/>
      <c r="AU1092" s="1247"/>
      <c r="AV1092" s="1247"/>
      <c r="AW1092" s="1247"/>
      <c r="AX1092" s="1247"/>
      <c r="AY1092" s="1248"/>
      <c r="AZ1092" s="1247"/>
      <c r="BA1092" s="1247"/>
      <c r="BB1092" s="1247"/>
      <c r="BC1092" s="1247"/>
      <c r="BD1092" s="1247"/>
      <c r="BE1092" s="1247"/>
      <c r="BF1092" s="1246"/>
      <c r="BG1092" s="1247"/>
      <c r="BH1092" s="1247"/>
      <c r="BI1092" s="1247"/>
      <c r="BJ1092" s="1247"/>
      <c r="BK1092" s="1248"/>
      <c r="BL1092" s="1247"/>
      <c r="BM1092" s="1247"/>
      <c r="BN1092" s="1247"/>
      <c r="BO1092" s="1247"/>
      <c r="BP1092" s="1247"/>
      <c r="BQ1092" s="1247"/>
      <c r="BR1092" s="1247"/>
      <c r="BS1092" s="1269">
        <f>+SUM(Q1092:BR1092)</f>
        <v>0</v>
      </c>
      <c r="BT1092" s="1270"/>
      <c r="BU1092" s="1270"/>
      <c r="BV1092" s="1270"/>
      <c r="BW1092" s="1270"/>
      <c r="BX1092" s="1270"/>
      <c r="BY1092" s="1270"/>
      <c r="BZ1092" s="1271"/>
      <c r="CA1092" s="270"/>
      <c r="CB1092" s="3" t="str">
        <f t="shared" si="149"/>
        <v>Riadok bude skrytý.</v>
      </c>
      <c r="CC1092" s="271" t="s">
        <v>832</v>
      </c>
      <c r="CW1092" s="30">
        <f t="shared" si="150"/>
        <v>1</v>
      </c>
      <c r="CX1092" s="32">
        <f t="shared" si="147"/>
        <v>1</v>
      </c>
      <c r="CZ1092" s="30">
        <f t="shared" si="144"/>
        <v>1</v>
      </c>
      <c r="DA1092" s="52">
        <f t="shared" si="148"/>
        <v>1</v>
      </c>
      <c r="DB1092" s="2">
        <f t="shared" si="146"/>
        <v>0</v>
      </c>
      <c r="DS1092" s="130">
        <f>SI!BY1092</f>
        <v>124</v>
      </c>
      <c r="DZ1092" s="131">
        <f>SI!BZ1092</f>
        <v>0</v>
      </c>
    </row>
    <row r="1093" spans="1:130" hidden="1" x14ac:dyDescent="0.25">
      <c r="A1093" s="141"/>
      <c r="B1093" s="759" t="s">
        <v>115</v>
      </c>
      <c r="C1093" s="760"/>
      <c r="D1093" s="760"/>
      <c r="E1093" s="760"/>
      <c r="F1093" s="760"/>
      <c r="G1093" s="760"/>
      <c r="H1093" s="760"/>
      <c r="I1093" s="760"/>
      <c r="J1093" s="760"/>
      <c r="K1093" s="760"/>
      <c r="L1093" s="760"/>
      <c r="M1093" s="760"/>
      <c r="N1093" s="760"/>
      <c r="O1093" s="760"/>
      <c r="P1093" s="760"/>
      <c r="Q1093" s="754"/>
      <c r="R1093" s="755"/>
      <c r="S1093" s="755"/>
      <c r="T1093" s="755"/>
      <c r="U1093" s="755"/>
      <c r="V1093" s="755"/>
      <c r="W1093" s="754"/>
      <c r="X1093" s="755"/>
      <c r="Y1093" s="755"/>
      <c r="Z1093" s="755"/>
      <c r="AA1093" s="755"/>
      <c r="AB1093" s="755"/>
      <c r="AC1093" s="756"/>
      <c r="AD1093" s="755"/>
      <c r="AE1093" s="755"/>
      <c r="AF1093" s="755"/>
      <c r="AG1093" s="755"/>
      <c r="AH1093" s="755"/>
      <c r="AI1093" s="755"/>
      <c r="AJ1093" s="755"/>
      <c r="AK1093" s="755"/>
      <c r="AL1093" s="754"/>
      <c r="AM1093" s="755"/>
      <c r="AN1093" s="755"/>
      <c r="AO1093" s="755"/>
      <c r="AP1093" s="755"/>
      <c r="AQ1093" s="755"/>
      <c r="AR1093" s="755"/>
      <c r="AS1093" s="756"/>
      <c r="AT1093" s="755"/>
      <c r="AU1093" s="755"/>
      <c r="AV1093" s="755"/>
      <c r="AW1093" s="755"/>
      <c r="AX1093" s="755"/>
      <c r="AY1093" s="755"/>
      <c r="AZ1093" s="754"/>
      <c r="BA1093" s="755"/>
      <c r="BB1093" s="755"/>
      <c r="BC1093" s="755"/>
      <c r="BD1093" s="755"/>
      <c r="BE1093" s="756"/>
      <c r="BF1093" s="755"/>
      <c r="BG1093" s="755"/>
      <c r="BH1093" s="755"/>
      <c r="BI1093" s="755"/>
      <c r="BJ1093" s="755"/>
      <c r="BK1093" s="755"/>
      <c r="BL1093" s="754"/>
      <c r="BM1093" s="755"/>
      <c r="BN1093" s="755"/>
      <c r="BO1093" s="755"/>
      <c r="BP1093" s="755"/>
      <c r="BQ1093" s="755"/>
      <c r="BR1093" s="756"/>
      <c r="BS1093" s="757">
        <f>+SUM(Q1093:BR1093)</f>
        <v>0</v>
      </c>
      <c r="BT1093" s="757"/>
      <c r="BU1093" s="757"/>
      <c r="BV1093" s="757"/>
      <c r="BW1093" s="757"/>
      <c r="BX1093" s="757"/>
      <c r="BY1093" s="757"/>
      <c r="BZ1093" s="758"/>
      <c r="CA1093" s="270"/>
      <c r="CB1093" s="3" t="str">
        <f t="shared" si="149"/>
        <v>Riadok bude skrytý.</v>
      </c>
      <c r="CC1093" s="271" t="s">
        <v>832</v>
      </c>
      <c r="CD1093" s="137"/>
      <c r="CE1093" s="137"/>
      <c r="CW1093" s="30">
        <f t="shared" si="150"/>
        <v>1</v>
      </c>
      <c r="CX1093" s="32">
        <f t="shared" si="147"/>
        <v>1</v>
      </c>
      <c r="CZ1093" s="30">
        <f>IF(CC1093="",1,IF(CC1093="Chcem skryť riadok.",0,1))</f>
        <v>1</v>
      </c>
      <c r="DA1093" s="52">
        <f>+IF(CW1093*CX1093=0,0,IF(CZ1093=0,0,1))</f>
        <v>1</v>
      </c>
      <c r="DB1093" s="2">
        <f t="shared" si="146"/>
        <v>0</v>
      </c>
      <c r="DS1093" s="130">
        <f>SI!BY1093</f>
        <v>746</v>
      </c>
      <c r="DZ1093" s="131">
        <f>SI!BZ1093</f>
        <v>0</v>
      </c>
    </row>
    <row r="1094" spans="1:130" hidden="1" x14ac:dyDescent="0.25">
      <c r="A1094" s="141"/>
      <c r="B1094" s="734" t="s">
        <v>119</v>
      </c>
      <c r="C1094" s="735"/>
      <c r="D1094" s="735"/>
      <c r="E1094" s="735"/>
      <c r="F1094" s="735"/>
      <c r="G1094" s="735"/>
      <c r="H1094" s="735"/>
      <c r="I1094" s="735"/>
      <c r="J1094" s="735"/>
      <c r="K1094" s="735"/>
      <c r="L1094" s="735"/>
      <c r="M1094" s="735"/>
      <c r="N1094" s="735"/>
      <c r="O1094" s="735"/>
      <c r="P1094" s="1265"/>
      <c r="Q1094" s="404">
        <f>+SUM(Q1090:V1093)</f>
        <v>0</v>
      </c>
      <c r="R1094" s="403"/>
      <c r="S1094" s="403"/>
      <c r="T1094" s="403"/>
      <c r="U1094" s="403"/>
      <c r="V1094" s="403"/>
      <c r="W1094" s="404">
        <f>+SUM(W1090:AC1093)</f>
        <v>0</v>
      </c>
      <c r="X1094" s="403"/>
      <c r="Y1094" s="403"/>
      <c r="Z1094" s="403"/>
      <c r="AA1094" s="403"/>
      <c r="AB1094" s="403"/>
      <c r="AC1094" s="405"/>
      <c r="AD1094" s="403">
        <f>+SUM(AD1090:AK1093)</f>
        <v>0</v>
      </c>
      <c r="AE1094" s="403"/>
      <c r="AF1094" s="403"/>
      <c r="AG1094" s="403"/>
      <c r="AH1094" s="403"/>
      <c r="AI1094" s="403"/>
      <c r="AJ1094" s="403"/>
      <c r="AK1094" s="403"/>
      <c r="AL1094" s="404">
        <f>+SUM(AL1090:AS1093)</f>
        <v>0</v>
      </c>
      <c r="AM1094" s="403"/>
      <c r="AN1094" s="403"/>
      <c r="AO1094" s="403"/>
      <c r="AP1094" s="403"/>
      <c r="AQ1094" s="403"/>
      <c r="AR1094" s="403"/>
      <c r="AS1094" s="405"/>
      <c r="AT1094" s="403">
        <f>+SUM(AT1090:AY1093)</f>
        <v>0</v>
      </c>
      <c r="AU1094" s="403"/>
      <c r="AV1094" s="403"/>
      <c r="AW1094" s="403"/>
      <c r="AX1094" s="403"/>
      <c r="AY1094" s="403"/>
      <c r="AZ1094" s="404">
        <f>+SUM(AZ1090:BE1093)</f>
        <v>0</v>
      </c>
      <c r="BA1094" s="403"/>
      <c r="BB1094" s="403"/>
      <c r="BC1094" s="403"/>
      <c r="BD1094" s="403"/>
      <c r="BE1094" s="405"/>
      <c r="BF1094" s="403">
        <f>+SUM(BF1090:BK1093)</f>
        <v>0</v>
      </c>
      <c r="BG1094" s="403"/>
      <c r="BH1094" s="403"/>
      <c r="BI1094" s="403"/>
      <c r="BJ1094" s="403"/>
      <c r="BK1094" s="403"/>
      <c r="BL1094" s="404">
        <f>+SUM(BL1090:BR1093)</f>
        <v>0</v>
      </c>
      <c r="BM1094" s="403"/>
      <c r="BN1094" s="403"/>
      <c r="BO1094" s="403"/>
      <c r="BP1094" s="403"/>
      <c r="BQ1094" s="403"/>
      <c r="BR1094" s="405"/>
      <c r="BS1094" s="403">
        <f>+SUM(BS1090:BZ1093)</f>
        <v>0</v>
      </c>
      <c r="BT1094" s="403"/>
      <c r="BU1094" s="403"/>
      <c r="BV1094" s="403"/>
      <c r="BW1094" s="403"/>
      <c r="BX1094" s="403"/>
      <c r="BY1094" s="403"/>
      <c r="BZ1094" s="405"/>
      <c r="CA1094" s="270"/>
      <c r="CB1094" s="3" t="str">
        <f t="shared" si="149"/>
        <v>Riadok bude skrytý.</v>
      </c>
      <c r="CC1094" s="271" t="s">
        <v>832</v>
      </c>
      <c r="CW1094" s="30">
        <f t="shared" si="150"/>
        <v>1</v>
      </c>
      <c r="CX1094" s="32">
        <f t="shared" si="147"/>
        <v>1</v>
      </c>
      <c r="CZ1094" s="30">
        <f t="shared" si="144"/>
        <v>1</v>
      </c>
      <c r="DA1094" s="52">
        <f t="shared" si="148"/>
        <v>1</v>
      </c>
      <c r="DB1094" s="2">
        <f t="shared" si="146"/>
        <v>0</v>
      </c>
      <c r="DS1094" s="130">
        <f>SI!BY1094</f>
        <v>192</v>
      </c>
      <c r="DZ1094" s="131">
        <f>SI!BZ1094</f>
        <v>0</v>
      </c>
    </row>
    <row r="1095" spans="1:130" hidden="1" x14ac:dyDescent="0.25">
      <c r="A1095" s="141"/>
      <c r="B1095" s="779" t="s">
        <v>126</v>
      </c>
      <c r="C1095" s="780"/>
      <c r="D1095" s="780"/>
      <c r="E1095" s="780"/>
      <c r="F1095" s="780"/>
      <c r="G1095" s="780"/>
      <c r="H1095" s="780"/>
      <c r="I1095" s="780"/>
      <c r="J1095" s="780"/>
      <c r="K1095" s="780"/>
      <c r="L1095" s="780"/>
      <c r="M1095" s="780"/>
      <c r="N1095" s="780"/>
      <c r="O1095" s="780"/>
      <c r="P1095" s="780"/>
      <c r="Q1095" s="780"/>
      <c r="R1095" s="780"/>
      <c r="S1095" s="780"/>
      <c r="T1095" s="780"/>
      <c r="U1095" s="780"/>
      <c r="V1095" s="780"/>
      <c r="W1095" s="780"/>
      <c r="X1095" s="780"/>
      <c r="Y1095" s="780"/>
      <c r="Z1095" s="780"/>
      <c r="AA1095" s="780"/>
      <c r="AB1095" s="780"/>
      <c r="AC1095" s="780"/>
      <c r="AD1095" s="780"/>
      <c r="AE1095" s="780"/>
      <c r="AF1095" s="780"/>
      <c r="AG1095" s="780"/>
      <c r="AH1095" s="780"/>
      <c r="AI1095" s="780"/>
      <c r="AJ1095" s="780"/>
      <c r="AK1095" s="780"/>
      <c r="AL1095" s="780"/>
      <c r="AM1095" s="780"/>
      <c r="AN1095" s="780"/>
      <c r="AO1095" s="780"/>
      <c r="AP1095" s="780"/>
      <c r="AQ1095" s="780"/>
      <c r="AR1095" s="780"/>
      <c r="AS1095" s="780"/>
      <c r="AT1095" s="780"/>
      <c r="AU1095" s="780"/>
      <c r="AV1095" s="780"/>
      <c r="AW1095" s="780"/>
      <c r="AX1095" s="780"/>
      <c r="AY1095" s="780"/>
      <c r="AZ1095" s="780"/>
      <c r="BA1095" s="780"/>
      <c r="BB1095" s="780"/>
      <c r="BC1095" s="780"/>
      <c r="BD1095" s="780"/>
      <c r="BE1095" s="780"/>
      <c r="BF1095" s="780"/>
      <c r="BG1095" s="780"/>
      <c r="BH1095" s="780"/>
      <c r="BI1095" s="780"/>
      <c r="BJ1095" s="780"/>
      <c r="BK1095" s="780"/>
      <c r="BL1095" s="780"/>
      <c r="BM1095" s="780"/>
      <c r="BN1095" s="780"/>
      <c r="BO1095" s="780"/>
      <c r="BP1095" s="780"/>
      <c r="BQ1095" s="780"/>
      <c r="BR1095" s="780"/>
      <c r="BS1095" s="780"/>
      <c r="BT1095" s="780"/>
      <c r="BU1095" s="780"/>
      <c r="BV1095" s="780"/>
      <c r="BW1095" s="780"/>
      <c r="BX1095" s="780"/>
      <c r="BY1095" s="780"/>
      <c r="BZ1095" s="781"/>
      <c r="CA1095" s="270"/>
      <c r="CB1095" s="3" t="str">
        <f t="shared" si="149"/>
        <v>Riadok bude skrytý.</v>
      </c>
      <c r="CC1095" s="271" t="s">
        <v>832</v>
      </c>
      <c r="CW1095" s="30">
        <f t="shared" si="150"/>
        <v>1</v>
      </c>
      <c r="CX1095" s="32">
        <f t="shared" si="147"/>
        <v>1</v>
      </c>
      <c r="CZ1095" s="30">
        <f t="shared" si="144"/>
        <v>1</v>
      </c>
      <c r="DA1095" s="52">
        <f t="shared" si="148"/>
        <v>1</v>
      </c>
      <c r="DB1095" s="2">
        <f t="shared" si="146"/>
        <v>0</v>
      </c>
      <c r="DS1095" s="130">
        <f>SI!BY1095</f>
        <v>193</v>
      </c>
      <c r="DZ1095" s="131">
        <f>SI!BZ1095</f>
        <v>0</v>
      </c>
    </row>
    <row r="1096" spans="1:130" hidden="1" x14ac:dyDescent="0.25">
      <c r="A1096" s="141"/>
      <c r="B1096" s="734" t="s">
        <v>118</v>
      </c>
      <c r="C1096" s="735"/>
      <c r="D1096" s="735"/>
      <c r="E1096" s="735"/>
      <c r="F1096" s="735"/>
      <c r="G1096" s="735"/>
      <c r="H1096" s="735"/>
      <c r="I1096" s="735"/>
      <c r="J1096" s="735"/>
      <c r="K1096" s="735"/>
      <c r="L1096" s="735"/>
      <c r="M1096" s="735"/>
      <c r="N1096" s="735"/>
      <c r="O1096" s="735"/>
      <c r="P1096" s="1265"/>
      <c r="Q1096" s="404">
        <f>+Q1078-Q1084-Q1090</f>
        <v>0</v>
      </c>
      <c r="R1096" s="403"/>
      <c r="S1096" s="403"/>
      <c r="T1096" s="403"/>
      <c r="U1096" s="403"/>
      <c r="V1096" s="403"/>
      <c r="W1096" s="404">
        <f>+W1078-W1084-W1090</f>
        <v>0</v>
      </c>
      <c r="X1096" s="403"/>
      <c r="Y1096" s="403"/>
      <c r="Z1096" s="403"/>
      <c r="AA1096" s="403"/>
      <c r="AB1096" s="403"/>
      <c r="AC1096" s="405"/>
      <c r="AD1096" s="403">
        <f>+AD1078-AD1084-AD1090</f>
        <v>0</v>
      </c>
      <c r="AE1096" s="403"/>
      <c r="AF1096" s="403"/>
      <c r="AG1096" s="403"/>
      <c r="AH1096" s="403"/>
      <c r="AI1096" s="403"/>
      <c r="AJ1096" s="403"/>
      <c r="AK1096" s="403"/>
      <c r="AL1096" s="404">
        <f>+AL1078-AL1084-AL1090</f>
        <v>0</v>
      </c>
      <c r="AM1096" s="403"/>
      <c r="AN1096" s="403"/>
      <c r="AO1096" s="403"/>
      <c r="AP1096" s="403"/>
      <c r="AQ1096" s="403"/>
      <c r="AR1096" s="403"/>
      <c r="AS1096" s="405"/>
      <c r="AT1096" s="404">
        <f>+AT1078-AT1084-AT1090</f>
        <v>0</v>
      </c>
      <c r="AU1096" s="403"/>
      <c r="AV1096" s="403"/>
      <c r="AW1096" s="403"/>
      <c r="AX1096" s="403"/>
      <c r="AY1096" s="405"/>
      <c r="AZ1096" s="403">
        <f>+AZ1078-AZ1084-AZ1090</f>
        <v>0</v>
      </c>
      <c r="BA1096" s="403"/>
      <c r="BB1096" s="403"/>
      <c r="BC1096" s="403"/>
      <c r="BD1096" s="403"/>
      <c r="BE1096" s="403"/>
      <c r="BF1096" s="404">
        <f>+BF1078-BF1084-BF1090</f>
        <v>0</v>
      </c>
      <c r="BG1096" s="403"/>
      <c r="BH1096" s="403"/>
      <c r="BI1096" s="403"/>
      <c r="BJ1096" s="403"/>
      <c r="BK1096" s="405"/>
      <c r="BL1096" s="404">
        <f>+BL1078-BL1084-BL1090</f>
        <v>0</v>
      </c>
      <c r="BM1096" s="403"/>
      <c r="BN1096" s="403"/>
      <c r="BO1096" s="403"/>
      <c r="BP1096" s="403"/>
      <c r="BQ1096" s="403"/>
      <c r="BR1096" s="405"/>
      <c r="BS1096" s="403">
        <f>+BS1078-BS1084-BS1090</f>
        <v>0</v>
      </c>
      <c r="BT1096" s="403"/>
      <c r="BU1096" s="403"/>
      <c r="BV1096" s="403"/>
      <c r="BW1096" s="403"/>
      <c r="BX1096" s="403"/>
      <c r="BY1096" s="403"/>
      <c r="BZ1096" s="405"/>
      <c r="CA1096" s="270"/>
      <c r="CB1096" s="3" t="str">
        <f t="shared" si="149"/>
        <v>Riadok bude skrytý.</v>
      </c>
      <c r="CC1096" s="271" t="s">
        <v>832</v>
      </c>
      <c r="CW1096" s="30">
        <f t="shared" si="150"/>
        <v>1</v>
      </c>
      <c r="CX1096" s="32">
        <f t="shared" si="147"/>
        <v>1</v>
      </c>
      <c r="CZ1096" s="30">
        <f t="shared" si="144"/>
        <v>1</v>
      </c>
      <c r="DA1096" s="52">
        <f t="shared" si="148"/>
        <v>1</v>
      </c>
      <c r="DB1096" s="2">
        <f t="shared" si="146"/>
        <v>0</v>
      </c>
      <c r="DS1096" s="130">
        <f>SI!BY1096</f>
        <v>451</v>
      </c>
      <c r="DZ1096" s="131">
        <f>SI!BZ1096</f>
        <v>0</v>
      </c>
    </row>
    <row r="1097" spans="1:130" hidden="1" x14ac:dyDescent="0.25">
      <c r="A1097" s="141"/>
      <c r="B1097" s="734" t="s">
        <v>119</v>
      </c>
      <c r="C1097" s="735"/>
      <c r="D1097" s="735"/>
      <c r="E1097" s="735"/>
      <c r="F1097" s="735"/>
      <c r="G1097" s="735"/>
      <c r="H1097" s="735"/>
      <c r="I1097" s="735"/>
      <c r="J1097" s="735"/>
      <c r="K1097" s="735"/>
      <c r="L1097" s="735"/>
      <c r="M1097" s="735"/>
      <c r="N1097" s="735"/>
      <c r="O1097" s="735"/>
      <c r="P1097" s="1265"/>
      <c r="Q1097" s="404">
        <f>+Q1082-Q1088-Q1094</f>
        <v>0</v>
      </c>
      <c r="R1097" s="403"/>
      <c r="S1097" s="403"/>
      <c r="T1097" s="403"/>
      <c r="U1097" s="403"/>
      <c r="V1097" s="403"/>
      <c r="W1097" s="404">
        <f>+W1082-W1088-W1094</f>
        <v>0</v>
      </c>
      <c r="X1097" s="403"/>
      <c r="Y1097" s="403"/>
      <c r="Z1097" s="403"/>
      <c r="AA1097" s="403"/>
      <c r="AB1097" s="403"/>
      <c r="AC1097" s="405"/>
      <c r="AD1097" s="403">
        <f>+AD1082-AD1088-AD1094</f>
        <v>0</v>
      </c>
      <c r="AE1097" s="403"/>
      <c r="AF1097" s="403"/>
      <c r="AG1097" s="403"/>
      <c r="AH1097" s="403"/>
      <c r="AI1097" s="403"/>
      <c r="AJ1097" s="403"/>
      <c r="AK1097" s="403"/>
      <c r="AL1097" s="404">
        <f>+AL1082-AL1088-AL1094</f>
        <v>0</v>
      </c>
      <c r="AM1097" s="403"/>
      <c r="AN1097" s="403"/>
      <c r="AO1097" s="403"/>
      <c r="AP1097" s="403"/>
      <c r="AQ1097" s="403"/>
      <c r="AR1097" s="403"/>
      <c r="AS1097" s="405"/>
      <c r="AT1097" s="404">
        <f>+AT1082-AT1088-AT1094</f>
        <v>0</v>
      </c>
      <c r="AU1097" s="403"/>
      <c r="AV1097" s="403"/>
      <c r="AW1097" s="403"/>
      <c r="AX1097" s="403"/>
      <c r="AY1097" s="405"/>
      <c r="AZ1097" s="403">
        <f>+AZ1082-AZ1088-AZ1094</f>
        <v>0</v>
      </c>
      <c r="BA1097" s="403"/>
      <c r="BB1097" s="403"/>
      <c r="BC1097" s="403"/>
      <c r="BD1097" s="403"/>
      <c r="BE1097" s="403"/>
      <c r="BF1097" s="404">
        <f>+BF1082-BF1088-BF1094</f>
        <v>0</v>
      </c>
      <c r="BG1097" s="403"/>
      <c r="BH1097" s="403"/>
      <c r="BI1097" s="403"/>
      <c r="BJ1097" s="403"/>
      <c r="BK1097" s="405"/>
      <c r="BL1097" s="404">
        <f>+BL1082-BL1088-BL1094</f>
        <v>0</v>
      </c>
      <c r="BM1097" s="403"/>
      <c r="BN1097" s="403"/>
      <c r="BO1097" s="403"/>
      <c r="BP1097" s="403"/>
      <c r="BQ1097" s="403"/>
      <c r="BR1097" s="405"/>
      <c r="BS1097" s="403">
        <f>+BS1082-BS1088-BS1094</f>
        <v>0</v>
      </c>
      <c r="BT1097" s="403"/>
      <c r="BU1097" s="403"/>
      <c r="BV1097" s="403"/>
      <c r="BW1097" s="403"/>
      <c r="BX1097" s="403"/>
      <c r="BY1097" s="403"/>
      <c r="BZ1097" s="405"/>
      <c r="CA1097" s="270"/>
      <c r="CB1097" s="3" t="str">
        <f t="shared" si="149"/>
        <v>Riadok bude skrytý.</v>
      </c>
      <c r="CC1097" s="271" t="s">
        <v>832</v>
      </c>
      <c r="CW1097" s="30">
        <f t="shared" si="150"/>
        <v>1</v>
      </c>
      <c r="CX1097" s="32">
        <f t="shared" si="147"/>
        <v>1</v>
      </c>
      <c r="CZ1097" s="30">
        <f t="shared" si="144"/>
        <v>1</v>
      </c>
      <c r="DA1097" s="52">
        <f t="shared" si="148"/>
        <v>1</v>
      </c>
      <c r="DB1097" s="2">
        <f t="shared" si="146"/>
        <v>0</v>
      </c>
      <c r="DS1097" s="130">
        <f>SI!BY1097</f>
        <v>108</v>
      </c>
      <c r="DZ1097" s="131">
        <f>SI!BZ1097</f>
        <v>0</v>
      </c>
    </row>
    <row r="1098" spans="1:130" hidden="1" x14ac:dyDescent="0.25">
      <c r="A1098" s="141"/>
      <c r="CA1098" s="270"/>
      <c r="CB1098" s="3" t="str">
        <f t="shared" si="149"/>
        <v>Riadok bude skrytý.</v>
      </c>
      <c r="CC1098" s="271" t="s">
        <v>832</v>
      </c>
      <c r="CW1098" s="30">
        <f t="shared" si="150"/>
        <v>1</v>
      </c>
      <c r="CX1098" s="32">
        <f t="shared" si="147"/>
        <v>1</v>
      </c>
      <c r="CZ1098" s="30">
        <f t="shared" si="144"/>
        <v>1</v>
      </c>
      <c r="DA1098" s="52">
        <f t="shared" si="148"/>
        <v>1</v>
      </c>
      <c r="DB1098" s="2">
        <f t="shared" si="146"/>
        <v>0</v>
      </c>
      <c r="DS1098" s="130">
        <f>SI!BY1098</f>
        <v>673</v>
      </c>
      <c r="DZ1098" s="131">
        <f>SI!BZ1098</f>
        <v>0</v>
      </c>
    </row>
    <row r="1099" spans="1:130" hidden="1" x14ac:dyDescent="0.25">
      <c r="A1099" s="141"/>
      <c r="B1099" s="14" t="s">
        <v>96</v>
      </c>
      <c r="C1099" s="14"/>
      <c r="D1099" s="14"/>
      <c r="E1099" s="14"/>
      <c r="F1099" s="14"/>
      <c r="G1099" s="14"/>
      <c r="H1099" s="14"/>
      <c r="I1099" s="14"/>
      <c r="J1099" s="936" t="s">
        <v>97</v>
      </c>
      <c r="K1099" s="936"/>
      <c r="L1099" s="936"/>
      <c r="M1099" s="936"/>
      <c r="N1099" s="936"/>
      <c r="O1099" s="137" t="str">
        <f>+IF($I$52&lt;&gt;"",IF((ROUNDDOWN(CODE(MID($I$52,1,1))*3,0)+DAY(36167))*(IF(SI!EE1099="",1,SI!EE1099))+(2*LEN(SI!J3))=DS1099,"vo svojej evidencii hmotný majetok, ku ktorému je zriadené záložné právo. ","NEPOVOLENÉ POUŽITIE!"),"NEPOVOLENÉ POUŽITIE!")</f>
        <v xml:space="preserve">vo svojej evidencii hmotný majetok, ku ktorému je zriadené záložné právo. </v>
      </c>
      <c r="P1099" s="38"/>
      <c r="S1099" s="14"/>
      <c r="T1099" s="14"/>
      <c r="U1099" s="14"/>
      <c r="V1099" s="14"/>
      <c r="W1099" s="14"/>
      <c r="X1099" s="14"/>
      <c r="Y1099" s="14"/>
      <c r="Z1099" s="14"/>
      <c r="AA1099" s="14"/>
      <c r="AB1099" s="14"/>
      <c r="AC1099" s="14"/>
      <c r="AD1099" s="14"/>
      <c r="AE1099" s="14"/>
      <c r="AF1099" s="14"/>
      <c r="AG1099" s="14"/>
      <c r="AH1099" s="14"/>
      <c r="AI1099" s="14"/>
      <c r="AJ1099" s="14"/>
      <c r="AK1099" s="14"/>
      <c r="AL1099" s="14"/>
      <c r="AM1099" s="14"/>
      <c r="AN1099" s="14"/>
      <c r="AO1099" s="14"/>
      <c r="AP1099" s="14"/>
      <c r="AQ1099" s="14"/>
      <c r="AR1099" s="14"/>
      <c r="AS1099" s="14"/>
      <c r="AT1099" s="14"/>
      <c r="AU1099" s="14"/>
      <c r="AV1099" s="14"/>
      <c r="AW1099" s="14"/>
      <c r="AX1099" s="14"/>
      <c r="AY1099" s="14"/>
      <c r="AZ1099" s="14"/>
      <c r="BA1099" s="14"/>
      <c r="BB1099" s="14"/>
      <c r="BC1099" s="14"/>
      <c r="BD1099" s="14"/>
      <c r="BE1099" s="14"/>
      <c r="BF1099" s="14"/>
      <c r="BG1099" s="14"/>
      <c r="BH1099" s="14"/>
      <c r="BI1099" s="14"/>
      <c r="BJ1099" s="14"/>
      <c r="BK1099" s="14"/>
      <c r="BL1099" s="14"/>
      <c r="BM1099" s="14"/>
      <c r="BN1099" s="14"/>
      <c r="BO1099" s="14"/>
      <c r="BP1099" s="14"/>
      <c r="BQ1099" s="14"/>
      <c r="BR1099" s="14"/>
      <c r="BS1099" s="14"/>
      <c r="BT1099" s="14"/>
      <c r="BU1099" s="14"/>
      <c r="BV1099" s="14"/>
      <c r="BW1099" s="14"/>
      <c r="BX1099" s="14"/>
      <c r="BY1099" s="14"/>
      <c r="BZ1099" s="14"/>
      <c r="CA1099" s="265" t="s">
        <v>773</v>
      </c>
      <c r="CB1099" s="3" t="str">
        <f t="shared" si="149"/>
        <v>Riadok bude skrytý.</v>
      </c>
      <c r="CC1099" s="271" t="s">
        <v>832</v>
      </c>
      <c r="CF1099" s="13"/>
      <c r="CW1099" s="30">
        <f t="shared" si="150"/>
        <v>1</v>
      </c>
      <c r="CX1099" s="30">
        <f>+IF($J$1099="nemá",1,1)</f>
        <v>1</v>
      </c>
      <c r="CY1099" s="43"/>
      <c r="CZ1099" s="30">
        <f t="shared" si="144"/>
        <v>1</v>
      </c>
      <c r="DA1099" s="52">
        <f t="shared" ref="DA1099:DA1105" si="151">+IF(CW1099*CX1099=0,0,IF(CZ1099=0,0,1))</f>
        <v>1</v>
      </c>
      <c r="DB1099" s="2">
        <f t="shared" si="146"/>
        <v>0</v>
      </c>
      <c r="DS1099" s="130">
        <f>SI!BY1099</f>
        <v>10</v>
      </c>
      <c r="DZ1099" s="131">
        <f>SI!BZ1099</f>
        <v>0</v>
      </c>
    </row>
    <row r="1100" spans="1:130" hidden="1" x14ac:dyDescent="0.25">
      <c r="A1100" s="141"/>
      <c r="B1100" s="137" t="str">
        <f>+IF(J1099="nemá","","Hodnota dlhodobého hmotného majetku, ku ktorému je zriadené záložné právo, je uvedená v tabuľke:")</f>
        <v>Hodnota dlhodobého hmotného majetku, ku ktorému je zriadené záložné právo, je uvedená v tabuľke:</v>
      </c>
      <c r="CA1100" s="270"/>
      <c r="CB1100" s="3" t="str">
        <f t="shared" si="149"/>
        <v>Riadok bude skrytý.</v>
      </c>
      <c r="CC1100" s="271" t="s">
        <v>832</v>
      </c>
      <c r="CW1100" s="30">
        <f t="shared" si="150"/>
        <v>1</v>
      </c>
      <c r="CX1100" s="30">
        <f>+IF($J$1099="nemá",1,1)</f>
        <v>1</v>
      </c>
      <c r="CZ1100" s="30">
        <f t="shared" si="144"/>
        <v>1</v>
      </c>
      <c r="DA1100" s="52">
        <f t="shared" si="151"/>
        <v>1</v>
      </c>
      <c r="DB1100" s="2">
        <f t="shared" si="146"/>
        <v>0</v>
      </c>
      <c r="DS1100" s="130">
        <f>SI!BY1100</f>
        <v>191</v>
      </c>
      <c r="DZ1100" s="131">
        <f>SI!BZ1100</f>
        <v>0</v>
      </c>
    </row>
    <row r="1101" spans="1:130" hidden="1" x14ac:dyDescent="0.25">
      <c r="A1101" s="141"/>
      <c r="CA1101" s="270"/>
      <c r="CB1101" s="3" t="str">
        <f t="shared" si="149"/>
        <v>Riadok bude skrytý.</v>
      </c>
      <c r="CC1101" s="271" t="s">
        <v>832</v>
      </c>
      <c r="CW1101" s="30">
        <f t="shared" si="150"/>
        <v>1</v>
      </c>
      <c r="CX1101" s="30">
        <f>+IF($J$1099="nemá",0,1)</f>
        <v>1</v>
      </c>
      <c r="CZ1101" s="30">
        <f t="shared" si="144"/>
        <v>1</v>
      </c>
      <c r="DA1101" s="52">
        <f t="shared" si="151"/>
        <v>1</v>
      </c>
      <c r="DB1101" s="2">
        <f t="shared" si="146"/>
        <v>0</v>
      </c>
      <c r="DS1101" s="130">
        <f>SI!BY1101</f>
        <v>1067</v>
      </c>
      <c r="DZ1101" s="131">
        <f>SI!BZ1101</f>
        <v>0</v>
      </c>
    </row>
    <row r="1102" spans="1:130" hidden="1" x14ac:dyDescent="0.25">
      <c r="A1102" s="141"/>
      <c r="B1102" s="401" t="s">
        <v>98</v>
      </c>
      <c r="C1102" s="402"/>
      <c r="D1102" s="402"/>
      <c r="E1102" s="402"/>
      <c r="F1102" s="402"/>
      <c r="G1102" s="402"/>
      <c r="H1102" s="402"/>
      <c r="I1102" s="402"/>
      <c r="J1102" s="402"/>
      <c r="K1102" s="402"/>
      <c r="L1102" s="402"/>
      <c r="M1102" s="402"/>
      <c r="N1102" s="402"/>
      <c r="O1102" s="402"/>
      <c r="P1102" s="402"/>
      <c r="Q1102" s="402"/>
      <c r="R1102" s="402"/>
      <c r="S1102" s="402"/>
      <c r="T1102" s="402"/>
      <c r="U1102" s="402"/>
      <c r="V1102" s="402"/>
      <c r="W1102" s="402"/>
      <c r="X1102" s="402"/>
      <c r="Y1102" s="402"/>
      <c r="Z1102" s="402"/>
      <c r="AA1102" s="402"/>
      <c r="AB1102" s="402"/>
      <c r="AC1102" s="402"/>
      <c r="AD1102" s="402"/>
      <c r="AE1102" s="402"/>
      <c r="AF1102" s="402"/>
      <c r="AG1102" s="402"/>
      <c r="AH1102" s="402"/>
      <c r="AI1102" s="402"/>
      <c r="AJ1102" s="402"/>
      <c r="AK1102" s="402"/>
      <c r="AL1102" s="402"/>
      <c r="AM1102" s="402"/>
      <c r="AN1102" s="402"/>
      <c r="AO1102" s="402"/>
      <c r="AP1102" s="402"/>
      <c r="AQ1102" s="402"/>
      <c r="AR1102" s="402"/>
      <c r="AS1102" s="402"/>
      <c r="AT1102" s="402"/>
      <c r="AU1102" s="402"/>
      <c r="AV1102" s="402"/>
      <c r="AW1102" s="402"/>
      <c r="AX1102" s="402"/>
      <c r="AY1102" s="402"/>
      <c r="AZ1102" s="402"/>
      <c r="BA1102" s="402"/>
      <c r="BB1102" s="402"/>
      <c r="BC1102" s="402"/>
      <c r="BD1102" s="402"/>
      <c r="BE1102" s="402"/>
      <c r="BF1102" s="402"/>
      <c r="BG1102" s="402"/>
      <c r="BH1102" s="402"/>
      <c r="BI1102" s="776"/>
      <c r="BJ1102" s="393" t="s">
        <v>1010</v>
      </c>
      <c r="BK1102" s="394"/>
      <c r="BL1102" s="394"/>
      <c r="BM1102" s="394"/>
      <c r="BN1102" s="394"/>
      <c r="BO1102" s="394"/>
      <c r="BP1102" s="394"/>
      <c r="BQ1102" s="394"/>
      <c r="BR1102" s="394"/>
      <c r="BS1102" s="391">
        <f>+AJ141</f>
        <v>2021</v>
      </c>
      <c r="BT1102" s="391"/>
      <c r="BU1102" s="391"/>
      <c r="BV1102" s="391"/>
      <c r="BW1102" s="391"/>
      <c r="BX1102" s="391"/>
      <c r="BY1102" s="391"/>
      <c r="BZ1102" s="392"/>
      <c r="CA1102" s="265" t="s">
        <v>773</v>
      </c>
      <c r="CB1102" s="3" t="str">
        <f t="shared" si="149"/>
        <v>Riadok bude skrytý.</v>
      </c>
      <c r="CC1102" s="271" t="s">
        <v>832</v>
      </c>
      <c r="CD1102" s="4"/>
      <c r="CW1102" s="30">
        <f t="shared" si="150"/>
        <v>1</v>
      </c>
      <c r="CX1102" s="30">
        <f>+IF($J$1099="nemá",0,1)</f>
        <v>1</v>
      </c>
      <c r="CZ1102" s="30">
        <f t="shared" si="144"/>
        <v>1</v>
      </c>
      <c r="DA1102" s="52">
        <f t="shared" si="151"/>
        <v>1</v>
      </c>
      <c r="DB1102" s="2">
        <f t="shared" si="146"/>
        <v>0</v>
      </c>
      <c r="DS1102" s="130">
        <f>SI!BY1102</f>
        <v>128</v>
      </c>
      <c r="DZ1102" s="131">
        <f>SI!BZ1102</f>
        <v>0</v>
      </c>
    </row>
    <row r="1103" spans="1:130" hidden="1" x14ac:dyDescent="0.25">
      <c r="A1103" s="141"/>
      <c r="B1103" s="401" t="s">
        <v>775</v>
      </c>
      <c r="C1103" s="402"/>
      <c r="D1103" s="402"/>
      <c r="E1103" s="402"/>
      <c r="F1103" s="402"/>
      <c r="G1103" s="402"/>
      <c r="H1103" s="402"/>
      <c r="I1103" s="402"/>
      <c r="J1103" s="402"/>
      <c r="K1103" s="402"/>
      <c r="L1103" s="402"/>
      <c r="M1103" s="402"/>
      <c r="N1103" s="402"/>
      <c r="O1103" s="402"/>
      <c r="P1103" s="402"/>
      <c r="Q1103" s="402"/>
      <c r="R1103" s="402"/>
      <c r="S1103" s="402"/>
      <c r="T1103" s="402"/>
      <c r="U1103" s="402"/>
      <c r="V1103" s="402"/>
      <c r="W1103" s="402"/>
      <c r="X1103" s="402"/>
      <c r="Y1103" s="402"/>
      <c r="Z1103" s="402"/>
      <c r="AA1103" s="402"/>
      <c r="AB1103" s="402"/>
      <c r="AC1103" s="402"/>
      <c r="AD1103" s="402"/>
      <c r="AE1103" s="402"/>
      <c r="AF1103" s="402"/>
      <c r="AG1103" s="402"/>
      <c r="AH1103" s="402"/>
      <c r="AI1103" s="402"/>
      <c r="AJ1103" s="402"/>
      <c r="AK1103" s="402"/>
      <c r="AL1103" s="402"/>
      <c r="AM1103" s="402"/>
      <c r="AN1103" s="402"/>
      <c r="AO1103" s="402"/>
      <c r="AP1103" s="402"/>
      <c r="AQ1103" s="402"/>
      <c r="AR1103" s="402"/>
      <c r="AS1103" s="402"/>
      <c r="AT1103" s="402"/>
      <c r="AU1103" s="402"/>
      <c r="AV1103" s="402"/>
      <c r="AW1103" s="402"/>
      <c r="AX1103" s="402"/>
      <c r="AY1103" s="402"/>
      <c r="AZ1103" s="402"/>
      <c r="BA1103" s="402"/>
      <c r="BB1103" s="402"/>
      <c r="BC1103" s="402"/>
      <c r="BD1103" s="402"/>
      <c r="BE1103" s="402"/>
      <c r="BF1103" s="402"/>
      <c r="BG1103" s="402"/>
      <c r="BH1103" s="402"/>
      <c r="BI1103" s="776"/>
      <c r="BJ1103" s="472"/>
      <c r="BK1103" s="473"/>
      <c r="BL1103" s="473"/>
      <c r="BM1103" s="473"/>
      <c r="BN1103" s="473"/>
      <c r="BO1103" s="473"/>
      <c r="BP1103" s="473"/>
      <c r="BQ1103" s="473"/>
      <c r="BR1103" s="473"/>
      <c r="BS1103" s="473"/>
      <c r="BT1103" s="473"/>
      <c r="BU1103" s="473"/>
      <c r="BV1103" s="473"/>
      <c r="BW1103" s="473"/>
      <c r="BX1103" s="473"/>
      <c r="BY1103" s="473"/>
      <c r="BZ1103" s="474"/>
      <c r="CA1103" s="270"/>
      <c r="CB1103" s="3" t="str">
        <f t="shared" si="149"/>
        <v>Riadok bude skrytý.</v>
      </c>
      <c r="CC1103" s="271" t="s">
        <v>832</v>
      </c>
      <c r="CW1103" s="30">
        <f t="shared" si="150"/>
        <v>1</v>
      </c>
      <c r="CX1103" s="30">
        <f>+IF($J$1099="nemá",0,1)</f>
        <v>1</v>
      </c>
      <c r="CZ1103" s="30">
        <f t="shared" si="144"/>
        <v>1</v>
      </c>
      <c r="DA1103" s="52">
        <f t="shared" si="151"/>
        <v>1</v>
      </c>
      <c r="DB1103" s="2">
        <f t="shared" si="146"/>
        <v>0</v>
      </c>
      <c r="DS1103" s="130">
        <f>SI!BY1103</f>
        <v>445</v>
      </c>
      <c r="DZ1103" s="131">
        <f>SI!BZ1103</f>
        <v>0</v>
      </c>
    </row>
    <row r="1104" spans="1:130" hidden="1" x14ac:dyDescent="0.25">
      <c r="A1104" s="141"/>
      <c r="B1104" s="1759" t="s">
        <v>803</v>
      </c>
      <c r="C1104" s="1760"/>
      <c r="D1104" s="1760"/>
      <c r="E1104" s="1760"/>
      <c r="F1104" s="1760"/>
      <c r="G1104" s="1760"/>
      <c r="H1104" s="1760"/>
      <c r="I1104" s="1760"/>
      <c r="J1104" s="1760"/>
      <c r="K1104" s="1760"/>
      <c r="L1104" s="1760"/>
      <c r="M1104" s="1760"/>
      <c r="N1104" s="1760"/>
      <c r="O1104" s="1760"/>
      <c r="P1104" s="1760"/>
      <c r="Q1104" s="1760"/>
      <c r="R1104" s="1760"/>
      <c r="S1104" s="1760"/>
      <c r="T1104" s="1760"/>
      <c r="U1104" s="1760"/>
      <c r="V1104" s="1760"/>
      <c r="W1104" s="1760"/>
      <c r="X1104" s="1760"/>
      <c r="Y1104" s="1760"/>
      <c r="Z1104" s="1760"/>
      <c r="AA1104" s="1760"/>
      <c r="AB1104" s="1760"/>
      <c r="AC1104" s="1760"/>
      <c r="AD1104" s="1760"/>
      <c r="AE1104" s="1760"/>
      <c r="AF1104" s="1760"/>
      <c r="AG1104" s="1760"/>
      <c r="AH1104" s="1760"/>
      <c r="AI1104" s="1760"/>
      <c r="AJ1104" s="1760"/>
      <c r="AK1104" s="1760"/>
      <c r="AL1104" s="1760"/>
      <c r="AM1104" s="1760"/>
      <c r="AN1104" s="1760"/>
      <c r="AO1104" s="1760"/>
      <c r="AP1104" s="1760"/>
      <c r="AQ1104" s="1760"/>
      <c r="AR1104" s="1760"/>
      <c r="AS1104" s="1760"/>
      <c r="AT1104" s="1760"/>
      <c r="AU1104" s="1760"/>
      <c r="AV1104" s="1760"/>
      <c r="AW1104" s="1760"/>
      <c r="AX1104" s="1760"/>
      <c r="AY1104" s="1760"/>
      <c r="AZ1104" s="1760"/>
      <c r="BA1104" s="1760"/>
      <c r="BB1104" s="1760"/>
      <c r="BC1104" s="1760"/>
      <c r="BD1104" s="1760"/>
      <c r="BE1104" s="1760"/>
      <c r="BF1104" s="1760"/>
      <c r="BG1104" s="1760"/>
      <c r="BH1104" s="1760"/>
      <c r="BI1104" s="1761"/>
      <c r="BJ1104" s="770"/>
      <c r="BK1104" s="771"/>
      <c r="BL1104" s="771"/>
      <c r="BM1104" s="771"/>
      <c r="BN1104" s="771"/>
      <c r="BO1104" s="771"/>
      <c r="BP1104" s="771"/>
      <c r="BQ1104" s="771"/>
      <c r="BR1104" s="771"/>
      <c r="BS1104" s="771"/>
      <c r="BT1104" s="771"/>
      <c r="BU1104" s="771"/>
      <c r="BV1104" s="771"/>
      <c r="BW1104" s="771"/>
      <c r="BX1104" s="771"/>
      <c r="BY1104" s="771"/>
      <c r="BZ1104" s="772"/>
      <c r="CA1104" s="270"/>
      <c r="CB1104" s="3" t="str">
        <f t="shared" si="149"/>
        <v>Riadok bude skrytý.</v>
      </c>
      <c r="CC1104" s="271" t="s">
        <v>832</v>
      </c>
      <c r="CD1104" s="4"/>
      <c r="CE1104" s="4"/>
      <c r="CF1104" s="4"/>
      <c r="CG1104" s="4"/>
      <c r="CH1104" s="4"/>
      <c r="CI1104" s="4"/>
      <c r="CJ1104" s="4"/>
      <c r="CK1104" s="4"/>
      <c r="CL1104" s="4"/>
      <c r="CM1104" s="4"/>
      <c r="CN1104" s="4"/>
      <c r="CO1104" s="4"/>
      <c r="CP1104" s="4"/>
      <c r="CW1104" s="30">
        <f t="shared" si="150"/>
        <v>1</v>
      </c>
      <c r="CX1104" s="30">
        <f>+IF($J$1099="nemá",0,1)</f>
        <v>1</v>
      </c>
      <c r="CZ1104" s="30">
        <f t="shared" si="144"/>
        <v>1</v>
      </c>
      <c r="DA1104" s="52">
        <f t="shared" si="151"/>
        <v>1</v>
      </c>
      <c r="DB1104" s="2">
        <f t="shared" si="146"/>
        <v>0</v>
      </c>
      <c r="DS1104" s="130">
        <f>SI!BY1104</f>
        <v>194</v>
      </c>
      <c r="DZ1104" s="131">
        <f>SI!BZ1104</f>
        <v>0</v>
      </c>
    </row>
    <row r="1105" spans="1:130" hidden="1" x14ac:dyDescent="0.25">
      <c r="A1105" s="141"/>
      <c r="CA1105" s="270"/>
      <c r="CB1105" s="3" t="str">
        <f t="shared" si="149"/>
        <v>Riadok bude skrytý.</v>
      </c>
      <c r="CC1105" s="271" t="s">
        <v>832</v>
      </c>
      <c r="CW1105" s="30">
        <f t="shared" si="150"/>
        <v>1</v>
      </c>
      <c r="CX1105" s="30">
        <f>+IF($J$1099="nemá",0,1)</f>
        <v>1</v>
      </c>
      <c r="CZ1105" s="30">
        <f t="shared" si="144"/>
        <v>1</v>
      </c>
      <c r="DA1105" s="52">
        <f t="shared" si="151"/>
        <v>1</v>
      </c>
      <c r="DB1105" s="2">
        <f t="shared" si="146"/>
        <v>0</v>
      </c>
      <c r="DS1105" s="130">
        <f>SI!BY1105</f>
        <v>396</v>
      </c>
      <c r="DZ1105" s="131">
        <f>SI!BZ1105</f>
        <v>0</v>
      </c>
    </row>
    <row r="1106" spans="1:130" hidden="1" x14ac:dyDescent="0.25">
      <c r="A1106" s="141"/>
      <c r="B1106" s="137" t="s">
        <v>96</v>
      </c>
      <c r="J1106" s="936" t="s">
        <v>872</v>
      </c>
      <c r="K1106" s="936"/>
      <c r="L1106" s="936"/>
      <c r="M1106" s="936"/>
      <c r="N1106" s="936"/>
      <c r="O1106" s="137" t="str">
        <f>+IF($C$52&lt;&gt;"",IF(CODE(MID($C$52,1,1))*(IF(SI!EE1106="",1,SI!EE1106))+LEN(SI!J2)=DS1106,"vo svojej evidencii majetok, ktorý má v nájme a vykazuje ho ako svoj majetok.","NEPOVOLENÉ POUŽITIE!"),"NEPOVOLENÉ POUŽITIE!")</f>
        <v>vo svojej evidencii majetok, ktorý má v nájme a vykazuje ho ako svoj majetok.</v>
      </c>
      <c r="P1106" s="38"/>
      <c r="CA1106" s="265" t="s">
        <v>773</v>
      </c>
      <c r="CB1106" s="3" t="str">
        <f t="shared" si="149"/>
        <v>Riadok bude skrytý.</v>
      </c>
      <c r="CC1106" s="271" t="s">
        <v>832</v>
      </c>
      <c r="CF1106" s="13"/>
      <c r="CW1106" s="30">
        <f t="shared" si="150"/>
        <v>1</v>
      </c>
      <c r="CX1106" s="30">
        <f>+IF($J$1106="nemá",1,1)</f>
        <v>1</v>
      </c>
      <c r="CY1106" s="43"/>
      <c r="CZ1106" s="30">
        <f t="shared" si="144"/>
        <v>1</v>
      </c>
      <c r="DA1106" s="52">
        <f>+IF(CW1106*CX1106=0,0,IF(CZ1106=0,0,1))</f>
        <v>1</v>
      </c>
      <c r="DB1106" s="2">
        <f t="shared" si="146"/>
        <v>0</v>
      </c>
      <c r="DS1106" s="130">
        <f>SI!BY1106</f>
        <v>13</v>
      </c>
      <c r="DZ1106" s="131">
        <f>SI!BZ1106</f>
        <v>0</v>
      </c>
    </row>
    <row r="1107" spans="1:130" hidden="1" x14ac:dyDescent="0.25">
      <c r="A1107" s="141"/>
      <c r="B1107" s="137" t="str">
        <f>+IF(J1106="nemá","","Údaje o druhu a hodnote prenajatého majetku vykázanom ako svoj majetok sú uvedené v tabuľke:")</f>
        <v/>
      </c>
      <c r="CA1107" s="270"/>
      <c r="CB1107" s="3" t="str">
        <f t="shared" si="149"/>
        <v>Riadok bude skrytý.</v>
      </c>
      <c r="CC1107" s="271" t="s">
        <v>832</v>
      </c>
      <c r="CF1107" s="13"/>
      <c r="CW1107" s="30">
        <f t="shared" si="150"/>
        <v>1</v>
      </c>
      <c r="CX1107" s="30">
        <f>+IF($J$1106="nemá",1,1)</f>
        <v>1</v>
      </c>
      <c r="CY1107" s="43"/>
      <c r="CZ1107" s="30">
        <f t="shared" si="144"/>
        <v>1</v>
      </c>
      <c r="DA1107" s="52">
        <f>+IF(CW1107*CX1107=0,0,IF(CZ1107=0,0,1))</f>
        <v>1</v>
      </c>
      <c r="DB1107" s="2">
        <f t="shared" si="146"/>
        <v>0</v>
      </c>
      <c r="DS1107" s="130">
        <f>SI!BY1107</f>
        <v>531</v>
      </c>
      <c r="DZ1107" s="131">
        <f>SI!BZ1107</f>
        <v>0</v>
      </c>
    </row>
    <row r="1108" spans="1:130" hidden="1" x14ac:dyDescent="0.25">
      <c r="A1108" s="141"/>
      <c r="CA1108" s="270"/>
      <c r="CB1108" s="3" t="str">
        <f t="shared" si="149"/>
        <v>Riadok bude skrytý.</v>
      </c>
      <c r="CC1108" s="271" t="s">
        <v>832</v>
      </c>
      <c r="CW1108" s="30">
        <f t="shared" si="150"/>
        <v>1</v>
      </c>
      <c r="CX1108" s="30">
        <f t="shared" ref="CX1108:CX1120" si="152">+IF($J$1106="nemá",0,1)</f>
        <v>0</v>
      </c>
      <c r="CZ1108" s="30">
        <f t="shared" si="144"/>
        <v>1</v>
      </c>
      <c r="DA1108" s="52">
        <f>+IF(CW1108*CX1108=0,0,IF(CZ1108=0,0,1))</f>
        <v>0</v>
      </c>
      <c r="DB1108" s="2">
        <f t="shared" si="146"/>
        <v>0</v>
      </c>
      <c r="DS1108" s="130">
        <f>SI!BY1108</f>
        <v>122</v>
      </c>
      <c r="DZ1108" s="131">
        <f>SI!BZ1108</f>
        <v>0</v>
      </c>
    </row>
    <row r="1109" spans="1:130" hidden="1" x14ac:dyDescent="0.25">
      <c r="A1109" s="141"/>
      <c r="B1109" s="401" t="s">
        <v>99</v>
      </c>
      <c r="C1109" s="402"/>
      <c r="D1109" s="402"/>
      <c r="E1109" s="402"/>
      <c r="F1109" s="402"/>
      <c r="G1109" s="402"/>
      <c r="H1109" s="402"/>
      <c r="I1109" s="402"/>
      <c r="J1109" s="402"/>
      <c r="K1109" s="402"/>
      <c r="L1109" s="402"/>
      <c r="M1109" s="402"/>
      <c r="N1109" s="402"/>
      <c r="O1109" s="402"/>
      <c r="P1109" s="402"/>
      <c r="Q1109" s="402"/>
      <c r="R1109" s="402"/>
      <c r="S1109" s="402"/>
      <c r="T1109" s="402"/>
      <c r="U1109" s="402"/>
      <c r="V1109" s="402"/>
      <c r="W1109" s="402"/>
      <c r="X1109" s="402"/>
      <c r="Y1109" s="402"/>
      <c r="Z1109" s="402"/>
      <c r="AA1109" s="402"/>
      <c r="AB1109" s="402"/>
      <c r="AC1109" s="402"/>
      <c r="AD1109" s="402"/>
      <c r="AE1109" s="402"/>
      <c r="AF1109" s="402"/>
      <c r="AG1109" s="402"/>
      <c r="AH1109" s="402"/>
      <c r="AI1109" s="402"/>
      <c r="AJ1109" s="402"/>
      <c r="AK1109" s="402"/>
      <c r="AL1109" s="402"/>
      <c r="AM1109" s="402"/>
      <c r="AN1109" s="402"/>
      <c r="AO1109" s="402"/>
      <c r="AP1109" s="402"/>
      <c r="AQ1109" s="402"/>
      <c r="AR1109" s="402"/>
      <c r="AS1109" s="402"/>
      <c r="AT1109" s="402"/>
      <c r="AU1109" s="402"/>
      <c r="AV1109" s="402"/>
      <c r="AW1109" s="402"/>
      <c r="AX1109" s="402"/>
      <c r="AY1109" s="402"/>
      <c r="AZ1109" s="402"/>
      <c r="BA1109" s="402"/>
      <c r="BB1109" s="402"/>
      <c r="BC1109" s="402"/>
      <c r="BD1109" s="402"/>
      <c r="BE1109" s="402"/>
      <c r="BF1109" s="402"/>
      <c r="BG1109" s="402"/>
      <c r="BH1109" s="402"/>
      <c r="BI1109" s="776"/>
      <c r="BJ1109" s="650">
        <f>+AJ141</f>
        <v>2021</v>
      </c>
      <c r="BK1109" s="391"/>
      <c r="BL1109" s="391"/>
      <c r="BM1109" s="391"/>
      <c r="BN1109" s="391"/>
      <c r="BO1109" s="391"/>
      <c r="BP1109" s="391"/>
      <c r="BQ1109" s="391"/>
      <c r="BR1109" s="391"/>
      <c r="BS1109" s="391"/>
      <c r="BT1109" s="391"/>
      <c r="BU1109" s="391"/>
      <c r="BV1109" s="391"/>
      <c r="BW1109" s="391"/>
      <c r="BX1109" s="391"/>
      <c r="BY1109" s="391"/>
      <c r="BZ1109" s="392"/>
      <c r="CA1109" s="270"/>
      <c r="CB1109" s="3" t="str">
        <f t="shared" si="149"/>
        <v>Riadok bude skrytý.</v>
      </c>
      <c r="CC1109" s="271" t="s">
        <v>832</v>
      </c>
      <c r="CW1109" s="30">
        <f t="shared" si="150"/>
        <v>1</v>
      </c>
      <c r="CX1109" s="30">
        <f t="shared" si="152"/>
        <v>0</v>
      </c>
      <c r="CZ1109" s="30">
        <f t="shared" si="144"/>
        <v>1</v>
      </c>
      <c r="DA1109" s="52">
        <f>+IF(CW1109*CX1109=0,0,IF(CZ1109=0,0,1))</f>
        <v>0</v>
      </c>
      <c r="DB1109" s="2">
        <f t="shared" si="146"/>
        <v>0</v>
      </c>
      <c r="DS1109" s="130">
        <f>SI!BY1109</f>
        <v>1048</v>
      </c>
      <c r="DZ1109" s="131">
        <f>SI!BZ1109</f>
        <v>0</v>
      </c>
    </row>
    <row r="1110" spans="1:130" hidden="1" x14ac:dyDescent="0.25">
      <c r="A1110" s="141"/>
      <c r="B1110" s="1258"/>
      <c r="C1110" s="1259"/>
      <c r="D1110" s="1259"/>
      <c r="E1110" s="1259"/>
      <c r="F1110" s="1259"/>
      <c r="G1110" s="1259"/>
      <c r="H1110" s="1259"/>
      <c r="I1110" s="1259"/>
      <c r="J1110" s="1259"/>
      <c r="K1110" s="1259"/>
      <c r="L1110" s="1259"/>
      <c r="M1110" s="1259"/>
      <c r="N1110" s="1259"/>
      <c r="O1110" s="1259"/>
      <c r="P1110" s="1259"/>
      <c r="Q1110" s="1259"/>
      <c r="R1110" s="1259"/>
      <c r="S1110" s="1259"/>
      <c r="T1110" s="1259"/>
      <c r="U1110" s="1259"/>
      <c r="V1110" s="1259"/>
      <c r="W1110" s="1259"/>
      <c r="X1110" s="1259"/>
      <c r="Y1110" s="1259"/>
      <c r="Z1110" s="1259"/>
      <c r="AA1110" s="1259"/>
      <c r="AB1110" s="1259"/>
      <c r="AC1110" s="1259"/>
      <c r="AD1110" s="1259"/>
      <c r="AE1110" s="1259"/>
      <c r="AF1110" s="1259"/>
      <c r="AG1110" s="1259"/>
      <c r="AH1110" s="1259"/>
      <c r="AI1110" s="1259"/>
      <c r="AJ1110" s="1259"/>
      <c r="AK1110" s="1259"/>
      <c r="AL1110" s="1259"/>
      <c r="AM1110" s="1259"/>
      <c r="AN1110" s="1259"/>
      <c r="AO1110" s="1259"/>
      <c r="AP1110" s="1259"/>
      <c r="AQ1110" s="1259"/>
      <c r="AR1110" s="1259"/>
      <c r="AS1110" s="1259"/>
      <c r="AT1110" s="1259"/>
      <c r="AU1110" s="1259"/>
      <c r="AV1110" s="1259"/>
      <c r="AW1110" s="1259"/>
      <c r="AX1110" s="1259"/>
      <c r="AY1110" s="1259"/>
      <c r="AZ1110" s="1259"/>
      <c r="BA1110" s="1259"/>
      <c r="BB1110" s="1259"/>
      <c r="BC1110" s="1259"/>
      <c r="BD1110" s="1259"/>
      <c r="BE1110" s="1259"/>
      <c r="BF1110" s="1259"/>
      <c r="BG1110" s="1259"/>
      <c r="BH1110" s="1259"/>
      <c r="BI1110" s="1260"/>
      <c r="BJ1110" s="417"/>
      <c r="BK1110" s="418"/>
      <c r="BL1110" s="418"/>
      <c r="BM1110" s="418"/>
      <c r="BN1110" s="418"/>
      <c r="BO1110" s="418"/>
      <c r="BP1110" s="418"/>
      <c r="BQ1110" s="418"/>
      <c r="BR1110" s="418"/>
      <c r="BS1110" s="418"/>
      <c r="BT1110" s="418"/>
      <c r="BU1110" s="418"/>
      <c r="BV1110" s="418"/>
      <c r="BW1110" s="418"/>
      <c r="BX1110" s="418"/>
      <c r="BY1110" s="418"/>
      <c r="BZ1110" s="419"/>
      <c r="CA1110" s="270"/>
      <c r="CB1110" s="3" t="str">
        <f t="shared" si="149"/>
        <v>Riadok bude skrytý.</v>
      </c>
      <c r="CC1110" s="271" t="s">
        <v>832</v>
      </c>
      <c r="CW1110" s="30">
        <f t="shared" si="150"/>
        <v>1</v>
      </c>
      <c r="CX1110" s="30">
        <f t="shared" si="152"/>
        <v>0</v>
      </c>
      <c r="CZ1110" s="30">
        <f>IF(CC1110="",1,IF(CC1110="Chcem skryť riadok.",0,1))</f>
        <v>1</v>
      </c>
      <c r="DA1110" s="52">
        <f>+IF(CW1110*CX1110=0,0,IF(CZ1110=0,0,1))</f>
        <v>0</v>
      </c>
      <c r="DB1110" s="2">
        <f t="shared" si="146"/>
        <v>0</v>
      </c>
      <c r="DS1110" s="130">
        <f>SI!BY1110</f>
        <v>190</v>
      </c>
      <c r="DZ1110" s="131">
        <f>SI!BZ1110</f>
        <v>0</v>
      </c>
    </row>
    <row r="1111" spans="1:130" hidden="1" x14ac:dyDescent="0.25">
      <c r="A1111" s="141"/>
      <c r="B1111" s="907"/>
      <c r="C1111" s="908"/>
      <c r="D1111" s="908"/>
      <c r="E1111" s="908"/>
      <c r="F1111" s="908"/>
      <c r="G1111" s="908"/>
      <c r="H1111" s="908"/>
      <c r="I1111" s="908"/>
      <c r="J1111" s="908"/>
      <c r="K1111" s="908"/>
      <c r="L1111" s="908"/>
      <c r="M1111" s="908"/>
      <c r="N1111" s="908"/>
      <c r="O1111" s="908"/>
      <c r="P1111" s="908"/>
      <c r="Q1111" s="908"/>
      <c r="R1111" s="908"/>
      <c r="S1111" s="908"/>
      <c r="T1111" s="908"/>
      <c r="U1111" s="908"/>
      <c r="V1111" s="908"/>
      <c r="W1111" s="908"/>
      <c r="X1111" s="908"/>
      <c r="Y1111" s="908"/>
      <c r="Z1111" s="908"/>
      <c r="AA1111" s="908"/>
      <c r="AB1111" s="908"/>
      <c r="AC1111" s="908"/>
      <c r="AD1111" s="908"/>
      <c r="AE1111" s="908"/>
      <c r="AF1111" s="908"/>
      <c r="AG1111" s="908"/>
      <c r="AH1111" s="908"/>
      <c r="AI1111" s="908"/>
      <c r="AJ1111" s="908"/>
      <c r="AK1111" s="908"/>
      <c r="AL1111" s="908"/>
      <c r="AM1111" s="908"/>
      <c r="AN1111" s="908"/>
      <c r="AO1111" s="908"/>
      <c r="AP1111" s="908"/>
      <c r="AQ1111" s="908"/>
      <c r="AR1111" s="908"/>
      <c r="AS1111" s="908"/>
      <c r="AT1111" s="908"/>
      <c r="AU1111" s="908"/>
      <c r="AV1111" s="908"/>
      <c r="AW1111" s="908"/>
      <c r="AX1111" s="908"/>
      <c r="AY1111" s="908"/>
      <c r="AZ1111" s="908"/>
      <c r="BA1111" s="908"/>
      <c r="BB1111" s="908"/>
      <c r="BC1111" s="908"/>
      <c r="BD1111" s="908"/>
      <c r="BE1111" s="908"/>
      <c r="BF1111" s="908"/>
      <c r="BG1111" s="908"/>
      <c r="BH1111" s="908"/>
      <c r="BI1111" s="909"/>
      <c r="BJ1111" s="511"/>
      <c r="BK1111" s="482"/>
      <c r="BL1111" s="482"/>
      <c r="BM1111" s="482"/>
      <c r="BN1111" s="482"/>
      <c r="BO1111" s="482"/>
      <c r="BP1111" s="482"/>
      <c r="BQ1111" s="482"/>
      <c r="BR1111" s="482"/>
      <c r="BS1111" s="482"/>
      <c r="BT1111" s="482"/>
      <c r="BU1111" s="482"/>
      <c r="BV1111" s="482"/>
      <c r="BW1111" s="482"/>
      <c r="BX1111" s="482"/>
      <c r="BY1111" s="482"/>
      <c r="BZ1111" s="483"/>
      <c r="CA1111" s="270"/>
      <c r="CB1111" s="3" t="str">
        <f t="shared" si="149"/>
        <v>Riadok bude skrytý.</v>
      </c>
      <c r="CC1111" s="271" t="s">
        <v>832</v>
      </c>
      <c r="CW1111" s="30">
        <f t="shared" si="150"/>
        <v>1</v>
      </c>
      <c r="CX1111" s="30">
        <f t="shared" si="152"/>
        <v>0</v>
      </c>
      <c r="CY1111" s="30">
        <f t="shared" ref="CY1111:CY1118" si="153">+IF(B1111="",0,1)</f>
        <v>0</v>
      </c>
      <c r="CZ1111" s="30">
        <f t="shared" si="144"/>
        <v>1</v>
      </c>
      <c r="DA1111" s="53">
        <f t="shared" ref="DA1111:DA1118" si="154">+IF(CW1111*CX1111*CY1111=0,0,IF(CZ1111=0,0,1))</f>
        <v>0</v>
      </c>
      <c r="DB1111" s="2">
        <f t="shared" si="146"/>
        <v>0</v>
      </c>
      <c r="DS1111" s="130">
        <f>SI!BY1111</f>
        <v>183</v>
      </c>
      <c r="DZ1111" s="131">
        <f>SI!BZ1111</f>
        <v>0</v>
      </c>
    </row>
    <row r="1112" spans="1:130" hidden="1" x14ac:dyDescent="0.25">
      <c r="A1112" s="141"/>
      <c r="B1112" s="907"/>
      <c r="C1112" s="908"/>
      <c r="D1112" s="908"/>
      <c r="E1112" s="908"/>
      <c r="F1112" s="908"/>
      <c r="G1112" s="908"/>
      <c r="H1112" s="908"/>
      <c r="I1112" s="908"/>
      <c r="J1112" s="908"/>
      <c r="K1112" s="908"/>
      <c r="L1112" s="908"/>
      <c r="M1112" s="908"/>
      <c r="N1112" s="908"/>
      <c r="O1112" s="908"/>
      <c r="P1112" s="908"/>
      <c r="Q1112" s="908"/>
      <c r="R1112" s="908"/>
      <c r="S1112" s="908"/>
      <c r="T1112" s="908"/>
      <c r="U1112" s="908"/>
      <c r="V1112" s="908"/>
      <c r="W1112" s="908"/>
      <c r="X1112" s="908"/>
      <c r="Y1112" s="908"/>
      <c r="Z1112" s="908"/>
      <c r="AA1112" s="908"/>
      <c r="AB1112" s="908"/>
      <c r="AC1112" s="908"/>
      <c r="AD1112" s="908"/>
      <c r="AE1112" s="908"/>
      <c r="AF1112" s="908"/>
      <c r="AG1112" s="908"/>
      <c r="AH1112" s="908"/>
      <c r="AI1112" s="908"/>
      <c r="AJ1112" s="908"/>
      <c r="AK1112" s="908"/>
      <c r="AL1112" s="908"/>
      <c r="AM1112" s="908"/>
      <c r="AN1112" s="908"/>
      <c r="AO1112" s="908"/>
      <c r="AP1112" s="908"/>
      <c r="AQ1112" s="908"/>
      <c r="AR1112" s="908"/>
      <c r="AS1112" s="908"/>
      <c r="AT1112" s="908"/>
      <c r="AU1112" s="908"/>
      <c r="AV1112" s="908"/>
      <c r="AW1112" s="908"/>
      <c r="AX1112" s="908"/>
      <c r="AY1112" s="908"/>
      <c r="AZ1112" s="908"/>
      <c r="BA1112" s="908"/>
      <c r="BB1112" s="908"/>
      <c r="BC1112" s="908"/>
      <c r="BD1112" s="908"/>
      <c r="BE1112" s="908"/>
      <c r="BF1112" s="908"/>
      <c r="BG1112" s="908"/>
      <c r="BH1112" s="908"/>
      <c r="BI1112" s="909"/>
      <c r="BJ1112" s="511"/>
      <c r="BK1112" s="482"/>
      <c r="BL1112" s="482"/>
      <c r="BM1112" s="482"/>
      <c r="BN1112" s="482"/>
      <c r="BO1112" s="482"/>
      <c r="BP1112" s="482"/>
      <c r="BQ1112" s="482"/>
      <c r="BR1112" s="482"/>
      <c r="BS1112" s="482"/>
      <c r="BT1112" s="482"/>
      <c r="BU1112" s="482"/>
      <c r="BV1112" s="482"/>
      <c r="BW1112" s="482"/>
      <c r="BX1112" s="482"/>
      <c r="BY1112" s="482"/>
      <c r="BZ1112" s="483"/>
      <c r="CA1112" s="270"/>
      <c r="CB1112" s="3" t="str">
        <f t="shared" si="149"/>
        <v>Riadok bude skrytý.</v>
      </c>
      <c r="CC1112" s="271" t="s">
        <v>832</v>
      </c>
      <c r="CW1112" s="30">
        <f t="shared" si="150"/>
        <v>1</v>
      </c>
      <c r="CX1112" s="30">
        <f t="shared" si="152"/>
        <v>0</v>
      </c>
      <c r="CY1112" s="30">
        <f t="shared" si="153"/>
        <v>0</v>
      </c>
      <c r="CZ1112" s="30">
        <f t="shared" si="144"/>
        <v>1</v>
      </c>
      <c r="DA1112" s="53">
        <f t="shared" si="154"/>
        <v>0</v>
      </c>
      <c r="DB1112" s="2">
        <f t="shared" si="146"/>
        <v>0</v>
      </c>
      <c r="DS1112" s="130">
        <f>SI!BY1112</f>
        <v>125</v>
      </c>
      <c r="DZ1112" s="131">
        <f>SI!BZ1112</f>
        <v>0</v>
      </c>
    </row>
    <row r="1113" spans="1:130" hidden="1" x14ac:dyDescent="0.25">
      <c r="A1113" s="141"/>
      <c r="B1113" s="907"/>
      <c r="C1113" s="908"/>
      <c r="D1113" s="908"/>
      <c r="E1113" s="908"/>
      <c r="F1113" s="908"/>
      <c r="G1113" s="908"/>
      <c r="H1113" s="908"/>
      <c r="I1113" s="908"/>
      <c r="J1113" s="908"/>
      <c r="K1113" s="908"/>
      <c r="L1113" s="908"/>
      <c r="M1113" s="908"/>
      <c r="N1113" s="908"/>
      <c r="O1113" s="908"/>
      <c r="P1113" s="908"/>
      <c r="Q1113" s="908"/>
      <c r="R1113" s="908"/>
      <c r="S1113" s="908"/>
      <c r="T1113" s="908"/>
      <c r="U1113" s="908"/>
      <c r="V1113" s="908"/>
      <c r="W1113" s="908"/>
      <c r="X1113" s="908"/>
      <c r="Y1113" s="908"/>
      <c r="Z1113" s="908"/>
      <c r="AA1113" s="908"/>
      <c r="AB1113" s="908"/>
      <c r="AC1113" s="908"/>
      <c r="AD1113" s="908"/>
      <c r="AE1113" s="908"/>
      <c r="AF1113" s="908"/>
      <c r="AG1113" s="908"/>
      <c r="AH1113" s="908"/>
      <c r="AI1113" s="908"/>
      <c r="AJ1113" s="908"/>
      <c r="AK1113" s="908"/>
      <c r="AL1113" s="908"/>
      <c r="AM1113" s="908"/>
      <c r="AN1113" s="908"/>
      <c r="AO1113" s="908"/>
      <c r="AP1113" s="908"/>
      <c r="AQ1113" s="908"/>
      <c r="AR1113" s="908"/>
      <c r="AS1113" s="908"/>
      <c r="AT1113" s="908"/>
      <c r="AU1113" s="908"/>
      <c r="AV1113" s="908"/>
      <c r="AW1113" s="908"/>
      <c r="AX1113" s="908"/>
      <c r="AY1113" s="908"/>
      <c r="AZ1113" s="908"/>
      <c r="BA1113" s="908"/>
      <c r="BB1113" s="908"/>
      <c r="BC1113" s="908"/>
      <c r="BD1113" s="908"/>
      <c r="BE1113" s="908"/>
      <c r="BF1113" s="908"/>
      <c r="BG1113" s="908"/>
      <c r="BH1113" s="908"/>
      <c r="BI1113" s="909"/>
      <c r="BJ1113" s="511"/>
      <c r="BK1113" s="482"/>
      <c r="BL1113" s="482"/>
      <c r="BM1113" s="482"/>
      <c r="BN1113" s="482"/>
      <c r="BO1113" s="482"/>
      <c r="BP1113" s="482"/>
      <c r="BQ1113" s="482"/>
      <c r="BR1113" s="482"/>
      <c r="BS1113" s="482"/>
      <c r="BT1113" s="482"/>
      <c r="BU1113" s="482"/>
      <c r="BV1113" s="482"/>
      <c r="BW1113" s="482"/>
      <c r="BX1113" s="482"/>
      <c r="BY1113" s="482"/>
      <c r="BZ1113" s="483"/>
      <c r="CA1113" s="270"/>
      <c r="CB1113" s="3" t="str">
        <f t="shared" si="149"/>
        <v>Riadok bude skrytý.</v>
      </c>
      <c r="CC1113" s="271" t="s">
        <v>832</v>
      </c>
      <c r="CW1113" s="30">
        <f t="shared" si="150"/>
        <v>1</v>
      </c>
      <c r="CX1113" s="30">
        <f t="shared" si="152"/>
        <v>0</v>
      </c>
      <c r="CY1113" s="30">
        <f t="shared" si="153"/>
        <v>0</v>
      </c>
      <c r="CZ1113" s="30">
        <f t="shared" si="144"/>
        <v>1</v>
      </c>
      <c r="DA1113" s="53">
        <f t="shared" si="154"/>
        <v>0</v>
      </c>
      <c r="DB1113" s="2">
        <f t="shared" si="146"/>
        <v>0</v>
      </c>
      <c r="DS1113" s="130">
        <f>SI!BY1113</f>
        <v>503</v>
      </c>
      <c r="DZ1113" s="131">
        <f>SI!BZ1113</f>
        <v>0</v>
      </c>
    </row>
    <row r="1114" spans="1:130" hidden="1" x14ac:dyDescent="0.25">
      <c r="A1114" s="141"/>
      <c r="B1114" s="907"/>
      <c r="C1114" s="908"/>
      <c r="D1114" s="908"/>
      <c r="E1114" s="908"/>
      <c r="F1114" s="908"/>
      <c r="G1114" s="908"/>
      <c r="H1114" s="908"/>
      <c r="I1114" s="908"/>
      <c r="J1114" s="908"/>
      <c r="K1114" s="908"/>
      <c r="L1114" s="908"/>
      <c r="M1114" s="908"/>
      <c r="N1114" s="908"/>
      <c r="O1114" s="908"/>
      <c r="P1114" s="908"/>
      <c r="Q1114" s="908"/>
      <c r="R1114" s="908"/>
      <c r="S1114" s="908"/>
      <c r="T1114" s="908"/>
      <c r="U1114" s="908"/>
      <c r="V1114" s="908"/>
      <c r="W1114" s="908"/>
      <c r="X1114" s="908"/>
      <c r="Y1114" s="908"/>
      <c r="Z1114" s="908"/>
      <c r="AA1114" s="908"/>
      <c r="AB1114" s="908"/>
      <c r="AC1114" s="908"/>
      <c r="AD1114" s="908"/>
      <c r="AE1114" s="908"/>
      <c r="AF1114" s="908"/>
      <c r="AG1114" s="908"/>
      <c r="AH1114" s="908"/>
      <c r="AI1114" s="908"/>
      <c r="AJ1114" s="908"/>
      <c r="AK1114" s="908"/>
      <c r="AL1114" s="908"/>
      <c r="AM1114" s="908"/>
      <c r="AN1114" s="908"/>
      <c r="AO1114" s="908"/>
      <c r="AP1114" s="908"/>
      <c r="AQ1114" s="908"/>
      <c r="AR1114" s="908"/>
      <c r="AS1114" s="908"/>
      <c r="AT1114" s="908"/>
      <c r="AU1114" s="908"/>
      <c r="AV1114" s="908"/>
      <c r="AW1114" s="908"/>
      <c r="AX1114" s="908"/>
      <c r="AY1114" s="908"/>
      <c r="AZ1114" s="908"/>
      <c r="BA1114" s="908"/>
      <c r="BB1114" s="908"/>
      <c r="BC1114" s="908"/>
      <c r="BD1114" s="908"/>
      <c r="BE1114" s="908"/>
      <c r="BF1114" s="908"/>
      <c r="BG1114" s="908"/>
      <c r="BH1114" s="908"/>
      <c r="BI1114" s="909"/>
      <c r="BJ1114" s="511"/>
      <c r="BK1114" s="482"/>
      <c r="BL1114" s="482"/>
      <c r="BM1114" s="482"/>
      <c r="BN1114" s="482"/>
      <c r="BO1114" s="482"/>
      <c r="BP1114" s="482"/>
      <c r="BQ1114" s="482"/>
      <c r="BR1114" s="482"/>
      <c r="BS1114" s="482"/>
      <c r="BT1114" s="482"/>
      <c r="BU1114" s="482"/>
      <c r="BV1114" s="482"/>
      <c r="BW1114" s="482"/>
      <c r="BX1114" s="482"/>
      <c r="BY1114" s="482"/>
      <c r="BZ1114" s="483"/>
      <c r="CA1114" s="270"/>
      <c r="CB1114" s="3" t="str">
        <f t="shared" si="149"/>
        <v>Riadok bude skrytý.</v>
      </c>
      <c r="CC1114" s="271" t="s">
        <v>832</v>
      </c>
      <c r="CW1114" s="30">
        <f t="shared" si="150"/>
        <v>1</v>
      </c>
      <c r="CX1114" s="30">
        <f t="shared" si="152"/>
        <v>0</v>
      </c>
      <c r="CY1114" s="30">
        <f t="shared" si="153"/>
        <v>0</v>
      </c>
      <c r="CZ1114" s="30">
        <f t="shared" si="144"/>
        <v>1</v>
      </c>
      <c r="DA1114" s="53">
        <f t="shared" si="154"/>
        <v>0</v>
      </c>
      <c r="DB1114" s="2">
        <f t="shared" si="146"/>
        <v>0</v>
      </c>
      <c r="DS1114" s="130">
        <f>SI!BY1114</f>
        <v>146</v>
      </c>
      <c r="DZ1114" s="131">
        <f>SI!BZ1114</f>
        <v>0</v>
      </c>
    </row>
    <row r="1115" spans="1:130" hidden="1" x14ac:dyDescent="0.25">
      <c r="A1115" s="141"/>
      <c r="B1115" s="907"/>
      <c r="C1115" s="908"/>
      <c r="D1115" s="908"/>
      <c r="E1115" s="908"/>
      <c r="F1115" s="908"/>
      <c r="G1115" s="908"/>
      <c r="H1115" s="908"/>
      <c r="I1115" s="908"/>
      <c r="J1115" s="908"/>
      <c r="K1115" s="908"/>
      <c r="L1115" s="908"/>
      <c r="M1115" s="908"/>
      <c r="N1115" s="908"/>
      <c r="O1115" s="908"/>
      <c r="P1115" s="908"/>
      <c r="Q1115" s="908"/>
      <c r="R1115" s="908"/>
      <c r="S1115" s="908"/>
      <c r="T1115" s="908"/>
      <c r="U1115" s="908"/>
      <c r="V1115" s="908"/>
      <c r="W1115" s="908"/>
      <c r="X1115" s="908"/>
      <c r="Y1115" s="908"/>
      <c r="Z1115" s="908"/>
      <c r="AA1115" s="908"/>
      <c r="AB1115" s="908"/>
      <c r="AC1115" s="908"/>
      <c r="AD1115" s="908"/>
      <c r="AE1115" s="908"/>
      <c r="AF1115" s="908"/>
      <c r="AG1115" s="908"/>
      <c r="AH1115" s="908"/>
      <c r="AI1115" s="908"/>
      <c r="AJ1115" s="908"/>
      <c r="AK1115" s="908"/>
      <c r="AL1115" s="908"/>
      <c r="AM1115" s="908"/>
      <c r="AN1115" s="908"/>
      <c r="AO1115" s="908"/>
      <c r="AP1115" s="908"/>
      <c r="AQ1115" s="908"/>
      <c r="AR1115" s="908"/>
      <c r="AS1115" s="908"/>
      <c r="AT1115" s="908"/>
      <c r="AU1115" s="908"/>
      <c r="AV1115" s="908"/>
      <c r="AW1115" s="908"/>
      <c r="AX1115" s="908"/>
      <c r="AY1115" s="908"/>
      <c r="AZ1115" s="908"/>
      <c r="BA1115" s="908"/>
      <c r="BB1115" s="908"/>
      <c r="BC1115" s="908"/>
      <c r="BD1115" s="908"/>
      <c r="BE1115" s="908"/>
      <c r="BF1115" s="908"/>
      <c r="BG1115" s="908"/>
      <c r="BH1115" s="908"/>
      <c r="BI1115" s="909"/>
      <c r="BJ1115" s="511"/>
      <c r="BK1115" s="482"/>
      <c r="BL1115" s="482"/>
      <c r="BM1115" s="482"/>
      <c r="BN1115" s="482"/>
      <c r="BO1115" s="482"/>
      <c r="BP1115" s="482"/>
      <c r="BQ1115" s="482"/>
      <c r="BR1115" s="482"/>
      <c r="BS1115" s="482"/>
      <c r="BT1115" s="482"/>
      <c r="BU1115" s="482"/>
      <c r="BV1115" s="482"/>
      <c r="BW1115" s="482"/>
      <c r="BX1115" s="482"/>
      <c r="BY1115" s="482"/>
      <c r="BZ1115" s="483"/>
      <c r="CA1115" s="270"/>
      <c r="CB1115" s="3" t="str">
        <f t="shared" si="149"/>
        <v>Riadok bude skrytý.</v>
      </c>
      <c r="CC1115" s="271" t="s">
        <v>832</v>
      </c>
      <c r="CW1115" s="30">
        <f t="shared" si="150"/>
        <v>1</v>
      </c>
      <c r="CX1115" s="30">
        <f t="shared" si="152"/>
        <v>0</v>
      </c>
      <c r="CY1115" s="30">
        <f t="shared" si="153"/>
        <v>0</v>
      </c>
      <c r="CZ1115" s="30">
        <f t="shared" si="144"/>
        <v>1</v>
      </c>
      <c r="DA1115" s="53">
        <f t="shared" si="154"/>
        <v>0</v>
      </c>
      <c r="DB1115" s="2">
        <f t="shared" si="146"/>
        <v>0</v>
      </c>
      <c r="DS1115" s="130">
        <f>SI!BY1115</f>
        <v>337</v>
      </c>
      <c r="DZ1115" s="131">
        <f>SI!BZ1115</f>
        <v>0</v>
      </c>
    </row>
    <row r="1116" spans="1:130" hidden="1" x14ac:dyDescent="0.25">
      <c r="A1116" s="141"/>
      <c r="B1116" s="907"/>
      <c r="C1116" s="908"/>
      <c r="D1116" s="908"/>
      <c r="E1116" s="908"/>
      <c r="F1116" s="908"/>
      <c r="G1116" s="908"/>
      <c r="H1116" s="908"/>
      <c r="I1116" s="908"/>
      <c r="J1116" s="908"/>
      <c r="K1116" s="908"/>
      <c r="L1116" s="908"/>
      <c r="M1116" s="908"/>
      <c r="N1116" s="908"/>
      <c r="O1116" s="908"/>
      <c r="P1116" s="908"/>
      <c r="Q1116" s="908"/>
      <c r="R1116" s="908"/>
      <c r="S1116" s="908"/>
      <c r="T1116" s="908"/>
      <c r="U1116" s="908"/>
      <c r="V1116" s="908"/>
      <c r="W1116" s="908"/>
      <c r="X1116" s="908"/>
      <c r="Y1116" s="908"/>
      <c r="Z1116" s="908"/>
      <c r="AA1116" s="908"/>
      <c r="AB1116" s="908"/>
      <c r="AC1116" s="908"/>
      <c r="AD1116" s="908"/>
      <c r="AE1116" s="908"/>
      <c r="AF1116" s="908"/>
      <c r="AG1116" s="908"/>
      <c r="AH1116" s="908"/>
      <c r="AI1116" s="908"/>
      <c r="AJ1116" s="908"/>
      <c r="AK1116" s="908"/>
      <c r="AL1116" s="908"/>
      <c r="AM1116" s="908"/>
      <c r="AN1116" s="908"/>
      <c r="AO1116" s="908"/>
      <c r="AP1116" s="908"/>
      <c r="AQ1116" s="908"/>
      <c r="AR1116" s="908"/>
      <c r="AS1116" s="908"/>
      <c r="AT1116" s="908"/>
      <c r="AU1116" s="908"/>
      <c r="AV1116" s="908"/>
      <c r="AW1116" s="908"/>
      <c r="AX1116" s="908"/>
      <c r="AY1116" s="908"/>
      <c r="AZ1116" s="908"/>
      <c r="BA1116" s="908"/>
      <c r="BB1116" s="908"/>
      <c r="BC1116" s="908"/>
      <c r="BD1116" s="908"/>
      <c r="BE1116" s="908"/>
      <c r="BF1116" s="908"/>
      <c r="BG1116" s="908"/>
      <c r="BH1116" s="908"/>
      <c r="BI1116" s="909"/>
      <c r="BJ1116" s="511"/>
      <c r="BK1116" s="482"/>
      <c r="BL1116" s="482"/>
      <c r="BM1116" s="482"/>
      <c r="BN1116" s="482"/>
      <c r="BO1116" s="482"/>
      <c r="BP1116" s="482"/>
      <c r="BQ1116" s="482"/>
      <c r="BR1116" s="482"/>
      <c r="BS1116" s="482"/>
      <c r="BT1116" s="482"/>
      <c r="BU1116" s="482"/>
      <c r="BV1116" s="482"/>
      <c r="BW1116" s="482"/>
      <c r="BX1116" s="482"/>
      <c r="BY1116" s="482"/>
      <c r="BZ1116" s="483"/>
      <c r="CA1116" s="270"/>
      <c r="CB1116" s="3" t="str">
        <f t="shared" si="149"/>
        <v>Riadok bude skrytý.</v>
      </c>
      <c r="CC1116" s="271" t="s">
        <v>832</v>
      </c>
      <c r="CW1116" s="30">
        <f t="shared" si="150"/>
        <v>1</v>
      </c>
      <c r="CX1116" s="30">
        <f t="shared" si="152"/>
        <v>0</v>
      </c>
      <c r="CY1116" s="30">
        <f t="shared" si="153"/>
        <v>0</v>
      </c>
      <c r="CZ1116" s="30">
        <f t="shared" ref="CZ1116:CZ1179" si="155">IF(CC1116="",1,IF(CC1116="Chcem skryť riadok.",0,1))</f>
        <v>1</v>
      </c>
      <c r="DA1116" s="53">
        <f t="shared" si="154"/>
        <v>0</v>
      </c>
      <c r="DB1116" s="2">
        <f t="shared" si="146"/>
        <v>0</v>
      </c>
      <c r="DS1116" s="130">
        <f>SI!BY1116</f>
        <v>183</v>
      </c>
      <c r="DZ1116" s="131">
        <f>SI!BZ1116</f>
        <v>0</v>
      </c>
    </row>
    <row r="1117" spans="1:130" hidden="1" x14ac:dyDescent="0.25">
      <c r="A1117" s="141"/>
      <c r="B1117" s="907"/>
      <c r="C1117" s="908"/>
      <c r="D1117" s="908"/>
      <c r="E1117" s="908"/>
      <c r="F1117" s="908"/>
      <c r="G1117" s="908"/>
      <c r="H1117" s="908"/>
      <c r="I1117" s="908"/>
      <c r="J1117" s="908"/>
      <c r="K1117" s="908"/>
      <c r="L1117" s="908"/>
      <c r="M1117" s="908"/>
      <c r="N1117" s="908"/>
      <c r="O1117" s="908"/>
      <c r="P1117" s="908"/>
      <c r="Q1117" s="908"/>
      <c r="R1117" s="908"/>
      <c r="S1117" s="908"/>
      <c r="T1117" s="908"/>
      <c r="U1117" s="908"/>
      <c r="V1117" s="908"/>
      <c r="W1117" s="908"/>
      <c r="X1117" s="908"/>
      <c r="Y1117" s="908"/>
      <c r="Z1117" s="908"/>
      <c r="AA1117" s="908"/>
      <c r="AB1117" s="908"/>
      <c r="AC1117" s="908"/>
      <c r="AD1117" s="908"/>
      <c r="AE1117" s="908"/>
      <c r="AF1117" s="908"/>
      <c r="AG1117" s="908"/>
      <c r="AH1117" s="908"/>
      <c r="AI1117" s="908"/>
      <c r="AJ1117" s="908"/>
      <c r="AK1117" s="908"/>
      <c r="AL1117" s="908"/>
      <c r="AM1117" s="908"/>
      <c r="AN1117" s="908"/>
      <c r="AO1117" s="908"/>
      <c r="AP1117" s="908"/>
      <c r="AQ1117" s="908"/>
      <c r="AR1117" s="908"/>
      <c r="AS1117" s="908"/>
      <c r="AT1117" s="908"/>
      <c r="AU1117" s="908"/>
      <c r="AV1117" s="908"/>
      <c r="AW1117" s="908"/>
      <c r="AX1117" s="908"/>
      <c r="AY1117" s="908"/>
      <c r="AZ1117" s="908"/>
      <c r="BA1117" s="908"/>
      <c r="BB1117" s="908"/>
      <c r="BC1117" s="908"/>
      <c r="BD1117" s="908"/>
      <c r="BE1117" s="908"/>
      <c r="BF1117" s="908"/>
      <c r="BG1117" s="908"/>
      <c r="BH1117" s="908"/>
      <c r="BI1117" s="909"/>
      <c r="BJ1117" s="511"/>
      <c r="BK1117" s="482"/>
      <c r="BL1117" s="482"/>
      <c r="BM1117" s="482"/>
      <c r="BN1117" s="482"/>
      <c r="BO1117" s="482"/>
      <c r="BP1117" s="482"/>
      <c r="BQ1117" s="482"/>
      <c r="BR1117" s="482"/>
      <c r="BS1117" s="482"/>
      <c r="BT1117" s="482"/>
      <c r="BU1117" s="482"/>
      <c r="BV1117" s="482"/>
      <c r="BW1117" s="482"/>
      <c r="BX1117" s="482"/>
      <c r="BY1117" s="482"/>
      <c r="BZ1117" s="483"/>
      <c r="CA1117" s="270"/>
      <c r="CB1117" s="3" t="str">
        <f t="shared" si="149"/>
        <v>Riadok bude skrytý.</v>
      </c>
      <c r="CC1117" s="271" t="s">
        <v>832</v>
      </c>
      <c r="CW1117" s="30">
        <f t="shared" si="150"/>
        <v>1</v>
      </c>
      <c r="CX1117" s="30">
        <f t="shared" si="152"/>
        <v>0</v>
      </c>
      <c r="CY1117" s="30">
        <f t="shared" si="153"/>
        <v>0</v>
      </c>
      <c r="CZ1117" s="30">
        <f t="shared" si="155"/>
        <v>1</v>
      </c>
      <c r="DA1117" s="53">
        <f t="shared" si="154"/>
        <v>0</v>
      </c>
      <c r="DB1117" s="2">
        <f t="shared" si="146"/>
        <v>0</v>
      </c>
      <c r="DS1117" s="130">
        <f>SI!BY1117</f>
        <v>1041</v>
      </c>
      <c r="DZ1117" s="131">
        <f>SI!BZ1117</f>
        <v>0</v>
      </c>
    </row>
    <row r="1118" spans="1:130" hidden="1" x14ac:dyDescent="0.25">
      <c r="A1118" s="141"/>
      <c r="B1118" s="907"/>
      <c r="C1118" s="908"/>
      <c r="D1118" s="908"/>
      <c r="E1118" s="908"/>
      <c r="F1118" s="908"/>
      <c r="G1118" s="908"/>
      <c r="H1118" s="908"/>
      <c r="I1118" s="908"/>
      <c r="J1118" s="908"/>
      <c r="K1118" s="908"/>
      <c r="L1118" s="908"/>
      <c r="M1118" s="908"/>
      <c r="N1118" s="908"/>
      <c r="O1118" s="908"/>
      <c r="P1118" s="908"/>
      <c r="Q1118" s="908"/>
      <c r="R1118" s="908"/>
      <c r="S1118" s="908"/>
      <c r="T1118" s="908"/>
      <c r="U1118" s="908"/>
      <c r="V1118" s="908"/>
      <c r="W1118" s="908"/>
      <c r="X1118" s="908"/>
      <c r="Y1118" s="908"/>
      <c r="Z1118" s="908"/>
      <c r="AA1118" s="908"/>
      <c r="AB1118" s="908"/>
      <c r="AC1118" s="908"/>
      <c r="AD1118" s="908"/>
      <c r="AE1118" s="908"/>
      <c r="AF1118" s="908"/>
      <c r="AG1118" s="908"/>
      <c r="AH1118" s="908"/>
      <c r="AI1118" s="908"/>
      <c r="AJ1118" s="908"/>
      <c r="AK1118" s="908"/>
      <c r="AL1118" s="908"/>
      <c r="AM1118" s="908"/>
      <c r="AN1118" s="908"/>
      <c r="AO1118" s="908"/>
      <c r="AP1118" s="908"/>
      <c r="AQ1118" s="908"/>
      <c r="AR1118" s="908"/>
      <c r="AS1118" s="908"/>
      <c r="AT1118" s="908"/>
      <c r="AU1118" s="908"/>
      <c r="AV1118" s="908"/>
      <c r="AW1118" s="908"/>
      <c r="AX1118" s="908"/>
      <c r="AY1118" s="908"/>
      <c r="AZ1118" s="908"/>
      <c r="BA1118" s="908"/>
      <c r="BB1118" s="908"/>
      <c r="BC1118" s="908"/>
      <c r="BD1118" s="908"/>
      <c r="BE1118" s="908"/>
      <c r="BF1118" s="908"/>
      <c r="BG1118" s="908"/>
      <c r="BH1118" s="908"/>
      <c r="BI1118" s="909"/>
      <c r="BJ1118" s="511"/>
      <c r="BK1118" s="482"/>
      <c r="BL1118" s="482"/>
      <c r="BM1118" s="482"/>
      <c r="BN1118" s="482"/>
      <c r="BO1118" s="482"/>
      <c r="BP1118" s="482"/>
      <c r="BQ1118" s="482"/>
      <c r="BR1118" s="482"/>
      <c r="BS1118" s="482"/>
      <c r="BT1118" s="482"/>
      <c r="BU1118" s="482"/>
      <c r="BV1118" s="482"/>
      <c r="BW1118" s="482"/>
      <c r="BX1118" s="482"/>
      <c r="BY1118" s="482"/>
      <c r="BZ1118" s="483"/>
      <c r="CA1118" s="270"/>
      <c r="CB1118" s="3" t="str">
        <f t="shared" si="149"/>
        <v>Riadok bude skrytý.</v>
      </c>
      <c r="CC1118" s="271" t="s">
        <v>832</v>
      </c>
      <c r="CW1118" s="30">
        <f t="shared" si="150"/>
        <v>1</v>
      </c>
      <c r="CX1118" s="30">
        <f t="shared" si="152"/>
        <v>0</v>
      </c>
      <c r="CY1118" s="30">
        <f t="shared" si="153"/>
        <v>0</v>
      </c>
      <c r="CZ1118" s="30">
        <f t="shared" si="155"/>
        <v>1</v>
      </c>
      <c r="DA1118" s="53">
        <f t="shared" si="154"/>
        <v>0</v>
      </c>
      <c r="DB1118" s="2">
        <f t="shared" si="146"/>
        <v>0</v>
      </c>
      <c r="DS1118" s="130">
        <f>SI!BY1118</f>
        <v>144</v>
      </c>
      <c r="DZ1118" s="131">
        <f>SI!BZ1118</f>
        <v>0</v>
      </c>
    </row>
    <row r="1119" spans="1:130" hidden="1" x14ac:dyDescent="0.25">
      <c r="A1119" s="141"/>
      <c r="B1119" s="975"/>
      <c r="C1119" s="976"/>
      <c r="D1119" s="976"/>
      <c r="E1119" s="976"/>
      <c r="F1119" s="976"/>
      <c r="G1119" s="976"/>
      <c r="H1119" s="976"/>
      <c r="I1119" s="976"/>
      <c r="J1119" s="976"/>
      <c r="K1119" s="976"/>
      <c r="L1119" s="976"/>
      <c r="M1119" s="976"/>
      <c r="N1119" s="976"/>
      <c r="O1119" s="976"/>
      <c r="P1119" s="976"/>
      <c r="Q1119" s="976"/>
      <c r="R1119" s="976"/>
      <c r="S1119" s="976"/>
      <c r="T1119" s="976"/>
      <c r="U1119" s="976"/>
      <c r="V1119" s="976"/>
      <c r="W1119" s="976"/>
      <c r="X1119" s="976"/>
      <c r="Y1119" s="976"/>
      <c r="Z1119" s="976"/>
      <c r="AA1119" s="976"/>
      <c r="AB1119" s="976"/>
      <c r="AC1119" s="976"/>
      <c r="AD1119" s="976"/>
      <c r="AE1119" s="976"/>
      <c r="AF1119" s="976"/>
      <c r="AG1119" s="976"/>
      <c r="AH1119" s="976"/>
      <c r="AI1119" s="976"/>
      <c r="AJ1119" s="976"/>
      <c r="AK1119" s="976"/>
      <c r="AL1119" s="976"/>
      <c r="AM1119" s="976"/>
      <c r="AN1119" s="976"/>
      <c r="AO1119" s="976"/>
      <c r="AP1119" s="976"/>
      <c r="AQ1119" s="976"/>
      <c r="AR1119" s="976"/>
      <c r="AS1119" s="976"/>
      <c r="AT1119" s="976"/>
      <c r="AU1119" s="976"/>
      <c r="AV1119" s="976"/>
      <c r="AW1119" s="976"/>
      <c r="AX1119" s="976"/>
      <c r="AY1119" s="976"/>
      <c r="AZ1119" s="976"/>
      <c r="BA1119" s="976"/>
      <c r="BB1119" s="976"/>
      <c r="BC1119" s="976"/>
      <c r="BD1119" s="976"/>
      <c r="BE1119" s="976"/>
      <c r="BF1119" s="976"/>
      <c r="BG1119" s="976"/>
      <c r="BH1119" s="976"/>
      <c r="BI1119" s="977"/>
      <c r="BJ1119" s="454"/>
      <c r="BK1119" s="455"/>
      <c r="BL1119" s="455"/>
      <c r="BM1119" s="455"/>
      <c r="BN1119" s="455"/>
      <c r="BO1119" s="455"/>
      <c r="BP1119" s="455"/>
      <c r="BQ1119" s="455"/>
      <c r="BR1119" s="455"/>
      <c r="BS1119" s="455"/>
      <c r="BT1119" s="455"/>
      <c r="BU1119" s="455"/>
      <c r="BV1119" s="455"/>
      <c r="BW1119" s="455"/>
      <c r="BX1119" s="455"/>
      <c r="BY1119" s="455"/>
      <c r="BZ1119" s="456"/>
      <c r="CA1119" s="270"/>
      <c r="CB1119" s="3" t="str">
        <f t="shared" si="149"/>
        <v>Riadok bude skrytý.</v>
      </c>
      <c r="CC1119" s="271" t="s">
        <v>832</v>
      </c>
      <c r="CW1119" s="30">
        <f t="shared" si="150"/>
        <v>1</v>
      </c>
      <c r="CX1119" s="30">
        <f t="shared" si="152"/>
        <v>0</v>
      </c>
      <c r="CZ1119" s="30">
        <f t="shared" si="155"/>
        <v>1</v>
      </c>
      <c r="DA1119" s="52">
        <f t="shared" ref="DA1119:DA1124" si="156">+IF(CW1119*CX1119=0,0,IF(CZ1119=0,0,1))</f>
        <v>0</v>
      </c>
      <c r="DB1119" s="2">
        <f t="shared" si="146"/>
        <v>0</v>
      </c>
      <c r="DS1119" s="130">
        <f>SI!BY1119</f>
        <v>586</v>
      </c>
      <c r="DZ1119" s="131">
        <f>SI!BZ1119</f>
        <v>0</v>
      </c>
    </row>
    <row r="1120" spans="1:130" hidden="1" x14ac:dyDescent="0.25">
      <c r="A1120" s="141"/>
      <c r="CA1120" s="270"/>
      <c r="CB1120" s="3" t="str">
        <f t="shared" si="149"/>
        <v>Riadok bude skrytý.</v>
      </c>
      <c r="CC1120" s="271" t="s">
        <v>832</v>
      </c>
      <c r="CW1120" s="30">
        <f t="shared" si="150"/>
        <v>1</v>
      </c>
      <c r="CX1120" s="30">
        <f t="shared" si="152"/>
        <v>0</v>
      </c>
      <c r="CZ1120" s="30">
        <f t="shared" si="155"/>
        <v>1</v>
      </c>
      <c r="DA1120" s="52">
        <f t="shared" si="156"/>
        <v>0</v>
      </c>
      <c r="DB1120" s="2">
        <f t="shared" si="146"/>
        <v>0</v>
      </c>
      <c r="DS1120" s="130">
        <f>SI!BY1120</f>
        <v>131</v>
      </c>
      <c r="DZ1120" s="131">
        <f>SI!BZ1120</f>
        <v>0</v>
      </c>
    </row>
    <row r="1121" spans="1:130" hidden="1" x14ac:dyDescent="0.25">
      <c r="A1121" s="141"/>
      <c r="B1121" s="137" t="s">
        <v>96</v>
      </c>
      <c r="J1121" s="378" t="s">
        <v>97</v>
      </c>
      <c r="K1121" s="378"/>
      <c r="L1121" s="378"/>
      <c r="M1121" s="378"/>
      <c r="N1121" s="378"/>
      <c r="O1121" s="137" t="str">
        <f>+IF($K$52&lt;&gt;"",IF(INT(SQRT((CODE(MID($K$52,1,1)))))*(IF(SI!EE1121="",1,SI!EE1121))+LEN(SI!J5)=DS1121,"vo svojej evidencii hmotný majetok, ku ktorému tvorila opravné položky.","NEPOVOLENÉ POUŽITIE!"),"NEPOVOLENÉ POUŽITIE!")</f>
        <v>vo svojej evidencii hmotný majetok, ku ktorému tvorila opravné položky.</v>
      </c>
      <c r="P1121" s="38"/>
      <c r="CA1121" s="265" t="s">
        <v>773</v>
      </c>
      <c r="CB1121" s="3" t="str">
        <f t="shared" si="149"/>
        <v>Riadok bude skrytý.</v>
      </c>
      <c r="CC1121" s="271" t="s">
        <v>832</v>
      </c>
      <c r="CF1121" s="13"/>
      <c r="CW1121" s="30">
        <f t="shared" si="150"/>
        <v>1</v>
      </c>
      <c r="CX1121" s="30">
        <f>+IF($J$1121="nemá",1,1)</f>
        <v>1</v>
      </c>
      <c r="CY1121" s="43"/>
      <c r="CZ1121" s="30">
        <f t="shared" si="155"/>
        <v>1</v>
      </c>
      <c r="DA1121" s="52">
        <f t="shared" si="156"/>
        <v>1</v>
      </c>
      <c r="DB1121" s="2">
        <f t="shared" si="146"/>
        <v>0</v>
      </c>
      <c r="DS1121" s="130">
        <f>SI!BY1121</f>
        <v>15</v>
      </c>
      <c r="DZ1121" s="131">
        <f>SI!BZ1121</f>
        <v>0</v>
      </c>
    </row>
    <row r="1122" spans="1:130" hidden="1" x14ac:dyDescent="0.25">
      <c r="A1122" s="141"/>
      <c r="B1122" s="137" t="str">
        <f>+IF(J1121="má","Údaje o opravných položkách k dlhodobému hmotnému majetku sú uvedené v tabuľke:","")</f>
        <v>Údaje o opravných položkách k dlhodobému hmotnému majetku sú uvedené v tabuľke:</v>
      </c>
      <c r="CA1122" s="270"/>
      <c r="CB1122" s="3" t="str">
        <f t="shared" si="149"/>
        <v>Riadok bude skrytý.</v>
      </c>
      <c r="CC1122" s="271" t="s">
        <v>832</v>
      </c>
      <c r="CF1122" s="13"/>
      <c r="CW1122" s="30">
        <f t="shared" ref="CW1122:CW1150" si="157">+IF($AB$1024="neeviduje",0,1)</f>
        <v>1</v>
      </c>
      <c r="CX1122" s="30">
        <f>+IF($J$1121="nemá",1,1)</f>
        <v>1</v>
      </c>
      <c r="CY1122" s="43"/>
      <c r="CZ1122" s="30">
        <f t="shared" si="155"/>
        <v>1</v>
      </c>
      <c r="DA1122" s="52">
        <f t="shared" si="156"/>
        <v>1</v>
      </c>
      <c r="DB1122" s="2">
        <f t="shared" si="146"/>
        <v>0</v>
      </c>
      <c r="DS1122" s="130">
        <f>SI!BY1122</f>
        <v>154</v>
      </c>
      <c r="DZ1122" s="131">
        <f>SI!BZ1122</f>
        <v>0</v>
      </c>
    </row>
    <row r="1123" spans="1:130" hidden="1" x14ac:dyDescent="0.25">
      <c r="A1123" s="141"/>
      <c r="CA1123" s="270"/>
      <c r="CB1123" s="3" t="str">
        <f t="shared" si="149"/>
        <v>Riadok bude skrytý.</v>
      </c>
      <c r="CC1123" s="271" t="s">
        <v>832</v>
      </c>
      <c r="CW1123" s="30">
        <f t="shared" si="157"/>
        <v>1</v>
      </c>
      <c r="CX1123" s="30">
        <f t="shared" ref="CX1123:CX1135" si="158">+IF($J$1121="nemá",0,1)</f>
        <v>1</v>
      </c>
      <c r="CZ1123" s="30">
        <f t="shared" si="155"/>
        <v>1</v>
      </c>
      <c r="DA1123" s="52">
        <f t="shared" si="156"/>
        <v>1</v>
      </c>
      <c r="DB1123" s="2">
        <f t="shared" si="146"/>
        <v>0</v>
      </c>
      <c r="DS1123" s="130">
        <f>SI!BY1123</f>
        <v>194</v>
      </c>
      <c r="DZ1123" s="131">
        <f>SI!BZ1123</f>
        <v>0</v>
      </c>
    </row>
    <row r="1124" spans="1:130" hidden="1" x14ac:dyDescent="0.25">
      <c r="A1124" s="141"/>
      <c r="B1124" s="401" t="s">
        <v>99</v>
      </c>
      <c r="C1124" s="402"/>
      <c r="D1124" s="402"/>
      <c r="E1124" s="402"/>
      <c r="F1124" s="402"/>
      <c r="G1124" s="402"/>
      <c r="H1124" s="402"/>
      <c r="I1124" s="402"/>
      <c r="J1124" s="402"/>
      <c r="K1124" s="402"/>
      <c r="L1124" s="402"/>
      <c r="M1124" s="402"/>
      <c r="N1124" s="402"/>
      <c r="O1124" s="402"/>
      <c r="P1124" s="402"/>
      <c r="Q1124" s="402"/>
      <c r="R1124" s="402"/>
      <c r="S1124" s="402"/>
      <c r="T1124" s="402"/>
      <c r="U1124" s="402"/>
      <c r="V1124" s="402"/>
      <c r="W1124" s="402"/>
      <c r="X1124" s="402"/>
      <c r="Y1124" s="402"/>
      <c r="Z1124" s="402"/>
      <c r="AA1124" s="402"/>
      <c r="AB1124" s="402"/>
      <c r="AC1124" s="402"/>
      <c r="AD1124" s="402"/>
      <c r="AE1124" s="402"/>
      <c r="AF1124" s="402"/>
      <c r="AG1124" s="402"/>
      <c r="AH1124" s="402"/>
      <c r="AI1124" s="402"/>
      <c r="AJ1124" s="402"/>
      <c r="AK1124" s="776"/>
      <c r="AL1124" s="1443" t="s">
        <v>101</v>
      </c>
      <c r="AM1124" s="1444"/>
      <c r="AN1124" s="1444"/>
      <c r="AO1124" s="1444"/>
      <c r="AP1124" s="1444"/>
      <c r="AQ1124" s="1444"/>
      <c r="AR1124" s="1444"/>
      <c r="AS1124" s="1444"/>
      <c r="AT1124" s="1444"/>
      <c r="AU1124" s="1444"/>
      <c r="AV1124" s="1444"/>
      <c r="AW1124" s="1444"/>
      <c r="AX1124" s="1444"/>
      <c r="AY1124" s="1444"/>
      <c r="AZ1124" s="1445"/>
      <c r="BA1124" s="598" t="s">
        <v>100</v>
      </c>
      <c r="BB1124" s="645"/>
      <c r="BC1124" s="645"/>
      <c r="BD1124" s="645"/>
      <c r="BE1124" s="645"/>
      <c r="BF1124" s="645"/>
      <c r="BG1124" s="645"/>
      <c r="BH1124" s="645"/>
      <c r="BI1124" s="645"/>
      <c r="BJ1124" s="645"/>
      <c r="BK1124" s="645"/>
      <c r="BL1124" s="645"/>
      <c r="BM1124" s="645"/>
      <c r="BN1124" s="646"/>
      <c r="BO1124" s="598" t="s">
        <v>102</v>
      </c>
      <c r="BP1124" s="645"/>
      <c r="BQ1124" s="645"/>
      <c r="BR1124" s="645"/>
      <c r="BS1124" s="645"/>
      <c r="BT1124" s="645"/>
      <c r="BU1124" s="645"/>
      <c r="BV1124" s="645"/>
      <c r="BW1124" s="645"/>
      <c r="BX1124" s="645"/>
      <c r="BY1124" s="645"/>
      <c r="BZ1124" s="646"/>
      <c r="CA1124" s="270"/>
      <c r="CB1124" s="3" t="str">
        <f t="shared" si="149"/>
        <v>Riadok bude skrytý.</v>
      </c>
      <c r="CC1124" s="271" t="s">
        <v>832</v>
      </c>
      <c r="CW1124" s="30">
        <f t="shared" si="157"/>
        <v>1</v>
      </c>
      <c r="CX1124" s="30">
        <f t="shared" si="158"/>
        <v>1</v>
      </c>
      <c r="CZ1124" s="30">
        <f t="shared" si="155"/>
        <v>1</v>
      </c>
      <c r="DA1124" s="52">
        <f t="shared" si="156"/>
        <v>1</v>
      </c>
      <c r="DB1124" s="2">
        <f t="shared" si="146"/>
        <v>0</v>
      </c>
      <c r="DS1124" s="130">
        <f>SI!BY1124</f>
        <v>110</v>
      </c>
      <c r="DZ1124" s="131">
        <f>SI!BZ1124</f>
        <v>0</v>
      </c>
    </row>
    <row r="1125" spans="1:130" hidden="1" x14ac:dyDescent="0.25">
      <c r="A1125" s="141"/>
      <c r="B1125" s="1258"/>
      <c r="C1125" s="1259"/>
      <c r="D1125" s="1259"/>
      <c r="E1125" s="1259"/>
      <c r="F1125" s="1259"/>
      <c r="G1125" s="1259"/>
      <c r="H1125" s="1259"/>
      <c r="I1125" s="1259"/>
      <c r="J1125" s="1259"/>
      <c r="K1125" s="1259"/>
      <c r="L1125" s="1259"/>
      <c r="M1125" s="1259"/>
      <c r="N1125" s="1259"/>
      <c r="O1125" s="1259"/>
      <c r="P1125" s="1259"/>
      <c r="Q1125" s="1259"/>
      <c r="R1125" s="1259"/>
      <c r="S1125" s="1259"/>
      <c r="T1125" s="1259"/>
      <c r="U1125" s="1259"/>
      <c r="V1125" s="1259"/>
      <c r="W1125" s="1259"/>
      <c r="X1125" s="1259"/>
      <c r="Y1125" s="1259"/>
      <c r="Z1125" s="1259"/>
      <c r="AA1125" s="1259"/>
      <c r="AB1125" s="1259"/>
      <c r="AC1125" s="1259"/>
      <c r="AD1125" s="1259"/>
      <c r="AE1125" s="1259"/>
      <c r="AF1125" s="1259"/>
      <c r="AG1125" s="1259"/>
      <c r="AH1125" s="1259"/>
      <c r="AI1125" s="1259"/>
      <c r="AJ1125" s="1259"/>
      <c r="AK1125" s="1260"/>
      <c r="AL1125" s="417"/>
      <c r="AM1125" s="418"/>
      <c r="AN1125" s="418"/>
      <c r="AO1125" s="418"/>
      <c r="AP1125" s="418"/>
      <c r="AQ1125" s="418"/>
      <c r="AR1125" s="418"/>
      <c r="AS1125" s="418"/>
      <c r="AT1125" s="418"/>
      <c r="AU1125" s="418"/>
      <c r="AV1125" s="418"/>
      <c r="AW1125" s="418"/>
      <c r="AX1125" s="418"/>
      <c r="AY1125" s="418"/>
      <c r="AZ1125" s="419"/>
      <c r="BA1125" s="417"/>
      <c r="BB1125" s="418"/>
      <c r="BC1125" s="418"/>
      <c r="BD1125" s="418"/>
      <c r="BE1125" s="418"/>
      <c r="BF1125" s="418"/>
      <c r="BG1125" s="418"/>
      <c r="BH1125" s="418"/>
      <c r="BI1125" s="418"/>
      <c r="BJ1125" s="418"/>
      <c r="BK1125" s="418"/>
      <c r="BL1125" s="418"/>
      <c r="BM1125" s="418"/>
      <c r="BN1125" s="418"/>
      <c r="BO1125" s="1222">
        <f t="shared" ref="BO1125:BO1134" si="159">+AL1125-BA1125</f>
        <v>0</v>
      </c>
      <c r="BP1125" s="1223"/>
      <c r="BQ1125" s="1223"/>
      <c r="BR1125" s="1223"/>
      <c r="BS1125" s="1223"/>
      <c r="BT1125" s="1223"/>
      <c r="BU1125" s="1223"/>
      <c r="BV1125" s="1223"/>
      <c r="BW1125" s="1223"/>
      <c r="BX1125" s="1223"/>
      <c r="BY1125" s="1223"/>
      <c r="BZ1125" s="1224"/>
      <c r="CA1125" s="270"/>
      <c r="CB1125" s="3" t="str">
        <f t="shared" si="149"/>
        <v>Riadok bude skrytý.</v>
      </c>
      <c r="CC1125" s="271" t="s">
        <v>832</v>
      </c>
      <c r="CW1125" s="30">
        <f t="shared" si="157"/>
        <v>1</v>
      </c>
      <c r="CX1125" s="30">
        <f t="shared" si="158"/>
        <v>1</v>
      </c>
      <c r="CZ1125" s="30">
        <f>IF(CC1125="",1,IF(CC1125="Chcem skryť riadok.",0,1))</f>
        <v>1</v>
      </c>
      <c r="DA1125" s="52">
        <f>+IF(CW1125*CX1125=0,0,IF(CZ1125=0,0,1))</f>
        <v>1</v>
      </c>
      <c r="DB1125" s="2">
        <f t="shared" si="146"/>
        <v>0</v>
      </c>
      <c r="DS1125" s="130">
        <f>SI!BY1125</f>
        <v>133</v>
      </c>
      <c r="DZ1125" s="131">
        <f>SI!BZ1125</f>
        <v>0</v>
      </c>
    </row>
    <row r="1126" spans="1:130" hidden="1" x14ac:dyDescent="0.25">
      <c r="A1126" s="141"/>
      <c r="B1126" s="1255"/>
      <c r="C1126" s="1256"/>
      <c r="D1126" s="1256"/>
      <c r="E1126" s="1256"/>
      <c r="F1126" s="1256"/>
      <c r="G1126" s="1256"/>
      <c r="H1126" s="1256"/>
      <c r="I1126" s="1256"/>
      <c r="J1126" s="1256"/>
      <c r="K1126" s="1256"/>
      <c r="L1126" s="1256"/>
      <c r="M1126" s="1256"/>
      <c r="N1126" s="1256"/>
      <c r="O1126" s="1256"/>
      <c r="P1126" s="1256"/>
      <c r="Q1126" s="1256"/>
      <c r="R1126" s="1256"/>
      <c r="S1126" s="1256"/>
      <c r="T1126" s="1256"/>
      <c r="U1126" s="1256"/>
      <c r="V1126" s="1256"/>
      <c r="W1126" s="1256"/>
      <c r="X1126" s="1256"/>
      <c r="Y1126" s="1256"/>
      <c r="Z1126" s="1256"/>
      <c r="AA1126" s="1256"/>
      <c r="AB1126" s="1256"/>
      <c r="AC1126" s="1256"/>
      <c r="AD1126" s="1256"/>
      <c r="AE1126" s="1256"/>
      <c r="AF1126" s="1256"/>
      <c r="AG1126" s="1256"/>
      <c r="AH1126" s="1256"/>
      <c r="AI1126" s="1256"/>
      <c r="AJ1126" s="1256"/>
      <c r="AK1126" s="1257"/>
      <c r="AL1126" s="511"/>
      <c r="AM1126" s="482"/>
      <c r="AN1126" s="482"/>
      <c r="AO1126" s="482"/>
      <c r="AP1126" s="482"/>
      <c r="AQ1126" s="482"/>
      <c r="AR1126" s="482"/>
      <c r="AS1126" s="482"/>
      <c r="AT1126" s="482"/>
      <c r="AU1126" s="482"/>
      <c r="AV1126" s="482"/>
      <c r="AW1126" s="482"/>
      <c r="AX1126" s="482"/>
      <c r="AY1126" s="482"/>
      <c r="AZ1126" s="483"/>
      <c r="BA1126" s="511"/>
      <c r="BB1126" s="482"/>
      <c r="BC1126" s="482"/>
      <c r="BD1126" s="482"/>
      <c r="BE1126" s="482"/>
      <c r="BF1126" s="482"/>
      <c r="BG1126" s="482"/>
      <c r="BH1126" s="482"/>
      <c r="BI1126" s="482"/>
      <c r="BJ1126" s="482"/>
      <c r="BK1126" s="482"/>
      <c r="BL1126" s="482"/>
      <c r="BM1126" s="482"/>
      <c r="BN1126" s="482"/>
      <c r="BO1126" s="398">
        <f t="shared" si="159"/>
        <v>0</v>
      </c>
      <c r="BP1126" s="399"/>
      <c r="BQ1126" s="399"/>
      <c r="BR1126" s="399"/>
      <c r="BS1126" s="399"/>
      <c r="BT1126" s="399"/>
      <c r="BU1126" s="399"/>
      <c r="BV1126" s="399"/>
      <c r="BW1126" s="399"/>
      <c r="BX1126" s="399"/>
      <c r="BY1126" s="399"/>
      <c r="BZ1126" s="400"/>
      <c r="CA1126" s="270"/>
      <c r="CB1126" s="3" t="str">
        <f t="shared" si="149"/>
        <v>Riadok bude skrytý.</v>
      </c>
      <c r="CC1126" s="271" t="s">
        <v>832</v>
      </c>
      <c r="CW1126" s="30">
        <f t="shared" si="157"/>
        <v>1</v>
      </c>
      <c r="CX1126" s="30">
        <f t="shared" si="158"/>
        <v>1</v>
      </c>
      <c r="CY1126" s="30">
        <f t="shared" ref="CY1126:CY1133" si="160">+IF(B1126="",0,1)</f>
        <v>0</v>
      </c>
      <c r="CZ1126" s="30">
        <f t="shared" si="155"/>
        <v>1</v>
      </c>
      <c r="DA1126" s="53">
        <f t="shared" ref="DA1126:DA1133" si="161">+IF(CW1126*CX1126*CY1126=0,0,IF(CZ1126=0,0,1))</f>
        <v>0</v>
      </c>
      <c r="DB1126" s="2">
        <f t="shared" si="146"/>
        <v>0</v>
      </c>
      <c r="DS1126" s="130">
        <f>SI!BY1126</f>
        <v>6</v>
      </c>
      <c r="DZ1126" s="131">
        <f>SI!BZ1126</f>
        <v>0</v>
      </c>
    </row>
    <row r="1127" spans="1:130" hidden="1" x14ac:dyDescent="0.25">
      <c r="A1127" s="141"/>
      <c r="B1127" s="1255"/>
      <c r="C1127" s="1256"/>
      <c r="D1127" s="1256"/>
      <c r="E1127" s="1256"/>
      <c r="F1127" s="1256"/>
      <c r="G1127" s="1256"/>
      <c r="H1127" s="1256"/>
      <c r="I1127" s="1256"/>
      <c r="J1127" s="1256"/>
      <c r="K1127" s="1256"/>
      <c r="L1127" s="1256"/>
      <c r="M1127" s="1256"/>
      <c r="N1127" s="1256"/>
      <c r="O1127" s="1256"/>
      <c r="P1127" s="1256"/>
      <c r="Q1127" s="1256"/>
      <c r="R1127" s="1256"/>
      <c r="S1127" s="1256"/>
      <c r="T1127" s="1256"/>
      <c r="U1127" s="1256"/>
      <c r="V1127" s="1256"/>
      <c r="W1127" s="1256"/>
      <c r="X1127" s="1256"/>
      <c r="Y1127" s="1256"/>
      <c r="Z1127" s="1256"/>
      <c r="AA1127" s="1256"/>
      <c r="AB1127" s="1256"/>
      <c r="AC1127" s="1256"/>
      <c r="AD1127" s="1256"/>
      <c r="AE1127" s="1256"/>
      <c r="AF1127" s="1256"/>
      <c r="AG1127" s="1256"/>
      <c r="AH1127" s="1256"/>
      <c r="AI1127" s="1256"/>
      <c r="AJ1127" s="1256"/>
      <c r="AK1127" s="1257"/>
      <c r="AL1127" s="511"/>
      <c r="AM1127" s="482"/>
      <c r="AN1127" s="482"/>
      <c r="AO1127" s="482"/>
      <c r="AP1127" s="482"/>
      <c r="AQ1127" s="482"/>
      <c r="AR1127" s="482"/>
      <c r="AS1127" s="482"/>
      <c r="AT1127" s="482"/>
      <c r="AU1127" s="482"/>
      <c r="AV1127" s="482"/>
      <c r="AW1127" s="482"/>
      <c r="AX1127" s="482"/>
      <c r="AY1127" s="482"/>
      <c r="AZ1127" s="483"/>
      <c r="BA1127" s="511"/>
      <c r="BB1127" s="482"/>
      <c r="BC1127" s="482"/>
      <c r="BD1127" s="482"/>
      <c r="BE1127" s="482"/>
      <c r="BF1127" s="482"/>
      <c r="BG1127" s="482"/>
      <c r="BH1127" s="482"/>
      <c r="BI1127" s="482"/>
      <c r="BJ1127" s="482"/>
      <c r="BK1127" s="482"/>
      <c r="BL1127" s="482"/>
      <c r="BM1127" s="482"/>
      <c r="BN1127" s="482"/>
      <c r="BO1127" s="398">
        <f t="shared" si="159"/>
        <v>0</v>
      </c>
      <c r="BP1127" s="399"/>
      <c r="BQ1127" s="399"/>
      <c r="BR1127" s="399"/>
      <c r="BS1127" s="399"/>
      <c r="BT1127" s="399"/>
      <c r="BU1127" s="399"/>
      <c r="BV1127" s="399"/>
      <c r="BW1127" s="399"/>
      <c r="BX1127" s="399"/>
      <c r="BY1127" s="399"/>
      <c r="BZ1127" s="400"/>
      <c r="CA1127" s="270"/>
      <c r="CB1127" s="3" t="str">
        <f t="shared" si="149"/>
        <v>Riadok bude skrytý.</v>
      </c>
      <c r="CC1127" s="271" t="s">
        <v>832</v>
      </c>
      <c r="CW1127" s="30">
        <f t="shared" si="157"/>
        <v>1</v>
      </c>
      <c r="CX1127" s="30">
        <f t="shared" si="158"/>
        <v>1</v>
      </c>
      <c r="CY1127" s="30">
        <f t="shared" si="160"/>
        <v>0</v>
      </c>
      <c r="CZ1127" s="30">
        <f t="shared" si="155"/>
        <v>1</v>
      </c>
      <c r="DA1127" s="53">
        <f t="shared" si="161"/>
        <v>0</v>
      </c>
      <c r="DB1127" s="2">
        <f t="shared" si="146"/>
        <v>0</v>
      </c>
      <c r="DS1127" s="130">
        <f>SI!BY1127</f>
        <v>132</v>
      </c>
      <c r="DZ1127" s="131">
        <f>SI!BZ1127</f>
        <v>0</v>
      </c>
    </row>
    <row r="1128" spans="1:130" hidden="1" x14ac:dyDescent="0.25">
      <c r="A1128" s="141"/>
      <c r="B1128" s="1255"/>
      <c r="C1128" s="1256"/>
      <c r="D1128" s="1256"/>
      <c r="E1128" s="1256"/>
      <c r="F1128" s="1256"/>
      <c r="G1128" s="1256"/>
      <c r="H1128" s="1256"/>
      <c r="I1128" s="1256"/>
      <c r="J1128" s="1256"/>
      <c r="K1128" s="1256"/>
      <c r="L1128" s="1256"/>
      <c r="M1128" s="1256"/>
      <c r="N1128" s="1256"/>
      <c r="O1128" s="1256"/>
      <c r="P1128" s="1256"/>
      <c r="Q1128" s="1256"/>
      <c r="R1128" s="1256"/>
      <c r="S1128" s="1256"/>
      <c r="T1128" s="1256"/>
      <c r="U1128" s="1256"/>
      <c r="V1128" s="1256"/>
      <c r="W1128" s="1256"/>
      <c r="X1128" s="1256"/>
      <c r="Y1128" s="1256"/>
      <c r="Z1128" s="1256"/>
      <c r="AA1128" s="1256"/>
      <c r="AB1128" s="1256"/>
      <c r="AC1128" s="1256"/>
      <c r="AD1128" s="1256"/>
      <c r="AE1128" s="1256"/>
      <c r="AF1128" s="1256"/>
      <c r="AG1128" s="1256"/>
      <c r="AH1128" s="1256"/>
      <c r="AI1128" s="1256"/>
      <c r="AJ1128" s="1256"/>
      <c r="AK1128" s="1257"/>
      <c r="AL1128" s="511"/>
      <c r="AM1128" s="482"/>
      <c r="AN1128" s="482"/>
      <c r="AO1128" s="482"/>
      <c r="AP1128" s="482"/>
      <c r="AQ1128" s="482"/>
      <c r="AR1128" s="482"/>
      <c r="AS1128" s="482"/>
      <c r="AT1128" s="482"/>
      <c r="AU1128" s="482"/>
      <c r="AV1128" s="482"/>
      <c r="AW1128" s="482"/>
      <c r="AX1128" s="482"/>
      <c r="AY1128" s="482"/>
      <c r="AZ1128" s="483"/>
      <c r="BA1128" s="511"/>
      <c r="BB1128" s="482"/>
      <c r="BC1128" s="482"/>
      <c r="BD1128" s="482"/>
      <c r="BE1128" s="482"/>
      <c r="BF1128" s="482"/>
      <c r="BG1128" s="482"/>
      <c r="BH1128" s="482"/>
      <c r="BI1128" s="482"/>
      <c r="BJ1128" s="482"/>
      <c r="BK1128" s="482"/>
      <c r="BL1128" s="482"/>
      <c r="BM1128" s="482"/>
      <c r="BN1128" s="482"/>
      <c r="BO1128" s="398">
        <f t="shared" si="159"/>
        <v>0</v>
      </c>
      <c r="BP1128" s="399"/>
      <c r="BQ1128" s="399"/>
      <c r="BR1128" s="399"/>
      <c r="BS1128" s="399"/>
      <c r="BT1128" s="399"/>
      <c r="BU1128" s="399"/>
      <c r="BV1128" s="399"/>
      <c r="BW1128" s="399"/>
      <c r="BX1128" s="399"/>
      <c r="BY1128" s="399"/>
      <c r="BZ1128" s="400"/>
      <c r="CA1128" s="270"/>
      <c r="CB1128" s="3" t="str">
        <f t="shared" si="149"/>
        <v>Riadok bude skrytý.</v>
      </c>
      <c r="CC1128" s="271" t="s">
        <v>832</v>
      </c>
      <c r="CW1128" s="30">
        <f t="shared" si="157"/>
        <v>1</v>
      </c>
      <c r="CX1128" s="30">
        <f t="shared" si="158"/>
        <v>1</v>
      </c>
      <c r="CY1128" s="30">
        <f t="shared" si="160"/>
        <v>0</v>
      </c>
      <c r="CZ1128" s="30">
        <f t="shared" si="155"/>
        <v>1</v>
      </c>
      <c r="DA1128" s="53">
        <f t="shared" si="161"/>
        <v>0</v>
      </c>
      <c r="DB1128" s="2">
        <f t="shared" ref="DB1128:DB1191" si="162">+IF($CD$1="malé",0,DA1128)</f>
        <v>0</v>
      </c>
      <c r="DS1128" s="130">
        <f>SI!BY1128</f>
        <v>118</v>
      </c>
      <c r="DZ1128" s="131">
        <f>SI!BZ1128</f>
        <v>0</v>
      </c>
    </row>
    <row r="1129" spans="1:130" hidden="1" x14ac:dyDescent="0.25">
      <c r="A1129" s="141"/>
      <c r="B1129" s="1255"/>
      <c r="C1129" s="1256"/>
      <c r="D1129" s="1256"/>
      <c r="E1129" s="1256"/>
      <c r="F1129" s="1256"/>
      <c r="G1129" s="1256"/>
      <c r="H1129" s="1256"/>
      <c r="I1129" s="1256"/>
      <c r="J1129" s="1256"/>
      <c r="K1129" s="1256"/>
      <c r="L1129" s="1256"/>
      <c r="M1129" s="1256"/>
      <c r="N1129" s="1256"/>
      <c r="O1129" s="1256"/>
      <c r="P1129" s="1256"/>
      <c r="Q1129" s="1256"/>
      <c r="R1129" s="1256"/>
      <c r="S1129" s="1256"/>
      <c r="T1129" s="1256"/>
      <c r="U1129" s="1256"/>
      <c r="V1129" s="1256"/>
      <c r="W1129" s="1256"/>
      <c r="X1129" s="1256"/>
      <c r="Y1129" s="1256"/>
      <c r="Z1129" s="1256"/>
      <c r="AA1129" s="1256"/>
      <c r="AB1129" s="1256"/>
      <c r="AC1129" s="1256"/>
      <c r="AD1129" s="1256"/>
      <c r="AE1129" s="1256"/>
      <c r="AF1129" s="1256"/>
      <c r="AG1129" s="1256"/>
      <c r="AH1129" s="1256"/>
      <c r="AI1129" s="1256"/>
      <c r="AJ1129" s="1256"/>
      <c r="AK1129" s="1257"/>
      <c r="AL1129" s="511"/>
      <c r="AM1129" s="482"/>
      <c r="AN1129" s="482"/>
      <c r="AO1129" s="482"/>
      <c r="AP1129" s="482"/>
      <c r="AQ1129" s="482"/>
      <c r="AR1129" s="482"/>
      <c r="AS1129" s="482"/>
      <c r="AT1129" s="482"/>
      <c r="AU1129" s="482"/>
      <c r="AV1129" s="482"/>
      <c r="AW1129" s="482"/>
      <c r="AX1129" s="482"/>
      <c r="AY1129" s="482"/>
      <c r="AZ1129" s="483"/>
      <c r="BA1129" s="511"/>
      <c r="BB1129" s="482"/>
      <c r="BC1129" s="482"/>
      <c r="BD1129" s="482"/>
      <c r="BE1129" s="482"/>
      <c r="BF1129" s="482"/>
      <c r="BG1129" s="482"/>
      <c r="BH1129" s="482"/>
      <c r="BI1129" s="482"/>
      <c r="BJ1129" s="482"/>
      <c r="BK1129" s="482"/>
      <c r="BL1129" s="482"/>
      <c r="BM1129" s="482"/>
      <c r="BN1129" s="482"/>
      <c r="BO1129" s="398">
        <f t="shared" si="159"/>
        <v>0</v>
      </c>
      <c r="BP1129" s="399"/>
      <c r="BQ1129" s="399"/>
      <c r="BR1129" s="399"/>
      <c r="BS1129" s="399"/>
      <c r="BT1129" s="399"/>
      <c r="BU1129" s="399"/>
      <c r="BV1129" s="399"/>
      <c r="BW1129" s="399"/>
      <c r="BX1129" s="399"/>
      <c r="BY1129" s="399"/>
      <c r="BZ1129" s="400"/>
      <c r="CA1129" s="270"/>
      <c r="CB1129" s="3" t="str">
        <f t="shared" si="149"/>
        <v>Riadok bude skrytý.</v>
      </c>
      <c r="CC1129" s="271" t="s">
        <v>832</v>
      </c>
      <c r="CW1129" s="30">
        <f t="shared" si="157"/>
        <v>1</v>
      </c>
      <c r="CX1129" s="30">
        <f t="shared" si="158"/>
        <v>1</v>
      </c>
      <c r="CY1129" s="30">
        <f t="shared" si="160"/>
        <v>0</v>
      </c>
      <c r="CZ1129" s="30">
        <f t="shared" si="155"/>
        <v>1</v>
      </c>
      <c r="DA1129" s="53">
        <f t="shared" si="161"/>
        <v>0</v>
      </c>
      <c r="DB1129" s="2">
        <f t="shared" si="162"/>
        <v>0</v>
      </c>
      <c r="DS1129" s="130">
        <f>SI!BY1129</f>
        <v>139</v>
      </c>
      <c r="DZ1129" s="131">
        <f>SI!BZ1129</f>
        <v>0</v>
      </c>
    </row>
    <row r="1130" spans="1:130" hidden="1" x14ac:dyDescent="0.25">
      <c r="A1130" s="141"/>
      <c r="B1130" s="1255"/>
      <c r="C1130" s="1256"/>
      <c r="D1130" s="1256"/>
      <c r="E1130" s="1256"/>
      <c r="F1130" s="1256"/>
      <c r="G1130" s="1256"/>
      <c r="H1130" s="1256"/>
      <c r="I1130" s="1256"/>
      <c r="J1130" s="1256"/>
      <c r="K1130" s="1256"/>
      <c r="L1130" s="1256"/>
      <c r="M1130" s="1256"/>
      <c r="N1130" s="1256"/>
      <c r="O1130" s="1256"/>
      <c r="P1130" s="1256"/>
      <c r="Q1130" s="1256"/>
      <c r="R1130" s="1256"/>
      <c r="S1130" s="1256"/>
      <c r="T1130" s="1256"/>
      <c r="U1130" s="1256"/>
      <c r="V1130" s="1256"/>
      <c r="W1130" s="1256"/>
      <c r="X1130" s="1256"/>
      <c r="Y1130" s="1256"/>
      <c r="Z1130" s="1256"/>
      <c r="AA1130" s="1256"/>
      <c r="AB1130" s="1256"/>
      <c r="AC1130" s="1256"/>
      <c r="AD1130" s="1256"/>
      <c r="AE1130" s="1256"/>
      <c r="AF1130" s="1256"/>
      <c r="AG1130" s="1256"/>
      <c r="AH1130" s="1256"/>
      <c r="AI1130" s="1256"/>
      <c r="AJ1130" s="1256"/>
      <c r="AK1130" s="1257"/>
      <c r="AL1130" s="511"/>
      <c r="AM1130" s="482"/>
      <c r="AN1130" s="482"/>
      <c r="AO1130" s="482"/>
      <c r="AP1130" s="482"/>
      <c r="AQ1130" s="482"/>
      <c r="AR1130" s="482"/>
      <c r="AS1130" s="482"/>
      <c r="AT1130" s="482"/>
      <c r="AU1130" s="482"/>
      <c r="AV1130" s="482"/>
      <c r="AW1130" s="482"/>
      <c r="AX1130" s="482"/>
      <c r="AY1130" s="482"/>
      <c r="AZ1130" s="483"/>
      <c r="BA1130" s="511"/>
      <c r="BB1130" s="482"/>
      <c r="BC1130" s="482"/>
      <c r="BD1130" s="482"/>
      <c r="BE1130" s="482"/>
      <c r="BF1130" s="482"/>
      <c r="BG1130" s="482"/>
      <c r="BH1130" s="482"/>
      <c r="BI1130" s="482"/>
      <c r="BJ1130" s="482"/>
      <c r="BK1130" s="482"/>
      <c r="BL1130" s="482"/>
      <c r="BM1130" s="482"/>
      <c r="BN1130" s="482"/>
      <c r="BO1130" s="398">
        <f t="shared" si="159"/>
        <v>0</v>
      </c>
      <c r="BP1130" s="399"/>
      <c r="BQ1130" s="399"/>
      <c r="BR1130" s="399"/>
      <c r="BS1130" s="399"/>
      <c r="BT1130" s="399"/>
      <c r="BU1130" s="399"/>
      <c r="BV1130" s="399"/>
      <c r="BW1130" s="399"/>
      <c r="BX1130" s="399"/>
      <c r="BY1130" s="399"/>
      <c r="BZ1130" s="400"/>
      <c r="CA1130" s="270"/>
      <c r="CB1130" s="3" t="str">
        <f t="shared" si="149"/>
        <v>Riadok bude skrytý.</v>
      </c>
      <c r="CC1130" s="271" t="s">
        <v>832</v>
      </c>
      <c r="CW1130" s="30">
        <f t="shared" si="157"/>
        <v>1</v>
      </c>
      <c r="CX1130" s="30">
        <f t="shared" si="158"/>
        <v>1</v>
      </c>
      <c r="CY1130" s="30">
        <f t="shared" si="160"/>
        <v>0</v>
      </c>
      <c r="CZ1130" s="30">
        <f t="shared" si="155"/>
        <v>1</v>
      </c>
      <c r="DA1130" s="53">
        <f t="shared" si="161"/>
        <v>0</v>
      </c>
      <c r="DB1130" s="2">
        <f t="shared" si="162"/>
        <v>0</v>
      </c>
      <c r="DS1130" s="130">
        <f>SI!BY1130</f>
        <v>119</v>
      </c>
      <c r="DZ1130" s="131">
        <f>SI!BZ1130</f>
        <v>0</v>
      </c>
    </row>
    <row r="1131" spans="1:130" hidden="1" x14ac:dyDescent="0.25">
      <c r="A1131" s="141"/>
      <c r="B1131" s="1255"/>
      <c r="C1131" s="1256"/>
      <c r="D1131" s="1256"/>
      <c r="E1131" s="1256"/>
      <c r="F1131" s="1256"/>
      <c r="G1131" s="1256"/>
      <c r="H1131" s="1256"/>
      <c r="I1131" s="1256"/>
      <c r="J1131" s="1256"/>
      <c r="K1131" s="1256"/>
      <c r="L1131" s="1256"/>
      <c r="M1131" s="1256"/>
      <c r="N1131" s="1256"/>
      <c r="O1131" s="1256"/>
      <c r="P1131" s="1256"/>
      <c r="Q1131" s="1256"/>
      <c r="R1131" s="1256"/>
      <c r="S1131" s="1256"/>
      <c r="T1131" s="1256"/>
      <c r="U1131" s="1256"/>
      <c r="V1131" s="1256"/>
      <c r="W1131" s="1256"/>
      <c r="X1131" s="1256"/>
      <c r="Y1131" s="1256"/>
      <c r="Z1131" s="1256"/>
      <c r="AA1131" s="1256"/>
      <c r="AB1131" s="1256"/>
      <c r="AC1131" s="1256"/>
      <c r="AD1131" s="1256"/>
      <c r="AE1131" s="1256"/>
      <c r="AF1131" s="1256"/>
      <c r="AG1131" s="1256"/>
      <c r="AH1131" s="1256"/>
      <c r="AI1131" s="1256"/>
      <c r="AJ1131" s="1256"/>
      <c r="AK1131" s="1257"/>
      <c r="AL1131" s="511"/>
      <c r="AM1131" s="482"/>
      <c r="AN1131" s="482"/>
      <c r="AO1131" s="482"/>
      <c r="AP1131" s="482"/>
      <c r="AQ1131" s="482"/>
      <c r="AR1131" s="482"/>
      <c r="AS1131" s="482"/>
      <c r="AT1131" s="482"/>
      <c r="AU1131" s="482"/>
      <c r="AV1131" s="482"/>
      <c r="AW1131" s="482"/>
      <c r="AX1131" s="482"/>
      <c r="AY1131" s="482"/>
      <c r="AZ1131" s="483"/>
      <c r="BA1131" s="511"/>
      <c r="BB1131" s="482"/>
      <c r="BC1131" s="482"/>
      <c r="BD1131" s="482"/>
      <c r="BE1131" s="482"/>
      <c r="BF1131" s="482"/>
      <c r="BG1131" s="482"/>
      <c r="BH1131" s="482"/>
      <c r="BI1131" s="482"/>
      <c r="BJ1131" s="482"/>
      <c r="BK1131" s="482"/>
      <c r="BL1131" s="482"/>
      <c r="BM1131" s="482"/>
      <c r="BN1131" s="482"/>
      <c r="BO1131" s="398">
        <f t="shared" si="159"/>
        <v>0</v>
      </c>
      <c r="BP1131" s="399"/>
      <c r="BQ1131" s="399"/>
      <c r="BR1131" s="399"/>
      <c r="BS1131" s="399"/>
      <c r="BT1131" s="399"/>
      <c r="BU1131" s="399"/>
      <c r="BV1131" s="399"/>
      <c r="BW1131" s="399"/>
      <c r="BX1131" s="399"/>
      <c r="BY1131" s="399"/>
      <c r="BZ1131" s="400"/>
      <c r="CA1131" s="270"/>
      <c r="CB1131" s="3" t="str">
        <f t="shared" si="149"/>
        <v>Riadok bude skrytý.</v>
      </c>
      <c r="CC1131" s="271" t="s">
        <v>832</v>
      </c>
      <c r="CW1131" s="30">
        <f t="shared" si="157"/>
        <v>1</v>
      </c>
      <c r="CX1131" s="30">
        <f t="shared" si="158"/>
        <v>1</v>
      </c>
      <c r="CY1131" s="30">
        <f t="shared" si="160"/>
        <v>0</v>
      </c>
      <c r="CZ1131" s="30">
        <f t="shared" si="155"/>
        <v>1</v>
      </c>
      <c r="DA1131" s="53">
        <f t="shared" si="161"/>
        <v>0</v>
      </c>
      <c r="DB1131" s="2">
        <f t="shared" si="162"/>
        <v>0</v>
      </c>
      <c r="DS1131" s="130">
        <f>SI!BY1131</f>
        <v>167</v>
      </c>
      <c r="DZ1131" s="131">
        <f>SI!BZ1131</f>
        <v>0</v>
      </c>
    </row>
    <row r="1132" spans="1:130" hidden="1" x14ac:dyDescent="0.25">
      <c r="A1132" s="141"/>
      <c r="B1132" s="1255"/>
      <c r="C1132" s="1256"/>
      <c r="D1132" s="1256"/>
      <c r="E1132" s="1256"/>
      <c r="F1132" s="1256"/>
      <c r="G1132" s="1256"/>
      <c r="H1132" s="1256"/>
      <c r="I1132" s="1256"/>
      <c r="J1132" s="1256"/>
      <c r="K1132" s="1256"/>
      <c r="L1132" s="1256"/>
      <c r="M1132" s="1256"/>
      <c r="N1132" s="1256"/>
      <c r="O1132" s="1256"/>
      <c r="P1132" s="1256"/>
      <c r="Q1132" s="1256"/>
      <c r="R1132" s="1256"/>
      <c r="S1132" s="1256"/>
      <c r="T1132" s="1256"/>
      <c r="U1132" s="1256"/>
      <c r="V1132" s="1256"/>
      <c r="W1132" s="1256"/>
      <c r="X1132" s="1256"/>
      <c r="Y1132" s="1256"/>
      <c r="Z1132" s="1256"/>
      <c r="AA1132" s="1256"/>
      <c r="AB1132" s="1256"/>
      <c r="AC1132" s="1256"/>
      <c r="AD1132" s="1256"/>
      <c r="AE1132" s="1256"/>
      <c r="AF1132" s="1256"/>
      <c r="AG1132" s="1256"/>
      <c r="AH1132" s="1256"/>
      <c r="AI1132" s="1256"/>
      <c r="AJ1132" s="1256"/>
      <c r="AK1132" s="1257"/>
      <c r="AL1132" s="511"/>
      <c r="AM1132" s="482"/>
      <c r="AN1132" s="482"/>
      <c r="AO1132" s="482"/>
      <c r="AP1132" s="482"/>
      <c r="AQ1132" s="482"/>
      <c r="AR1132" s="482"/>
      <c r="AS1132" s="482"/>
      <c r="AT1132" s="482"/>
      <c r="AU1132" s="482"/>
      <c r="AV1132" s="482"/>
      <c r="AW1132" s="482"/>
      <c r="AX1132" s="482"/>
      <c r="AY1132" s="482"/>
      <c r="AZ1132" s="483"/>
      <c r="BA1132" s="511"/>
      <c r="BB1132" s="482"/>
      <c r="BC1132" s="482"/>
      <c r="BD1132" s="482"/>
      <c r="BE1132" s="482"/>
      <c r="BF1132" s="482"/>
      <c r="BG1132" s="482"/>
      <c r="BH1132" s="482"/>
      <c r="BI1132" s="482"/>
      <c r="BJ1132" s="482"/>
      <c r="BK1132" s="482"/>
      <c r="BL1132" s="482"/>
      <c r="BM1132" s="482"/>
      <c r="BN1132" s="482"/>
      <c r="BO1132" s="398">
        <f t="shared" si="159"/>
        <v>0</v>
      </c>
      <c r="BP1132" s="399"/>
      <c r="BQ1132" s="399"/>
      <c r="BR1132" s="399"/>
      <c r="BS1132" s="399"/>
      <c r="BT1132" s="399"/>
      <c r="BU1132" s="399"/>
      <c r="BV1132" s="399"/>
      <c r="BW1132" s="399"/>
      <c r="BX1132" s="399"/>
      <c r="BY1132" s="399"/>
      <c r="BZ1132" s="400"/>
      <c r="CA1132" s="270"/>
      <c r="CB1132" s="3" t="str">
        <f t="shared" si="149"/>
        <v>Riadok bude skrytý.</v>
      </c>
      <c r="CC1132" s="271" t="s">
        <v>832</v>
      </c>
      <c r="CW1132" s="30">
        <f t="shared" si="157"/>
        <v>1</v>
      </c>
      <c r="CX1132" s="30">
        <f t="shared" si="158"/>
        <v>1</v>
      </c>
      <c r="CY1132" s="30">
        <f t="shared" si="160"/>
        <v>0</v>
      </c>
      <c r="CZ1132" s="30">
        <f t="shared" si="155"/>
        <v>1</v>
      </c>
      <c r="DA1132" s="53">
        <f t="shared" si="161"/>
        <v>0</v>
      </c>
      <c r="DB1132" s="2">
        <f t="shared" si="162"/>
        <v>0</v>
      </c>
      <c r="DS1132" s="130">
        <f>SI!BY1132</f>
        <v>1191</v>
      </c>
      <c r="DZ1132" s="131">
        <f>SI!BZ1132</f>
        <v>0</v>
      </c>
    </row>
    <row r="1133" spans="1:130" hidden="1" x14ac:dyDescent="0.25">
      <c r="A1133" s="141"/>
      <c r="B1133" s="1255"/>
      <c r="C1133" s="1256"/>
      <c r="D1133" s="1256"/>
      <c r="E1133" s="1256"/>
      <c r="F1133" s="1256"/>
      <c r="G1133" s="1256"/>
      <c r="H1133" s="1256"/>
      <c r="I1133" s="1256"/>
      <c r="J1133" s="1256"/>
      <c r="K1133" s="1256"/>
      <c r="L1133" s="1256"/>
      <c r="M1133" s="1256"/>
      <c r="N1133" s="1256"/>
      <c r="O1133" s="1256"/>
      <c r="P1133" s="1256"/>
      <c r="Q1133" s="1256"/>
      <c r="R1133" s="1256"/>
      <c r="S1133" s="1256"/>
      <c r="T1133" s="1256"/>
      <c r="U1133" s="1256"/>
      <c r="V1133" s="1256"/>
      <c r="W1133" s="1256"/>
      <c r="X1133" s="1256"/>
      <c r="Y1133" s="1256"/>
      <c r="Z1133" s="1256"/>
      <c r="AA1133" s="1256"/>
      <c r="AB1133" s="1256"/>
      <c r="AC1133" s="1256"/>
      <c r="AD1133" s="1256"/>
      <c r="AE1133" s="1256"/>
      <c r="AF1133" s="1256"/>
      <c r="AG1133" s="1256"/>
      <c r="AH1133" s="1256"/>
      <c r="AI1133" s="1256"/>
      <c r="AJ1133" s="1256"/>
      <c r="AK1133" s="1257"/>
      <c r="AL1133" s="511"/>
      <c r="AM1133" s="482"/>
      <c r="AN1133" s="482"/>
      <c r="AO1133" s="482"/>
      <c r="AP1133" s="482"/>
      <c r="AQ1133" s="482"/>
      <c r="AR1133" s="482"/>
      <c r="AS1133" s="482"/>
      <c r="AT1133" s="482"/>
      <c r="AU1133" s="482"/>
      <c r="AV1133" s="482"/>
      <c r="AW1133" s="482"/>
      <c r="AX1133" s="482"/>
      <c r="AY1133" s="482"/>
      <c r="AZ1133" s="483"/>
      <c r="BA1133" s="511"/>
      <c r="BB1133" s="482"/>
      <c r="BC1133" s="482"/>
      <c r="BD1133" s="482"/>
      <c r="BE1133" s="482"/>
      <c r="BF1133" s="482"/>
      <c r="BG1133" s="482"/>
      <c r="BH1133" s="482"/>
      <c r="BI1133" s="482"/>
      <c r="BJ1133" s="482"/>
      <c r="BK1133" s="482"/>
      <c r="BL1133" s="482"/>
      <c r="BM1133" s="482"/>
      <c r="BN1133" s="482"/>
      <c r="BO1133" s="398">
        <f t="shared" si="159"/>
        <v>0</v>
      </c>
      <c r="BP1133" s="399"/>
      <c r="BQ1133" s="399"/>
      <c r="BR1133" s="399"/>
      <c r="BS1133" s="399"/>
      <c r="BT1133" s="399"/>
      <c r="BU1133" s="399"/>
      <c r="BV1133" s="399"/>
      <c r="BW1133" s="399"/>
      <c r="BX1133" s="399"/>
      <c r="BY1133" s="399"/>
      <c r="BZ1133" s="400"/>
      <c r="CA1133" s="270"/>
      <c r="CB1133" s="3" t="str">
        <f t="shared" si="149"/>
        <v>Riadok bude skrytý.</v>
      </c>
      <c r="CC1133" s="271" t="s">
        <v>832</v>
      </c>
      <c r="CW1133" s="30">
        <f t="shared" si="157"/>
        <v>1</v>
      </c>
      <c r="CX1133" s="30">
        <f t="shared" si="158"/>
        <v>1</v>
      </c>
      <c r="CY1133" s="30">
        <f t="shared" si="160"/>
        <v>0</v>
      </c>
      <c r="CZ1133" s="30">
        <f t="shared" si="155"/>
        <v>1</v>
      </c>
      <c r="DA1133" s="53">
        <f t="shared" si="161"/>
        <v>0</v>
      </c>
      <c r="DB1133" s="2">
        <f t="shared" si="162"/>
        <v>0</v>
      </c>
      <c r="DS1133" s="130">
        <f>SI!BY1133</f>
        <v>197</v>
      </c>
      <c r="DZ1133" s="131">
        <f>SI!BZ1133</f>
        <v>0</v>
      </c>
    </row>
    <row r="1134" spans="1:130" hidden="1" x14ac:dyDescent="0.25">
      <c r="A1134" s="141"/>
      <c r="B1134" s="975"/>
      <c r="C1134" s="976"/>
      <c r="D1134" s="976"/>
      <c r="E1134" s="976"/>
      <c r="F1134" s="976"/>
      <c r="G1134" s="976"/>
      <c r="H1134" s="976"/>
      <c r="I1134" s="976"/>
      <c r="J1134" s="976"/>
      <c r="K1134" s="976"/>
      <c r="L1134" s="976"/>
      <c r="M1134" s="976"/>
      <c r="N1134" s="976"/>
      <c r="O1134" s="976"/>
      <c r="P1134" s="976"/>
      <c r="Q1134" s="976"/>
      <c r="R1134" s="976"/>
      <c r="S1134" s="976"/>
      <c r="T1134" s="976"/>
      <c r="U1134" s="976"/>
      <c r="V1134" s="976"/>
      <c r="W1134" s="976"/>
      <c r="X1134" s="976"/>
      <c r="Y1134" s="976"/>
      <c r="Z1134" s="976"/>
      <c r="AA1134" s="976"/>
      <c r="AB1134" s="976"/>
      <c r="AC1134" s="976"/>
      <c r="AD1134" s="976"/>
      <c r="AE1134" s="976"/>
      <c r="AF1134" s="976"/>
      <c r="AG1134" s="976"/>
      <c r="AH1134" s="976"/>
      <c r="AI1134" s="976"/>
      <c r="AJ1134" s="976"/>
      <c r="AK1134" s="977"/>
      <c r="AL1134" s="454"/>
      <c r="AM1134" s="455"/>
      <c r="AN1134" s="455"/>
      <c r="AO1134" s="455"/>
      <c r="AP1134" s="455"/>
      <c r="AQ1134" s="455"/>
      <c r="AR1134" s="455"/>
      <c r="AS1134" s="455"/>
      <c r="AT1134" s="455"/>
      <c r="AU1134" s="455"/>
      <c r="AV1134" s="455"/>
      <c r="AW1134" s="455"/>
      <c r="AX1134" s="455"/>
      <c r="AY1134" s="455"/>
      <c r="AZ1134" s="456"/>
      <c r="BA1134" s="454"/>
      <c r="BB1134" s="455"/>
      <c r="BC1134" s="455"/>
      <c r="BD1134" s="455"/>
      <c r="BE1134" s="455"/>
      <c r="BF1134" s="455"/>
      <c r="BG1134" s="455"/>
      <c r="BH1134" s="455"/>
      <c r="BI1134" s="455"/>
      <c r="BJ1134" s="455"/>
      <c r="BK1134" s="455"/>
      <c r="BL1134" s="455"/>
      <c r="BM1134" s="455"/>
      <c r="BN1134" s="455"/>
      <c r="BO1134" s="1209">
        <f t="shared" si="159"/>
        <v>0</v>
      </c>
      <c r="BP1134" s="1210"/>
      <c r="BQ1134" s="1210"/>
      <c r="BR1134" s="1210"/>
      <c r="BS1134" s="1210"/>
      <c r="BT1134" s="1210"/>
      <c r="BU1134" s="1210"/>
      <c r="BV1134" s="1210"/>
      <c r="BW1134" s="1210"/>
      <c r="BX1134" s="1210"/>
      <c r="BY1134" s="1210"/>
      <c r="BZ1134" s="1211"/>
      <c r="CA1134" s="270"/>
      <c r="CB1134" s="3" t="str">
        <f t="shared" si="149"/>
        <v>Riadok bude skrytý.</v>
      </c>
      <c r="CC1134" s="271" t="s">
        <v>832</v>
      </c>
      <c r="CW1134" s="30">
        <f t="shared" si="157"/>
        <v>1</v>
      </c>
      <c r="CX1134" s="30">
        <f t="shared" si="158"/>
        <v>1</v>
      </c>
      <c r="CZ1134" s="30">
        <f t="shared" si="155"/>
        <v>1</v>
      </c>
      <c r="DA1134" s="52">
        <f t="shared" ref="DA1134:DA1140" si="163">+IF(CW1134*CX1134=0,0,IF(CZ1134=0,0,1))</f>
        <v>1</v>
      </c>
      <c r="DB1134" s="2">
        <f t="shared" si="162"/>
        <v>0</v>
      </c>
      <c r="DS1134" s="130">
        <f>SI!BY1134</f>
        <v>424</v>
      </c>
      <c r="DZ1134" s="131">
        <f>SI!BZ1134</f>
        <v>0</v>
      </c>
    </row>
    <row r="1135" spans="1:130" hidden="1" x14ac:dyDescent="0.25">
      <c r="A1135" s="141"/>
      <c r="CA1135" s="270"/>
      <c r="CB1135" s="3" t="str">
        <f t="shared" si="149"/>
        <v>Riadok bude skrytý.</v>
      </c>
      <c r="CC1135" s="271" t="s">
        <v>832</v>
      </c>
      <c r="CW1135" s="30">
        <f t="shared" si="157"/>
        <v>1</v>
      </c>
      <c r="CX1135" s="30">
        <f t="shared" si="158"/>
        <v>1</v>
      </c>
      <c r="CZ1135" s="30">
        <f t="shared" si="155"/>
        <v>1</v>
      </c>
      <c r="DA1135" s="52">
        <f t="shared" si="163"/>
        <v>1</v>
      </c>
      <c r="DB1135" s="2">
        <f t="shared" si="162"/>
        <v>0</v>
      </c>
      <c r="DS1135" s="130">
        <f>SI!BY1135</f>
        <v>182</v>
      </c>
      <c r="DZ1135" s="131">
        <f>SI!BZ1135</f>
        <v>0</v>
      </c>
    </row>
    <row r="1136" spans="1:130" hidden="1" x14ac:dyDescent="0.25">
      <c r="A1136" s="141"/>
      <c r="B1136" s="137" t="s">
        <v>96</v>
      </c>
      <c r="J1136" s="378" t="s">
        <v>97</v>
      </c>
      <c r="K1136" s="378"/>
      <c r="L1136" s="378"/>
      <c r="M1136" s="378"/>
      <c r="N1136" s="378"/>
      <c r="O1136" s="137" t="str">
        <f>+IF($M$52&lt;&gt;"",IF(SQRT(INT(FACT(DAY(24324))*FACT(DAY(24385))/576))=DS1136,"dlhodobý majetok poistený.","NEPOVOLENÉ POUŽITIE!"),"NEPOVOLENÉ POUŽITIE!")</f>
        <v>dlhodobý majetok poistený.</v>
      </c>
      <c r="P1136" s="38"/>
      <c r="CA1136" s="265" t="s">
        <v>773</v>
      </c>
      <c r="CB1136" s="3" t="str">
        <f t="shared" si="149"/>
        <v>Riadok bude skrytý.</v>
      </c>
      <c r="CC1136" s="271" t="s">
        <v>832</v>
      </c>
      <c r="CF1136" s="13"/>
      <c r="CW1136" s="30">
        <f t="shared" si="157"/>
        <v>1</v>
      </c>
      <c r="CX1136" s="30">
        <f>+IF($J$1136="nemá",1,1)</f>
        <v>1</v>
      </c>
      <c r="CY1136" s="43"/>
      <c r="CZ1136" s="30">
        <f t="shared" si="155"/>
        <v>1</v>
      </c>
      <c r="DA1136" s="52">
        <f t="shared" si="163"/>
        <v>1</v>
      </c>
      <c r="DB1136" s="2">
        <f t="shared" si="162"/>
        <v>0</v>
      </c>
      <c r="DS1136" s="130">
        <f>SI!BY1136</f>
        <v>5</v>
      </c>
      <c r="DZ1136" s="131">
        <f>SI!BZ1136</f>
        <v>0</v>
      </c>
    </row>
    <row r="1137" spans="1:130" hidden="1" x14ac:dyDescent="0.25">
      <c r="A1137" s="141"/>
      <c r="B1137" s="137" t="str">
        <f>+IF(J1136="má","Druh majetku, spôsob a výška jeho poistenia sú uvedené v tabuľke:","")</f>
        <v>Druh majetku, spôsob a výška jeho poistenia sú uvedené v tabuľke:</v>
      </c>
      <c r="CA1137" s="270"/>
      <c r="CB1137" s="3" t="str">
        <f t="shared" si="149"/>
        <v>Riadok bude skrytý.</v>
      </c>
      <c r="CC1137" s="271" t="s">
        <v>832</v>
      </c>
      <c r="CW1137" s="30">
        <f t="shared" si="157"/>
        <v>1</v>
      </c>
      <c r="CX1137" s="30">
        <f>+IF($J$1136="nemá",1,1)</f>
        <v>1</v>
      </c>
      <c r="CZ1137" s="30">
        <f t="shared" si="155"/>
        <v>1</v>
      </c>
      <c r="DA1137" s="52">
        <f t="shared" si="163"/>
        <v>1</v>
      </c>
      <c r="DB1137" s="2">
        <f t="shared" si="162"/>
        <v>0</v>
      </c>
      <c r="DS1137" s="130">
        <f>SI!BY1137</f>
        <v>147</v>
      </c>
      <c r="DZ1137" s="131">
        <f>SI!BZ1137</f>
        <v>0</v>
      </c>
    </row>
    <row r="1138" spans="1:130" hidden="1" x14ac:dyDescent="0.25">
      <c r="A1138" s="141"/>
      <c r="CA1138" s="270"/>
      <c r="CB1138" s="3" t="str">
        <f t="shared" si="149"/>
        <v>Riadok bude skrytý.</v>
      </c>
      <c r="CC1138" s="271" t="s">
        <v>832</v>
      </c>
      <c r="CW1138" s="30">
        <f t="shared" si="157"/>
        <v>1</v>
      </c>
      <c r="CX1138" s="30">
        <f t="shared" ref="CX1138:CX1151" si="164">+IF($J$1136="nemá",0,1)</f>
        <v>1</v>
      </c>
      <c r="CZ1138" s="30">
        <f t="shared" si="155"/>
        <v>1</v>
      </c>
      <c r="DA1138" s="52">
        <f t="shared" si="163"/>
        <v>1</v>
      </c>
      <c r="DB1138" s="2">
        <f t="shared" si="162"/>
        <v>0</v>
      </c>
      <c r="DS1138" s="130">
        <f>SI!BY1138</f>
        <v>636</v>
      </c>
      <c r="DZ1138" s="131">
        <f>SI!BZ1138</f>
        <v>0</v>
      </c>
    </row>
    <row r="1139" spans="1:130" ht="14.95" hidden="1" customHeight="1" x14ac:dyDescent="0.25">
      <c r="A1139" s="141"/>
      <c r="B1139" s="736" t="s">
        <v>785</v>
      </c>
      <c r="C1139" s="737"/>
      <c r="D1139" s="737"/>
      <c r="E1139" s="737"/>
      <c r="F1139" s="737"/>
      <c r="G1139" s="737"/>
      <c r="H1139" s="737"/>
      <c r="I1139" s="737"/>
      <c r="J1139" s="737"/>
      <c r="K1139" s="737"/>
      <c r="L1139" s="737"/>
      <c r="M1139" s="737"/>
      <c r="N1139" s="737"/>
      <c r="O1139" s="737"/>
      <c r="P1139" s="737"/>
      <c r="Q1139" s="737"/>
      <c r="R1139" s="737"/>
      <c r="S1139" s="737"/>
      <c r="T1139" s="737"/>
      <c r="U1139" s="737"/>
      <c r="V1139" s="737"/>
      <c r="W1139" s="737"/>
      <c r="X1139" s="737"/>
      <c r="Y1139" s="737"/>
      <c r="Z1139" s="737"/>
      <c r="AA1139" s="738"/>
      <c r="AB1139" s="736" t="s">
        <v>786</v>
      </c>
      <c r="AC1139" s="737"/>
      <c r="AD1139" s="737"/>
      <c r="AE1139" s="737"/>
      <c r="AF1139" s="737"/>
      <c r="AG1139" s="737"/>
      <c r="AH1139" s="737"/>
      <c r="AI1139" s="737"/>
      <c r="AJ1139" s="737"/>
      <c r="AK1139" s="737"/>
      <c r="AL1139" s="737"/>
      <c r="AM1139" s="737"/>
      <c r="AN1139" s="737"/>
      <c r="AO1139" s="737"/>
      <c r="AP1139" s="737"/>
      <c r="AQ1139" s="737"/>
      <c r="AR1139" s="737"/>
      <c r="AS1139" s="737"/>
      <c r="AT1139" s="737"/>
      <c r="AU1139" s="737"/>
      <c r="AV1139" s="737"/>
      <c r="AW1139" s="737"/>
      <c r="AX1139" s="738"/>
      <c r="AY1139" s="1216" t="s">
        <v>787</v>
      </c>
      <c r="AZ1139" s="1217"/>
      <c r="BA1139" s="1217"/>
      <c r="BB1139" s="1217"/>
      <c r="BC1139" s="1217"/>
      <c r="BD1139" s="1217"/>
      <c r="BE1139" s="1217"/>
      <c r="BF1139" s="1217"/>
      <c r="BG1139" s="1217"/>
      <c r="BH1139" s="1217"/>
      <c r="BI1139" s="1217"/>
      <c r="BJ1139" s="1217"/>
      <c r="BK1139" s="1217"/>
      <c r="BL1139" s="1217"/>
      <c r="BM1139" s="1217"/>
      <c r="BN1139" s="1217"/>
      <c r="BO1139" s="1217"/>
      <c r="BP1139" s="1217"/>
      <c r="BQ1139" s="1217"/>
      <c r="BR1139" s="1217"/>
      <c r="BS1139" s="1217"/>
      <c r="BT1139" s="1217"/>
      <c r="BU1139" s="1217"/>
      <c r="BV1139" s="1217"/>
      <c r="BW1139" s="1217"/>
      <c r="BX1139" s="1217"/>
      <c r="BY1139" s="1217"/>
      <c r="BZ1139" s="1218"/>
      <c r="CA1139" s="265" t="s">
        <v>773</v>
      </c>
      <c r="CB1139" s="3" t="str">
        <f t="shared" ref="CB1139:CB1202" si="165">+IF(DB1139=0,"Riadok bude skrytý.","Riadok bude vidieť.")</f>
        <v>Riadok bude skrytý.</v>
      </c>
      <c r="CC1139" s="271" t="s">
        <v>832</v>
      </c>
      <c r="CW1139" s="30">
        <f t="shared" si="157"/>
        <v>1</v>
      </c>
      <c r="CX1139" s="30">
        <f t="shared" si="164"/>
        <v>1</v>
      </c>
      <c r="CZ1139" s="30">
        <f t="shared" si="155"/>
        <v>1</v>
      </c>
      <c r="DA1139" s="52">
        <f t="shared" si="163"/>
        <v>1</v>
      </c>
      <c r="DB1139" s="2">
        <f t="shared" si="162"/>
        <v>0</v>
      </c>
      <c r="DS1139" s="130">
        <f>SI!BY1139</f>
        <v>780</v>
      </c>
      <c r="DZ1139" s="131">
        <f>SI!BZ1139</f>
        <v>0</v>
      </c>
    </row>
    <row r="1140" spans="1:130" ht="14.95" hidden="1" customHeight="1" x14ac:dyDescent="0.25">
      <c r="A1140" s="141"/>
      <c r="B1140" s="739"/>
      <c r="C1140" s="740"/>
      <c r="D1140" s="740"/>
      <c r="E1140" s="740"/>
      <c r="F1140" s="740"/>
      <c r="G1140" s="740"/>
      <c r="H1140" s="740"/>
      <c r="I1140" s="740"/>
      <c r="J1140" s="740"/>
      <c r="K1140" s="740"/>
      <c r="L1140" s="740"/>
      <c r="M1140" s="740"/>
      <c r="N1140" s="740"/>
      <c r="O1140" s="740"/>
      <c r="P1140" s="740"/>
      <c r="Q1140" s="740"/>
      <c r="R1140" s="740"/>
      <c r="S1140" s="740"/>
      <c r="T1140" s="740"/>
      <c r="U1140" s="740"/>
      <c r="V1140" s="740"/>
      <c r="W1140" s="740"/>
      <c r="X1140" s="740"/>
      <c r="Y1140" s="740"/>
      <c r="Z1140" s="740"/>
      <c r="AA1140" s="741"/>
      <c r="AB1140" s="739"/>
      <c r="AC1140" s="740"/>
      <c r="AD1140" s="740"/>
      <c r="AE1140" s="740"/>
      <c r="AF1140" s="740"/>
      <c r="AG1140" s="740"/>
      <c r="AH1140" s="740"/>
      <c r="AI1140" s="740"/>
      <c r="AJ1140" s="740"/>
      <c r="AK1140" s="740"/>
      <c r="AL1140" s="740"/>
      <c r="AM1140" s="740"/>
      <c r="AN1140" s="740"/>
      <c r="AO1140" s="740"/>
      <c r="AP1140" s="740"/>
      <c r="AQ1140" s="740"/>
      <c r="AR1140" s="740"/>
      <c r="AS1140" s="740"/>
      <c r="AT1140" s="740"/>
      <c r="AU1140" s="740"/>
      <c r="AV1140" s="740"/>
      <c r="AW1140" s="740"/>
      <c r="AX1140" s="741"/>
      <c r="AY1140" s="1769" t="s">
        <v>22</v>
      </c>
      <c r="AZ1140" s="749"/>
      <c r="BA1140" s="749"/>
      <c r="BB1140" s="749"/>
      <c r="BC1140" s="749"/>
      <c r="BD1140" s="749"/>
      <c r="BE1140" s="749"/>
      <c r="BF1140" s="749"/>
      <c r="BG1140" s="749"/>
      <c r="BH1140" s="749"/>
      <c r="BI1140" s="749"/>
      <c r="BJ1140" s="749"/>
      <c r="BK1140" s="749"/>
      <c r="BL1140" s="749"/>
      <c r="BM1140" s="749"/>
      <c r="BN1140" s="748" t="s">
        <v>21</v>
      </c>
      <c r="BO1140" s="749"/>
      <c r="BP1140" s="749"/>
      <c r="BQ1140" s="749"/>
      <c r="BR1140" s="749"/>
      <c r="BS1140" s="749"/>
      <c r="BT1140" s="749"/>
      <c r="BU1140" s="749"/>
      <c r="BV1140" s="749"/>
      <c r="BW1140" s="749"/>
      <c r="BX1140" s="749"/>
      <c r="BY1140" s="749"/>
      <c r="BZ1140" s="750"/>
      <c r="CA1140" s="270"/>
      <c r="CB1140" s="3" t="str">
        <f t="shared" si="165"/>
        <v>Riadok bude skrytý.</v>
      </c>
      <c r="CC1140" s="271" t="s">
        <v>832</v>
      </c>
      <c r="CW1140" s="30">
        <f t="shared" si="157"/>
        <v>1</v>
      </c>
      <c r="CX1140" s="30">
        <f t="shared" si="164"/>
        <v>1</v>
      </c>
      <c r="CZ1140" s="30">
        <f t="shared" si="155"/>
        <v>1</v>
      </c>
      <c r="DA1140" s="52">
        <f t="shared" si="163"/>
        <v>1</v>
      </c>
      <c r="DB1140" s="2">
        <f t="shared" si="162"/>
        <v>0</v>
      </c>
      <c r="DS1140" s="130">
        <f>SI!BY1140</f>
        <v>129</v>
      </c>
      <c r="DZ1140" s="131">
        <f>SI!BZ1140</f>
        <v>0</v>
      </c>
    </row>
    <row r="1141" spans="1:130" hidden="1" x14ac:dyDescent="0.25">
      <c r="A1141" s="141"/>
      <c r="B1141" s="958"/>
      <c r="C1141" s="959"/>
      <c r="D1141" s="959"/>
      <c r="E1141" s="959"/>
      <c r="F1141" s="959"/>
      <c r="G1141" s="959"/>
      <c r="H1141" s="959"/>
      <c r="I1141" s="959"/>
      <c r="J1141" s="959"/>
      <c r="K1141" s="959"/>
      <c r="L1141" s="959"/>
      <c r="M1141" s="959"/>
      <c r="N1141" s="959"/>
      <c r="O1141" s="959"/>
      <c r="P1141" s="959"/>
      <c r="Q1141" s="959"/>
      <c r="R1141" s="959"/>
      <c r="S1141" s="959"/>
      <c r="T1141" s="959"/>
      <c r="U1141" s="959"/>
      <c r="V1141" s="959"/>
      <c r="W1141" s="959"/>
      <c r="X1141" s="959"/>
      <c r="Y1141" s="959"/>
      <c r="Z1141" s="959"/>
      <c r="AA1141" s="960"/>
      <c r="AB1141" s="663"/>
      <c r="AC1141" s="664"/>
      <c r="AD1141" s="664"/>
      <c r="AE1141" s="664"/>
      <c r="AF1141" s="664"/>
      <c r="AG1141" s="664"/>
      <c r="AH1141" s="664"/>
      <c r="AI1141" s="664"/>
      <c r="AJ1141" s="664"/>
      <c r="AK1141" s="664"/>
      <c r="AL1141" s="664"/>
      <c r="AM1141" s="664"/>
      <c r="AN1141" s="664"/>
      <c r="AO1141" s="664"/>
      <c r="AP1141" s="664"/>
      <c r="AQ1141" s="664"/>
      <c r="AR1141" s="664"/>
      <c r="AS1141" s="664"/>
      <c r="AT1141" s="664"/>
      <c r="AU1141" s="664"/>
      <c r="AV1141" s="664"/>
      <c r="AW1141" s="664"/>
      <c r="AX1141" s="665"/>
      <c r="AY1141" s="1755"/>
      <c r="AZ1141" s="1756"/>
      <c r="BA1141" s="1756"/>
      <c r="BB1141" s="1756"/>
      <c r="BC1141" s="1756"/>
      <c r="BD1141" s="1756"/>
      <c r="BE1141" s="1756"/>
      <c r="BF1141" s="1756"/>
      <c r="BG1141" s="1756"/>
      <c r="BH1141" s="1756"/>
      <c r="BI1141" s="1756"/>
      <c r="BJ1141" s="1756"/>
      <c r="BK1141" s="1756"/>
      <c r="BL1141" s="1756"/>
      <c r="BM1141" s="1756"/>
      <c r="BN1141" s="1800"/>
      <c r="BO1141" s="1756"/>
      <c r="BP1141" s="1756"/>
      <c r="BQ1141" s="1756"/>
      <c r="BR1141" s="1756"/>
      <c r="BS1141" s="1756"/>
      <c r="BT1141" s="1756"/>
      <c r="BU1141" s="1756"/>
      <c r="BV1141" s="1756"/>
      <c r="BW1141" s="1756"/>
      <c r="BX1141" s="1756"/>
      <c r="BY1141" s="1756"/>
      <c r="BZ1141" s="1801"/>
      <c r="CA1141" s="270"/>
      <c r="CB1141" s="3" t="str">
        <f t="shared" si="165"/>
        <v>Riadok bude skrytý.</v>
      </c>
      <c r="CC1141" s="271" t="s">
        <v>832</v>
      </c>
      <c r="CW1141" s="30">
        <f t="shared" si="157"/>
        <v>1</v>
      </c>
      <c r="CX1141" s="30">
        <f t="shared" si="164"/>
        <v>1</v>
      </c>
      <c r="CZ1141" s="30">
        <f>IF(CC1141="",1,IF(CC1141="Chcem skryť riadok.",0,1))</f>
        <v>1</v>
      </c>
      <c r="DA1141" s="52">
        <f>+IF(CW1141*CX1141=0,0,IF(CZ1141=0,0,1))</f>
        <v>1</v>
      </c>
      <c r="DB1141" s="2">
        <f t="shared" si="162"/>
        <v>0</v>
      </c>
      <c r="DS1141" s="130">
        <f>SI!BY1141</f>
        <v>476</v>
      </c>
      <c r="DZ1141" s="131">
        <f>SI!BZ1141</f>
        <v>0</v>
      </c>
    </row>
    <row r="1142" spans="1:130" hidden="1" x14ac:dyDescent="0.25">
      <c r="A1142" s="141"/>
      <c r="B1142" s="742"/>
      <c r="C1142" s="743"/>
      <c r="D1142" s="743"/>
      <c r="E1142" s="743"/>
      <c r="F1142" s="743"/>
      <c r="G1142" s="743"/>
      <c r="H1142" s="743"/>
      <c r="I1142" s="743"/>
      <c r="J1142" s="743"/>
      <c r="K1142" s="743"/>
      <c r="L1142" s="743"/>
      <c r="M1142" s="743"/>
      <c r="N1142" s="743"/>
      <c r="O1142" s="743"/>
      <c r="P1142" s="743"/>
      <c r="Q1142" s="743"/>
      <c r="R1142" s="743"/>
      <c r="S1142" s="743"/>
      <c r="T1142" s="743"/>
      <c r="U1142" s="743"/>
      <c r="V1142" s="743"/>
      <c r="W1142" s="743"/>
      <c r="X1142" s="743"/>
      <c r="Y1142" s="743"/>
      <c r="Z1142" s="743"/>
      <c r="AA1142" s="744"/>
      <c r="AB1142" s="691"/>
      <c r="AC1142" s="692"/>
      <c r="AD1142" s="692"/>
      <c r="AE1142" s="692"/>
      <c r="AF1142" s="692"/>
      <c r="AG1142" s="692"/>
      <c r="AH1142" s="692"/>
      <c r="AI1142" s="692"/>
      <c r="AJ1142" s="692"/>
      <c r="AK1142" s="692"/>
      <c r="AL1142" s="692"/>
      <c r="AM1142" s="692"/>
      <c r="AN1142" s="692"/>
      <c r="AO1142" s="692"/>
      <c r="AP1142" s="692"/>
      <c r="AQ1142" s="692"/>
      <c r="AR1142" s="692"/>
      <c r="AS1142" s="692"/>
      <c r="AT1142" s="692"/>
      <c r="AU1142" s="692"/>
      <c r="AV1142" s="692"/>
      <c r="AW1142" s="692"/>
      <c r="AX1142" s="693"/>
      <c r="AY1142" s="733"/>
      <c r="AZ1142" s="731"/>
      <c r="BA1142" s="731"/>
      <c r="BB1142" s="731"/>
      <c r="BC1142" s="731"/>
      <c r="BD1142" s="731"/>
      <c r="BE1142" s="731"/>
      <c r="BF1142" s="731"/>
      <c r="BG1142" s="731"/>
      <c r="BH1142" s="731"/>
      <c r="BI1142" s="731"/>
      <c r="BJ1142" s="731"/>
      <c r="BK1142" s="731"/>
      <c r="BL1142" s="731"/>
      <c r="BM1142" s="731"/>
      <c r="BN1142" s="730"/>
      <c r="BO1142" s="731"/>
      <c r="BP1142" s="731"/>
      <c r="BQ1142" s="731"/>
      <c r="BR1142" s="731"/>
      <c r="BS1142" s="731"/>
      <c r="BT1142" s="731"/>
      <c r="BU1142" s="731"/>
      <c r="BV1142" s="731"/>
      <c r="BW1142" s="731"/>
      <c r="BX1142" s="731"/>
      <c r="BY1142" s="731"/>
      <c r="BZ1142" s="732"/>
      <c r="CA1142" s="270"/>
      <c r="CB1142" s="3" t="str">
        <f t="shared" si="165"/>
        <v>Riadok bude skrytý.</v>
      </c>
      <c r="CC1142" s="271" t="s">
        <v>832</v>
      </c>
      <c r="CW1142" s="30">
        <f t="shared" si="157"/>
        <v>1</v>
      </c>
      <c r="CX1142" s="30">
        <f t="shared" si="164"/>
        <v>1</v>
      </c>
      <c r="CY1142" s="30">
        <f t="shared" ref="CY1142:CY1149" si="166">+IF(B1142="",0,1)</f>
        <v>0</v>
      </c>
      <c r="CZ1142" s="30">
        <f t="shared" si="155"/>
        <v>1</v>
      </c>
      <c r="DA1142" s="53">
        <f t="shared" ref="DA1142:DA1149" si="167">+IF(CW1142*CX1142*CY1142=0,0,IF(CZ1142=0,0,1))</f>
        <v>0</v>
      </c>
      <c r="DB1142" s="2">
        <f t="shared" si="162"/>
        <v>0</v>
      </c>
      <c r="DS1142" s="130">
        <f>SI!BY1142</f>
        <v>202</v>
      </c>
      <c r="DZ1142" s="131">
        <f>SI!BZ1142</f>
        <v>0</v>
      </c>
    </row>
    <row r="1143" spans="1:130" hidden="1" x14ac:dyDescent="0.25">
      <c r="A1143" s="141"/>
      <c r="B1143" s="742"/>
      <c r="C1143" s="743"/>
      <c r="D1143" s="743"/>
      <c r="E1143" s="743"/>
      <c r="F1143" s="743"/>
      <c r="G1143" s="743"/>
      <c r="H1143" s="743"/>
      <c r="I1143" s="743"/>
      <c r="J1143" s="743"/>
      <c r="K1143" s="743"/>
      <c r="L1143" s="743"/>
      <c r="M1143" s="743"/>
      <c r="N1143" s="743"/>
      <c r="O1143" s="743"/>
      <c r="P1143" s="743"/>
      <c r="Q1143" s="743"/>
      <c r="R1143" s="743"/>
      <c r="S1143" s="743"/>
      <c r="T1143" s="743"/>
      <c r="U1143" s="743"/>
      <c r="V1143" s="743"/>
      <c r="W1143" s="743"/>
      <c r="X1143" s="743"/>
      <c r="Y1143" s="743"/>
      <c r="Z1143" s="743"/>
      <c r="AA1143" s="744"/>
      <c r="AB1143" s="691"/>
      <c r="AC1143" s="692"/>
      <c r="AD1143" s="692"/>
      <c r="AE1143" s="692"/>
      <c r="AF1143" s="692"/>
      <c r="AG1143" s="692"/>
      <c r="AH1143" s="692"/>
      <c r="AI1143" s="692"/>
      <c r="AJ1143" s="692"/>
      <c r="AK1143" s="692"/>
      <c r="AL1143" s="692"/>
      <c r="AM1143" s="692"/>
      <c r="AN1143" s="692"/>
      <c r="AO1143" s="692"/>
      <c r="AP1143" s="692"/>
      <c r="AQ1143" s="692"/>
      <c r="AR1143" s="692"/>
      <c r="AS1143" s="692"/>
      <c r="AT1143" s="692"/>
      <c r="AU1143" s="692"/>
      <c r="AV1143" s="692"/>
      <c r="AW1143" s="692"/>
      <c r="AX1143" s="693"/>
      <c r="AY1143" s="733"/>
      <c r="AZ1143" s="731"/>
      <c r="BA1143" s="731"/>
      <c r="BB1143" s="731"/>
      <c r="BC1143" s="731"/>
      <c r="BD1143" s="731"/>
      <c r="BE1143" s="731"/>
      <c r="BF1143" s="731"/>
      <c r="BG1143" s="731"/>
      <c r="BH1143" s="731"/>
      <c r="BI1143" s="731"/>
      <c r="BJ1143" s="731"/>
      <c r="BK1143" s="731"/>
      <c r="BL1143" s="731"/>
      <c r="BM1143" s="731"/>
      <c r="BN1143" s="730"/>
      <c r="BO1143" s="731"/>
      <c r="BP1143" s="731"/>
      <c r="BQ1143" s="731"/>
      <c r="BR1143" s="731"/>
      <c r="BS1143" s="731"/>
      <c r="BT1143" s="731"/>
      <c r="BU1143" s="731"/>
      <c r="BV1143" s="731"/>
      <c r="BW1143" s="731"/>
      <c r="BX1143" s="731"/>
      <c r="BY1143" s="731"/>
      <c r="BZ1143" s="732"/>
      <c r="CA1143" s="270"/>
      <c r="CB1143" s="3" t="str">
        <f t="shared" si="165"/>
        <v>Riadok bude skrytý.</v>
      </c>
      <c r="CC1143" s="271" t="s">
        <v>832</v>
      </c>
      <c r="CW1143" s="30">
        <f t="shared" si="157"/>
        <v>1</v>
      </c>
      <c r="CX1143" s="30">
        <f t="shared" si="164"/>
        <v>1</v>
      </c>
      <c r="CY1143" s="30">
        <f t="shared" si="166"/>
        <v>0</v>
      </c>
      <c r="CZ1143" s="30">
        <f t="shared" si="155"/>
        <v>1</v>
      </c>
      <c r="DA1143" s="53">
        <f t="shared" si="167"/>
        <v>0</v>
      </c>
      <c r="DB1143" s="2">
        <f t="shared" si="162"/>
        <v>0</v>
      </c>
      <c r="DS1143" s="130">
        <f>SI!BY1143</f>
        <v>816</v>
      </c>
      <c r="DZ1143" s="131">
        <f>SI!BZ1143</f>
        <v>0</v>
      </c>
    </row>
    <row r="1144" spans="1:130" hidden="1" x14ac:dyDescent="0.25">
      <c r="A1144" s="141"/>
      <c r="B1144" s="742"/>
      <c r="C1144" s="743"/>
      <c r="D1144" s="743"/>
      <c r="E1144" s="743"/>
      <c r="F1144" s="743"/>
      <c r="G1144" s="743"/>
      <c r="H1144" s="743"/>
      <c r="I1144" s="743"/>
      <c r="J1144" s="743"/>
      <c r="K1144" s="743"/>
      <c r="L1144" s="743"/>
      <c r="M1144" s="743"/>
      <c r="N1144" s="743"/>
      <c r="O1144" s="743"/>
      <c r="P1144" s="743"/>
      <c r="Q1144" s="743"/>
      <c r="R1144" s="743"/>
      <c r="S1144" s="743"/>
      <c r="T1144" s="743"/>
      <c r="U1144" s="743"/>
      <c r="V1144" s="743"/>
      <c r="W1144" s="743"/>
      <c r="X1144" s="743"/>
      <c r="Y1144" s="743"/>
      <c r="Z1144" s="743"/>
      <c r="AA1144" s="744"/>
      <c r="AB1144" s="691"/>
      <c r="AC1144" s="692"/>
      <c r="AD1144" s="692"/>
      <c r="AE1144" s="692"/>
      <c r="AF1144" s="692"/>
      <c r="AG1144" s="692"/>
      <c r="AH1144" s="692"/>
      <c r="AI1144" s="692"/>
      <c r="AJ1144" s="692"/>
      <c r="AK1144" s="692"/>
      <c r="AL1144" s="692"/>
      <c r="AM1144" s="692"/>
      <c r="AN1144" s="692"/>
      <c r="AO1144" s="692"/>
      <c r="AP1144" s="692"/>
      <c r="AQ1144" s="692"/>
      <c r="AR1144" s="692"/>
      <c r="AS1144" s="692"/>
      <c r="AT1144" s="692"/>
      <c r="AU1144" s="692"/>
      <c r="AV1144" s="692"/>
      <c r="AW1144" s="692"/>
      <c r="AX1144" s="693"/>
      <c r="AY1144" s="733"/>
      <c r="AZ1144" s="731"/>
      <c r="BA1144" s="731"/>
      <c r="BB1144" s="731"/>
      <c r="BC1144" s="731"/>
      <c r="BD1144" s="731"/>
      <c r="BE1144" s="731"/>
      <c r="BF1144" s="731"/>
      <c r="BG1144" s="731"/>
      <c r="BH1144" s="731"/>
      <c r="BI1144" s="731"/>
      <c r="BJ1144" s="731"/>
      <c r="BK1144" s="731"/>
      <c r="BL1144" s="731"/>
      <c r="BM1144" s="731"/>
      <c r="BN1144" s="730"/>
      <c r="BO1144" s="731"/>
      <c r="BP1144" s="731"/>
      <c r="BQ1144" s="731"/>
      <c r="BR1144" s="731"/>
      <c r="BS1144" s="731"/>
      <c r="BT1144" s="731"/>
      <c r="BU1144" s="731"/>
      <c r="BV1144" s="731"/>
      <c r="BW1144" s="731"/>
      <c r="BX1144" s="731"/>
      <c r="BY1144" s="731"/>
      <c r="BZ1144" s="732"/>
      <c r="CA1144" s="270"/>
      <c r="CB1144" s="3" t="str">
        <f t="shared" si="165"/>
        <v>Riadok bude skrytý.</v>
      </c>
      <c r="CC1144" s="271" t="s">
        <v>832</v>
      </c>
      <c r="CW1144" s="30">
        <f t="shared" si="157"/>
        <v>1</v>
      </c>
      <c r="CX1144" s="30">
        <f t="shared" si="164"/>
        <v>1</v>
      </c>
      <c r="CY1144" s="30">
        <f t="shared" si="166"/>
        <v>0</v>
      </c>
      <c r="CZ1144" s="30">
        <f t="shared" si="155"/>
        <v>1</v>
      </c>
      <c r="DA1144" s="53">
        <f t="shared" si="167"/>
        <v>0</v>
      </c>
      <c r="DB1144" s="2">
        <f t="shared" si="162"/>
        <v>0</v>
      </c>
      <c r="DS1144" s="130">
        <f>SI!BY1144</f>
        <v>171</v>
      </c>
      <c r="DZ1144" s="131">
        <f>SI!BZ1144</f>
        <v>0</v>
      </c>
    </row>
    <row r="1145" spans="1:130" hidden="1" x14ac:dyDescent="0.25">
      <c r="A1145" s="141"/>
      <c r="B1145" s="742"/>
      <c r="C1145" s="743"/>
      <c r="D1145" s="743"/>
      <c r="E1145" s="743"/>
      <c r="F1145" s="743"/>
      <c r="G1145" s="743"/>
      <c r="H1145" s="743"/>
      <c r="I1145" s="743"/>
      <c r="J1145" s="743"/>
      <c r="K1145" s="743"/>
      <c r="L1145" s="743"/>
      <c r="M1145" s="743"/>
      <c r="N1145" s="743"/>
      <c r="O1145" s="743"/>
      <c r="P1145" s="743"/>
      <c r="Q1145" s="743"/>
      <c r="R1145" s="743"/>
      <c r="S1145" s="743"/>
      <c r="T1145" s="743"/>
      <c r="U1145" s="743"/>
      <c r="V1145" s="743"/>
      <c r="W1145" s="743"/>
      <c r="X1145" s="743"/>
      <c r="Y1145" s="743"/>
      <c r="Z1145" s="743"/>
      <c r="AA1145" s="744"/>
      <c r="AB1145" s="691"/>
      <c r="AC1145" s="692"/>
      <c r="AD1145" s="692"/>
      <c r="AE1145" s="692"/>
      <c r="AF1145" s="692"/>
      <c r="AG1145" s="692"/>
      <c r="AH1145" s="692"/>
      <c r="AI1145" s="692"/>
      <c r="AJ1145" s="692"/>
      <c r="AK1145" s="692"/>
      <c r="AL1145" s="692"/>
      <c r="AM1145" s="692"/>
      <c r="AN1145" s="692"/>
      <c r="AO1145" s="692"/>
      <c r="AP1145" s="692"/>
      <c r="AQ1145" s="692"/>
      <c r="AR1145" s="692"/>
      <c r="AS1145" s="692"/>
      <c r="AT1145" s="692"/>
      <c r="AU1145" s="692"/>
      <c r="AV1145" s="692"/>
      <c r="AW1145" s="692"/>
      <c r="AX1145" s="693"/>
      <c r="AY1145" s="733"/>
      <c r="AZ1145" s="731"/>
      <c r="BA1145" s="731"/>
      <c r="BB1145" s="731"/>
      <c r="BC1145" s="731"/>
      <c r="BD1145" s="731"/>
      <c r="BE1145" s="731"/>
      <c r="BF1145" s="731"/>
      <c r="BG1145" s="731"/>
      <c r="BH1145" s="731"/>
      <c r="BI1145" s="731"/>
      <c r="BJ1145" s="731"/>
      <c r="BK1145" s="731"/>
      <c r="BL1145" s="731"/>
      <c r="BM1145" s="731"/>
      <c r="BN1145" s="730"/>
      <c r="BO1145" s="731"/>
      <c r="BP1145" s="731"/>
      <c r="BQ1145" s="731"/>
      <c r="BR1145" s="731"/>
      <c r="BS1145" s="731"/>
      <c r="BT1145" s="731"/>
      <c r="BU1145" s="731"/>
      <c r="BV1145" s="731"/>
      <c r="BW1145" s="731"/>
      <c r="BX1145" s="731"/>
      <c r="BY1145" s="731"/>
      <c r="BZ1145" s="732"/>
      <c r="CA1145" s="270"/>
      <c r="CB1145" s="3" t="str">
        <f t="shared" si="165"/>
        <v>Riadok bude skrytý.</v>
      </c>
      <c r="CC1145" s="271" t="s">
        <v>832</v>
      </c>
      <c r="CW1145" s="30">
        <f t="shared" si="157"/>
        <v>1</v>
      </c>
      <c r="CX1145" s="30">
        <f t="shared" si="164"/>
        <v>1</v>
      </c>
      <c r="CY1145" s="30">
        <f t="shared" si="166"/>
        <v>0</v>
      </c>
      <c r="CZ1145" s="30">
        <f t="shared" si="155"/>
        <v>1</v>
      </c>
      <c r="DA1145" s="53">
        <f t="shared" si="167"/>
        <v>0</v>
      </c>
      <c r="DB1145" s="2">
        <f t="shared" si="162"/>
        <v>0</v>
      </c>
      <c r="DS1145" s="130">
        <f>SI!BY1145</f>
        <v>306</v>
      </c>
      <c r="DZ1145" s="131">
        <f>SI!BZ1145</f>
        <v>0</v>
      </c>
    </row>
    <row r="1146" spans="1:130" hidden="1" x14ac:dyDescent="0.25">
      <c r="A1146" s="141"/>
      <c r="B1146" s="742"/>
      <c r="C1146" s="743"/>
      <c r="D1146" s="743"/>
      <c r="E1146" s="743"/>
      <c r="F1146" s="743"/>
      <c r="G1146" s="743"/>
      <c r="H1146" s="743"/>
      <c r="I1146" s="743"/>
      <c r="J1146" s="743"/>
      <c r="K1146" s="743"/>
      <c r="L1146" s="743"/>
      <c r="M1146" s="743"/>
      <c r="N1146" s="743"/>
      <c r="O1146" s="743"/>
      <c r="P1146" s="743"/>
      <c r="Q1146" s="743"/>
      <c r="R1146" s="743"/>
      <c r="S1146" s="743"/>
      <c r="T1146" s="743"/>
      <c r="U1146" s="743"/>
      <c r="V1146" s="743"/>
      <c r="W1146" s="743"/>
      <c r="X1146" s="743"/>
      <c r="Y1146" s="743"/>
      <c r="Z1146" s="743"/>
      <c r="AA1146" s="744"/>
      <c r="AB1146" s="691"/>
      <c r="AC1146" s="692"/>
      <c r="AD1146" s="692"/>
      <c r="AE1146" s="692"/>
      <c r="AF1146" s="692"/>
      <c r="AG1146" s="692"/>
      <c r="AH1146" s="692"/>
      <c r="AI1146" s="692"/>
      <c r="AJ1146" s="692"/>
      <c r="AK1146" s="692"/>
      <c r="AL1146" s="692"/>
      <c r="AM1146" s="692"/>
      <c r="AN1146" s="692"/>
      <c r="AO1146" s="692"/>
      <c r="AP1146" s="692"/>
      <c r="AQ1146" s="692"/>
      <c r="AR1146" s="692"/>
      <c r="AS1146" s="692"/>
      <c r="AT1146" s="692"/>
      <c r="AU1146" s="692"/>
      <c r="AV1146" s="692"/>
      <c r="AW1146" s="692"/>
      <c r="AX1146" s="693"/>
      <c r="AY1146" s="733"/>
      <c r="AZ1146" s="731"/>
      <c r="BA1146" s="731"/>
      <c r="BB1146" s="731"/>
      <c r="BC1146" s="731"/>
      <c r="BD1146" s="731"/>
      <c r="BE1146" s="731"/>
      <c r="BF1146" s="731"/>
      <c r="BG1146" s="731"/>
      <c r="BH1146" s="731"/>
      <c r="BI1146" s="731"/>
      <c r="BJ1146" s="731"/>
      <c r="BK1146" s="731"/>
      <c r="BL1146" s="731"/>
      <c r="BM1146" s="731"/>
      <c r="BN1146" s="730"/>
      <c r="BO1146" s="731"/>
      <c r="BP1146" s="731"/>
      <c r="BQ1146" s="731"/>
      <c r="BR1146" s="731"/>
      <c r="BS1146" s="731"/>
      <c r="BT1146" s="731"/>
      <c r="BU1146" s="731"/>
      <c r="BV1146" s="731"/>
      <c r="BW1146" s="731"/>
      <c r="BX1146" s="731"/>
      <c r="BY1146" s="731"/>
      <c r="BZ1146" s="732"/>
      <c r="CA1146" s="270"/>
      <c r="CB1146" s="3" t="str">
        <f t="shared" si="165"/>
        <v>Riadok bude skrytý.</v>
      </c>
      <c r="CC1146" s="271" t="s">
        <v>832</v>
      </c>
      <c r="CW1146" s="30">
        <f t="shared" si="157"/>
        <v>1</v>
      </c>
      <c r="CX1146" s="30">
        <f t="shared" si="164"/>
        <v>1</v>
      </c>
      <c r="CY1146" s="30">
        <f t="shared" si="166"/>
        <v>0</v>
      </c>
      <c r="CZ1146" s="30">
        <f t="shared" si="155"/>
        <v>1</v>
      </c>
      <c r="DA1146" s="53">
        <f t="shared" si="167"/>
        <v>0</v>
      </c>
      <c r="DB1146" s="2">
        <f t="shared" si="162"/>
        <v>0</v>
      </c>
      <c r="DS1146" s="130">
        <f>SI!BY1146</f>
        <v>197</v>
      </c>
      <c r="DZ1146" s="131">
        <f>SI!BZ1146</f>
        <v>0</v>
      </c>
    </row>
    <row r="1147" spans="1:130" hidden="1" x14ac:dyDescent="0.25">
      <c r="A1147" s="141"/>
      <c r="B1147" s="742"/>
      <c r="C1147" s="743"/>
      <c r="D1147" s="743"/>
      <c r="E1147" s="743"/>
      <c r="F1147" s="743"/>
      <c r="G1147" s="743"/>
      <c r="H1147" s="743"/>
      <c r="I1147" s="743"/>
      <c r="J1147" s="743"/>
      <c r="K1147" s="743"/>
      <c r="L1147" s="743"/>
      <c r="M1147" s="743"/>
      <c r="N1147" s="743"/>
      <c r="O1147" s="743"/>
      <c r="P1147" s="743"/>
      <c r="Q1147" s="743"/>
      <c r="R1147" s="743"/>
      <c r="S1147" s="743"/>
      <c r="T1147" s="743"/>
      <c r="U1147" s="743"/>
      <c r="V1147" s="743"/>
      <c r="W1147" s="743"/>
      <c r="X1147" s="743"/>
      <c r="Y1147" s="743"/>
      <c r="Z1147" s="743"/>
      <c r="AA1147" s="744"/>
      <c r="AB1147" s="691"/>
      <c r="AC1147" s="692"/>
      <c r="AD1147" s="692"/>
      <c r="AE1147" s="692"/>
      <c r="AF1147" s="692"/>
      <c r="AG1147" s="692"/>
      <c r="AH1147" s="692"/>
      <c r="AI1147" s="692"/>
      <c r="AJ1147" s="692"/>
      <c r="AK1147" s="692"/>
      <c r="AL1147" s="692"/>
      <c r="AM1147" s="692"/>
      <c r="AN1147" s="692"/>
      <c r="AO1147" s="692"/>
      <c r="AP1147" s="692"/>
      <c r="AQ1147" s="692"/>
      <c r="AR1147" s="692"/>
      <c r="AS1147" s="692"/>
      <c r="AT1147" s="692"/>
      <c r="AU1147" s="692"/>
      <c r="AV1147" s="692"/>
      <c r="AW1147" s="692"/>
      <c r="AX1147" s="693"/>
      <c r="AY1147" s="733"/>
      <c r="AZ1147" s="731"/>
      <c r="BA1147" s="731"/>
      <c r="BB1147" s="731"/>
      <c r="BC1147" s="731"/>
      <c r="BD1147" s="731"/>
      <c r="BE1147" s="731"/>
      <c r="BF1147" s="731"/>
      <c r="BG1147" s="731"/>
      <c r="BH1147" s="731"/>
      <c r="BI1147" s="731"/>
      <c r="BJ1147" s="731"/>
      <c r="BK1147" s="731"/>
      <c r="BL1147" s="731"/>
      <c r="BM1147" s="731"/>
      <c r="BN1147" s="730"/>
      <c r="BO1147" s="731"/>
      <c r="BP1147" s="731"/>
      <c r="BQ1147" s="731"/>
      <c r="BR1147" s="731"/>
      <c r="BS1147" s="731"/>
      <c r="BT1147" s="731"/>
      <c r="BU1147" s="731"/>
      <c r="BV1147" s="731"/>
      <c r="BW1147" s="731"/>
      <c r="BX1147" s="731"/>
      <c r="BY1147" s="731"/>
      <c r="BZ1147" s="732"/>
      <c r="CA1147" s="270"/>
      <c r="CB1147" s="3" t="str">
        <f t="shared" si="165"/>
        <v>Riadok bude skrytý.</v>
      </c>
      <c r="CC1147" s="271" t="s">
        <v>832</v>
      </c>
      <c r="CW1147" s="30">
        <f t="shared" si="157"/>
        <v>1</v>
      </c>
      <c r="CX1147" s="30">
        <f t="shared" si="164"/>
        <v>1</v>
      </c>
      <c r="CY1147" s="30">
        <f t="shared" si="166"/>
        <v>0</v>
      </c>
      <c r="CZ1147" s="30">
        <f t="shared" si="155"/>
        <v>1</v>
      </c>
      <c r="DA1147" s="53">
        <f t="shared" si="167"/>
        <v>0</v>
      </c>
      <c r="DB1147" s="2">
        <f t="shared" si="162"/>
        <v>0</v>
      </c>
      <c r="DS1147" s="130">
        <f>SI!BY1147</f>
        <v>170</v>
      </c>
      <c r="DZ1147" s="131">
        <f>SI!BZ1147</f>
        <v>0</v>
      </c>
    </row>
    <row r="1148" spans="1:130" hidden="1" x14ac:dyDescent="0.25">
      <c r="A1148" s="141"/>
      <c r="B1148" s="742"/>
      <c r="C1148" s="743"/>
      <c r="D1148" s="743"/>
      <c r="E1148" s="743"/>
      <c r="F1148" s="743"/>
      <c r="G1148" s="743"/>
      <c r="H1148" s="743"/>
      <c r="I1148" s="743"/>
      <c r="J1148" s="743"/>
      <c r="K1148" s="743"/>
      <c r="L1148" s="743"/>
      <c r="M1148" s="743"/>
      <c r="N1148" s="743"/>
      <c r="O1148" s="743"/>
      <c r="P1148" s="743"/>
      <c r="Q1148" s="743"/>
      <c r="R1148" s="743"/>
      <c r="S1148" s="743"/>
      <c r="T1148" s="743"/>
      <c r="U1148" s="743"/>
      <c r="V1148" s="743"/>
      <c r="W1148" s="743"/>
      <c r="X1148" s="743"/>
      <c r="Y1148" s="743"/>
      <c r="Z1148" s="743"/>
      <c r="AA1148" s="744"/>
      <c r="AB1148" s="691"/>
      <c r="AC1148" s="692"/>
      <c r="AD1148" s="692"/>
      <c r="AE1148" s="692"/>
      <c r="AF1148" s="692"/>
      <c r="AG1148" s="692"/>
      <c r="AH1148" s="692"/>
      <c r="AI1148" s="692"/>
      <c r="AJ1148" s="692"/>
      <c r="AK1148" s="692"/>
      <c r="AL1148" s="692"/>
      <c r="AM1148" s="692"/>
      <c r="AN1148" s="692"/>
      <c r="AO1148" s="692"/>
      <c r="AP1148" s="692"/>
      <c r="AQ1148" s="692"/>
      <c r="AR1148" s="692"/>
      <c r="AS1148" s="692"/>
      <c r="AT1148" s="692"/>
      <c r="AU1148" s="692"/>
      <c r="AV1148" s="692"/>
      <c r="AW1148" s="692"/>
      <c r="AX1148" s="693"/>
      <c r="AY1148" s="733"/>
      <c r="AZ1148" s="731"/>
      <c r="BA1148" s="731"/>
      <c r="BB1148" s="731"/>
      <c r="BC1148" s="731"/>
      <c r="BD1148" s="731"/>
      <c r="BE1148" s="731"/>
      <c r="BF1148" s="731"/>
      <c r="BG1148" s="731"/>
      <c r="BH1148" s="731"/>
      <c r="BI1148" s="731"/>
      <c r="BJ1148" s="731"/>
      <c r="BK1148" s="731"/>
      <c r="BL1148" s="731"/>
      <c r="BM1148" s="731"/>
      <c r="BN1148" s="730"/>
      <c r="BO1148" s="731"/>
      <c r="BP1148" s="731"/>
      <c r="BQ1148" s="731"/>
      <c r="BR1148" s="731"/>
      <c r="BS1148" s="731"/>
      <c r="BT1148" s="731"/>
      <c r="BU1148" s="731"/>
      <c r="BV1148" s="731"/>
      <c r="BW1148" s="731"/>
      <c r="BX1148" s="731"/>
      <c r="BY1148" s="731"/>
      <c r="BZ1148" s="732"/>
      <c r="CA1148" s="270"/>
      <c r="CB1148" s="3" t="str">
        <f t="shared" si="165"/>
        <v>Riadok bude skrytý.</v>
      </c>
      <c r="CC1148" s="271" t="s">
        <v>832</v>
      </c>
      <c r="CW1148" s="30">
        <f t="shared" si="157"/>
        <v>1</v>
      </c>
      <c r="CX1148" s="30">
        <f t="shared" si="164"/>
        <v>1</v>
      </c>
      <c r="CY1148" s="30">
        <f t="shared" si="166"/>
        <v>0</v>
      </c>
      <c r="CZ1148" s="30">
        <f t="shared" si="155"/>
        <v>1</v>
      </c>
      <c r="DA1148" s="53">
        <f t="shared" si="167"/>
        <v>0</v>
      </c>
      <c r="DB1148" s="2">
        <f t="shared" si="162"/>
        <v>0</v>
      </c>
      <c r="DS1148" s="130">
        <f>SI!BY1148</f>
        <v>145</v>
      </c>
      <c r="DZ1148" s="131">
        <f>SI!BZ1148</f>
        <v>0</v>
      </c>
    </row>
    <row r="1149" spans="1:130" hidden="1" x14ac:dyDescent="0.25">
      <c r="A1149" s="141"/>
      <c r="B1149" s="742"/>
      <c r="C1149" s="743"/>
      <c r="D1149" s="743"/>
      <c r="E1149" s="743"/>
      <c r="F1149" s="743"/>
      <c r="G1149" s="743"/>
      <c r="H1149" s="743"/>
      <c r="I1149" s="743"/>
      <c r="J1149" s="743"/>
      <c r="K1149" s="743"/>
      <c r="L1149" s="743"/>
      <c r="M1149" s="743"/>
      <c r="N1149" s="743"/>
      <c r="O1149" s="743"/>
      <c r="P1149" s="743"/>
      <c r="Q1149" s="743"/>
      <c r="R1149" s="743"/>
      <c r="S1149" s="743"/>
      <c r="T1149" s="743"/>
      <c r="U1149" s="743"/>
      <c r="V1149" s="743"/>
      <c r="W1149" s="743"/>
      <c r="X1149" s="743"/>
      <c r="Y1149" s="743"/>
      <c r="Z1149" s="743"/>
      <c r="AA1149" s="744"/>
      <c r="AB1149" s="691"/>
      <c r="AC1149" s="692"/>
      <c r="AD1149" s="692"/>
      <c r="AE1149" s="692"/>
      <c r="AF1149" s="692"/>
      <c r="AG1149" s="692"/>
      <c r="AH1149" s="692"/>
      <c r="AI1149" s="692"/>
      <c r="AJ1149" s="692"/>
      <c r="AK1149" s="692"/>
      <c r="AL1149" s="692"/>
      <c r="AM1149" s="692"/>
      <c r="AN1149" s="692"/>
      <c r="AO1149" s="692"/>
      <c r="AP1149" s="692"/>
      <c r="AQ1149" s="692"/>
      <c r="AR1149" s="692"/>
      <c r="AS1149" s="692"/>
      <c r="AT1149" s="692"/>
      <c r="AU1149" s="692"/>
      <c r="AV1149" s="692"/>
      <c r="AW1149" s="692"/>
      <c r="AX1149" s="693"/>
      <c r="AY1149" s="733"/>
      <c r="AZ1149" s="731"/>
      <c r="BA1149" s="731"/>
      <c r="BB1149" s="731"/>
      <c r="BC1149" s="731"/>
      <c r="BD1149" s="731"/>
      <c r="BE1149" s="731"/>
      <c r="BF1149" s="731"/>
      <c r="BG1149" s="731"/>
      <c r="BH1149" s="731"/>
      <c r="BI1149" s="731"/>
      <c r="BJ1149" s="731"/>
      <c r="BK1149" s="731"/>
      <c r="BL1149" s="731"/>
      <c r="BM1149" s="731"/>
      <c r="BN1149" s="730"/>
      <c r="BO1149" s="731"/>
      <c r="BP1149" s="731"/>
      <c r="BQ1149" s="731"/>
      <c r="BR1149" s="731"/>
      <c r="BS1149" s="731"/>
      <c r="BT1149" s="731"/>
      <c r="BU1149" s="731"/>
      <c r="BV1149" s="731"/>
      <c r="BW1149" s="731"/>
      <c r="BX1149" s="731"/>
      <c r="BY1149" s="731"/>
      <c r="BZ1149" s="732"/>
      <c r="CA1149" s="270"/>
      <c r="CB1149" s="3" t="str">
        <f t="shared" si="165"/>
        <v>Riadok bude skrytý.</v>
      </c>
      <c r="CC1149" s="271" t="s">
        <v>832</v>
      </c>
      <c r="CW1149" s="30">
        <f t="shared" si="157"/>
        <v>1</v>
      </c>
      <c r="CX1149" s="30">
        <f t="shared" si="164"/>
        <v>1</v>
      </c>
      <c r="CY1149" s="30">
        <f t="shared" si="166"/>
        <v>0</v>
      </c>
      <c r="CZ1149" s="30">
        <f t="shared" si="155"/>
        <v>1</v>
      </c>
      <c r="DA1149" s="53">
        <f t="shared" si="167"/>
        <v>0</v>
      </c>
      <c r="DB1149" s="2">
        <f t="shared" si="162"/>
        <v>0</v>
      </c>
      <c r="DS1149" s="130">
        <f>SI!BY1149</f>
        <v>665</v>
      </c>
      <c r="DZ1149" s="131">
        <f>SI!BZ1149</f>
        <v>0</v>
      </c>
    </row>
    <row r="1150" spans="1:130" hidden="1" x14ac:dyDescent="0.25">
      <c r="A1150" s="141"/>
      <c r="B1150" s="745"/>
      <c r="C1150" s="746"/>
      <c r="D1150" s="746"/>
      <c r="E1150" s="746"/>
      <c r="F1150" s="746"/>
      <c r="G1150" s="746"/>
      <c r="H1150" s="746"/>
      <c r="I1150" s="746"/>
      <c r="J1150" s="746"/>
      <c r="K1150" s="746"/>
      <c r="L1150" s="746"/>
      <c r="M1150" s="746"/>
      <c r="N1150" s="746"/>
      <c r="O1150" s="746"/>
      <c r="P1150" s="746"/>
      <c r="Q1150" s="746"/>
      <c r="R1150" s="746"/>
      <c r="S1150" s="746"/>
      <c r="T1150" s="746"/>
      <c r="U1150" s="746"/>
      <c r="V1150" s="746"/>
      <c r="W1150" s="746"/>
      <c r="X1150" s="746"/>
      <c r="Y1150" s="746"/>
      <c r="Z1150" s="746"/>
      <c r="AA1150" s="747"/>
      <c r="AB1150" s="1448"/>
      <c r="AC1150" s="1449"/>
      <c r="AD1150" s="1449"/>
      <c r="AE1150" s="1449"/>
      <c r="AF1150" s="1449"/>
      <c r="AG1150" s="1449"/>
      <c r="AH1150" s="1449"/>
      <c r="AI1150" s="1449"/>
      <c r="AJ1150" s="1449"/>
      <c r="AK1150" s="1449"/>
      <c r="AL1150" s="1449"/>
      <c r="AM1150" s="1449"/>
      <c r="AN1150" s="1449"/>
      <c r="AO1150" s="1449"/>
      <c r="AP1150" s="1449"/>
      <c r="AQ1150" s="1449"/>
      <c r="AR1150" s="1449"/>
      <c r="AS1150" s="1449"/>
      <c r="AT1150" s="1449"/>
      <c r="AU1150" s="1449"/>
      <c r="AV1150" s="1449"/>
      <c r="AW1150" s="1449"/>
      <c r="AX1150" s="1450"/>
      <c r="AY1150" s="1768"/>
      <c r="AZ1150" s="1452"/>
      <c r="BA1150" s="1452"/>
      <c r="BB1150" s="1452"/>
      <c r="BC1150" s="1452"/>
      <c r="BD1150" s="1452"/>
      <c r="BE1150" s="1452"/>
      <c r="BF1150" s="1452"/>
      <c r="BG1150" s="1452"/>
      <c r="BH1150" s="1452"/>
      <c r="BI1150" s="1452"/>
      <c r="BJ1150" s="1452"/>
      <c r="BK1150" s="1452"/>
      <c r="BL1150" s="1452"/>
      <c r="BM1150" s="1452"/>
      <c r="BN1150" s="1451"/>
      <c r="BO1150" s="1452"/>
      <c r="BP1150" s="1452"/>
      <c r="BQ1150" s="1452"/>
      <c r="BR1150" s="1452"/>
      <c r="BS1150" s="1452"/>
      <c r="BT1150" s="1452"/>
      <c r="BU1150" s="1452"/>
      <c r="BV1150" s="1452"/>
      <c r="BW1150" s="1452"/>
      <c r="BX1150" s="1452"/>
      <c r="BY1150" s="1452"/>
      <c r="BZ1150" s="1453"/>
      <c r="CA1150" s="270"/>
      <c r="CB1150" s="3" t="str">
        <f t="shared" si="165"/>
        <v>Riadok bude skrytý.</v>
      </c>
      <c r="CC1150" s="271" t="s">
        <v>832</v>
      </c>
      <c r="CW1150" s="30">
        <f t="shared" si="157"/>
        <v>1</v>
      </c>
      <c r="CX1150" s="30">
        <f t="shared" si="164"/>
        <v>1</v>
      </c>
      <c r="CZ1150" s="30">
        <f t="shared" si="155"/>
        <v>1</v>
      </c>
      <c r="DA1150" s="52">
        <f>+IF(CW1150*CX1150=0,0,IF(CZ1150=0,0,1))</f>
        <v>1</v>
      </c>
      <c r="DB1150" s="2">
        <f t="shared" si="162"/>
        <v>0</v>
      </c>
      <c r="DS1150" s="130">
        <f>SI!BY1150</f>
        <v>112</v>
      </c>
      <c r="DZ1150" s="131">
        <f>SI!BZ1150</f>
        <v>0</v>
      </c>
    </row>
    <row r="1151" spans="1:130" hidden="1" x14ac:dyDescent="0.25">
      <c r="A1151" s="141"/>
      <c r="CA1151" s="142"/>
      <c r="CB1151" s="3" t="str">
        <f t="shared" si="165"/>
        <v>Riadok bude skrytý.</v>
      </c>
      <c r="CC1151" s="271" t="s">
        <v>832</v>
      </c>
      <c r="CW1151" s="74">
        <v>1</v>
      </c>
      <c r="CX1151" s="30">
        <f t="shared" si="164"/>
        <v>1</v>
      </c>
      <c r="CZ1151" s="30">
        <f t="shared" si="155"/>
        <v>1</v>
      </c>
      <c r="DA1151" s="52">
        <f>+IF(CW1151*CX1151=0,0,IF(CZ1151=0,0,1))</f>
        <v>1</v>
      </c>
      <c r="DB1151" s="2">
        <f t="shared" si="162"/>
        <v>0</v>
      </c>
      <c r="DS1151" s="130">
        <f>SI!BY1151</f>
        <v>144</v>
      </c>
      <c r="DZ1151" s="131">
        <f>SI!BZ1151</f>
        <v>0</v>
      </c>
    </row>
    <row r="1152" spans="1:130" hidden="1" x14ac:dyDescent="0.25">
      <c r="A1152" s="141"/>
      <c r="B1152" s="137" t="s">
        <v>96</v>
      </c>
      <c r="J1152" s="378" t="s">
        <v>152</v>
      </c>
      <c r="K1152" s="378"/>
      <c r="L1152" s="378"/>
      <c r="M1152" s="378"/>
      <c r="N1152" s="378"/>
      <c r="O1152" s="378"/>
      <c r="P1152" s="378"/>
      <c r="Q1152" s="378"/>
      <c r="R1152" s="378"/>
      <c r="S1152" s="137" t="str">
        <f>+IF($U$52&lt;&gt;"",IF((ROUNDDOWN(CODE(MID($U$52,1,1)),0)-(BIN2DEC(1010)/10))*(IF(SI!EE1152="",1,SI!EE1152))+(LEN(SI!J2)+LEN(SI!J5))=DS1152,"dlhodobý nehnuteľný majetok, ktorý ku dňu závierky používa, no vlastnícke ","NEPOVOLENÉ POUŽITIE!"),"NEPOVOLENÉ POUŽITIE!")</f>
        <v xml:space="preserve">dlhodobý nehnuteľný majetok, ktorý ku dňu závierky používa, no vlastnícke </v>
      </c>
      <c r="T1152" s="38"/>
      <c r="CA1152" s="265" t="s">
        <v>773</v>
      </c>
      <c r="CB1152" s="3" t="str">
        <f t="shared" si="165"/>
        <v>Riadok bude skrytý.</v>
      </c>
      <c r="CC1152" s="271" t="s">
        <v>832</v>
      </c>
      <c r="CF1152" s="13"/>
      <c r="CW1152" s="30">
        <f>+IF($J$1152="neeviduje",1,1)</f>
        <v>1</v>
      </c>
      <c r="CY1152" s="43"/>
      <c r="CZ1152" s="30">
        <f t="shared" si="155"/>
        <v>1</v>
      </c>
      <c r="DA1152" s="30">
        <f t="shared" ref="DA1152:DA1157" si="168">+IF(CW1152+CX1152+CY1152=0,0,IF(CZ1152=0,0,1))</f>
        <v>1</v>
      </c>
      <c r="DB1152" s="2">
        <f t="shared" si="162"/>
        <v>0</v>
      </c>
      <c r="DS1152" s="130">
        <f>SI!BY1152</f>
        <v>28</v>
      </c>
      <c r="DZ1152" s="131">
        <f>SI!BZ1152</f>
        <v>0</v>
      </c>
    </row>
    <row r="1153" spans="1:130" hidden="1" x14ac:dyDescent="0.25">
      <c r="A1153" s="141"/>
      <c r="B1153" s="137" t="str">
        <f>+IF($E$52&lt;&gt;"",IF(ROUNDDOWN(CODE(MID($E$52,1,1))/10,0)*(IF(SI!EE1153="",1,SI!EE1153))+(LEN(SI!J2)+2)=DS1153,"právo nie je zapísané v katastri nehnuteľností.","NEPOVOLENÉ POUŽITIE!"),"NEPOVOLENÉ POUŽITIE!")</f>
        <v>právo nie je zapísané v katastri nehnuteľností.</v>
      </c>
      <c r="CA1153" s="297"/>
      <c r="CB1153" s="3" t="str">
        <f t="shared" si="165"/>
        <v>Riadok bude skrytý.</v>
      </c>
      <c r="CC1153" s="271" t="s">
        <v>832</v>
      </c>
      <c r="CF1153" s="13"/>
      <c r="CW1153" s="30">
        <f>+IF($J$1152="neeviduje",1,1)</f>
        <v>1</v>
      </c>
      <c r="CY1153" s="43"/>
      <c r="CZ1153" s="30">
        <f t="shared" si="155"/>
        <v>1</v>
      </c>
      <c r="DA1153" s="30">
        <f t="shared" si="168"/>
        <v>1</v>
      </c>
      <c r="DB1153" s="2">
        <f t="shared" si="162"/>
        <v>0</v>
      </c>
      <c r="DS1153" s="130">
        <f>SI!BY1153</f>
        <v>15</v>
      </c>
      <c r="DZ1153" s="131">
        <f>SI!BZ1153</f>
        <v>0</v>
      </c>
    </row>
    <row r="1154" spans="1:130" hidden="1" x14ac:dyDescent="0.25">
      <c r="A1154" s="141"/>
      <c r="B1154" s="137" t="str">
        <f>+IF(J1152="eviduje","Zoznam takéhoto nehnuteľného majetku je uvedený v tabuľke:","")</f>
        <v>Zoznam takéhoto nehnuteľného majetku je uvedený v tabuľke:</v>
      </c>
      <c r="CA1154" s="270"/>
      <c r="CB1154" s="3" t="str">
        <f t="shared" si="165"/>
        <v>Riadok bude skrytý.</v>
      </c>
      <c r="CC1154" s="271" t="s">
        <v>832</v>
      </c>
      <c r="CW1154" s="30">
        <f>+IF($J$1152="neeviduje",1,1)</f>
        <v>1</v>
      </c>
      <c r="CZ1154" s="30">
        <f t="shared" si="155"/>
        <v>1</v>
      </c>
      <c r="DA1154" s="30">
        <f t="shared" si="168"/>
        <v>1</v>
      </c>
      <c r="DB1154" s="2">
        <f t="shared" si="162"/>
        <v>0</v>
      </c>
      <c r="DS1154" s="130">
        <f>SI!BY1154</f>
        <v>110</v>
      </c>
      <c r="DZ1154" s="131">
        <f>SI!BZ1154</f>
        <v>0</v>
      </c>
    </row>
    <row r="1155" spans="1:130" hidden="1" x14ac:dyDescent="0.25">
      <c r="A1155" s="141"/>
      <c r="CA1155" s="270"/>
      <c r="CB1155" s="3" t="str">
        <f t="shared" si="165"/>
        <v>Riadok bude skrytý.</v>
      </c>
      <c r="CC1155" s="271" t="s">
        <v>832</v>
      </c>
      <c r="CW1155" s="30">
        <f t="shared" ref="CW1155:CW1167" si="169">+IF($J$1152="neeviduje",0,1)</f>
        <v>1</v>
      </c>
      <c r="CZ1155" s="30">
        <f t="shared" si="155"/>
        <v>1</v>
      </c>
      <c r="DA1155" s="30">
        <f t="shared" si="168"/>
        <v>1</v>
      </c>
      <c r="DB1155" s="2">
        <f t="shared" si="162"/>
        <v>0</v>
      </c>
      <c r="DS1155" s="130">
        <f>SI!BY1155</f>
        <v>554</v>
      </c>
      <c r="DZ1155" s="131">
        <f>SI!BZ1155</f>
        <v>0</v>
      </c>
    </row>
    <row r="1156" spans="1:130" ht="14.95" hidden="1" customHeight="1" x14ac:dyDescent="0.25">
      <c r="A1156" s="141"/>
      <c r="B1156" s="736" t="s">
        <v>789</v>
      </c>
      <c r="C1156" s="737"/>
      <c r="D1156" s="737"/>
      <c r="E1156" s="737"/>
      <c r="F1156" s="737"/>
      <c r="G1156" s="737"/>
      <c r="H1156" s="737"/>
      <c r="I1156" s="737"/>
      <c r="J1156" s="737"/>
      <c r="K1156" s="737"/>
      <c r="L1156" s="737"/>
      <c r="M1156" s="737"/>
      <c r="N1156" s="737"/>
      <c r="O1156" s="737"/>
      <c r="P1156" s="737"/>
      <c r="Q1156" s="737"/>
      <c r="R1156" s="737"/>
      <c r="S1156" s="737"/>
      <c r="T1156" s="737"/>
      <c r="U1156" s="737"/>
      <c r="V1156" s="737"/>
      <c r="W1156" s="737"/>
      <c r="X1156" s="737"/>
      <c r="Y1156" s="737"/>
      <c r="Z1156" s="737"/>
      <c r="AA1156" s="737"/>
      <c r="AB1156" s="737"/>
      <c r="AC1156" s="737"/>
      <c r="AD1156" s="737"/>
      <c r="AE1156" s="737"/>
      <c r="AF1156" s="737"/>
      <c r="AG1156" s="737"/>
      <c r="AH1156" s="737"/>
      <c r="AI1156" s="737"/>
      <c r="AJ1156" s="737"/>
      <c r="AK1156" s="737"/>
      <c r="AL1156" s="737"/>
      <c r="AM1156" s="737"/>
      <c r="AN1156" s="737"/>
      <c r="AO1156" s="737"/>
      <c r="AP1156" s="737"/>
      <c r="AQ1156" s="737"/>
      <c r="AR1156" s="737"/>
      <c r="AS1156" s="737"/>
      <c r="AT1156" s="737"/>
      <c r="AU1156" s="737"/>
      <c r="AV1156" s="737"/>
      <c r="AW1156" s="737"/>
      <c r="AX1156" s="737"/>
      <c r="AY1156" s="1216" t="s">
        <v>788</v>
      </c>
      <c r="AZ1156" s="1217"/>
      <c r="BA1156" s="1217"/>
      <c r="BB1156" s="1217"/>
      <c r="BC1156" s="1217"/>
      <c r="BD1156" s="1217"/>
      <c r="BE1156" s="1217"/>
      <c r="BF1156" s="1217"/>
      <c r="BG1156" s="1217"/>
      <c r="BH1156" s="1217"/>
      <c r="BI1156" s="1217"/>
      <c r="BJ1156" s="1217"/>
      <c r="BK1156" s="1217"/>
      <c r="BL1156" s="1217"/>
      <c r="BM1156" s="1217"/>
      <c r="BN1156" s="1217"/>
      <c r="BO1156" s="1217"/>
      <c r="BP1156" s="1217"/>
      <c r="BQ1156" s="1217"/>
      <c r="BR1156" s="1217"/>
      <c r="BS1156" s="1217"/>
      <c r="BT1156" s="1217"/>
      <c r="BU1156" s="1217"/>
      <c r="BV1156" s="1217"/>
      <c r="BW1156" s="1217"/>
      <c r="BX1156" s="1217"/>
      <c r="BY1156" s="1217"/>
      <c r="BZ1156" s="1218"/>
      <c r="CA1156" s="265" t="s">
        <v>773</v>
      </c>
      <c r="CB1156" s="3" t="str">
        <f t="shared" si="165"/>
        <v>Riadok bude skrytý.</v>
      </c>
      <c r="CC1156" s="271" t="s">
        <v>832</v>
      </c>
      <c r="CW1156" s="30">
        <f t="shared" si="169"/>
        <v>1</v>
      </c>
      <c r="CZ1156" s="30">
        <f t="shared" si="155"/>
        <v>1</v>
      </c>
      <c r="DA1156" s="30">
        <f t="shared" si="168"/>
        <v>1</v>
      </c>
      <c r="DB1156" s="2">
        <f t="shared" si="162"/>
        <v>0</v>
      </c>
      <c r="DS1156" s="130">
        <f>SI!BY1156</f>
        <v>180</v>
      </c>
      <c r="DZ1156" s="131">
        <f>SI!BZ1156</f>
        <v>0</v>
      </c>
    </row>
    <row r="1157" spans="1:130" hidden="1" x14ac:dyDescent="0.25">
      <c r="A1157" s="141"/>
      <c r="B1157" s="739"/>
      <c r="C1157" s="740"/>
      <c r="D1157" s="740"/>
      <c r="E1157" s="740"/>
      <c r="F1157" s="740"/>
      <c r="G1157" s="740"/>
      <c r="H1157" s="740"/>
      <c r="I1157" s="740"/>
      <c r="J1157" s="740"/>
      <c r="K1157" s="740"/>
      <c r="L1157" s="740"/>
      <c r="M1157" s="740"/>
      <c r="N1157" s="740"/>
      <c r="O1157" s="740"/>
      <c r="P1157" s="740"/>
      <c r="Q1157" s="740"/>
      <c r="R1157" s="740"/>
      <c r="S1157" s="740"/>
      <c r="T1157" s="740"/>
      <c r="U1157" s="740"/>
      <c r="V1157" s="740"/>
      <c r="W1157" s="740"/>
      <c r="X1157" s="740"/>
      <c r="Y1157" s="740"/>
      <c r="Z1157" s="740"/>
      <c r="AA1157" s="740"/>
      <c r="AB1157" s="740"/>
      <c r="AC1157" s="740"/>
      <c r="AD1157" s="740"/>
      <c r="AE1157" s="740"/>
      <c r="AF1157" s="740"/>
      <c r="AG1157" s="740"/>
      <c r="AH1157" s="740"/>
      <c r="AI1157" s="740"/>
      <c r="AJ1157" s="740"/>
      <c r="AK1157" s="740"/>
      <c r="AL1157" s="740"/>
      <c r="AM1157" s="740"/>
      <c r="AN1157" s="740"/>
      <c r="AO1157" s="740"/>
      <c r="AP1157" s="740"/>
      <c r="AQ1157" s="740"/>
      <c r="AR1157" s="740"/>
      <c r="AS1157" s="740"/>
      <c r="AT1157" s="740"/>
      <c r="AU1157" s="740"/>
      <c r="AV1157" s="740"/>
      <c r="AW1157" s="740"/>
      <c r="AX1157" s="740"/>
      <c r="AY1157" s="1753">
        <f>+AJ141</f>
        <v>2021</v>
      </c>
      <c r="AZ1157" s="1754"/>
      <c r="BA1157" s="1754"/>
      <c r="BB1157" s="1754"/>
      <c r="BC1157" s="1754"/>
      <c r="BD1157" s="1754"/>
      <c r="BE1157" s="1754"/>
      <c r="BF1157" s="1754"/>
      <c r="BG1157" s="1754"/>
      <c r="BH1157" s="1754"/>
      <c r="BI1157" s="1754"/>
      <c r="BJ1157" s="1754"/>
      <c r="BK1157" s="1754"/>
      <c r="BL1157" s="1754"/>
      <c r="BM1157" s="1754"/>
      <c r="BN1157" s="1766">
        <f>+BE141</f>
        <v>2020</v>
      </c>
      <c r="BO1157" s="1754"/>
      <c r="BP1157" s="1754"/>
      <c r="BQ1157" s="1754"/>
      <c r="BR1157" s="1754"/>
      <c r="BS1157" s="1754"/>
      <c r="BT1157" s="1754"/>
      <c r="BU1157" s="1754"/>
      <c r="BV1157" s="1754"/>
      <c r="BW1157" s="1754"/>
      <c r="BX1157" s="1754"/>
      <c r="BY1157" s="1754"/>
      <c r="BZ1157" s="1767"/>
      <c r="CA1157" s="270"/>
      <c r="CB1157" s="3" t="str">
        <f t="shared" si="165"/>
        <v>Riadok bude skrytý.</v>
      </c>
      <c r="CC1157" s="271" t="s">
        <v>832</v>
      </c>
      <c r="CW1157" s="30">
        <f t="shared" si="169"/>
        <v>1</v>
      </c>
      <c r="CZ1157" s="30">
        <f t="shared" si="155"/>
        <v>1</v>
      </c>
      <c r="DA1157" s="30">
        <f t="shared" si="168"/>
        <v>1</v>
      </c>
      <c r="DB1157" s="2">
        <f t="shared" si="162"/>
        <v>0</v>
      </c>
      <c r="DS1157" s="130">
        <f>SI!BY1157</f>
        <v>825</v>
      </c>
      <c r="DZ1157" s="131">
        <f>SI!BZ1157</f>
        <v>0</v>
      </c>
    </row>
    <row r="1158" spans="1:130" hidden="1" x14ac:dyDescent="0.25">
      <c r="A1158" s="141"/>
      <c r="B1158" s="1021"/>
      <c r="C1158" s="1022"/>
      <c r="D1158" s="1022"/>
      <c r="E1158" s="1022"/>
      <c r="F1158" s="1022"/>
      <c r="G1158" s="1022"/>
      <c r="H1158" s="1022"/>
      <c r="I1158" s="1022"/>
      <c r="J1158" s="1022"/>
      <c r="K1158" s="1022"/>
      <c r="L1158" s="1022"/>
      <c r="M1158" s="1022"/>
      <c r="N1158" s="1022"/>
      <c r="O1158" s="1022"/>
      <c r="P1158" s="1022"/>
      <c r="Q1158" s="1022"/>
      <c r="R1158" s="1022"/>
      <c r="S1158" s="1022"/>
      <c r="T1158" s="1022"/>
      <c r="U1158" s="1022"/>
      <c r="V1158" s="1022"/>
      <c r="W1158" s="1022"/>
      <c r="X1158" s="1022"/>
      <c r="Y1158" s="1022"/>
      <c r="Z1158" s="1022"/>
      <c r="AA1158" s="1022"/>
      <c r="AB1158" s="1022"/>
      <c r="AC1158" s="1022"/>
      <c r="AD1158" s="1022"/>
      <c r="AE1158" s="1022"/>
      <c r="AF1158" s="1022"/>
      <c r="AG1158" s="1022"/>
      <c r="AH1158" s="1022"/>
      <c r="AI1158" s="1022"/>
      <c r="AJ1158" s="1022"/>
      <c r="AK1158" s="1022"/>
      <c r="AL1158" s="1022"/>
      <c r="AM1158" s="1022"/>
      <c r="AN1158" s="1022"/>
      <c r="AO1158" s="1022"/>
      <c r="AP1158" s="1022"/>
      <c r="AQ1158" s="1022"/>
      <c r="AR1158" s="1022"/>
      <c r="AS1158" s="1022"/>
      <c r="AT1158" s="1022"/>
      <c r="AU1158" s="1022"/>
      <c r="AV1158" s="1022"/>
      <c r="AW1158" s="1022"/>
      <c r="AX1158" s="1022"/>
      <c r="AY1158" s="1799"/>
      <c r="AZ1158" s="1764"/>
      <c r="BA1158" s="1764"/>
      <c r="BB1158" s="1764"/>
      <c r="BC1158" s="1764"/>
      <c r="BD1158" s="1764"/>
      <c r="BE1158" s="1764"/>
      <c r="BF1158" s="1764"/>
      <c r="BG1158" s="1764"/>
      <c r="BH1158" s="1764"/>
      <c r="BI1158" s="1764"/>
      <c r="BJ1158" s="1764"/>
      <c r="BK1158" s="1764"/>
      <c r="BL1158" s="1764"/>
      <c r="BM1158" s="1764"/>
      <c r="BN1158" s="1763"/>
      <c r="BO1158" s="1764"/>
      <c r="BP1158" s="1764"/>
      <c r="BQ1158" s="1764"/>
      <c r="BR1158" s="1764"/>
      <c r="BS1158" s="1764"/>
      <c r="BT1158" s="1764"/>
      <c r="BU1158" s="1764"/>
      <c r="BV1158" s="1764"/>
      <c r="BW1158" s="1764"/>
      <c r="BX1158" s="1764"/>
      <c r="BY1158" s="1764"/>
      <c r="BZ1158" s="1765"/>
      <c r="CA1158" s="270"/>
      <c r="CB1158" s="3" t="str">
        <f t="shared" si="165"/>
        <v>Riadok bude skrytý.</v>
      </c>
      <c r="CC1158" s="271" t="s">
        <v>832</v>
      </c>
      <c r="CW1158" s="30">
        <f t="shared" si="169"/>
        <v>1</v>
      </c>
      <c r="CZ1158" s="30">
        <f>IF(CC1158="",1,IF(CC1158="Chcem skryť riadok.",0,1))</f>
        <v>1</v>
      </c>
      <c r="DA1158" s="30">
        <f>+IF(CW1158+CX1158+CY1158=0,0,IF(CZ1158=0,0,1))</f>
        <v>1</v>
      </c>
      <c r="DB1158" s="2">
        <f t="shared" si="162"/>
        <v>0</v>
      </c>
      <c r="DS1158" s="130">
        <f>SI!BY1158</f>
        <v>171</v>
      </c>
      <c r="DZ1158" s="131">
        <f>SI!BZ1158</f>
        <v>0</v>
      </c>
    </row>
    <row r="1159" spans="1:130" hidden="1" x14ac:dyDescent="0.25">
      <c r="A1159" s="141"/>
      <c r="B1159" s="1021"/>
      <c r="C1159" s="1022"/>
      <c r="D1159" s="1022"/>
      <c r="E1159" s="1022"/>
      <c r="F1159" s="1022"/>
      <c r="G1159" s="1022"/>
      <c r="H1159" s="1022"/>
      <c r="I1159" s="1022"/>
      <c r="J1159" s="1022"/>
      <c r="K1159" s="1022"/>
      <c r="L1159" s="1022"/>
      <c r="M1159" s="1022"/>
      <c r="N1159" s="1022"/>
      <c r="O1159" s="1022"/>
      <c r="P1159" s="1022"/>
      <c r="Q1159" s="1022"/>
      <c r="R1159" s="1022"/>
      <c r="S1159" s="1022"/>
      <c r="T1159" s="1022"/>
      <c r="U1159" s="1022"/>
      <c r="V1159" s="1022"/>
      <c r="W1159" s="1022"/>
      <c r="X1159" s="1022"/>
      <c r="Y1159" s="1022"/>
      <c r="Z1159" s="1022"/>
      <c r="AA1159" s="1022"/>
      <c r="AB1159" s="1022"/>
      <c r="AC1159" s="1022"/>
      <c r="AD1159" s="1022"/>
      <c r="AE1159" s="1022"/>
      <c r="AF1159" s="1022"/>
      <c r="AG1159" s="1022"/>
      <c r="AH1159" s="1022"/>
      <c r="AI1159" s="1022"/>
      <c r="AJ1159" s="1022"/>
      <c r="AK1159" s="1022"/>
      <c r="AL1159" s="1022"/>
      <c r="AM1159" s="1022"/>
      <c r="AN1159" s="1022"/>
      <c r="AO1159" s="1022"/>
      <c r="AP1159" s="1022"/>
      <c r="AQ1159" s="1022"/>
      <c r="AR1159" s="1022"/>
      <c r="AS1159" s="1022"/>
      <c r="AT1159" s="1022"/>
      <c r="AU1159" s="1022"/>
      <c r="AV1159" s="1022"/>
      <c r="AW1159" s="1022"/>
      <c r="AX1159" s="1022"/>
      <c r="AY1159" s="691"/>
      <c r="AZ1159" s="692"/>
      <c r="BA1159" s="692"/>
      <c r="BB1159" s="692"/>
      <c r="BC1159" s="692"/>
      <c r="BD1159" s="692"/>
      <c r="BE1159" s="692"/>
      <c r="BF1159" s="692"/>
      <c r="BG1159" s="692"/>
      <c r="BH1159" s="692"/>
      <c r="BI1159" s="692"/>
      <c r="BJ1159" s="692"/>
      <c r="BK1159" s="692"/>
      <c r="BL1159" s="692"/>
      <c r="BM1159" s="692"/>
      <c r="BN1159" s="1757"/>
      <c r="BO1159" s="692"/>
      <c r="BP1159" s="692"/>
      <c r="BQ1159" s="692"/>
      <c r="BR1159" s="692"/>
      <c r="BS1159" s="692"/>
      <c r="BT1159" s="692"/>
      <c r="BU1159" s="692"/>
      <c r="BV1159" s="692"/>
      <c r="BW1159" s="692"/>
      <c r="BX1159" s="692"/>
      <c r="BY1159" s="692"/>
      <c r="BZ1159" s="693"/>
      <c r="CA1159" s="270"/>
      <c r="CB1159" s="3" t="str">
        <f t="shared" si="165"/>
        <v>Riadok bude skrytý.</v>
      </c>
      <c r="CC1159" s="271" t="s">
        <v>832</v>
      </c>
      <c r="CW1159" s="30">
        <f t="shared" si="169"/>
        <v>1</v>
      </c>
      <c r="CX1159" s="30">
        <f t="shared" ref="CX1159:CX1166" si="170">+IF(B1159="",0,1)</f>
        <v>0</v>
      </c>
      <c r="CZ1159" s="30">
        <f t="shared" si="155"/>
        <v>1</v>
      </c>
      <c r="DA1159" s="52">
        <f t="shared" ref="DA1159:DA1166" si="171">+IF(CW1159*CX1159=0,0,IF(CZ1159=0,0,1))</f>
        <v>0</v>
      </c>
      <c r="DB1159" s="2">
        <f t="shared" si="162"/>
        <v>0</v>
      </c>
      <c r="DS1159" s="130">
        <f>SI!BY1159</f>
        <v>744</v>
      </c>
      <c r="DZ1159" s="131">
        <f>SI!BZ1159</f>
        <v>0</v>
      </c>
    </row>
    <row r="1160" spans="1:130" hidden="1" x14ac:dyDescent="0.25">
      <c r="A1160" s="141"/>
      <c r="B1160" s="1021"/>
      <c r="C1160" s="1022"/>
      <c r="D1160" s="1022"/>
      <c r="E1160" s="1022"/>
      <c r="F1160" s="1022"/>
      <c r="G1160" s="1022"/>
      <c r="H1160" s="1022"/>
      <c r="I1160" s="1022"/>
      <c r="J1160" s="1022"/>
      <c r="K1160" s="1022"/>
      <c r="L1160" s="1022"/>
      <c r="M1160" s="1022"/>
      <c r="N1160" s="1022"/>
      <c r="O1160" s="1022"/>
      <c r="P1160" s="1022"/>
      <c r="Q1160" s="1022"/>
      <c r="R1160" s="1022"/>
      <c r="S1160" s="1022"/>
      <c r="T1160" s="1022"/>
      <c r="U1160" s="1022"/>
      <c r="V1160" s="1022"/>
      <c r="W1160" s="1022"/>
      <c r="X1160" s="1022"/>
      <c r="Y1160" s="1022"/>
      <c r="Z1160" s="1022"/>
      <c r="AA1160" s="1022"/>
      <c r="AB1160" s="1022"/>
      <c r="AC1160" s="1022"/>
      <c r="AD1160" s="1022"/>
      <c r="AE1160" s="1022"/>
      <c r="AF1160" s="1022"/>
      <c r="AG1160" s="1022"/>
      <c r="AH1160" s="1022"/>
      <c r="AI1160" s="1022"/>
      <c r="AJ1160" s="1022"/>
      <c r="AK1160" s="1022"/>
      <c r="AL1160" s="1022"/>
      <c r="AM1160" s="1022"/>
      <c r="AN1160" s="1022"/>
      <c r="AO1160" s="1022"/>
      <c r="AP1160" s="1022"/>
      <c r="AQ1160" s="1022"/>
      <c r="AR1160" s="1022"/>
      <c r="AS1160" s="1022"/>
      <c r="AT1160" s="1022"/>
      <c r="AU1160" s="1022"/>
      <c r="AV1160" s="1022"/>
      <c r="AW1160" s="1022"/>
      <c r="AX1160" s="1022"/>
      <c r="AY1160" s="691"/>
      <c r="AZ1160" s="692"/>
      <c r="BA1160" s="692"/>
      <c r="BB1160" s="692"/>
      <c r="BC1160" s="692"/>
      <c r="BD1160" s="692"/>
      <c r="BE1160" s="692"/>
      <c r="BF1160" s="692"/>
      <c r="BG1160" s="692"/>
      <c r="BH1160" s="692"/>
      <c r="BI1160" s="692"/>
      <c r="BJ1160" s="692"/>
      <c r="BK1160" s="692"/>
      <c r="BL1160" s="692"/>
      <c r="BM1160" s="692"/>
      <c r="BN1160" s="1757"/>
      <c r="BO1160" s="692"/>
      <c r="BP1160" s="692"/>
      <c r="BQ1160" s="692"/>
      <c r="BR1160" s="692"/>
      <c r="BS1160" s="692"/>
      <c r="BT1160" s="692"/>
      <c r="BU1160" s="692"/>
      <c r="BV1160" s="692"/>
      <c r="BW1160" s="692"/>
      <c r="BX1160" s="692"/>
      <c r="BY1160" s="692"/>
      <c r="BZ1160" s="693"/>
      <c r="CA1160" s="270"/>
      <c r="CB1160" s="3" t="str">
        <f t="shared" si="165"/>
        <v>Riadok bude skrytý.</v>
      </c>
      <c r="CC1160" s="271" t="s">
        <v>832</v>
      </c>
      <c r="CW1160" s="30">
        <f t="shared" si="169"/>
        <v>1</v>
      </c>
      <c r="CX1160" s="30">
        <f t="shared" si="170"/>
        <v>0</v>
      </c>
      <c r="CZ1160" s="30">
        <f t="shared" si="155"/>
        <v>1</v>
      </c>
      <c r="DA1160" s="52">
        <f t="shared" si="171"/>
        <v>0</v>
      </c>
      <c r="DB1160" s="2">
        <f t="shared" si="162"/>
        <v>0</v>
      </c>
      <c r="DS1160" s="130">
        <f>SI!BY1160</f>
        <v>112</v>
      </c>
      <c r="DZ1160" s="131">
        <f>SI!BZ1160</f>
        <v>0</v>
      </c>
    </row>
    <row r="1161" spans="1:130" hidden="1" x14ac:dyDescent="0.25">
      <c r="A1161" s="141"/>
      <c r="B1161" s="1021"/>
      <c r="C1161" s="1022"/>
      <c r="D1161" s="1022"/>
      <c r="E1161" s="1022"/>
      <c r="F1161" s="1022"/>
      <c r="G1161" s="1022"/>
      <c r="H1161" s="1022"/>
      <c r="I1161" s="1022"/>
      <c r="J1161" s="1022"/>
      <c r="K1161" s="1022"/>
      <c r="L1161" s="1022"/>
      <c r="M1161" s="1022"/>
      <c r="N1161" s="1022"/>
      <c r="O1161" s="1022"/>
      <c r="P1161" s="1022"/>
      <c r="Q1161" s="1022"/>
      <c r="R1161" s="1022"/>
      <c r="S1161" s="1022"/>
      <c r="T1161" s="1022"/>
      <c r="U1161" s="1022"/>
      <c r="V1161" s="1022"/>
      <c r="W1161" s="1022"/>
      <c r="X1161" s="1022"/>
      <c r="Y1161" s="1022"/>
      <c r="Z1161" s="1022"/>
      <c r="AA1161" s="1022"/>
      <c r="AB1161" s="1022"/>
      <c r="AC1161" s="1022"/>
      <c r="AD1161" s="1022"/>
      <c r="AE1161" s="1022"/>
      <c r="AF1161" s="1022"/>
      <c r="AG1161" s="1022"/>
      <c r="AH1161" s="1022"/>
      <c r="AI1161" s="1022"/>
      <c r="AJ1161" s="1022"/>
      <c r="AK1161" s="1022"/>
      <c r="AL1161" s="1022"/>
      <c r="AM1161" s="1022"/>
      <c r="AN1161" s="1022"/>
      <c r="AO1161" s="1022"/>
      <c r="AP1161" s="1022"/>
      <c r="AQ1161" s="1022"/>
      <c r="AR1161" s="1022"/>
      <c r="AS1161" s="1022"/>
      <c r="AT1161" s="1022"/>
      <c r="AU1161" s="1022"/>
      <c r="AV1161" s="1022"/>
      <c r="AW1161" s="1022"/>
      <c r="AX1161" s="1022"/>
      <c r="AY1161" s="691"/>
      <c r="AZ1161" s="692"/>
      <c r="BA1161" s="692"/>
      <c r="BB1161" s="692"/>
      <c r="BC1161" s="692"/>
      <c r="BD1161" s="692"/>
      <c r="BE1161" s="692"/>
      <c r="BF1161" s="692"/>
      <c r="BG1161" s="692"/>
      <c r="BH1161" s="692"/>
      <c r="BI1161" s="692"/>
      <c r="BJ1161" s="692"/>
      <c r="BK1161" s="692"/>
      <c r="BL1161" s="692"/>
      <c r="BM1161" s="692"/>
      <c r="BN1161" s="1757"/>
      <c r="BO1161" s="692"/>
      <c r="BP1161" s="692"/>
      <c r="BQ1161" s="692"/>
      <c r="BR1161" s="692"/>
      <c r="BS1161" s="692"/>
      <c r="BT1161" s="692"/>
      <c r="BU1161" s="692"/>
      <c r="BV1161" s="692"/>
      <c r="BW1161" s="692"/>
      <c r="BX1161" s="692"/>
      <c r="BY1161" s="692"/>
      <c r="BZ1161" s="693"/>
      <c r="CA1161" s="270"/>
      <c r="CB1161" s="3" t="str">
        <f t="shared" si="165"/>
        <v>Riadok bude skrytý.</v>
      </c>
      <c r="CC1161" s="271" t="s">
        <v>832</v>
      </c>
      <c r="CW1161" s="30">
        <f t="shared" si="169"/>
        <v>1</v>
      </c>
      <c r="CX1161" s="30">
        <f t="shared" si="170"/>
        <v>0</v>
      </c>
      <c r="CZ1161" s="30">
        <f t="shared" si="155"/>
        <v>1</v>
      </c>
      <c r="DA1161" s="52">
        <f t="shared" si="171"/>
        <v>0</v>
      </c>
      <c r="DB1161" s="2">
        <f t="shared" si="162"/>
        <v>0</v>
      </c>
      <c r="DS1161" s="130">
        <f>SI!BY1161</f>
        <v>190</v>
      </c>
      <c r="DZ1161" s="131">
        <f>SI!BZ1161</f>
        <v>0</v>
      </c>
    </row>
    <row r="1162" spans="1:130" hidden="1" x14ac:dyDescent="0.25">
      <c r="A1162" s="141"/>
      <c r="B1162" s="1021"/>
      <c r="C1162" s="1022"/>
      <c r="D1162" s="1022"/>
      <c r="E1162" s="1022"/>
      <c r="F1162" s="1022"/>
      <c r="G1162" s="1022"/>
      <c r="H1162" s="1022"/>
      <c r="I1162" s="1022"/>
      <c r="J1162" s="1022"/>
      <c r="K1162" s="1022"/>
      <c r="L1162" s="1022"/>
      <c r="M1162" s="1022"/>
      <c r="N1162" s="1022"/>
      <c r="O1162" s="1022"/>
      <c r="P1162" s="1022"/>
      <c r="Q1162" s="1022"/>
      <c r="R1162" s="1022"/>
      <c r="S1162" s="1022"/>
      <c r="T1162" s="1022"/>
      <c r="U1162" s="1022"/>
      <c r="V1162" s="1022"/>
      <c r="W1162" s="1022"/>
      <c r="X1162" s="1022"/>
      <c r="Y1162" s="1022"/>
      <c r="Z1162" s="1022"/>
      <c r="AA1162" s="1022"/>
      <c r="AB1162" s="1022"/>
      <c r="AC1162" s="1022"/>
      <c r="AD1162" s="1022"/>
      <c r="AE1162" s="1022"/>
      <c r="AF1162" s="1022"/>
      <c r="AG1162" s="1022"/>
      <c r="AH1162" s="1022"/>
      <c r="AI1162" s="1022"/>
      <c r="AJ1162" s="1022"/>
      <c r="AK1162" s="1022"/>
      <c r="AL1162" s="1022"/>
      <c r="AM1162" s="1022"/>
      <c r="AN1162" s="1022"/>
      <c r="AO1162" s="1022"/>
      <c r="AP1162" s="1022"/>
      <c r="AQ1162" s="1022"/>
      <c r="AR1162" s="1022"/>
      <c r="AS1162" s="1022"/>
      <c r="AT1162" s="1022"/>
      <c r="AU1162" s="1022"/>
      <c r="AV1162" s="1022"/>
      <c r="AW1162" s="1022"/>
      <c r="AX1162" s="1022"/>
      <c r="AY1162" s="691"/>
      <c r="AZ1162" s="692"/>
      <c r="BA1162" s="692"/>
      <c r="BB1162" s="692"/>
      <c r="BC1162" s="692"/>
      <c r="BD1162" s="692"/>
      <c r="BE1162" s="692"/>
      <c r="BF1162" s="692"/>
      <c r="BG1162" s="692"/>
      <c r="BH1162" s="692"/>
      <c r="BI1162" s="692"/>
      <c r="BJ1162" s="692"/>
      <c r="BK1162" s="692"/>
      <c r="BL1162" s="692"/>
      <c r="BM1162" s="692"/>
      <c r="BN1162" s="1757"/>
      <c r="BO1162" s="692"/>
      <c r="BP1162" s="692"/>
      <c r="BQ1162" s="692"/>
      <c r="BR1162" s="692"/>
      <c r="BS1162" s="692"/>
      <c r="BT1162" s="692"/>
      <c r="BU1162" s="692"/>
      <c r="BV1162" s="692"/>
      <c r="BW1162" s="692"/>
      <c r="BX1162" s="692"/>
      <c r="BY1162" s="692"/>
      <c r="BZ1162" s="693"/>
      <c r="CA1162" s="270"/>
      <c r="CB1162" s="3" t="str">
        <f t="shared" si="165"/>
        <v>Riadok bude skrytý.</v>
      </c>
      <c r="CC1162" s="271" t="s">
        <v>832</v>
      </c>
      <c r="CW1162" s="30">
        <f t="shared" si="169"/>
        <v>1</v>
      </c>
      <c r="CX1162" s="30">
        <f t="shared" si="170"/>
        <v>0</v>
      </c>
      <c r="CZ1162" s="30">
        <f t="shared" si="155"/>
        <v>1</v>
      </c>
      <c r="DA1162" s="52">
        <f t="shared" si="171"/>
        <v>0</v>
      </c>
      <c r="DB1162" s="2">
        <f t="shared" si="162"/>
        <v>0</v>
      </c>
      <c r="DS1162" s="130">
        <f>SI!BY1162</f>
        <v>124</v>
      </c>
      <c r="DZ1162" s="131">
        <f>SI!BZ1162</f>
        <v>0</v>
      </c>
    </row>
    <row r="1163" spans="1:130" hidden="1" x14ac:dyDescent="0.25">
      <c r="A1163" s="141"/>
      <c r="B1163" s="1021"/>
      <c r="C1163" s="1022"/>
      <c r="D1163" s="1022"/>
      <c r="E1163" s="1022"/>
      <c r="F1163" s="1022"/>
      <c r="G1163" s="1022"/>
      <c r="H1163" s="1022"/>
      <c r="I1163" s="1022"/>
      <c r="J1163" s="1022"/>
      <c r="K1163" s="1022"/>
      <c r="L1163" s="1022"/>
      <c r="M1163" s="1022"/>
      <c r="N1163" s="1022"/>
      <c r="O1163" s="1022"/>
      <c r="P1163" s="1022"/>
      <c r="Q1163" s="1022"/>
      <c r="R1163" s="1022"/>
      <c r="S1163" s="1022"/>
      <c r="T1163" s="1022"/>
      <c r="U1163" s="1022"/>
      <c r="V1163" s="1022"/>
      <c r="W1163" s="1022"/>
      <c r="X1163" s="1022"/>
      <c r="Y1163" s="1022"/>
      <c r="Z1163" s="1022"/>
      <c r="AA1163" s="1022"/>
      <c r="AB1163" s="1022"/>
      <c r="AC1163" s="1022"/>
      <c r="AD1163" s="1022"/>
      <c r="AE1163" s="1022"/>
      <c r="AF1163" s="1022"/>
      <c r="AG1163" s="1022"/>
      <c r="AH1163" s="1022"/>
      <c r="AI1163" s="1022"/>
      <c r="AJ1163" s="1022"/>
      <c r="AK1163" s="1022"/>
      <c r="AL1163" s="1022"/>
      <c r="AM1163" s="1022"/>
      <c r="AN1163" s="1022"/>
      <c r="AO1163" s="1022"/>
      <c r="AP1163" s="1022"/>
      <c r="AQ1163" s="1022"/>
      <c r="AR1163" s="1022"/>
      <c r="AS1163" s="1022"/>
      <c r="AT1163" s="1022"/>
      <c r="AU1163" s="1022"/>
      <c r="AV1163" s="1022"/>
      <c r="AW1163" s="1022"/>
      <c r="AX1163" s="1022"/>
      <c r="AY1163" s="691"/>
      <c r="AZ1163" s="692"/>
      <c r="BA1163" s="692"/>
      <c r="BB1163" s="692"/>
      <c r="BC1163" s="692"/>
      <c r="BD1163" s="692"/>
      <c r="BE1163" s="692"/>
      <c r="BF1163" s="692"/>
      <c r="BG1163" s="692"/>
      <c r="BH1163" s="692"/>
      <c r="BI1163" s="692"/>
      <c r="BJ1163" s="692"/>
      <c r="BK1163" s="692"/>
      <c r="BL1163" s="692"/>
      <c r="BM1163" s="692"/>
      <c r="BN1163" s="1757"/>
      <c r="BO1163" s="692"/>
      <c r="BP1163" s="692"/>
      <c r="BQ1163" s="692"/>
      <c r="BR1163" s="692"/>
      <c r="BS1163" s="692"/>
      <c r="BT1163" s="692"/>
      <c r="BU1163" s="692"/>
      <c r="BV1163" s="692"/>
      <c r="BW1163" s="692"/>
      <c r="BX1163" s="692"/>
      <c r="BY1163" s="692"/>
      <c r="BZ1163" s="693"/>
      <c r="CA1163" s="270"/>
      <c r="CB1163" s="3" t="str">
        <f t="shared" si="165"/>
        <v>Riadok bude skrytý.</v>
      </c>
      <c r="CC1163" s="271" t="s">
        <v>832</v>
      </c>
      <c r="CW1163" s="30">
        <f t="shared" si="169"/>
        <v>1</v>
      </c>
      <c r="CX1163" s="30">
        <f t="shared" si="170"/>
        <v>0</v>
      </c>
      <c r="CZ1163" s="30">
        <f t="shared" si="155"/>
        <v>1</v>
      </c>
      <c r="DA1163" s="52">
        <f t="shared" si="171"/>
        <v>0</v>
      </c>
      <c r="DB1163" s="2">
        <f t="shared" si="162"/>
        <v>0</v>
      </c>
      <c r="DS1163" s="130">
        <f>SI!BY1163</f>
        <v>155</v>
      </c>
      <c r="DZ1163" s="131">
        <f>SI!BZ1163</f>
        <v>0</v>
      </c>
    </row>
    <row r="1164" spans="1:130" hidden="1" x14ac:dyDescent="0.25">
      <c r="A1164" s="141"/>
      <c r="B1164" s="1021"/>
      <c r="C1164" s="1022"/>
      <c r="D1164" s="1022"/>
      <c r="E1164" s="1022"/>
      <c r="F1164" s="1022"/>
      <c r="G1164" s="1022"/>
      <c r="H1164" s="1022"/>
      <c r="I1164" s="1022"/>
      <c r="J1164" s="1022"/>
      <c r="K1164" s="1022"/>
      <c r="L1164" s="1022"/>
      <c r="M1164" s="1022"/>
      <c r="N1164" s="1022"/>
      <c r="O1164" s="1022"/>
      <c r="P1164" s="1022"/>
      <c r="Q1164" s="1022"/>
      <c r="R1164" s="1022"/>
      <c r="S1164" s="1022"/>
      <c r="T1164" s="1022"/>
      <c r="U1164" s="1022"/>
      <c r="V1164" s="1022"/>
      <c r="W1164" s="1022"/>
      <c r="X1164" s="1022"/>
      <c r="Y1164" s="1022"/>
      <c r="Z1164" s="1022"/>
      <c r="AA1164" s="1022"/>
      <c r="AB1164" s="1022"/>
      <c r="AC1164" s="1022"/>
      <c r="AD1164" s="1022"/>
      <c r="AE1164" s="1022"/>
      <c r="AF1164" s="1022"/>
      <c r="AG1164" s="1022"/>
      <c r="AH1164" s="1022"/>
      <c r="AI1164" s="1022"/>
      <c r="AJ1164" s="1022"/>
      <c r="AK1164" s="1022"/>
      <c r="AL1164" s="1022"/>
      <c r="AM1164" s="1022"/>
      <c r="AN1164" s="1022"/>
      <c r="AO1164" s="1022"/>
      <c r="AP1164" s="1022"/>
      <c r="AQ1164" s="1022"/>
      <c r="AR1164" s="1022"/>
      <c r="AS1164" s="1022"/>
      <c r="AT1164" s="1022"/>
      <c r="AU1164" s="1022"/>
      <c r="AV1164" s="1022"/>
      <c r="AW1164" s="1022"/>
      <c r="AX1164" s="1022"/>
      <c r="AY1164" s="691"/>
      <c r="AZ1164" s="692"/>
      <c r="BA1164" s="692"/>
      <c r="BB1164" s="692"/>
      <c r="BC1164" s="692"/>
      <c r="BD1164" s="692"/>
      <c r="BE1164" s="692"/>
      <c r="BF1164" s="692"/>
      <c r="BG1164" s="692"/>
      <c r="BH1164" s="692"/>
      <c r="BI1164" s="692"/>
      <c r="BJ1164" s="692"/>
      <c r="BK1164" s="692"/>
      <c r="BL1164" s="692"/>
      <c r="BM1164" s="692"/>
      <c r="BN1164" s="1757"/>
      <c r="BO1164" s="692"/>
      <c r="BP1164" s="692"/>
      <c r="BQ1164" s="692"/>
      <c r="BR1164" s="692"/>
      <c r="BS1164" s="692"/>
      <c r="BT1164" s="692"/>
      <c r="BU1164" s="692"/>
      <c r="BV1164" s="692"/>
      <c r="BW1164" s="692"/>
      <c r="BX1164" s="692"/>
      <c r="BY1164" s="692"/>
      <c r="BZ1164" s="693"/>
      <c r="CA1164" s="270"/>
      <c r="CB1164" s="3" t="str">
        <f t="shared" si="165"/>
        <v>Riadok bude skrytý.</v>
      </c>
      <c r="CC1164" s="271" t="s">
        <v>832</v>
      </c>
      <c r="CW1164" s="30">
        <f t="shared" si="169"/>
        <v>1</v>
      </c>
      <c r="CX1164" s="30">
        <f t="shared" si="170"/>
        <v>0</v>
      </c>
      <c r="CZ1164" s="30">
        <f t="shared" si="155"/>
        <v>1</v>
      </c>
      <c r="DA1164" s="52">
        <f t="shared" si="171"/>
        <v>0</v>
      </c>
      <c r="DB1164" s="2">
        <f t="shared" si="162"/>
        <v>0</v>
      </c>
      <c r="DS1164" s="130">
        <f>SI!BY1164</f>
        <v>187</v>
      </c>
      <c r="DZ1164" s="131">
        <f>SI!BZ1164</f>
        <v>0</v>
      </c>
    </row>
    <row r="1165" spans="1:130" hidden="1" x14ac:dyDescent="0.25">
      <c r="A1165" s="141"/>
      <c r="B1165" s="1021"/>
      <c r="C1165" s="1022"/>
      <c r="D1165" s="1022"/>
      <c r="E1165" s="1022"/>
      <c r="F1165" s="1022"/>
      <c r="G1165" s="1022"/>
      <c r="H1165" s="1022"/>
      <c r="I1165" s="1022"/>
      <c r="J1165" s="1022"/>
      <c r="K1165" s="1022"/>
      <c r="L1165" s="1022"/>
      <c r="M1165" s="1022"/>
      <c r="N1165" s="1022"/>
      <c r="O1165" s="1022"/>
      <c r="P1165" s="1022"/>
      <c r="Q1165" s="1022"/>
      <c r="R1165" s="1022"/>
      <c r="S1165" s="1022"/>
      <c r="T1165" s="1022"/>
      <c r="U1165" s="1022"/>
      <c r="V1165" s="1022"/>
      <c r="W1165" s="1022"/>
      <c r="X1165" s="1022"/>
      <c r="Y1165" s="1022"/>
      <c r="Z1165" s="1022"/>
      <c r="AA1165" s="1022"/>
      <c r="AB1165" s="1022"/>
      <c r="AC1165" s="1022"/>
      <c r="AD1165" s="1022"/>
      <c r="AE1165" s="1022"/>
      <c r="AF1165" s="1022"/>
      <c r="AG1165" s="1022"/>
      <c r="AH1165" s="1022"/>
      <c r="AI1165" s="1022"/>
      <c r="AJ1165" s="1022"/>
      <c r="AK1165" s="1022"/>
      <c r="AL1165" s="1022"/>
      <c r="AM1165" s="1022"/>
      <c r="AN1165" s="1022"/>
      <c r="AO1165" s="1022"/>
      <c r="AP1165" s="1022"/>
      <c r="AQ1165" s="1022"/>
      <c r="AR1165" s="1022"/>
      <c r="AS1165" s="1022"/>
      <c r="AT1165" s="1022"/>
      <c r="AU1165" s="1022"/>
      <c r="AV1165" s="1022"/>
      <c r="AW1165" s="1022"/>
      <c r="AX1165" s="1022"/>
      <c r="AY1165" s="691"/>
      <c r="AZ1165" s="692"/>
      <c r="BA1165" s="692"/>
      <c r="BB1165" s="692"/>
      <c r="BC1165" s="692"/>
      <c r="BD1165" s="692"/>
      <c r="BE1165" s="692"/>
      <c r="BF1165" s="692"/>
      <c r="BG1165" s="692"/>
      <c r="BH1165" s="692"/>
      <c r="BI1165" s="692"/>
      <c r="BJ1165" s="692"/>
      <c r="BK1165" s="692"/>
      <c r="BL1165" s="692"/>
      <c r="BM1165" s="692"/>
      <c r="BN1165" s="1757"/>
      <c r="BO1165" s="692"/>
      <c r="BP1165" s="692"/>
      <c r="BQ1165" s="692"/>
      <c r="BR1165" s="692"/>
      <c r="BS1165" s="692"/>
      <c r="BT1165" s="692"/>
      <c r="BU1165" s="692"/>
      <c r="BV1165" s="692"/>
      <c r="BW1165" s="692"/>
      <c r="BX1165" s="692"/>
      <c r="BY1165" s="692"/>
      <c r="BZ1165" s="693"/>
      <c r="CA1165" s="270"/>
      <c r="CB1165" s="3" t="str">
        <f t="shared" si="165"/>
        <v>Riadok bude skrytý.</v>
      </c>
      <c r="CC1165" s="271" t="s">
        <v>832</v>
      </c>
      <c r="CW1165" s="30">
        <f t="shared" si="169"/>
        <v>1</v>
      </c>
      <c r="CX1165" s="30">
        <f t="shared" si="170"/>
        <v>0</v>
      </c>
      <c r="CZ1165" s="30">
        <f t="shared" si="155"/>
        <v>1</v>
      </c>
      <c r="DA1165" s="52">
        <f t="shared" si="171"/>
        <v>0</v>
      </c>
      <c r="DB1165" s="2">
        <f t="shared" si="162"/>
        <v>0</v>
      </c>
      <c r="DS1165" s="130">
        <f>SI!BY1165</f>
        <v>144</v>
      </c>
      <c r="DZ1165" s="131">
        <f>SI!BZ1165</f>
        <v>0</v>
      </c>
    </row>
    <row r="1166" spans="1:130" hidden="1" x14ac:dyDescent="0.25">
      <c r="A1166" s="141"/>
      <c r="B1166" s="1021"/>
      <c r="C1166" s="1022"/>
      <c r="D1166" s="1022"/>
      <c r="E1166" s="1022"/>
      <c r="F1166" s="1022"/>
      <c r="G1166" s="1022"/>
      <c r="H1166" s="1022"/>
      <c r="I1166" s="1022"/>
      <c r="J1166" s="1022"/>
      <c r="K1166" s="1022"/>
      <c r="L1166" s="1022"/>
      <c r="M1166" s="1022"/>
      <c r="N1166" s="1022"/>
      <c r="O1166" s="1022"/>
      <c r="P1166" s="1022"/>
      <c r="Q1166" s="1022"/>
      <c r="R1166" s="1022"/>
      <c r="S1166" s="1022"/>
      <c r="T1166" s="1022"/>
      <c r="U1166" s="1022"/>
      <c r="V1166" s="1022"/>
      <c r="W1166" s="1022"/>
      <c r="X1166" s="1022"/>
      <c r="Y1166" s="1022"/>
      <c r="Z1166" s="1022"/>
      <c r="AA1166" s="1022"/>
      <c r="AB1166" s="1022"/>
      <c r="AC1166" s="1022"/>
      <c r="AD1166" s="1022"/>
      <c r="AE1166" s="1022"/>
      <c r="AF1166" s="1022"/>
      <c r="AG1166" s="1022"/>
      <c r="AH1166" s="1022"/>
      <c r="AI1166" s="1022"/>
      <c r="AJ1166" s="1022"/>
      <c r="AK1166" s="1022"/>
      <c r="AL1166" s="1022"/>
      <c r="AM1166" s="1022"/>
      <c r="AN1166" s="1022"/>
      <c r="AO1166" s="1022"/>
      <c r="AP1166" s="1022"/>
      <c r="AQ1166" s="1022"/>
      <c r="AR1166" s="1022"/>
      <c r="AS1166" s="1022"/>
      <c r="AT1166" s="1022"/>
      <c r="AU1166" s="1022"/>
      <c r="AV1166" s="1022"/>
      <c r="AW1166" s="1022"/>
      <c r="AX1166" s="1022"/>
      <c r="AY1166" s="691"/>
      <c r="AZ1166" s="692"/>
      <c r="BA1166" s="692"/>
      <c r="BB1166" s="692"/>
      <c r="BC1166" s="692"/>
      <c r="BD1166" s="692"/>
      <c r="BE1166" s="692"/>
      <c r="BF1166" s="692"/>
      <c r="BG1166" s="692"/>
      <c r="BH1166" s="692"/>
      <c r="BI1166" s="692"/>
      <c r="BJ1166" s="692"/>
      <c r="BK1166" s="692"/>
      <c r="BL1166" s="692"/>
      <c r="BM1166" s="692"/>
      <c r="BN1166" s="1757"/>
      <c r="BO1166" s="692"/>
      <c r="BP1166" s="692"/>
      <c r="BQ1166" s="692"/>
      <c r="BR1166" s="692"/>
      <c r="BS1166" s="692"/>
      <c r="BT1166" s="692"/>
      <c r="BU1166" s="692"/>
      <c r="BV1166" s="692"/>
      <c r="BW1166" s="692"/>
      <c r="BX1166" s="692"/>
      <c r="BY1166" s="692"/>
      <c r="BZ1166" s="693"/>
      <c r="CA1166" s="270"/>
      <c r="CB1166" s="3" t="str">
        <f t="shared" si="165"/>
        <v>Riadok bude skrytý.</v>
      </c>
      <c r="CC1166" s="271" t="s">
        <v>832</v>
      </c>
      <c r="CW1166" s="30">
        <f t="shared" si="169"/>
        <v>1</v>
      </c>
      <c r="CX1166" s="30">
        <f t="shared" si="170"/>
        <v>0</v>
      </c>
      <c r="CZ1166" s="30">
        <f t="shared" si="155"/>
        <v>1</v>
      </c>
      <c r="DA1166" s="52">
        <f t="shared" si="171"/>
        <v>0</v>
      </c>
      <c r="DB1166" s="2">
        <f t="shared" si="162"/>
        <v>0</v>
      </c>
      <c r="DS1166" s="130">
        <f>SI!BY1166</f>
        <v>108</v>
      </c>
      <c r="DZ1166" s="131">
        <f>SI!BZ1166</f>
        <v>0</v>
      </c>
    </row>
    <row r="1167" spans="1:130" hidden="1" x14ac:dyDescent="0.25">
      <c r="A1167" s="141"/>
      <c r="B1167" s="1030"/>
      <c r="C1167" s="1031"/>
      <c r="D1167" s="1031"/>
      <c r="E1167" s="1031"/>
      <c r="F1167" s="1031"/>
      <c r="G1167" s="1031"/>
      <c r="H1167" s="1031"/>
      <c r="I1167" s="1031"/>
      <c r="J1167" s="1031"/>
      <c r="K1167" s="1031"/>
      <c r="L1167" s="1031"/>
      <c r="M1167" s="1031"/>
      <c r="N1167" s="1031"/>
      <c r="O1167" s="1031"/>
      <c r="P1167" s="1031"/>
      <c r="Q1167" s="1031"/>
      <c r="R1167" s="1031"/>
      <c r="S1167" s="1031"/>
      <c r="T1167" s="1031"/>
      <c r="U1167" s="1031"/>
      <c r="V1167" s="1031"/>
      <c r="W1167" s="1031"/>
      <c r="X1167" s="1031"/>
      <c r="Y1167" s="1031"/>
      <c r="Z1167" s="1031"/>
      <c r="AA1167" s="1031"/>
      <c r="AB1167" s="1031"/>
      <c r="AC1167" s="1031"/>
      <c r="AD1167" s="1031"/>
      <c r="AE1167" s="1031"/>
      <c r="AF1167" s="1031"/>
      <c r="AG1167" s="1031"/>
      <c r="AH1167" s="1031"/>
      <c r="AI1167" s="1031"/>
      <c r="AJ1167" s="1031"/>
      <c r="AK1167" s="1031"/>
      <c r="AL1167" s="1031"/>
      <c r="AM1167" s="1031"/>
      <c r="AN1167" s="1031"/>
      <c r="AO1167" s="1031"/>
      <c r="AP1167" s="1031"/>
      <c r="AQ1167" s="1031"/>
      <c r="AR1167" s="1031"/>
      <c r="AS1167" s="1031"/>
      <c r="AT1167" s="1031"/>
      <c r="AU1167" s="1031"/>
      <c r="AV1167" s="1031"/>
      <c r="AW1167" s="1031"/>
      <c r="AX1167" s="1031"/>
      <c r="AY1167" s="1448"/>
      <c r="AZ1167" s="1449"/>
      <c r="BA1167" s="1449"/>
      <c r="BB1167" s="1449"/>
      <c r="BC1167" s="1449"/>
      <c r="BD1167" s="1449"/>
      <c r="BE1167" s="1449"/>
      <c r="BF1167" s="1449"/>
      <c r="BG1167" s="1449"/>
      <c r="BH1167" s="1449"/>
      <c r="BI1167" s="1449"/>
      <c r="BJ1167" s="1449"/>
      <c r="BK1167" s="1449"/>
      <c r="BL1167" s="1449"/>
      <c r="BM1167" s="1449"/>
      <c r="BN1167" s="1762"/>
      <c r="BO1167" s="1449"/>
      <c r="BP1167" s="1449"/>
      <c r="BQ1167" s="1449"/>
      <c r="BR1167" s="1449"/>
      <c r="BS1167" s="1449"/>
      <c r="BT1167" s="1449"/>
      <c r="BU1167" s="1449"/>
      <c r="BV1167" s="1449"/>
      <c r="BW1167" s="1449"/>
      <c r="BX1167" s="1449"/>
      <c r="BY1167" s="1449"/>
      <c r="BZ1167" s="1450"/>
      <c r="CA1167" s="270"/>
      <c r="CB1167" s="3" t="str">
        <f t="shared" si="165"/>
        <v>Riadok bude skrytý.</v>
      </c>
      <c r="CC1167" s="271" t="s">
        <v>832</v>
      </c>
      <c r="CW1167" s="30">
        <f t="shared" si="169"/>
        <v>1</v>
      </c>
      <c r="CZ1167" s="30">
        <f t="shared" si="155"/>
        <v>1</v>
      </c>
      <c r="DA1167" s="30">
        <f t="shared" ref="DA1167:DA1227" si="172">+IF(CW1167+CX1167+CY1167=0,0,IF(CZ1167=0,0,1))</f>
        <v>1</v>
      </c>
      <c r="DB1167" s="2">
        <f t="shared" si="162"/>
        <v>0</v>
      </c>
      <c r="DS1167" s="130">
        <f>SI!BY1167</f>
        <v>112</v>
      </c>
      <c r="DZ1167" s="131">
        <f>SI!BZ1167</f>
        <v>0</v>
      </c>
    </row>
    <row r="1168" spans="1:130" hidden="1" x14ac:dyDescent="0.25">
      <c r="A1168" s="141"/>
      <c r="CA1168" s="142"/>
      <c r="CB1168" s="3" t="str">
        <f t="shared" si="165"/>
        <v>Riadok bude skrytý.</v>
      </c>
      <c r="CC1168" s="271" t="s">
        <v>832</v>
      </c>
      <c r="CW1168" s="30">
        <f>+IF(B1170="",0,1)</f>
        <v>0</v>
      </c>
      <c r="CZ1168" s="30">
        <f t="shared" si="155"/>
        <v>1</v>
      </c>
      <c r="DA1168" s="30">
        <f t="shared" si="172"/>
        <v>0</v>
      </c>
      <c r="DB1168" s="2">
        <f t="shared" si="162"/>
        <v>0</v>
      </c>
      <c r="DS1168" s="130">
        <f>SI!BY1168</f>
        <v>195</v>
      </c>
      <c r="DZ1168" s="131">
        <f>SI!BZ1168</f>
        <v>0</v>
      </c>
    </row>
    <row r="1169" spans="1:130" hidden="1" x14ac:dyDescent="0.25">
      <c r="A1169" s="141"/>
      <c r="B1169" s="137" t="str">
        <f>+IF($C$52&lt;&gt;"",IF(CODE(MID($C$52,1,1))*(IF(SI!EE1169="",1,SI!EE1169-1))+LEN(SI!J2)=DS1169,"Spoločnosť uvádza k dlhodobému nehmotnému a hmotnému majetku ďalšie doplňujúce informácie:","NEPOVOLENÉ POUŽITIE!"),"NEPOVOLENÉ POUŽITIE!")</f>
        <v>Spoločnosť uvádza k dlhodobému nehmotnému a hmotnému majetku ďalšie doplňujúce informácie:</v>
      </c>
      <c r="C1169" s="7"/>
      <c r="D1169" s="7"/>
      <c r="E1169" s="7"/>
      <c r="F1169" s="7"/>
      <c r="CA1169" s="265" t="s">
        <v>773</v>
      </c>
      <c r="CB1169" s="3" t="str">
        <f t="shared" si="165"/>
        <v>Riadok bude skrytý.</v>
      </c>
      <c r="CC1169" s="271" t="s">
        <v>832</v>
      </c>
      <c r="CW1169" s="30">
        <f>+IF(B1170="",0,1)</f>
        <v>0</v>
      </c>
      <c r="CZ1169" s="30">
        <f t="shared" si="155"/>
        <v>1</v>
      </c>
      <c r="DA1169" s="30">
        <f t="shared" si="172"/>
        <v>0</v>
      </c>
      <c r="DB1169" s="2">
        <f t="shared" si="162"/>
        <v>0</v>
      </c>
      <c r="DS1169" s="130">
        <f>SI!BY1169</f>
        <v>13</v>
      </c>
      <c r="DZ1169" s="131">
        <f>SI!BZ1169</f>
        <v>0</v>
      </c>
    </row>
    <row r="1170" spans="1:130" hidden="1" x14ac:dyDescent="0.25">
      <c r="A1170" s="141"/>
      <c r="B1170" s="379"/>
      <c r="C1170" s="379"/>
      <c r="D1170" s="379"/>
      <c r="E1170" s="379"/>
      <c r="F1170" s="379"/>
      <c r="G1170" s="379"/>
      <c r="H1170" s="379"/>
      <c r="I1170" s="379"/>
      <c r="J1170" s="379"/>
      <c r="K1170" s="379"/>
      <c r="L1170" s="379"/>
      <c r="M1170" s="379"/>
      <c r="N1170" s="379"/>
      <c r="O1170" s="379"/>
      <c r="P1170" s="379"/>
      <c r="Q1170" s="379"/>
      <c r="R1170" s="379"/>
      <c r="S1170" s="379"/>
      <c r="T1170" s="379"/>
      <c r="U1170" s="379"/>
      <c r="V1170" s="379"/>
      <c r="W1170" s="379"/>
      <c r="X1170" s="379"/>
      <c r="Y1170" s="379"/>
      <c r="Z1170" s="379"/>
      <c r="AA1170" s="379"/>
      <c r="AB1170" s="379"/>
      <c r="AC1170" s="379"/>
      <c r="AD1170" s="379"/>
      <c r="AE1170" s="379"/>
      <c r="AF1170" s="379"/>
      <c r="AG1170" s="379"/>
      <c r="AH1170" s="379"/>
      <c r="AI1170" s="379"/>
      <c r="AJ1170" s="379"/>
      <c r="AK1170" s="379"/>
      <c r="AL1170" s="379"/>
      <c r="AM1170" s="379"/>
      <c r="AN1170" s="379"/>
      <c r="AO1170" s="379"/>
      <c r="AP1170" s="379"/>
      <c r="AQ1170" s="379"/>
      <c r="AR1170" s="379"/>
      <c r="AS1170" s="379"/>
      <c r="AT1170" s="379"/>
      <c r="AU1170" s="379"/>
      <c r="AV1170" s="379"/>
      <c r="AW1170" s="379"/>
      <c r="AX1170" s="379"/>
      <c r="AY1170" s="379"/>
      <c r="AZ1170" s="379"/>
      <c r="BA1170" s="379"/>
      <c r="BB1170" s="379"/>
      <c r="BC1170" s="379"/>
      <c r="BD1170" s="379"/>
      <c r="BE1170" s="379"/>
      <c r="BF1170" s="379"/>
      <c r="BG1170" s="379"/>
      <c r="BH1170" s="379"/>
      <c r="BI1170" s="379"/>
      <c r="BJ1170" s="379"/>
      <c r="BK1170" s="379"/>
      <c r="BL1170" s="379"/>
      <c r="BM1170" s="379"/>
      <c r="BN1170" s="379"/>
      <c r="BO1170" s="379"/>
      <c r="BP1170" s="379"/>
      <c r="BQ1170" s="379"/>
      <c r="BR1170" s="379"/>
      <c r="BS1170" s="379"/>
      <c r="BT1170" s="379"/>
      <c r="BU1170" s="379"/>
      <c r="BV1170" s="379"/>
      <c r="BW1170" s="379"/>
      <c r="BX1170" s="379"/>
      <c r="BY1170" s="379"/>
      <c r="BZ1170" s="379"/>
      <c r="CA1170" s="270"/>
      <c r="CB1170" s="3" t="str">
        <f t="shared" si="165"/>
        <v>Riadok bude skrytý.</v>
      </c>
      <c r="CC1170" s="271" t="s">
        <v>832</v>
      </c>
      <c r="CW1170" s="30">
        <f t="shared" ref="CW1170:CW1189" si="173">+IF(B1170="",0,1)</f>
        <v>0</v>
      </c>
      <c r="CZ1170" s="30">
        <f t="shared" si="155"/>
        <v>1</v>
      </c>
      <c r="DA1170" s="30">
        <f t="shared" si="172"/>
        <v>0</v>
      </c>
      <c r="DB1170" s="2">
        <f t="shared" si="162"/>
        <v>0</v>
      </c>
      <c r="DS1170" s="130">
        <f>SI!BY1170</f>
        <v>146</v>
      </c>
      <c r="DZ1170" s="131">
        <f>SI!BZ1170</f>
        <v>0</v>
      </c>
    </row>
    <row r="1171" spans="1:130" hidden="1" x14ac:dyDescent="0.25">
      <c r="A1171" s="141"/>
      <c r="B1171" s="379"/>
      <c r="C1171" s="379"/>
      <c r="D1171" s="379"/>
      <c r="E1171" s="379"/>
      <c r="F1171" s="379"/>
      <c r="G1171" s="379"/>
      <c r="H1171" s="379"/>
      <c r="I1171" s="379"/>
      <c r="J1171" s="379"/>
      <c r="K1171" s="379"/>
      <c r="L1171" s="379"/>
      <c r="M1171" s="379"/>
      <c r="N1171" s="379"/>
      <c r="O1171" s="379"/>
      <c r="P1171" s="379"/>
      <c r="Q1171" s="379"/>
      <c r="R1171" s="379"/>
      <c r="S1171" s="379"/>
      <c r="T1171" s="379"/>
      <c r="U1171" s="379"/>
      <c r="V1171" s="379"/>
      <c r="W1171" s="379"/>
      <c r="X1171" s="379"/>
      <c r="Y1171" s="379"/>
      <c r="Z1171" s="379"/>
      <c r="AA1171" s="379"/>
      <c r="AB1171" s="379"/>
      <c r="AC1171" s="379"/>
      <c r="AD1171" s="379"/>
      <c r="AE1171" s="379"/>
      <c r="AF1171" s="379"/>
      <c r="AG1171" s="379"/>
      <c r="AH1171" s="379"/>
      <c r="AI1171" s="379"/>
      <c r="AJ1171" s="379"/>
      <c r="AK1171" s="379"/>
      <c r="AL1171" s="379"/>
      <c r="AM1171" s="379"/>
      <c r="AN1171" s="379"/>
      <c r="AO1171" s="379"/>
      <c r="AP1171" s="379"/>
      <c r="AQ1171" s="379"/>
      <c r="AR1171" s="379"/>
      <c r="AS1171" s="379"/>
      <c r="AT1171" s="379"/>
      <c r="AU1171" s="379"/>
      <c r="AV1171" s="379"/>
      <c r="AW1171" s="379"/>
      <c r="AX1171" s="379"/>
      <c r="AY1171" s="379"/>
      <c r="AZ1171" s="379"/>
      <c r="BA1171" s="379"/>
      <c r="BB1171" s="379"/>
      <c r="BC1171" s="379"/>
      <c r="BD1171" s="379"/>
      <c r="BE1171" s="379"/>
      <c r="BF1171" s="379"/>
      <c r="BG1171" s="379"/>
      <c r="BH1171" s="379"/>
      <c r="BI1171" s="379"/>
      <c r="BJ1171" s="379"/>
      <c r="BK1171" s="379"/>
      <c r="BL1171" s="379"/>
      <c r="BM1171" s="379"/>
      <c r="BN1171" s="379"/>
      <c r="BO1171" s="379"/>
      <c r="BP1171" s="379"/>
      <c r="BQ1171" s="379"/>
      <c r="BR1171" s="379"/>
      <c r="BS1171" s="379"/>
      <c r="BT1171" s="379"/>
      <c r="BU1171" s="379"/>
      <c r="BV1171" s="379"/>
      <c r="BW1171" s="379"/>
      <c r="BX1171" s="379"/>
      <c r="BY1171" s="379"/>
      <c r="BZ1171" s="379"/>
      <c r="CA1171" s="270"/>
      <c r="CB1171" s="3" t="str">
        <f t="shared" si="165"/>
        <v>Riadok bude skrytý.</v>
      </c>
      <c r="CC1171" s="271" t="s">
        <v>832</v>
      </c>
      <c r="CW1171" s="30">
        <f t="shared" si="173"/>
        <v>0</v>
      </c>
      <c r="CZ1171" s="30">
        <f t="shared" si="155"/>
        <v>1</v>
      </c>
      <c r="DA1171" s="30">
        <f t="shared" si="172"/>
        <v>0</v>
      </c>
      <c r="DB1171" s="2">
        <f t="shared" si="162"/>
        <v>0</v>
      </c>
      <c r="DS1171" s="130">
        <f>SI!BY1171</f>
        <v>128</v>
      </c>
      <c r="DZ1171" s="131">
        <f>SI!BZ1171</f>
        <v>0</v>
      </c>
    </row>
    <row r="1172" spans="1:130" hidden="1" x14ac:dyDescent="0.25">
      <c r="A1172" s="141"/>
      <c r="B1172" s="379"/>
      <c r="C1172" s="379"/>
      <c r="D1172" s="379"/>
      <c r="E1172" s="379"/>
      <c r="F1172" s="379"/>
      <c r="G1172" s="379"/>
      <c r="H1172" s="379"/>
      <c r="I1172" s="379"/>
      <c r="J1172" s="379"/>
      <c r="K1172" s="379"/>
      <c r="L1172" s="379"/>
      <c r="M1172" s="379"/>
      <c r="N1172" s="379"/>
      <c r="O1172" s="379"/>
      <c r="P1172" s="379"/>
      <c r="Q1172" s="379"/>
      <c r="R1172" s="379"/>
      <c r="S1172" s="379"/>
      <c r="T1172" s="379"/>
      <c r="U1172" s="379"/>
      <c r="V1172" s="379"/>
      <c r="W1172" s="379"/>
      <c r="X1172" s="379"/>
      <c r="Y1172" s="379"/>
      <c r="Z1172" s="379"/>
      <c r="AA1172" s="379"/>
      <c r="AB1172" s="379"/>
      <c r="AC1172" s="379"/>
      <c r="AD1172" s="379"/>
      <c r="AE1172" s="379"/>
      <c r="AF1172" s="379"/>
      <c r="AG1172" s="379"/>
      <c r="AH1172" s="379"/>
      <c r="AI1172" s="379"/>
      <c r="AJ1172" s="379"/>
      <c r="AK1172" s="379"/>
      <c r="AL1172" s="379"/>
      <c r="AM1172" s="379"/>
      <c r="AN1172" s="379"/>
      <c r="AO1172" s="379"/>
      <c r="AP1172" s="379"/>
      <c r="AQ1172" s="379"/>
      <c r="AR1172" s="379"/>
      <c r="AS1172" s="379"/>
      <c r="AT1172" s="379"/>
      <c r="AU1172" s="379"/>
      <c r="AV1172" s="379"/>
      <c r="AW1172" s="379"/>
      <c r="AX1172" s="379"/>
      <c r="AY1172" s="379"/>
      <c r="AZ1172" s="379"/>
      <c r="BA1172" s="379"/>
      <c r="BB1172" s="379"/>
      <c r="BC1172" s="379"/>
      <c r="BD1172" s="379"/>
      <c r="BE1172" s="379"/>
      <c r="BF1172" s="379"/>
      <c r="BG1172" s="379"/>
      <c r="BH1172" s="379"/>
      <c r="BI1172" s="379"/>
      <c r="BJ1172" s="379"/>
      <c r="BK1172" s="379"/>
      <c r="BL1172" s="379"/>
      <c r="BM1172" s="379"/>
      <c r="BN1172" s="379"/>
      <c r="BO1172" s="379"/>
      <c r="BP1172" s="379"/>
      <c r="BQ1172" s="379"/>
      <c r="BR1172" s="379"/>
      <c r="BS1172" s="379"/>
      <c r="BT1172" s="379"/>
      <c r="BU1172" s="379"/>
      <c r="BV1172" s="379"/>
      <c r="BW1172" s="379"/>
      <c r="BX1172" s="379"/>
      <c r="BY1172" s="379"/>
      <c r="BZ1172" s="379"/>
      <c r="CA1172" s="270"/>
      <c r="CB1172" s="3" t="str">
        <f t="shared" si="165"/>
        <v>Riadok bude skrytý.</v>
      </c>
      <c r="CC1172" s="271" t="s">
        <v>832</v>
      </c>
      <c r="CW1172" s="30">
        <f t="shared" si="173"/>
        <v>0</v>
      </c>
      <c r="CZ1172" s="30">
        <f t="shared" si="155"/>
        <v>1</v>
      </c>
      <c r="DA1172" s="30">
        <f t="shared" si="172"/>
        <v>0</v>
      </c>
      <c r="DB1172" s="2">
        <f t="shared" si="162"/>
        <v>0</v>
      </c>
      <c r="DS1172" s="130">
        <f>SI!BY1172</f>
        <v>165</v>
      </c>
      <c r="DZ1172" s="131">
        <f>SI!BZ1172</f>
        <v>0</v>
      </c>
    </row>
    <row r="1173" spans="1:130" hidden="1" x14ac:dyDescent="0.25">
      <c r="A1173" s="141"/>
      <c r="B1173" s="379"/>
      <c r="C1173" s="379"/>
      <c r="D1173" s="379"/>
      <c r="E1173" s="379"/>
      <c r="F1173" s="379"/>
      <c r="G1173" s="379"/>
      <c r="H1173" s="379"/>
      <c r="I1173" s="379"/>
      <c r="J1173" s="379"/>
      <c r="K1173" s="379"/>
      <c r="L1173" s="379"/>
      <c r="M1173" s="379"/>
      <c r="N1173" s="379"/>
      <c r="O1173" s="379"/>
      <c r="P1173" s="379"/>
      <c r="Q1173" s="379"/>
      <c r="R1173" s="379"/>
      <c r="S1173" s="379"/>
      <c r="T1173" s="379"/>
      <c r="U1173" s="379"/>
      <c r="V1173" s="379"/>
      <c r="W1173" s="379"/>
      <c r="X1173" s="379"/>
      <c r="Y1173" s="379"/>
      <c r="Z1173" s="379"/>
      <c r="AA1173" s="379"/>
      <c r="AB1173" s="379"/>
      <c r="AC1173" s="379"/>
      <c r="AD1173" s="379"/>
      <c r="AE1173" s="379"/>
      <c r="AF1173" s="379"/>
      <c r="AG1173" s="379"/>
      <c r="AH1173" s="379"/>
      <c r="AI1173" s="379"/>
      <c r="AJ1173" s="379"/>
      <c r="AK1173" s="379"/>
      <c r="AL1173" s="379"/>
      <c r="AM1173" s="379"/>
      <c r="AN1173" s="379"/>
      <c r="AO1173" s="379"/>
      <c r="AP1173" s="379"/>
      <c r="AQ1173" s="379"/>
      <c r="AR1173" s="379"/>
      <c r="AS1173" s="379"/>
      <c r="AT1173" s="379"/>
      <c r="AU1173" s="379"/>
      <c r="AV1173" s="379"/>
      <c r="AW1173" s="379"/>
      <c r="AX1173" s="379"/>
      <c r="AY1173" s="379"/>
      <c r="AZ1173" s="379"/>
      <c r="BA1173" s="379"/>
      <c r="BB1173" s="379"/>
      <c r="BC1173" s="379"/>
      <c r="BD1173" s="379"/>
      <c r="BE1173" s="379"/>
      <c r="BF1173" s="379"/>
      <c r="BG1173" s="379"/>
      <c r="BH1173" s="379"/>
      <c r="BI1173" s="379"/>
      <c r="BJ1173" s="379"/>
      <c r="BK1173" s="379"/>
      <c r="BL1173" s="379"/>
      <c r="BM1173" s="379"/>
      <c r="BN1173" s="379"/>
      <c r="BO1173" s="379"/>
      <c r="BP1173" s="379"/>
      <c r="BQ1173" s="379"/>
      <c r="BR1173" s="379"/>
      <c r="BS1173" s="379"/>
      <c r="BT1173" s="379"/>
      <c r="BU1173" s="379"/>
      <c r="BV1173" s="379"/>
      <c r="BW1173" s="379"/>
      <c r="BX1173" s="379"/>
      <c r="BY1173" s="379"/>
      <c r="BZ1173" s="379"/>
      <c r="CA1173" s="270"/>
      <c r="CB1173" s="3" t="str">
        <f t="shared" si="165"/>
        <v>Riadok bude skrytý.</v>
      </c>
      <c r="CC1173" s="271" t="s">
        <v>832</v>
      </c>
      <c r="CW1173" s="30">
        <f t="shared" si="173"/>
        <v>0</v>
      </c>
      <c r="CZ1173" s="30">
        <f t="shared" si="155"/>
        <v>1</v>
      </c>
      <c r="DA1173" s="30">
        <f t="shared" si="172"/>
        <v>0</v>
      </c>
      <c r="DB1173" s="2">
        <f t="shared" si="162"/>
        <v>0</v>
      </c>
      <c r="DS1173" s="130">
        <f>SI!BY1173</f>
        <v>113</v>
      </c>
      <c r="DZ1173" s="131">
        <f>SI!BZ1173</f>
        <v>0</v>
      </c>
    </row>
    <row r="1174" spans="1:130" hidden="1" x14ac:dyDescent="0.25">
      <c r="A1174" s="141"/>
      <c r="B1174" s="379"/>
      <c r="C1174" s="379"/>
      <c r="D1174" s="379"/>
      <c r="E1174" s="379"/>
      <c r="F1174" s="379"/>
      <c r="G1174" s="379"/>
      <c r="H1174" s="379"/>
      <c r="I1174" s="379"/>
      <c r="J1174" s="379"/>
      <c r="K1174" s="379"/>
      <c r="L1174" s="379"/>
      <c r="M1174" s="379"/>
      <c r="N1174" s="379"/>
      <c r="O1174" s="379"/>
      <c r="P1174" s="379"/>
      <c r="Q1174" s="379"/>
      <c r="R1174" s="379"/>
      <c r="S1174" s="379"/>
      <c r="T1174" s="379"/>
      <c r="U1174" s="379"/>
      <c r="V1174" s="379"/>
      <c r="W1174" s="379"/>
      <c r="X1174" s="379"/>
      <c r="Y1174" s="379"/>
      <c r="Z1174" s="379"/>
      <c r="AA1174" s="379"/>
      <c r="AB1174" s="379"/>
      <c r="AC1174" s="379"/>
      <c r="AD1174" s="379"/>
      <c r="AE1174" s="379"/>
      <c r="AF1174" s="379"/>
      <c r="AG1174" s="379"/>
      <c r="AH1174" s="379"/>
      <c r="AI1174" s="379"/>
      <c r="AJ1174" s="379"/>
      <c r="AK1174" s="379"/>
      <c r="AL1174" s="379"/>
      <c r="AM1174" s="379"/>
      <c r="AN1174" s="379"/>
      <c r="AO1174" s="379"/>
      <c r="AP1174" s="379"/>
      <c r="AQ1174" s="379"/>
      <c r="AR1174" s="379"/>
      <c r="AS1174" s="379"/>
      <c r="AT1174" s="379"/>
      <c r="AU1174" s="379"/>
      <c r="AV1174" s="379"/>
      <c r="AW1174" s="379"/>
      <c r="AX1174" s="379"/>
      <c r="AY1174" s="379"/>
      <c r="AZ1174" s="379"/>
      <c r="BA1174" s="379"/>
      <c r="BB1174" s="379"/>
      <c r="BC1174" s="379"/>
      <c r="BD1174" s="379"/>
      <c r="BE1174" s="379"/>
      <c r="BF1174" s="379"/>
      <c r="BG1174" s="379"/>
      <c r="BH1174" s="379"/>
      <c r="BI1174" s="379"/>
      <c r="BJ1174" s="379"/>
      <c r="BK1174" s="379"/>
      <c r="BL1174" s="379"/>
      <c r="BM1174" s="379"/>
      <c r="BN1174" s="379"/>
      <c r="BO1174" s="379"/>
      <c r="BP1174" s="379"/>
      <c r="BQ1174" s="379"/>
      <c r="BR1174" s="379"/>
      <c r="BS1174" s="379"/>
      <c r="BT1174" s="379"/>
      <c r="BU1174" s="379"/>
      <c r="BV1174" s="379"/>
      <c r="BW1174" s="379"/>
      <c r="BX1174" s="379"/>
      <c r="BY1174" s="379"/>
      <c r="BZ1174" s="379"/>
      <c r="CA1174" s="270"/>
      <c r="CB1174" s="3" t="str">
        <f t="shared" si="165"/>
        <v>Riadok bude skrytý.</v>
      </c>
      <c r="CC1174" s="271" t="s">
        <v>832</v>
      </c>
      <c r="CW1174" s="30">
        <f t="shared" si="173"/>
        <v>0</v>
      </c>
      <c r="CZ1174" s="30">
        <f t="shared" si="155"/>
        <v>1</v>
      </c>
      <c r="DA1174" s="30">
        <f t="shared" si="172"/>
        <v>0</v>
      </c>
      <c r="DB1174" s="2">
        <f t="shared" si="162"/>
        <v>0</v>
      </c>
      <c r="DS1174" s="130">
        <f>SI!BY1174</f>
        <v>193</v>
      </c>
      <c r="DZ1174" s="131">
        <f>SI!BZ1174</f>
        <v>0</v>
      </c>
    </row>
    <row r="1175" spans="1:130" hidden="1" x14ac:dyDescent="0.25">
      <c r="A1175" s="141"/>
      <c r="B1175" s="379"/>
      <c r="C1175" s="379"/>
      <c r="D1175" s="379"/>
      <c r="E1175" s="379"/>
      <c r="F1175" s="379"/>
      <c r="G1175" s="379"/>
      <c r="H1175" s="379"/>
      <c r="I1175" s="379"/>
      <c r="J1175" s="379"/>
      <c r="K1175" s="379"/>
      <c r="L1175" s="379"/>
      <c r="M1175" s="379"/>
      <c r="N1175" s="379"/>
      <c r="O1175" s="379"/>
      <c r="P1175" s="379"/>
      <c r="Q1175" s="379"/>
      <c r="R1175" s="379"/>
      <c r="S1175" s="379"/>
      <c r="T1175" s="379"/>
      <c r="U1175" s="379"/>
      <c r="V1175" s="379"/>
      <c r="W1175" s="379"/>
      <c r="X1175" s="379"/>
      <c r="Y1175" s="379"/>
      <c r="Z1175" s="379"/>
      <c r="AA1175" s="379"/>
      <c r="AB1175" s="379"/>
      <c r="AC1175" s="379"/>
      <c r="AD1175" s="379"/>
      <c r="AE1175" s="379"/>
      <c r="AF1175" s="379"/>
      <c r="AG1175" s="379"/>
      <c r="AH1175" s="379"/>
      <c r="AI1175" s="379"/>
      <c r="AJ1175" s="379"/>
      <c r="AK1175" s="379"/>
      <c r="AL1175" s="379"/>
      <c r="AM1175" s="379"/>
      <c r="AN1175" s="379"/>
      <c r="AO1175" s="379"/>
      <c r="AP1175" s="379"/>
      <c r="AQ1175" s="379"/>
      <c r="AR1175" s="379"/>
      <c r="AS1175" s="379"/>
      <c r="AT1175" s="379"/>
      <c r="AU1175" s="379"/>
      <c r="AV1175" s="379"/>
      <c r="AW1175" s="379"/>
      <c r="AX1175" s="379"/>
      <c r="AY1175" s="379"/>
      <c r="AZ1175" s="379"/>
      <c r="BA1175" s="379"/>
      <c r="BB1175" s="379"/>
      <c r="BC1175" s="379"/>
      <c r="BD1175" s="379"/>
      <c r="BE1175" s="379"/>
      <c r="BF1175" s="379"/>
      <c r="BG1175" s="379"/>
      <c r="BH1175" s="379"/>
      <c r="BI1175" s="379"/>
      <c r="BJ1175" s="379"/>
      <c r="BK1175" s="379"/>
      <c r="BL1175" s="379"/>
      <c r="BM1175" s="379"/>
      <c r="BN1175" s="379"/>
      <c r="BO1175" s="379"/>
      <c r="BP1175" s="379"/>
      <c r="BQ1175" s="379"/>
      <c r="BR1175" s="379"/>
      <c r="BS1175" s="379"/>
      <c r="BT1175" s="379"/>
      <c r="BU1175" s="379"/>
      <c r="BV1175" s="379"/>
      <c r="BW1175" s="379"/>
      <c r="BX1175" s="379"/>
      <c r="BY1175" s="379"/>
      <c r="BZ1175" s="379"/>
      <c r="CA1175" s="270"/>
      <c r="CB1175" s="3" t="str">
        <f t="shared" si="165"/>
        <v>Riadok bude skrytý.</v>
      </c>
      <c r="CC1175" s="271" t="s">
        <v>832</v>
      </c>
      <c r="CW1175" s="30">
        <f t="shared" si="173"/>
        <v>0</v>
      </c>
      <c r="CZ1175" s="30">
        <f t="shared" si="155"/>
        <v>1</v>
      </c>
      <c r="DA1175" s="30">
        <f t="shared" si="172"/>
        <v>0</v>
      </c>
      <c r="DB1175" s="2">
        <f t="shared" si="162"/>
        <v>0</v>
      </c>
      <c r="DS1175" s="130">
        <f>SI!BY1175</f>
        <v>120</v>
      </c>
      <c r="DZ1175" s="131">
        <f>SI!BZ1175</f>
        <v>0</v>
      </c>
    </row>
    <row r="1176" spans="1:130" hidden="1" x14ac:dyDescent="0.25">
      <c r="A1176" s="141"/>
      <c r="B1176" s="379"/>
      <c r="C1176" s="379"/>
      <c r="D1176" s="379"/>
      <c r="E1176" s="379"/>
      <c r="F1176" s="379"/>
      <c r="G1176" s="379"/>
      <c r="H1176" s="379"/>
      <c r="I1176" s="379"/>
      <c r="J1176" s="379"/>
      <c r="K1176" s="379"/>
      <c r="L1176" s="379"/>
      <c r="M1176" s="379"/>
      <c r="N1176" s="379"/>
      <c r="O1176" s="379"/>
      <c r="P1176" s="379"/>
      <c r="Q1176" s="379"/>
      <c r="R1176" s="379"/>
      <c r="S1176" s="379"/>
      <c r="T1176" s="379"/>
      <c r="U1176" s="379"/>
      <c r="V1176" s="379"/>
      <c r="W1176" s="379"/>
      <c r="X1176" s="379"/>
      <c r="Y1176" s="379"/>
      <c r="Z1176" s="379"/>
      <c r="AA1176" s="379"/>
      <c r="AB1176" s="379"/>
      <c r="AC1176" s="379"/>
      <c r="AD1176" s="379"/>
      <c r="AE1176" s="379"/>
      <c r="AF1176" s="379"/>
      <c r="AG1176" s="379"/>
      <c r="AH1176" s="379"/>
      <c r="AI1176" s="379"/>
      <c r="AJ1176" s="379"/>
      <c r="AK1176" s="379"/>
      <c r="AL1176" s="379"/>
      <c r="AM1176" s="379"/>
      <c r="AN1176" s="379"/>
      <c r="AO1176" s="379"/>
      <c r="AP1176" s="379"/>
      <c r="AQ1176" s="379"/>
      <c r="AR1176" s="379"/>
      <c r="AS1176" s="379"/>
      <c r="AT1176" s="379"/>
      <c r="AU1176" s="379"/>
      <c r="AV1176" s="379"/>
      <c r="AW1176" s="379"/>
      <c r="AX1176" s="379"/>
      <c r="AY1176" s="379"/>
      <c r="AZ1176" s="379"/>
      <c r="BA1176" s="379"/>
      <c r="BB1176" s="379"/>
      <c r="BC1176" s="379"/>
      <c r="BD1176" s="379"/>
      <c r="BE1176" s="379"/>
      <c r="BF1176" s="379"/>
      <c r="BG1176" s="379"/>
      <c r="BH1176" s="379"/>
      <c r="BI1176" s="379"/>
      <c r="BJ1176" s="379"/>
      <c r="BK1176" s="379"/>
      <c r="BL1176" s="379"/>
      <c r="BM1176" s="379"/>
      <c r="BN1176" s="379"/>
      <c r="BO1176" s="379"/>
      <c r="BP1176" s="379"/>
      <c r="BQ1176" s="379"/>
      <c r="BR1176" s="379"/>
      <c r="BS1176" s="379"/>
      <c r="BT1176" s="379"/>
      <c r="BU1176" s="379"/>
      <c r="BV1176" s="379"/>
      <c r="BW1176" s="379"/>
      <c r="BX1176" s="379"/>
      <c r="BY1176" s="379"/>
      <c r="BZ1176" s="379"/>
      <c r="CA1176" s="270"/>
      <c r="CB1176" s="3" t="str">
        <f t="shared" si="165"/>
        <v>Riadok bude skrytý.</v>
      </c>
      <c r="CC1176" s="271" t="s">
        <v>832</v>
      </c>
      <c r="CW1176" s="30">
        <f t="shared" si="173"/>
        <v>0</v>
      </c>
      <c r="CZ1176" s="30">
        <f t="shared" si="155"/>
        <v>1</v>
      </c>
      <c r="DA1176" s="30">
        <f t="shared" si="172"/>
        <v>0</v>
      </c>
      <c r="DB1176" s="2">
        <f t="shared" si="162"/>
        <v>0</v>
      </c>
      <c r="DS1176" s="130">
        <f>SI!BY1176</f>
        <v>177</v>
      </c>
      <c r="DZ1176" s="131">
        <f>SI!BZ1176</f>
        <v>0</v>
      </c>
    </row>
    <row r="1177" spans="1:130" hidden="1" x14ac:dyDescent="0.25">
      <c r="A1177" s="141"/>
      <c r="B1177" s="379"/>
      <c r="C1177" s="379"/>
      <c r="D1177" s="379"/>
      <c r="E1177" s="379"/>
      <c r="F1177" s="379"/>
      <c r="G1177" s="379"/>
      <c r="H1177" s="379"/>
      <c r="I1177" s="379"/>
      <c r="J1177" s="379"/>
      <c r="K1177" s="379"/>
      <c r="L1177" s="379"/>
      <c r="M1177" s="379"/>
      <c r="N1177" s="379"/>
      <c r="O1177" s="379"/>
      <c r="P1177" s="379"/>
      <c r="Q1177" s="379"/>
      <c r="R1177" s="379"/>
      <c r="S1177" s="379"/>
      <c r="T1177" s="379"/>
      <c r="U1177" s="379"/>
      <c r="V1177" s="379"/>
      <c r="W1177" s="379"/>
      <c r="X1177" s="379"/>
      <c r="Y1177" s="379"/>
      <c r="Z1177" s="379"/>
      <c r="AA1177" s="379"/>
      <c r="AB1177" s="379"/>
      <c r="AC1177" s="379"/>
      <c r="AD1177" s="379"/>
      <c r="AE1177" s="379"/>
      <c r="AF1177" s="379"/>
      <c r="AG1177" s="379"/>
      <c r="AH1177" s="379"/>
      <c r="AI1177" s="379"/>
      <c r="AJ1177" s="379"/>
      <c r="AK1177" s="379"/>
      <c r="AL1177" s="379"/>
      <c r="AM1177" s="379"/>
      <c r="AN1177" s="379"/>
      <c r="AO1177" s="379"/>
      <c r="AP1177" s="379"/>
      <c r="AQ1177" s="379"/>
      <c r="AR1177" s="379"/>
      <c r="AS1177" s="379"/>
      <c r="AT1177" s="379"/>
      <c r="AU1177" s="379"/>
      <c r="AV1177" s="379"/>
      <c r="AW1177" s="379"/>
      <c r="AX1177" s="379"/>
      <c r="AY1177" s="379"/>
      <c r="AZ1177" s="379"/>
      <c r="BA1177" s="379"/>
      <c r="BB1177" s="379"/>
      <c r="BC1177" s="379"/>
      <c r="BD1177" s="379"/>
      <c r="BE1177" s="379"/>
      <c r="BF1177" s="379"/>
      <c r="BG1177" s="379"/>
      <c r="BH1177" s="379"/>
      <c r="BI1177" s="379"/>
      <c r="BJ1177" s="379"/>
      <c r="BK1177" s="379"/>
      <c r="BL1177" s="379"/>
      <c r="BM1177" s="379"/>
      <c r="BN1177" s="379"/>
      <c r="BO1177" s="379"/>
      <c r="BP1177" s="379"/>
      <c r="BQ1177" s="379"/>
      <c r="BR1177" s="379"/>
      <c r="BS1177" s="379"/>
      <c r="BT1177" s="379"/>
      <c r="BU1177" s="379"/>
      <c r="BV1177" s="379"/>
      <c r="BW1177" s="379"/>
      <c r="BX1177" s="379"/>
      <c r="BY1177" s="379"/>
      <c r="BZ1177" s="379"/>
      <c r="CA1177" s="270"/>
      <c r="CB1177" s="3" t="str">
        <f t="shared" si="165"/>
        <v>Riadok bude skrytý.</v>
      </c>
      <c r="CC1177" s="271" t="s">
        <v>832</v>
      </c>
      <c r="CW1177" s="30">
        <f t="shared" si="173"/>
        <v>0</v>
      </c>
      <c r="CZ1177" s="30">
        <f t="shared" si="155"/>
        <v>1</v>
      </c>
      <c r="DA1177" s="30">
        <f t="shared" si="172"/>
        <v>0</v>
      </c>
      <c r="DB1177" s="2">
        <f t="shared" si="162"/>
        <v>0</v>
      </c>
      <c r="DS1177" s="130">
        <f>SI!BY1177</f>
        <v>169</v>
      </c>
      <c r="DZ1177" s="131">
        <f>SI!BZ1177</f>
        <v>0</v>
      </c>
    </row>
    <row r="1178" spans="1:130" hidden="1" x14ac:dyDescent="0.25">
      <c r="A1178" s="141"/>
      <c r="B1178" s="379"/>
      <c r="C1178" s="379"/>
      <c r="D1178" s="379"/>
      <c r="E1178" s="379"/>
      <c r="F1178" s="379"/>
      <c r="G1178" s="379"/>
      <c r="H1178" s="379"/>
      <c r="I1178" s="379"/>
      <c r="J1178" s="379"/>
      <c r="K1178" s="379"/>
      <c r="L1178" s="379"/>
      <c r="M1178" s="379"/>
      <c r="N1178" s="379"/>
      <c r="O1178" s="379"/>
      <c r="P1178" s="379"/>
      <c r="Q1178" s="379"/>
      <c r="R1178" s="379"/>
      <c r="S1178" s="379"/>
      <c r="T1178" s="379"/>
      <c r="U1178" s="379"/>
      <c r="V1178" s="379"/>
      <c r="W1178" s="379"/>
      <c r="X1178" s="379"/>
      <c r="Y1178" s="379"/>
      <c r="Z1178" s="379"/>
      <c r="AA1178" s="379"/>
      <c r="AB1178" s="379"/>
      <c r="AC1178" s="379"/>
      <c r="AD1178" s="379"/>
      <c r="AE1178" s="379"/>
      <c r="AF1178" s="379"/>
      <c r="AG1178" s="379"/>
      <c r="AH1178" s="379"/>
      <c r="AI1178" s="379"/>
      <c r="AJ1178" s="379"/>
      <c r="AK1178" s="379"/>
      <c r="AL1178" s="379"/>
      <c r="AM1178" s="379"/>
      <c r="AN1178" s="379"/>
      <c r="AO1178" s="379"/>
      <c r="AP1178" s="379"/>
      <c r="AQ1178" s="379"/>
      <c r="AR1178" s="379"/>
      <c r="AS1178" s="379"/>
      <c r="AT1178" s="379"/>
      <c r="AU1178" s="379"/>
      <c r="AV1178" s="379"/>
      <c r="AW1178" s="379"/>
      <c r="AX1178" s="379"/>
      <c r="AY1178" s="379"/>
      <c r="AZ1178" s="379"/>
      <c r="BA1178" s="379"/>
      <c r="BB1178" s="379"/>
      <c r="BC1178" s="379"/>
      <c r="BD1178" s="379"/>
      <c r="BE1178" s="379"/>
      <c r="BF1178" s="379"/>
      <c r="BG1178" s="379"/>
      <c r="BH1178" s="379"/>
      <c r="BI1178" s="379"/>
      <c r="BJ1178" s="379"/>
      <c r="BK1178" s="379"/>
      <c r="BL1178" s="379"/>
      <c r="BM1178" s="379"/>
      <c r="BN1178" s="379"/>
      <c r="BO1178" s="379"/>
      <c r="BP1178" s="379"/>
      <c r="BQ1178" s="379"/>
      <c r="BR1178" s="379"/>
      <c r="BS1178" s="379"/>
      <c r="BT1178" s="379"/>
      <c r="BU1178" s="379"/>
      <c r="BV1178" s="379"/>
      <c r="BW1178" s="379"/>
      <c r="BX1178" s="379"/>
      <c r="BY1178" s="379"/>
      <c r="BZ1178" s="379"/>
      <c r="CA1178" s="270"/>
      <c r="CB1178" s="3" t="str">
        <f t="shared" si="165"/>
        <v>Riadok bude skrytý.</v>
      </c>
      <c r="CC1178" s="271" t="s">
        <v>832</v>
      </c>
      <c r="CW1178" s="30">
        <f t="shared" si="173"/>
        <v>0</v>
      </c>
      <c r="CZ1178" s="30">
        <f t="shared" si="155"/>
        <v>1</v>
      </c>
      <c r="DA1178" s="30">
        <f t="shared" si="172"/>
        <v>0</v>
      </c>
      <c r="DB1178" s="2">
        <f t="shared" si="162"/>
        <v>0</v>
      </c>
      <c r="DS1178" s="130">
        <f>SI!BY1178</f>
        <v>190</v>
      </c>
      <c r="DZ1178" s="131">
        <f>SI!BZ1178</f>
        <v>0</v>
      </c>
    </row>
    <row r="1179" spans="1:130" hidden="1" x14ac:dyDescent="0.25">
      <c r="A1179" s="141"/>
      <c r="B1179" s="379"/>
      <c r="C1179" s="379"/>
      <c r="D1179" s="379"/>
      <c r="E1179" s="379"/>
      <c r="F1179" s="379"/>
      <c r="G1179" s="379"/>
      <c r="H1179" s="379"/>
      <c r="I1179" s="379"/>
      <c r="J1179" s="379"/>
      <c r="K1179" s="379"/>
      <c r="L1179" s="379"/>
      <c r="M1179" s="379"/>
      <c r="N1179" s="379"/>
      <c r="O1179" s="379"/>
      <c r="P1179" s="379"/>
      <c r="Q1179" s="379"/>
      <c r="R1179" s="379"/>
      <c r="S1179" s="379"/>
      <c r="T1179" s="379"/>
      <c r="U1179" s="379"/>
      <c r="V1179" s="379"/>
      <c r="W1179" s="379"/>
      <c r="X1179" s="379"/>
      <c r="Y1179" s="379"/>
      <c r="Z1179" s="379"/>
      <c r="AA1179" s="379"/>
      <c r="AB1179" s="379"/>
      <c r="AC1179" s="379"/>
      <c r="AD1179" s="379"/>
      <c r="AE1179" s="379"/>
      <c r="AF1179" s="379"/>
      <c r="AG1179" s="379"/>
      <c r="AH1179" s="379"/>
      <c r="AI1179" s="379"/>
      <c r="AJ1179" s="379"/>
      <c r="AK1179" s="379"/>
      <c r="AL1179" s="379"/>
      <c r="AM1179" s="379"/>
      <c r="AN1179" s="379"/>
      <c r="AO1179" s="379"/>
      <c r="AP1179" s="379"/>
      <c r="AQ1179" s="379"/>
      <c r="AR1179" s="379"/>
      <c r="AS1179" s="379"/>
      <c r="AT1179" s="379"/>
      <c r="AU1179" s="379"/>
      <c r="AV1179" s="379"/>
      <c r="AW1179" s="379"/>
      <c r="AX1179" s="379"/>
      <c r="AY1179" s="379"/>
      <c r="AZ1179" s="379"/>
      <c r="BA1179" s="379"/>
      <c r="BB1179" s="379"/>
      <c r="BC1179" s="379"/>
      <c r="BD1179" s="379"/>
      <c r="BE1179" s="379"/>
      <c r="BF1179" s="379"/>
      <c r="BG1179" s="379"/>
      <c r="BH1179" s="379"/>
      <c r="BI1179" s="379"/>
      <c r="BJ1179" s="379"/>
      <c r="BK1179" s="379"/>
      <c r="BL1179" s="379"/>
      <c r="BM1179" s="379"/>
      <c r="BN1179" s="379"/>
      <c r="BO1179" s="379"/>
      <c r="BP1179" s="379"/>
      <c r="BQ1179" s="379"/>
      <c r="BR1179" s="379"/>
      <c r="BS1179" s="379"/>
      <c r="BT1179" s="379"/>
      <c r="BU1179" s="379"/>
      <c r="BV1179" s="379"/>
      <c r="BW1179" s="379"/>
      <c r="BX1179" s="379"/>
      <c r="BY1179" s="379"/>
      <c r="BZ1179" s="379"/>
      <c r="CA1179" s="270"/>
      <c r="CB1179" s="3" t="str">
        <f t="shared" si="165"/>
        <v>Riadok bude skrytý.</v>
      </c>
      <c r="CC1179" s="271" t="s">
        <v>832</v>
      </c>
      <c r="CW1179" s="30">
        <f t="shared" si="173"/>
        <v>0</v>
      </c>
      <c r="CZ1179" s="30">
        <f t="shared" si="155"/>
        <v>1</v>
      </c>
      <c r="DA1179" s="30">
        <f t="shared" si="172"/>
        <v>0</v>
      </c>
      <c r="DB1179" s="2">
        <f t="shared" si="162"/>
        <v>0</v>
      </c>
      <c r="DS1179" s="130">
        <f>SI!BY1179</f>
        <v>196</v>
      </c>
      <c r="DZ1179" s="131">
        <f>SI!BZ1179</f>
        <v>0</v>
      </c>
    </row>
    <row r="1180" spans="1:130" hidden="1" x14ac:dyDescent="0.25">
      <c r="A1180" s="141"/>
      <c r="B1180" s="379"/>
      <c r="C1180" s="379"/>
      <c r="D1180" s="379"/>
      <c r="E1180" s="379"/>
      <c r="F1180" s="379"/>
      <c r="G1180" s="379"/>
      <c r="H1180" s="379"/>
      <c r="I1180" s="379"/>
      <c r="J1180" s="379"/>
      <c r="K1180" s="379"/>
      <c r="L1180" s="379"/>
      <c r="M1180" s="379"/>
      <c r="N1180" s="379"/>
      <c r="O1180" s="379"/>
      <c r="P1180" s="379"/>
      <c r="Q1180" s="379"/>
      <c r="R1180" s="379"/>
      <c r="S1180" s="379"/>
      <c r="T1180" s="379"/>
      <c r="U1180" s="379"/>
      <c r="V1180" s="379"/>
      <c r="W1180" s="379"/>
      <c r="X1180" s="379"/>
      <c r="Y1180" s="379"/>
      <c r="Z1180" s="379"/>
      <c r="AA1180" s="379"/>
      <c r="AB1180" s="379"/>
      <c r="AC1180" s="379"/>
      <c r="AD1180" s="379"/>
      <c r="AE1180" s="379"/>
      <c r="AF1180" s="379"/>
      <c r="AG1180" s="379"/>
      <c r="AH1180" s="379"/>
      <c r="AI1180" s="379"/>
      <c r="AJ1180" s="379"/>
      <c r="AK1180" s="379"/>
      <c r="AL1180" s="379"/>
      <c r="AM1180" s="379"/>
      <c r="AN1180" s="379"/>
      <c r="AO1180" s="379"/>
      <c r="AP1180" s="379"/>
      <c r="AQ1180" s="379"/>
      <c r="AR1180" s="379"/>
      <c r="AS1180" s="379"/>
      <c r="AT1180" s="379"/>
      <c r="AU1180" s="379"/>
      <c r="AV1180" s="379"/>
      <c r="AW1180" s="379"/>
      <c r="AX1180" s="379"/>
      <c r="AY1180" s="379"/>
      <c r="AZ1180" s="379"/>
      <c r="BA1180" s="379"/>
      <c r="BB1180" s="379"/>
      <c r="BC1180" s="379"/>
      <c r="BD1180" s="379"/>
      <c r="BE1180" s="379"/>
      <c r="BF1180" s="379"/>
      <c r="BG1180" s="379"/>
      <c r="BH1180" s="379"/>
      <c r="BI1180" s="379"/>
      <c r="BJ1180" s="379"/>
      <c r="BK1180" s="379"/>
      <c r="BL1180" s="379"/>
      <c r="BM1180" s="379"/>
      <c r="BN1180" s="379"/>
      <c r="BO1180" s="379"/>
      <c r="BP1180" s="379"/>
      <c r="BQ1180" s="379"/>
      <c r="BR1180" s="379"/>
      <c r="BS1180" s="379"/>
      <c r="BT1180" s="379"/>
      <c r="BU1180" s="379"/>
      <c r="BV1180" s="379"/>
      <c r="BW1180" s="379"/>
      <c r="BX1180" s="379"/>
      <c r="BY1180" s="379"/>
      <c r="BZ1180" s="379"/>
      <c r="CA1180" s="270"/>
      <c r="CB1180" s="3" t="str">
        <f t="shared" si="165"/>
        <v>Riadok bude skrytý.</v>
      </c>
      <c r="CC1180" s="271" t="s">
        <v>832</v>
      </c>
      <c r="CW1180" s="30">
        <f t="shared" si="173"/>
        <v>0</v>
      </c>
      <c r="CZ1180" s="30">
        <f t="shared" ref="CZ1180:CZ1244" si="174">IF(CC1180="",1,IF(CC1180="Chcem skryť riadok.",0,1))</f>
        <v>1</v>
      </c>
      <c r="DA1180" s="30">
        <f t="shared" si="172"/>
        <v>0</v>
      </c>
      <c r="DB1180" s="2">
        <f t="shared" si="162"/>
        <v>0</v>
      </c>
      <c r="DS1180" s="130">
        <f>SI!BY1180</f>
        <v>129</v>
      </c>
      <c r="DZ1180" s="131">
        <f>SI!BZ1180</f>
        <v>0</v>
      </c>
    </row>
    <row r="1181" spans="1:130" hidden="1" x14ac:dyDescent="0.25">
      <c r="A1181" s="141"/>
      <c r="B1181" s="379"/>
      <c r="C1181" s="379"/>
      <c r="D1181" s="379"/>
      <c r="E1181" s="379"/>
      <c r="F1181" s="379"/>
      <c r="G1181" s="379"/>
      <c r="H1181" s="379"/>
      <c r="I1181" s="379"/>
      <c r="J1181" s="379"/>
      <c r="K1181" s="379"/>
      <c r="L1181" s="379"/>
      <c r="M1181" s="379"/>
      <c r="N1181" s="379"/>
      <c r="O1181" s="379"/>
      <c r="P1181" s="379"/>
      <c r="Q1181" s="379"/>
      <c r="R1181" s="379"/>
      <c r="S1181" s="379"/>
      <c r="T1181" s="379"/>
      <c r="U1181" s="379"/>
      <c r="V1181" s="379"/>
      <c r="W1181" s="379"/>
      <c r="X1181" s="379"/>
      <c r="Y1181" s="379"/>
      <c r="Z1181" s="379"/>
      <c r="AA1181" s="379"/>
      <c r="AB1181" s="379"/>
      <c r="AC1181" s="379"/>
      <c r="AD1181" s="379"/>
      <c r="AE1181" s="379"/>
      <c r="AF1181" s="379"/>
      <c r="AG1181" s="379"/>
      <c r="AH1181" s="379"/>
      <c r="AI1181" s="379"/>
      <c r="AJ1181" s="379"/>
      <c r="AK1181" s="379"/>
      <c r="AL1181" s="379"/>
      <c r="AM1181" s="379"/>
      <c r="AN1181" s="379"/>
      <c r="AO1181" s="379"/>
      <c r="AP1181" s="379"/>
      <c r="AQ1181" s="379"/>
      <c r="AR1181" s="379"/>
      <c r="AS1181" s="379"/>
      <c r="AT1181" s="379"/>
      <c r="AU1181" s="379"/>
      <c r="AV1181" s="379"/>
      <c r="AW1181" s="379"/>
      <c r="AX1181" s="379"/>
      <c r="AY1181" s="379"/>
      <c r="AZ1181" s="379"/>
      <c r="BA1181" s="379"/>
      <c r="BB1181" s="379"/>
      <c r="BC1181" s="379"/>
      <c r="BD1181" s="379"/>
      <c r="BE1181" s="379"/>
      <c r="BF1181" s="379"/>
      <c r="BG1181" s="379"/>
      <c r="BH1181" s="379"/>
      <c r="BI1181" s="379"/>
      <c r="BJ1181" s="379"/>
      <c r="BK1181" s="379"/>
      <c r="BL1181" s="379"/>
      <c r="BM1181" s="379"/>
      <c r="BN1181" s="379"/>
      <c r="BO1181" s="379"/>
      <c r="BP1181" s="379"/>
      <c r="BQ1181" s="379"/>
      <c r="BR1181" s="379"/>
      <c r="BS1181" s="379"/>
      <c r="BT1181" s="379"/>
      <c r="BU1181" s="379"/>
      <c r="BV1181" s="379"/>
      <c r="BW1181" s="379"/>
      <c r="BX1181" s="379"/>
      <c r="BY1181" s="379"/>
      <c r="BZ1181" s="379"/>
      <c r="CA1181" s="270"/>
      <c r="CB1181" s="3" t="str">
        <f t="shared" si="165"/>
        <v>Riadok bude skrytý.</v>
      </c>
      <c r="CC1181" s="271" t="s">
        <v>832</v>
      </c>
      <c r="CW1181" s="30">
        <f t="shared" si="173"/>
        <v>0</v>
      </c>
      <c r="CZ1181" s="30">
        <f t="shared" si="174"/>
        <v>1</v>
      </c>
      <c r="DA1181" s="30">
        <f t="shared" si="172"/>
        <v>0</v>
      </c>
      <c r="DB1181" s="2">
        <f t="shared" si="162"/>
        <v>0</v>
      </c>
      <c r="DS1181" s="130">
        <f>SI!BY1181</f>
        <v>105</v>
      </c>
      <c r="DZ1181" s="131">
        <f>SI!BZ1181</f>
        <v>0</v>
      </c>
    </row>
    <row r="1182" spans="1:130" hidden="1" x14ac:dyDescent="0.25">
      <c r="A1182" s="141"/>
      <c r="B1182" s="379"/>
      <c r="C1182" s="379"/>
      <c r="D1182" s="379"/>
      <c r="E1182" s="379"/>
      <c r="F1182" s="379"/>
      <c r="G1182" s="379"/>
      <c r="H1182" s="379"/>
      <c r="I1182" s="379"/>
      <c r="J1182" s="379"/>
      <c r="K1182" s="379"/>
      <c r="L1182" s="379"/>
      <c r="M1182" s="379"/>
      <c r="N1182" s="379"/>
      <c r="O1182" s="379"/>
      <c r="P1182" s="379"/>
      <c r="Q1182" s="379"/>
      <c r="R1182" s="379"/>
      <c r="S1182" s="379"/>
      <c r="T1182" s="379"/>
      <c r="U1182" s="379"/>
      <c r="V1182" s="379"/>
      <c r="W1182" s="379"/>
      <c r="X1182" s="379"/>
      <c r="Y1182" s="379"/>
      <c r="Z1182" s="379"/>
      <c r="AA1182" s="379"/>
      <c r="AB1182" s="379"/>
      <c r="AC1182" s="379"/>
      <c r="AD1182" s="379"/>
      <c r="AE1182" s="379"/>
      <c r="AF1182" s="379"/>
      <c r="AG1182" s="379"/>
      <c r="AH1182" s="379"/>
      <c r="AI1182" s="379"/>
      <c r="AJ1182" s="379"/>
      <c r="AK1182" s="379"/>
      <c r="AL1182" s="379"/>
      <c r="AM1182" s="379"/>
      <c r="AN1182" s="379"/>
      <c r="AO1182" s="379"/>
      <c r="AP1182" s="379"/>
      <c r="AQ1182" s="379"/>
      <c r="AR1182" s="379"/>
      <c r="AS1182" s="379"/>
      <c r="AT1182" s="379"/>
      <c r="AU1182" s="379"/>
      <c r="AV1182" s="379"/>
      <c r="AW1182" s="379"/>
      <c r="AX1182" s="379"/>
      <c r="AY1182" s="379"/>
      <c r="AZ1182" s="379"/>
      <c r="BA1182" s="379"/>
      <c r="BB1182" s="379"/>
      <c r="BC1182" s="379"/>
      <c r="BD1182" s="379"/>
      <c r="BE1182" s="379"/>
      <c r="BF1182" s="379"/>
      <c r="BG1182" s="379"/>
      <c r="BH1182" s="379"/>
      <c r="BI1182" s="379"/>
      <c r="BJ1182" s="379"/>
      <c r="BK1182" s="379"/>
      <c r="BL1182" s="379"/>
      <c r="BM1182" s="379"/>
      <c r="BN1182" s="379"/>
      <c r="BO1182" s="379"/>
      <c r="BP1182" s="379"/>
      <c r="BQ1182" s="379"/>
      <c r="BR1182" s="379"/>
      <c r="BS1182" s="379"/>
      <c r="BT1182" s="379"/>
      <c r="BU1182" s="379"/>
      <c r="BV1182" s="379"/>
      <c r="BW1182" s="379"/>
      <c r="BX1182" s="379"/>
      <c r="BY1182" s="379"/>
      <c r="BZ1182" s="379"/>
      <c r="CA1182" s="270"/>
      <c r="CB1182" s="3" t="str">
        <f t="shared" si="165"/>
        <v>Riadok bude skrytý.</v>
      </c>
      <c r="CC1182" s="271" t="s">
        <v>832</v>
      </c>
      <c r="CW1182" s="30">
        <f t="shared" si="173"/>
        <v>0</v>
      </c>
      <c r="CZ1182" s="30">
        <f t="shared" si="174"/>
        <v>1</v>
      </c>
      <c r="DA1182" s="30">
        <f t="shared" si="172"/>
        <v>0</v>
      </c>
      <c r="DB1182" s="2">
        <f t="shared" si="162"/>
        <v>0</v>
      </c>
      <c r="DS1182" s="130">
        <f>SI!BY1182</f>
        <v>145</v>
      </c>
      <c r="DZ1182" s="131">
        <f>SI!BZ1182</f>
        <v>0</v>
      </c>
    </row>
    <row r="1183" spans="1:130" hidden="1" x14ac:dyDescent="0.25">
      <c r="A1183" s="141"/>
      <c r="B1183" s="379"/>
      <c r="C1183" s="379"/>
      <c r="D1183" s="379"/>
      <c r="E1183" s="379"/>
      <c r="F1183" s="379"/>
      <c r="G1183" s="379"/>
      <c r="H1183" s="379"/>
      <c r="I1183" s="379"/>
      <c r="J1183" s="379"/>
      <c r="K1183" s="379"/>
      <c r="L1183" s="379"/>
      <c r="M1183" s="379"/>
      <c r="N1183" s="379"/>
      <c r="O1183" s="379"/>
      <c r="P1183" s="379"/>
      <c r="Q1183" s="379"/>
      <c r="R1183" s="379"/>
      <c r="S1183" s="379"/>
      <c r="T1183" s="379"/>
      <c r="U1183" s="379"/>
      <c r="V1183" s="379"/>
      <c r="W1183" s="379"/>
      <c r="X1183" s="379"/>
      <c r="Y1183" s="379"/>
      <c r="Z1183" s="379"/>
      <c r="AA1183" s="379"/>
      <c r="AB1183" s="379"/>
      <c r="AC1183" s="379"/>
      <c r="AD1183" s="379"/>
      <c r="AE1183" s="379"/>
      <c r="AF1183" s="379"/>
      <c r="AG1183" s="379"/>
      <c r="AH1183" s="379"/>
      <c r="AI1183" s="379"/>
      <c r="AJ1183" s="379"/>
      <c r="AK1183" s="379"/>
      <c r="AL1183" s="379"/>
      <c r="AM1183" s="379"/>
      <c r="AN1183" s="379"/>
      <c r="AO1183" s="379"/>
      <c r="AP1183" s="379"/>
      <c r="AQ1183" s="379"/>
      <c r="AR1183" s="379"/>
      <c r="AS1183" s="379"/>
      <c r="AT1183" s="379"/>
      <c r="AU1183" s="379"/>
      <c r="AV1183" s="379"/>
      <c r="AW1183" s="379"/>
      <c r="AX1183" s="379"/>
      <c r="AY1183" s="379"/>
      <c r="AZ1183" s="379"/>
      <c r="BA1183" s="379"/>
      <c r="BB1183" s="379"/>
      <c r="BC1183" s="379"/>
      <c r="BD1183" s="379"/>
      <c r="BE1183" s="379"/>
      <c r="BF1183" s="379"/>
      <c r="BG1183" s="379"/>
      <c r="BH1183" s="379"/>
      <c r="BI1183" s="379"/>
      <c r="BJ1183" s="379"/>
      <c r="BK1183" s="379"/>
      <c r="BL1183" s="379"/>
      <c r="BM1183" s="379"/>
      <c r="BN1183" s="379"/>
      <c r="BO1183" s="379"/>
      <c r="BP1183" s="379"/>
      <c r="BQ1183" s="379"/>
      <c r="BR1183" s="379"/>
      <c r="BS1183" s="379"/>
      <c r="BT1183" s="379"/>
      <c r="BU1183" s="379"/>
      <c r="BV1183" s="379"/>
      <c r="BW1183" s="379"/>
      <c r="BX1183" s="379"/>
      <c r="BY1183" s="379"/>
      <c r="BZ1183" s="379"/>
      <c r="CA1183" s="270"/>
      <c r="CB1183" s="3" t="str">
        <f t="shared" si="165"/>
        <v>Riadok bude skrytý.</v>
      </c>
      <c r="CC1183" s="271" t="s">
        <v>832</v>
      </c>
      <c r="CW1183" s="30">
        <f t="shared" si="173"/>
        <v>0</v>
      </c>
      <c r="CZ1183" s="30">
        <f t="shared" si="174"/>
        <v>1</v>
      </c>
      <c r="DA1183" s="30">
        <f t="shared" si="172"/>
        <v>0</v>
      </c>
      <c r="DB1183" s="2">
        <f t="shared" si="162"/>
        <v>0</v>
      </c>
      <c r="DS1183" s="130">
        <f>SI!BY1183</f>
        <v>142</v>
      </c>
      <c r="DZ1183" s="131">
        <f>SI!BZ1183</f>
        <v>0</v>
      </c>
    </row>
    <row r="1184" spans="1:130" hidden="1" x14ac:dyDescent="0.25">
      <c r="A1184" s="141"/>
      <c r="B1184" s="379"/>
      <c r="C1184" s="379"/>
      <c r="D1184" s="379"/>
      <c r="E1184" s="379"/>
      <c r="F1184" s="379"/>
      <c r="G1184" s="379"/>
      <c r="H1184" s="379"/>
      <c r="I1184" s="379"/>
      <c r="J1184" s="379"/>
      <c r="K1184" s="379"/>
      <c r="L1184" s="379"/>
      <c r="M1184" s="379"/>
      <c r="N1184" s="379"/>
      <c r="O1184" s="379"/>
      <c r="P1184" s="379"/>
      <c r="Q1184" s="379"/>
      <c r="R1184" s="379"/>
      <c r="S1184" s="379"/>
      <c r="T1184" s="379"/>
      <c r="U1184" s="379"/>
      <c r="V1184" s="379"/>
      <c r="W1184" s="379"/>
      <c r="X1184" s="379"/>
      <c r="Y1184" s="379"/>
      <c r="Z1184" s="379"/>
      <c r="AA1184" s="379"/>
      <c r="AB1184" s="379"/>
      <c r="AC1184" s="379"/>
      <c r="AD1184" s="379"/>
      <c r="AE1184" s="379"/>
      <c r="AF1184" s="379"/>
      <c r="AG1184" s="379"/>
      <c r="AH1184" s="379"/>
      <c r="AI1184" s="379"/>
      <c r="AJ1184" s="379"/>
      <c r="AK1184" s="379"/>
      <c r="AL1184" s="379"/>
      <c r="AM1184" s="379"/>
      <c r="AN1184" s="379"/>
      <c r="AO1184" s="379"/>
      <c r="AP1184" s="379"/>
      <c r="AQ1184" s="379"/>
      <c r="AR1184" s="379"/>
      <c r="AS1184" s="379"/>
      <c r="AT1184" s="379"/>
      <c r="AU1184" s="379"/>
      <c r="AV1184" s="379"/>
      <c r="AW1184" s="379"/>
      <c r="AX1184" s="379"/>
      <c r="AY1184" s="379"/>
      <c r="AZ1184" s="379"/>
      <c r="BA1184" s="379"/>
      <c r="BB1184" s="379"/>
      <c r="BC1184" s="379"/>
      <c r="BD1184" s="379"/>
      <c r="BE1184" s="379"/>
      <c r="BF1184" s="379"/>
      <c r="BG1184" s="379"/>
      <c r="BH1184" s="379"/>
      <c r="BI1184" s="379"/>
      <c r="BJ1184" s="379"/>
      <c r="BK1184" s="379"/>
      <c r="BL1184" s="379"/>
      <c r="BM1184" s="379"/>
      <c r="BN1184" s="379"/>
      <c r="BO1184" s="379"/>
      <c r="BP1184" s="379"/>
      <c r="BQ1184" s="379"/>
      <c r="BR1184" s="379"/>
      <c r="BS1184" s="379"/>
      <c r="BT1184" s="379"/>
      <c r="BU1184" s="379"/>
      <c r="BV1184" s="379"/>
      <c r="BW1184" s="379"/>
      <c r="BX1184" s="379"/>
      <c r="BY1184" s="379"/>
      <c r="BZ1184" s="379"/>
      <c r="CA1184" s="270"/>
      <c r="CB1184" s="3" t="str">
        <f t="shared" si="165"/>
        <v>Riadok bude skrytý.</v>
      </c>
      <c r="CC1184" s="271" t="s">
        <v>832</v>
      </c>
      <c r="CW1184" s="30">
        <f t="shared" si="173"/>
        <v>0</v>
      </c>
      <c r="CZ1184" s="30">
        <f t="shared" si="174"/>
        <v>1</v>
      </c>
      <c r="DA1184" s="30">
        <f t="shared" si="172"/>
        <v>0</v>
      </c>
      <c r="DB1184" s="2">
        <f t="shared" si="162"/>
        <v>0</v>
      </c>
      <c r="DS1184" s="130">
        <f>SI!BY1184</f>
        <v>1121</v>
      </c>
      <c r="DZ1184" s="131">
        <f>SI!BZ1184</f>
        <v>0</v>
      </c>
    </row>
    <row r="1185" spans="1:130" hidden="1" x14ac:dyDescent="0.25">
      <c r="A1185" s="141"/>
      <c r="B1185" s="379"/>
      <c r="C1185" s="379"/>
      <c r="D1185" s="379"/>
      <c r="E1185" s="379"/>
      <c r="F1185" s="379"/>
      <c r="G1185" s="379"/>
      <c r="H1185" s="379"/>
      <c r="I1185" s="379"/>
      <c r="J1185" s="379"/>
      <c r="K1185" s="379"/>
      <c r="L1185" s="379"/>
      <c r="M1185" s="379"/>
      <c r="N1185" s="379"/>
      <c r="O1185" s="379"/>
      <c r="P1185" s="379"/>
      <c r="Q1185" s="379"/>
      <c r="R1185" s="379"/>
      <c r="S1185" s="379"/>
      <c r="T1185" s="379"/>
      <c r="U1185" s="379"/>
      <c r="V1185" s="379"/>
      <c r="W1185" s="379"/>
      <c r="X1185" s="379"/>
      <c r="Y1185" s="379"/>
      <c r="Z1185" s="379"/>
      <c r="AA1185" s="379"/>
      <c r="AB1185" s="379"/>
      <c r="AC1185" s="379"/>
      <c r="AD1185" s="379"/>
      <c r="AE1185" s="379"/>
      <c r="AF1185" s="379"/>
      <c r="AG1185" s="379"/>
      <c r="AH1185" s="379"/>
      <c r="AI1185" s="379"/>
      <c r="AJ1185" s="379"/>
      <c r="AK1185" s="379"/>
      <c r="AL1185" s="379"/>
      <c r="AM1185" s="379"/>
      <c r="AN1185" s="379"/>
      <c r="AO1185" s="379"/>
      <c r="AP1185" s="379"/>
      <c r="AQ1185" s="379"/>
      <c r="AR1185" s="379"/>
      <c r="AS1185" s="379"/>
      <c r="AT1185" s="379"/>
      <c r="AU1185" s="379"/>
      <c r="AV1185" s="379"/>
      <c r="AW1185" s="379"/>
      <c r="AX1185" s="379"/>
      <c r="AY1185" s="379"/>
      <c r="AZ1185" s="379"/>
      <c r="BA1185" s="379"/>
      <c r="BB1185" s="379"/>
      <c r="BC1185" s="379"/>
      <c r="BD1185" s="379"/>
      <c r="BE1185" s="379"/>
      <c r="BF1185" s="379"/>
      <c r="BG1185" s="379"/>
      <c r="BH1185" s="379"/>
      <c r="BI1185" s="379"/>
      <c r="BJ1185" s="379"/>
      <c r="BK1185" s="379"/>
      <c r="BL1185" s="379"/>
      <c r="BM1185" s="379"/>
      <c r="BN1185" s="379"/>
      <c r="BO1185" s="379"/>
      <c r="BP1185" s="379"/>
      <c r="BQ1185" s="379"/>
      <c r="BR1185" s="379"/>
      <c r="BS1185" s="379"/>
      <c r="BT1185" s="379"/>
      <c r="BU1185" s="379"/>
      <c r="BV1185" s="379"/>
      <c r="BW1185" s="379"/>
      <c r="BX1185" s="379"/>
      <c r="BY1185" s="379"/>
      <c r="BZ1185" s="379"/>
      <c r="CA1185" s="270"/>
      <c r="CB1185" s="3" t="str">
        <f t="shared" si="165"/>
        <v>Riadok bude skrytý.</v>
      </c>
      <c r="CC1185" s="271" t="s">
        <v>832</v>
      </c>
      <c r="CW1185" s="30">
        <f t="shared" si="173"/>
        <v>0</v>
      </c>
      <c r="CZ1185" s="30">
        <f t="shared" si="174"/>
        <v>1</v>
      </c>
      <c r="DA1185" s="30">
        <f t="shared" si="172"/>
        <v>0</v>
      </c>
      <c r="DB1185" s="2">
        <f t="shared" si="162"/>
        <v>0</v>
      </c>
      <c r="DS1185" s="130">
        <f>SI!BY1185</f>
        <v>135</v>
      </c>
      <c r="DZ1185" s="131">
        <f>SI!BZ1185</f>
        <v>0</v>
      </c>
    </row>
    <row r="1186" spans="1:130" hidden="1" x14ac:dyDescent="0.25">
      <c r="A1186" s="141"/>
      <c r="B1186" s="379"/>
      <c r="C1186" s="379"/>
      <c r="D1186" s="379"/>
      <c r="E1186" s="379"/>
      <c r="F1186" s="379"/>
      <c r="G1186" s="379"/>
      <c r="H1186" s="379"/>
      <c r="I1186" s="379"/>
      <c r="J1186" s="379"/>
      <c r="K1186" s="379"/>
      <c r="L1186" s="379"/>
      <c r="M1186" s="379"/>
      <c r="N1186" s="379"/>
      <c r="O1186" s="379"/>
      <c r="P1186" s="379"/>
      <c r="Q1186" s="379"/>
      <c r="R1186" s="379"/>
      <c r="S1186" s="379"/>
      <c r="T1186" s="379"/>
      <c r="U1186" s="379"/>
      <c r="V1186" s="379"/>
      <c r="W1186" s="379"/>
      <c r="X1186" s="379"/>
      <c r="Y1186" s="379"/>
      <c r="Z1186" s="379"/>
      <c r="AA1186" s="379"/>
      <c r="AB1186" s="379"/>
      <c r="AC1186" s="379"/>
      <c r="AD1186" s="379"/>
      <c r="AE1186" s="379"/>
      <c r="AF1186" s="379"/>
      <c r="AG1186" s="379"/>
      <c r="AH1186" s="379"/>
      <c r="AI1186" s="379"/>
      <c r="AJ1186" s="379"/>
      <c r="AK1186" s="379"/>
      <c r="AL1186" s="379"/>
      <c r="AM1186" s="379"/>
      <c r="AN1186" s="379"/>
      <c r="AO1186" s="379"/>
      <c r="AP1186" s="379"/>
      <c r="AQ1186" s="379"/>
      <c r="AR1186" s="379"/>
      <c r="AS1186" s="379"/>
      <c r="AT1186" s="379"/>
      <c r="AU1186" s="379"/>
      <c r="AV1186" s="379"/>
      <c r="AW1186" s="379"/>
      <c r="AX1186" s="379"/>
      <c r="AY1186" s="379"/>
      <c r="AZ1186" s="379"/>
      <c r="BA1186" s="379"/>
      <c r="BB1186" s="379"/>
      <c r="BC1186" s="379"/>
      <c r="BD1186" s="379"/>
      <c r="BE1186" s="379"/>
      <c r="BF1186" s="379"/>
      <c r="BG1186" s="379"/>
      <c r="BH1186" s="379"/>
      <c r="BI1186" s="379"/>
      <c r="BJ1186" s="379"/>
      <c r="BK1186" s="379"/>
      <c r="BL1186" s="379"/>
      <c r="BM1186" s="379"/>
      <c r="BN1186" s="379"/>
      <c r="BO1186" s="379"/>
      <c r="BP1186" s="379"/>
      <c r="BQ1186" s="379"/>
      <c r="BR1186" s="379"/>
      <c r="BS1186" s="379"/>
      <c r="BT1186" s="379"/>
      <c r="BU1186" s="379"/>
      <c r="BV1186" s="379"/>
      <c r="BW1186" s="379"/>
      <c r="BX1186" s="379"/>
      <c r="BY1186" s="379"/>
      <c r="BZ1186" s="379"/>
      <c r="CA1186" s="270"/>
      <c r="CB1186" s="3" t="str">
        <f t="shared" si="165"/>
        <v>Riadok bude skrytý.</v>
      </c>
      <c r="CC1186" s="271" t="s">
        <v>832</v>
      </c>
      <c r="CW1186" s="30">
        <f t="shared" si="173"/>
        <v>0</v>
      </c>
      <c r="CZ1186" s="30">
        <f t="shared" si="174"/>
        <v>1</v>
      </c>
      <c r="DA1186" s="30">
        <f t="shared" si="172"/>
        <v>0</v>
      </c>
      <c r="DB1186" s="2">
        <f t="shared" si="162"/>
        <v>0</v>
      </c>
      <c r="DS1186" s="130">
        <f>SI!BY1186</f>
        <v>395</v>
      </c>
      <c r="DZ1186" s="131">
        <f>SI!BZ1186</f>
        <v>0</v>
      </c>
    </row>
    <row r="1187" spans="1:130" hidden="1" x14ac:dyDescent="0.25">
      <c r="A1187" s="141"/>
      <c r="B1187" s="379"/>
      <c r="C1187" s="379"/>
      <c r="D1187" s="379"/>
      <c r="E1187" s="379"/>
      <c r="F1187" s="379"/>
      <c r="G1187" s="379"/>
      <c r="H1187" s="379"/>
      <c r="I1187" s="379"/>
      <c r="J1187" s="379"/>
      <c r="K1187" s="379"/>
      <c r="L1187" s="379"/>
      <c r="M1187" s="379"/>
      <c r="N1187" s="379"/>
      <c r="O1187" s="379"/>
      <c r="P1187" s="379"/>
      <c r="Q1187" s="379"/>
      <c r="R1187" s="379"/>
      <c r="S1187" s="379"/>
      <c r="T1187" s="379"/>
      <c r="U1187" s="379"/>
      <c r="V1187" s="379"/>
      <c r="W1187" s="379"/>
      <c r="X1187" s="379"/>
      <c r="Y1187" s="379"/>
      <c r="Z1187" s="379"/>
      <c r="AA1187" s="379"/>
      <c r="AB1187" s="379"/>
      <c r="AC1187" s="379"/>
      <c r="AD1187" s="379"/>
      <c r="AE1187" s="379"/>
      <c r="AF1187" s="379"/>
      <c r="AG1187" s="379"/>
      <c r="AH1187" s="379"/>
      <c r="AI1187" s="379"/>
      <c r="AJ1187" s="379"/>
      <c r="AK1187" s="379"/>
      <c r="AL1187" s="379"/>
      <c r="AM1187" s="379"/>
      <c r="AN1187" s="379"/>
      <c r="AO1187" s="379"/>
      <c r="AP1187" s="379"/>
      <c r="AQ1187" s="379"/>
      <c r="AR1187" s="379"/>
      <c r="AS1187" s="379"/>
      <c r="AT1187" s="379"/>
      <c r="AU1187" s="379"/>
      <c r="AV1187" s="379"/>
      <c r="AW1187" s="379"/>
      <c r="AX1187" s="379"/>
      <c r="AY1187" s="379"/>
      <c r="AZ1187" s="379"/>
      <c r="BA1187" s="379"/>
      <c r="BB1187" s="379"/>
      <c r="BC1187" s="379"/>
      <c r="BD1187" s="379"/>
      <c r="BE1187" s="379"/>
      <c r="BF1187" s="379"/>
      <c r="BG1187" s="379"/>
      <c r="BH1187" s="379"/>
      <c r="BI1187" s="379"/>
      <c r="BJ1187" s="379"/>
      <c r="BK1187" s="379"/>
      <c r="BL1187" s="379"/>
      <c r="BM1187" s="379"/>
      <c r="BN1187" s="379"/>
      <c r="BO1187" s="379"/>
      <c r="BP1187" s="379"/>
      <c r="BQ1187" s="379"/>
      <c r="BR1187" s="379"/>
      <c r="BS1187" s="379"/>
      <c r="BT1187" s="379"/>
      <c r="BU1187" s="379"/>
      <c r="BV1187" s="379"/>
      <c r="BW1187" s="379"/>
      <c r="BX1187" s="379"/>
      <c r="BY1187" s="379"/>
      <c r="BZ1187" s="379"/>
      <c r="CA1187" s="270"/>
      <c r="CB1187" s="3" t="str">
        <f t="shared" si="165"/>
        <v>Riadok bude skrytý.</v>
      </c>
      <c r="CC1187" s="271" t="s">
        <v>832</v>
      </c>
      <c r="CW1187" s="30">
        <f t="shared" si="173"/>
        <v>0</v>
      </c>
      <c r="CZ1187" s="30">
        <f t="shared" si="174"/>
        <v>1</v>
      </c>
      <c r="DA1187" s="30">
        <f t="shared" si="172"/>
        <v>0</v>
      </c>
      <c r="DB1187" s="2">
        <f t="shared" si="162"/>
        <v>0</v>
      </c>
      <c r="DS1187" s="130">
        <f>SI!BY1187</f>
        <v>177</v>
      </c>
      <c r="DZ1187" s="131">
        <f>SI!BZ1187</f>
        <v>0</v>
      </c>
    </row>
    <row r="1188" spans="1:130" hidden="1" x14ac:dyDescent="0.25">
      <c r="A1188" s="141"/>
      <c r="B1188" s="379"/>
      <c r="C1188" s="379"/>
      <c r="D1188" s="379"/>
      <c r="E1188" s="379"/>
      <c r="F1188" s="379"/>
      <c r="G1188" s="379"/>
      <c r="H1188" s="379"/>
      <c r="I1188" s="379"/>
      <c r="J1188" s="379"/>
      <c r="K1188" s="379"/>
      <c r="L1188" s="379"/>
      <c r="M1188" s="379"/>
      <c r="N1188" s="379"/>
      <c r="O1188" s="379"/>
      <c r="P1188" s="379"/>
      <c r="Q1188" s="379"/>
      <c r="R1188" s="379"/>
      <c r="S1188" s="379"/>
      <c r="T1188" s="379"/>
      <c r="U1188" s="379"/>
      <c r="V1188" s="379"/>
      <c r="W1188" s="379"/>
      <c r="X1188" s="379"/>
      <c r="Y1188" s="379"/>
      <c r="Z1188" s="379"/>
      <c r="AA1188" s="379"/>
      <c r="AB1188" s="379"/>
      <c r="AC1188" s="379"/>
      <c r="AD1188" s="379"/>
      <c r="AE1188" s="379"/>
      <c r="AF1188" s="379"/>
      <c r="AG1188" s="379"/>
      <c r="AH1188" s="379"/>
      <c r="AI1188" s="379"/>
      <c r="AJ1188" s="379"/>
      <c r="AK1188" s="379"/>
      <c r="AL1188" s="379"/>
      <c r="AM1188" s="379"/>
      <c r="AN1188" s="379"/>
      <c r="AO1188" s="379"/>
      <c r="AP1188" s="379"/>
      <c r="AQ1188" s="379"/>
      <c r="AR1188" s="379"/>
      <c r="AS1188" s="379"/>
      <c r="AT1188" s="379"/>
      <c r="AU1188" s="379"/>
      <c r="AV1188" s="379"/>
      <c r="AW1188" s="379"/>
      <c r="AX1188" s="379"/>
      <c r="AY1188" s="379"/>
      <c r="AZ1188" s="379"/>
      <c r="BA1188" s="379"/>
      <c r="BB1188" s="379"/>
      <c r="BC1188" s="379"/>
      <c r="BD1188" s="379"/>
      <c r="BE1188" s="379"/>
      <c r="BF1188" s="379"/>
      <c r="BG1188" s="379"/>
      <c r="BH1188" s="379"/>
      <c r="BI1188" s="379"/>
      <c r="BJ1188" s="379"/>
      <c r="BK1188" s="379"/>
      <c r="BL1188" s="379"/>
      <c r="BM1188" s="379"/>
      <c r="BN1188" s="379"/>
      <c r="BO1188" s="379"/>
      <c r="BP1188" s="379"/>
      <c r="BQ1188" s="379"/>
      <c r="BR1188" s="379"/>
      <c r="BS1188" s="379"/>
      <c r="BT1188" s="379"/>
      <c r="BU1188" s="379"/>
      <c r="BV1188" s="379"/>
      <c r="BW1188" s="379"/>
      <c r="BX1188" s="379"/>
      <c r="BY1188" s="379"/>
      <c r="BZ1188" s="379"/>
      <c r="CA1188" s="270"/>
      <c r="CB1188" s="3" t="str">
        <f t="shared" si="165"/>
        <v>Riadok bude skrytý.</v>
      </c>
      <c r="CC1188" s="271" t="s">
        <v>832</v>
      </c>
      <c r="CW1188" s="30">
        <f t="shared" si="173"/>
        <v>0</v>
      </c>
      <c r="CZ1188" s="30">
        <f t="shared" si="174"/>
        <v>1</v>
      </c>
      <c r="DA1188" s="30">
        <f t="shared" si="172"/>
        <v>0</v>
      </c>
      <c r="DB1188" s="2">
        <f t="shared" si="162"/>
        <v>0</v>
      </c>
      <c r="DS1188" s="130">
        <f>SI!BY1188</f>
        <v>171</v>
      </c>
      <c r="DZ1188" s="131">
        <f>SI!BZ1188</f>
        <v>0</v>
      </c>
    </row>
    <row r="1189" spans="1:130" hidden="1" x14ac:dyDescent="0.25">
      <c r="A1189" s="141"/>
      <c r="B1189" s="379"/>
      <c r="C1189" s="379"/>
      <c r="D1189" s="379"/>
      <c r="E1189" s="379"/>
      <c r="F1189" s="379"/>
      <c r="G1189" s="379"/>
      <c r="H1189" s="379"/>
      <c r="I1189" s="379"/>
      <c r="J1189" s="379"/>
      <c r="K1189" s="379"/>
      <c r="L1189" s="379"/>
      <c r="M1189" s="379"/>
      <c r="N1189" s="379"/>
      <c r="O1189" s="379"/>
      <c r="P1189" s="379"/>
      <c r="Q1189" s="379"/>
      <c r="R1189" s="379"/>
      <c r="S1189" s="379"/>
      <c r="T1189" s="379"/>
      <c r="U1189" s="379"/>
      <c r="V1189" s="379"/>
      <c r="W1189" s="379"/>
      <c r="X1189" s="379"/>
      <c r="Y1189" s="379"/>
      <c r="Z1189" s="379"/>
      <c r="AA1189" s="379"/>
      <c r="AB1189" s="379"/>
      <c r="AC1189" s="379"/>
      <c r="AD1189" s="379"/>
      <c r="AE1189" s="379"/>
      <c r="AF1189" s="379"/>
      <c r="AG1189" s="379"/>
      <c r="AH1189" s="379"/>
      <c r="AI1189" s="379"/>
      <c r="AJ1189" s="379"/>
      <c r="AK1189" s="379"/>
      <c r="AL1189" s="379"/>
      <c r="AM1189" s="379"/>
      <c r="AN1189" s="379"/>
      <c r="AO1189" s="379"/>
      <c r="AP1189" s="379"/>
      <c r="AQ1189" s="379"/>
      <c r="AR1189" s="379"/>
      <c r="AS1189" s="379"/>
      <c r="AT1189" s="379"/>
      <c r="AU1189" s="379"/>
      <c r="AV1189" s="379"/>
      <c r="AW1189" s="379"/>
      <c r="AX1189" s="379"/>
      <c r="AY1189" s="379"/>
      <c r="AZ1189" s="379"/>
      <c r="BA1189" s="379"/>
      <c r="BB1189" s="379"/>
      <c r="BC1189" s="379"/>
      <c r="BD1189" s="379"/>
      <c r="BE1189" s="379"/>
      <c r="BF1189" s="379"/>
      <c r="BG1189" s="379"/>
      <c r="BH1189" s="379"/>
      <c r="BI1189" s="379"/>
      <c r="BJ1189" s="379"/>
      <c r="BK1189" s="379"/>
      <c r="BL1189" s="379"/>
      <c r="BM1189" s="379"/>
      <c r="BN1189" s="379"/>
      <c r="BO1189" s="379"/>
      <c r="BP1189" s="379"/>
      <c r="BQ1189" s="379"/>
      <c r="BR1189" s="379"/>
      <c r="BS1189" s="379"/>
      <c r="BT1189" s="379"/>
      <c r="BU1189" s="379"/>
      <c r="BV1189" s="379"/>
      <c r="BW1189" s="379"/>
      <c r="BX1189" s="379"/>
      <c r="BY1189" s="379"/>
      <c r="BZ1189" s="379"/>
      <c r="CA1189" s="270"/>
      <c r="CB1189" s="3" t="str">
        <f t="shared" si="165"/>
        <v>Riadok bude skrytý.</v>
      </c>
      <c r="CC1189" s="271" t="s">
        <v>832</v>
      </c>
      <c r="CW1189" s="30">
        <f t="shared" si="173"/>
        <v>0</v>
      </c>
      <c r="CZ1189" s="30">
        <f t="shared" si="174"/>
        <v>1</v>
      </c>
      <c r="DA1189" s="30">
        <f t="shared" si="172"/>
        <v>0</v>
      </c>
      <c r="DB1189" s="2">
        <f t="shared" si="162"/>
        <v>0</v>
      </c>
      <c r="DS1189" s="130">
        <f>SI!BY1189</f>
        <v>158</v>
      </c>
      <c r="DZ1189" s="131">
        <f>SI!BZ1189</f>
        <v>0</v>
      </c>
    </row>
    <row r="1190" spans="1:130" hidden="1" x14ac:dyDescent="0.25">
      <c r="A1190" s="141"/>
      <c r="CA1190" s="270"/>
      <c r="CB1190" s="3" t="str">
        <f t="shared" si="165"/>
        <v>Riadok bude skrytý.</v>
      </c>
      <c r="CW1190" s="49">
        <v>1</v>
      </c>
      <c r="CX1190" s="45"/>
      <c r="CZ1190" s="30">
        <f t="shared" si="174"/>
        <v>1</v>
      </c>
      <c r="DA1190" s="30">
        <f t="shared" si="172"/>
        <v>1</v>
      </c>
      <c r="DB1190" s="2">
        <f t="shared" si="162"/>
        <v>0</v>
      </c>
      <c r="DS1190" s="130">
        <f>SI!BY1190</f>
        <v>548</v>
      </c>
      <c r="DZ1190" s="131">
        <f>SI!BZ1190</f>
        <v>0</v>
      </c>
    </row>
    <row r="1191" spans="1:130" hidden="1" x14ac:dyDescent="0.25">
      <c r="A1191" s="141"/>
      <c r="B1191" s="289" t="s">
        <v>150</v>
      </c>
      <c r="C1191" s="288"/>
      <c r="D1191" s="288"/>
      <c r="E1191" s="288"/>
      <c r="F1191" s="288"/>
      <c r="G1191" s="289" t="str">
        <f>+IF($S$52&lt;&gt;"",IF((CODE(MID($S$52,1,1))/100)&lt;10,IF(COMBIN(LEN(SI!J3),2)=DS1191,"Dlhodobý finančný majetok","NEPOVOLENÉ POUŽITIE !"),"NEPOVOLENÉ POUŽITIE !"),"NEPOVOLENÉ POUŽITIE !")</f>
        <v>Dlhodobý finančný majetok</v>
      </c>
      <c r="H1191" s="289"/>
      <c r="I1191" s="288"/>
      <c r="J1191" s="288"/>
      <c r="K1191" s="288"/>
      <c r="L1191" s="288"/>
      <c r="M1191" s="288"/>
      <c r="N1191" s="288"/>
      <c r="O1191" s="288"/>
      <c r="P1191" s="288"/>
      <c r="Q1191" s="288"/>
      <c r="R1191" s="288"/>
      <c r="S1191" s="288"/>
      <c r="T1191" s="288"/>
      <c r="U1191" s="288"/>
      <c r="V1191" s="288"/>
      <c r="W1191" s="288"/>
      <c r="X1191" s="288"/>
      <c r="Y1191" s="288"/>
      <c r="Z1191" s="288"/>
      <c r="AA1191" s="288"/>
      <c r="AB1191" s="288"/>
      <c r="AC1191" s="288"/>
      <c r="AD1191" s="288"/>
      <c r="AE1191" s="288"/>
      <c r="AF1191" s="288"/>
      <c r="AG1191" s="288"/>
      <c r="AH1191" s="288"/>
      <c r="AI1191" s="288"/>
      <c r="AJ1191" s="288"/>
      <c r="AK1191" s="288"/>
      <c r="AL1191" s="288"/>
      <c r="AM1191" s="288"/>
      <c r="AN1191" s="288"/>
      <c r="AO1191" s="288"/>
      <c r="AP1191" s="288"/>
      <c r="AQ1191" s="288"/>
      <c r="AR1191" s="288"/>
      <c r="AS1191" s="288"/>
      <c r="AT1191" s="288"/>
      <c r="AU1191" s="288"/>
      <c r="AV1191" s="288"/>
      <c r="AW1191" s="288"/>
      <c r="AX1191" s="288"/>
      <c r="AY1191" s="288"/>
      <c r="AZ1191" s="288"/>
      <c r="BA1191" s="288"/>
      <c r="BB1191" s="288"/>
      <c r="BC1191" s="288"/>
      <c r="BD1191" s="288"/>
      <c r="BE1191" s="288"/>
      <c r="BF1191" s="288"/>
      <c r="BG1191" s="288"/>
      <c r="BH1191" s="288"/>
      <c r="BI1191" s="288"/>
      <c r="BJ1191" s="288"/>
      <c r="BK1191" s="288"/>
      <c r="BL1191" s="288"/>
      <c r="BM1191" s="288"/>
      <c r="BN1191" s="288"/>
      <c r="BO1191" s="288"/>
      <c r="BP1191" s="288"/>
      <c r="BQ1191" s="288"/>
      <c r="BR1191" s="288"/>
      <c r="BS1191" s="288"/>
      <c r="BT1191" s="288"/>
      <c r="BU1191" s="288"/>
      <c r="BV1191" s="288"/>
      <c r="BW1191" s="288"/>
      <c r="BX1191" s="288"/>
      <c r="BY1191" s="288"/>
      <c r="BZ1191" s="288"/>
      <c r="CA1191" s="265" t="s">
        <v>773</v>
      </c>
      <c r="CB1191" s="3" t="str">
        <f t="shared" si="165"/>
        <v>Riadok bude skrytý.</v>
      </c>
      <c r="CW1191" s="49">
        <v>1</v>
      </c>
      <c r="CX1191" s="45"/>
      <c r="CZ1191" s="30">
        <f t="shared" si="174"/>
        <v>1</v>
      </c>
      <c r="DA1191" s="30">
        <f t="shared" si="172"/>
        <v>1</v>
      </c>
      <c r="DB1191" s="2">
        <f t="shared" si="162"/>
        <v>0</v>
      </c>
      <c r="DS1191" s="130">
        <f>SI!BY1191</f>
        <v>10</v>
      </c>
      <c r="DZ1191" s="131">
        <f>SI!BZ1191</f>
        <v>0</v>
      </c>
    </row>
    <row r="1192" spans="1:130" hidden="1" x14ac:dyDescent="0.25">
      <c r="A1192" s="141"/>
      <c r="CA1192" s="142"/>
      <c r="CB1192" s="3" t="str">
        <f t="shared" si="165"/>
        <v>Riadok bude skrytý.</v>
      </c>
      <c r="CW1192" s="49">
        <v>1</v>
      </c>
      <c r="CX1192" s="45"/>
      <c r="CZ1192" s="30">
        <f t="shared" si="174"/>
        <v>1</v>
      </c>
      <c r="DA1192" s="30">
        <f t="shared" si="172"/>
        <v>1</v>
      </c>
      <c r="DB1192" s="2">
        <f t="shared" ref="DB1192:DB1255" si="175">+IF($CD$1="malé",0,DA1192)</f>
        <v>0</v>
      </c>
      <c r="DS1192" s="130">
        <f>SI!BY1192</f>
        <v>371</v>
      </c>
      <c r="DZ1192" s="131">
        <f>SI!BZ1192</f>
        <v>0</v>
      </c>
    </row>
    <row r="1193" spans="1:130" hidden="1" x14ac:dyDescent="0.25">
      <c r="A1193" s="290"/>
      <c r="B1193" s="286" t="str">
        <f>IF(YEAR(AW123)=YEAR(DC4),"Spoločnosť v uvedenom období","Spoločnosť v uvedených obdobiach")</f>
        <v>Spoločnosť v uvedených obdobiach</v>
      </c>
      <c r="C1193" s="37"/>
      <c r="D1193" s="37"/>
      <c r="E1193" s="37"/>
      <c r="F1193" s="37"/>
      <c r="G1193" s="38"/>
      <c r="H1193" s="38"/>
      <c r="I1193" s="38"/>
      <c r="J1193" s="38"/>
      <c r="K1193" s="14"/>
      <c r="L1193" s="14"/>
      <c r="M1193" s="14"/>
      <c r="N1193" s="14"/>
      <c r="O1193" s="14"/>
      <c r="P1193" s="14"/>
      <c r="Q1193" s="14"/>
      <c r="R1193" s="14"/>
      <c r="S1193" s="14"/>
      <c r="T1193" s="14"/>
      <c r="U1193" s="14"/>
      <c r="V1193" s="14"/>
      <c r="W1193" s="14"/>
      <c r="X1193" s="14"/>
      <c r="Y1193" s="14"/>
      <c r="Z1193" s="14"/>
      <c r="AB1193" s="385" t="s">
        <v>152</v>
      </c>
      <c r="AC1193" s="385"/>
      <c r="AD1193" s="385"/>
      <c r="AE1193" s="385"/>
      <c r="AF1193" s="385"/>
      <c r="AG1193" s="385"/>
      <c r="AH1193" s="385"/>
      <c r="AI1193" s="385"/>
      <c r="AJ1193" s="385"/>
      <c r="AK1193" s="137" t="str">
        <f>+IF($O$52&lt;&gt;"",IF(CODE(MID($O$52,1,1))*(IF(SI!EE1193="",1,SI!EE1193-1))+ROUNDDOWN(LEN(SI!J5)/2,0)=DS1193,"dlhodobý finančný majetok.","NEPOVOLENÉ POUŽITIE!"),"NEPOVOLENÉ POUŽITIE!")</f>
        <v>dlhodobý finančný majetok.</v>
      </c>
      <c r="AP1193" s="14"/>
      <c r="AQ1193" s="14"/>
      <c r="AR1193" s="14"/>
      <c r="AS1193" s="14"/>
      <c r="AT1193" s="14"/>
      <c r="AU1193" s="14"/>
      <c r="AV1193" s="14"/>
      <c r="AW1193" s="14"/>
      <c r="AX1193" s="14"/>
      <c r="AY1193" s="14"/>
      <c r="AZ1193" s="37"/>
      <c r="BA1193" s="37"/>
      <c r="BB1193" s="37"/>
      <c r="BC1193" s="37"/>
      <c r="BD1193" s="38"/>
      <c r="BE1193" s="38"/>
      <c r="BF1193" s="38"/>
      <c r="BG1193" s="38"/>
      <c r="BH1193" s="38"/>
      <c r="BI1193" s="38"/>
      <c r="BJ1193" s="38"/>
      <c r="BK1193" s="14"/>
      <c r="BL1193" s="14"/>
      <c r="BM1193" s="14"/>
      <c r="BN1193" s="14"/>
      <c r="BO1193" s="14"/>
      <c r="BP1193" s="14"/>
      <c r="BQ1193" s="14"/>
      <c r="BR1193" s="14"/>
      <c r="BS1193" s="14"/>
      <c r="BT1193" s="14"/>
      <c r="BU1193" s="14"/>
      <c r="BV1193" s="14"/>
      <c r="BW1193" s="14"/>
      <c r="BX1193" s="14"/>
      <c r="BY1193" s="14"/>
      <c r="BZ1193" s="14"/>
      <c r="CA1193" s="142"/>
      <c r="CB1193" s="3" t="str">
        <f t="shared" si="165"/>
        <v>Riadok bude skrytý.</v>
      </c>
      <c r="CC1193" s="271" t="s">
        <v>832</v>
      </c>
      <c r="CW1193" s="49">
        <v>1</v>
      </c>
      <c r="CX1193" s="45"/>
      <c r="CZ1193" s="30">
        <f t="shared" si="174"/>
        <v>1</v>
      </c>
      <c r="DA1193" s="30">
        <f t="shared" si="172"/>
        <v>1</v>
      </c>
      <c r="DB1193" s="2">
        <f t="shared" si="175"/>
        <v>0</v>
      </c>
      <c r="DS1193" s="130">
        <f>SI!BY1193</f>
        <v>7</v>
      </c>
      <c r="DZ1193" s="131">
        <f>SI!BZ1193</f>
        <v>0</v>
      </c>
    </row>
    <row r="1194" spans="1:130" hidden="1" x14ac:dyDescent="0.25">
      <c r="A1194" s="290"/>
      <c r="B1194" s="286" t="str">
        <f>+IF($G$52&lt;&gt;"",IF(ROUNDDOWN(CODE(MID($G$52,1,1))*2,0)*(IF(SI!EE1194="",1,SI!EE1194-1))+(LEN(SI!J2)+LEN(SI!J3))=DS1194,IF(AB1193="eviduje","K dlhodobému finančnému majetku Spoločnosť uvádza nasledujúce informácie:","Spoločnosť nemá pre túto časť poznámok obsahovú náplň."),"NEPOVOLENÉ POUŽITIE!"),"NEPOVOLENÉ POUŽITIE!")</f>
        <v>K dlhodobému finančnému majetku Spoločnosť uvádza nasledujúce informácie:</v>
      </c>
      <c r="C1194" s="37"/>
      <c r="D1194" s="37"/>
      <c r="E1194" s="37"/>
      <c r="F1194" s="37"/>
      <c r="G1194" s="38"/>
      <c r="H1194" s="38"/>
      <c r="I1194" s="38"/>
      <c r="J1194" s="38"/>
      <c r="K1194" s="38"/>
      <c r="L1194" s="38"/>
      <c r="M1194" s="38"/>
      <c r="N1194" s="38"/>
      <c r="O1194" s="14"/>
      <c r="P1194" s="14"/>
      <c r="Q1194" s="14"/>
      <c r="R1194" s="14"/>
      <c r="S1194" s="14"/>
      <c r="T1194" s="14"/>
      <c r="U1194" s="14"/>
      <c r="V1194" s="14"/>
      <c r="W1194" s="14"/>
      <c r="X1194" s="14"/>
      <c r="Y1194" s="14"/>
      <c r="Z1194" s="14"/>
      <c r="AA1194" s="14"/>
      <c r="AB1194" s="14"/>
      <c r="AC1194" s="14"/>
      <c r="AD1194" s="14"/>
      <c r="AE1194" s="14"/>
      <c r="AF1194" s="14"/>
      <c r="AG1194" s="14"/>
      <c r="AH1194" s="14"/>
      <c r="AI1194" s="14"/>
      <c r="AJ1194" s="14"/>
      <c r="AK1194" s="14"/>
      <c r="AL1194" s="14"/>
      <c r="AM1194" s="37"/>
      <c r="AN1194" s="37"/>
      <c r="AO1194" s="37"/>
      <c r="AP1194" s="38"/>
      <c r="AQ1194" s="38"/>
      <c r="AR1194" s="38"/>
      <c r="AS1194" s="38"/>
      <c r="AT1194" s="38"/>
      <c r="AU1194" s="38"/>
      <c r="AV1194" s="38"/>
      <c r="AW1194" s="38"/>
      <c r="AX1194" s="14"/>
      <c r="AY1194" s="14"/>
      <c r="AZ1194" s="37"/>
      <c r="BA1194" s="37"/>
      <c r="BB1194" s="37"/>
      <c r="BC1194" s="37"/>
      <c r="BD1194" s="38"/>
      <c r="BE1194" s="38"/>
      <c r="BF1194" s="38"/>
      <c r="BG1194" s="38"/>
      <c r="BH1194" s="38"/>
      <c r="BI1194" s="38"/>
      <c r="BJ1194" s="38"/>
      <c r="BK1194" s="14"/>
      <c r="BL1194" s="14"/>
      <c r="BM1194" s="14"/>
      <c r="BN1194" s="14"/>
      <c r="BO1194" s="14"/>
      <c r="BP1194" s="14"/>
      <c r="BQ1194" s="14"/>
      <c r="BR1194" s="14"/>
      <c r="BS1194" s="14"/>
      <c r="BT1194" s="14"/>
      <c r="BU1194" s="14"/>
      <c r="BV1194" s="14"/>
      <c r="BW1194" s="14"/>
      <c r="BX1194" s="14"/>
      <c r="BY1194" s="14"/>
      <c r="BZ1194" s="14"/>
      <c r="CA1194" s="142"/>
      <c r="CB1194" s="3" t="str">
        <f t="shared" si="165"/>
        <v>Riadok bude skrytý.</v>
      </c>
      <c r="CC1194" s="271" t="s">
        <v>832</v>
      </c>
      <c r="CW1194" s="35">
        <f>+IF($AB$1193="neeviduje",1,1)</f>
        <v>1</v>
      </c>
      <c r="CX1194" s="45"/>
      <c r="CZ1194" s="30">
        <f t="shared" si="174"/>
        <v>1</v>
      </c>
      <c r="DA1194" s="30">
        <f t="shared" si="172"/>
        <v>1</v>
      </c>
      <c r="DB1194" s="2">
        <f t="shared" si="175"/>
        <v>0</v>
      </c>
      <c r="DS1194" s="130">
        <f>SI!BY1194</f>
        <v>18</v>
      </c>
      <c r="DZ1194" s="131">
        <f>SI!BZ1194</f>
        <v>0</v>
      </c>
    </row>
    <row r="1195" spans="1:130" hidden="1" x14ac:dyDescent="0.25">
      <c r="A1195" s="141"/>
      <c r="B1195" s="379"/>
      <c r="C1195" s="379"/>
      <c r="D1195" s="379"/>
      <c r="E1195" s="379"/>
      <c r="F1195" s="379"/>
      <c r="G1195" s="379"/>
      <c r="H1195" s="379"/>
      <c r="I1195" s="379"/>
      <c r="J1195" s="379"/>
      <c r="K1195" s="379"/>
      <c r="L1195" s="379"/>
      <c r="M1195" s="379"/>
      <c r="N1195" s="379"/>
      <c r="O1195" s="379"/>
      <c r="P1195" s="379"/>
      <c r="Q1195" s="379"/>
      <c r="R1195" s="379"/>
      <c r="S1195" s="379"/>
      <c r="T1195" s="379"/>
      <c r="U1195" s="379"/>
      <c r="V1195" s="379"/>
      <c r="W1195" s="379"/>
      <c r="X1195" s="379"/>
      <c r="Y1195" s="379"/>
      <c r="Z1195" s="379"/>
      <c r="AA1195" s="379"/>
      <c r="AB1195" s="379"/>
      <c r="AC1195" s="379"/>
      <c r="AD1195" s="379"/>
      <c r="AE1195" s="379"/>
      <c r="AF1195" s="379"/>
      <c r="AG1195" s="379"/>
      <c r="AH1195" s="379"/>
      <c r="AI1195" s="379"/>
      <c r="AJ1195" s="379"/>
      <c r="AK1195" s="379"/>
      <c r="AL1195" s="379"/>
      <c r="AM1195" s="379"/>
      <c r="AN1195" s="379"/>
      <c r="AO1195" s="379"/>
      <c r="AP1195" s="379"/>
      <c r="AQ1195" s="379"/>
      <c r="AR1195" s="379"/>
      <c r="AS1195" s="379"/>
      <c r="AT1195" s="379"/>
      <c r="AU1195" s="379"/>
      <c r="AV1195" s="379"/>
      <c r="AW1195" s="379"/>
      <c r="AX1195" s="379"/>
      <c r="AY1195" s="379"/>
      <c r="AZ1195" s="379"/>
      <c r="BA1195" s="379"/>
      <c r="BB1195" s="379"/>
      <c r="BC1195" s="379"/>
      <c r="BD1195" s="379"/>
      <c r="BE1195" s="379"/>
      <c r="BF1195" s="379"/>
      <c r="BG1195" s="379"/>
      <c r="BH1195" s="379"/>
      <c r="BI1195" s="379"/>
      <c r="BJ1195" s="379"/>
      <c r="BK1195" s="379"/>
      <c r="BL1195" s="379"/>
      <c r="BM1195" s="379"/>
      <c r="BN1195" s="379"/>
      <c r="BO1195" s="379"/>
      <c r="BP1195" s="379"/>
      <c r="BQ1195" s="379"/>
      <c r="BR1195" s="379"/>
      <c r="BS1195" s="379"/>
      <c r="BT1195" s="379"/>
      <c r="BU1195" s="379"/>
      <c r="BV1195" s="379"/>
      <c r="BW1195" s="379"/>
      <c r="BX1195" s="379"/>
      <c r="BY1195" s="379"/>
      <c r="BZ1195" s="379"/>
      <c r="CA1195" s="281"/>
      <c r="CB1195" s="3" t="str">
        <f t="shared" si="165"/>
        <v>Riadok bude skrytý.</v>
      </c>
      <c r="CC1195" s="271" t="s">
        <v>832</v>
      </c>
      <c r="CW1195" s="35">
        <f t="shared" ref="CW1195:CW1226" si="176">+IF($AB$1193="neeviduje",0,1)</f>
        <v>1</v>
      </c>
      <c r="CX1195" s="30">
        <f t="shared" ref="CX1195:CX1214" si="177">+IF(B1195="",0,1)</f>
        <v>0</v>
      </c>
      <c r="CZ1195" s="30">
        <f t="shared" si="174"/>
        <v>1</v>
      </c>
      <c r="DA1195" s="52">
        <f t="shared" ref="DA1195:DA1214" si="178">+IF(CW1195*CX1195=0,0,IF(CZ1195=0,0,1))</f>
        <v>0</v>
      </c>
      <c r="DB1195" s="2">
        <f t="shared" si="175"/>
        <v>0</v>
      </c>
      <c r="DS1195" s="130">
        <f>SI!BY1195</f>
        <v>171</v>
      </c>
      <c r="DZ1195" s="131">
        <f>SI!BZ1195</f>
        <v>0</v>
      </c>
    </row>
    <row r="1196" spans="1:130" hidden="1" x14ac:dyDescent="0.25">
      <c r="A1196" s="141"/>
      <c r="B1196" s="379"/>
      <c r="C1196" s="379"/>
      <c r="D1196" s="379"/>
      <c r="E1196" s="379"/>
      <c r="F1196" s="379"/>
      <c r="G1196" s="379"/>
      <c r="H1196" s="379"/>
      <c r="I1196" s="379"/>
      <c r="J1196" s="379"/>
      <c r="K1196" s="379"/>
      <c r="L1196" s="379"/>
      <c r="M1196" s="379"/>
      <c r="N1196" s="379"/>
      <c r="O1196" s="379"/>
      <c r="P1196" s="379"/>
      <c r="Q1196" s="379"/>
      <c r="R1196" s="379"/>
      <c r="S1196" s="379"/>
      <c r="T1196" s="379"/>
      <c r="U1196" s="379"/>
      <c r="V1196" s="379"/>
      <c r="W1196" s="379"/>
      <c r="X1196" s="379"/>
      <c r="Y1196" s="379"/>
      <c r="Z1196" s="379"/>
      <c r="AA1196" s="379"/>
      <c r="AB1196" s="379"/>
      <c r="AC1196" s="379"/>
      <c r="AD1196" s="379"/>
      <c r="AE1196" s="379"/>
      <c r="AF1196" s="379"/>
      <c r="AG1196" s="379"/>
      <c r="AH1196" s="379"/>
      <c r="AI1196" s="379"/>
      <c r="AJ1196" s="379"/>
      <c r="AK1196" s="379"/>
      <c r="AL1196" s="379"/>
      <c r="AM1196" s="379"/>
      <c r="AN1196" s="379"/>
      <c r="AO1196" s="379"/>
      <c r="AP1196" s="379"/>
      <c r="AQ1196" s="379"/>
      <c r="AR1196" s="379"/>
      <c r="AS1196" s="379"/>
      <c r="AT1196" s="379"/>
      <c r="AU1196" s="379"/>
      <c r="AV1196" s="379"/>
      <c r="AW1196" s="379"/>
      <c r="AX1196" s="379"/>
      <c r="AY1196" s="379"/>
      <c r="AZ1196" s="379"/>
      <c r="BA1196" s="379"/>
      <c r="BB1196" s="379"/>
      <c r="BC1196" s="379"/>
      <c r="BD1196" s="379"/>
      <c r="BE1196" s="379"/>
      <c r="BF1196" s="379"/>
      <c r="BG1196" s="379"/>
      <c r="BH1196" s="379"/>
      <c r="BI1196" s="379"/>
      <c r="BJ1196" s="379"/>
      <c r="BK1196" s="379"/>
      <c r="BL1196" s="379"/>
      <c r="BM1196" s="379"/>
      <c r="BN1196" s="379"/>
      <c r="BO1196" s="379"/>
      <c r="BP1196" s="379"/>
      <c r="BQ1196" s="379"/>
      <c r="BR1196" s="379"/>
      <c r="BS1196" s="379"/>
      <c r="BT1196" s="379"/>
      <c r="BU1196" s="379"/>
      <c r="BV1196" s="379"/>
      <c r="BW1196" s="379"/>
      <c r="BX1196" s="379"/>
      <c r="BY1196" s="379"/>
      <c r="BZ1196" s="379"/>
      <c r="CA1196" s="281"/>
      <c r="CB1196" s="3" t="str">
        <f t="shared" si="165"/>
        <v>Riadok bude skrytý.</v>
      </c>
      <c r="CC1196" s="271" t="s">
        <v>832</v>
      </c>
      <c r="CW1196" s="35">
        <f t="shared" si="176"/>
        <v>1</v>
      </c>
      <c r="CX1196" s="30">
        <f t="shared" si="177"/>
        <v>0</v>
      </c>
      <c r="CZ1196" s="30">
        <f t="shared" si="174"/>
        <v>1</v>
      </c>
      <c r="DA1196" s="52">
        <f t="shared" si="178"/>
        <v>0</v>
      </c>
      <c r="DB1196" s="2">
        <f t="shared" si="175"/>
        <v>0</v>
      </c>
      <c r="DS1196" s="130">
        <f>SI!BY1196</f>
        <v>361</v>
      </c>
      <c r="DZ1196" s="131">
        <f>SI!BZ1196</f>
        <v>0</v>
      </c>
    </row>
    <row r="1197" spans="1:130" hidden="1" x14ac:dyDescent="0.25">
      <c r="A1197" s="141"/>
      <c r="B1197" s="379"/>
      <c r="C1197" s="379"/>
      <c r="D1197" s="379"/>
      <c r="E1197" s="379"/>
      <c r="F1197" s="379"/>
      <c r="G1197" s="379"/>
      <c r="H1197" s="379"/>
      <c r="I1197" s="379"/>
      <c r="J1197" s="379"/>
      <c r="K1197" s="379"/>
      <c r="L1197" s="379"/>
      <c r="M1197" s="379"/>
      <c r="N1197" s="379"/>
      <c r="O1197" s="379"/>
      <c r="P1197" s="379"/>
      <c r="Q1197" s="379"/>
      <c r="R1197" s="379"/>
      <c r="S1197" s="379"/>
      <c r="T1197" s="379"/>
      <c r="U1197" s="379"/>
      <c r="V1197" s="379"/>
      <c r="W1197" s="379"/>
      <c r="X1197" s="379"/>
      <c r="Y1197" s="379"/>
      <c r="Z1197" s="379"/>
      <c r="AA1197" s="379"/>
      <c r="AB1197" s="379"/>
      <c r="AC1197" s="379"/>
      <c r="AD1197" s="379"/>
      <c r="AE1197" s="379"/>
      <c r="AF1197" s="379"/>
      <c r="AG1197" s="379"/>
      <c r="AH1197" s="379"/>
      <c r="AI1197" s="379"/>
      <c r="AJ1197" s="379"/>
      <c r="AK1197" s="379"/>
      <c r="AL1197" s="379"/>
      <c r="AM1197" s="379"/>
      <c r="AN1197" s="379"/>
      <c r="AO1197" s="379"/>
      <c r="AP1197" s="379"/>
      <c r="AQ1197" s="379"/>
      <c r="AR1197" s="379"/>
      <c r="AS1197" s="379"/>
      <c r="AT1197" s="379"/>
      <c r="AU1197" s="379"/>
      <c r="AV1197" s="379"/>
      <c r="AW1197" s="379"/>
      <c r="AX1197" s="379"/>
      <c r="AY1197" s="379"/>
      <c r="AZ1197" s="379"/>
      <c r="BA1197" s="379"/>
      <c r="BB1197" s="379"/>
      <c r="BC1197" s="379"/>
      <c r="BD1197" s="379"/>
      <c r="BE1197" s="379"/>
      <c r="BF1197" s="379"/>
      <c r="BG1197" s="379"/>
      <c r="BH1197" s="379"/>
      <c r="BI1197" s="379"/>
      <c r="BJ1197" s="379"/>
      <c r="BK1197" s="379"/>
      <c r="BL1197" s="379"/>
      <c r="BM1197" s="379"/>
      <c r="BN1197" s="379"/>
      <c r="BO1197" s="379"/>
      <c r="BP1197" s="379"/>
      <c r="BQ1197" s="379"/>
      <c r="BR1197" s="379"/>
      <c r="BS1197" s="379"/>
      <c r="BT1197" s="379"/>
      <c r="BU1197" s="379"/>
      <c r="BV1197" s="379"/>
      <c r="BW1197" s="379"/>
      <c r="BX1197" s="379"/>
      <c r="BY1197" s="379"/>
      <c r="BZ1197" s="379"/>
      <c r="CA1197" s="281"/>
      <c r="CB1197" s="3" t="str">
        <f t="shared" si="165"/>
        <v>Riadok bude skrytý.</v>
      </c>
      <c r="CC1197" s="271" t="s">
        <v>832</v>
      </c>
      <c r="CW1197" s="35">
        <f t="shared" si="176"/>
        <v>1</v>
      </c>
      <c r="CX1197" s="30">
        <f t="shared" si="177"/>
        <v>0</v>
      </c>
      <c r="CZ1197" s="30">
        <f t="shared" si="174"/>
        <v>1</v>
      </c>
      <c r="DA1197" s="52">
        <f t="shared" si="178"/>
        <v>0</v>
      </c>
      <c r="DB1197" s="2">
        <f t="shared" si="175"/>
        <v>0</v>
      </c>
      <c r="DS1197" s="130">
        <f>SI!BY1197</f>
        <v>661</v>
      </c>
      <c r="DZ1197" s="131">
        <f>SI!BZ1197</f>
        <v>0</v>
      </c>
    </row>
    <row r="1198" spans="1:130" hidden="1" x14ac:dyDescent="0.25">
      <c r="A1198" s="141"/>
      <c r="B1198" s="379"/>
      <c r="C1198" s="379"/>
      <c r="D1198" s="379"/>
      <c r="E1198" s="379"/>
      <c r="F1198" s="379"/>
      <c r="G1198" s="379"/>
      <c r="H1198" s="379"/>
      <c r="I1198" s="379"/>
      <c r="J1198" s="379"/>
      <c r="K1198" s="379"/>
      <c r="L1198" s="379"/>
      <c r="M1198" s="379"/>
      <c r="N1198" s="379"/>
      <c r="O1198" s="379"/>
      <c r="P1198" s="379"/>
      <c r="Q1198" s="379"/>
      <c r="R1198" s="379"/>
      <c r="S1198" s="379"/>
      <c r="T1198" s="379"/>
      <c r="U1198" s="379"/>
      <c r="V1198" s="379"/>
      <c r="W1198" s="379"/>
      <c r="X1198" s="379"/>
      <c r="Y1198" s="379"/>
      <c r="Z1198" s="379"/>
      <c r="AA1198" s="379"/>
      <c r="AB1198" s="379"/>
      <c r="AC1198" s="379"/>
      <c r="AD1198" s="379"/>
      <c r="AE1198" s="379"/>
      <c r="AF1198" s="379"/>
      <c r="AG1198" s="379"/>
      <c r="AH1198" s="379"/>
      <c r="AI1198" s="379"/>
      <c r="AJ1198" s="379"/>
      <c r="AK1198" s="379"/>
      <c r="AL1198" s="379"/>
      <c r="AM1198" s="379"/>
      <c r="AN1198" s="379"/>
      <c r="AO1198" s="379"/>
      <c r="AP1198" s="379"/>
      <c r="AQ1198" s="379"/>
      <c r="AR1198" s="379"/>
      <c r="AS1198" s="379"/>
      <c r="AT1198" s="379"/>
      <c r="AU1198" s="379"/>
      <c r="AV1198" s="379"/>
      <c r="AW1198" s="379"/>
      <c r="AX1198" s="379"/>
      <c r="AY1198" s="379"/>
      <c r="AZ1198" s="379"/>
      <c r="BA1198" s="379"/>
      <c r="BB1198" s="379"/>
      <c r="BC1198" s="379"/>
      <c r="BD1198" s="379"/>
      <c r="BE1198" s="379"/>
      <c r="BF1198" s="379"/>
      <c r="BG1198" s="379"/>
      <c r="BH1198" s="379"/>
      <c r="BI1198" s="379"/>
      <c r="BJ1198" s="379"/>
      <c r="BK1198" s="379"/>
      <c r="BL1198" s="379"/>
      <c r="BM1198" s="379"/>
      <c r="BN1198" s="379"/>
      <c r="BO1198" s="379"/>
      <c r="BP1198" s="379"/>
      <c r="BQ1198" s="379"/>
      <c r="BR1198" s="379"/>
      <c r="BS1198" s="379"/>
      <c r="BT1198" s="379"/>
      <c r="BU1198" s="379"/>
      <c r="BV1198" s="379"/>
      <c r="BW1198" s="379"/>
      <c r="BX1198" s="379"/>
      <c r="BY1198" s="379"/>
      <c r="BZ1198" s="379"/>
      <c r="CA1198" s="281"/>
      <c r="CB1198" s="3" t="str">
        <f t="shared" si="165"/>
        <v>Riadok bude skrytý.</v>
      </c>
      <c r="CC1198" s="271" t="s">
        <v>832</v>
      </c>
      <c r="CW1198" s="35">
        <f t="shared" si="176"/>
        <v>1</v>
      </c>
      <c r="CX1198" s="30">
        <f t="shared" si="177"/>
        <v>0</v>
      </c>
      <c r="CZ1198" s="30">
        <f t="shared" si="174"/>
        <v>1</v>
      </c>
      <c r="DA1198" s="52">
        <f t="shared" si="178"/>
        <v>0</v>
      </c>
      <c r="DB1198" s="2">
        <f t="shared" si="175"/>
        <v>0</v>
      </c>
      <c r="DS1198" s="130">
        <f>SI!BY1198</f>
        <v>146</v>
      </c>
      <c r="DZ1198" s="131">
        <f>SI!BZ1198</f>
        <v>0</v>
      </c>
    </row>
    <row r="1199" spans="1:130" hidden="1" x14ac:dyDescent="0.25">
      <c r="A1199" s="141"/>
      <c r="B1199" s="379"/>
      <c r="C1199" s="379"/>
      <c r="D1199" s="379"/>
      <c r="E1199" s="379"/>
      <c r="F1199" s="379"/>
      <c r="G1199" s="379"/>
      <c r="H1199" s="379"/>
      <c r="I1199" s="379"/>
      <c r="J1199" s="379"/>
      <c r="K1199" s="379"/>
      <c r="L1199" s="379"/>
      <c r="M1199" s="379"/>
      <c r="N1199" s="379"/>
      <c r="O1199" s="379"/>
      <c r="P1199" s="379"/>
      <c r="Q1199" s="379"/>
      <c r="R1199" s="379"/>
      <c r="S1199" s="379"/>
      <c r="T1199" s="379"/>
      <c r="U1199" s="379"/>
      <c r="V1199" s="379"/>
      <c r="W1199" s="379"/>
      <c r="X1199" s="379"/>
      <c r="Y1199" s="379"/>
      <c r="Z1199" s="379"/>
      <c r="AA1199" s="379"/>
      <c r="AB1199" s="379"/>
      <c r="AC1199" s="379"/>
      <c r="AD1199" s="379"/>
      <c r="AE1199" s="379"/>
      <c r="AF1199" s="379"/>
      <c r="AG1199" s="379"/>
      <c r="AH1199" s="379"/>
      <c r="AI1199" s="379"/>
      <c r="AJ1199" s="379"/>
      <c r="AK1199" s="379"/>
      <c r="AL1199" s="379"/>
      <c r="AM1199" s="379"/>
      <c r="AN1199" s="379"/>
      <c r="AO1199" s="379"/>
      <c r="AP1199" s="379"/>
      <c r="AQ1199" s="379"/>
      <c r="AR1199" s="379"/>
      <c r="AS1199" s="379"/>
      <c r="AT1199" s="379"/>
      <c r="AU1199" s="379"/>
      <c r="AV1199" s="379"/>
      <c r="AW1199" s="379"/>
      <c r="AX1199" s="379"/>
      <c r="AY1199" s="379"/>
      <c r="AZ1199" s="379"/>
      <c r="BA1199" s="379"/>
      <c r="BB1199" s="379"/>
      <c r="BC1199" s="379"/>
      <c r="BD1199" s="379"/>
      <c r="BE1199" s="379"/>
      <c r="BF1199" s="379"/>
      <c r="BG1199" s="379"/>
      <c r="BH1199" s="379"/>
      <c r="BI1199" s="379"/>
      <c r="BJ1199" s="379"/>
      <c r="BK1199" s="379"/>
      <c r="BL1199" s="379"/>
      <c r="BM1199" s="379"/>
      <c r="BN1199" s="379"/>
      <c r="BO1199" s="379"/>
      <c r="BP1199" s="379"/>
      <c r="BQ1199" s="379"/>
      <c r="BR1199" s="379"/>
      <c r="BS1199" s="379"/>
      <c r="BT1199" s="379"/>
      <c r="BU1199" s="379"/>
      <c r="BV1199" s="379"/>
      <c r="BW1199" s="379"/>
      <c r="BX1199" s="379"/>
      <c r="BY1199" s="379"/>
      <c r="BZ1199" s="379"/>
      <c r="CA1199" s="281"/>
      <c r="CB1199" s="3" t="str">
        <f t="shared" si="165"/>
        <v>Riadok bude skrytý.</v>
      </c>
      <c r="CC1199" s="271" t="s">
        <v>832</v>
      </c>
      <c r="CW1199" s="35">
        <f t="shared" si="176"/>
        <v>1</v>
      </c>
      <c r="CX1199" s="30">
        <f t="shared" si="177"/>
        <v>0</v>
      </c>
      <c r="CZ1199" s="30">
        <f t="shared" si="174"/>
        <v>1</v>
      </c>
      <c r="DA1199" s="52">
        <f t="shared" si="178"/>
        <v>0</v>
      </c>
      <c r="DB1199" s="2">
        <f t="shared" si="175"/>
        <v>0</v>
      </c>
      <c r="DS1199" s="130">
        <f>SI!BY1199</f>
        <v>570</v>
      </c>
      <c r="DZ1199" s="131">
        <f>SI!BZ1199</f>
        <v>0</v>
      </c>
    </row>
    <row r="1200" spans="1:130" hidden="1" x14ac:dyDescent="0.25">
      <c r="A1200" s="141"/>
      <c r="B1200" s="379"/>
      <c r="C1200" s="379"/>
      <c r="D1200" s="379"/>
      <c r="E1200" s="379"/>
      <c r="F1200" s="379"/>
      <c r="G1200" s="379"/>
      <c r="H1200" s="379"/>
      <c r="I1200" s="379"/>
      <c r="J1200" s="379"/>
      <c r="K1200" s="379"/>
      <c r="L1200" s="379"/>
      <c r="M1200" s="379"/>
      <c r="N1200" s="379"/>
      <c r="O1200" s="379"/>
      <c r="P1200" s="379"/>
      <c r="Q1200" s="379"/>
      <c r="R1200" s="379"/>
      <c r="S1200" s="379"/>
      <c r="T1200" s="379"/>
      <c r="U1200" s="379"/>
      <c r="V1200" s="379"/>
      <c r="W1200" s="379"/>
      <c r="X1200" s="379"/>
      <c r="Y1200" s="379"/>
      <c r="Z1200" s="379"/>
      <c r="AA1200" s="379"/>
      <c r="AB1200" s="379"/>
      <c r="AC1200" s="379"/>
      <c r="AD1200" s="379"/>
      <c r="AE1200" s="379"/>
      <c r="AF1200" s="379"/>
      <c r="AG1200" s="379"/>
      <c r="AH1200" s="379"/>
      <c r="AI1200" s="379"/>
      <c r="AJ1200" s="379"/>
      <c r="AK1200" s="379"/>
      <c r="AL1200" s="379"/>
      <c r="AM1200" s="379"/>
      <c r="AN1200" s="379"/>
      <c r="AO1200" s="379"/>
      <c r="AP1200" s="379"/>
      <c r="AQ1200" s="379"/>
      <c r="AR1200" s="379"/>
      <c r="AS1200" s="379"/>
      <c r="AT1200" s="379"/>
      <c r="AU1200" s="379"/>
      <c r="AV1200" s="379"/>
      <c r="AW1200" s="379"/>
      <c r="AX1200" s="379"/>
      <c r="AY1200" s="379"/>
      <c r="AZ1200" s="379"/>
      <c r="BA1200" s="379"/>
      <c r="BB1200" s="379"/>
      <c r="BC1200" s="379"/>
      <c r="BD1200" s="379"/>
      <c r="BE1200" s="379"/>
      <c r="BF1200" s="379"/>
      <c r="BG1200" s="379"/>
      <c r="BH1200" s="379"/>
      <c r="BI1200" s="379"/>
      <c r="BJ1200" s="379"/>
      <c r="BK1200" s="379"/>
      <c r="BL1200" s="379"/>
      <c r="BM1200" s="379"/>
      <c r="BN1200" s="379"/>
      <c r="BO1200" s="379"/>
      <c r="BP1200" s="379"/>
      <c r="BQ1200" s="379"/>
      <c r="BR1200" s="379"/>
      <c r="BS1200" s="379"/>
      <c r="BT1200" s="379"/>
      <c r="BU1200" s="379"/>
      <c r="BV1200" s="379"/>
      <c r="BW1200" s="379"/>
      <c r="BX1200" s="379"/>
      <c r="BY1200" s="379"/>
      <c r="BZ1200" s="379"/>
      <c r="CA1200" s="281"/>
      <c r="CB1200" s="3" t="str">
        <f t="shared" si="165"/>
        <v>Riadok bude skrytý.</v>
      </c>
      <c r="CC1200" s="271" t="s">
        <v>832</v>
      </c>
      <c r="CW1200" s="35">
        <f t="shared" si="176"/>
        <v>1</v>
      </c>
      <c r="CX1200" s="30">
        <f t="shared" si="177"/>
        <v>0</v>
      </c>
      <c r="CZ1200" s="30">
        <f t="shared" si="174"/>
        <v>1</v>
      </c>
      <c r="DA1200" s="52">
        <f t="shared" si="178"/>
        <v>0</v>
      </c>
      <c r="DB1200" s="2">
        <f t="shared" si="175"/>
        <v>0</v>
      </c>
      <c r="DS1200" s="130">
        <f>SI!BY1200</f>
        <v>0</v>
      </c>
      <c r="DZ1200" s="131">
        <f>SI!BZ1200</f>
        <v>0</v>
      </c>
    </row>
    <row r="1201" spans="1:130" hidden="1" x14ac:dyDescent="0.25">
      <c r="A1201" s="141"/>
      <c r="B1201" s="379"/>
      <c r="C1201" s="379"/>
      <c r="D1201" s="379"/>
      <c r="E1201" s="379"/>
      <c r="F1201" s="379"/>
      <c r="G1201" s="379"/>
      <c r="H1201" s="379"/>
      <c r="I1201" s="379"/>
      <c r="J1201" s="379"/>
      <c r="K1201" s="379"/>
      <c r="L1201" s="379"/>
      <c r="M1201" s="379"/>
      <c r="N1201" s="379"/>
      <c r="O1201" s="379"/>
      <c r="P1201" s="379"/>
      <c r="Q1201" s="379"/>
      <c r="R1201" s="379"/>
      <c r="S1201" s="379"/>
      <c r="T1201" s="379"/>
      <c r="U1201" s="379"/>
      <c r="V1201" s="379"/>
      <c r="W1201" s="379"/>
      <c r="X1201" s="379"/>
      <c r="Y1201" s="379"/>
      <c r="Z1201" s="379"/>
      <c r="AA1201" s="379"/>
      <c r="AB1201" s="379"/>
      <c r="AC1201" s="379"/>
      <c r="AD1201" s="379"/>
      <c r="AE1201" s="379"/>
      <c r="AF1201" s="379"/>
      <c r="AG1201" s="379"/>
      <c r="AH1201" s="379"/>
      <c r="AI1201" s="379"/>
      <c r="AJ1201" s="379"/>
      <c r="AK1201" s="379"/>
      <c r="AL1201" s="379"/>
      <c r="AM1201" s="379"/>
      <c r="AN1201" s="379"/>
      <c r="AO1201" s="379"/>
      <c r="AP1201" s="379"/>
      <c r="AQ1201" s="379"/>
      <c r="AR1201" s="379"/>
      <c r="AS1201" s="379"/>
      <c r="AT1201" s="379"/>
      <c r="AU1201" s="379"/>
      <c r="AV1201" s="379"/>
      <c r="AW1201" s="379"/>
      <c r="AX1201" s="379"/>
      <c r="AY1201" s="379"/>
      <c r="AZ1201" s="379"/>
      <c r="BA1201" s="379"/>
      <c r="BB1201" s="379"/>
      <c r="BC1201" s="379"/>
      <c r="BD1201" s="379"/>
      <c r="BE1201" s="379"/>
      <c r="BF1201" s="379"/>
      <c r="BG1201" s="379"/>
      <c r="BH1201" s="379"/>
      <c r="BI1201" s="379"/>
      <c r="BJ1201" s="379"/>
      <c r="BK1201" s="379"/>
      <c r="BL1201" s="379"/>
      <c r="BM1201" s="379"/>
      <c r="BN1201" s="379"/>
      <c r="BO1201" s="379"/>
      <c r="BP1201" s="379"/>
      <c r="BQ1201" s="379"/>
      <c r="BR1201" s="379"/>
      <c r="BS1201" s="379"/>
      <c r="BT1201" s="379"/>
      <c r="BU1201" s="379"/>
      <c r="BV1201" s="379"/>
      <c r="BW1201" s="379"/>
      <c r="BX1201" s="379"/>
      <c r="BY1201" s="379"/>
      <c r="BZ1201" s="379"/>
      <c r="CA1201" s="281"/>
      <c r="CB1201" s="3" t="str">
        <f t="shared" si="165"/>
        <v>Riadok bude skrytý.</v>
      </c>
      <c r="CC1201" s="271" t="s">
        <v>832</v>
      </c>
      <c r="CW1201" s="35">
        <f t="shared" si="176"/>
        <v>1</v>
      </c>
      <c r="CX1201" s="30">
        <f t="shared" si="177"/>
        <v>0</v>
      </c>
      <c r="CZ1201" s="30">
        <f t="shared" si="174"/>
        <v>1</v>
      </c>
      <c r="DA1201" s="52">
        <f t="shared" si="178"/>
        <v>0</v>
      </c>
      <c r="DB1201" s="2">
        <f t="shared" si="175"/>
        <v>0</v>
      </c>
      <c r="DS1201" s="130">
        <f>SI!BY1201</f>
        <v>687</v>
      </c>
      <c r="DZ1201" s="131">
        <f>SI!BZ1201</f>
        <v>0</v>
      </c>
    </row>
    <row r="1202" spans="1:130" hidden="1" x14ac:dyDescent="0.25">
      <c r="A1202" s="141"/>
      <c r="B1202" s="379"/>
      <c r="C1202" s="379"/>
      <c r="D1202" s="379"/>
      <c r="E1202" s="379"/>
      <c r="F1202" s="379"/>
      <c r="G1202" s="379"/>
      <c r="H1202" s="379"/>
      <c r="I1202" s="379"/>
      <c r="J1202" s="379"/>
      <c r="K1202" s="379"/>
      <c r="L1202" s="379"/>
      <c r="M1202" s="379"/>
      <c r="N1202" s="379"/>
      <c r="O1202" s="379"/>
      <c r="P1202" s="379"/>
      <c r="Q1202" s="379"/>
      <c r="R1202" s="379"/>
      <c r="S1202" s="379"/>
      <c r="T1202" s="379"/>
      <c r="U1202" s="379"/>
      <c r="V1202" s="379"/>
      <c r="W1202" s="379"/>
      <c r="X1202" s="379"/>
      <c r="Y1202" s="379"/>
      <c r="Z1202" s="379"/>
      <c r="AA1202" s="379"/>
      <c r="AB1202" s="379"/>
      <c r="AC1202" s="379"/>
      <c r="AD1202" s="379"/>
      <c r="AE1202" s="379"/>
      <c r="AF1202" s="379"/>
      <c r="AG1202" s="379"/>
      <c r="AH1202" s="379"/>
      <c r="AI1202" s="379"/>
      <c r="AJ1202" s="379"/>
      <c r="AK1202" s="379"/>
      <c r="AL1202" s="379"/>
      <c r="AM1202" s="379"/>
      <c r="AN1202" s="379"/>
      <c r="AO1202" s="379"/>
      <c r="AP1202" s="379"/>
      <c r="AQ1202" s="379"/>
      <c r="AR1202" s="379"/>
      <c r="AS1202" s="379"/>
      <c r="AT1202" s="379"/>
      <c r="AU1202" s="379"/>
      <c r="AV1202" s="379"/>
      <c r="AW1202" s="379"/>
      <c r="AX1202" s="379"/>
      <c r="AY1202" s="379"/>
      <c r="AZ1202" s="379"/>
      <c r="BA1202" s="379"/>
      <c r="BB1202" s="379"/>
      <c r="BC1202" s="379"/>
      <c r="BD1202" s="379"/>
      <c r="BE1202" s="379"/>
      <c r="BF1202" s="379"/>
      <c r="BG1202" s="379"/>
      <c r="BH1202" s="379"/>
      <c r="BI1202" s="379"/>
      <c r="BJ1202" s="379"/>
      <c r="BK1202" s="379"/>
      <c r="BL1202" s="379"/>
      <c r="BM1202" s="379"/>
      <c r="BN1202" s="379"/>
      <c r="BO1202" s="379"/>
      <c r="BP1202" s="379"/>
      <c r="BQ1202" s="379"/>
      <c r="BR1202" s="379"/>
      <c r="BS1202" s="379"/>
      <c r="BT1202" s="379"/>
      <c r="BU1202" s="379"/>
      <c r="BV1202" s="379"/>
      <c r="BW1202" s="379"/>
      <c r="BX1202" s="379"/>
      <c r="BY1202" s="379"/>
      <c r="BZ1202" s="379"/>
      <c r="CA1202" s="281"/>
      <c r="CB1202" s="3" t="str">
        <f t="shared" si="165"/>
        <v>Riadok bude skrytý.</v>
      </c>
      <c r="CC1202" s="271" t="s">
        <v>832</v>
      </c>
      <c r="CW1202" s="35">
        <f t="shared" si="176"/>
        <v>1</v>
      </c>
      <c r="CX1202" s="30">
        <f t="shared" si="177"/>
        <v>0</v>
      </c>
      <c r="CZ1202" s="30">
        <f t="shared" si="174"/>
        <v>1</v>
      </c>
      <c r="DA1202" s="52">
        <f t="shared" si="178"/>
        <v>0</v>
      </c>
      <c r="DB1202" s="2">
        <f t="shared" si="175"/>
        <v>0</v>
      </c>
      <c r="DS1202" s="130">
        <f>SI!BY1202</f>
        <v>146</v>
      </c>
      <c r="DZ1202" s="131">
        <f>SI!BZ1202</f>
        <v>0</v>
      </c>
    </row>
    <row r="1203" spans="1:130" hidden="1" x14ac:dyDescent="0.25">
      <c r="A1203" s="141"/>
      <c r="B1203" s="379"/>
      <c r="C1203" s="379"/>
      <c r="D1203" s="379"/>
      <c r="E1203" s="379"/>
      <c r="F1203" s="379"/>
      <c r="G1203" s="379"/>
      <c r="H1203" s="379"/>
      <c r="I1203" s="379"/>
      <c r="J1203" s="379"/>
      <c r="K1203" s="379"/>
      <c r="L1203" s="379"/>
      <c r="M1203" s="379"/>
      <c r="N1203" s="379"/>
      <c r="O1203" s="379"/>
      <c r="P1203" s="379"/>
      <c r="Q1203" s="379"/>
      <c r="R1203" s="379"/>
      <c r="S1203" s="379"/>
      <c r="T1203" s="379"/>
      <c r="U1203" s="379"/>
      <c r="V1203" s="379"/>
      <c r="W1203" s="379"/>
      <c r="X1203" s="379"/>
      <c r="Y1203" s="379"/>
      <c r="Z1203" s="379"/>
      <c r="AA1203" s="379"/>
      <c r="AB1203" s="379"/>
      <c r="AC1203" s="379"/>
      <c r="AD1203" s="379"/>
      <c r="AE1203" s="379"/>
      <c r="AF1203" s="379"/>
      <c r="AG1203" s="379"/>
      <c r="AH1203" s="379"/>
      <c r="AI1203" s="379"/>
      <c r="AJ1203" s="379"/>
      <c r="AK1203" s="379"/>
      <c r="AL1203" s="379"/>
      <c r="AM1203" s="379"/>
      <c r="AN1203" s="379"/>
      <c r="AO1203" s="379"/>
      <c r="AP1203" s="379"/>
      <c r="AQ1203" s="379"/>
      <c r="AR1203" s="379"/>
      <c r="AS1203" s="379"/>
      <c r="AT1203" s="379"/>
      <c r="AU1203" s="379"/>
      <c r="AV1203" s="379"/>
      <c r="AW1203" s="379"/>
      <c r="AX1203" s="379"/>
      <c r="AY1203" s="379"/>
      <c r="AZ1203" s="379"/>
      <c r="BA1203" s="379"/>
      <c r="BB1203" s="379"/>
      <c r="BC1203" s="379"/>
      <c r="BD1203" s="379"/>
      <c r="BE1203" s="379"/>
      <c r="BF1203" s="379"/>
      <c r="BG1203" s="379"/>
      <c r="BH1203" s="379"/>
      <c r="BI1203" s="379"/>
      <c r="BJ1203" s="379"/>
      <c r="BK1203" s="379"/>
      <c r="BL1203" s="379"/>
      <c r="BM1203" s="379"/>
      <c r="BN1203" s="379"/>
      <c r="BO1203" s="379"/>
      <c r="BP1203" s="379"/>
      <c r="BQ1203" s="379"/>
      <c r="BR1203" s="379"/>
      <c r="BS1203" s="379"/>
      <c r="BT1203" s="379"/>
      <c r="BU1203" s="379"/>
      <c r="BV1203" s="379"/>
      <c r="BW1203" s="379"/>
      <c r="BX1203" s="379"/>
      <c r="BY1203" s="379"/>
      <c r="BZ1203" s="379"/>
      <c r="CA1203" s="281"/>
      <c r="CB1203" s="3" t="str">
        <f t="shared" ref="CB1203:CB1266" si="179">+IF(DB1203=0,"Riadok bude skrytý.","Riadok bude vidieť.")</f>
        <v>Riadok bude skrytý.</v>
      </c>
      <c r="CC1203" s="271" t="s">
        <v>832</v>
      </c>
      <c r="CW1203" s="35">
        <f t="shared" si="176"/>
        <v>1</v>
      </c>
      <c r="CX1203" s="30">
        <f t="shared" si="177"/>
        <v>0</v>
      </c>
      <c r="CZ1203" s="30">
        <f t="shared" si="174"/>
        <v>1</v>
      </c>
      <c r="DA1203" s="52">
        <f t="shared" si="178"/>
        <v>0</v>
      </c>
      <c r="DB1203" s="2">
        <f t="shared" si="175"/>
        <v>0</v>
      </c>
      <c r="DS1203" s="130">
        <f>SI!BY1203</f>
        <v>423</v>
      </c>
      <c r="DZ1203" s="131">
        <f>SI!BZ1203</f>
        <v>0</v>
      </c>
    </row>
    <row r="1204" spans="1:130" hidden="1" x14ac:dyDescent="0.25">
      <c r="A1204" s="141"/>
      <c r="B1204" s="379"/>
      <c r="C1204" s="379"/>
      <c r="D1204" s="379"/>
      <c r="E1204" s="379"/>
      <c r="F1204" s="379"/>
      <c r="G1204" s="379"/>
      <c r="H1204" s="379"/>
      <c r="I1204" s="379"/>
      <c r="J1204" s="379"/>
      <c r="K1204" s="379"/>
      <c r="L1204" s="379"/>
      <c r="M1204" s="379"/>
      <c r="N1204" s="379"/>
      <c r="O1204" s="379"/>
      <c r="P1204" s="379"/>
      <c r="Q1204" s="379"/>
      <c r="R1204" s="379"/>
      <c r="S1204" s="379"/>
      <c r="T1204" s="379"/>
      <c r="U1204" s="379"/>
      <c r="V1204" s="379"/>
      <c r="W1204" s="379"/>
      <c r="X1204" s="379"/>
      <c r="Y1204" s="379"/>
      <c r="Z1204" s="379"/>
      <c r="AA1204" s="379"/>
      <c r="AB1204" s="379"/>
      <c r="AC1204" s="379"/>
      <c r="AD1204" s="379"/>
      <c r="AE1204" s="379"/>
      <c r="AF1204" s="379"/>
      <c r="AG1204" s="379"/>
      <c r="AH1204" s="379"/>
      <c r="AI1204" s="379"/>
      <c r="AJ1204" s="379"/>
      <c r="AK1204" s="379"/>
      <c r="AL1204" s="379"/>
      <c r="AM1204" s="379"/>
      <c r="AN1204" s="379"/>
      <c r="AO1204" s="379"/>
      <c r="AP1204" s="379"/>
      <c r="AQ1204" s="379"/>
      <c r="AR1204" s="379"/>
      <c r="AS1204" s="379"/>
      <c r="AT1204" s="379"/>
      <c r="AU1204" s="379"/>
      <c r="AV1204" s="379"/>
      <c r="AW1204" s="379"/>
      <c r="AX1204" s="379"/>
      <c r="AY1204" s="379"/>
      <c r="AZ1204" s="379"/>
      <c r="BA1204" s="379"/>
      <c r="BB1204" s="379"/>
      <c r="BC1204" s="379"/>
      <c r="BD1204" s="379"/>
      <c r="BE1204" s="379"/>
      <c r="BF1204" s="379"/>
      <c r="BG1204" s="379"/>
      <c r="BH1204" s="379"/>
      <c r="BI1204" s="379"/>
      <c r="BJ1204" s="379"/>
      <c r="BK1204" s="379"/>
      <c r="BL1204" s="379"/>
      <c r="BM1204" s="379"/>
      <c r="BN1204" s="379"/>
      <c r="BO1204" s="379"/>
      <c r="BP1204" s="379"/>
      <c r="BQ1204" s="379"/>
      <c r="BR1204" s="379"/>
      <c r="BS1204" s="379"/>
      <c r="BT1204" s="379"/>
      <c r="BU1204" s="379"/>
      <c r="BV1204" s="379"/>
      <c r="BW1204" s="379"/>
      <c r="BX1204" s="379"/>
      <c r="BY1204" s="379"/>
      <c r="BZ1204" s="379"/>
      <c r="CA1204" s="281"/>
      <c r="CB1204" s="3" t="str">
        <f t="shared" si="179"/>
        <v>Riadok bude skrytý.</v>
      </c>
      <c r="CC1204" s="271" t="s">
        <v>832</v>
      </c>
      <c r="CW1204" s="35">
        <f t="shared" si="176"/>
        <v>1</v>
      </c>
      <c r="CX1204" s="30">
        <f t="shared" si="177"/>
        <v>0</v>
      </c>
      <c r="CZ1204" s="30">
        <f t="shared" si="174"/>
        <v>1</v>
      </c>
      <c r="DA1204" s="52">
        <f t="shared" si="178"/>
        <v>0</v>
      </c>
      <c r="DB1204" s="2">
        <f t="shared" si="175"/>
        <v>0</v>
      </c>
      <c r="DS1204" s="130">
        <f>SI!BY1204</f>
        <v>154</v>
      </c>
      <c r="DZ1204" s="131">
        <f>SI!BZ1204</f>
        <v>0</v>
      </c>
    </row>
    <row r="1205" spans="1:130" hidden="1" x14ac:dyDescent="0.25">
      <c r="A1205" s="141"/>
      <c r="B1205" s="379"/>
      <c r="C1205" s="379"/>
      <c r="D1205" s="379"/>
      <c r="E1205" s="379"/>
      <c r="F1205" s="379"/>
      <c r="G1205" s="379"/>
      <c r="H1205" s="379"/>
      <c r="I1205" s="379"/>
      <c r="J1205" s="379"/>
      <c r="K1205" s="379"/>
      <c r="L1205" s="379"/>
      <c r="M1205" s="379"/>
      <c r="N1205" s="379"/>
      <c r="O1205" s="379"/>
      <c r="P1205" s="379"/>
      <c r="Q1205" s="379"/>
      <c r="R1205" s="379"/>
      <c r="S1205" s="379"/>
      <c r="T1205" s="379"/>
      <c r="U1205" s="379"/>
      <c r="V1205" s="379"/>
      <c r="W1205" s="379"/>
      <c r="X1205" s="379"/>
      <c r="Y1205" s="379"/>
      <c r="Z1205" s="379"/>
      <c r="AA1205" s="379"/>
      <c r="AB1205" s="379"/>
      <c r="AC1205" s="379"/>
      <c r="AD1205" s="379"/>
      <c r="AE1205" s="379"/>
      <c r="AF1205" s="379"/>
      <c r="AG1205" s="379"/>
      <c r="AH1205" s="379"/>
      <c r="AI1205" s="379"/>
      <c r="AJ1205" s="379"/>
      <c r="AK1205" s="379"/>
      <c r="AL1205" s="379"/>
      <c r="AM1205" s="379"/>
      <c r="AN1205" s="379"/>
      <c r="AO1205" s="379"/>
      <c r="AP1205" s="379"/>
      <c r="AQ1205" s="379"/>
      <c r="AR1205" s="379"/>
      <c r="AS1205" s="379"/>
      <c r="AT1205" s="379"/>
      <c r="AU1205" s="379"/>
      <c r="AV1205" s="379"/>
      <c r="AW1205" s="379"/>
      <c r="AX1205" s="379"/>
      <c r="AY1205" s="379"/>
      <c r="AZ1205" s="379"/>
      <c r="BA1205" s="379"/>
      <c r="BB1205" s="379"/>
      <c r="BC1205" s="379"/>
      <c r="BD1205" s="379"/>
      <c r="BE1205" s="379"/>
      <c r="BF1205" s="379"/>
      <c r="BG1205" s="379"/>
      <c r="BH1205" s="379"/>
      <c r="BI1205" s="379"/>
      <c r="BJ1205" s="379"/>
      <c r="BK1205" s="379"/>
      <c r="BL1205" s="379"/>
      <c r="BM1205" s="379"/>
      <c r="BN1205" s="379"/>
      <c r="BO1205" s="379"/>
      <c r="BP1205" s="379"/>
      <c r="BQ1205" s="379"/>
      <c r="BR1205" s="379"/>
      <c r="BS1205" s="379"/>
      <c r="BT1205" s="379"/>
      <c r="BU1205" s="379"/>
      <c r="BV1205" s="379"/>
      <c r="BW1205" s="379"/>
      <c r="BX1205" s="379"/>
      <c r="BY1205" s="379"/>
      <c r="BZ1205" s="379"/>
      <c r="CA1205" s="281"/>
      <c r="CB1205" s="3" t="str">
        <f t="shared" si="179"/>
        <v>Riadok bude skrytý.</v>
      </c>
      <c r="CC1205" s="271" t="s">
        <v>832</v>
      </c>
      <c r="CW1205" s="35">
        <f t="shared" si="176"/>
        <v>1</v>
      </c>
      <c r="CX1205" s="30">
        <f t="shared" si="177"/>
        <v>0</v>
      </c>
      <c r="CZ1205" s="30">
        <f t="shared" si="174"/>
        <v>1</v>
      </c>
      <c r="DA1205" s="52">
        <f t="shared" si="178"/>
        <v>0</v>
      </c>
      <c r="DB1205" s="2">
        <f t="shared" si="175"/>
        <v>0</v>
      </c>
      <c r="DS1205" s="130">
        <f>SI!BY1205</f>
        <v>171</v>
      </c>
      <c r="DZ1205" s="131">
        <f>SI!BZ1205</f>
        <v>0</v>
      </c>
    </row>
    <row r="1206" spans="1:130" hidden="1" x14ac:dyDescent="0.25">
      <c r="A1206" s="141"/>
      <c r="B1206" s="379"/>
      <c r="C1206" s="379"/>
      <c r="D1206" s="379"/>
      <c r="E1206" s="379"/>
      <c r="F1206" s="379"/>
      <c r="G1206" s="379"/>
      <c r="H1206" s="379"/>
      <c r="I1206" s="379"/>
      <c r="J1206" s="379"/>
      <c r="K1206" s="379"/>
      <c r="L1206" s="379"/>
      <c r="M1206" s="379"/>
      <c r="N1206" s="379"/>
      <c r="O1206" s="379"/>
      <c r="P1206" s="379"/>
      <c r="Q1206" s="379"/>
      <c r="R1206" s="379"/>
      <c r="S1206" s="379"/>
      <c r="T1206" s="379"/>
      <c r="U1206" s="379"/>
      <c r="V1206" s="379"/>
      <c r="W1206" s="379"/>
      <c r="X1206" s="379"/>
      <c r="Y1206" s="379"/>
      <c r="Z1206" s="379"/>
      <c r="AA1206" s="379"/>
      <c r="AB1206" s="379"/>
      <c r="AC1206" s="379"/>
      <c r="AD1206" s="379"/>
      <c r="AE1206" s="379"/>
      <c r="AF1206" s="379"/>
      <c r="AG1206" s="379"/>
      <c r="AH1206" s="379"/>
      <c r="AI1206" s="379"/>
      <c r="AJ1206" s="379"/>
      <c r="AK1206" s="379"/>
      <c r="AL1206" s="379"/>
      <c r="AM1206" s="379"/>
      <c r="AN1206" s="379"/>
      <c r="AO1206" s="379"/>
      <c r="AP1206" s="379"/>
      <c r="AQ1206" s="379"/>
      <c r="AR1206" s="379"/>
      <c r="AS1206" s="379"/>
      <c r="AT1206" s="379"/>
      <c r="AU1206" s="379"/>
      <c r="AV1206" s="379"/>
      <c r="AW1206" s="379"/>
      <c r="AX1206" s="379"/>
      <c r="AY1206" s="379"/>
      <c r="AZ1206" s="379"/>
      <c r="BA1206" s="379"/>
      <c r="BB1206" s="379"/>
      <c r="BC1206" s="379"/>
      <c r="BD1206" s="379"/>
      <c r="BE1206" s="379"/>
      <c r="BF1206" s="379"/>
      <c r="BG1206" s="379"/>
      <c r="BH1206" s="379"/>
      <c r="BI1206" s="379"/>
      <c r="BJ1206" s="379"/>
      <c r="BK1206" s="379"/>
      <c r="BL1206" s="379"/>
      <c r="BM1206" s="379"/>
      <c r="BN1206" s="379"/>
      <c r="BO1206" s="379"/>
      <c r="BP1206" s="379"/>
      <c r="BQ1206" s="379"/>
      <c r="BR1206" s="379"/>
      <c r="BS1206" s="379"/>
      <c r="BT1206" s="379"/>
      <c r="BU1206" s="379"/>
      <c r="BV1206" s="379"/>
      <c r="BW1206" s="379"/>
      <c r="BX1206" s="379"/>
      <c r="BY1206" s="379"/>
      <c r="BZ1206" s="379"/>
      <c r="CA1206" s="281"/>
      <c r="CB1206" s="3" t="str">
        <f t="shared" si="179"/>
        <v>Riadok bude skrytý.</v>
      </c>
      <c r="CC1206" s="271" t="s">
        <v>832</v>
      </c>
      <c r="CW1206" s="35">
        <f t="shared" si="176"/>
        <v>1</v>
      </c>
      <c r="CX1206" s="30">
        <f t="shared" si="177"/>
        <v>0</v>
      </c>
      <c r="CZ1206" s="30">
        <f t="shared" si="174"/>
        <v>1</v>
      </c>
      <c r="DA1206" s="52">
        <f t="shared" si="178"/>
        <v>0</v>
      </c>
      <c r="DB1206" s="2">
        <f t="shared" si="175"/>
        <v>0</v>
      </c>
      <c r="DS1206" s="130">
        <f>SI!BY1206</f>
        <v>158</v>
      </c>
      <c r="DZ1206" s="131">
        <f>SI!BZ1206</f>
        <v>0</v>
      </c>
    </row>
    <row r="1207" spans="1:130" hidden="1" x14ac:dyDescent="0.25">
      <c r="A1207" s="141"/>
      <c r="B1207" s="379"/>
      <c r="C1207" s="379"/>
      <c r="D1207" s="379"/>
      <c r="E1207" s="379"/>
      <c r="F1207" s="379"/>
      <c r="G1207" s="379"/>
      <c r="H1207" s="379"/>
      <c r="I1207" s="379"/>
      <c r="J1207" s="379"/>
      <c r="K1207" s="379"/>
      <c r="L1207" s="379"/>
      <c r="M1207" s="379"/>
      <c r="N1207" s="379"/>
      <c r="O1207" s="379"/>
      <c r="P1207" s="379"/>
      <c r="Q1207" s="379"/>
      <c r="R1207" s="379"/>
      <c r="S1207" s="379"/>
      <c r="T1207" s="379"/>
      <c r="U1207" s="379"/>
      <c r="V1207" s="379"/>
      <c r="W1207" s="379"/>
      <c r="X1207" s="379"/>
      <c r="Y1207" s="379"/>
      <c r="Z1207" s="379"/>
      <c r="AA1207" s="379"/>
      <c r="AB1207" s="379"/>
      <c r="AC1207" s="379"/>
      <c r="AD1207" s="379"/>
      <c r="AE1207" s="379"/>
      <c r="AF1207" s="379"/>
      <c r="AG1207" s="379"/>
      <c r="AH1207" s="379"/>
      <c r="AI1207" s="379"/>
      <c r="AJ1207" s="379"/>
      <c r="AK1207" s="379"/>
      <c r="AL1207" s="379"/>
      <c r="AM1207" s="379"/>
      <c r="AN1207" s="379"/>
      <c r="AO1207" s="379"/>
      <c r="AP1207" s="379"/>
      <c r="AQ1207" s="379"/>
      <c r="AR1207" s="379"/>
      <c r="AS1207" s="379"/>
      <c r="AT1207" s="379"/>
      <c r="AU1207" s="379"/>
      <c r="AV1207" s="379"/>
      <c r="AW1207" s="379"/>
      <c r="AX1207" s="379"/>
      <c r="AY1207" s="379"/>
      <c r="AZ1207" s="379"/>
      <c r="BA1207" s="379"/>
      <c r="BB1207" s="379"/>
      <c r="BC1207" s="379"/>
      <c r="BD1207" s="379"/>
      <c r="BE1207" s="379"/>
      <c r="BF1207" s="379"/>
      <c r="BG1207" s="379"/>
      <c r="BH1207" s="379"/>
      <c r="BI1207" s="379"/>
      <c r="BJ1207" s="379"/>
      <c r="BK1207" s="379"/>
      <c r="BL1207" s="379"/>
      <c r="BM1207" s="379"/>
      <c r="BN1207" s="379"/>
      <c r="BO1207" s="379"/>
      <c r="BP1207" s="379"/>
      <c r="BQ1207" s="379"/>
      <c r="BR1207" s="379"/>
      <c r="BS1207" s="379"/>
      <c r="BT1207" s="379"/>
      <c r="BU1207" s="379"/>
      <c r="BV1207" s="379"/>
      <c r="BW1207" s="379"/>
      <c r="BX1207" s="379"/>
      <c r="BY1207" s="379"/>
      <c r="BZ1207" s="379"/>
      <c r="CA1207" s="281"/>
      <c r="CB1207" s="3" t="str">
        <f t="shared" si="179"/>
        <v>Riadok bude skrytý.</v>
      </c>
      <c r="CC1207" s="271" t="s">
        <v>832</v>
      </c>
      <c r="CW1207" s="35">
        <f t="shared" si="176"/>
        <v>1</v>
      </c>
      <c r="CX1207" s="30">
        <f t="shared" si="177"/>
        <v>0</v>
      </c>
      <c r="CZ1207" s="30">
        <f t="shared" si="174"/>
        <v>1</v>
      </c>
      <c r="DA1207" s="52">
        <f t="shared" si="178"/>
        <v>0</v>
      </c>
      <c r="DB1207" s="2">
        <f t="shared" si="175"/>
        <v>0</v>
      </c>
      <c r="DS1207" s="130">
        <f>SI!BY1207</f>
        <v>105</v>
      </c>
      <c r="DZ1207" s="131">
        <f>SI!BZ1207</f>
        <v>0</v>
      </c>
    </row>
    <row r="1208" spans="1:130" hidden="1" x14ac:dyDescent="0.25">
      <c r="A1208" s="141"/>
      <c r="B1208" s="379"/>
      <c r="C1208" s="379"/>
      <c r="D1208" s="379"/>
      <c r="E1208" s="379"/>
      <c r="F1208" s="379"/>
      <c r="G1208" s="379"/>
      <c r="H1208" s="379"/>
      <c r="I1208" s="379"/>
      <c r="J1208" s="379"/>
      <c r="K1208" s="379"/>
      <c r="L1208" s="379"/>
      <c r="M1208" s="379"/>
      <c r="N1208" s="379"/>
      <c r="O1208" s="379"/>
      <c r="P1208" s="379"/>
      <c r="Q1208" s="379"/>
      <c r="R1208" s="379"/>
      <c r="S1208" s="379"/>
      <c r="T1208" s="379"/>
      <c r="U1208" s="379"/>
      <c r="V1208" s="379"/>
      <c r="W1208" s="379"/>
      <c r="X1208" s="379"/>
      <c r="Y1208" s="379"/>
      <c r="Z1208" s="379"/>
      <c r="AA1208" s="379"/>
      <c r="AB1208" s="379"/>
      <c r="AC1208" s="379"/>
      <c r="AD1208" s="379"/>
      <c r="AE1208" s="379"/>
      <c r="AF1208" s="379"/>
      <c r="AG1208" s="379"/>
      <c r="AH1208" s="379"/>
      <c r="AI1208" s="379"/>
      <c r="AJ1208" s="379"/>
      <c r="AK1208" s="379"/>
      <c r="AL1208" s="379"/>
      <c r="AM1208" s="379"/>
      <c r="AN1208" s="379"/>
      <c r="AO1208" s="379"/>
      <c r="AP1208" s="379"/>
      <c r="AQ1208" s="379"/>
      <c r="AR1208" s="379"/>
      <c r="AS1208" s="379"/>
      <c r="AT1208" s="379"/>
      <c r="AU1208" s="379"/>
      <c r="AV1208" s="379"/>
      <c r="AW1208" s="379"/>
      <c r="AX1208" s="379"/>
      <c r="AY1208" s="379"/>
      <c r="AZ1208" s="379"/>
      <c r="BA1208" s="379"/>
      <c r="BB1208" s="379"/>
      <c r="BC1208" s="379"/>
      <c r="BD1208" s="379"/>
      <c r="BE1208" s="379"/>
      <c r="BF1208" s="379"/>
      <c r="BG1208" s="379"/>
      <c r="BH1208" s="379"/>
      <c r="BI1208" s="379"/>
      <c r="BJ1208" s="379"/>
      <c r="BK1208" s="379"/>
      <c r="BL1208" s="379"/>
      <c r="BM1208" s="379"/>
      <c r="BN1208" s="379"/>
      <c r="BO1208" s="379"/>
      <c r="BP1208" s="379"/>
      <c r="BQ1208" s="379"/>
      <c r="BR1208" s="379"/>
      <c r="BS1208" s="379"/>
      <c r="BT1208" s="379"/>
      <c r="BU1208" s="379"/>
      <c r="BV1208" s="379"/>
      <c r="BW1208" s="379"/>
      <c r="BX1208" s="379"/>
      <c r="BY1208" s="379"/>
      <c r="BZ1208" s="379"/>
      <c r="CA1208" s="281"/>
      <c r="CB1208" s="3" t="str">
        <f t="shared" si="179"/>
        <v>Riadok bude skrytý.</v>
      </c>
      <c r="CC1208" s="271" t="s">
        <v>832</v>
      </c>
      <c r="CW1208" s="35">
        <f t="shared" si="176"/>
        <v>1</v>
      </c>
      <c r="CX1208" s="30">
        <f t="shared" si="177"/>
        <v>0</v>
      </c>
      <c r="CZ1208" s="30">
        <f t="shared" si="174"/>
        <v>1</v>
      </c>
      <c r="DA1208" s="52">
        <f t="shared" si="178"/>
        <v>0</v>
      </c>
      <c r="DB1208" s="2">
        <f t="shared" si="175"/>
        <v>0</v>
      </c>
      <c r="DS1208" s="130">
        <f>SI!BY1208</f>
        <v>186</v>
      </c>
      <c r="DZ1208" s="131">
        <f>SI!BZ1208</f>
        <v>0</v>
      </c>
    </row>
    <row r="1209" spans="1:130" hidden="1" x14ac:dyDescent="0.25">
      <c r="A1209" s="141"/>
      <c r="B1209" s="379"/>
      <c r="C1209" s="379"/>
      <c r="D1209" s="379"/>
      <c r="E1209" s="379"/>
      <c r="F1209" s="379"/>
      <c r="G1209" s="379"/>
      <c r="H1209" s="379"/>
      <c r="I1209" s="379"/>
      <c r="J1209" s="379"/>
      <c r="K1209" s="379"/>
      <c r="L1209" s="379"/>
      <c r="M1209" s="379"/>
      <c r="N1209" s="379"/>
      <c r="O1209" s="379"/>
      <c r="P1209" s="379"/>
      <c r="Q1209" s="379"/>
      <c r="R1209" s="379"/>
      <c r="S1209" s="379"/>
      <c r="T1209" s="379"/>
      <c r="U1209" s="379"/>
      <c r="V1209" s="379"/>
      <c r="W1209" s="379"/>
      <c r="X1209" s="379"/>
      <c r="Y1209" s="379"/>
      <c r="Z1209" s="379"/>
      <c r="AA1209" s="379"/>
      <c r="AB1209" s="379"/>
      <c r="AC1209" s="379"/>
      <c r="AD1209" s="379"/>
      <c r="AE1209" s="379"/>
      <c r="AF1209" s="379"/>
      <c r="AG1209" s="379"/>
      <c r="AH1209" s="379"/>
      <c r="AI1209" s="379"/>
      <c r="AJ1209" s="379"/>
      <c r="AK1209" s="379"/>
      <c r="AL1209" s="379"/>
      <c r="AM1209" s="379"/>
      <c r="AN1209" s="379"/>
      <c r="AO1209" s="379"/>
      <c r="AP1209" s="379"/>
      <c r="AQ1209" s="379"/>
      <c r="AR1209" s="379"/>
      <c r="AS1209" s="379"/>
      <c r="AT1209" s="379"/>
      <c r="AU1209" s="379"/>
      <c r="AV1209" s="379"/>
      <c r="AW1209" s="379"/>
      <c r="AX1209" s="379"/>
      <c r="AY1209" s="379"/>
      <c r="AZ1209" s="379"/>
      <c r="BA1209" s="379"/>
      <c r="BB1209" s="379"/>
      <c r="BC1209" s="379"/>
      <c r="BD1209" s="379"/>
      <c r="BE1209" s="379"/>
      <c r="BF1209" s="379"/>
      <c r="BG1209" s="379"/>
      <c r="BH1209" s="379"/>
      <c r="BI1209" s="379"/>
      <c r="BJ1209" s="379"/>
      <c r="BK1209" s="379"/>
      <c r="BL1209" s="379"/>
      <c r="BM1209" s="379"/>
      <c r="BN1209" s="379"/>
      <c r="BO1209" s="379"/>
      <c r="BP1209" s="379"/>
      <c r="BQ1209" s="379"/>
      <c r="BR1209" s="379"/>
      <c r="BS1209" s="379"/>
      <c r="BT1209" s="379"/>
      <c r="BU1209" s="379"/>
      <c r="BV1209" s="379"/>
      <c r="BW1209" s="379"/>
      <c r="BX1209" s="379"/>
      <c r="BY1209" s="379"/>
      <c r="BZ1209" s="379"/>
      <c r="CA1209" s="281"/>
      <c r="CB1209" s="3" t="str">
        <f t="shared" si="179"/>
        <v>Riadok bude skrytý.</v>
      </c>
      <c r="CC1209" s="271" t="s">
        <v>832</v>
      </c>
      <c r="CW1209" s="35">
        <f t="shared" si="176"/>
        <v>1</v>
      </c>
      <c r="CX1209" s="30">
        <f t="shared" si="177"/>
        <v>0</v>
      </c>
      <c r="CZ1209" s="30">
        <f t="shared" si="174"/>
        <v>1</v>
      </c>
      <c r="DA1209" s="52">
        <f t="shared" si="178"/>
        <v>0</v>
      </c>
      <c r="DB1209" s="2">
        <f t="shared" si="175"/>
        <v>0</v>
      </c>
      <c r="DS1209" s="130">
        <f>SI!BY1209</f>
        <v>112</v>
      </c>
      <c r="DZ1209" s="131">
        <f>SI!BZ1209</f>
        <v>0</v>
      </c>
    </row>
    <row r="1210" spans="1:130" hidden="1" x14ac:dyDescent="0.25">
      <c r="A1210" s="141"/>
      <c r="B1210" s="379"/>
      <c r="C1210" s="379"/>
      <c r="D1210" s="379"/>
      <c r="E1210" s="379"/>
      <c r="F1210" s="379"/>
      <c r="G1210" s="379"/>
      <c r="H1210" s="379"/>
      <c r="I1210" s="379"/>
      <c r="J1210" s="379"/>
      <c r="K1210" s="379"/>
      <c r="L1210" s="379"/>
      <c r="M1210" s="379"/>
      <c r="N1210" s="379"/>
      <c r="O1210" s="379"/>
      <c r="P1210" s="379"/>
      <c r="Q1210" s="379"/>
      <c r="R1210" s="379"/>
      <c r="S1210" s="379"/>
      <c r="T1210" s="379"/>
      <c r="U1210" s="379"/>
      <c r="V1210" s="379"/>
      <c r="W1210" s="379"/>
      <c r="X1210" s="379"/>
      <c r="Y1210" s="379"/>
      <c r="Z1210" s="379"/>
      <c r="AA1210" s="379"/>
      <c r="AB1210" s="379"/>
      <c r="AC1210" s="379"/>
      <c r="AD1210" s="379"/>
      <c r="AE1210" s="379"/>
      <c r="AF1210" s="379"/>
      <c r="AG1210" s="379"/>
      <c r="AH1210" s="379"/>
      <c r="AI1210" s="379"/>
      <c r="AJ1210" s="379"/>
      <c r="AK1210" s="379"/>
      <c r="AL1210" s="379"/>
      <c r="AM1210" s="379"/>
      <c r="AN1210" s="379"/>
      <c r="AO1210" s="379"/>
      <c r="AP1210" s="379"/>
      <c r="AQ1210" s="379"/>
      <c r="AR1210" s="379"/>
      <c r="AS1210" s="379"/>
      <c r="AT1210" s="379"/>
      <c r="AU1210" s="379"/>
      <c r="AV1210" s="379"/>
      <c r="AW1210" s="379"/>
      <c r="AX1210" s="379"/>
      <c r="AY1210" s="379"/>
      <c r="AZ1210" s="379"/>
      <c r="BA1210" s="379"/>
      <c r="BB1210" s="379"/>
      <c r="BC1210" s="379"/>
      <c r="BD1210" s="379"/>
      <c r="BE1210" s="379"/>
      <c r="BF1210" s="379"/>
      <c r="BG1210" s="379"/>
      <c r="BH1210" s="379"/>
      <c r="BI1210" s="379"/>
      <c r="BJ1210" s="379"/>
      <c r="BK1210" s="379"/>
      <c r="BL1210" s="379"/>
      <c r="BM1210" s="379"/>
      <c r="BN1210" s="379"/>
      <c r="BO1210" s="379"/>
      <c r="BP1210" s="379"/>
      <c r="BQ1210" s="379"/>
      <c r="BR1210" s="379"/>
      <c r="BS1210" s="379"/>
      <c r="BT1210" s="379"/>
      <c r="BU1210" s="379"/>
      <c r="BV1210" s="379"/>
      <c r="BW1210" s="379"/>
      <c r="BX1210" s="379"/>
      <c r="BY1210" s="379"/>
      <c r="BZ1210" s="379"/>
      <c r="CA1210" s="281"/>
      <c r="CB1210" s="3" t="str">
        <f t="shared" si="179"/>
        <v>Riadok bude skrytý.</v>
      </c>
      <c r="CC1210" s="271" t="s">
        <v>832</v>
      </c>
      <c r="CW1210" s="35">
        <f t="shared" si="176"/>
        <v>1</v>
      </c>
      <c r="CX1210" s="30">
        <f t="shared" si="177"/>
        <v>0</v>
      </c>
      <c r="CZ1210" s="30">
        <f t="shared" si="174"/>
        <v>1</v>
      </c>
      <c r="DA1210" s="52">
        <f t="shared" si="178"/>
        <v>0</v>
      </c>
      <c r="DB1210" s="2">
        <f t="shared" si="175"/>
        <v>0</v>
      </c>
      <c r="DS1210" s="130">
        <f>SI!BY1210</f>
        <v>181</v>
      </c>
      <c r="DZ1210" s="131">
        <f>SI!BZ1210</f>
        <v>0</v>
      </c>
    </row>
    <row r="1211" spans="1:130" hidden="1" x14ac:dyDescent="0.25">
      <c r="A1211" s="141"/>
      <c r="B1211" s="379"/>
      <c r="C1211" s="379"/>
      <c r="D1211" s="379"/>
      <c r="E1211" s="379"/>
      <c r="F1211" s="379"/>
      <c r="G1211" s="379"/>
      <c r="H1211" s="379"/>
      <c r="I1211" s="379"/>
      <c r="J1211" s="379"/>
      <c r="K1211" s="379"/>
      <c r="L1211" s="379"/>
      <c r="M1211" s="379"/>
      <c r="N1211" s="379"/>
      <c r="O1211" s="379"/>
      <c r="P1211" s="379"/>
      <c r="Q1211" s="379"/>
      <c r="R1211" s="379"/>
      <c r="S1211" s="379"/>
      <c r="T1211" s="379"/>
      <c r="U1211" s="379"/>
      <c r="V1211" s="379"/>
      <c r="W1211" s="379"/>
      <c r="X1211" s="379"/>
      <c r="Y1211" s="379"/>
      <c r="Z1211" s="379"/>
      <c r="AA1211" s="379"/>
      <c r="AB1211" s="379"/>
      <c r="AC1211" s="379"/>
      <c r="AD1211" s="379"/>
      <c r="AE1211" s="379"/>
      <c r="AF1211" s="379"/>
      <c r="AG1211" s="379"/>
      <c r="AH1211" s="379"/>
      <c r="AI1211" s="379"/>
      <c r="AJ1211" s="379"/>
      <c r="AK1211" s="379"/>
      <c r="AL1211" s="379"/>
      <c r="AM1211" s="379"/>
      <c r="AN1211" s="379"/>
      <c r="AO1211" s="379"/>
      <c r="AP1211" s="379"/>
      <c r="AQ1211" s="379"/>
      <c r="AR1211" s="379"/>
      <c r="AS1211" s="379"/>
      <c r="AT1211" s="379"/>
      <c r="AU1211" s="379"/>
      <c r="AV1211" s="379"/>
      <c r="AW1211" s="379"/>
      <c r="AX1211" s="379"/>
      <c r="AY1211" s="379"/>
      <c r="AZ1211" s="379"/>
      <c r="BA1211" s="379"/>
      <c r="BB1211" s="379"/>
      <c r="BC1211" s="379"/>
      <c r="BD1211" s="379"/>
      <c r="BE1211" s="379"/>
      <c r="BF1211" s="379"/>
      <c r="BG1211" s="379"/>
      <c r="BH1211" s="379"/>
      <c r="BI1211" s="379"/>
      <c r="BJ1211" s="379"/>
      <c r="BK1211" s="379"/>
      <c r="BL1211" s="379"/>
      <c r="BM1211" s="379"/>
      <c r="BN1211" s="379"/>
      <c r="BO1211" s="379"/>
      <c r="BP1211" s="379"/>
      <c r="BQ1211" s="379"/>
      <c r="BR1211" s="379"/>
      <c r="BS1211" s="379"/>
      <c r="BT1211" s="379"/>
      <c r="BU1211" s="379"/>
      <c r="BV1211" s="379"/>
      <c r="BW1211" s="379"/>
      <c r="BX1211" s="379"/>
      <c r="BY1211" s="379"/>
      <c r="BZ1211" s="379"/>
      <c r="CA1211" s="281"/>
      <c r="CB1211" s="3" t="str">
        <f t="shared" si="179"/>
        <v>Riadok bude skrytý.</v>
      </c>
      <c r="CC1211" s="271" t="s">
        <v>832</v>
      </c>
      <c r="CW1211" s="35">
        <f t="shared" si="176"/>
        <v>1</v>
      </c>
      <c r="CX1211" s="30">
        <f t="shared" si="177"/>
        <v>0</v>
      </c>
      <c r="CZ1211" s="30">
        <f t="shared" si="174"/>
        <v>1</v>
      </c>
      <c r="DA1211" s="52">
        <f t="shared" si="178"/>
        <v>0</v>
      </c>
      <c r="DB1211" s="2">
        <f t="shared" si="175"/>
        <v>0</v>
      </c>
      <c r="DS1211" s="130">
        <f>SI!BY1211</f>
        <v>1115</v>
      </c>
      <c r="DZ1211" s="131">
        <f>SI!BZ1211</f>
        <v>0</v>
      </c>
    </row>
    <row r="1212" spans="1:130" hidden="1" x14ac:dyDescent="0.25">
      <c r="A1212" s="141"/>
      <c r="B1212" s="379"/>
      <c r="C1212" s="379"/>
      <c r="D1212" s="379"/>
      <c r="E1212" s="379"/>
      <c r="F1212" s="379"/>
      <c r="G1212" s="379"/>
      <c r="H1212" s="379"/>
      <c r="I1212" s="379"/>
      <c r="J1212" s="379"/>
      <c r="K1212" s="379"/>
      <c r="L1212" s="379"/>
      <c r="M1212" s="379"/>
      <c r="N1212" s="379"/>
      <c r="O1212" s="379"/>
      <c r="P1212" s="379"/>
      <c r="Q1212" s="379"/>
      <c r="R1212" s="379"/>
      <c r="S1212" s="379"/>
      <c r="T1212" s="379"/>
      <c r="U1212" s="379"/>
      <c r="V1212" s="379"/>
      <c r="W1212" s="379"/>
      <c r="X1212" s="379"/>
      <c r="Y1212" s="379"/>
      <c r="Z1212" s="379"/>
      <c r="AA1212" s="379"/>
      <c r="AB1212" s="379"/>
      <c r="AC1212" s="379"/>
      <c r="AD1212" s="379"/>
      <c r="AE1212" s="379"/>
      <c r="AF1212" s="379"/>
      <c r="AG1212" s="379"/>
      <c r="AH1212" s="379"/>
      <c r="AI1212" s="379"/>
      <c r="AJ1212" s="379"/>
      <c r="AK1212" s="379"/>
      <c r="AL1212" s="379"/>
      <c r="AM1212" s="379"/>
      <c r="AN1212" s="379"/>
      <c r="AO1212" s="379"/>
      <c r="AP1212" s="379"/>
      <c r="AQ1212" s="379"/>
      <c r="AR1212" s="379"/>
      <c r="AS1212" s="379"/>
      <c r="AT1212" s="379"/>
      <c r="AU1212" s="379"/>
      <c r="AV1212" s="379"/>
      <c r="AW1212" s="379"/>
      <c r="AX1212" s="379"/>
      <c r="AY1212" s="379"/>
      <c r="AZ1212" s="379"/>
      <c r="BA1212" s="379"/>
      <c r="BB1212" s="379"/>
      <c r="BC1212" s="379"/>
      <c r="BD1212" s="379"/>
      <c r="BE1212" s="379"/>
      <c r="BF1212" s="379"/>
      <c r="BG1212" s="379"/>
      <c r="BH1212" s="379"/>
      <c r="BI1212" s="379"/>
      <c r="BJ1212" s="379"/>
      <c r="BK1212" s="379"/>
      <c r="BL1212" s="379"/>
      <c r="BM1212" s="379"/>
      <c r="BN1212" s="379"/>
      <c r="BO1212" s="379"/>
      <c r="BP1212" s="379"/>
      <c r="BQ1212" s="379"/>
      <c r="BR1212" s="379"/>
      <c r="BS1212" s="379"/>
      <c r="BT1212" s="379"/>
      <c r="BU1212" s="379"/>
      <c r="BV1212" s="379"/>
      <c r="BW1212" s="379"/>
      <c r="BX1212" s="379"/>
      <c r="BY1212" s="379"/>
      <c r="BZ1212" s="379"/>
      <c r="CA1212" s="281"/>
      <c r="CB1212" s="3" t="str">
        <f t="shared" si="179"/>
        <v>Riadok bude skrytý.</v>
      </c>
      <c r="CC1212" s="271" t="s">
        <v>832</v>
      </c>
      <c r="CW1212" s="35">
        <f t="shared" si="176"/>
        <v>1</v>
      </c>
      <c r="CX1212" s="30">
        <f t="shared" si="177"/>
        <v>0</v>
      </c>
      <c r="CZ1212" s="30">
        <f t="shared" si="174"/>
        <v>1</v>
      </c>
      <c r="DA1212" s="52">
        <f t="shared" si="178"/>
        <v>0</v>
      </c>
      <c r="DB1212" s="2">
        <f t="shared" si="175"/>
        <v>0</v>
      </c>
      <c r="DS1212" s="130">
        <f>SI!BY1212</f>
        <v>182</v>
      </c>
      <c r="DZ1212" s="131">
        <f>SI!BZ1212</f>
        <v>0</v>
      </c>
    </row>
    <row r="1213" spans="1:130" hidden="1" x14ac:dyDescent="0.25">
      <c r="A1213" s="141"/>
      <c r="B1213" s="379"/>
      <c r="C1213" s="379"/>
      <c r="D1213" s="379"/>
      <c r="E1213" s="379"/>
      <c r="F1213" s="379"/>
      <c r="G1213" s="379"/>
      <c r="H1213" s="379"/>
      <c r="I1213" s="379"/>
      <c r="J1213" s="379"/>
      <c r="K1213" s="379"/>
      <c r="L1213" s="379"/>
      <c r="M1213" s="379"/>
      <c r="N1213" s="379"/>
      <c r="O1213" s="379"/>
      <c r="P1213" s="379"/>
      <c r="Q1213" s="379"/>
      <c r="R1213" s="379"/>
      <c r="S1213" s="379"/>
      <c r="T1213" s="379"/>
      <c r="U1213" s="379"/>
      <c r="V1213" s="379"/>
      <c r="W1213" s="379"/>
      <c r="X1213" s="379"/>
      <c r="Y1213" s="379"/>
      <c r="Z1213" s="379"/>
      <c r="AA1213" s="379"/>
      <c r="AB1213" s="379"/>
      <c r="AC1213" s="379"/>
      <c r="AD1213" s="379"/>
      <c r="AE1213" s="379"/>
      <c r="AF1213" s="379"/>
      <c r="AG1213" s="379"/>
      <c r="AH1213" s="379"/>
      <c r="AI1213" s="379"/>
      <c r="AJ1213" s="379"/>
      <c r="AK1213" s="379"/>
      <c r="AL1213" s="379"/>
      <c r="AM1213" s="379"/>
      <c r="AN1213" s="379"/>
      <c r="AO1213" s="379"/>
      <c r="AP1213" s="379"/>
      <c r="AQ1213" s="379"/>
      <c r="AR1213" s="379"/>
      <c r="AS1213" s="379"/>
      <c r="AT1213" s="379"/>
      <c r="AU1213" s="379"/>
      <c r="AV1213" s="379"/>
      <c r="AW1213" s="379"/>
      <c r="AX1213" s="379"/>
      <c r="AY1213" s="379"/>
      <c r="AZ1213" s="379"/>
      <c r="BA1213" s="379"/>
      <c r="BB1213" s="379"/>
      <c r="BC1213" s="379"/>
      <c r="BD1213" s="379"/>
      <c r="BE1213" s="379"/>
      <c r="BF1213" s="379"/>
      <c r="BG1213" s="379"/>
      <c r="BH1213" s="379"/>
      <c r="BI1213" s="379"/>
      <c r="BJ1213" s="379"/>
      <c r="BK1213" s="379"/>
      <c r="BL1213" s="379"/>
      <c r="BM1213" s="379"/>
      <c r="BN1213" s="379"/>
      <c r="BO1213" s="379"/>
      <c r="BP1213" s="379"/>
      <c r="BQ1213" s="379"/>
      <c r="BR1213" s="379"/>
      <c r="BS1213" s="379"/>
      <c r="BT1213" s="379"/>
      <c r="BU1213" s="379"/>
      <c r="BV1213" s="379"/>
      <c r="BW1213" s="379"/>
      <c r="BX1213" s="379"/>
      <c r="BY1213" s="379"/>
      <c r="BZ1213" s="379"/>
      <c r="CA1213" s="281"/>
      <c r="CB1213" s="3" t="str">
        <f t="shared" si="179"/>
        <v>Riadok bude skrytý.</v>
      </c>
      <c r="CC1213" s="271" t="s">
        <v>832</v>
      </c>
      <c r="CW1213" s="35">
        <f t="shared" si="176"/>
        <v>1</v>
      </c>
      <c r="CX1213" s="30">
        <f t="shared" si="177"/>
        <v>0</v>
      </c>
      <c r="CZ1213" s="30">
        <f t="shared" si="174"/>
        <v>1</v>
      </c>
      <c r="DA1213" s="52">
        <f t="shared" si="178"/>
        <v>0</v>
      </c>
      <c r="DB1213" s="2">
        <f t="shared" si="175"/>
        <v>0</v>
      </c>
      <c r="DS1213" s="130">
        <f>SI!BY1213</f>
        <v>795</v>
      </c>
      <c r="DZ1213" s="131">
        <f>SI!BZ1213</f>
        <v>0</v>
      </c>
    </row>
    <row r="1214" spans="1:130" hidden="1" x14ac:dyDescent="0.25">
      <c r="A1214" s="141"/>
      <c r="B1214" s="379"/>
      <c r="C1214" s="379"/>
      <c r="D1214" s="379"/>
      <c r="E1214" s="379"/>
      <c r="F1214" s="379"/>
      <c r="G1214" s="379"/>
      <c r="H1214" s="379"/>
      <c r="I1214" s="379"/>
      <c r="J1214" s="379"/>
      <c r="K1214" s="379"/>
      <c r="L1214" s="379"/>
      <c r="M1214" s="379"/>
      <c r="N1214" s="379"/>
      <c r="O1214" s="379"/>
      <c r="P1214" s="379"/>
      <c r="Q1214" s="379"/>
      <c r="R1214" s="379"/>
      <c r="S1214" s="379"/>
      <c r="T1214" s="379"/>
      <c r="U1214" s="379"/>
      <c r="V1214" s="379"/>
      <c r="W1214" s="379"/>
      <c r="X1214" s="379"/>
      <c r="Y1214" s="379"/>
      <c r="Z1214" s="379"/>
      <c r="AA1214" s="379"/>
      <c r="AB1214" s="379"/>
      <c r="AC1214" s="379"/>
      <c r="AD1214" s="379"/>
      <c r="AE1214" s="379"/>
      <c r="AF1214" s="379"/>
      <c r="AG1214" s="379"/>
      <c r="AH1214" s="379"/>
      <c r="AI1214" s="379"/>
      <c r="AJ1214" s="379"/>
      <c r="AK1214" s="379"/>
      <c r="AL1214" s="379"/>
      <c r="AM1214" s="379"/>
      <c r="AN1214" s="379"/>
      <c r="AO1214" s="379"/>
      <c r="AP1214" s="379"/>
      <c r="AQ1214" s="379"/>
      <c r="AR1214" s="379"/>
      <c r="AS1214" s="379"/>
      <c r="AT1214" s="379"/>
      <c r="AU1214" s="379"/>
      <c r="AV1214" s="379"/>
      <c r="AW1214" s="379"/>
      <c r="AX1214" s="379"/>
      <c r="AY1214" s="379"/>
      <c r="AZ1214" s="379"/>
      <c r="BA1214" s="379"/>
      <c r="BB1214" s="379"/>
      <c r="BC1214" s="379"/>
      <c r="BD1214" s="379"/>
      <c r="BE1214" s="379"/>
      <c r="BF1214" s="379"/>
      <c r="BG1214" s="379"/>
      <c r="BH1214" s="379"/>
      <c r="BI1214" s="379"/>
      <c r="BJ1214" s="379"/>
      <c r="BK1214" s="379"/>
      <c r="BL1214" s="379"/>
      <c r="BM1214" s="379"/>
      <c r="BN1214" s="379"/>
      <c r="BO1214" s="379"/>
      <c r="BP1214" s="379"/>
      <c r="BQ1214" s="379"/>
      <c r="BR1214" s="379"/>
      <c r="BS1214" s="379"/>
      <c r="BT1214" s="379"/>
      <c r="BU1214" s="379"/>
      <c r="BV1214" s="379"/>
      <c r="BW1214" s="379"/>
      <c r="BX1214" s="379"/>
      <c r="BY1214" s="379"/>
      <c r="BZ1214" s="379"/>
      <c r="CA1214" s="281"/>
      <c r="CB1214" s="3" t="str">
        <f t="shared" si="179"/>
        <v>Riadok bude skrytý.</v>
      </c>
      <c r="CC1214" s="271" t="s">
        <v>832</v>
      </c>
      <c r="CW1214" s="35">
        <f t="shared" si="176"/>
        <v>1</v>
      </c>
      <c r="CX1214" s="30">
        <f t="shared" si="177"/>
        <v>0</v>
      </c>
      <c r="CZ1214" s="30">
        <f t="shared" si="174"/>
        <v>1</v>
      </c>
      <c r="DA1214" s="52">
        <f t="shared" si="178"/>
        <v>0</v>
      </c>
      <c r="DB1214" s="2">
        <f t="shared" si="175"/>
        <v>0</v>
      </c>
      <c r="DS1214" s="130">
        <f>SI!BY1214</f>
        <v>193</v>
      </c>
      <c r="DZ1214" s="131">
        <f>SI!BZ1214</f>
        <v>0</v>
      </c>
    </row>
    <row r="1215" spans="1:130" hidden="1" x14ac:dyDescent="0.25">
      <c r="A1215" s="141"/>
      <c r="CA1215" s="270"/>
      <c r="CB1215" s="3" t="str">
        <f t="shared" si="179"/>
        <v>Riadok bude skrytý.</v>
      </c>
      <c r="CC1215" s="271" t="s">
        <v>832</v>
      </c>
      <c r="CW1215" s="30">
        <f t="shared" si="176"/>
        <v>1</v>
      </c>
      <c r="CX1215" s="45"/>
      <c r="CZ1215" s="30">
        <f t="shared" si="174"/>
        <v>1</v>
      </c>
      <c r="DA1215" s="30">
        <f t="shared" si="172"/>
        <v>1</v>
      </c>
      <c r="DB1215" s="2">
        <f t="shared" si="175"/>
        <v>0</v>
      </c>
      <c r="DS1215" s="130">
        <f>SI!BY1215</f>
        <v>462</v>
      </c>
      <c r="DZ1215" s="131">
        <f>SI!BZ1215</f>
        <v>0</v>
      </c>
    </row>
    <row r="1216" spans="1:130" ht="14.95" hidden="1" customHeight="1" x14ac:dyDescent="0.25">
      <c r="A1216" s="141"/>
      <c r="B1216" s="1065" t="s">
        <v>127</v>
      </c>
      <c r="C1216" s="1066"/>
      <c r="D1216" s="1066"/>
      <c r="E1216" s="1066"/>
      <c r="F1216" s="1066"/>
      <c r="G1216" s="1066"/>
      <c r="H1216" s="1066"/>
      <c r="I1216" s="1066"/>
      <c r="J1216" s="1066"/>
      <c r="K1216" s="1066"/>
      <c r="L1216" s="1066"/>
      <c r="M1216" s="1066"/>
      <c r="N1216" s="1066"/>
      <c r="O1216" s="1066"/>
      <c r="P1216" s="1067"/>
      <c r="Q1216" s="1740">
        <f>+AJ141</f>
        <v>2021</v>
      </c>
      <c r="R1216" s="1741"/>
      <c r="S1216" s="1741"/>
      <c r="T1216" s="1741"/>
      <c r="U1216" s="1741"/>
      <c r="V1216" s="1741"/>
      <c r="W1216" s="1741"/>
      <c r="X1216" s="1741"/>
      <c r="Y1216" s="1741"/>
      <c r="Z1216" s="1741"/>
      <c r="AA1216" s="1741"/>
      <c r="AB1216" s="1741"/>
      <c r="AC1216" s="1741"/>
      <c r="AD1216" s="1741"/>
      <c r="AE1216" s="1741"/>
      <c r="AF1216" s="1741"/>
      <c r="AG1216" s="1741"/>
      <c r="AH1216" s="1741"/>
      <c r="AI1216" s="1741"/>
      <c r="AJ1216" s="1741"/>
      <c r="AK1216" s="1741"/>
      <c r="AL1216" s="1741"/>
      <c r="AM1216" s="1741"/>
      <c r="AN1216" s="1741"/>
      <c r="AO1216" s="1741"/>
      <c r="AP1216" s="1741"/>
      <c r="AQ1216" s="1741"/>
      <c r="AR1216" s="1741"/>
      <c r="AS1216" s="1741"/>
      <c r="AT1216" s="1741"/>
      <c r="AU1216" s="1741"/>
      <c r="AV1216" s="1741"/>
      <c r="AW1216" s="1741"/>
      <c r="AX1216" s="1741"/>
      <c r="AY1216" s="1741"/>
      <c r="AZ1216" s="1741"/>
      <c r="BA1216" s="1741"/>
      <c r="BB1216" s="1741"/>
      <c r="BC1216" s="1741"/>
      <c r="BD1216" s="1741"/>
      <c r="BE1216" s="1741"/>
      <c r="BF1216" s="1741"/>
      <c r="BG1216" s="1741"/>
      <c r="BH1216" s="1741"/>
      <c r="BI1216" s="1741"/>
      <c r="BJ1216" s="1741"/>
      <c r="BK1216" s="1741"/>
      <c r="BL1216" s="1741"/>
      <c r="BM1216" s="1741"/>
      <c r="BN1216" s="1741"/>
      <c r="BO1216" s="1741"/>
      <c r="BP1216" s="1741"/>
      <c r="BQ1216" s="1741"/>
      <c r="BR1216" s="1741"/>
      <c r="BS1216" s="1741"/>
      <c r="BT1216" s="1741"/>
      <c r="BU1216" s="1741"/>
      <c r="BV1216" s="1741"/>
      <c r="BW1216" s="1741"/>
      <c r="BX1216" s="1741"/>
      <c r="BY1216" s="1741"/>
      <c r="BZ1216" s="1742"/>
      <c r="CA1216" s="265" t="s">
        <v>773</v>
      </c>
      <c r="CB1216" s="3" t="str">
        <f t="shared" si="179"/>
        <v>Riadok bude skrytý.</v>
      </c>
      <c r="CC1216" s="271" t="s">
        <v>832</v>
      </c>
      <c r="CD1216" s="4"/>
      <c r="CW1216" s="30">
        <f t="shared" si="176"/>
        <v>1</v>
      </c>
      <c r="CZ1216" s="30">
        <f t="shared" si="174"/>
        <v>1</v>
      </c>
      <c r="DA1216" s="30">
        <f t="shared" si="172"/>
        <v>1</v>
      </c>
      <c r="DB1216" s="2">
        <f t="shared" si="175"/>
        <v>0</v>
      </c>
      <c r="DS1216" s="130">
        <f>SI!BY1216</f>
        <v>191</v>
      </c>
      <c r="DZ1216" s="131">
        <f>SI!BZ1216</f>
        <v>0</v>
      </c>
    </row>
    <row r="1217" spans="1:130" ht="29.25" hidden="1" customHeight="1" x14ac:dyDescent="0.25">
      <c r="A1217" s="141"/>
      <c r="B1217" s="1693"/>
      <c r="C1217" s="1694"/>
      <c r="D1217" s="1694"/>
      <c r="E1217" s="1694"/>
      <c r="F1217" s="1694"/>
      <c r="G1217" s="1694"/>
      <c r="H1217" s="1694"/>
      <c r="I1217" s="1694"/>
      <c r="J1217" s="1694"/>
      <c r="K1217" s="1694"/>
      <c r="L1217" s="1694"/>
      <c r="M1217" s="1694"/>
      <c r="N1217" s="1694"/>
      <c r="O1217" s="1694"/>
      <c r="P1217" s="1752"/>
      <c r="Q1217" s="724" t="s">
        <v>128</v>
      </c>
      <c r="R1217" s="725"/>
      <c r="S1217" s="725"/>
      <c r="T1217" s="725"/>
      <c r="U1217" s="725"/>
      <c r="V1217" s="726"/>
      <c r="W1217" s="724" t="s">
        <v>766</v>
      </c>
      <c r="X1217" s="725"/>
      <c r="Y1217" s="725"/>
      <c r="Z1217" s="725"/>
      <c r="AA1217" s="725"/>
      <c r="AB1217" s="725"/>
      <c r="AC1217" s="726"/>
      <c r="AD1217" s="724" t="s">
        <v>129</v>
      </c>
      <c r="AE1217" s="725"/>
      <c r="AF1217" s="725"/>
      <c r="AG1217" s="725"/>
      <c r="AH1217" s="725"/>
      <c r="AI1217" s="725"/>
      <c r="AJ1217" s="725"/>
      <c r="AK1217" s="726"/>
      <c r="AL1217" s="724" t="s">
        <v>130</v>
      </c>
      <c r="AM1217" s="725"/>
      <c r="AN1217" s="725"/>
      <c r="AO1217" s="725"/>
      <c r="AP1217" s="725"/>
      <c r="AQ1217" s="725"/>
      <c r="AR1217" s="725"/>
      <c r="AS1217" s="726"/>
      <c r="AT1217" s="724" t="s">
        <v>876</v>
      </c>
      <c r="AU1217" s="725"/>
      <c r="AV1217" s="725"/>
      <c r="AW1217" s="725"/>
      <c r="AX1217" s="725"/>
      <c r="AY1217" s="1744"/>
      <c r="AZ1217" s="1743" t="s">
        <v>131</v>
      </c>
      <c r="BA1217" s="725"/>
      <c r="BB1217" s="725"/>
      <c r="BC1217" s="725"/>
      <c r="BD1217" s="725"/>
      <c r="BE1217" s="1744"/>
      <c r="BF1217" s="1743" t="s">
        <v>132</v>
      </c>
      <c r="BG1217" s="725"/>
      <c r="BH1217" s="725"/>
      <c r="BI1217" s="725"/>
      <c r="BJ1217" s="725"/>
      <c r="BK1217" s="1744"/>
      <c r="BL1217" s="1743" t="s">
        <v>767</v>
      </c>
      <c r="BM1217" s="725"/>
      <c r="BN1217" s="725"/>
      <c r="BO1217" s="725"/>
      <c r="BP1217" s="725"/>
      <c r="BQ1217" s="725"/>
      <c r="BR1217" s="1744"/>
      <c r="BS1217" s="1743" t="s">
        <v>45</v>
      </c>
      <c r="BT1217" s="725"/>
      <c r="BU1217" s="725"/>
      <c r="BV1217" s="725"/>
      <c r="BW1217" s="725"/>
      <c r="BX1217" s="725"/>
      <c r="BY1217" s="725"/>
      <c r="BZ1217" s="1744"/>
      <c r="CA1217" s="270"/>
      <c r="CB1217" s="3" t="str">
        <f t="shared" si="179"/>
        <v>Riadok bude skrytý.</v>
      </c>
      <c r="CC1217" s="271" t="s">
        <v>832</v>
      </c>
      <c r="CW1217" s="30">
        <f t="shared" si="176"/>
        <v>1</v>
      </c>
      <c r="CZ1217" s="30">
        <f t="shared" si="174"/>
        <v>1</v>
      </c>
      <c r="DA1217" s="30">
        <f t="shared" si="172"/>
        <v>1</v>
      </c>
      <c r="DB1217" s="2">
        <f t="shared" si="175"/>
        <v>0</v>
      </c>
      <c r="DS1217" s="130">
        <f>SI!BY1217</f>
        <v>484</v>
      </c>
      <c r="DZ1217" s="131">
        <f>SI!BZ1217</f>
        <v>0</v>
      </c>
    </row>
    <row r="1218" spans="1:130" ht="29.25" hidden="1" customHeight="1" x14ac:dyDescent="0.25">
      <c r="A1218" s="141"/>
      <c r="B1218" s="1693"/>
      <c r="C1218" s="1694"/>
      <c r="D1218" s="1694"/>
      <c r="E1218" s="1694"/>
      <c r="F1218" s="1694"/>
      <c r="G1218" s="1694"/>
      <c r="H1218" s="1694"/>
      <c r="I1218" s="1694"/>
      <c r="J1218" s="1694"/>
      <c r="K1218" s="1694"/>
      <c r="L1218" s="1694"/>
      <c r="M1218" s="1694"/>
      <c r="N1218" s="1694"/>
      <c r="O1218" s="1694"/>
      <c r="P1218" s="1752"/>
      <c r="Q1218" s="727"/>
      <c r="R1218" s="728"/>
      <c r="S1218" s="728"/>
      <c r="T1218" s="728"/>
      <c r="U1218" s="728"/>
      <c r="V1218" s="729"/>
      <c r="W1218" s="727"/>
      <c r="X1218" s="728"/>
      <c r="Y1218" s="728"/>
      <c r="Z1218" s="728"/>
      <c r="AA1218" s="728"/>
      <c r="AB1218" s="728"/>
      <c r="AC1218" s="729"/>
      <c r="AD1218" s="727"/>
      <c r="AE1218" s="728"/>
      <c r="AF1218" s="728"/>
      <c r="AG1218" s="728"/>
      <c r="AH1218" s="728"/>
      <c r="AI1218" s="728"/>
      <c r="AJ1218" s="728"/>
      <c r="AK1218" s="729"/>
      <c r="AL1218" s="727"/>
      <c r="AM1218" s="728"/>
      <c r="AN1218" s="728"/>
      <c r="AO1218" s="728"/>
      <c r="AP1218" s="728"/>
      <c r="AQ1218" s="728"/>
      <c r="AR1218" s="728"/>
      <c r="AS1218" s="729"/>
      <c r="AT1218" s="727"/>
      <c r="AU1218" s="728"/>
      <c r="AV1218" s="728"/>
      <c r="AW1218" s="728"/>
      <c r="AX1218" s="728"/>
      <c r="AY1218" s="1746"/>
      <c r="AZ1218" s="1745"/>
      <c r="BA1218" s="728"/>
      <c r="BB1218" s="728"/>
      <c r="BC1218" s="728"/>
      <c r="BD1218" s="728"/>
      <c r="BE1218" s="1746"/>
      <c r="BF1218" s="1745"/>
      <c r="BG1218" s="728"/>
      <c r="BH1218" s="728"/>
      <c r="BI1218" s="728"/>
      <c r="BJ1218" s="728"/>
      <c r="BK1218" s="1746"/>
      <c r="BL1218" s="1745"/>
      <c r="BM1218" s="728"/>
      <c r="BN1218" s="728"/>
      <c r="BO1218" s="728"/>
      <c r="BP1218" s="728"/>
      <c r="BQ1218" s="728"/>
      <c r="BR1218" s="1746"/>
      <c r="BS1218" s="1745"/>
      <c r="BT1218" s="728"/>
      <c r="BU1218" s="728"/>
      <c r="BV1218" s="728"/>
      <c r="BW1218" s="728"/>
      <c r="BX1218" s="728"/>
      <c r="BY1218" s="728"/>
      <c r="BZ1218" s="1746"/>
      <c r="CA1218" s="270"/>
      <c r="CB1218" s="3" t="str">
        <f t="shared" si="179"/>
        <v>Riadok bude skrytý.</v>
      </c>
      <c r="CC1218" s="271" t="s">
        <v>832</v>
      </c>
      <c r="CW1218" s="30">
        <f t="shared" si="176"/>
        <v>1</v>
      </c>
      <c r="CZ1218" s="30">
        <f t="shared" si="174"/>
        <v>1</v>
      </c>
      <c r="DA1218" s="30">
        <f t="shared" si="172"/>
        <v>1</v>
      </c>
      <c r="DB1218" s="2">
        <f t="shared" si="175"/>
        <v>0</v>
      </c>
      <c r="DS1218" s="130">
        <f>SI!BY1218</f>
        <v>106</v>
      </c>
      <c r="DZ1218" s="131">
        <f>SI!BZ1218</f>
        <v>0</v>
      </c>
    </row>
    <row r="1219" spans="1:130" hidden="1" x14ac:dyDescent="0.25">
      <c r="A1219" s="141"/>
      <c r="B1219" s="1738" t="s">
        <v>0</v>
      </c>
      <c r="C1219" s="1739"/>
      <c r="D1219" s="1739"/>
      <c r="E1219" s="1739"/>
      <c r="F1219" s="1739"/>
      <c r="G1219" s="1739"/>
      <c r="H1219" s="1739"/>
      <c r="I1219" s="1739"/>
      <c r="J1219" s="1739"/>
      <c r="K1219" s="1739"/>
      <c r="L1219" s="1739"/>
      <c r="M1219" s="1739"/>
      <c r="N1219" s="1739"/>
      <c r="O1219" s="1739"/>
      <c r="P1219" s="1329"/>
      <c r="Q1219" s="1738" t="s">
        <v>1</v>
      </c>
      <c r="R1219" s="1739"/>
      <c r="S1219" s="1739"/>
      <c r="T1219" s="1739"/>
      <c r="U1219" s="1739"/>
      <c r="V1219" s="1329"/>
      <c r="W1219" s="1738" t="s">
        <v>2</v>
      </c>
      <c r="X1219" s="1739"/>
      <c r="Y1219" s="1739"/>
      <c r="Z1219" s="1739"/>
      <c r="AA1219" s="1739"/>
      <c r="AB1219" s="1739"/>
      <c r="AC1219" s="1329"/>
      <c r="AD1219" s="1738" t="s">
        <v>28</v>
      </c>
      <c r="AE1219" s="1739"/>
      <c r="AF1219" s="1739"/>
      <c r="AG1219" s="1739"/>
      <c r="AH1219" s="1739"/>
      <c r="AI1219" s="1739"/>
      <c r="AJ1219" s="1739"/>
      <c r="AK1219" s="1329"/>
      <c r="AL1219" s="1738" t="s">
        <v>29</v>
      </c>
      <c r="AM1219" s="1739"/>
      <c r="AN1219" s="1739"/>
      <c r="AO1219" s="1739"/>
      <c r="AP1219" s="1739"/>
      <c r="AQ1219" s="1739"/>
      <c r="AR1219" s="1739"/>
      <c r="AS1219" s="1329"/>
      <c r="AT1219" s="1738" t="s">
        <v>103</v>
      </c>
      <c r="AU1219" s="1739"/>
      <c r="AV1219" s="1739"/>
      <c r="AW1219" s="1739"/>
      <c r="AX1219" s="1739"/>
      <c r="AY1219" s="1747"/>
      <c r="AZ1219" s="1326" t="s">
        <v>104</v>
      </c>
      <c r="BA1219" s="1739"/>
      <c r="BB1219" s="1739"/>
      <c r="BC1219" s="1739"/>
      <c r="BD1219" s="1739"/>
      <c r="BE1219" s="1747"/>
      <c r="BF1219" s="1326" t="s">
        <v>105</v>
      </c>
      <c r="BG1219" s="1739"/>
      <c r="BH1219" s="1739"/>
      <c r="BI1219" s="1739"/>
      <c r="BJ1219" s="1739"/>
      <c r="BK1219" s="1747"/>
      <c r="BL1219" s="1326" t="s">
        <v>27</v>
      </c>
      <c r="BM1219" s="1739"/>
      <c r="BN1219" s="1739"/>
      <c r="BO1219" s="1739"/>
      <c r="BP1219" s="1739"/>
      <c r="BQ1219" s="1739"/>
      <c r="BR1219" s="1747"/>
      <c r="BS1219" s="1326" t="s">
        <v>120</v>
      </c>
      <c r="BT1219" s="1739"/>
      <c r="BU1219" s="1739"/>
      <c r="BV1219" s="1739"/>
      <c r="BW1219" s="1739"/>
      <c r="BX1219" s="1739"/>
      <c r="BY1219" s="1739"/>
      <c r="BZ1219" s="1747"/>
      <c r="CA1219" s="270"/>
      <c r="CB1219" s="3" t="str">
        <f t="shared" si="179"/>
        <v>Riadok bude skrytý.</v>
      </c>
      <c r="CC1219" s="271" t="s">
        <v>832</v>
      </c>
      <c r="CW1219" s="30">
        <f t="shared" si="176"/>
        <v>1</v>
      </c>
      <c r="CZ1219" s="30">
        <f t="shared" si="174"/>
        <v>1</v>
      </c>
      <c r="DA1219" s="30">
        <f t="shared" si="172"/>
        <v>1</v>
      </c>
      <c r="DB1219" s="2">
        <f t="shared" si="175"/>
        <v>0</v>
      </c>
      <c r="DS1219" s="130">
        <f>SI!BY1219</f>
        <v>167</v>
      </c>
      <c r="DZ1219" s="131">
        <f>SI!BZ1219</f>
        <v>0</v>
      </c>
    </row>
    <row r="1220" spans="1:130" hidden="1" x14ac:dyDescent="0.25">
      <c r="A1220" s="141"/>
      <c r="B1220" s="819" t="s">
        <v>111</v>
      </c>
      <c r="C1220" s="820"/>
      <c r="D1220" s="820"/>
      <c r="E1220" s="820"/>
      <c r="F1220" s="820"/>
      <c r="G1220" s="820"/>
      <c r="H1220" s="820"/>
      <c r="I1220" s="820"/>
      <c r="J1220" s="820"/>
      <c r="K1220" s="820"/>
      <c r="L1220" s="820"/>
      <c r="M1220" s="820"/>
      <c r="N1220" s="820"/>
      <c r="O1220" s="820"/>
      <c r="P1220" s="820"/>
      <c r="Q1220" s="1770"/>
      <c r="R1220" s="1770"/>
      <c r="S1220" s="1770"/>
      <c r="T1220" s="1770"/>
      <c r="U1220" s="1770"/>
      <c r="V1220" s="1770"/>
      <c r="W1220" s="1770"/>
      <c r="X1220" s="1770"/>
      <c r="Y1220" s="1770"/>
      <c r="Z1220" s="1770"/>
      <c r="AA1220" s="1770"/>
      <c r="AB1220" s="1770"/>
      <c r="AC1220" s="1770"/>
      <c r="AD1220" s="1770"/>
      <c r="AE1220" s="1770"/>
      <c r="AF1220" s="1770"/>
      <c r="AG1220" s="1770"/>
      <c r="AH1220" s="1770"/>
      <c r="AI1220" s="1770"/>
      <c r="AJ1220" s="1770"/>
      <c r="AK1220" s="1770"/>
      <c r="AL1220" s="1770"/>
      <c r="AM1220" s="1770"/>
      <c r="AN1220" s="1770"/>
      <c r="AO1220" s="1770"/>
      <c r="AP1220" s="1770"/>
      <c r="AQ1220" s="1770"/>
      <c r="AR1220" s="1770"/>
      <c r="AS1220" s="1770"/>
      <c r="AT1220" s="1770"/>
      <c r="AU1220" s="1770"/>
      <c r="AV1220" s="1770"/>
      <c r="AW1220" s="1770"/>
      <c r="AX1220" s="1770"/>
      <c r="AY1220" s="1770"/>
      <c r="AZ1220" s="1770"/>
      <c r="BA1220" s="1770"/>
      <c r="BB1220" s="1770"/>
      <c r="BC1220" s="1770"/>
      <c r="BD1220" s="1770"/>
      <c r="BE1220" s="1770"/>
      <c r="BF1220" s="1770"/>
      <c r="BG1220" s="1770"/>
      <c r="BH1220" s="1770"/>
      <c r="BI1220" s="1770"/>
      <c r="BJ1220" s="1770"/>
      <c r="BK1220" s="1770"/>
      <c r="BL1220" s="1770"/>
      <c r="BM1220" s="1770"/>
      <c r="BN1220" s="1770"/>
      <c r="BO1220" s="1770"/>
      <c r="BP1220" s="1770"/>
      <c r="BQ1220" s="1770"/>
      <c r="BR1220" s="1770"/>
      <c r="BS1220" s="1770"/>
      <c r="BT1220" s="1770"/>
      <c r="BU1220" s="1770"/>
      <c r="BV1220" s="1770"/>
      <c r="BW1220" s="1770"/>
      <c r="BX1220" s="1770"/>
      <c r="BY1220" s="1770"/>
      <c r="BZ1220" s="1771"/>
      <c r="CA1220" s="270"/>
      <c r="CB1220" s="3" t="str">
        <f t="shared" si="179"/>
        <v>Riadok bude skrytý.</v>
      </c>
      <c r="CC1220" s="271" t="s">
        <v>832</v>
      </c>
      <c r="CW1220" s="30">
        <f t="shared" si="176"/>
        <v>1</v>
      </c>
      <c r="CZ1220" s="30">
        <f t="shared" si="174"/>
        <v>1</v>
      </c>
      <c r="DA1220" s="30">
        <f t="shared" si="172"/>
        <v>1</v>
      </c>
      <c r="DB1220" s="2">
        <f t="shared" si="175"/>
        <v>0</v>
      </c>
      <c r="DS1220" s="130">
        <f>SI!BY1220</f>
        <v>188</v>
      </c>
      <c r="DZ1220" s="131">
        <f>SI!BZ1220</f>
        <v>0</v>
      </c>
    </row>
    <row r="1221" spans="1:130" hidden="1" x14ac:dyDescent="0.25">
      <c r="A1221" s="141"/>
      <c r="B1221" s="734" t="s">
        <v>118</v>
      </c>
      <c r="C1221" s="735"/>
      <c r="D1221" s="735"/>
      <c r="E1221" s="735"/>
      <c r="F1221" s="735"/>
      <c r="G1221" s="735"/>
      <c r="H1221" s="735"/>
      <c r="I1221" s="735"/>
      <c r="J1221" s="735"/>
      <c r="K1221" s="735"/>
      <c r="L1221" s="735"/>
      <c r="M1221" s="735"/>
      <c r="N1221" s="735"/>
      <c r="O1221" s="735"/>
      <c r="P1221" s="735"/>
      <c r="Q1221" s="751"/>
      <c r="R1221" s="752"/>
      <c r="S1221" s="752"/>
      <c r="T1221" s="752"/>
      <c r="U1221" s="752"/>
      <c r="V1221" s="752"/>
      <c r="W1221" s="751"/>
      <c r="X1221" s="752"/>
      <c r="Y1221" s="752"/>
      <c r="Z1221" s="752"/>
      <c r="AA1221" s="752"/>
      <c r="AB1221" s="752"/>
      <c r="AC1221" s="753"/>
      <c r="AD1221" s="752"/>
      <c r="AE1221" s="752"/>
      <c r="AF1221" s="752"/>
      <c r="AG1221" s="752"/>
      <c r="AH1221" s="752"/>
      <c r="AI1221" s="752"/>
      <c r="AJ1221" s="752"/>
      <c r="AK1221" s="752"/>
      <c r="AL1221" s="751"/>
      <c r="AM1221" s="752"/>
      <c r="AN1221" s="752"/>
      <c r="AO1221" s="752"/>
      <c r="AP1221" s="752"/>
      <c r="AQ1221" s="752"/>
      <c r="AR1221" s="752"/>
      <c r="AS1221" s="753"/>
      <c r="AT1221" s="752"/>
      <c r="AU1221" s="752"/>
      <c r="AV1221" s="752"/>
      <c r="AW1221" s="752"/>
      <c r="AX1221" s="752"/>
      <c r="AY1221" s="752"/>
      <c r="AZ1221" s="751"/>
      <c r="BA1221" s="752"/>
      <c r="BB1221" s="752"/>
      <c r="BC1221" s="752"/>
      <c r="BD1221" s="752"/>
      <c r="BE1221" s="753"/>
      <c r="BF1221" s="752"/>
      <c r="BG1221" s="752"/>
      <c r="BH1221" s="752"/>
      <c r="BI1221" s="752"/>
      <c r="BJ1221" s="752"/>
      <c r="BK1221" s="752"/>
      <c r="BL1221" s="751"/>
      <c r="BM1221" s="752"/>
      <c r="BN1221" s="752"/>
      <c r="BO1221" s="752"/>
      <c r="BP1221" s="752"/>
      <c r="BQ1221" s="752"/>
      <c r="BR1221" s="753"/>
      <c r="BS1221" s="403">
        <f>+SUM(Q1221:BR1221)</f>
        <v>0</v>
      </c>
      <c r="BT1221" s="403"/>
      <c r="BU1221" s="403"/>
      <c r="BV1221" s="403"/>
      <c r="BW1221" s="403"/>
      <c r="BX1221" s="403"/>
      <c r="BY1221" s="403"/>
      <c r="BZ1221" s="405"/>
      <c r="CA1221" s="270"/>
      <c r="CB1221" s="3" t="str">
        <f t="shared" si="179"/>
        <v>Riadok bude skrytý.</v>
      </c>
      <c r="CC1221" s="271" t="s">
        <v>832</v>
      </c>
      <c r="CW1221" s="30">
        <f t="shared" si="176"/>
        <v>1</v>
      </c>
      <c r="CZ1221" s="30">
        <f t="shared" si="174"/>
        <v>1</v>
      </c>
      <c r="DA1221" s="30">
        <f t="shared" si="172"/>
        <v>1</v>
      </c>
      <c r="DB1221" s="2">
        <f t="shared" si="175"/>
        <v>0</v>
      </c>
      <c r="DS1221" s="130">
        <f>SI!BY1221</f>
        <v>182</v>
      </c>
      <c r="DZ1221" s="131">
        <f>SI!BZ1221</f>
        <v>0</v>
      </c>
    </row>
    <row r="1222" spans="1:130" hidden="1" x14ac:dyDescent="0.25">
      <c r="A1222" s="141"/>
      <c r="B1222" s="814" t="s">
        <v>113</v>
      </c>
      <c r="C1222" s="815"/>
      <c r="D1222" s="815"/>
      <c r="E1222" s="815"/>
      <c r="F1222" s="815"/>
      <c r="G1222" s="815"/>
      <c r="H1222" s="815"/>
      <c r="I1222" s="815"/>
      <c r="J1222" s="815"/>
      <c r="K1222" s="815"/>
      <c r="L1222" s="815"/>
      <c r="M1222" s="815"/>
      <c r="N1222" s="815"/>
      <c r="O1222" s="815"/>
      <c r="P1222" s="815"/>
      <c r="Q1222" s="761"/>
      <c r="R1222" s="762"/>
      <c r="S1222" s="762"/>
      <c r="T1222" s="762"/>
      <c r="U1222" s="762"/>
      <c r="V1222" s="762"/>
      <c r="W1222" s="761"/>
      <c r="X1222" s="762"/>
      <c r="Y1222" s="762"/>
      <c r="Z1222" s="762"/>
      <c r="AA1222" s="762"/>
      <c r="AB1222" s="762"/>
      <c r="AC1222" s="763"/>
      <c r="AD1222" s="762"/>
      <c r="AE1222" s="762"/>
      <c r="AF1222" s="762"/>
      <c r="AG1222" s="762"/>
      <c r="AH1222" s="762"/>
      <c r="AI1222" s="762"/>
      <c r="AJ1222" s="762"/>
      <c r="AK1222" s="762"/>
      <c r="AL1222" s="761"/>
      <c r="AM1222" s="762"/>
      <c r="AN1222" s="762"/>
      <c r="AO1222" s="762"/>
      <c r="AP1222" s="762"/>
      <c r="AQ1222" s="762"/>
      <c r="AR1222" s="762"/>
      <c r="AS1222" s="763"/>
      <c r="AT1222" s="762"/>
      <c r="AU1222" s="762"/>
      <c r="AV1222" s="762"/>
      <c r="AW1222" s="762"/>
      <c r="AX1222" s="762"/>
      <c r="AY1222" s="762"/>
      <c r="AZ1222" s="761"/>
      <c r="BA1222" s="762"/>
      <c r="BB1222" s="762"/>
      <c r="BC1222" s="762"/>
      <c r="BD1222" s="762"/>
      <c r="BE1222" s="763"/>
      <c r="BF1222" s="762"/>
      <c r="BG1222" s="762"/>
      <c r="BH1222" s="762"/>
      <c r="BI1222" s="762"/>
      <c r="BJ1222" s="762"/>
      <c r="BK1222" s="762"/>
      <c r="BL1222" s="761"/>
      <c r="BM1222" s="762"/>
      <c r="BN1222" s="762"/>
      <c r="BO1222" s="762"/>
      <c r="BP1222" s="762"/>
      <c r="BQ1222" s="762"/>
      <c r="BR1222" s="763"/>
      <c r="BS1222" s="1748">
        <f>+SUM(Q1222:BR1222)</f>
        <v>0</v>
      </c>
      <c r="BT1222" s="1748"/>
      <c r="BU1222" s="1748"/>
      <c r="BV1222" s="1748"/>
      <c r="BW1222" s="1748"/>
      <c r="BX1222" s="1748"/>
      <c r="BY1222" s="1748"/>
      <c r="BZ1222" s="1749"/>
      <c r="CA1222" s="270"/>
      <c r="CB1222" s="3" t="str">
        <f t="shared" si="179"/>
        <v>Riadok bude skrytý.</v>
      </c>
      <c r="CC1222" s="271" t="s">
        <v>832</v>
      </c>
      <c r="CW1222" s="30">
        <f t="shared" si="176"/>
        <v>1</v>
      </c>
      <c r="CZ1222" s="30">
        <f t="shared" si="174"/>
        <v>1</v>
      </c>
      <c r="DA1222" s="30">
        <f t="shared" si="172"/>
        <v>1</v>
      </c>
      <c r="DB1222" s="2">
        <f t="shared" si="175"/>
        <v>0</v>
      </c>
      <c r="DS1222" s="130">
        <f>SI!BY1222</f>
        <v>126</v>
      </c>
      <c r="DZ1222" s="131">
        <f>SI!BZ1222</f>
        <v>0</v>
      </c>
    </row>
    <row r="1223" spans="1:130" hidden="1" x14ac:dyDescent="0.25">
      <c r="A1223" s="141"/>
      <c r="B1223" s="764" t="s">
        <v>114</v>
      </c>
      <c r="C1223" s="765"/>
      <c r="D1223" s="765"/>
      <c r="E1223" s="765"/>
      <c r="F1223" s="765"/>
      <c r="G1223" s="765"/>
      <c r="H1223" s="765"/>
      <c r="I1223" s="765"/>
      <c r="J1223" s="765"/>
      <c r="K1223" s="765"/>
      <c r="L1223" s="765"/>
      <c r="M1223" s="765"/>
      <c r="N1223" s="765"/>
      <c r="O1223" s="765"/>
      <c r="P1223" s="765"/>
      <c r="Q1223" s="1246"/>
      <c r="R1223" s="1247"/>
      <c r="S1223" s="1247"/>
      <c r="T1223" s="1247"/>
      <c r="U1223" s="1247"/>
      <c r="V1223" s="1247"/>
      <c r="W1223" s="1246"/>
      <c r="X1223" s="1247"/>
      <c r="Y1223" s="1247"/>
      <c r="Z1223" s="1247"/>
      <c r="AA1223" s="1247"/>
      <c r="AB1223" s="1247"/>
      <c r="AC1223" s="1248"/>
      <c r="AD1223" s="1247"/>
      <c r="AE1223" s="1247"/>
      <c r="AF1223" s="1247"/>
      <c r="AG1223" s="1247"/>
      <c r="AH1223" s="1247"/>
      <c r="AI1223" s="1247"/>
      <c r="AJ1223" s="1247"/>
      <c r="AK1223" s="1247"/>
      <c r="AL1223" s="1246"/>
      <c r="AM1223" s="1247"/>
      <c r="AN1223" s="1247"/>
      <c r="AO1223" s="1247"/>
      <c r="AP1223" s="1247"/>
      <c r="AQ1223" s="1247"/>
      <c r="AR1223" s="1247"/>
      <c r="AS1223" s="1248"/>
      <c r="AT1223" s="1247"/>
      <c r="AU1223" s="1247"/>
      <c r="AV1223" s="1247"/>
      <c r="AW1223" s="1247"/>
      <c r="AX1223" s="1247"/>
      <c r="AY1223" s="1247"/>
      <c r="AZ1223" s="1246"/>
      <c r="BA1223" s="1247"/>
      <c r="BB1223" s="1247"/>
      <c r="BC1223" s="1247"/>
      <c r="BD1223" s="1247"/>
      <c r="BE1223" s="1248"/>
      <c r="BF1223" s="1247"/>
      <c r="BG1223" s="1247"/>
      <c r="BH1223" s="1247"/>
      <c r="BI1223" s="1247"/>
      <c r="BJ1223" s="1247"/>
      <c r="BK1223" s="1247"/>
      <c r="BL1223" s="1246"/>
      <c r="BM1223" s="1247"/>
      <c r="BN1223" s="1247"/>
      <c r="BO1223" s="1247"/>
      <c r="BP1223" s="1247"/>
      <c r="BQ1223" s="1247"/>
      <c r="BR1223" s="1248"/>
      <c r="BS1223" s="1270">
        <f>+SUM(Q1223:BR1223)</f>
        <v>0</v>
      </c>
      <c r="BT1223" s="1270"/>
      <c r="BU1223" s="1270"/>
      <c r="BV1223" s="1270"/>
      <c r="BW1223" s="1270"/>
      <c r="BX1223" s="1270"/>
      <c r="BY1223" s="1270"/>
      <c r="BZ1223" s="1271"/>
      <c r="CA1223" s="270"/>
      <c r="CB1223" s="3" t="str">
        <f t="shared" si="179"/>
        <v>Riadok bude skrytý.</v>
      </c>
      <c r="CC1223" s="271" t="s">
        <v>832</v>
      </c>
      <c r="CW1223" s="30">
        <f t="shared" si="176"/>
        <v>1</v>
      </c>
      <c r="CZ1223" s="30">
        <f t="shared" si="174"/>
        <v>1</v>
      </c>
      <c r="DA1223" s="30">
        <f t="shared" si="172"/>
        <v>1</v>
      </c>
      <c r="DB1223" s="2">
        <f t="shared" si="175"/>
        <v>0</v>
      </c>
      <c r="DS1223" s="130">
        <f>SI!BY1223</f>
        <v>112</v>
      </c>
      <c r="DZ1223" s="131">
        <f>SI!BZ1223</f>
        <v>0</v>
      </c>
    </row>
    <row r="1224" spans="1:130" hidden="1" x14ac:dyDescent="0.25">
      <c r="A1224" s="141"/>
      <c r="B1224" s="1275" t="s">
        <v>115</v>
      </c>
      <c r="C1224" s="1276"/>
      <c r="D1224" s="1276"/>
      <c r="E1224" s="1276"/>
      <c r="F1224" s="1276"/>
      <c r="G1224" s="1276"/>
      <c r="H1224" s="1276"/>
      <c r="I1224" s="1276"/>
      <c r="J1224" s="1276"/>
      <c r="K1224" s="1276"/>
      <c r="L1224" s="1276"/>
      <c r="M1224" s="1276"/>
      <c r="N1224" s="1276"/>
      <c r="O1224" s="1276"/>
      <c r="P1224" s="1276"/>
      <c r="Q1224" s="1244"/>
      <c r="R1224" s="1245"/>
      <c r="S1224" s="1245"/>
      <c r="T1224" s="1245"/>
      <c r="U1224" s="1245"/>
      <c r="V1224" s="1245"/>
      <c r="W1224" s="1244"/>
      <c r="X1224" s="1245"/>
      <c r="Y1224" s="1245"/>
      <c r="Z1224" s="1245"/>
      <c r="AA1224" s="1245"/>
      <c r="AB1224" s="1245"/>
      <c r="AC1224" s="1264"/>
      <c r="AD1224" s="1245"/>
      <c r="AE1224" s="1245"/>
      <c r="AF1224" s="1245"/>
      <c r="AG1224" s="1245"/>
      <c r="AH1224" s="1245"/>
      <c r="AI1224" s="1245"/>
      <c r="AJ1224" s="1245"/>
      <c r="AK1224" s="1245"/>
      <c r="AL1224" s="1244"/>
      <c r="AM1224" s="1245"/>
      <c r="AN1224" s="1245"/>
      <c r="AO1224" s="1245"/>
      <c r="AP1224" s="1245"/>
      <c r="AQ1224" s="1245"/>
      <c r="AR1224" s="1245"/>
      <c r="AS1224" s="1264"/>
      <c r="AT1224" s="1245"/>
      <c r="AU1224" s="1245"/>
      <c r="AV1224" s="1245"/>
      <c r="AW1224" s="1245"/>
      <c r="AX1224" s="1245"/>
      <c r="AY1224" s="1245"/>
      <c r="AZ1224" s="1244"/>
      <c r="BA1224" s="1245"/>
      <c r="BB1224" s="1245"/>
      <c r="BC1224" s="1245"/>
      <c r="BD1224" s="1245"/>
      <c r="BE1224" s="1264"/>
      <c r="BF1224" s="1245"/>
      <c r="BG1224" s="1245"/>
      <c r="BH1224" s="1245"/>
      <c r="BI1224" s="1245"/>
      <c r="BJ1224" s="1245"/>
      <c r="BK1224" s="1245"/>
      <c r="BL1224" s="1244"/>
      <c r="BM1224" s="1245"/>
      <c r="BN1224" s="1245"/>
      <c r="BO1224" s="1245"/>
      <c r="BP1224" s="1245"/>
      <c r="BQ1224" s="1245"/>
      <c r="BR1224" s="1264"/>
      <c r="BS1224" s="1750">
        <f>+SUM(Q1224:BR1224)</f>
        <v>0</v>
      </c>
      <c r="BT1224" s="1750"/>
      <c r="BU1224" s="1750"/>
      <c r="BV1224" s="1750"/>
      <c r="BW1224" s="1750"/>
      <c r="BX1224" s="1750"/>
      <c r="BY1224" s="1750"/>
      <c r="BZ1224" s="1751"/>
      <c r="CA1224" s="270"/>
      <c r="CB1224" s="3" t="str">
        <f t="shared" si="179"/>
        <v>Riadok bude skrytý.</v>
      </c>
      <c r="CC1224" s="271" t="s">
        <v>832</v>
      </c>
      <c r="CW1224" s="30">
        <f t="shared" si="176"/>
        <v>1</v>
      </c>
      <c r="CZ1224" s="30">
        <f t="shared" si="174"/>
        <v>1</v>
      </c>
      <c r="DA1224" s="30">
        <f t="shared" si="172"/>
        <v>1</v>
      </c>
      <c r="DB1224" s="2">
        <f t="shared" si="175"/>
        <v>0</v>
      </c>
      <c r="DS1224" s="130">
        <f>SI!BY1224</f>
        <v>362</v>
      </c>
      <c r="DZ1224" s="131">
        <f>SI!BZ1224</f>
        <v>0</v>
      </c>
    </row>
    <row r="1225" spans="1:130" hidden="1" x14ac:dyDescent="0.25">
      <c r="A1225" s="141"/>
      <c r="B1225" s="734" t="s">
        <v>119</v>
      </c>
      <c r="C1225" s="735"/>
      <c r="D1225" s="735"/>
      <c r="E1225" s="735"/>
      <c r="F1225" s="735"/>
      <c r="G1225" s="735"/>
      <c r="H1225" s="735"/>
      <c r="I1225" s="735"/>
      <c r="J1225" s="735"/>
      <c r="K1225" s="735"/>
      <c r="L1225" s="735"/>
      <c r="M1225" s="735"/>
      <c r="N1225" s="735"/>
      <c r="O1225" s="735"/>
      <c r="P1225" s="735"/>
      <c r="Q1225" s="404">
        <f>+SUM(Q1221:V1224)</f>
        <v>0</v>
      </c>
      <c r="R1225" s="403"/>
      <c r="S1225" s="403"/>
      <c r="T1225" s="403"/>
      <c r="U1225" s="403"/>
      <c r="V1225" s="403"/>
      <c r="W1225" s="404">
        <f>+SUM(W1221:AC1224)</f>
        <v>0</v>
      </c>
      <c r="X1225" s="403"/>
      <c r="Y1225" s="403"/>
      <c r="Z1225" s="403"/>
      <c r="AA1225" s="403"/>
      <c r="AB1225" s="403"/>
      <c r="AC1225" s="405"/>
      <c r="AD1225" s="403">
        <f>+SUM(AD1221:AK1224)</f>
        <v>0</v>
      </c>
      <c r="AE1225" s="403"/>
      <c r="AF1225" s="403"/>
      <c r="AG1225" s="403"/>
      <c r="AH1225" s="403"/>
      <c r="AI1225" s="403"/>
      <c r="AJ1225" s="403"/>
      <c r="AK1225" s="403"/>
      <c r="AL1225" s="404">
        <f>+SUM(AL1221:AS1224)</f>
        <v>0</v>
      </c>
      <c r="AM1225" s="403"/>
      <c r="AN1225" s="403"/>
      <c r="AO1225" s="403"/>
      <c r="AP1225" s="403"/>
      <c r="AQ1225" s="403"/>
      <c r="AR1225" s="403"/>
      <c r="AS1225" s="405"/>
      <c r="AT1225" s="403">
        <f>+SUM(AT1221:AY1224)</f>
        <v>0</v>
      </c>
      <c r="AU1225" s="403"/>
      <c r="AV1225" s="403"/>
      <c r="AW1225" s="403"/>
      <c r="AX1225" s="403"/>
      <c r="AY1225" s="403"/>
      <c r="AZ1225" s="404">
        <f>+SUM(AZ1221:BE1224)</f>
        <v>0</v>
      </c>
      <c r="BA1225" s="403"/>
      <c r="BB1225" s="403"/>
      <c r="BC1225" s="403"/>
      <c r="BD1225" s="403"/>
      <c r="BE1225" s="405"/>
      <c r="BF1225" s="403">
        <f>+SUM(BF1221:BK1224)</f>
        <v>0</v>
      </c>
      <c r="BG1225" s="403"/>
      <c r="BH1225" s="403"/>
      <c r="BI1225" s="403"/>
      <c r="BJ1225" s="403"/>
      <c r="BK1225" s="403"/>
      <c r="BL1225" s="404">
        <f>+SUM(BL1221:BR1224)</f>
        <v>0</v>
      </c>
      <c r="BM1225" s="403"/>
      <c r="BN1225" s="403"/>
      <c r="BO1225" s="403"/>
      <c r="BP1225" s="403"/>
      <c r="BQ1225" s="403"/>
      <c r="BR1225" s="405"/>
      <c r="BS1225" s="403">
        <f>+SUM(BS1221:BZ1224)</f>
        <v>0</v>
      </c>
      <c r="BT1225" s="403"/>
      <c r="BU1225" s="403"/>
      <c r="BV1225" s="403"/>
      <c r="BW1225" s="403"/>
      <c r="BX1225" s="403"/>
      <c r="BY1225" s="403"/>
      <c r="BZ1225" s="405"/>
      <c r="CA1225" s="270"/>
      <c r="CB1225" s="3" t="str">
        <f t="shared" si="179"/>
        <v>Riadok bude skrytý.</v>
      </c>
      <c r="CC1225" s="271" t="s">
        <v>832</v>
      </c>
      <c r="CW1225" s="30">
        <f t="shared" si="176"/>
        <v>1</v>
      </c>
      <c r="CZ1225" s="30">
        <f t="shared" si="174"/>
        <v>1</v>
      </c>
      <c r="DA1225" s="30">
        <f t="shared" si="172"/>
        <v>1</v>
      </c>
      <c r="DB1225" s="2">
        <f t="shared" si="175"/>
        <v>0</v>
      </c>
      <c r="DS1225" s="130">
        <f>SI!BY1225</f>
        <v>111</v>
      </c>
      <c r="DZ1225" s="131">
        <f>SI!BZ1225</f>
        <v>0</v>
      </c>
    </row>
    <row r="1226" spans="1:130" hidden="1" x14ac:dyDescent="0.25">
      <c r="A1226" s="141"/>
      <c r="B1226" s="779" t="s">
        <v>117</v>
      </c>
      <c r="C1226" s="780"/>
      <c r="D1226" s="780"/>
      <c r="E1226" s="780"/>
      <c r="F1226" s="780"/>
      <c r="G1226" s="780"/>
      <c r="H1226" s="780"/>
      <c r="I1226" s="780"/>
      <c r="J1226" s="780"/>
      <c r="K1226" s="780"/>
      <c r="L1226" s="780"/>
      <c r="M1226" s="780"/>
      <c r="N1226" s="780"/>
      <c r="O1226" s="780"/>
      <c r="P1226" s="780"/>
      <c r="Q1226" s="780"/>
      <c r="R1226" s="780"/>
      <c r="S1226" s="780"/>
      <c r="T1226" s="780"/>
      <c r="U1226" s="780"/>
      <c r="V1226" s="780"/>
      <c r="W1226" s="780"/>
      <c r="X1226" s="780"/>
      <c r="Y1226" s="780"/>
      <c r="Z1226" s="780"/>
      <c r="AA1226" s="780"/>
      <c r="AB1226" s="780"/>
      <c r="AC1226" s="780"/>
      <c r="AD1226" s="780"/>
      <c r="AE1226" s="780"/>
      <c r="AF1226" s="780"/>
      <c r="AG1226" s="780"/>
      <c r="AH1226" s="780"/>
      <c r="AI1226" s="780"/>
      <c r="AJ1226" s="780"/>
      <c r="AK1226" s="780"/>
      <c r="AL1226" s="780"/>
      <c r="AM1226" s="780"/>
      <c r="AN1226" s="780"/>
      <c r="AO1226" s="780"/>
      <c r="AP1226" s="780"/>
      <c r="AQ1226" s="780"/>
      <c r="AR1226" s="780"/>
      <c r="AS1226" s="780"/>
      <c r="AT1226" s="780"/>
      <c r="AU1226" s="780"/>
      <c r="AV1226" s="780"/>
      <c r="AW1226" s="780"/>
      <c r="AX1226" s="780"/>
      <c r="AY1226" s="780"/>
      <c r="AZ1226" s="780"/>
      <c r="BA1226" s="780"/>
      <c r="BB1226" s="780"/>
      <c r="BC1226" s="780"/>
      <c r="BD1226" s="780"/>
      <c r="BE1226" s="780"/>
      <c r="BF1226" s="780"/>
      <c r="BG1226" s="780"/>
      <c r="BH1226" s="780"/>
      <c r="BI1226" s="780"/>
      <c r="BJ1226" s="780"/>
      <c r="BK1226" s="780"/>
      <c r="BL1226" s="780"/>
      <c r="BM1226" s="780"/>
      <c r="BN1226" s="780"/>
      <c r="BO1226" s="780"/>
      <c r="BP1226" s="780"/>
      <c r="BQ1226" s="780"/>
      <c r="BR1226" s="780"/>
      <c r="BS1226" s="780"/>
      <c r="BT1226" s="780"/>
      <c r="BU1226" s="780"/>
      <c r="BV1226" s="780"/>
      <c r="BW1226" s="780"/>
      <c r="BX1226" s="780"/>
      <c r="BY1226" s="780"/>
      <c r="BZ1226" s="781"/>
      <c r="CA1226" s="270"/>
      <c r="CB1226" s="3" t="str">
        <f t="shared" si="179"/>
        <v>Riadok bude skrytý.</v>
      </c>
      <c r="CC1226" s="271" t="s">
        <v>832</v>
      </c>
      <c r="CW1226" s="30">
        <f t="shared" si="176"/>
        <v>1</v>
      </c>
      <c r="CZ1226" s="30">
        <f t="shared" si="174"/>
        <v>1</v>
      </c>
      <c r="DA1226" s="30">
        <f t="shared" si="172"/>
        <v>1</v>
      </c>
      <c r="DB1226" s="2">
        <f t="shared" si="175"/>
        <v>0</v>
      </c>
      <c r="DS1226" s="130">
        <f>SI!BY1226</f>
        <v>340</v>
      </c>
      <c r="DZ1226" s="131">
        <f>SI!BZ1226</f>
        <v>0</v>
      </c>
    </row>
    <row r="1227" spans="1:130" hidden="1" x14ac:dyDescent="0.25">
      <c r="A1227" s="141"/>
      <c r="B1227" s="734" t="s">
        <v>118</v>
      </c>
      <c r="C1227" s="735"/>
      <c r="D1227" s="735"/>
      <c r="E1227" s="735"/>
      <c r="F1227" s="735"/>
      <c r="G1227" s="735"/>
      <c r="H1227" s="735"/>
      <c r="I1227" s="735"/>
      <c r="J1227" s="735"/>
      <c r="K1227" s="735"/>
      <c r="L1227" s="735"/>
      <c r="M1227" s="735"/>
      <c r="N1227" s="735"/>
      <c r="O1227" s="735"/>
      <c r="P1227" s="735"/>
      <c r="Q1227" s="751"/>
      <c r="R1227" s="752"/>
      <c r="S1227" s="752"/>
      <c r="T1227" s="752"/>
      <c r="U1227" s="752"/>
      <c r="V1227" s="752"/>
      <c r="W1227" s="751"/>
      <c r="X1227" s="752"/>
      <c r="Y1227" s="752"/>
      <c r="Z1227" s="752"/>
      <c r="AA1227" s="752"/>
      <c r="AB1227" s="752"/>
      <c r="AC1227" s="753"/>
      <c r="AD1227" s="752"/>
      <c r="AE1227" s="752"/>
      <c r="AF1227" s="752"/>
      <c r="AG1227" s="752"/>
      <c r="AH1227" s="752"/>
      <c r="AI1227" s="752"/>
      <c r="AJ1227" s="752"/>
      <c r="AK1227" s="752"/>
      <c r="AL1227" s="751"/>
      <c r="AM1227" s="752"/>
      <c r="AN1227" s="752"/>
      <c r="AO1227" s="752"/>
      <c r="AP1227" s="752"/>
      <c r="AQ1227" s="752"/>
      <c r="AR1227" s="752"/>
      <c r="AS1227" s="753"/>
      <c r="AT1227" s="752"/>
      <c r="AU1227" s="752"/>
      <c r="AV1227" s="752"/>
      <c r="AW1227" s="752"/>
      <c r="AX1227" s="752"/>
      <c r="AY1227" s="752"/>
      <c r="AZ1227" s="751"/>
      <c r="BA1227" s="752"/>
      <c r="BB1227" s="752"/>
      <c r="BC1227" s="752"/>
      <c r="BD1227" s="752"/>
      <c r="BE1227" s="753"/>
      <c r="BF1227" s="752"/>
      <c r="BG1227" s="752"/>
      <c r="BH1227" s="752"/>
      <c r="BI1227" s="752"/>
      <c r="BJ1227" s="752"/>
      <c r="BK1227" s="752"/>
      <c r="BL1227" s="751"/>
      <c r="BM1227" s="752"/>
      <c r="BN1227" s="752"/>
      <c r="BO1227" s="752"/>
      <c r="BP1227" s="752"/>
      <c r="BQ1227" s="752"/>
      <c r="BR1227" s="753"/>
      <c r="BS1227" s="403">
        <f>+SUM(Q1227:BR1227)</f>
        <v>0</v>
      </c>
      <c r="BT1227" s="403"/>
      <c r="BU1227" s="403"/>
      <c r="BV1227" s="403"/>
      <c r="BW1227" s="403"/>
      <c r="BX1227" s="403"/>
      <c r="BY1227" s="403"/>
      <c r="BZ1227" s="405"/>
      <c r="CA1227" s="270"/>
      <c r="CB1227" s="3" t="str">
        <f t="shared" si="179"/>
        <v>Riadok bude skrytý.</v>
      </c>
      <c r="CC1227" s="271" t="s">
        <v>832</v>
      </c>
      <c r="CW1227" s="30">
        <f t="shared" ref="CW1227:CW1258" si="180">+IF($AB$1193="neeviduje",0,1)</f>
        <v>1</v>
      </c>
      <c r="CZ1227" s="30">
        <f t="shared" si="174"/>
        <v>1</v>
      </c>
      <c r="DA1227" s="30">
        <f t="shared" si="172"/>
        <v>1</v>
      </c>
      <c r="DB1227" s="2">
        <f t="shared" si="175"/>
        <v>0</v>
      </c>
      <c r="DS1227" s="130">
        <f>SI!BY1227</f>
        <v>192</v>
      </c>
      <c r="DZ1227" s="131">
        <f>SI!BZ1227</f>
        <v>0</v>
      </c>
    </row>
    <row r="1228" spans="1:130" hidden="1" x14ac:dyDescent="0.25">
      <c r="A1228" s="141"/>
      <c r="B1228" s="814" t="s">
        <v>113</v>
      </c>
      <c r="C1228" s="815"/>
      <c r="D1228" s="815"/>
      <c r="E1228" s="815"/>
      <c r="F1228" s="815"/>
      <c r="G1228" s="815"/>
      <c r="H1228" s="815"/>
      <c r="I1228" s="815"/>
      <c r="J1228" s="815"/>
      <c r="K1228" s="815"/>
      <c r="L1228" s="815"/>
      <c r="M1228" s="815"/>
      <c r="N1228" s="815"/>
      <c r="O1228" s="815"/>
      <c r="P1228" s="815"/>
      <c r="Q1228" s="761"/>
      <c r="R1228" s="762"/>
      <c r="S1228" s="762"/>
      <c r="T1228" s="762"/>
      <c r="U1228" s="762"/>
      <c r="V1228" s="762"/>
      <c r="W1228" s="761"/>
      <c r="X1228" s="762"/>
      <c r="Y1228" s="762"/>
      <c r="Z1228" s="762"/>
      <c r="AA1228" s="762"/>
      <c r="AB1228" s="762"/>
      <c r="AC1228" s="763"/>
      <c r="AD1228" s="762"/>
      <c r="AE1228" s="762"/>
      <c r="AF1228" s="762"/>
      <c r="AG1228" s="762"/>
      <c r="AH1228" s="762"/>
      <c r="AI1228" s="762"/>
      <c r="AJ1228" s="762"/>
      <c r="AK1228" s="762"/>
      <c r="AL1228" s="761"/>
      <c r="AM1228" s="762"/>
      <c r="AN1228" s="762"/>
      <c r="AO1228" s="762"/>
      <c r="AP1228" s="762"/>
      <c r="AQ1228" s="762"/>
      <c r="AR1228" s="762"/>
      <c r="AS1228" s="763"/>
      <c r="AT1228" s="762"/>
      <c r="AU1228" s="762"/>
      <c r="AV1228" s="762"/>
      <c r="AW1228" s="762"/>
      <c r="AX1228" s="762"/>
      <c r="AY1228" s="762"/>
      <c r="AZ1228" s="761"/>
      <c r="BA1228" s="762"/>
      <c r="BB1228" s="762"/>
      <c r="BC1228" s="762"/>
      <c r="BD1228" s="762"/>
      <c r="BE1228" s="763"/>
      <c r="BF1228" s="762"/>
      <c r="BG1228" s="762"/>
      <c r="BH1228" s="762"/>
      <c r="BI1228" s="762"/>
      <c r="BJ1228" s="762"/>
      <c r="BK1228" s="762"/>
      <c r="BL1228" s="761"/>
      <c r="BM1228" s="762"/>
      <c r="BN1228" s="762"/>
      <c r="BO1228" s="762"/>
      <c r="BP1228" s="762"/>
      <c r="BQ1228" s="762"/>
      <c r="BR1228" s="763"/>
      <c r="BS1228" s="1748">
        <f>+SUM(Q1228:BR1228)</f>
        <v>0</v>
      </c>
      <c r="BT1228" s="1748"/>
      <c r="BU1228" s="1748"/>
      <c r="BV1228" s="1748"/>
      <c r="BW1228" s="1748"/>
      <c r="BX1228" s="1748"/>
      <c r="BY1228" s="1748"/>
      <c r="BZ1228" s="1749"/>
      <c r="CA1228" s="270"/>
      <c r="CB1228" s="3" t="str">
        <f t="shared" si="179"/>
        <v>Riadok bude skrytý.</v>
      </c>
      <c r="CC1228" s="271" t="s">
        <v>832</v>
      </c>
      <c r="CW1228" s="30">
        <f t="shared" si="180"/>
        <v>1</v>
      </c>
      <c r="CZ1228" s="30">
        <f t="shared" si="174"/>
        <v>1</v>
      </c>
      <c r="DA1228" s="30">
        <f t="shared" ref="DA1228:DA1235" si="181">+IF(CW1228+CX1228+CY1228=0,0,IF(CZ1228=0,0,1))</f>
        <v>1</v>
      </c>
      <c r="DB1228" s="2">
        <f t="shared" si="175"/>
        <v>0</v>
      </c>
      <c r="DS1228" s="130">
        <f>SI!BY1228</f>
        <v>357</v>
      </c>
      <c r="DZ1228" s="131">
        <f>SI!BZ1228</f>
        <v>0</v>
      </c>
    </row>
    <row r="1229" spans="1:130" hidden="1" x14ac:dyDescent="0.25">
      <c r="A1229" s="141"/>
      <c r="B1229" s="764" t="s">
        <v>114</v>
      </c>
      <c r="C1229" s="765"/>
      <c r="D1229" s="765"/>
      <c r="E1229" s="765"/>
      <c r="F1229" s="765"/>
      <c r="G1229" s="765"/>
      <c r="H1229" s="765"/>
      <c r="I1229" s="765"/>
      <c r="J1229" s="765"/>
      <c r="K1229" s="765"/>
      <c r="L1229" s="765"/>
      <c r="M1229" s="765"/>
      <c r="N1229" s="765"/>
      <c r="O1229" s="765"/>
      <c r="P1229" s="765"/>
      <c r="Q1229" s="1246"/>
      <c r="R1229" s="1247"/>
      <c r="S1229" s="1247"/>
      <c r="T1229" s="1247"/>
      <c r="U1229" s="1247"/>
      <c r="V1229" s="1247"/>
      <c r="W1229" s="1246"/>
      <c r="X1229" s="1247"/>
      <c r="Y1229" s="1247"/>
      <c r="Z1229" s="1247"/>
      <c r="AA1229" s="1247"/>
      <c r="AB1229" s="1247"/>
      <c r="AC1229" s="1248"/>
      <c r="AD1229" s="1247"/>
      <c r="AE1229" s="1247"/>
      <c r="AF1229" s="1247"/>
      <c r="AG1229" s="1247"/>
      <c r="AH1229" s="1247"/>
      <c r="AI1229" s="1247"/>
      <c r="AJ1229" s="1247"/>
      <c r="AK1229" s="1247"/>
      <c r="AL1229" s="1246"/>
      <c r="AM1229" s="1247"/>
      <c r="AN1229" s="1247"/>
      <c r="AO1229" s="1247"/>
      <c r="AP1229" s="1247"/>
      <c r="AQ1229" s="1247"/>
      <c r="AR1229" s="1247"/>
      <c r="AS1229" s="1248"/>
      <c r="AT1229" s="1247"/>
      <c r="AU1229" s="1247"/>
      <c r="AV1229" s="1247"/>
      <c r="AW1229" s="1247"/>
      <c r="AX1229" s="1247"/>
      <c r="AY1229" s="1247"/>
      <c r="AZ1229" s="1246"/>
      <c r="BA1229" s="1247"/>
      <c r="BB1229" s="1247"/>
      <c r="BC1229" s="1247"/>
      <c r="BD1229" s="1247"/>
      <c r="BE1229" s="1248"/>
      <c r="BF1229" s="1247"/>
      <c r="BG1229" s="1247"/>
      <c r="BH1229" s="1247"/>
      <c r="BI1229" s="1247"/>
      <c r="BJ1229" s="1247"/>
      <c r="BK1229" s="1247"/>
      <c r="BL1229" s="1246"/>
      <c r="BM1229" s="1247"/>
      <c r="BN1229" s="1247"/>
      <c r="BO1229" s="1247"/>
      <c r="BP1229" s="1247"/>
      <c r="BQ1229" s="1247"/>
      <c r="BR1229" s="1248"/>
      <c r="BS1229" s="1270">
        <f>+SUM(Q1229:BR1229)</f>
        <v>0</v>
      </c>
      <c r="BT1229" s="1270"/>
      <c r="BU1229" s="1270"/>
      <c r="BV1229" s="1270"/>
      <c r="BW1229" s="1270"/>
      <c r="BX1229" s="1270"/>
      <c r="BY1229" s="1270"/>
      <c r="BZ1229" s="1271"/>
      <c r="CA1229" s="270"/>
      <c r="CB1229" s="3" t="str">
        <f t="shared" si="179"/>
        <v>Riadok bude skrytý.</v>
      </c>
      <c r="CC1229" s="271" t="s">
        <v>832</v>
      </c>
      <c r="CD1229" s="4"/>
      <c r="CE1229" s="4"/>
      <c r="CW1229" s="30">
        <f t="shared" si="180"/>
        <v>1</v>
      </c>
      <c r="CZ1229" s="30">
        <f>IF(CC1229="",1,IF(CC1229="Chcem skryť riadok.",0,1))</f>
        <v>1</v>
      </c>
      <c r="DA1229" s="30">
        <f>+IF(CW1229+CX1229+CY1229=0,0,IF(CZ1229=0,0,1))</f>
        <v>1</v>
      </c>
      <c r="DB1229" s="2">
        <f t="shared" si="175"/>
        <v>0</v>
      </c>
      <c r="DS1229" s="130">
        <f>SI!BY1229</f>
        <v>567</v>
      </c>
      <c r="DZ1229" s="131">
        <f>SI!BZ1229</f>
        <v>0</v>
      </c>
    </row>
    <row r="1230" spans="1:130" hidden="1" x14ac:dyDescent="0.25">
      <c r="A1230" s="141"/>
      <c r="B1230" s="1275" t="s">
        <v>115</v>
      </c>
      <c r="C1230" s="1276"/>
      <c r="D1230" s="1276"/>
      <c r="E1230" s="1276"/>
      <c r="F1230" s="1276"/>
      <c r="G1230" s="1276"/>
      <c r="H1230" s="1276"/>
      <c r="I1230" s="1276"/>
      <c r="J1230" s="1276"/>
      <c r="K1230" s="1276"/>
      <c r="L1230" s="1276"/>
      <c r="M1230" s="1276"/>
      <c r="N1230" s="1276"/>
      <c r="O1230" s="1276"/>
      <c r="P1230" s="1276"/>
      <c r="Q1230" s="1244"/>
      <c r="R1230" s="1245"/>
      <c r="S1230" s="1245"/>
      <c r="T1230" s="1245"/>
      <c r="U1230" s="1245"/>
      <c r="V1230" s="1245"/>
      <c r="W1230" s="1244"/>
      <c r="X1230" s="1245"/>
      <c r="Y1230" s="1245"/>
      <c r="Z1230" s="1245"/>
      <c r="AA1230" s="1245"/>
      <c r="AB1230" s="1245"/>
      <c r="AC1230" s="1264"/>
      <c r="AD1230" s="1245"/>
      <c r="AE1230" s="1245"/>
      <c r="AF1230" s="1245"/>
      <c r="AG1230" s="1245"/>
      <c r="AH1230" s="1245"/>
      <c r="AI1230" s="1245"/>
      <c r="AJ1230" s="1245"/>
      <c r="AK1230" s="1245"/>
      <c r="AL1230" s="1244"/>
      <c r="AM1230" s="1245"/>
      <c r="AN1230" s="1245"/>
      <c r="AO1230" s="1245"/>
      <c r="AP1230" s="1245"/>
      <c r="AQ1230" s="1245"/>
      <c r="AR1230" s="1245"/>
      <c r="AS1230" s="1264"/>
      <c r="AT1230" s="1245"/>
      <c r="AU1230" s="1245"/>
      <c r="AV1230" s="1245"/>
      <c r="AW1230" s="1245"/>
      <c r="AX1230" s="1245"/>
      <c r="AY1230" s="1245"/>
      <c r="AZ1230" s="1244"/>
      <c r="BA1230" s="1245"/>
      <c r="BB1230" s="1245"/>
      <c r="BC1230" s="1245"/>
      <c r="BD1230" s="1245"/>
      <c r="BE1230" s="1264"/>
      <c r="BF1230" s="1245"/>
      <c r="BG1230" s="1245"/>
      <c r="BH1230" s="1245"/>
      <c r="BI1230" s="1245"/>
      <c r="BJ1230" s="1245"/>
      <c r="BK1230" s="1245"/>
      <c r="BL1230" s="1244"/>
      <c r="BM1230" s="1245"/>
      <c r="BN1230" s="1245"/>
      <c r="BO1230" s="1245"/>
      <c r="BP1230" s="1245"/>
      <c r="BQ1230" s="1245"/>
      <c r="BR1230" s="1264"/>
      <c r="BS1230" s="1750">
        <f>+SUM(Q1230:BR1230)</f>
        <v>0</v>
      </c>
      <c r="BT1230" s="1750"/>
      <c r="BU1230" s="1750"/>
      <c r="BV1230" s="1750"/>
      <c r="BW1230" s="1750"/>
      <c r="BX1230" s="1750"/>
      <c r="BY1230" s="1750"/>
      <c r="BZ1230" s="1751"/>
      <c r="CA1230" s="270"/>
      <c r="CB1230" s="3" t="str">
        <f t="shared" si="179"/>
        <v>Riadok bude skrytý.</v>
      </c>
      <c r="CC1230" s="271" t="s">
        <v>832</v>
      </c>
      <c r="CW1230" s="30">
        <f t="shared" si="180"/>
        <v>1</v>
      </c>
      <c r="CZ1230" s="30">
        <f t="shared" si="174"/>
        <v>1</v>
      </c>
      <c r="DA1230" s="30">
        <f t="shared" si="181"/>
        <v>1</v>
      </c>
      <c r="DB1230" s="2">
        <f t="shared" si="175"/>
        <v>0</v>
      </c>
      <c r="DS1230" s="130">
        <f>SI!BY1230</f>
        <v>133</v>
      </c>
      <c r="DZ1230" s="131">
        <f>SI!BZ1230</f>
        <v>0</v>
      </c>
    </row>
    <row r="1231" spans="1:130" hidden="1" x14ac:dyDescent="0.25">
      <c r="A1231" s="141"/>
      <c r="B1231" s="734" t="s">
        <v>119</v>
      </c>
      <c r="C1231" s="735"/>
      <c r="D1231" s="735"/>
      <c r="E1231" s="735"/>
      <c r="F1231" s="735"/>
      <c r="G1231" s="735"/>
      <c r="H1231" s="735"/>
      <c r="I1231" s="735"/>
      <c r="J1231" s="735"/>
      <c r="K1231" s="735"/>
      <c r="L1231" s="735"/>
      <c r="M1231" s="735"/>
      <c r="N1231" s="735"/>
      <c r="O1231" s="735"/>
      <c r="P1231" s="735"/>
      <c r="Q1231" s="404">
        <f>+SUM(Q1227:V1230)</f>
        <v>0</v>
      </c>
      <c r="R1231" s="403"/>
      <c r="S1231" s="403"/>
      <c r="T1231" s="403"/>
      <c r="U1231" s="403"/>
      <c r="V1231" s="403"/>
      <c r="W1231" s="404">
        <f>+SUM(W1227:AC1230)</f>
        <v>0</v>
      </c>
      <c r="X1231" s="403"/>
      <c r="Y1231" s="403"/>
      <c r="Z1231" s="403"/>
      <c r="AA1231" s="403"/>
      <c r="AB1231" s="403"/>
      <c r="AC1231" s="405"/>
      <c r="AD1231" s="403">
        <f>+SUM(AD1227:AK1230)</f>
        <v>0</v>
      </c>
      <c r="AE1231" s="403"/>
      <c r="AF1231" s="403"/>
      <c r="AG1231" s="403"/>
      <c r="AH1231" s="403"/>
      <c r="AI1231" s="403"/>
      <c r="AJ1231" s="403"/>
      <c r="AK1231" s="403"/>
      <c r="AL1231" s="404">
        <f>+SUM(AL1227:AS1230)</f>
        <v>0</v>
      </c>
      <c r="AM1231" s="403"/>
      <c r="AN1231" s="403"/>
      <c r="AO1231" s="403"/>
      <c r="AP1231" s="403"/>
      <c r="AQ1231" s="403"/>
      <c r="AR1231" s="403"/>
      <c r="AS1231" s="405"/>
      <c r="AT1231" s="403">
        <f>+SUM(AT1227:AY1230)</f>
        <v>0</v>
      </c>
      <c r="AU1231" s="403"/>
      <c r="AV1231" s="403"/>
      <c r="AW1231" s="403"/>
      <c r="AX1231" s="403"/>
      <c r="AY1231" s="403"/>
      <c r="AZ1231" s="404">
        <f>+SUM(AZ1227:BE1230)</f>
        <v>0</v>
      </c>
      <c r="BA1231" s="403"/>
      <c r="BB1231" s="403"/>
      <c r="BC1231" s="403"/>
      <c r="BD1231" s="403"/>
      <c r="BE1231" s="405"/>
      <c r="BF1231" s="403">
        <f>+SUM(BF1227:BK1230)</f>
        <v>0</v>
      </c>
      <c r="BG1231" s="403"/>
      <c r="BH1231" s="403"/>
      <c r="BI1231" s="403"/>
      <c r="BJ1231" s="403"/>
      <c r="BK1231" s="403"/>
      <c r="BL1231" s="404">
        <f>+SUM(BL1227:BR1230)</f>
        <v>0</v>
      </c>
      <c r="BM1231" s="403"/>
      <c r="BN1231" s="403"/>
      <c r="BO1231" s="403"/>
      <c r="BP1231" s="403"/>
      <c r="BQ1231" s="403"/>
      <c r="BR1231" s="405"/>
      <c r="BS1231" s="403">
        <f>+SUM(BS1227:BZ1230)</f>
        <v>0</v>
      </c>
      <c r="BT1231" s="403"/>
      <c r="BU1231" s="403"/>
      <c r="BV1231" s="403"/>
      <c r="BW1231" s="403"/>
      <c r="BX1231" s="403"/>
      <c r="BY1231" s="403"/>
      <c r="BZ1231" s="405"/>
      <c r="CA1231" s="270"/>
      <c r="CB1231" s="3" t="str">
        <f t="shared" si="179"/>
        <v>Riadok bude skrytý.</v>
      </c>
      <c r="CC1231" s="271" t="s">
        <v>832</v>
      </c>
      <c r="CW1231" s="30">
        <f t="shared" si="180"/>
        <v>1</v>
      </c>
      <c r="CZ1231" s="30">
        <f t="shared" si="174"/>
        <v>1</v>
      </c>
      <c r="DA1231" s="30">
        <f t="shared" si="181"/>
        <v>1</v>
      </c>
      <c r="DB1231" s="2">
        <f t="shared" si="175"/>
        <v>0</v>
      </c>
      <c r="DS1231" s="130">
        <f>SI!BY1231</f>
        <v>412</v>
      </c>
      <c r="DZ1231" s="131">
        <f>SI!BZ1231</f>
        <v>0</v>
      </c>
    </row>
    <row r="1232" spans="1:130" hidden="1" x14ac:dyDescent="0.25">
      <c r="A1232" s="141"/>
      <c r="B1232" s="779" t="s">
        <v>311</v>
      </c>
      <c r="C1232" s="780"/>
      <c r="D1232" s="780"/>
      <c r="E1232" s="780"/>
      <c r="F1232" s="780"/>
      <c r="G1232" s="780"/>
      <c r="H1232" s="780"/>
      <c r="I1232" s="780"/>
      <c r="J1232" s="780"/>
      <c r="K1232" s="780"/>
      <c r="L1232" s="780"/>
      <c r="M1232" s="780"/>
      <c r="N1232" s="780"/>
      <c r="O1232" s="780"/>
      <c r="P1232" s="780"/>
      <c r="Q1232" s="780"/>
      <c r="R1232" s="780"/>
      <c r="S1232" s="780"/>
      <c r="T1232" s="780"/>
      <c r="U1232" s="780"/>
      <c r="V1232" s="780"/>
      <c r="W1232" s="780"/>
      <c r="X1232" s="780"/>
      <c r="Y1232" s="780"/>
      <c r="Z1232" s="780"/>
      <c r="AA1232" s="780"/>
      <c r="AB1232" s="780"/>
      <c r="AC1232" s="780"/>
      <c r="AD1232" s="780"/>
      <c r="AE1232" s="780"/>
      <c r="AF1232" s="780"/>
      <c r="AG1232" s="780"/>
      <c r="AH1232" s="780"/>
      <c r="AI1232" s="780"/>
      <c r="AJ1232" s="780"/>
      <c r="AK1232" s="780"/>
      <c r="AL1232" s="780"/>
      <c r="AM1232" s="780"/>
      <c r="AN1232" s="780"/>
      <c r="AO1232" s="780"/>
      <c r="AP1232" s="780"/>
      <c r="AQ1232" s="780"/>
      <c r="AR1232" s="780"/>
      <c r="AS1232" s="780"/>
      <c r="AT1232" s="780"/>
      <c r="AU1232" s="780"/>
      <c r="AV1232" s="780"/>
      <c r="AW1232" s="780"/>
      <c r="AX1232" s="780"/>
      <c r="AY1232" s="780"/>
      <c r="AZ1232" s="780"/>
      <c r="BA1232" s="780"/>
      <c r="BB1232" s="780"/>
      <c r="BC1232" s="780"/>
      <c r="BD1232" s="780"/>
      <c r="BE1232" s="780"/>
      <c r="BF1232" s="780"/>
      <c r="BG1232" s="780"/>
      <c r="BH1232" s="780"/>
      <c r="BI1232" s="780"/>
      <c r="BJ1232" s="780"/>
      <c r="BK1232" s="780"/>
      <c r="BL1232" s="780"/>
      <c r="BM1232" s="780"/>
      <c r="BN1232" s="780"/>
      <c r="BO1232" s="780"/>
      <c r="BP1232" s="780"/>
      <c r="BQ1232" s="780"/>
      <c r="BR1232" s="780"/>
      <c r="BS1232" s="780"/>
      <c r="BT1232" s="780"/>
      <c r="BU1232" s="780"/>
      <c r="BV1232" s="780"/>
      <c r="BW1232" s="780"/>
      <c r="BX1232" s="780"/>
      <c r="BY1232" s="780"/>
      <c r="BZ1232" s="781"/>
      <c r="CA1232" s="270"/>
      <c r="CB1232" s="3" t="str">
        <f t="shared" si="179"/>
        <v>Riadok bude skrytý.</v>
      </c>
      <c r="CC1232" s="271" t="s">
        <v>832</v>
      </c>
      <c r="CW1232" s="30">
        <f t="shared" si="180"/>
        <v>1</v>
      </c>
      <c r="CZ1232" s="30">
        <f t="shared" si="174"/>
        <v>1</v>
      </c>
      <c r="DA1232" s="30">
        <f t="shared" si="181"/>
        <v>1</v>
      </c>
      <c r="DB1232" s="2">
        <f t="shared" si="175"/>
        <v>0</v>
      </c>
      <c r="DS1232" s="130">
        <f>SI!BY1232</f>
        <v>100</v>
      </c>
      <c r="DZ1232" s="131">
        <f>SI!BZ1232</f>
        <v>0</v>
      </c>
    </row>
    <row r="1233" spans="1:130" hidden="1" x14ac:dyDescent="0.25">
      <c r="A1233" s="141"/>
      <c r="B1233" s="734" t="s">
        <v>118</v>
      </c>
      <c r="C1233" s="735"/>
      <c r="D1233" s="735"/>
      <c r="E1233" s="735"/>
      <c r="F1233" s="735"/>
      <c r="G1233" s="735"/>
      <c r="H1233" s="735"/>
      <c r="I1233" s="735"/>
      <c r="J1233" s="735"/>
      <c r="K1233" s="735"/>
      <c r="L1233" s="735"/>
      <c r="M1233" s="735"/>
      <c r="N1233" s="735"/>
      <c r="O1233" s="735"/>
      <c r="P1233" s="1265"/>
      <c r="Q1233" s="404">
        <f>+Q1221-Q1227</f>
        <v>0</v>
      </c>
      <c r="R1233" s="403"/>
      <c r="S1233" s="403"/>
      <c r="T1233" s="403"/>
      <c r="U1233" s="403"/>
      <c r="V1233" s="403"/>
      <c r="W1233" s="404">
        <f>+W1221-W1227</f>
        <v>0</v>
      </c>
      <c r="X1233" s="403"/>
      <c r="Y1233" s="403"/>
      <c r="Z1233" s="403"/>
      <c r="AA1233" s="403"/>
      <c r="AB1233" s="403"/>
      <c r="AC1233" s="405"/>
      <c r="AD1233" s="403">
        <f>+AD1221-AD1227</f>
        <v>0</v>
      </c>
      <c r="AE1233" s="403"/>
      <c r="AF1233" s="403"/>
      <c r="AG1233" s="403"/>
      <c r="AH1233" s="403"/>
      <c r="AI1233" s="403"/>
      <c r="AJ1233" s="403"/>
      <c r="AK1233" s="403"/>
      <c r="AL1233" s="404">
        <f>+AL1221-AL1227</f>
        <v>0</v>
      </c>
      <c r="AM1233" s="403"/>
      <c r="AN1233" s="403"/>
      <c r="AO1233" s="403"/>
      <c r="AP1233" s="403"/>
      <c r="AQ1233" s="403"/>
      <c r="AR1233" s="403"/>
      <c r="AS1233" s="405"/>
      <c r="AT1233" s="404">
        <f>+AT1221-AT1227</f>
        <v>0</v>
      </c>
      <c r="AU1233" s="403"/>
      <c r="AV1233" s="403"/>
      <c r="AW1233" s="403"/>
      <c r="AX1233" s="403"/>
      <c r="AY1233" s="405"/>
      <c r="AZ1233" s="403">
        <f>+AZ1221-AZ1227</f>
        <v>0</v>
      </c>
      <c r="BA1233" s="403"/>
      <c r="BB1233" s="403"/>
      <c r="BC1233" s="403"/>
      <c r="BD1233" s="403"/>
      <c r="BE1233" s="403"/>
      <c r="BF1233" s="404">
        <f>+BF1221-BF1227</f>
        <v>0</v>
      </c>
      <c r="BG1233" s="403"/>
      <c r="BH1233" s="403"/>
      <c r="BI1233" s="403"/>
      <c r="BJ1233" s="403"/>
      <c r="BK1233" s="405"/>
      <c r="BL1233" s="404">
        <f>+BL1221-BL1227</f>
        <v>0</v>
      </c>
      <c r="BM1233" s="403"/>
      <c r="BN1233" s="403"/>
      <c r="BO1233" s="403"/>
      <c r="BP1233" s="403"/>
      <c r="BQ1233" s="403"/>
      <c r="BR1233" s="405"/>
      <c r="BS1233" s="403">
        <f>+BS1221-BS1227</f>
        <v>0</v>
      </c>
      <c r="BT1233" s="403"/>
      <c r="BU1233" s="403"/>
      <c r="BV1233" s="403"/>
      <c r="BW1233" s="403"/>
      <c r="BX1233" s="403"/>
      <c r="BY1233" s="403"/>
      <c r="BZ1233" s="405"/>
      <c r="CA1233" s="270"/>
      <c r="CB1233" s="3" t="str">
        <f t="shared" si="179"/>
        <v>Riadok bude skrytý.</v>
      </c>
      <c r="CC1233" s="271" t="s">
        <v>832</v>
      </c>
      <c r="CW1233" s="30">
        <f t="shared" si="180"/>
        <v>1</v>
      </c>
      <c r="CZ1233" s="30">
        <f t="shared" si="174"/>
        <v>1</v>
      </c>
      <c r="DA1233" s="30">
        <f t="shared" si="181"/>
        <v>1</v>
      </c>
      <c r="DB1233" s="2">
        <f t="shared" si="175"/>
        <v>0</v>
      </c>
      <c r="DS1233" s="130">
        <f>SI!BY1233</f>
        <v>900</v>
      </c>
      <c r="DZ1233" s="131">
        <f>SI!BZ1233</f>
        <v>0</v>
      </c>
    </row>
    <row r="1234" spans="1:130" hidden="1" x14ac:dyDescent="0.25">
      <c r="A1234" s="141"/>
      <c r="B1234" s="734" t="s">
        <v>119</v>
      </c>
      <c r="C1234" s="735"/>
      <c r="D1234" s="735"/>
      <c r="E1234" s="735"/>
      <c r="F1234" s="735"/>
      <c r="G1234" s="735"/>
      <c r="H1234" s="735"/>
      <c r="I1234" s="735"/>
      <c r="J1234" s="735"/>
      <c r="K1234" s="735"/>
      <c r="L1234" s="735"/>
      <c r="M1234" s="735"/>
      <c r="N1234" s="735"/>
      <c r="O1234" s="735"/>
      <c r="P1234" s="1265"/>
      <c r="Q1234" s="404">
        <f>+Q1225-Q1231</f>
        <v>0</v>
      </c>
      <c r="R1234" s="403"/>
      <c r="S1234" s="403"/>
      <c r="T1234" s="403"/>
      <c r="U1234" s="403"/>
      <c r="V1234" s="403"/>
      <c r="W1234" s="404">
        <f>+W1225-W1231</f>
        <v>0</v>
      </c>
      <c r="X1234" s="403"/>
      <c r="Y1234" s="403"/>
      <c r="Z1234" s="403"/>
      <c r="AA1234" s="403"/>
      <c r="AB1234" s="403"/>
      <c r="AC1234" s="405"/>
      <c r="AD1234" s="403">
        <f>+AD1225-AD1231</f>
        <v>0</v>
      </c>
      <c r="AE1234" s="403"/>
      <c r="AF1234" s="403"/>
      <c r="AG1234" s="403"/>
      <c r="AH1234" s="403"/>
      <c r="AI1234" s="403"/>
      <c r="AJ1234" s="403"/>
      <c r="AK1234" s="403"/>
      <c r="AL1234" s="404">
        <f>+AL1225-AL1231</f>
        <v>0</v>
      </c>
      <c r="AM1234" s="403"/>
      <c r="AN1234" s="403"/>
      <c r="AO1234" s="403"/>
      <c r="AP1234" s="403"/>
      <c r="AQ1234" s="403"/>
      <c r="AR1234" s="403"/>
      <c r="AS1234" s="405"/>
      <c r="AT1234" s="404">
        <f>+AT1225-AT1231</f>
        <v>0</v>
      </c>
      <c r="AU1234" s="403"/>
      <c r="AV1234" s="403"/>
      <c r="AW1234" s="403"/>
      <c r="AX1234" s="403"/>
      <c r="AY1234" s="405"/>
      <c r="AZ1234" s="403">
        <f>+AZ1225-AZ1231</f>
        <v>0</v>
      </c>
      <c r="BA1234" s="403"/>
      <c r="BB1234" s="403"/>
      <c r="BC1234" s="403"/>
      <c r="BD1234" s="403"/>
      <c r="BE1234" s="403"/>
      <c r="BF1234" s="404">
        <f>+BF1225-BF1231</f>
        <v>0</v>
      </c>
      <c r="BG1234" s="403"/>
      <c r="BH1234" s="403"/>
      <c r="BI1234" s="403"/>
      <c r="BJ1234" s="403"/>
      <c r="BK1234" s="405"/>
      <c r="BL1234" s="404">
        <f>+BL1225-BL1231</f>
        <v>0</v>
      </c>
      <c r="BM1234" s="403"/>
      <c r="BN1234" s="403"/>
      <c r="BO1234" s="403"/>
      <c r="BP1234" s="403"/>
      <c r="BQ1234" s="403"/>
      <c r="BR1234" s="405"/>
      <c r="BS1234" s="403">
        <f>+BS1225-BS1231</f>
        <v>0</v>
      </c>
      <c r="BT1234" s="403"/>
      <c r="BU1234" s="403"/>
      <c r="BV1234" s="403"/>
      <c r="BW1234" s="403"/>
      <c r="BX1234" s="403"/>
      <c r="BY1234" s="403"/>
      <c r="BZ1234" s="405"/>
      <c r="CA1234" s="270"/>
      <c r="CB1234" s="3" t="str">
        <f t="shared" si="179"/>
        <v>Riadok bude skrytý.</v>
      </c>
      <c r="CC1234" s="271" t="s">
        <v>832</v>
      </c>
      <c r="CW1234" s="30">
        <f t="shared" si="180"/>
        <v>1</v>
      </c>
      <c r="CZ1234" s="30">
        <f t="shared" si="174"/>
        <v>1</v>
      </c>
      <c r="DA1234" s="30">
        <f t="shared" si="181"/>
        <v>1</v>
      </c>
      <c r="DB1234" s="2">
        <f t="shared" si="175"/>
        <v>0</v>
      </c>
      <c r="DS1234" s="130">
        <f>SI!BY1234</f>
        <v>171</v>
      </c>
      <c r="DZ1234" s="131">
        <f>SI!BZ1234</f>
        <v>0</v>
      </c>
    </row>
    <row r="1235" spans="1:130" hidden="1" x14ac:dyDescent="0.25">
      <c r="A1235" s="141"/>
      <c r="CA1235" s="270"/>
      <c r="CB1235" s="3" t="str">
        <f t="shared" si="179"/>
        <v>Riadok bude skrytý.</v>
      </c>
      <c r="CC1235" s="271" t="s">
        <v>832</v>
      </c>
      <c r="CW1235" s="30">
        <f t="shared" si="180"/>
        <v>1</v>
      </c>
      <c r="CZ1235" s="30">
        <f t="shared" si="174"/>
        <v>1</v>
      </c>
      <c r="DA1235" s="30">
        <f t="shared" si="181"/>
        <v>1</v>
      </c>
      <c r="DB1235" s="2">
        <f t="shared" si="175"/>
        <v>0</v>
      </c>
      <c r="DS1235" s="130">
        <f>SI!BY1235</f>
        <v>261</v>
      </c>
      <c r="DZ1235" s="131">
        <f>SI!BZ1235</f>
        <v>0</v>
      </c>
    </row>
    <row r="1236" spans="1:130" ht="14.95" hidden="1" customHeight="1" x14ac:dyDescent="0.25">
      <c r="A1236" s="141"/>
      <c r="B1236" s="1065" t="s">
        <v>127</v>
      </c>
      <c r="C1236" s="1066"/>
      <c r="D1236" s="1066"/>
      <c r="E1236" s="1066"/>
      <c r="F1236" s="1066"/>
      <c r="G1236" s="1066"/>
      <c r="H1236" s="1066"/>
      <c r="I1236" s="1066"/>
      <c r="J1236" s="1066"/>
      <c r="K1236" s="1066"/>
      <c r="L1236" s="1066"/>
      <c r="M1236" s="1066"/>
      <c r="N1236" s="1066"/>
      <c r="O1236" s="1066"/>
      <c r="P1236" s="1067"/>
      <c r="Q1236" s="1740">
        <f>+BE141</f>
        <v>2020</v>
      </c>
      <c r="R1236" s="1741"/>
      <c r="S1236" s="1741"/>
      <c r="T1236" s="1741"/>
      <c r="U1236" s="1741"/>
      <c r="V1236" s="1741"/>
      <c r="W1236" s="1741"/>
      <c r="X1236" s="1741"/>
      <c r="Y1236" s="1741"/>
      <c r="Z1236" s="1741"/>
      <c r="AA1236" s="1741"/>
      <c r="AB1236" s="1741"/>
      <c r="AC1236" s="1741"/>
      <c r="AD1236" s="1741"/>
      <c r="AE1236" s="1741"/>
      <c r="AF1236" s="1741"/>
      <c r="AG1236" s="1741"/>
      <c r="AH1236" s="1741"/>
      <c r="AI1236" s="1741"/>
      <c r="AJ1236" s="1741"/>
      <c r="AK1236" s="1741"/>
      <c r="AL1236" s="1741"/>
      <c r="AM1236" s="1741"/>
      <c r="AN1236" s="1741"/>
      <c r="AO1236" s="1741"/>
      <c r="AP1236" s="1741"/>
      <c r="AQ1236" s="1741"/>
      <c r="AR1236" s="1741"/>
      <c r="AS1236" s="1741"/>
      <c r="AT1236" s="1741"/>
      <c r="AU1236" s="1741"/>
      <c r="AV1236" s="1741"/>
      <c r="AW1236" s="1741"/>
      <c r="AX1236" s="1741"/>
      <c r="AY1236" s="1741"/>
      <c r="AZ1236" s="1741"/>
      <c r="BA1236" s="1741"/>
      <c r="BB1236" s="1741"/>
      <c r="BC1236" s="1741"/>
      <c r="BD1236" s="1741"/>
      <c r="BE1236" s="1741"/>
      <c r="BF1236" s="1741"/>
      <c r="BG1236" s="1741"/>
      <c r="BH1236" s="1741"/>
      <c r="BI1236" s="1741"/>
      <c r="BJ1236" s="1741"/>
      <c r="BK1236" s="1741"/>
      <c r="BL1236" s="1741"/>
      <c r="BM1236" s="1741"/>
      <c r="BN1236" s="1741"/>
      <c r="BO1236" s="1741"/>
      <c r="BP1236" s="1741"/>
      <c r="BQ1236" s="1741"/>
      <c r="BR1236" s="1741"/>
      <c r="BS1236" s="1741"/>
      <c r="BT1236" s="1741"/>
      <c r="BU1236" s="1741"/>
      <c r="BV1236" s="1741"/>
      <c r="BW1236" s="1741"/>
      <c r="BX1236" s="1741"/>
      <c r="BY1236" s="1741"/>
      <c r="BZ1236" s="1742"/>
      <c r="CA1236" s="265" t="s">
        <v>773</v>
      </c>
      <c r="CB1236" s="3" t="str">
        <f t="shared" si="179"/>
        <v>Riadok bude skrytý.</v>
      </c>
      <c r="CC1236" s="271" t="s">
        <v>832</v>
      </c>
      <c r="CD1236" s="4"/>
      <c r="CW1236" s="30">
        <f t="shared" si="180"/>
        <v>1</v>
      </c>
      <c r="CX1236" s="32">
        <f t="shared" ref="CX1236:CX1255" si="182">+IF(YEAR($AW$123)=YEAR($DC$4),0,1)</f>
        <v>1</v>
      </c>
      <c r="CZ1236" s="30">
        <f t="shared" si="174"/>
        <v>1</v>
      </c>
      <c r="DA1236" s="52">
        <f t="shared" ref="DA1236:DA1266" si="183">+IF(CW1236*CX1236=0,0,IF(CZ1236=0,0,1))</f>
        <v>1</v>
      </c>
      <c r="DB1236" s="2">
        <f t="shared" si="175"/>
        <v>0</v>
      </c>
      <c r="DS1236" s="130">
        <f>SI!BY1236</f>
        <v>142</v>
      </c>
      <c r="DZ1236" s="131">
        <f>SI!BZ1236</f>
        <v>0</v>
      </c>
    </row>
    <row r="1237" spans="1:130" ht="29.25" hidden="1" customHeight="1" x14ac:dyDescent="0.25">
      <c r="A1237" s="141"/>
      <c r="B1237" s="1693"/>
      <c r="C1237" s="1694"/>
      <c r="D1237" s="1694"/>
      <c r="E1237" s="1694"/>
      <c r="F1237" s="1694"/>
      <c r="G1237" s="1694"/>
      <c r="H1237" s="1694"/>
      <c r="I1237" s="1694"/>
      <c r="J1237" s="1694"/>
      <c r="K1237" s="1694"/>
      <c r="L1237" s="1694"/>
      <c r="M1237" s="1694"/>
      <c r="N1237" s="1694"/>
      <c r="O1237" s="1694"/>
      <c r="P1237" s="1752"/>
      <c r="Q1237" s="724" t="s">
        <v>128</v>
      </c>
      <c r="R1237" s="725"/>
      <c r="S1237" s="725"/>
      <c r="T1237" s="725"/>
      <c r="U1237" s="725"/>
      <c r="V1237" s="726"/>
      <c r="W1237" s="724" t="s">
        <v>766</v>
      </c>
      <c r="X1237" s="725"/>
      <c r="Y1237" s="725"/>
      <c r="Z1237" s="725"/>
      <c r="AA1237" s="725"/>
      <c r="AB1237" s="725"/>
      <c r="AC1237" s="726"/>
      <c r="AD1237" s="724" t="s">
        <v>129</v>
      </c>
      <c r="AE1237" s="725"/>
      <c r="AF1237" s="725"/>
      <c r="AG1237" s="725"/>
      <c r="AH1237" s="725"/>
      <c r="AI1237" s="725"/>
      <c r="AJ1237" s="725"/>
      <c r="AK1237" s="726"/>
      <c r="AL1237" s="724" t="s">
        <v>130</v>
      </c>
      <c r="AM1237" s="725"/>
      <c r="AN1237" s="725"/>
      <c r="AO1237" s="725"/>
      <c r="AP1237" s="725"/>
      <c r="AQ1237" s="725"/>
      <c r="AR1237" s="725"/>
      <c r="AS1237" s="726"/>
      <c r="AT1237" s="724" t="s">
        <v>876</v>
      </c>
      <c r="AU1237" s="725"/>
      <c r="AV1237" s="725"/>
      <c r="AW1237" s="725"/>
      <c r="AX1237" s="725"/>
      <c r="AY1237" s="1744"/>
      <c r="AZ1237" s="1743" t="s">
        <v>131</v>
      </c>
      <c r="BA1237" s="725"/>
      <c r="BB1237" s="725"/>
      <c r="BC1237" s="725"/>
      <c r="BD1237" s="725"/>
      <c r="BE1237" s="1744"/>
      <c r="BF1237" s="1743" t="s">
        <v>132</v>
      </c>
      <c r="BG1237" s="725"/>
      <c r="BH1237" s="725"/>
      <c r="BI1237" s="725"/>
      <c r="BJ1237" s="725"/>
      <c r="BK1237" s="1744"/>
      <c r="BL1237" s="1743" t="s">
        <v>767</v>
      </c>
      <c r="BM1237" s="725"/>
      <c r="BN1237" s="725"/>
      <c r="BO1237" s="725"/>
      <c r="BP1237" s="725"/>
      <c r="BQ1237" s="725"/>
      <c r="BR1237" s="1744"/>
      <c r="BS1237" s="1743" t="s">
        <v>45</v>
      </c>
      <c r="BT1237" s="725"/>
      <c r="BU1237" s="725"/>
      <c r="BV1237" s="725"/>
      <c r="BW1237" s="725"/>
      <c r="BX1237" s="725"/>
      <c r="BY1237" s="725"/>
      <c r="BZ1237" s="1744"/>
      <c r="CA1237" s="270"/>
      <c r="CB1237" s="3" t="str">
        <f t="shared" si="179"/>
        <v>Riadok bude skrytý.</v>
      </c>
      <c r="CC1237" s="271" t="s">
        <v>832</v>
      </c>
      <c r="CW1237" s="30">
        <f t="shared" si="180"/>
        <v>1</v>
      </c>
      <c r="CX1237" s="32">
        <f t="shared" si="182"/>
        <v>1</v>
      </c>
      <c r="CZ1237" s="30">
        <f t="shared" si="174"/>
        <v>1</v>
      </c>
      <c r="DA1237" s="52">
        <f t="shared" si="183"/>
        <v>1</v>
      </c>
      <c r="DB1237" s="2">
        <f t="shared" si="175"/>
        <v>0</v>
      </c>
      <c r="DS1237" s="130">
        <f>SI!BY1237</f>
        <v>1171</v>
      </c>
      <c r="DZ1237" s="131">
        <f>SI!BZ1237</f>
        <v>0</v>
      </c>
    </row>
    <row r="1238" spans="1:130" ht="29.25" hidden="1" customHeight="1" x14ac:dyDescent="0.25">
      <c r="A1238" s="141"/>
      <c r="B1238" s="1693"/>
      <c r="C1238" s="1694"/>
      <c r="D1238" s="1694"/>
      <c r="E1238" s="1694"/>
      <c r="F1238" s="1694"/>
      <c r="G1238" s="1694"/>
      <c r="H1238" s="1694"/>
      <c r="I1238" s="1694"/>
      <c r="J1238" s="1694"/>
      <c r="K1238" s="1694"/>
      <c r="L1238" s="1694"/>
      <c r="M1238" s="1694"/>
      <c r="N1238" s="1694"/>
      <c r="O1238" s="1694"/>
      <c r="P1238" s="1752"/>
      <c r="Q1238" s="727"/>
      <c r="R1238" s="728"/>
      <c r="S1238" s="728"/>
      <c r="T1238" s="728"/>
      <c r="U1238" s="728"/>
      <c r="V1238" s="729"/>
      <c r="W1238" s="727"/>
      <c r="X1238" s="728"/>
      <c r="Y1238" s="728"/>
      <c r="Z1238" s="728"/>
      <c r="AA1238" s="728"/>
      <c r="AB1238" s="728"/>
      <c r="AC1238" s="729"/>
      <c r="AD1238" s="727"/>
      <c r="AE1238" s="728"/>
      <c r="AF1238" s="728"/>
      <c r="AG1238" s="728"/>
      <c r="AH1238" s="728"/>
      <c r="AI1238" s="728"/>
      <c r="AJ1238" s="728"/>
      <c r="AK1238" s="729"/>
      <c r="AL1238" s="727"/>
      <c r="AM1238" s="728"/>
      <c r="AN1238" s="728"/>
      <c r="AO1238" s="728"/>
      <c r="AP1238" s="728"/>
      <c r="AQ1238" s="728"/>
      <c r="AR1238" s="728"/>
      <c r="AS1238" s="729"/>
      <c r="AT1238" s="727"/>
      <c r="AU1238" s="728"/>
      <c r="AV1238" s="728"/>
      <c r="AW1238" s="728"/>
      <c r="AX1238" s="728"/>
      <c r="AY1238" s="1746"/>
      <c r="AZ1238" s="1745"/>
      <c r="BA1238" s="728"/>
      <c r="BB1238" s="728"/>
      <c r="BC1238" s="728"/>
      <c r="BD1238" s="728"/>
      <c r="BE1238" s="1746"/>
      <c r="BF1238" s="1745"/>
      <c r="BG1238" s="728"/>
      <c r="BH1238" s="728"/>
      <c r="BI1238" s="728"/>
      <c r="BJ1238" s="728"/>
      <c r="BK1238" s="1746"/>
      <c r="BL1238" s="1745"/>
      <c r="BM1238" s="728"/>
      <c r="BN1238" s="728"/>
      <c r="BO1238" s="728"/>
      <c r="BP1238" s="728"/>
      <c r="BQ1238" s="728"/>
      <c r="BR1238" s="1746"/>
      <c r="BS1238" s="1745"/>
      <c r="BT1238" s="728"/>
      <c r="BU1238" s="728"/>
      <c r="BV1238" s="728"/>
      <c r="BW1238" s="728"/>
      <c r="BX1238" s="728"/>
      <c r="BY1238" s="728"/>
      <c r="BZ1238" s="1746"/>
      <c r="CA1238" s="270"/>
      <c r="CB1238" s="3" t="str">
        <f t="shared" si="179"/>
        <v>Riadok bude skrytý.</v>
      </c>
      <c r="CC1238" s="271" t="s">
        <v>832</v>
      </c>
      <c r="CW1238" s="30">
        <f t="shared" si="180"/>
        <v>1</v>
      </c>
      <c r="CX1238" s="32">
        <f t="shared" si="182"/>
        <v>1</v>
      </c>
      <c r="CZ1238" s="30">
        <f t="shared" si="174"/>
        <v>1</v>
      </c>
      <c r="DA1238" s="52">
        <f t="shared" si="183"/>
        <v>1</v>
      </c>
      <c r="DB1238" s="2">
        <f t="shared" si="175"/>
        <v>0</v>
      </c>
      <c r="DS1238" s="130">
        <f>SI!BY1238</f>
        <v>586</v>
      </c>
      <c r="DZ1238" s="131">
        <f>SI!BZ1238</f>
        <v>0</v>
      </c>
    </row>
    <row r="1239" spans="1:130" hidden="1" x14ac:dyDescent="0.25">
      <c r="A1239" s="141"/>
      <c r="B1239" s="1738" t="s">
        <v>0</v>
      </c>
      <c r="C1239" s="1739"/>
      <c r="D1239" s="1739"/>
      <c r="E1239" s="1739"/>
      <c r="F1239" s="1739"/>
      <c r="G1239" s="1739"/>
      <c r="H1239" s="1739"/>
      <c r="I1239" s="1739"/>
      <c r="J1239" s="1739"/>
      <c r="K1239" s="1739"/>
      <c r="L1239" s="1739"/>
      <c r="M1239" s="1739"/>
      <c r="N1239" s="1739"/>
      <c r="O1239" s="1739"/>
      <c r="P1239" s="1329"/>
      <c r="Q1239" s="1738" t="s">
        <v>1</v>
      </c>
      <c r="R1239" s="1739"/>
      <c r="S1239" s="1739"/>
      <c r="T1239" s="1739"/>
      <c r="U1239" s="1739"/>
      <c r="V1239" s="1329"/>
      <c r="W1239" s="1738" t="s">
        <v>2</v>
      </c>
      <c r="X1239" s="1739"/>
      <c r="Y1239" s="1739"/>
      <c r="Z1239" s="1739"/>
      <c r="AA1239" s="1739"/>
      <c r="AB1239" s="1739"/>
      <c r="AC1239" s="1329"/>
      <c r="AD1239" s="1738" t="s">
        <v>28</v>
      </c>
      <c r="AE1239" s="1739"/>
      <c r="AF1239" s="1739"/>
      <c r="AG1239" s="1739"/>
      <c r="AH1239" s="1739"/>
      <c r="AI1239" s="1739"/>
      <c r="AJ1239" s="1739"/>
      <c r="AK1239" s="1329"/>
      <c r="AL1239" s="1738" t="s">
        <v>29</v>
      </c>
      <c r="AM1239" s="1739"/>
      <c r="AN1239" s="1739"/>
      <c r="AO1239" s="1739"/>
      <c r="AP1239" s="1739"/>
      <c r="AQ1239" s="1739"/>
      <c r="AR1239" s="1739"/>
      <c r="AS1239" s="1329"/>
      <c r="AT1239" s="1738" t="s">
        <v>103</v>
      </c>
      <c r="AU1239" s="1739"/>
      <c r="AV1239" s="1739"/>
      <c r="AW1239" s="1739"/>
      <c r="AX1239" s="1739"/>
      <c r="AY1239" s="1747"/>
      <c r="AZ1239" s="1326" t="s">
        <v>104</v>
      </c>
      <c r="BA1239" s="1739"/>
      <c r="BB1239" s="1739"/>
      <c r="BC1239" s="1739"/>
      <c r="BD1239" s="1739"/>
      <c r="BE1239" s="1747"/>
      <c r="BF1239" s="1326" t="s">
        <v>105</v>
      </c>
      <c r="BG1239" s="1739"/>
      <c r="BH1239" s="1739"/>
      <c r="BI1239" s="1739"/>
      <c r="BJ1239" s="1739"/>
      <c r="BK1239" s="1747"/>
      <c r="BL1239" s="1326" t="s">
        <v>27</v>
      </c>
      <c r="BM1239" s="1739"/>
      <c r="BN1239" s="1739"/>
      <c r="BO1239" s="1739"/>
      <c r="BP1239" s="1739"/>
      <c r="BQ1239" s="1739"/>
      <c r="BR1239" s="1747"/>
      <c r="BS1239" s="1326" t="s">
        <v>120</v>
      </c>
      <c r="BT1239" s="1739"/>
      <c r="BU1239" s="1739"/>
      <c r="BV1239" s="1739"/>
      <c r="BW1239" s="1739"/>
      <c r="BX1239" s="1739"/>
      <c r="BY1239" s="1739"/>
      <c r="BZ1239" s="1747"/>
      <c r="CA1239" s="270"/>
      <c r="CB1239" s="3" t="str">
        <f t="shared" si="179"/>
        <v>Riadok bude skrytý.</v>
      </c>
      <c r="CC1239" s="271" t="s">
        <v>832</v>
      </c>
      <c r="CW1239" s="30">
        <f t="shared" si="180"/>
        <v>1</v>
      </c>
      <c r="CX1239" s="32">
        <f t="shared" si="182"/>
        <v>1</v>
      </c>
      <c r="CZ1239" s="30">
        <f t="shared" si="174"/>
        <v>1</v>
      </c>
      <c r="DA1239" s="52">
        <f t="shared" si="183"/>
        <v>1</v>
      </c>
      <c r="DB1239" s="2">
        <f t="shared" si="175"/>
        <v>0</v>
      </c>
      <c r="DS1239" s="130">
        <f>SI!BY1239</f>
        <v>154</v>
      </c>
      <c r="DZ1239" s="131">
        <f>SI!BZ1239</f>
        <v>0</v>
      </c>
    </row>
    <row r="1240" spans="1:130" hidden="1" x14ac:dyDescent="0.25">
      <c r="A1240" s="141"/>
      <c r="B1240" s="819" t="s">
        <v>111</v>
      </c>
      <c r="C1240" s="820"/>
      <c r="D1240" s="820"/>
      <c r="E1240" s="820"/>
      <c r="F1240" s="820"/>
      <c r="G1240" s="820"/>
      <c r="H1240" s="820"/>
      <c r="I1240" s="820"/>
      <c r="J1240" s="820"/>
      <c r="K1240" s="820"/>
      <c r="L1240" s="820"/>
      <c r="M1240" s="820"/>
      <c r="N1240" s="820"/>
      <c r="O1240" s="820"/>
      <c r="P1240" s="820"/>
      <c r="Q1240" s="1770"/>
      <c r="R1240" s="1770"/>
      <c r="S1240" s="1770"/>
      <c r="T1240" s="1770"/>
      <c r="U1240" s="1770"/>
      <c r="V1240" s="1770"/>
      <c r="W1240" s="1770"/>
      <c r="X1240" s="1770"/>
      <c r="Y1240" s="1770"/>
      <c r="Z1240" s="1770"/>
      <c r="AA1240" s="1770"/>
      <c r="AB1240" s="1770"/>
      <c r="AC1240" s="1770"/>
      <c r="AD1240" s="1770"/>
      <c r="AE1240" s="1770"/>
      <c r="AF1240" s="1770"/>
      <c r="AG1240" s="1770"/>
      <c r="AH1240" s="1770"/>
      <c r="AI1240" s="1770"/>
      <c r="AJ1240" s="1770"/>
      <c r="AK1240" s="1770"/>
      <c r="AL1240" s="1770"/>
      <c r="AM1240" s="1770"/>
      <c r="AN1240" s="1770"/>
      <c r="AO1240" s="1770"/>
      <c r="AP1240" s="1770"/>
      <c r="AQ1240" s="1770"/>
      <c r="AR1240" s="1770"/>
      <c r="AS1240" s="1770"/>
      <c r="AT1240" s="1770"/>
      <c r="AU1240" s="1770"/>
      <c r="AV1240" s="1770"/>
      <c r="AW1240" s="1770"/>
      <c r="AX1240" s="1770"/>
      <c r="AY1240" s="1770"/>
      <c r="AZ1240" s="1770"/>
      <c r="BA1240" s="1770"/>
      <c r="BB1240" s="1770"/>
      <c r="BC1240" s="1770"/>
      <c r="BD1240" s="1770"/>
      <c r="BE1240" s="1770"/>
      <c r="BF1240" s="1770"/>
      <c r="BG1240" s="1770"/>
      <c r="BH1240" s="1770"/>
      <c r="BI1240" s="1770"/>
      <c r="BJ1240" s="1770"/>
      <c r="BK1240" s="1770"/>
      <c r="BL1240" s="1770"/>
      <c r="BM1240" s="1770"/>
      <c r="BN1240" s="1770"/>
      <c r="BO1240" s="1770"/>
      <c r="BP1240" s="1770"/>
      <c r="BQ1240" s="1770"/>
      <c r="BR1240" s="1770"/>
      <c r="BS1240" s="1770"/>
      <c r="BT1240" s="1770"/>
      <c r="BU1240" s="1770"/>
      <c r="BV1240" s="1770"/>
      <c r="BW1240" s="1770"/>
      <c r="BX1240" s="1770"/>
      <c r="BY1240" s="1770"/>
      <c r="BZ1240" s="1771"/>
      <c r="CA1240" s="270"/>
      <c r="CB1240" s="3" t="str">
        <f t="shared" si="179"/>
        <v>Riadok bude skrytý.</v>
      </c>
      <c r="CC1240" s="271" t="s">
        <v>832</v>
      </c>
      <c r="CW1240" s="30">
        <f t="shared" si="180"/>
        <v>1</v>
      </c>
      <c r="CX1240" s="32">
        <f t="shared" si="182"/>
        <v>1</v>
      </c>
      <c r="CZ1240" s="30">
        <f t="shared" si="174"/>
        <v>1</v>
      </c>
      <c r="DA1240" s="52">
        <f t="shared" si="183"/>
        <v>1</v>
      </c>
      <c r="DB1240" s="2">
        <f t="shared" si="175"/>
        <v>0</v>
      </c>
      <c r="DS1240" s="130">
        <f>SI!BY1240</f>
        <v>185</v>
      </c>
      <c r="DZ1240" s="131">
        <f>SI!BZ1240</f>
        <v>0</v>
      </c>
    </row>
    <row r="1241" spans="1:130" hidden="1" x14ac:dyDescent="0.25">
      <c r="A1241" s="141"/>
      <c r="B1241" s="734" t="s">
        <v>118</v>
      </c>
      <c r="C1241" s="735"/>
      <c r="D1241" s="735"/>
      <c r="E1241" s="735"/>
      <c r="F1241" s="735"/>
      <c r="G1241" s="735"/>
      <c r="H1241" s="735"/>
      <c r="I1241" s="735"/>
      <c r="J1241" s="735"/>
      <c r="K1241" s="735"/>
      <c r="L1241" s="735"/>
      <c r="M1241" s="735"/>
      <c r="N1241" s="735"/>
      <c r="O1241" s="735"/>
      <c r="P1241" s="735"/>
      <c r="Q1241" s="751"/>
      <c r="R1241" s="752"/>
      <c r="S1241" s="752"/>
      <c r="T1241" s="752"/>
      <c r="U1241" s="752"/>
      <c r="V1241" s="752"/>
      <c r="W1241" s="751"/>
      <c r="X1241" s="752"/>
      <c r="Y1241" s="752"/>
      <c r="Z1241" s="752"/>
      <c r="AA1241" s="752"/>
      <c r="AB1241" s="752"/>
      <c r="AC1241" s="753"/>
      <c r="AD1241" s="752"/>
      <c r="AE1241" s="752"/>
      <c r="AF1241" s="752"/>
      <c r="AG1241" s="752"/>
      <c r="AH1241" s="752"/>
      <c r="AI1241" s="752"/>
      <c r="AJ1241" s="752"/>
      <c r="AK1241" s="752"/>
      <c r="AL1241" s="751"/>
      <c r="AM1241" s="752"/>
      <c r="AN1241" s="752"/>
      <c r="AO1241" s="752"/>
      <c r="AP1241" s="752"/>
      <c r="AQ1241" s="752"/>
      <c r="AR1241" s="752"/>
      <c r="AS1241" s="753"/>
      <c r="AT1241" s="752"/>
      <c r="AU1241" s="752"/>
      <c r="AV1241" s="752"/>
      <c r="AW1241" s="752"/>
      <c r="AX1241" s="752"/>
      <c r="AY1241" s="752"/>
      <c r="AZ1241" s="751"/>
      <c r="BA1241" s="752"/>
      <c r="BB1241" s="752"/>
      <c r="BC1241" s="752"/>
      <c r="BD1241" s="752"/>
      <c r="BE1241" s="753"/>
      <c r="BF1241" s="752"/>
      <c r="BG1241" s="752"/>
      <c r="BH1241" s="752"/>
      <c r="BI1241" s="752"/>
      <c r="BJ1241" s="752"/>
      <c r="BK1241" s="752"/>
      <c r="BL1241" s="751"/>
      <c r="BM1241" s="752"/>
      <c r="BN1241" s="752"/>
      <c r="BO1241" s="752"/>
      <c r="BP1241" s="752"/>
      <c r="BQ1241" s="752"/>
      <c r="BR1241" s="753"/>
      <c r="BS1241" s="403">
        <f>+SUM(Q1241:BR1241)</f>
        <v>0</v>
      </c>
      <c r="BT1241" s="403"/>
      <c r="BU1241" s="403"/>
      <c r="BV1241" s="403"/>
      <c r="BW1241" s="403"/>
      <c r="BX1241" s="403"/>
      <c r="BY1241" s="403"/>
      <c r="BZ1241" s="405"/>
      <c r="CA1241" s="270"/>
      <c r="CB1241" s="3" t="str">
        <f t="shared" si="179"/>
        <v>Riadok bude skrytý.</v>
      </c>
      <c r="CC1241" s="271" t="s">
        <v>832</v>
      </c>
      <c r="CW1241" s="30">
        <f t="shared" si="180"/>
        <v>1</v>
      </c>
      <c r="CX1241" s="32">
        <f t="shared" si="182"/>
        <v>1</v>
      </c>
      <c r="CZ1241" s="30">
        <f t="shared" si="174"/>
        <v>1</v>
      </c>
      <c r="DA1241" s="52">
        <f t="shared" si="183"/>
        <v>1</v>
      </c>
      <c r="DB1241" s="2">
        <f t="shared" si="175"/>
        <v>0</v>
      </c>
      <c r="DS1241" s="130">
        <f>SI!BY1241</f>
        <v>109</v>
      </c>
      <c r="DZ1241" s="131">
        <f>SI!BZ1241</f>
        <v>0</v>
      </c>
    </row>
    <row r="1242" spans="1:130" hidden="1" x14ac:dyDescent="0.25">
      <c r="A1242" s="141"/>
      <c r="B1242" s="814" t="s">
        <v>113</v>
      </c>
      <c r="C1242" s="815"/>
      <c r="D1242" s="815"/>
      <c r="E1242" s="815"/>
      <c r="F1242" s="815"/>
      <c r="G1242" s="815"/>
      <c r="H1242" s="815"/>
      <c r="I1242" s="815"/>
      <c r="J1242" s="815"/>
      <c r="K1242" s="815"/>
      <c r="L1242" s="815"/>
      <c r="M1242" s="815"/>
      <c r="N1242" s="815"/>
      <c r="O1242" s="815"/>
      <c r="P1242" s="815"/>
      <c r="Q1242" s="761"/>
      <c r="R1242" s="762"/>
      <c r="S1242" s="762"/>
      <c r="T1242" s="762"/>
      <c r="U1242" s="762"/>
      <c r="V1242" s="762"/>
      <c r="W1242" s="761"/>
      <c r="X1242" s="762"/>
      <c r="Y1242" s="762"/>
      <c r="Z1242" s="762"/>
      <c r="AA1242" s="762"/>
      <c r="AB1242" s="762"/>
      <c r="AC1242" s="763"/>
      <c r="AD1242" s="762"/>
      <c r="AE1242" s="762"/>
      <c r="AF1242" s="762"/>
      <c r="AG1242" s="762"/>
      <c r="AH1242" s="762"/>
      <c r="AI1242" s="762"/>
      <c r="AJ1242" s="762"/>
      <c r="AK1242" s="762"/>
      <c r="AL1242" s="761"/>
      <c r="AM1242" s="762"/>
      <c r="AN1242" s="762"/>
      <c r="AO1242" s="762"/>
      <c r="AP1242" s="762"/>
      <c r="AQ1242" s="762"/>
      <c r="AR1242" s="762"/>
      <c r="AS1242" s="763"/>
      <c r="AT1242" s="762"/>
      <c r="AU1242" s="762"/>
      <c r="AV1242" s="762"/>
      <c r="AW1242" s="762"/>
      <c r="AX1242" s="762"/>
      <c r="AY1242" s="762"/>
      <c r="AZ1242" s="761"/>
      <c r="BA1242" s="762"/>
      <c r="BB1242" s="762"/>
      <c r="BC1242" s="762"/>
      <c r="BD1242" s="762"/>
      <c r="BE1242" s="763"/>
      <c r="BF1242" s="762"/>
      <c r="BG1242" s="762"/>
      <c r="BH1242" s="762"/>
      <c r="BI1242" s="762"/>
      <c r="BJ1242" s="762"/>
      <c r="BK1242" s="762"/>
      <c r="BL1242" s="761"/>
      <c r="BM1242" s="762"/>
      <c r="BN1242" s="762"/>
      <c r="BO1242" s="762"/>
      <c r="BP1242" s="762"/>
      <c r="BQ1242" s="762"/>
      <c r="BR1242" s="763"/>
      <c r="BS1242" s="1748">
        <f>+SUM(Q1242:BR1242)</f>
        <v>0</v>
      </c>
      <c r="BT1242" s="1748"/>
      <c r="BU1242" s="1748"/>
      <c r="BV1242" s="1748"/>
      <c r="BW1242" s="1748"/>
      <c r="BX1242" s="1748"/>
      <c r="BY1242" s="1748"/>
      <c r="BZ1242" s="1749"/>
      <c r="CA1242" s="270"/>
      <c r="CB1242" s="3" t="str">
        <f t="shared" si="179"/>
        <v>Riadok bude skrytý.</v>
      </c>
      <c r="CC1242" s="271" t="s">
        <v>832</v>
      </c>
      <c r="CW1242" s="30">
        <f t="shared" si="180"/>
        <v>1</v>
      </c>
      <c r="CX1242" s="32">
        <f t="shared" si="182"/>
        <v>1</v>
      </c>
      <c r="CZ1242" s="30">
        <f t="shared" si="174"/>
        <v>1</v>
      </c>
      <c r="DA1242" s="52">
        <f t="shared" si="183"/>
        <v>1</v>
      </c>
      <c r="DB1242" s="2">
        <f t="shared" si="175"/>
        <v>0</v>
      </c>
      <c r="DS1242" s="130">
        <f>SI!BY1242</f>
        <v>642</v>
      </c>
      <c r="DZ1242" s="131">
        <f>SI!BZ1242</f>
        <v>0</v>
      </c>
    </row>
    <row r="1243" spans="1:130" hidden="1" x14ac:dyDescent="0.25">
      <c r="A1243" s="141"/>
      <c r="B1243" s="764" t="s">
        <v>114</v>
      </c>
      <c r="C1243" s="765"/>
      <c r="D1243" s="765"/>
      <c r="E1243" s="765"/>
      <c r="F1243" s="765"/>
      <c r="G1243" s="765"/>
      <c r="H1243" s="765"/>
      <c r="I1243" s="765"/>
      <c r="J1243" s="765"/>
      <c r="K1243" s="765"/>
      <c r="L1243" s="765"/>
      <c r="M1243" s="765"/>
      <c r="N1243" s="765"/>
      <c r="O1243" s="765"/>
      <c r="P1243" s="765"/>
      <c r="Q1243" s="1246"/>
      <c r="R1243" s="1247"/>
      <c r="S1243" s="1247"/>
      <c r="T1243" s="1247"/>
      <c r="U1243" s="1247"/>
      <c r="V1243" s="1247"/>
      <c r="W1243" s="1246"/>
      <c r="X1243" s="1247"/>
      <c r="Y1243" s="1247"/>
      <c r="Z1243" s="1247"/>
      <c r="AA1243" s="1247"/>
      <c r="AB1243" s="1247"/>
      <c r="AC1243" s="1248"/>
      <c r="AD1243" s="1247"/>
      <c r="AE1243" s="1247"/>
      <c r="AF1243" s="1247"/>
      <c r="AG1243" s="1247"/>
      <c r="AH1243" s="1247"/>
      <c r="AI1243" s="1247"/>
      <c r="AJ1243" s="1247"/>
      <c r="AK1243" s="1247"/>
      <c r="AL1243" s="1246"/>
      <c r="AM1243" s="1247"/>
      <c r="AN1243" s="1247"/>
      <c r="AO1243" s="1247"/>
      <c r="AP1243" s="1247"/>
      <c r="AQ1243" s="1247"/>
      <c r="AR1243" s="1247"/>
      <c r="AS1243" s="1248"/>
      <c r="AT1243" s="1247"/>
      <c r="AU1243" s="1247"/>
      <c r="AV1243" s="1247"/>
      <c r="AW1243" s="1247"/>
      <c r="AX1243" s="1247"/>
      <c r="AY1243" s="1247"/>
      <c r="AZ1243" s="1246"/>
      <c r="BA1243" s="1247"/>
      <c r="BB1243" s="1247"/>
      <c r="BC1243" s="1247"/>
      <c r="BD1243" s="1247"/>
      <c r="BE1243" s="1248"/>
      <c r="BF1243" s="1247"/>
      <c r="BG1243" s="1247"/>
      <c r="BH1243" s="1247"/>
      <c r="BI1243" s="1247"/>
      <c r="BJ1243" s="1247"/>
      <c r="BK1243" s="1247"/>
      <c r="BL1243" s="1246"/>
      <c r="BM1243" s="1247"/>
      <c r="BN1243" s="1247"/>
      <c r="BO1243" s="1247"/>
      <c r="BP1243" s="1247"/>
      <c r="BQ1243" s="1247"/>
      <c r="BR1243" s="1248"/>
      <c r="BS1243" s="1270">
        <f>+SUM(Q1243:BR1243)</f>
        <v>0</v>
      </c>
      <c r="BT1243" s="1270"/>
      <c r="BU1243" s="1270"/>
      <c r="BV1243" s="1270"/>
      <c r="BW1243" s="1270"/>
      <c r="BX1243" s="1270"/>
      <c r="BY1243" s="1270"/>
      <c r="BZ1243" s="1271"/>
      <c r="CA1243" s="270"/>
      <c r="CB1243" s="3" t="str">
        <f t="shared" si="179"/>
        <v>Riadok bude skrytý.</v>
      </c>
      <c r="CC1243" s="271" t="s">
        <v>832</v>
      </c>
      <c r="CW1243" s="30">
        <f t="shared" si="180"/>
        <v>1</v>
      </c>
      <c r="CX1243" s="32">
        <f t="shared" si="182"/>
        <v>1</v>
      </c>
      <c r="CZ1243" s="30">
        <f t="shared" si="174"/>
        <v>1</v>
      </c>
      <c r="DA1243" s="52">
        <f t="shared" si="183"/>
        <v>1</v>
      </c>
      <c r="DB1243" s="2">
        <f t="shared" si="175"/>
        <v>0</v>
      </c>
      <c r="DS1243" s="130">
        <f>SI!BY1243</f>
        <v>154</v>
      </c>
      <c r="DZ1243" s="131">
        <f>SI!BZ1243</f>
        <v>0</v>
      </c>
    </row>
    <row r="1244" spans="1:130" hidden="1" x14ac:dyDescent="0.25">
      <c r="A1244" s="141"/>
      <c r="B1244" s="1275" t="s">
        <v>115</v>
      </c>
      <c r="C1244" s="1276"/>
      <c r="D1244" s="1276"/>
      <c r="E1244" s="1276"/>
      <c r="F1244" s="1276"/>
      <c r="G1244" s="1276"/>
      <c r="H1244" s="1276"/>
      <c r="I1244" s="1276"/>
      <c r="J1244" s="1276"/>
      <c r="K1244" s="1276"/>
      <c r="L1244" s="1276"/>
      <c r="M1244" s="1276"/>
      <c r="N1244" s="1276"/>
      <c r="O1244" s="1276"/>
      <c r="P1244" s="1276"/>
      <c r="Q1244" s="1244"/>
      <c r="R1244" s="1245"/>
      <c r="S1244" s="1245"/>
      <c r="T1244" s="1245"/>
      <c r="U1244" s="1245"/>
      <c r="V1244" s="1245"/>
      <c r="W1244" s="1244"/>
      <c r="X1244" s="1245"/>
      <c r="Y1244" s="1245"/>
      <c r="Z1244" s="1245"/>
      <c r="AA1244" s="1245"/>
      <c r="AB1244" s="1245"/>
      <c r="AC1244" s="1264"/>
      <c r="AD1244" s="1245"/>
      <c r="AE1244" s="1245"/>
      <c r="AF1244" s="1245"/>
      <c r="AG1244" s="1245"/>
      <c r="AH1244" s="1245"/>
      <c r="AI1244" s="1245"/>
      <c r="AJ1244" s="1245"/>
      <c r="AK1244" s="1245"/>
      <c r="AL1244" s="1244"/>
      <c r="AM1244" s="1245"/>
      <c r="AN1244" s="1245"/>
      <c r="AO1244" s="1245"/>
      <c r="AP1244" s="1245"/>
      <c r="AQ1244" s="1245"/>
      <c r="AR1244" s="1245"/>
      <c r="AS1244" s="1264"/>
      <c r="AT1244" s="1245"/>
      <c r="AU1244" s="1245"/>
      <c r="AV1244" s="1245"/>
      <c r="AW1244" s="1245"/>
      <c r="AX1244" s="1245"/>
      <c r="AY1244" s="1245"/>
      <c r="AZ1244" s="1244"/>
      <c r="BA1244" s="1245"/>
      <c r="BB1244" s="1245"/>
      <c r="BC1244" s="1245"/>
      <c r="BD1244" s="1245"/>
      <c r="BE1244" s="1264"/>
      <c r="BF1244" s="1245"/>
      <c r="BG1244" s="1245"/>
      <c r="BH1244" s="1245"/>
      <c r="BI1244" s="1245"/>
      <c r="BJ1244" s="1245"/>
      <c r="BK1244" s="1245"/>
      <c r="BL1244" s="1244"/>
      <c r="BM1244" s="1245"/>
      <c r="BN1244" s="1245"/>
      <c r="BO1244" s="1245"/>
      <c r="BP1244" s="1245"/>
      <c r="BQ1244" s="1245"/>
      <c r="BR1244" s="1264"/>
      <c r="BS1244" s="1750">
        <f>+SUM(Q1244:BR1244)</f>
        <v>0</v>
      </c>
      <c r="BT1244" s="1750"/>
      <c r="BU1244" s="1750"/>
      <c r="BV1244" s="1750"/>
      <c r="BW1244" s="1750"/>
      <c r="BX1244" s="1750"/>
      <c r="BY1244" s="1750"/>
      <c r="BZ1244" s="1751"/>
      <c r="CA1244" s="270"/>
      <c r="CB1244" s="3" t="str">
        <f t="shared" si="179"/>
        <v>Riadok bude skrytý.</v>
      </c>
      <c r="CC1244" s="271" t="s">
        <v>832</v>
      </c>
      <c r="CW1244" s="30">
        <f t="shared" si="180"/>
        <v>1</v>
      </c>
      <c r="CX1244" s="32">
        <f t="shared" si="182"/>
        <v>1</v>
      </c>
      <c r="CZ1244" s="30">
        <f t="shared" si="174"/>
        <v>1</v>
      </c>
      <c r="DA1244" s="52">
        <f t="shared" si="183"/>
        <v>1</v>
      </c>
      <c r="DB1244" s="2">
        <f t="shared" si="175"/>
        <v>0</v>
      </c>
      <c r="DS1244" s="130">
        <f>SI!BY1244</f>
        <v>1126</v>
      </c>
      <c r="DZ1244" s="131">
        <f>SI!BZ1244</f>
        <v>0</v>
      </c>
    </row>
    <row r="1245" spans="1:130" hidden="1" x14ac:dyDescent="0.25">
      <c r="A1245" s="141"/>
      <c r="B1245" s="734" t="s">
        <v>119</v>
      </c>
      <c r="C1245" s="735"/>
      <c r="D1245" s="735"/>
      <c r="E1245" s="735"/>
      <c r="F1245" s="735"/>
      <c r="G1245" s="735"/>
      <c r="H1245" s="735"/>
      <c r="I1245" s="735"/>
      <c r="J1245" s="735"/>
      <c r="K1245" s="735"/>
      <c r="L1245" s="735"/>
      <c r="M1245" s="735"/>
      <c r="N1245" s="735"/>
      <c r="O1245" s="735"/>
      <c r="P1245" s="735"/>
      <c r="Q1245" s="404">
        <f>+SUM(Q1241:V1244)</f>
        <v>0</v>
      </c>
      <c r="R1245" s="403"/>
      <c r="S1245" s="403"/>
      <c r="T1245" s="403"/>
      <c r="U1245" s="403"/>
      <c r="V1245" s="403"/>
      <c r="W1245" s="404">
        <f>+SUM(W1241:AC1244)</f>
        <v>0</v>
      </c>
      <c r="X1245" s="403"/>
      <c r="Y1245" s="403"/>
      <c r="Z1245" s="403"/>
      <c r="AA1245" s="403"/>
      <c r="AB1245" s="403"/>
      <c r="AC1245" s="405"/>
      <c r="AD1245" s="403">
        <f>+SUM(AD1241:AK1244)</f>
        <v>0</v>
      </c>
      <c r="AE1245" s="403"/>
      <c r="AF1245" s="403"/>
      <c r="AG1245" s="403"/>
      <c r="AH1245" s="403"/>
      <c r="AI1245" s="403"/>
      <c r="AJ1245" s="403"/>
      <c r="AK1245" s="403"/>
      <c r="AL1245" s="404">
        <f>+SUM(AL1241:AS1244)</f>
        <v>0</v>
      </c>
      <c r="AM1245" s="403"/>
      <c r="AN1245" s="403"/>
      <c r="AO1245" s="403"/>
      <c r="AP1245" s="403"/>
      <c r="AQ1245" s="403"/>
      <c r="AR1245" s="403"/>
      <c r="AS1245" s="405"/>
      <c r="AT1245" s="403">
        <f>+SUM(AT1241:AY1244)</f>
        <v>0</v>
      </c>
      <c r="AU1245" s="403"/>
      <c r="AV1245" s="403"/>
      <c r="AW1245" s="403"/>
      <c r="AX1245" s="403"/>
      <c r="AY1245" s="403"/>
      <c r="AZ1245" s="404">
        <f>+SUM(AZ1241:BE1244)</f>
        <v>0</v>
      </c>
      <c r="BA1245" s="403"/>
      <c r="BB1245" s="403"/>
      <c r="BC1245" s="403"/>
      <c r="BD1245" s="403"/>
      <c r="BE1245" s="405"/>
      <c r="BF1245" s="403">
        <f>+SUM(BF1241:BK1244)</f>
        <v>0</v>
      </c>
      <c r="BG1245" s="403"/>
      <c r="BH1245" s="403"/>
      <c r="BI1245" s="403"/>
      <c r="BJ1245" s="403"/>
      <c r="BK1245" s="403"/>
      <c r="BL1245" s="404">
        <f>+SUM(BL1241:BR1244)</f>
        <v>0</v>
      </c>
      <c r="BM1245" s="403"/>
      <c r="BN1245" s="403"/>
      <c r="BO1245" s="403"/>
      <c r="BP1245" s="403"/>
      <c r="BQ1245" s="403"/>
      <c r="BR1245" s="405"/>
      <c r="BS1245" s="403">
        <f>+SUM(BS1241:BZ1244)</f>
        <v>0</v>
      </c>
      <c r="BT1245" s="403"/>
      <c r="BU1245" s="403"/>
      <c r="BV1245" s="403"/>
      <c r="BW1245" s="403"/>
      <c r="BX1245" s="403"/>
      <c r="BY1245" s="403"/>
      <c r="BZ1245" s="405"/>
      <c r="CA1245" s="270"/>
      <c r="CB1245" s="3" t="str">
        <f t="shared" si="179"/>
        <v>Riadok bude skrytý.</v>
      </c>
      <c r="CC1245" s="271" t="s">
        <v>832</v>
      </c>
      <c r="CW1245" s="30">
        <f t="shared" si="180"/>
        <v>1</v>
      </c>
      <c r="CX1245" s="32">
        <f t="shared" si="182"/>
        <v>1</v>
      </c>
      <c r="CZ1245" s="30">
        <f t="shared" ref="CZ1245:CZ1309" si="184">IF(CC1245="",1,IF(CC1245="Chcem skryť riadok.",0,1))</f>
        <v>1</v>
      </c>
      <c r="DA1245" s="52">
        <f t="shared" si="183"/>
        <v>1</v>
      </c>
      <c r="DB1245" s="2">
        <f t="shared" si="175"/>
        <v>0</v>
      </c>
      <c r="DS1245" s="130">
        <f>SI!BY1245</f>
        <v>181</v>
      </c>
      <c r="DZ1245" s="131">
        <f>SI!BZ1245</f>
        <v>0</v>
      </c>
    </row>
    <row r="1246" spans="1:130" hidden="1" x14ac:dyDescent="0.25">
      <c r="A1246" s="141"/>
      <c r="B1246" s="779" t="s">
        <v>117</v>
      </c>
      <c r="C1246" s="780"/>
      <c r="D1246" s="780"/>
      <c r="E1246" s="780"/>
      <c r="F1246" s="780"/>
      <c r="G1246" s="780"/>
      <c r="H1246" s="780"/>
      <c r="I1246" s="780"/>
      <c r="J1246" s="780"/>
      <c r="K1246" s="780"/>
      <c r="L1246" s="780"/>
      <c r="M1246" s="780"/>
      <c r="N1246" s="780"/>
      <c r="O1246" s="780"/>
      <c r="P1246" s="780"/>
      <c r="Q1246" s="780"/>
      <c r="R1246" s="780"/>
      <c r="S1246" s="780"/>
      <c r="T1246" s="780"/>
      <c r="U1246" s="780"/>
      <c r="V1246" s="780"/>
      <c r="W1246" s="780"/>
      <c r="X1246" s="780"/>
      <c r="Y1246" s="780"/>
      <c r="Z1246" s="780"/>
      <c r="AA1246" s="780"/>
      <c r="AB1246" s="780"/>
      <c r="AC1246" s="780"/>
      <c r="AD1246" s="780"/>
      <c r="AE1246" s="780"/>
      <c r="AF1246" s="780"/>
      <c r="AG1246" s="780"/>
      <c r="AH1246" s="780"/>
      <c r="AI1246" s="780"/>
      <c r="AJ1246" s="780"/>
      <c r="AK1246" s="780"/>
      <c r="AL1246" s="780"/>
      <c r="AM1246" s="780"/>
      <c r="AN1246" s="780"/>
      <c r="AO1246" s="780"/>
      <c r="AP1246" s="780"/>
      <c r="AQ1246" s="780"/>
      <c r="AR1246" s="780"/>
      <c r="AS1246" s="780"/>
      <c r="AT1246" s="780"/>
      <c r="AU1246" s="780"/>
      <c r="AV1246" s="780"/>
      <c r="AW1246" s="780"/>
      <c r="AX1246" s="780"/>
      <c r="AY1246" s="780"/>
      <c r="AZ1246" s="780"/>
      <c r="BA1246" s="780"/>
      <c r="BB1246" s="780"/>
      <c r="BC1246" s="780"/>
      <c r="BD1246" s="780"/>
      <c r="BE1246" s="780"/>
      <c r="BF1246" s="780"/>
      <c r="BG1246" s="780"/>
      <c r="BH1246" s="780"/>
      <c r="BI1246" s="780"/>
      <c r="BJ1246" s="780"/>
      <c r="BK1246" s="780"/>
      <c r="BL1246" s="780"/>
      <c r="BM1246" s="780"/>
      <c r="BN1246" s="780"/>
      <c r="BO1246" s="780"/>
      <c r="BP1246" s="780"/>
      <c r="BQ1246" s="780"/>
      <c r="BR1246" s="780"/>
      <c r="BS1246" s="780"/>
      <c r="BT1246" s="780"/>
      <c r="BU1246" s="780"/>
      <c r="BV1246" s="780"/>
      <c r="BW1246" s="780"/>
      <c r="BX1246" s="780"/>
      <c r="BY1246" s="780"/>
      <c r="BZ1246" s="781"/>
      <c r="CA1246" s="270"/>
      <c r="CB1246" s="3" t="str">
        <f t="shared" si="179"/>
        <v>Riadok bude skrytý.</v>
      </c>
      <c r="CC1246" s="271" t="s">
        <v>832</v>
      </c>
      <c r="CW1246" s="30">
        <f t="shared" si="180"/>
        <v>1</v>
      </c>
      <c r="CX1246" s="32">
        <f t="shared" si="182"/>
        <v>1</v>
      </c>
      <c r="CZ1246" s="30">
        <f t="shared" si="184"/>
        <v>1</v>
      </c>
      <c r="DA1246" s="52">
        <f t="shared" si="183"/>
        <v>1</v>
      </c>
      <c r="DB1246" s="2">
        <f t="shared" si="175"/>
        <v>0</v>
      </c>
      <c r="DS1246" s="130">
        <f>SI!BY1246</f>
        <v>335</v>
      </c>
      <c r="DZ1246" s="131">
        <f>SI!BZ1246</f>
        <v>0</v>
      </c>
    </row>
    <row r="1247" spans="1:130" hidden="1" x14ac:dyDescent="0.25">
      <c r="A1247" s="141"/>
      <c r="B1247" s="734" t="s">
        <v>118</v>
      </c>
      <c r="C1247" s="735"/>
      <c r="D1247" s="735"/>
      <c r="E1247" s="735"/>
      <c r="F1247" s="735"/>
      <c r="G1247" s="735"/>
      <c r="H1247" s="735"/>
      <c r="I1247" s="735"/>
      <c r="J1247" s="735"/>
      <c r="K1247" s="735"/>
      <c r="L1247" s="735"/>
      <c r="M1247" s="735"/>
      <c r="N1247" s="735"/>
      <c r="O1247" s="735"/>
      <c r="P1247" s="735"/>
      <c r="Q1247" s="751"/>
      <c r="R1247" s="752"/>
      <c r="S1247" s="752"/>
      <c r="T1247" s="752"/>
      <c r="U1247" s="752"/>
      <c r="V1247" s="752"/>
      <c r="W1247" s="751"/>
      <c r="X1247" s="752"/>
      <c r="Y1247" s="752"/>
      <c r="Z1247" s="752"/>
      <c r="AA1247" s="752"/>
      <c r="AB1247" s="752"/>
      <c r="AC1247" s="753"/>
      <c r="AD1247" s="752"/>
      <c r="AE1247" s="752"/>
      <c r="AF1247" s="752"/>
      <c r="AG1247" s="752"/>
      <c r="AH1247" s="752"/>
      <c r="AI1247" s="752"/>
      <c r="AJ1247" s="752"/>
      <c r="AK1247" s="752"/>
      <c r="AL1247" s="751"/>
      <c r="AM1247" s="752"/>
      <c r="AN1247" s="752"/>
      <c r="AO1247" s="752"/>
      <c r="AP1247" s="752"/>
      <c r="AQ1247" s="752"/>
      <c r="AR1247" s="752"/>
      <c r="AS1247" s="753"/>
      <c r="AT1247" s="752"/>
      <c r="AU1247" s="752"/>
      <c r="AV1247" s="752"/>
      <c r="AW1247" s="752"/>
      <c r="AX1247" s="752"/>
      <c r="AY1247" s="752"/>
      <c r="AZ1247" s="751"/>
      <c r="BA1247" s="752"/>
      <c r="BB1247" s="752"/>
      <c r="BC1247" s="752"/>
      <c r="BD1247" s="752"/>
      <c r="BE1247" s="753"/>
      <c r="BF1247" s="752"/>
      <c r="BG1247" s="752"/>
      <c r="BH1247" s="752"/>
      <c r="BI1247" s="752"/>
      <c r="BJ1247" s="752"/>
      <c r="BK1247" s="752"/>
      <c r="BL1247" s="751"/>
      <c r="BM1247" s="752"/>
      <c r="BN1247" s="752"/>
      <c r="BO1247" s="752"/>
      <c r="BP1247" s="752"/>
      <c r="BQ1247" s="752"/>
      <c r="BR1247" s="753"/>
      <c r="BS1247" s="403">
        <f>+SUM(Q1247:BR1247)</f>
        <v>0</v>
      </c>
      <c r="BT1247" s="403"/>
      <c r="BU1247" s="403"/>
      <c r="BV1247" s="403"/>
      <c r="BW1247" s="403"/>
      <c r="BX1247" s="403"/>
      <c r="BY1247" s="403"/>
      <c r="BZ1247" s="405"/>
      <c r="CA1247" s="270"/>
      <c r="CB1247" s="3" t="str">
        <f t="shared" si="179"/>
        <v>Riadok bude skrytý.</v>
      </c>
      <c r="CC1247" s="271" t="s">
        <v>832</v>
      </c>
      <c r="CW1247" s="30">
        <f t="shared" si="180"/>
        <v>1</v>
      </c>
      <c r="CX1247" s="32">
        <f t="shared" si="182"/>
        <v>1</v>
      </c>
      <c r="CZ1247" s="30">
        <f t="shared" si="184"/>
        <v>1</v>
      </c>
      <c r="DA1247" s="52">
        <f t="shared" si="183"/>
        <v>1</v>
      </c>
      <c r="DB1247" s="2">
        <f t="shared" si="175"/>
        <v>0</v>
      </c>
      <c r="DS1247" s="130">
        <f>SI!BY1247</f>
        <v>112</v>
      </c>
      <c r="DZ1247" s="131">
        <f>SI!BZ1247</f>
        <v>0</v>
      </c>
    </row>
    <row r="1248" spans="1:130" hidden="1" x14ac:dyDescent="0.25">
      <c r="A1248" s="141"/>
      <c r="B1248" s="814" t="s">
        <v>113</v>
      </c>
      <c r="C1248" s="815"/>
      <c r="D1248" s="815"/>
      <c r="E1248" s="815"/>
      <c r="F1248" s="815"/>
      <c r="G1248" s="815"/>
      <c r="H1248" s="815"/>
      <c r="I1248" s="815"/>
      <c r="J1248" s="815"/>
      <c r="K1248" s="815"/>
      <c r="L1248" s="815"/>
      <c r="M1248" s="815"/>
      <c r="N1248" s="815"/>
      <c r="O1248" s="815"/>
      <c r="P1248" s="815"/>
      <c r="Q1248" s="761"/>
      <c r="R1248" s="762"/>
      <c r="S1248" s="762"/>
      <c r="T1248" s="762"/>
      <c r="U1248" s="762"/>
      <c r="V1248" s="762"/>
      <c r="W1248" s="761"/>
      <c r="X1248" s="762"/>
      <c r="Y1248" s="762"/>
      <c r="Z1248" s="762"/>
      <c r="AA1248" s="762"/>
      <c r="AB1248" s="762"/>
      <c r="AC1248" s="763"/>
      <c r="AD1248" s="762"/>
      <c r="AE1248" s="762"/>
      <c r="AF1248" s="762"/>
      <c r="AG1248" s="762"/>
      <c r="AH1248" s="762"/>
      <c r="AI1248" s="762"/>
      <c r="AJ1248" s="762"/>
      <c r="AK1248" s="762"/>
      <c r="AL1248" s="761"/>
      <c r="AM1248" s="762"/>
      <c r="AN1248" s="762"/>
      <c r="AO1248" s="762"/>
      <c r="AP1248" s="762"/>
      <c r="AQ1248" s="762"/>
      <c r="AR1248" s="762"/>
      <c r="AS1248" s="763"/>
      <c r="AT1248" s="762"/>
      <c r="AU1248" s="762"/>
      <c r="AV1248" s="762"/>
      <c r="AW1248" s="762"/>
      <c r="AX1248" s="762"/>
      <c r="AY1248" s="762"/>
      <c r="AZ1248" s="761"/>
      <c r="BA1248" s="762"/>
      <c r="BB1248" s="762"/>
      <c r="BC1248" s="762"/>
      <c r="BD1248" s="762"/>
      <c r="BE1248" s="763"/>
      <c r="BF1248" s="762"/>
      <c r="BG1248" s="762"/>
      <c r="BH1248" s="762"/>
      <c r="BI1248" s="762"/>
      <c r="BJ1248" s="762"/>
      <c r="BK1248" s="762"/>
      <c r="BL1248" s="761"/>
      <c r="BM1248" s="762"/>
      <c r="BN1248" s="762"/>
      <c r="BO1248" s="762"/>
      <c r="BP1248" s="762"/>
      <c r="BQ1248" s="762"/>
      <c r="BR1248" s="763"/>
      <c r="BS1248" s="1748">
        <f>+SUM(Q1248:BR1248)</f>
        <v>0</v>
      </c>
      <c r="BT1248" s="1748"/>
      <c r="BU1248" s="1748"/>
      <c r="BV1248" s="1748"/>
      <c r="BW1248" s="1748"/>
      <c r="BX1248" s="1748"/>
      <c r="BY1248" s="1748"/>
      <c r="BZ1248" s="1749"/>
      <c r="CA1248" s="270"/>
      <c r="CB1248" s="3" t="str">
        <f t="shared" si="179"/>
        <v>Riadok bude skrytý.</v>
      </c>
      <c r="CC1248" s="271" t="s">
        <v>832</v>
      </c>
      <c r="CW1248" s="30">
        <f t="shared" si="180"/>
        <v>1</v>
      </c>
      <c r="CX1248" s="32">
        <f t="shared" si="182"/>
        <v>1</v>
      </c>
      <c r="CZ1248" s="30">
        <f t="shared" si="184"/>
        <v>1</v>
      </c>
      <c r="DA1248" s="52">
        <f t="shared" si="183"/>
        <v>1</v>
      </c>
      <c r="DB1248" s="2">
        <f t="shared" si="175"/>
        <v>0</v>
      </c>
      <c r="DS1248" s="130">
        <f>SI!BY1248</f>
        <v>1019</v>
      </c>
      <c r="DZ1248" s="131">
        <f>SI!BZ1248</f>
        <v>0</v>
      </c>
    </row>
    <row r="1249" spans="1:130" hidden="1" x14ac:dyDescent="0.25">
      <c r="A1249" s="141"/>
      <c r="B1249" s="764" t="s">
        <v>114</v>
      </c>
      <c r="C1249" s="765"/>
      <c r="D1249" s="765"/>
      <c r="E1249" s="765"/>
      <c r="F1249" s="765"/>
      <c r="G1249" s="765"/>
      <c r="H1249" s="765"/>
      <c r="I1249" s="765"/>
      <c r="J1249" s="765"/>
      <c r="K1249" s="765"/>
      <c r="L1249" s="765"/>
      <c r="M1249" s="765"/>
      <c r="N1249" s="765"/>
      <c r="O1249" s="765"/>
      <c r="P1249" s="765"/>
      <c r="Q1249" s="1246"/>
      <c r="R1249" s="1247"/>
      <c r="S1249" s="1247"/>
      <c r="T1249" s="1247"/>
      <c r="U1249" s="1247"/>
      <c r="V1249" s="1247"/>
      <c r="W1249" s="1246"/>
      <c r="X1249" s="1247"/>
      <c r="Y1249" s="1247"/>
      <c r="Z1249" s="1247"/>
      <c r="AA1249" s="1247"/>
      <c r="AB1249" s="1247"/>
      <c r="AC1249" s="1248"/>
      <c r="AD1249" s="1247"/>
      <c r="AE1249" s="1247"/>
      <c r="AF1249" s="1247"/>
      <c r="AG1249" s="1247"/>
      <c r="AH1249" s="1247"/>
      <c r="AI1249" s="1247"/>
      <c r="AJ1249" s="1247"/>
      <c r="AK1249" s="1247"/>
      <c r="AL1249" s="1246"/>
      <c r="AM1249" s="1247"/>
      <c r="AN1249" s="1247"/>
      <c r="AO1249" s="1247"/>
      <c r="AP1249" s="1247"/>
      <c r="AQ1249" s="1247"/>
      <c r="AR1249" s="1247"/>
      <c r="AS1249" s="1248"/>
      <c r="AT1249" s="1247"/>
      <c r="AU1249" s="1247"/>
      <c r="AV1249" s="1247"/>
      <c r="AW1249" s="1247"/>
      <c r="AX1249" s="1247"/>
      <c r="AY1249" s="1247"/>
      <c r="AZ1249" s="1246"/>
      <c r="BA1249" s="1247"/>
      <c r="BB1249" s="1247"/>
      <c r="BC1249" s="1247"/>
      <c r="BD1249" s="1247"/>
      <c r="BE1249" s="1248"/>
      <c r="BF1249" s="1247"/>
      <c r="BG1249" s="1247"/>
      <c r="BH1249" s="1247"/>
      <c r="BI1249" s="1247"/>
      <c r="BJ1249" s="1247"/>
      <c r="BK1249" s="1247"/>
      <c r="BL1249" s="1246"/>
      <c r="BM1249" s="1247"/>
      <c r="BN1249" s="1247"/>
      <c r="BO1249" s="1247"/>
      <c r="BP1249" s="1247"/>
      <c r="BQ1249" s="1247"/>
      <c r="BR1249" s="1248"/>
      <c r="BS1249" s="1270">
        <f>+SUM(Q1249:BR1249)</f>
        <v>0</v>
      </c>
      <c r="BT1249" s="1270"/>
      <c r="BU1249" s="1270"/>
      <c r="BV1249" s="1270"/>
      <c r="BW1249" s="1270"/>
      <c r="BX1249" s="1270"/>
      <c r="BY1249" s="1270"/>
      <c r="BZ1249" s="1271"/>
      <c r="CA1249" s="270"/>
      <c r="CB1249" s="3" t="str">
        <f t="shared" si="179"/>
        <v>Riadok bude skrytý.</v>
      </c>
      <c r="CC1249" s="271" t="s">
        <v>832</v>
      </c>
      <c r="CW1249" s="30">
        <f t="shared" si="180"/>
        <v>1</v>
      </c>
      <c r="CX1249" s="32">
        <f t="shared" si="182"/>
        <v>1</v>
      </c>
      <c r="CZ1249" s="30">
        <f t="shared" si="184"/>
        <v>1</v>
      </c>
      <c r="DA1249" s="52">
        <f t="shared" si="183"/>
        <v>1</v>
      </c>
      <c r="DB1249" s="2">
        <f t="shared" si="175"/>
        <v>0</v>
      </c>
      <c r="DS1249" s="130">
        <f>SI!BY1249</f>
        <v>179</v>
      </c>
      <c r="DZ1249" s="131">
        <f>SI!BZ1249</f>
        <v>0</v>
      </c>
    </row>
    <row r="1250" spans="1:130" hidden="1" x14ac:dyDescent="0.25">
      <c r="A1250" s="141"/>
      <c r="B1250" s="1275" t="s">
        <v>115</v>
      </c>
      <c r="C1250" s="1276"/>
      <c r="D1250" s="1276"/>
      <c r="E1250" s="1276"/>
      <c r="F1250" s="1276"/>
      <c r="G1250" s="1276"/>
      <c r="H1250" s="1276"/>
      <c r="I1250" s="1276"/>
      <c r="J1250" s="1276"/>
      <c r="K1250" s="1276"/>
      <c r="L1250" s="1276"/>
      <c r="M1250" s="1276"/>
      <c r="N1250" s="1276"/>
      <c r="O1250" s="1276"/>
      <c r="P1250" s="1276"/>
      <c r="Q1250" s="1244"/>
      <c r="R1250" s="1245"/>
      <c r="S1250" s="1245"/>
      <c r="T1250" s="1245"/>
      <c r="U1250" s="1245"/>
      <c r="V1250" s="1245"/>
      <c r="W1250" s="1244"/>
      <c r="X1250" s="1245"/>
      <c r="Y1250" s="1245"/>
      <c r="Z1250" s="1245"/>
      <c r="AA1250" s="1245"/>
      <c r="AB1250" s="1245"/>
      <c r="AC1250" s="1264"/>
      <c r="AD1250" s="1245"/>
      <c r="AE1250" s="1245"/>
      <c r="AF1250" s="1245"/>
      <c r="AG1250" s="1245"/>
      <c r="AH1250" s="1245"/>
      <c r="AI1250" s="1245"/>
      <c r="AJ1250" s="1245"/>
      <c r="AK1250" s="1245"/>
      <c r="AL1250" s="1244"/>
      <c r="AM1250" s="1245"/>
      <c r="AN1250" s="1245"/>
      <c r="AO1250" s="1245"/>
      <c r="AP1250" s="1245"/>
      <c r="AQ1250" s="1245"/>
      <c r="AR1250" s="1245"/>
      <c r="AS1250" s="1264"/>
      <c r="AT1250" s="1245"/>
      <c r="AU1250" s="1245"/>
      <c r="AV1250" s="1245"/>
      <c r="AW1250" s="1245"/>
      <c r="AX1250" s="1245"/>
      <c r="AY1250" s="1245"/>
      <c r="AZ1250" s="1244"/>
      <c r="BA1250" s="1245"/>
      <c r="BB1250" s="1245"/>
      <c r="BC1250" s="1245"/>
      <c r="BD1250" s="1245"/>
      <c r="BE1250" s="1264"/>
      <c r="BF1250" s="1245"/>
      <c r="BG1250" s="1245"/>
      <c r="BH1250" s="1245"/>
      <c r="BI1250" s="1245"/>
      <c r="BJ1250" s="1245"/>
      <c r="BK1250" s="1245"/>
      <c r="BL1250" s="1244"/>
      <c r="BM1250" s="1245"/>
      <c r="BN1250" s="1245"/>
      <c r="BO1250" s="1245"/>
      <c r="BP1250" s="1245"/>
      <c r="BQ1250" s="1245"/>
      <c r="BR1250" s="1264"/>
      <c r="BS1250" s="1750">
        <f>+SUM(Q1250:BR1250)</f>
        <v>0</v>
      </c>
      <c r="BT1250" s="1750"/>
      <c r="BU1250" s="1750"/>
      <c r="BV1250" s="1750"/>
      <c r="BW1250" s="1750"/>
      <c r="BX1250" s="1750"/>
      <c r="BY1250" s="1750"/>
      <c r="BZ1250" s="1751"/>
      <c r="CA1250" s="270"/>
      <c r="CB1250" s="3" t="str">
        <f t="shared" si="179"/>
        <v>Riadok bude skrytý.</v>
      </c>
      <c r="CC1250" s="271" t="s">
        <v>832</v>
      </c>
      <c r="CD1250" s="4"/>
      <c r="CE1250" s="4"/>
      <c r="CW1250" s="30">
        <f t="shared" si="180"/>
        <v>1</v>
      </c>
      <c r="CX1250" s="32">
        <f t="shared" si="182"/>
        <v>1</v>
      </c>
      <c r="CZ1250" s="30">
        <f>IF(CC1250="",1,IF(CC1250="Chcem skryť riadok.",0,1))</f>
        <v>1</v>
      </c>
      <c r="DA1250" s="52">
        <f>+IF(CW1250*CX1250=0,0,IF(CZ1250=0,0,1))</f>
        <v>1</v>
      </c>
      <c r="DB1250" s="2">
        <f t="shared" si="175"/>
        <v>0</v>
      </c>
      <c r="DS1250" s="130">
        <f>SI!BY1250</f>
        <v>744</v>
      </c>
      <c r="DZ1250" s="131">
        <f>SI!BZ1250</f>
        <v>0</v>
      </c>
    </row>
    <row r="1251" spans="1:130" hidden="1" x14ac:dyDescent="0.25">
      <c r="A1251" s="141"/>
      <c r="B1251" s="734" t="s">
        <v>119</v>
      </c>
      <c r="C1251" s="735"/>
      <c r="D1251" s="735"/>
      <c r="E1251" s="735"/>
      <c r="F1251" s="735"/>
      <c r="G1251" s="735"/>
      <c r="H1251" s="735"/>
      <c r="I1251" s="735"/>
      <c r="J1251" s="735"/>
      <c r="K1251" s="735"/>
      <c r="L1251" s="735"/>
      <c r="M1251" s="735"/>
      <c r="N1251" s="735"/>
      <c r="O1251" s="735"/>
      <c r="P1251" s="735"/>
      <c r="Q1251" s="404">
        <f>+SUM(Q1247:V1250)</f>
        <v>0</v>
      </c>
      <c r="R1251" s="403"/>
      <c r="S1251" s="403"/>
      <c r="T1251" s="403"/>
      <c r="U1251" s="403"/>
      <c r="V1251" s="403"/>
      <c r="W1251" s="404">
        <f>+SUM(W1247:AC1250)</f>
        <v>0</v>
      </c>
      <c r="X1251" s="403"/>
      <c r="Y1251" s="403"/>
      <c r="Z1251" s="403"/>
      <c r="AA1251" s="403"/>
      <c r="AB1251" s="403"/>
      <c r="AC1251" s="405"/>
      <c r="AD1251" s="403">
        <f>+SUM(AD1247:AK1250)</f>
        <v>0</v>
      </c>
      <c r="AE1251" s="403"/>
      <c r="AF1251" s="403"/>
      <c r="AG1251" s="403"/>
      <c r="AH1251" s="403"/>
      <c r="AI1251" s="403"/>
      <c r="AJ1251" s="403"/>
      <c r="AK1251" s="403"/>
      <c r="AL1251" s="404">
        <f>+SUM(AL1247:AS1250)</f>
        <v>0</v>
      </c>
      <c r="AM1251" s="403"/>
      <c r="AN1251" s="403"/>
      <c r="AO1251" s="403"/>
      <c r="AP1251" s="403"/>
      <c r="AQ1251" s="403"/>
      <c r="AR1251" s="403"/>
      <c r="AS1251" s="405"/>
      <c r="AT1251" s="403">
        <f>+SUM(AT1247:AY1250)</f>
        <v>0</v>
      </c>
      <c r="AU1251" s="403"/>
      <c r="AV1251" s="403"/>
      <c r="AW1251" s="403"/>
      <c r="AX1251" s="403"/>
      <c r="AY1251" s="403"/>
      <c r="AZ1251" s="404">
        <f>+SUM(AZ1247:BE1250)</f>
        <v>0</v>
      </c>
      <c r="BA1251" s="403"/>
      <c r="BB1251" s="403"/>
      <c r="BC1251" s="403"/>
      <c r="BD1251" s="403"/>
      <c r="BE1251" s="405"/>
      <c r="BF1251" s="403">
        <f>+SUM(BF1247:BK1250)</f>
        <v>0</v>
      </c>
      <c r="BG1251" s="403"/>
      <c r="BH1251" s="403"/>
      <c r="BI1251" s="403"/>
      <c r="BJ1251" s="403"/>
      <c r="BK1251" s="403"/>
      <c r="BL1251" s="404">
        <f>+SUM(BL1247:BR1250)</f>
        <v>0</v>
      </c>
      <c r="BM1251" s="403"/>
      <c r="BN1251" s="403"/>
      <c r="BO1251" s="403"/>
      <c r="BP1251" s="403"/>
      <c r="BQ1251" s="403"/>
      <c r="BR1251" s="405"/>
      <c r="BS1251" s="403">
        <f>+SUM(BS1247:BZ1250)</f>
        <v>0</v>
      </c>
      <c r="BT1251" s="403"/>
      <c r="BU1251" s="403"/>
      <c r="BV1251" s="403"/>
      <c r="BW1251" s="403"/>
      <c r="BX1251" s="403"/>
      <c r="BY1251" s="403"/>
      <c r="BZ1251" s="405"/>
      <c r="CA1251" s="270"/>
      <c r="CB1251" s="3" t="str">
        <f t="shared" si="179"/>
        <v>Riadok bude skrytý.</v>
      </c>
      <c r="CC1251" s="271" t="s">
        <v>832</v>
      </c>
      <c r="CW1251" s="30">
        <f t="shared" si="180"/>
        <v>1</v>
      </c>
      <c r="CX1251" s="32">
        <f t="shared" si="182"/>
        <v>1</v>
      </c>
      <c r="CZ1251" s="30">
        <f t="shared" si="184"/>
        <v>1</v>
      </c>
      <c r="DA1251" s="52">
        <f t="shared" si="183"/>
        <v>1</v>
      </c>
      <c r="DB1251" s="2">
        <f t="shared" si="175"/>
        <v>0</v>
      </c>
      <c r="DS1251" s="130">
        <f>SI!BY1251</f>
        <v>164</v>
      </c>
      <c r="DZ1251" s="131">
        <f>SI!BZ1251</f>
        <v>0</v>
      </c>
    </row>
    <row r="1252" spans="1:130" hidden="1" x14ac:dyDescent="0.25">
      <c r="A1252" s="141"/>
      <c r="B1252" s="779" t="s">
        <v>311</v>
      </c>
      <c r="C1252" s="780"/>
      <c r="D1252" s="780"/>
      <c r="E1252" s="780"/>
      <c r="F1252" s="780"/>
      <c r="G1252" s="780"/>
      <c r="H1252" s="780"/>
      <c r="I1252" s="780"/>
      <c r="J1252" s="780"/>
      <c r="K1252" s="780"/>
      <c r="L1252" s="780"/>
      <c r="M1252" s="780"/>
      <c r="N1252" s="780"/>
      <c r="O1252" s="780"/>
      <c r="P1252" s="780"/>
      <c r="Q1252" s="780"/>
      <c r="R1252" s="780"/>
      <c r="S1252" s="780"/>
      <c r="T1252" s="780"/>
      <c r="U1252" s="780"/>
      <c r="V1252" s="780"/>
      <c r="W1252" s="780"/>
      <c r="X1252" s="780"/>
      <c r="Y1252" s="780"/>
      <c r="Z1252" s="780"/>
      <c r="AA1252" s="780"/>
      <c r="AB1252" s="780"/>
      <c r="AC1252" s="780"/>
      <c r="AD1252" s="780"/>
      <c r="AE1252" s="780"/>
      <c r="AF1252" s="780"/>
      <c r="AG1252" s="780"/>
      <c r="AH1252" s="780"/>
      <c r="AI1252" s="780"/>
      <c r="AJ1252" s="780"/>
      <c r="AK1252" s="780"/>
      <c r="AL1252" s="780"/>
      <c r="AM1252" s="780"/>
      <c r="AN1252" s="780"/>
      <c r="AO1252" s="780"/>
      <c r="AP1252" s="780"/>
      <c r="AQ1252" s="780"/>
      <c r="AR1252" s="780"/>
      <c r="AS1252" s="780"/>
      <c r="AT1252" s="780"/>
      <c r="AU1252" s="780"/>
      <c r="AV1252" s="780"/>
      <c r="AW1252" s="780"/>
      <c r="AX1252" s="780"/>
      <c r="AY1252" s="780"/>
      <c r="AZ1252" s="780"/>
      <c r="BA1252" s="780"/>
      <c r="BB1252" s="780"/>
      <c r="BC1252" s="780"/>
      <c r="BD1252" s="780"/>
      <c r="BE1252" s="780"/>
      <c r="BF1252" s="780"/>
      <c r="BG1252" s="780"/>
      <c r="BH1252" s="780"/>
      <c r="BI1252" s="780"/>
      <c r="BJ1252" s="780"/>
      <c r="BK1252" s="780"/>
      <c r="BL1252" s="780"/>
      <c r="BM1252" s="780"/>
      <c r="BN1252" s="780"/>
      <c r="BO1252" s="780"/>
      <c r="BP1252" s="780"/>
      <c r="BQ1252" s="780"/>
      <c r="BR1252" s="780"/>
      <c r="BS1252" s="780"/>
      <c r="BT1252" s="780"/>
      <c r="BU1252" s="780"/>
      <c r="BV1252" s="780"/>
      <c r="BW1252" s="780"/>
      <c r="BX1252" s="780"/>
      <c r="BY1252" s="780"/>
      <c r="BZ1252" s="781"/>
      <c r="CA1252" s="270"/>
      <c r="CB1252" s="3" t="str">
        <f t="shared" si="179"/>
        <v>Riadok bude skrytý.</v>
      </c>
      <c r="CC1252" s="271" t="s">
        <v>832</v>
      </c>
      <c r="CW1252" s="30">
        <f t="shared" si="180"/>
        <v>1</v>
      </c>
      <c r="CX1252" s="32">
        <f t="shared" si="182"/>
        <v>1</v>
      </c>
      <c r="CZ1252" s="30">
        <f t="shared" si="184"/>
        <v>1</v>
      </c>
      <c r="DA1252" s="52">
        <f t="shared" si="183"/>
        <v>1</v>
      </c>
      <c r="DB1252" s="2">
        <f t="shared" si="175"/>
        <v>0</v>
      </c>
      <c r="DS1252" s="130">
        <f>SI!BY1252</f>
        <v>138</v>
      </c>
      <c r="DZ1252" s="131">
        <f>SI!BZ1252</f>
        <v>0</v>
      </c>
    </row>
    <row r="1253" spans="1:130" hidden="1" x14ac:dyDescent="0.25">
      <c r="A1253" s="141"/>
      <c r="B1253" s="734" t="s">
        <v>118</v>
      </c>
      <c r="C1253" s="735"/>
      <c r="D1253" s="735"/>
      <c r="E1253" s="735"/>
      <c r="F1253" s="735"/>
      <c r="G1253" s="735"/>
      <c r="H1253" s="735"/>
      <c r="I1253" s="735"/>
      <c r="J1253" s="735"/>
      <c r="K1253" s="735"/>
      <c r="L1253" s="735"/>
      <c r="M1253" s="735"/>
      <c r="N1253" s="735"/>
      <c r="O1253" s="735"/>
      <c r="P1253" s="1265"/>
      <c r="Q1253" s="404">
        <f>+Q1241-Q1247</f>
        <v>0</v>
      </c>
      <c r="R1253" s="403"/>
      <c r="S1253" s="403"/>
      <c r="T1253" s="403"/>
      <c r="U1253" s="403"/>
      <c r="V1253" s="403"/>
      <c r="W1253" s="404">
        <f>+W1241-W1247</f>
        <v>0</v>
      </c>
      <c r="X1253" s="403"/>
      <c r="Y1253" s="403"/>
      <c r="Z1253" s="403"/>
      <c r="AA1253" s="403"/>
      <c r="AB1253" s="403"/>
      <c r="AC1253" s="405"/>
      <c r="AD1253" s="403">
        <f>+AD1241-AD1247</f>
        <v>0</v>
      </c>
      <c r="AE1253" s="403"/>
      <c r="AF1253" s="403"/>
      <c r="AG1253" s="403"/>
      <c r="AH1253" s="403"/>
      <c r="AI1253" s="403"/>
      <c r="AJ1253" s="403"/>
      <c r="AK1253" s="403"/>
      <c r="AL1253" s="404">
        <f>+AL1241-AL1247</f>
        <v>0</v>
      </c>
      <c r="AM1253" s="403"/>
      <c r="AN1253" s="403"/>
      <c r="AO1253" s="403"/>
      <c r="AP1253" s="403"/>
      <c r="AQ1253" s="403"/>
      <c r="AR1253" s="403"/>
      <c r="AS1253" s="405"/>
      <c r="AT1253" s="404">
        <f>+AT1241-AT1247</f>
        <v>0</v>
      </c>
      <c r="AU1253" s="403"/>
      <c r="AV1253" s="403"/>
      <c r="AW1253" s="403"/>
      <c r="AX1253" s="403"/>
      <c r="AY1253" s="405"/>
      <c r="AZ1253" s="403">
        <f>+AZ1241-AZ1247</f>
        <v>0</v>
      </c>
      <c r="BA1253" s="403"/>
      <c r="BB1253" s="403"/>
      <c r="BC1253" s="403"/>
      <c r="BD1253" s="403"/>
      <c r="BE1253" s="403"/>
      <c r="BF1253" s="404">
        <f>+BF1241-BF1247</f>
        <v>0</v>
      </c>
      <c r="BG1253" s="403"/>
      <c r="BH1253" s="403"/>
      <c r="BI1253" s="403"/>
      <c r="BJ1253" s="403"/>
      <c r="BK1253" s="405"/>
      <c r="BL1253" s="404">
        <f>+BL1241-BL1247</f>
        <v>0</v>
      </c>
      <c r="BM1253" s="403"/>
      <c r="BN1253" s="403"/>
      <c r="BO1253" s="403"/>
      <c r="BP1253" s="403"/>
      <c r="BQ1253" s="403"/>
      <c r="BR1253" s="405"/>
      <c r="BS1253" s="403">
        <f>+BS1241-BS1247</f>
        <v>0</v>
      </c>
      <c r="BT1253" s="403"/>
      <c r="BU1253" s="403"/>
      <c r="BV1253" s="403"/>
      <c r="BW1253" s="403"/>
      <c r="BX1253" s="403"/>
      <c r="BY1253" s="403"/>
      <c r="BZ1253" s="405"/>
      <c r="CA1253" s="270"/>
      <c r="CB1253" s="3" t="str">
        <f t="shared" si="179"/>
        <v>Riadok bude skrytý.</v>
      </c>
      <c r="CC1253" s="271" t="s">
        <v>832</v>
      </c>
      <c r="CW1253" s="30">
        <f t="shared" si="180"/>
        <v>1</v>
      </c>
      <c r="CX1253" s="32">
        <f t="shared" si="182"/>
        <v>1</v>
      </c>
      <c r="CZ1253" s="30">
        <f t="shared" si="184"/>
        <v>1</v>
      </c>
      <c r="DA1253" s="52">
        <f t="shared" si="183"/>
        <v>1</v>
      </c>
      <c r="DB1253" s="2">
        <f t="shared" si="175"/>
        <v>0</v>
      </c>
      <c r="DS1253" s="130">
        <f>SI!BY1253</f>
        <v>172</v>
      </c>
      <c r="DZ1253" s="131">
        <f>SI!BZ1253</f>
        <v>0</v>
      </c>
    </row>
    <row r="1254" spans="1:130" hidden="1" x14ac:dyDescent="0.25">
      <c r="A1254" s="141"/>
      <c r="B1254" s="734" t="s">
        <v>119</v>
      </c>
      <c r="C1254" s="735"/>
      <c r="D1254" s="735"/>
      <c r="E1254" s="735"/>
      <c r="F1254" s="735"/>
      <c r="G1254" s="735"/>
      <c r="H1254" s="735"/>
      <c r="I1254" s="735"/>
      <c r="J1254" s="735"/>
      <c r="K1254" s="735"/>
      <c r="L1254" s="735"/>
      <c r="M1254" s="735"/>
      <c r="N1254" s="735"/>
      <c r="O1254" s="735"/>
      <c r="P1254" s="1265"/>
      <c r="Q1254" s="404">
        <f>+Q1245-Q1251</f>
        <v>0</v>
      </c>
      <c r="R1254" s="403"/>
      <c r="S1254" s="403"/>
      <c r="T1254" s="403"/>
      <c r="U1254" s="403"/>
      <c r="V1254" s="403"/>
      <c r="W1254" s="404">
        <f>+W1245-W1251</f>
        <v>0</v>
      </c>
      <c r="X1254" s="403"/>
      <c r="Y1254" s="403"/>
      <c r="Z1254" s="403"/>
      <c r="AA1254" s="403"/>
      <c r="AB1254" s="403"/>
      <c r="AC1254" s="405"/>
      <c r="AD1254" s="403">
        <f>+AD1245-AD1251</f>
        <v>0</v>
      </c>
      <c r="AE1254" s="403"/>
      <c r="AF1254" s="403"/>
      <c r="AG1254" s="403"/>
      <c r="AH1254" s="403"/>
      <c r="AI1254" s="403"/>
      <c r="AJ1254" s="403"/>
      <c r="AK1254" s="403"/>
      <c r="AL1254" s="404">
        <f>+AL1245-AL1251</f>
        <v>0</v>
      </c>
      <c r="AM1254" s="403"/>
      <c r="AN1254" s="403"/>
      <c r="AO1254" s="403"/>
      <c r="AP1254" s="403"/>
      <c r="AQ1254" s="403"/>
      <c r="AR1254" s="403"/>
      <c r="AS1254" s="405"/>
      <c r="AT1254" s="404">
        <f>+AT1245-AT1251</f>
        <v>0</v>
      </c>
      <c r="AU1254" s="403"/>
      <c r="AV1254" s="403"/>
      <c r="AW1254" s="403"/>
      <c r="AX1254" s="403"/>
      <c r="AY1254" s="405"/>
      <c r="AZ1254" s="403">
        <f>+AZ1245-AZ1251</f>
        <v>0</v>
      </c>
      <c r="BA1254" s="403"/>
      <c r="BB1254" s="403"/>
      <c r="BC1254" s="403"/>
      <c r="BD1254" s="403"/>
      <c r="BE1254" s="403"/>
      <c r="BF1254" s="404">
        <f>+BF1245-BF1251</f>
        <v>0</v>
      </c>
      <c r="BG1254" s="403"/>
      <c r="BH1254" s="403"/>
      <c r="BI1254" s="403"/>
      <c r="BJ1254" s="403"/>
      <c r="BK1254" s="405"/>
      <c r="BL1254" s="404">
        <f>+BL1245-BL1251</f>
        <v>0</v>
      </c>
      <c r="BM1254" s="403"/>
      <c r="BN1254" s="403"/>
      <c r="BO1254" s="403"/>
      <c r="BP1254" s="403"/>
      <c r="BQ1254" s="403"/>
      <c r="BR1254" s="405"/>
      <c r="BS1254" s="403">
        <f>+BS1245-BS1251</f>
        <v>0</v>
      </c>
      <c r="BT1254" s="403"/>
      <c r="BU1254" s="403"/>
      <c r="BV1254" s="403"/>
      <c r="BW1254" s="403"/>
      <c r="BX1254" s="403"/>
      <c r="BY1254" s="403"/>
      <c r="BZ1254" s="405"/>
      <c r="CA1254" s="270"/>
      <c r="CB1254" s="3" t="str">
        <f t="shared" si="179"/>
        <v>Riadok bude skrytý.</v>
      </c>
      <c r="CC1254" s="271" t="s">
        <v>832</v>
      </c>
      <c r="CW1254" s="30">
        <f t="shared" si="180"/>
        <v>1</v>
      </c>
      <c r="CX1254" s="32">
        <f t="shared" si="182"/>
        <v>1</v>
      </c>
      <c r="CZ1254" s="30">
        <f t="shared" si="184"/>
        <v>1</v>
      </c>
      <c r="DA1254" s="52">
        <f t="shared" si="183"/>
        <v>1</v>
      </c>
      <c r="DB1254" s="2">
        <f t="shared" si="175"/>
        <v>0</v>
      </c>
      <c r="DS1254" s="130">
        <f>SI!BY1254</f>
        <v>109</v>
      </c>
      <c r="DZ1254" s="131">
        <f>SI!BZ1254</f>
        <v>0</v>
      </c>
    </row>
    <row r="1255" spans="1:130" hidden="1" x14ac:dyDescent="0.25">
      <c r="A1255" s="141"/>
      <c r="CA1255" s="270"/>
      <c r="CB1255" s="3" t="str">
        <f t="shared" si="179"/>
        <v>Riadok bude skrytý.</v>
      </c>
      <c r="CC1255" s="271" t="s">
        <v>832</v>
      </c>
      <c r="CW1255" s="30">
        <f t="shared" si="180"/>
        <v>1</v>
      </c>
      <c r="CX1255" s="32">
        <f t="shared" si="182"/>
        <v>1</v>
      </c>
      <c r="CZ1255" s="30">
        <f t="shared" si="184"/>
        <v>1</v>
      </c>
      <c r="DA1255" s="52">
        <f t="shared" si="183"/>
        <v>1</v>
      </c>
      <c r="DB1255" s="2">
        <f t="shared" si="175"/>
        <v>0</v>
      </c>
      <c r="DS1255" s="130">
        <f>SI!BY1255</f>
        <v>1158</v>
      </c>
      <c r="DZ1255" s="131">
        <f>SI!BZ1255</f>
        <v>0</v>
      </c>
    </row>
    <row r="1256" spans="1:130" hidden="1" x14ac:dyDescent="0.25">
      <c r="A1256" s="141"/>
      <c r="B1256" s="14" t="s">
        <v>96</v>
      </c>
      <c r="C1256" s="14"/>
      <c r="D1256" s="14"/>
      <c r="E1256" s="14"/>
      <c r="F1256" s="14"/>
      <c r="G1256" s="14"/>
      <c r="H1256" s="14"/>
      <c r="I1256" s="14"/>
      <c r="J1256" s="378" t="s">
        <v>97</v>
      </c>
      <c r="K1256" s="378"/>
      <c r="L1256" s="378"/>
      <c r="M1256" s="378"/>
      <c r="N1256" s="378"/>
      <c r="O1256" s="137" t="str">
        <f>+IF($C$52&lt;&gt;"",IF(CODE(MID($C$52,1,1))*(IF(SI!EE1256="",1,SI!EE1256-1))+LEN(SI!J2)=DS1256,"vo svojej evidencii finančný majetok, ku ktorému je zriadené záložné právo. ","NEPOVOLENÉ POUŽITIE!"),"NEPOVOLENÉ POUŽITIE!")</f>
        <v xml:space="preserve">vo svojej evidencii finančný majetok, ku ktorému je zriadené záložné právo. </v>
      </c>
      <c r="P1256" s="38"/>
      <c r="S1256" s="14"/>
      <c r="T1256" s="14"/>
      <c r="U1256" s="14"/>
      <c r="V1256" s="14"/>
      <c r="W1256" s="14"/>
      <c r="X1256" s="14"/>
      <c r="Y1256" s="14"/>
      <c r="Z1256" s="14"/>
      <c r="AA1256" s="14"/>
      <c r="AB1256" s="14"/>
      <c r="AC1256" s="14"/>
      <c r="AD1256" s="14"/>
      <c r="AE1256" s="14"/>
      <c r="AF1256" s="14"/>
      <c r="AG1256" s="14"/>
      <c r="AH1256" s="14"/>
      <c r="AI1256" s="14"/>
      <c r="AJ1256" s="14"/>
      <c r="AK1256" s="14"/>
      <c r="AL1256" s="14"/>
      <c r="AM1256" s="14"/>
      <c r="AN1256" s="14"/>
      <c r="AO1256" s="14"/>
      <c r="AP1256" s="14"/>
      <c r="AQ1256" s="14"/>
      <c r="AR1256" s="14"/>
      <c r="AS1256" s="14"/>
      <c r="AT1256" s="14"/>
      <c r="AU1256" s="14"/>
      <c r="AV1256" s="14"/>
      <c r="AW1256" s="14"/>
      <c r="AX1256" s="14"/>
      <c r="AY1256" s="14"/>
      <c r="AZ1256" s="14"/>
      <c r="BA1256" s="14"/>
      <c r="BB1256" s="14"/>
      <c r="BC1256" s="14"/>
      <c r="BD1256" s="14"/>
      <c r="BE1256" s="14"/>
      <c r="BF1256" s="14"/>
      <c r="BG1256" s="14"/>
      <c r="BH1256" s="14"/>
      <c r="BI1256" s="14"/>
      <c r="BJ1256" s="14"/>
      <c r="BK1256" s="14"/>
      <c r="BL1256" s="14"/>
      <c r="BM1256" s="14"/>
      <c r="BN1256" s="14"/>
      <c r="BO1256" s="14"/>
      <c r="BP1256" s="14"/>
      <c r="BQ1256" s="14"/>
      <c r="BR1256" s="14"/>
      <c r="BS1256" s="14"/>
      <c r="BT1256" s="14"/>
      <c r="BU1256" s="14"/>
      <c r="BV1256" s="14"/>
      <c r="BW1256" s="14"/>
      <c r="BX1256" s="14"/>
      <c r="BY1256" s="14"/>
      <c r="BZ1256" s="14"/>
      <c r="CA1256" s="265" t="s">
        <v>773</v>
      </c>
      <c r="CB1256" s="3" t="str">
        <f t="shared" si="179"/>
        <v>Riadok bude skrytý.</v>
      </c>
      <c r="CC1256" s="271" t="s">
        <v>832</v>
      </c>
      <c r="CF1256" s="13"/>
      <c r="CW1256" s="30">
        <f t="shared" si="180"/>
        <v>1</v>
      </c>
      <c r="CX1256" s="30">
        <f>+IF($J$1256="nemá",1,1)</f>
        <v>1</v>
      </c>
      <c r="CY1256" s="43"/>
      <c r="CZ1256" s="30">
        <f t="shared" si="184"/>
        <v>1</v>
      </c>
      <c r="DA1256" s="52">
        <f t="shared" si="183"/>
        <v>1</v>
      </c>
      <c r="DB1256" s="2">
        <f t="shared" ref="DB1256:DB1319" si="185">+IF($CD$1="malé",0,DA1256)</f>
        <v>0</v>
      </c>
      <c r="DS1256" s="130">
        <f>SI!BY1256</f>
        <v>13</v>
      </c>
      <c r="DZ1256" s="131">
        <f>SI!BZ1256</f>
        <v>0</v>
      </c>
    </row>
    <row r="1257" spans="1:130" hidden="1" x14ac:dyDescent="0.25">
      <c r="A1257" s="141"/>
      <c r="B1257" s="137" t="str">
        <f>+IF(J1256="nemá","","Hodnota dlhodobého finančného majetku, ku ktorému je zriadené záložné právo, je uvedená v tabuľke:")</f>
        <v>Hodnota dlhodobého finančného majetku, ku ktorému je zriadené záložné právo, je uvedená v tabuľke:</v>
      </c>
      <c r="CA1257" s="270"/>
      <c r="CB1257" s="3" t="str">
        <f t="shared" si="179"/>
        <v>Riadok bude skrytý.</v>
      </c>
      <c r="CC1257" s="271" t="s">
        <v>832</v>
      </c>
      <c r="CW1257" s="30">
        <f t="shared" si="180"/>
        <v>1</v>
      </c>
      <c r="CX1257" s="30">
        <f>+IF($J$1256="nemá",0,1)</f>
        <v>1</v>
      </c>
      <c r="CZ1257" s="30">
        <f t="shared" si="184"/>
        <v>1</v>
      </c>
      <c r="DA1257" s="52">
        <f t="shared" si="183"/>
        <v>1</v>
      </c>
      <c r="DB1257" s="2">
        <f t="shared" si="185"/>
        <v>0</v>
      </c>
      <c r="DS1257" s="130">
        <f>SI!BY1257</f>
        <v>283</v>
      </c>
      <c r="DZ1257" s="131">
        <f>SI!BZ1257</f>
        <v>0</v>
      </c>
    </row>
    <row r="1258" spans="1:130" hidden="1" x14ac:dyDescent="0.25">
      <c r="A1258" s="141"/>
      <c r="CA1258" s="270"/>
      <c r="CB1258" s="3" t="str">
        <f t="shared" si="179"/>
        <v>Riadok bude skrytý.</v>
      </c>
      <c r="CC1258" s="271" t="s">
        <v>832</v>
      </c>
      <c r="CW1258" s="30">
        <f t="shared" si="180"/>
        <v>1</v>
      </c>
      <c r="CX1258" s="30">
        <f>+IF($J$1256="nemá",0,1)</f>
        <v>1</v>
      </c>
      <c r="CZ1258" s="30">
        <f t="shared" si="184"/>
        <v>1</v>
      </c>
      <c r="DA1258" s="52">
        <f t="shared" si="183"/>
        <v>1</v>
      </c>
      <c r="DB1258" s="2">
        <f t="shared" si="185"/>
        <v>0</v>
      </c>
      <c r="DS1258" s="130">
        <f>SI!BY1258</f>
        <v>107</v>
      </c>
      <c r="DZ1258" s="131">
        <f>SI!BZ1258</f>
        <v>0</v>
      </c>
    </row>
    <row r="1259" spans="1:130" hidden="1" x14ac:dyDescent="0.25">
      <c r="A1259" s="141"/>
      <c r="B1259" s="401" t="s">
        <v>127</v>
      </c>
      <c r="C1259" s="402"/>
      <c r="D1259" s="402"/>
      <c r="E1259" s="402"/>
      <c r="F1259" s="402"/>
      <c r="G1259" s="402"/>
      <c r="H1259" s="402"/>
      <c r="I1259" s="402"/>
      <c r="J1259" s="402"/>
      <c r="K1259" s="402"/>
      <c r="L1259" s="402"/>
      <c r="M1259" s="402"/>
      <c r="N1259" s="402"/>
      <c r="O1259" s="402"/>
      <c r="P1259" s="402"/>
      <c r="Q1259" s="402"/>
      <c r="R1259" s="402"/>
      <c r="S1259" s="402"/>
      <c r="T1259" s="402"/>
      <c r="U1259" s="402"/>
      <c r="V1259" s="402"/>
      <c r="W1259" s="402"/>
      <c r="X1259" s="402"/>
      <c r="Y1259" s="402"/>
      <c r="Z1259" s="402"/>
      <c r="AA1259" s="402"/>
      <c r="AB1259" s="402"/>
      <c r="AC1259" s="402"/>
      <c r="AD1259" s="402"/>
      <c r="AE1259" s="402"/>
      <c r="AF1259" s="402"/>
      <c r="AG1259" s="402"/>
      <c r="AH1259" s="402"/>
      <c r="AI1259" s="402"/>
      <c r="AJ1259" s="402"/>
      <c r="AK1259" s="402"/>
      <c r="AL1259" s="402"/>
      <c r="AM1259" s="402"/>
      <c r="AN1259" s="402"/>
      <c r="AO1259" s="402"/>
      <c r="AP1259" s="402"/>
      <c r="AQ1259" s="402"/>
      <c r="AR1259" s="402"/>
      <c r="AS1259" s="402"/>
      <c r="AT1259" s="402"/>
      <c r="AU1259" s="402"/>
      <c r="AV1259" s="402"/>
      <c r="AW1259" s="402"/>
      <c r="AX1259" s="402"/>
      <c r="AY1259" s="402"/>
      <c r="AZ1259" s="402"/>
      <c r="BA1259" s="402"/>
      <c r="BB1259" s="402"/>
      <c r="BC1259" s="402"/>
      <c r="BD1259" s="402"/>
      <c r="BE1259" s="402"/>
      <c r="BF1259" s="402"/>
      <c r="BG1259" s="402"/>
      <c r="BH1259" s="402"/>
      <c r="BI1259" s="776"/>
      <c r="BJ1259" s="393" t="s">
        <v>1010</v>
      </c>
      <c r="BK1259" s="394"/>
      <c r="BL1259" s="394"/>
      <c r="BM1259" s="394"/>
      <c r="BN1259" s="394"/>
      <c r="BO1259" s="394"/>
      <c r="BP1259" s="394"/>
      <c r="BQ1259" s="394"/>
      <c r="BR1259" s="394"/>
      <c r="BS1259" s="391">
        <f>+AJ141</f>
        <v>2021</v>
      </c>
      <c r="BT1259" s="391"/>
      <c r="BU1259" s="391"/>
      <c r="BV1259" s="391"/>
      <c r="BW1259" s="391"/>
      <c r="BX1259" s="391"/>
      <c r="BY1259" s="391"/>
      <c r="BZ1259" s="392"/>
      <c r="CA1259" s="270"/>
      <c r="CB1259" s="3" t="str">
        <f t="shared" si="179"/>
        <v>Riadok bude skrytý.</v>
      </c>
      <c r="CC1259" s="271" t="s">
        <v>832</v>
      </c>
      <c r="CD1259" s="4"/>
      <c r="CW1259" s="30">
        <f t="shared" ref="CW1259:CW1290" si="186">+IF($AB$1193="neeviduje",0,1)</f>
        <v>1</v>
      </c>
      <c r="CX1259" s="30">
        <f>+IF($J$1256="nemá",0,1)</f>
        <v>1</v>
      </c>
      <c r="CZ1259" s="30">
        <f t="shared" si="184"/>
        <v>1</v>
      </c>
      <c r="DA1259" s="52">
        <f t="shared" si="183"/>
        <v>1</v>
      </c>
      <c r="DB1259" s="2">
        <f t="shared" si="185"/>
        <v>0</v>
      </c>
      <c r="DS1259" s="130">
        <f>SI!BY1259</f>
        <v>1011</v>
      </c>
      <c r="DZ1259" s="131">
        <f>SI!BZ1259</f>
        <v>0</v>
      </c>
    </row>
    <row r="1260" spans="1:130" hidden="1" x14ac:dyDescent="0.25">
      <c r="A1260" s="141"/>
      <c r="B1260" s="401" t="s">
        <v>776</v>
      </c>
      <c r="C1260" s="402"/>
      <c r="D1260" s="402"/>
      <c r="E1260" s="402"/>
      <c r="F1260" s="402"/>
      <c r="G1260" s="402"/>
      <c r="H1260" s="402"/>
      <c r="I1260" s="402"/>
      <c r="J1260" s="402"/>
      <c r="K1260" s="402"/>
      <c r="L1260" s="402"/>
      <c r="M1260" s="402"/>
      <c r="N1260" s="402"/>
      <c r="O1260" s="402"/>
      <c r="P1260" s="402"/>
      <c r="Q1260" s="402"/>
      <c r="R1260" s="402"/>
      <c r="S1260" s="402"/>
      <c r="T1260" s="402"/>
      <c r="U1260" s="402"/>
      <c r="V1260" s="402"/>
      <c r="W1260" s="402"/>
      <c r="X1260" s="402"/>
      <c r="Y1260" s="402"/>
      <c r="Z1260" s="402"/>
      <c r="AA1260" s="402"/>
      <c r="AB1260" s="402"/>
      <c r="AC1260" s="402"/>
      <c r="AD1260" s="402"/>
      <c r="AE1260" s="402"/>
      <c r="AF1260" s="402"/>
      <c r="AG1260" s="402"/>
      <c r="AH1260" s="402"/>
      <c r="AI1260" s="402"/>
      <c r="AJ1260" s="402"/>
      <c r="AK1260" s="402"/>
      <c r="AL1260" s="402"/>
      <c r="AM1260" s="402"/>
      <c r="AN1260" s="402"/>
      <c r="AO1260" s="402"/>
      <c r="AP1260" s="402"/>
      <c r="AQ1260" s="402"/>
      <c r="AR1260" s="402"/>
      <c r="AS1260" s="402"/>
      <c r="AT1260" s="402"/>
      <c r="AU1260" s="402"/>
      <c r="AV1260" s="402"/>
      <c r="AW1260" s="402"/>
      <c r="AX1260" s="402"/>
      <c r="AY1260" s="402"/>
      <c r="AZ1260" s="402"/>
      <c r="BA1260" s="402"/>
      <c r="BB1260" s="402"/>
      <c r="BC1260" s="402"/>
      <c r="BD1260" s="402"/>
      <c r="BE1260" s="402"/>
      <c r="BF1260" s="402"/>
      <c r="BG1260" s="402"/>
      <c r="BH1260" s="402"/>
      <c r="BI1260" s="402"/>
      <c r="BJ1260" s="472"/>
      <c r="BK1260" s="473"/>
      <c r="BL1260" s="473"/>
      <c r="BM1260" s="473"/>
      <c r="BN1260" s="473"/>
      <c r="BO1260" s="473"/>
      <c r="BP1260" s="473"/>
      <c r="BQ1260" s="473"/>
      <c r="BR1260" s="473"/>
      <c r="BS1260" s="473"/>
      <c r="BT1260" s="473"/>
      <c r="BU1260" s="473"/>
      <c r="BV1260" s="473"/>
      <c r="BW1260" s="473"/>
      <c r="BX1260" s="473"/>
      <c r="BY1260" s="473"/>
      <c r="BZ1260" s="474"/>
      <c r="CA1260" s="270"/>
      <c r="CB1260" s="3" t="str">
        <f t="shared" si="179"/>
        <v>Riadok bude skrytý.</v>
      </c>
      <c r="CC1260" s="271" t="s">
        <v>832</v>
      </c>
      <c r="CW1260" s="30">
        <f t="shared" si="186"/>
        <v>1</v>
      </c>
      <c r="CX1260" s="30">
        <f>+IF($J$1256="nemá",0,1)</f>
        <v>1</v>
      </c>
      <c r="CZ1260" s="30">
        <f t="shared" si="184"/>
        <v>1</v>
      </c>
      <c r="DA1260" s="52">
        <f t="shared" si="183"/>
        <v>1</v>
      </c>
      <c r="DB1260" s="2">
        <f t="shared" si="185"/>
        <v>0</v>
      </c>
      <c r="DS1260" s="130">
        <f>SI!BY1260</f>
        <v>120</v>
      </c>
      <c r="DZ1260" s="131">
        <f>SI!BZ1260</f>
        <v>0</v>
      </c>
    </row>
    <row r="1261" spans="1:130" hidden="1" x14ac:dyDescent="0.25">
      <c r="A1261" s="141"/>
      <c r="B1261" s="1759" t="s">
        <v>805</v>
      </c>
      <c r="C1261" s="1760"/>
      <c r="D1261" s="1760"/>
      <c r="E1261" s="1760"/>
      <c r="F1261" s="1760"/>
      <c r="G1261" s="1760"/>
      <c r="H1261" s="1760"/>
      <c r="I1261" s="1760"/>
      <c r="J1261" s="1760"/>
      <c r="K1261" s="1760"/>
      <c r="L1261" s="1760"/>
      <c r="M1261" s="1760"/>
      <c r="N1261" s="1760"/>
      <c r="O1261" s="1760"/>
      <c r="P1261" s="1760"/>
      <c r="Q1261" s="1760"/>
      <c r="R1261" s="1760"/>
      <c r="S1261" s="1760"/>
      <c r="T1261" s="1760"/>
      <c r="U1261" s="1760"/>
      <c r="V1261" s="1760"/>
      <c r="W1261" s="1760"/>
      <c r="X1261" s="1760"/>
      <c r="Y1261" s="1760"/>
      <c r="Z1261" s="1760"/>
      <c r="AA1261" s="1760"/>
      <c r="AB1261" s="1760"/>
      <c r="AC1261" s="1760"/>
      <c r="AD1261" s="1760"/>
      <c r="AE1261" s="1760"/>
      <c r="AF1261" s="1760"/>
      <c r="AG1261" s="1760"/>
      <c r="AH1261" s="1760"/>
      <c r="AI1261" s="1760"/>
      <c r="AJ1261" s="1760"/>
      <c r="AK1261" s="1760"/>
      <c r="AL1261" s="1760"/>
      <c r="AM1261" s="1760"/>
      <c r="AN1261" s="1760"/>
      <c r="AO1261" s="1760"/>
      <c r="AP1261" s="1760"/>
      <c r="AQ1261" s="1760"/>
      <c r="AR1261" s="1760"/>
      <c r="AS1261" s="1760"/>
      <c r="AT1261" s="1760"/>
      <c r="AU1261" s="1760"/>
      <c r="AV1261" s="1760"/>
      <c r="AW1261" s="1760"/>
      <c r="AX1261" s="1760"/>
      <c r="AY1261" s="1760"/>
      <c r="AZ1261" s="1760"/>
      <c r="BA1261" s="1760"/>
      <c r="BB1261" s="1760"/>
      <c r="BC1261" s="1760"/>
      <c r="BD1261" s="1760"/>
      <c r="BE1261" s="1760"/>
      <c r="BF1261" s="1760"/>
      <c r="BG1261" s="1760"/>
      <c r="BH1261" s="1760"/>
      <c r="BI1261" s="1760"/>
      <c r="BJ1261" s="770"/>
      <c r="BK1261" s="771"/>
      <c r="BL1261" s="771"/>
      <c r="BM1261" s="771"/>
      <c r="BN1261" s="771"/>
      <c r="BO1261" s="771"/>
      <c r="BP1261" s="771"/>
      <c r="BQ1261" s="771"/>
      <c r="BR1261" s="771"/>
      <c r="BS1261" s="771"/>
      <c r="BT1261" s="771"/>
      <c r="BU1261" s="771"/>
      <c r="BV1261" s="771"/>
      <c r="BW1261" s="771"/>
      <c r="BX1261" s="771"/>
      <c r="BY1261" s="771"/>
      <c r="BZ1261" s="772"/>
      <c r="CA1261" s="270"/>
      <c r="CB1261" s="3" t="str">
        <f t="shared" si="179"/>
        <v>Riadok bude skrytý.</v>
      </c>
      <c r="CC1261" s="271" t="s">
        <v>832</v>
      </c>
      <c r="CD1261" s="4"/>
      <c r="CE1261" s="4"/>
      <c r="CF1261" s="4"/>
      <c r="CG1261" s="4"/>
      <c r="CH1261" s="4"/>
      <c r="CI1261" s="4"/>
      <c r="CJ1261" s="4"/>
      <c r="CK1261" s="4"/>
      <c r="CL1261" s="4"/>
      <c r="CM1261" s="4"/>
      <c r="CN1261" s="4"/>
      <c r="CO1261" s="4"/>
      <c r="CP1261" s="4"/>
      <c r="CW1261" s="30">
        <f t="shared" si="186"/>
        <v>1</v>
      </c>
      <c r="CX1261" s="30">
        <f>+IF($J$1256="nemá",0,1)</f>
        <v>1</v>
      </c>
      <c r="CZ1261" s="30">
        <f t="shared" si="184"/>
        <v>1</v>
      </c>
      <c r="DA1261" s="52">
        <f t="shared" si="183"/>
        <v>1</v>
      </c>
      <c r="DB1261" s="2">
        <f t="shared" si="185"/>
        <v>0</v>
      </c>
      <c r="DS1261" s="130">
        <f>SI!BY1261</f>
        <v>158</v>
      </c>
      <c r="DZ1261" s="131">
        <f>SI!BZ1261</f>
        <v>0</v>
      </c>
    </row>
    <row r="1262" spans="1:130" hidden="1" x14ac:dyDescent="0.25">
      <c r="A1262" s="141"/>
      <c r="CA1262" s="270"/>
      <c r="CB1262" s="3" t="str">
        <f t="shared" si="179"/>
        <v>Riadok bude skrytý.</v>
      </c>
      <c r="CC1262" s="271" t="s">
        <v>832</v>
      </c>
      <c r="CW1262" s="30">
        <f t="shared" si="186"/>
        <v>1</v>
      </c>
      <c r="CZ1262" s="30">
        <f t="shared" si="184"/>
        <v>1</v>
      </c>
      <c r="DA1262" s="30">
        <f>+IF(CW1262+CX1262+CY1262=0,0,IF(CZ1262=0,0,1))</f>
        <v>1</v>
      </c>
      <c r="DB1262" s="2">
        <f t="shared" si="185"/>
        <v>0</v>
      </c>
      <c r="DS1262" s="130">
        <f>SI!BY1262</f>
        <v>182</v>
      </c>
      <c r="DZ1262" s="131">
        <f>SI!BZ1262</f>
        <v>0</v>
      </c>
    </row>
    <row r="1263" spans="1:130" hidden="1" x14ac:dyDescent="0.25">
      <c r="A1263" s="141"/>
      <c r="B1263" s="137" t="s">
        <v>96</v>
      </c>
      <c r="J1263" s="378" t="s">
        <v>97</v>
      </c>
      <c r="K1263" s="378"/>
      <c r="L1263" s="378"/>
      <c r="M1263" s="378"/>
      <c r="N1263" s="378"/>
      <c r="O1263" s="137" t="str">
        <f>+IF($E$52&lt;&gt;"",IF(ROUNDDOWN(CODE(MID($E$52,1,1))/10,0)*(IF(SI!EE1263="",1,SI!EE1263-1))+(LEN(SI!J2)+2)=DS1263,"vo svojej evidencii finančný majetok, ku ktorému tvorila opravné položky.","NEPOVOLENÉ POUŽITIE!"),"NEPOVOLENÉ POUŽITIE!")</f>
        <v>vo svojej evidencii finančný majetok, ku ktorému tvorila opravné položky.</v>
      </c>
      <c r="P1263" s="38"/>
      <c r="CA1263" s="265" t="s">
        <v>773</v>
      </c>
      <c r="CB1263" s="3" t="str">
        <f t="shared" si="179"/>
        <v>Riadok bude skrytý.</v>
      </c>
      <c r="CC1263" s="271" t="s">
        <v>832</v>
      </c>
      <c r="CF1263" s="13"/>
      <c r="CW1263" s="30">
        <f t="shared" si="186"/>
        <v>1</v>
      </c>
      <c r="CX1263" s="30">
        <f>+IF($J$1263="nemá",1,1)</f>
        <v>1</v>
      </c>
      <c r="CY1263" s="43"/>
      <c r="CZ1263" s="30">
        <f t="shared" si="184"/>
        <v>1</v>
      </c>
      <c r="DA1263" s="52">
        <f t="shared" si="183"/>
        <v>1</v>
      </c>
      <c r="DB1263" s="2">
        <f t="shared" si="185"/>
        <v>0</v>
      </c>
      <c r="DS1263" s="130">
        <f>SI!BY1263</f>
        <v>15</v>
      </c>
      <c r="DZ1263" s="131">
        <f>SI!BZ1263</f>
        <v>0</v>
      </c>
    </row>
    <row r="1264" spans="1:130" hidden="1" x14ac:dyDescent="0.25">
      <c r="A1264" s="141"/>
      <c r="B1264" s="137" t="str">
        <f>+IF(J1263="má","Údaje o opravných položkách k dlhodobému finančnému majetku sú uvedené v tabuľke:","")</f>
        <v>Údaje o opravných položkách k dlhodobému finančnému majetku sú uvedené v tabuľke:</v>
      </c>
      <c r="CA1264" s="270"/>
      <c r="CB1264" s="3" t="str">
        <f t="shared" si="179"/>
        <v>Riadok bude skrytý.</v>
      </c>
      <c r="CC1264" s="271" t="s">
        <v>832</v>
      </c>
      <c r="CF1264" s="13"/>
      <c r="CW1264" s="30">
        <f t="shared" si="186"/>
        <v>1</v>
      </c>
      <c r="CX1264" s="30">
        <f t="shared" ref="CX1264:CX1276" si="187">+IF($J$1263="nemá",0,1)</f>
        <v>1</v>
      </c>
      <c r="CY1264" s="43"/>
      <c r="CZ1264" s="30">
        <f t="shared" si="184"/>
        <v>1</v>
      </c>
      <c r="DA1264" s="52">
        <f t="shared" si="183"/>
        <v>1</v>
      </c>
      <c r="DB1264" s="2">
        <f t="shared" si="185"/>
        <v>0</v>
      </c>
      <c r="DS1264" s="130">
        <f>SI!BY1264</f>
        <v>123</v>
      </c>
      <c r="DZ1264" s="131">
        <f>SI!BZ1264</f>
        <v>0</v>
      </c>
    </row>
    <row r="1265" spans="1:130" hidden="1" x14ac:dyDescent="0.25">
      <c r="A1265" s="141"/>
      <c r="CA1265" s="270"/>
      <c r="CB1265" s="3" t="str">
        <f t="shared" si="179"/>
        <v>Riadok bude skrytý.</v>
      </c>
      <c r="CC1265" s="271" t="s">
        <v>832</v>
      </c>
      <c r="CW1265" s="30">
        <f t="shared" si="186"/>
        <v>1</v>
      </c>
      <c r="CX1265" s="30">
        <f t="shared" si="187"/>
        <v>1</v>
      </c>
      <c r="CZ1265" s="30">
        <f t="shared" si="184"/>
        <v>1</v>
      </c>
      <c r="DA1265" s="52">
        <f t="shared" si="183"/>
        <v>1</v>
      </c>
      <c r="DB1265" s="2">
        <f t="shared" si="185"/>
        <v>0</v>
      </c>
      <c r="DS1265" s="130">
        <f>SI!BY1265</f>
        <v>192</v>
      </c>
      <c r="DZ1265" s="131">
        <f>SI!BZ1265</f>
        <v>0</v>
      </c>
    </row>
    <row r="1266" spans="1:130" hidden="1" x14ac:dyDescent="0.25">
      <c r="A1266" s="141"/>
      <c r="B1266" s="401" t="s">
        <v>99</v>
      </c>
      <c r="C1266" s="402"/>
      <c r="D1266" s="402"/>
      <c r="E1266" s="402"/>
      <c r="F1266" s="402"/>
      <c r="G1266" s="402"/>
      <c r="H1266" s="402"/>
      <c r="I1266" s="402"/>
      <c r="J1266" s="402"/>
      <c r="K1266" s="402"/>
      <c r="L1266" s="402"/>
      <c r="M1266" s="402"/>
      <c r="N1266" s="402"/>
      <c r="O1266" s="402"/>
      <c r="P1266" s="402"/>
      <c r="Q1266" s="402"/>
      <c r="R1266" s="402"/>
      <c r="S1266" s="402"/>
      <c r="T1266" s="402"/>
      <c r="U1266" s="402"/>
      <c r="V1266" s="402"/>
      <c r="W1266" s="402"/>
      <c r="X1266" s="402"/>
      <c r="Y1266" s="402"/>
      <c r="Z1266" s="402"/>
      <c r="AA1266" s="402"/>
      <c r="AB1266" s="402"/>
      <c r="AC1266" s="402"/>
      <c r="AD1266" s="402"/>
      <c r="AE1266" s="402"/>
      <c r="AF1266" s="402"/>
      <c r="AG1266" s="402"/>
      <c r="AH1266" s="402"/>
      <c r="AI1266" s="402"/>
      <c r="AJ1266" s="402"/>
      <c r="AK1266" s="776"/>
      <c r="AL1266" s="1443" t="s">
        <v>101</v>
      </c>
      <c r="AM1266" s="1444"/>
      <c r="AN1266" s="1444"/>
      <c r="AO1266" s="1444"/>
      <c r="AP1266" s="1444"/>
      <c r="AQ1266" s="1444"/>
      <c r="AR1266" s="1444"/>
      <c r="AS1266" s="1444"/>
      <c r="AT1266" s="1444"/>
      <c r="AU1266" s="1444"/>
      <c r="AV1266" s="1444"/>
      <c r="AW1266" s="1444"/>
      <c r="AX1266" s="1444"/>
      <c r="AY1266" s="1444"/>
      <c r="AZ1266" s="1445"/>
      <c r="BA1266" s="598" t="s">
        <v>100</v>
      </c>
      <c r="BB1266" s="645"/>
      <c r="BC1266" s="645"/>
      <c r="BD1266" s="645"/>
      <c r="BE1266" s="645"/>
      <c r="BF1266" s="645"/>
      <c r="BG1266" s="645"/>
      <c r="BH1266" s="645"/>
      <c r="BI1266" s="645"/>
      <c r="BJ1266" s="645"/>
      <c r="BK1266" s="645"/>
      <c r="BL1266" s="645"/>
      <c r="BM1266" s="645"/>
      <c r="BN1266" s="646"/>
      <c r="BO1266" s="598" t="s">
        <v>102</v>
      </c>
      <c r="BP1266" s="645"/>
      <c r="BQ1266" s="645"/>
      <c r="BR1266" s="645"/>
      <c r="BS1266" s="645"/>
      <c r="BT1266" s="645"/>
      <c r="BU1266" s="645"/>
      <c r="BV1266" s="645"/>
      <c r="BW1266" s="645"/>
      <c r="BX1266" s="645"/>
      <c r="BY1266" s="645"/>
      <c r="BZ1266" s="646"/>
      <c r="CA1266" s="265" t="s">
        <v>773</v>
      </c>
      <c r="CB1266" s="3" t="str">
        <f t="shared" si="179"/>
        <v>Riadok bude skrytý.</v>
      </c>
      <c r="CC1266" s="271" t="s">
        <v>832</v>
      </c>
      <c r="CW1266" s="30">
        <f t="shared" si="186"/>
        <v>1</v>
      </c>
      <c r="CX1266" s="30">
        <f t="shared" si="187"/>
        <v>1</v>
      </c>
      <c r="CZ1266" s="30">
        <f t="shared" si="184"/>
        <v>1</v>
      </c>
      <c r="DA1266" s="52">
        <f t="shared" si="183"/>
        <v>1</v>
      </c>
      <c r="DB1266" s="2">
        <f t="shared" si="185"/>
        <v>0</v>
      </c>
      <c r="DS1266" s="130">
        <f>SI!BY1266</f>
        <v>136</v>
      </c>
      <c r="DZ1266" s="131">
        <f>SI!BZ1266</f>
        <v>0</v>
      </c>
    </row>
    <row r="1267" spans="1:130" hidden="1" x14ac:dyDescent="0.25">
      <c r="A1267" s="141"/>
      <c r="B1267" s="1258"/>
      <c r="C1267" s="1259"/>
      <c r="D1267" s="1259"/>
      <c r="E1267" s="1259"/>
      <c r="F1267" s="1259"/>
      <c r="G1267" s="1259"/>
      <c r="H1267" s="1259"/>
      <c r="I1267" s="1259"/>
      <c r="J1267" s="1259"/>
      <c r="K1267" s="1259"/>
      <c r="L1267" s="1259"/>
      <c r="M1267" s="1259"/>
      <c r="N1267" s="1259"/>
      <c r="O1267" s="1259"/>
      <c r="P1267" s="1259"/>
      <c r="Q1267" s="1259"/>
      <c r="R1267" s="1259"/>
      <c r="S1267" s="1259"/>
      <c r="T1267" s="1259"/>
      <c r="U1267" s="1259"/>
      <c r="V1267" s="1259"/>
      <c r="W1267" s="1259"/>
      <c r="X1267" s="1259"/>
      <c r="Y1267" s="1259"/>
      <c r="Z1267" s="1259"/>
      <c r="AA1267" s="1259"/>
      <c r="AB1267" s="1259"/>
      <c r="AC1267" s="1259"/>
      <c r="AD1267" s="1259"/>
      <c r="AE1267" s="1259"/>
      <c r="AF1267" s="1259"/>
      <c r="AG1267" s="1259"/>
      <c r="AH1267" s="1259"/>
      <c r="AI1267" s="1259"/>
      <c r="AJ1267" s="1259"/>
      <c r="AK1267" s="1260"/>
      <c r="AL1267" s="417"/>
      <c r="AM1267" s="418"/>
      <c r="AN1267" s="418"/>
      <c r="AO1267" s="418"/>
      <c r="AP1267" s="418"/>
      <c r="AQ1267" s="418"/>
      <c r="AR1267" s="418"/>
      <c r="AS1267" s="418"/>
      <c r="AT1267" s="418"/>
      <c r="AU1267" s="418"/>
      <c r="AV1267" s="418"/>
      <c r="AW1267" s="418"/>
      <c r="AX1267" s="418"/>
      <c r="AY1267" s="418"/>
      <c r="AZ1267" s="419"/>
      <c r="BA1267" s="417"/>
      <c r="BB1267" s="418"/>
      <c r="BC1267" s="418"/>
      <c r="BD1267" s="418"/>
      <c r="BE1267" s="418"/>
      <c r="BF1267" s="418"/>
      <c r="BG1267" s="418"/>
      <c r="BH1267" s="418"/>
      <c r="BI1267" s="418"/>
      <c r="BJ1267" s="418"/>
      <c r="BK1267" s="418"/>
      <c r="BL1267" s="418"/>
      <c r="BM1267" s="418"/>
      <c r="BN1267" s="418"/>
      <c r="BO1267" s="1222">
        <f t="shared" ref="BO1267:BO1276" si="188">+AL1267-BA1267</f>
        <v>0</v>
      </c>
      <c r="BP1267" s="1223"/>
      <c r="BQ1267" s="1223"/>
      <c r="BR1267" s="1223"/>
      <c r="BS1267" s="1223"/>
      <c r="BT1267" s="1223"/>
      <c r="BU1267" s="1223"/>
      <c r="BV1267" s="1223"/>
      <c r="BW1267" s="1223"/>
      <c r="BX1267" s="1223"/>
      <c r="BY1267" s="1223"/>
      <c r="BZ1267" s="1224"/>
      <c r="CA1267" s="270"/>
      <c r="CB1267" s="3" t="str">
        <f t="shared" ref="CB1267:CB1330" si="189">+IF(DB1267=0,"Riadok bude skrytý.","Riadok bude vidieť.")</f>
        <v>Riadok bude skrytý.</v>
      </c>
      <c r="CC1267" s="271" t="s">
        <v>832</v>
      </c>
      <c r="CW1267" s="30">
        <f t="shared" si="186"/>
        <v>1</v>
      </c>
      <c r="CX1267" s="30">
        <f t="shared" si="187"/>
        <v>1</v>
      </c>
      <c r="CZ1267" s="30">
        <f>IF(CC1267="",1,IF(CC1267="Chcem skryť riadok.",0,1))</f>
        <v>1</v>
      </c>
      <c r="DA1267" s="52">
        <f>+IF(CW1267*CX1267=0,0,IF(CZ1267=0,0,1))</f>
        <v>1</v>
      </c>
      <c r="DB1267" s="2">
        <f t="shared" si="185"/>
        <v>0</v>
      </c>
      <c r="DS1267" s="130">
        <f>SI!BY1267</f>
        <v>144</v>
      </c>
      <c r="DZ1267" s="131">
        <f>SI!BZ1267</f>
        <v>0</v>
      </c>
    </row>
    <row r="1268" spans="1:130" hidden="1" x14ac:dyDescent="0.25">
      <c r="A1268" s="141"/>
      <c r="B1268" s="1255"/>
      <c r="C1268" s="1256"/>
      <c r="D1268" s="1256"/>
      <c r="E1268" s="1256"/>
      <c r="F1268" s="1256"/>
      <c r="G1268" s="1256"/>
      <c r="H1268" s="1256"/>
      <c r="I1268" s="1256"/>
      <c r="J1268" s="1256"/>
      <c r="K1268" s="1256"/>
      <c r="L1268" s="1256"/>
      <c r="M1268" s="1256"/>
      <c r="N1268" s="1256"/>
      <c r="O1268" s="1256"/>
      <c r="P1268" s="1256"/>
      <c r="Q1268" s="1256"/>
      <c r="R1268" s="1256"/>
      <c r="S1268" s="1256"/>
      <c r="T1268" s="1256"/>
      <c r="U1268" s="1256"/>
      <c r="V1268" s="1256"/>
      <c r="W1268" s="1256"/>
      <c r="X1268" s="1256"/>
      <c r="Y1268" s="1256"/>
      <c r="Z1268" s="1256"/>
      <c r="AA1268" s="1256"/>
      <c r="AB1268" s="1256"/>
      <c r="AC1268" s="1256"/>
      <c r="AD1268" s="1256"/>
      <c r="AE1268" s="1256"/>
      <c r="AF1268" s="1256"/>
      <c r="AG1268" s="1256"/>
      <c r="AH1268" s="1256"/>
      <c r="AI1268" s="1256"/>
      <c r="AJ1268" s="1256"/>
      <c r="AK1268" s="1257"/>
      <c r="AL1268" s="511"/>
      <c r="AM1268" s="482"/>
      <c r="AN1268" s="482"/>
      <c r="AO1268" s="482"/>
      <c r="AP1268" s="482"/>
      <c r="AQ1268" s="482"/>
      <c r="AR1268" s="482"/>
      <c r="AS1268" s="482"/>
      <c r="AT1268" s="482"/>
      <c r="AU1268" s="482"/>
      <c r="AV1268" s="482"/>
      <c r="AW1268" s="482"/>
      <c r="AX1268" s="482"/>
      <c r="AY1268" s="482"/>
      <c r="AZ1268" s="483"/>
      <c r="BA1268" s="511"/>
      <c r="BB1268" s="482"/>
      <c r="BC1268" s="482"/>
      <c r="BD1268" s="482"/>
      <c r="BE1268" s="482"/>
      <c r="BF1268" s="482"/>
      <c r="BG1268" s="482"/>
      <c r="BH1268" s="482"/>
      <c r="BI1268" s="482"/>
      <c r="BJ1268" s="482"/>
      <c r="BK1268" s="482"/>
      <c r="BL1268" s="482"/>
      <c r="BM1268" s="482"/>
      <c r="BN1268" s="482"/>
      <c r="BO1268" s="398">
        <f t="shared" si="188"/>
        <v>0</v>
      </c>
      <c r="BP1268" s="399"/>
      <c r="BQ1268" s="399"/>
      <c r="BR1268" s="399"/>
      <c r="BS1268" s="399"/>
      <c r="BT1268" s="399"/>
      <c r="BU1268" s="399"/>
      <c r="BV1268" s="399"/>
      <c r="BW1268" s="399"/>
      <c r="BX1268" s="399"/>
      <c r="BY1268" s="399"/>
      <c r="BZ1268" s="400"/>
      <c r="CA1268" s="270"/>
      <c r="CB1268" s="3" t="str">
        <f t="shared" si="189"/>
        <v>Riadok bude skrytý.</v>
      </c>
      <c r="CC1268" s="271" t="s">
        <v>832</v>
      </c>
      <c r="CW1268" s="30">
        <f t="shared" si="186"/>
        <v>1</v>
      </c>
      <c r="CX1268" s="30">
        <f t="shared" si="187"/>
        <v>1</v>
      </c>
      <c r="CY1268" s="30">
        <f t="shared" ref="CY1268:CY1275" si="190">+IF(B1268="",0,1)</f>
        <v>0</v>
      </c>
      <c r="CZ1268" s="30">
        <f t="shared" si="184"/>
        <v>1</v>
      </c>
      <c r="DA1268" s="53">
        <f t="shared" ref="DA1268:DA1275" si="191">+IF(CW1268*CX1268*CY1268=0,0,IF(CZ1268=0,0,1))</f>
        <v>0</v>
      </c>
      <c r="DB1268" s="2">
        <f t="shared" si="185"/>
        <v>0</v>
      </c>
      <c r="DS1268" s="130">
        <f>SI!BY1268</f>
        <v>175</v>
      </c>
      <c r="DZ1268" s="131">
        <f>SI!BZ1268</f>
        <v>0</v>
      </c>
    </row>
    <row r="1269" spans="1:130" hidden="1" x14ac:dyDescent="0.25">
      <c r="A1269" s="141"/>
      <c r="B1269" s="1255"/>
      <c r="C1269" s="1256"/>
      <c r="D1269" s="1256"/>
      <c r="E1269" s="1256"/>
      <c r="F1269" s="1256"/>
      <c r="G1269" s="1256"/>
      <c r="H1269" s="1256"/>
      <c r="I1269" s="1256"/>
      <c r="J1269" s="1256"/>
      <c r="K1269" s="1256"/>
      <c r="L1269" s="1256"/>
      <c r="M1269" s="1256"/>
      <c r="N1269" s="1256"/>
      <c r="O1269" s="1256"/>
      <c r="P1269" s="1256"/>
      <c r="Q1269" s="1256"/>
      <c r="R1269" s="1256"/>
      <c r="S1269" s="1256"/>
      <c r="T1269" s="1256"/>
      <c r="U1269" s="1256"/>
      <c r="V1269" s="1256"/>
      <c r="W1269" s="1256"/>
      <c r="X1269" s="1256"/>
      <c r="Y1269" s="1256"/>
      <c r="Z1269" s="1256"/>
      <c r="AA1269" s="1256"/>
      <c r="AB1269" s="1256"/>
      <c r="AC1269" s="1256"/>
      <c r="AD1269" s="1256"/>
      <c r="AE1269" s="1256"/>
      <c r="AF1269" s="1256"/>
      <c r="AG1269" s="1256"/>
      <c r="AH1269" s="1256"/>
      <c r="AI1269" s="1256"/>
      <c r="AJ1269" s="1256"/>
      <c r="AK1269" s="1257"/>
      <c r="AL1269" s="511"/>
      <c r="AM1269" s="482"/>
      <c r="AN1269" s="482"/>
      <c r="AO1269" s="482"/>
      <c r="AP1269" s="482"/>
      <c r="AQ1269" s="482"/>
      <c r="AR1269" s="482"/>
      <c r="AS1269" s="482"/>
      <c r="AT1269" s="482"/>
      <c r="AU1269" s="482"/>
      <c r="AV1269" s="482"/>
      <c r="AW1269" s="482"/>
      <c r="AX1269" s="482"/>
      <c r="AY1269" s="482"/>
      <c r="AZ1269" s="483"/>
      <c r="BA1269" s="511"/>
      <c r="BB1269" s="482"/>
      <c r="BC1269" s="482"/>
      <c r="BD1269" s="482"/>
      <c r="BE1269" s="482"/>
      <c r="BF1269" s="482"/>
      <c r="BG1269" s="482"/>
      <c r="BH1269" s="482"/>
      <c r="BI1269" s="482"/>
      <c r="BJ1269" s="482"/>
      <c r="BK1269" s="482"/>
      <c r="BL1269" s="482"/>
      <c r="BM1269" s="482"/>
      <c r="BN1269" s="482"/>
      <c r="BO1269" s="398">
        <f t="shared" si="188"/>
        <v>0</v>
      </c>
      <c r="BP1269" s="399"/>
      <c r="BQ1269" s="399"/>
      <c r="BR1269" s="399"/>
      <c r="BS1269" s="399"/>
      <c r="BT1269" s="399"/>
      <c r="BU1269" s="399"/>
      <c r="BV1269" s="399"/>
      <c r="BW1269" s="399"/>
      <c r="BX1269" s="399"/>
      <c r="BY1269" s="399"/>
      <c r="BZ1269" s="400"/>
      <c r="CA1269" s="270"/>
      <c r="CB1269" s="3" t="str">
        <f t="shared" si="189"/>
        <v>Riadok bude skrytý.</v>
      </c>
      <c r="CC1269" s="271" t="s">
        <v>832</v>
      </c>
      <c r="CW1269" s="30">
        <f t="shared" si="186"/>
        <v>1</v>
      </c>
      <c r="CX1269" s="30">
        <f t="shared" si="187"/>
        <v>1</v>
      </c>
      <c r="CY1269" s="30">
        <f t="shared" si="190"/>
        <v>0</v>
      </c>
      <c r="CZ1269" s="30">
        <f t="shared" si="184"/>
        <v>1</v>
      </c>
      <c r="DA1269" s="53">
        <f t="shared" si="191"/>
        <v>0</v>
      </c>
      <c r="DB1269" s="2">
        <f t="shared" si="185"/>
        <v>0</v>
      </c>
      <c r="DS1269" s="130">
        <f>SI!BY1269</f>
        <v>168</v>
      </c>
      <c r="DZ1269" s="131">
        <f>SI!BZ1269</f>
        <v>0</v>
      </c>
    </row>
    <row r="1270" spans="1:130" hidden="1" x14ac:dyDescent="0.25">
      <c r="A1270" s="141"/>
      <c r="B1270" s="1255"/>
      <c r="C1270" s="1256"/>
      <c r="D1270" s="1256"/>
      <c r="E1270" s="1256"/>
      <c r="F1270" s="1256"/>
      <c r="G1270" s="1256"/>
      <c r="H1270" s="1256"/>
      <c r="I1270" s="1256"/>
      <c r="J1270" s="1256"/>
      <c r="K1270" s="1256"/>
      <c r="L1270" s="1256"/>
      <c r="M1270" s="1256"/>
      <c r="N1270" s="1256"/>
      <c r="O1270" s="1256"/>
      <c r="P1270" s="1256"/>
      <c r="Q1270" s="1256"/>
      <c r="R1270" s="1256"/>
      <c r="S1270" s="1256"/>
      <c r="T1270" s="1256"/>
      <c r="U1270" s="1256"/>
      <c r="V1270" s="1256"/>
      <c r="W1270" s="1256"/>
      <c r="X1270" s="1256"/>
      <c r="Y1270" s="1256"/>
      <c r="Z1270" s="1256"/>
      <c r="AA1270" s="1256"/>
      <c r="AB1270" s="1256"/>
      <c r="AC1270" s="1256"/>
      <c r="AD1270" s="1256"/>
      <c r="AE1270" s="1256"/>
      <c r="AF1270" s="1256"/>
      <c r="AG1270" s="1256"/>
      <c r="AH1270" s="1256"/>
      <c r="AI1270" s="1256"/>
      <c r="AJ1270" s="1256"/>
      <c r="AK1270" s="1257"/>
      <c r="AL1270" s="511"/>
      <c r="AM1270" s="482"/>
      <c r="AN1270" s="482"/>
      <c r="AO1270" s="482"/>
      <c r="AP1270" s="482"/>
      <c r="AQ1270" s="482"/>
      <c r="AR1270" s="482"/>
      <c r="AS1270" s="482"/>
      <c r="AT1270" s="482"/>
      <c r="AU1270" s="482"/>
      <c r="AV1270" s="482"/>
      <c r="AW1270" s="482"/>
      <c r="AX1270" s="482"/>
      <c r="AY1270" s="482"/>
      <c r="AZ1270" s="483"/>
      <c r="BA1270" s="511"/>
      <c r="BB1270" s="482"/>
      <c r="BC1270" s="482"/>
      <c r="BD1270" s="482"/>
      <c r="BE1270" s="482"/>
      <c r="BF1270" s="482"/>
      <c r="BG1270" s="482"/>
      <c r="BH1270" s="482"/>
      <c r="BI1270" s="482"/>
      <c r="BJ1270" s="482"/>
      <c r="BK1270" s="482"/>
      <c r="BL1270" s="482"/>
      <c r="BM1270" s="482"/>
      <c r="BN1270" s="482"/>
      <c r="BO1270" s="398">
        <f t="shared" si="188"/>
        <v>0</v>
      </c>
      <c r="BP1270" s="399"/>
      <c r="BQ1270" s="399"/>
      <c r="BR1270" s="399"/>
      <c r="BS1270" s="399"/>
      <c r="BT1270" s="399"/>
      <c r="BU1270" s="399"/>
      <c r="BV1270" s="399"/>
      <c r="BW1270" s="399"/>
      <c r="BX1270" s="399"/>
      <c r="BY1270" s="399"/>
      <c r="BZ1270" s="400"/>
      <c r="CA1270" s="270"/>
      <c r="CB1270" s="3" t="str">
        <f t="shared" si="189"/>
        <v>Riadok bude skrytý.</v>
      </c>
      <c r="CC1270" s="271" t="s">
        <v>832</v>
      </c>
      <c r="CW1270" s="30">
        <f t="shared" si="186"/>
        <v>1</v>
      </c>
      <c r="CX1270" s="30">
        <f t="shared" si="187"/>
        <v>1</v>
      </c>
      <c r="CY1270" s="30">
        <f t="shared" si="190"/>
        <v>0</v>
      </c>
      <c r="CZ1270" s="30">
        <f t="shared" si="184"/>
        <v>1</v>
      </c>
      <c r="DA1270" s="53">
        <f t="shared" si="191"/>
        <v>0</v>
      </c>
      <c r="DB1270" s="2">
        <f t="shared" si="185"/>
        <v>0</v>
      </c>
      <c r="DS1270" s="130">
        <f>SI!BY1270</f>
        <v>107</v>
      </c>
      <c r="DZ1270" s="131">
        <f>SI!BZ1270</f>
        <v>0</v>
      </c>
    </row>
    <row r="1271" spans="1:130" hidden="1" x14ac:dyDescent="0.25">
      <c r="A1271" s="141"/>
      <c r="B1271" s="1255"/>
      <c r="C1271" s="1256"/>
      <c r="D1271" s="1256"/>
      <c r="E1271" s="1256"/>
      <c r="F1271" s="1256"/>
      <c r="G1271" s="1256"/>
      <c r="H1271" s="1256"/>
      <c r="I1271" s="1256"/>
      <c r="J1271" s="1256"/>
      <c r="K1271" s="1256"/>
      <c r="L1271" s="1256"/>
      <c r="M1271" s="1256"/>
      <c r="N1271" s="1256"/>
      <c r="O1271" s="1256"/>
      <c r="P1271" s="1256"/>
      <c r="Q1271" s="1256"/>
      <c r="R1271" s="1256"/>
      <c r="S1271" s="1256"/>
      <c r="T1271" s="1256"/>
      <c r="U1271" s="1256"/>
      <c r="V1271" s="1256"/>
      <c r="W1271" s="1256"/>
      <c r="X1271" s="1256"/>
      <c r="Y1271" s="1256"/>
      <c r="Z1271" s="1256"/>
      <c r="AA1271" s="1256"/>
      <c r="AB1271" s="1256"/>
      <c r="AC1271" s="1256"/>
      <c r="AD1271" s="1256"/>
      <c r="AE1271" s="1256"/>
      <c r="AF1271" s="1256"/>
      <c r="AG1271" s="1256"/>
      <c r="AH1271" s="1256"/>
      <c r="AI1271" s="1256"/>
      <c r="AJ1271" s="1256"/>
      <c r="AK1271" s="1257"/>
      <c r="AL1271" s="511"/>
      <c r="AM1271" s="482"/>
      <c r="AN1271" s="482"/>
      <c r="AO1271" s="482"/>
      <c r="AP1271" s="482"/>
      <c r="AQ1271" s="482"/>
      <c r="AR1271" s="482"/>
      <c r="AS1271" s="482"/>
      <c r="AT1271" s="482"/>
      <c r="AU1271" s="482"/>
      <c r="AV1271" s="482"/>
      <c r="AW1271" s="482"/>
      <c r="AX1271" s="482"/>
      <c r="AY1271" s="482"/>
      <c r="AZ1271" s="483"/>
      <c r="BA1271" s="511"/>
      <c r="BB1271" s="482"/>
      <c r="BC1271" s="482"/>
      <c r="BD1271" s="482"/>
      <c r="BE1271" s="482"/>
      <c r="BF1271" s="482"/>
      <c r="BG1271" s="482"/>
      <c r="BH1271" s="482"/>
      <c r="BI1271" s="482"/>
      <c r="BJ1271" s="482"/>
      <c r="BK1271" s="482"/>
      <c r="BL1271" s="482"/>
      <c r="BM1271" s="482"/>
      <c r="BN1271" s="482"/>
      <c r="BO1271" s="398">
        <f t="shared" si="188"/>
        <v>0</v>
      </c>
      <c r="BP1271" s="399"/>
      <c r="BQ1271" s="399"/>
      <c r="BR1271" s="399"/>
      <c r="BS1271" s="399"/>
      <c r="BT1271" s="399"/>
      <c r="BU1271" s="399"/>
      <c r="BV1271" s="399"/>
      <c r="BW1271" s="399"/>
      <c r="BX1271" s="399"/>
      <c r="BY1271" s="399"/>
      <c r="BZ1271" s="400"/>
      <c r="CA1271" s="270"/>
      <c r="CB1271" s="3" t="str">
        <f t="shared" si="189"/>
        <v>Riadok bude skrytý.</v>
      </c>
      <c r="CC1271" s="271" t="s">
        <v>832</v>
      </c>
      <c r="CW1271" s="30">
        <f t="shared" si="186"/>
        <v>1</v>
      </c>
      <c r="CX1271" s="30">
        <f t="shared" si="187"/>
        <v>1</v>
      </c>
      <c r="CY1271" s="30">
        <f t="shared" si="190"/>
        <v>0</v>
      </c>
      <c r="CZ1271" s="30">
        <f t="shared" si="184"/>
        <v>1</v>
      </c>
      <c r="DA1271" s="53">
        <f t="shared" si="191"/>
        <v>0</v>
      </c>
      <c r="DB1271" s="2">
        <f t="shared" si="185"/>
        <v>0</v>
      </c>
      <c r="DS1271" s="130">
        <f>SI!BY1271</f>
        <v>168</v>
      </c>
      <c r="DZ1271" s="131">
        <f>SI!BZ1271</f>
        <v>0</v>
      </c>
    </row>
    <row r="1272" spans="1:130" hidden="1" x14ac:dyDescent="0.25">
      <c r="A1272" s="141"/>
      <c r="B1272" s="1255"/>
      <c r="C1272" s="1256"/>
      <c r="D1272" s="1256"/>
      <c r="E1272" s="1256"/>
      <c r="F1272" s="1256"/>
      <c r="G1272" s="1256"/>
      <c r="H1272" s="1256"/>
      <c r="I1272" s="1256"/>
      <c r="J1272" s="1256"/>
      <c r="K1272" s="1256"/>
      <c r="L1272" s="1256"/>
      <c r="M1272" s="1256"/>
      <c r="N1272" s="1256"/>
      <c r="O1272" s="1256"/>
      <c r="P1272" s="1256"/>
      <c r="Q1272" s="1256"/>
      <c r="R1272" s="1256"/>
      <c r="S1272" s="1256"/>
      <c r="T1272" s="1256"/>
      <c r="U1272" s="1256"/>
      <c r="V1272" s="1256"/>
      <c r="W1272" s="1256"/>
      <c r="X1272" s="1256"/>
      <c r="Y1272" s="1256"/>
      <c r="Z1272" s="1256"/>
      <c r="AA1272" s="1256"/>
      <c r="AB1272" s="1256"/>
      <c r="AC1272" s="1256"/>
      <c r="AD1272" s="1256"/>
      <c r="AE1272" s="1256"/>
      <c r="AF1272" s="1256"/>
      <c r="AG1272" s="1256"/>
      <c r="AH1272" s="1256"/>
      <c r="AI1272" s="1256"/>
      <c r="AJ1272" s="1256"/>
      <c r="AK1272" s="1257"/>
      <c r="AL1272" s="511"/>
      <c r="AM1272" s="482"/>
      <c r="AN1272" s="482"/>
      <c r="AO1272" s="482"/>
      <c r="AP1272" s="482"/>
      <c r="AQ1272" s="482"/>
      <c r="AR1272" s="482"/>
      <c r="AS1272" s="482"/>
      <c r="AT1272" s="482"/>
      <c r="AU1272" s="482"/>
      <c r="AV1272" s="482"/>
      <c r="AW1272" s="482"/>
      <c r="AX1272" s="482"/>
      <c r="AY1272" s="482"/>
      <c r="AZ1272" s="483"/>
      <c r="BA1272" s="511"/>
      <c r="BB1272" s="482"/>
      <c r="BC1272" s="482"/>
      <c r="BD1272" s="482"/>
      <c r="BE1272" s="482"/>
      <c r="BF1272" s="482"/>
      <c r="BG1272" s="482"/>
      <c r="BH1272" s="482"/>
      <c r="BI1272" s="482"/>
      <c r="BJ1272" s="482"/>
      <c r="BK1272" s="482"/>
      <c r="BL1272" s="482"/>
      <c r="BM1272" s="482"/>
      <c r="BN1272" s="482"/>
      <c r="BO1272" s="398">
        <f t="shared" si="188"/>
        <v>0</v>
      </c>
      <c r="BP1272" s="399"/>
      <c r="BQ1272" s="399"/>
      <c r="BR1272" s="399"/>
      <c r="BS1272" s="399"/>
      <c r="BT1272" s="399"/>
      <c r="BU1272" s="399"/>
      <c r="BV1272" s="399"/>
      <c r="BW1272" s="399"/>
      <c r="BX1272" s="399"/>
      <c r="BY1272" s="399"/>
      <c r="BZ1272" s="400"/>
      <c r="CA1272" s="270"/>
      <c r="CB1272" s="3" t="str">
        <f t="shared" si="189"/>
        <v>Riadok bude skrytý.</v>
      </c>
      <c r="CC1272" s="271" t="s">
        <v>832</v>
      </c>
      <c r="CW1272" s="30">
        <f t="shared" si="186"/>
        <v>1</v>
      </c>
      <c r="CX1272" s="30">
        <f t="shared" si="187"/>
        <v>1</v>
      </c>
      <c r="CY1272" s="30">
        <f t="shared" si="190"/>
        <v>0</v>
      </c>
      <c r="CZ1272" s="30">
        <f t="shared" si="184"/>
        <v>1</v>
      </c>
      <c r="DA1272" s="53">
        <f t="shared" si="191"/>
        <v>0</v>
      </c>
      <c r="DB1272" s="2">
        <f t="shared" si="185"/>
        <v>0</v>
      </c>
      <c r="DS1272" s="130">
        <f>SI!BY1272</f>
        <v>194</v>
      </c>
      <c r="DZ1272" s="131">
        <f>SI!BZ1272</f>
        <v>0</v>
      </c>
    </row>
    <row r="1273" spans="1:130" hidden="1" x14ac:dyDescent="0.25">
      <c r="A1273" s="141"/>
      <c r="B1273" s="1255"/>
      <c r="C1273" s="1256"/>
      <c r="D1273" s="1256"/>
      <c r="E1273" s="1256"/>
      <c r="F1273" s="1256"/>
      <c r="G1273" s="1256"/>
      <c r="H1273" s="1256"/>
      <c r="I1273" s="1256"/>
      <c r="J1273" s="1256"/>
      <c r="K1273" s="1256"/>
      <c r="L1273" s="1256"/>
      <c r="M1273" s="1256"/>
      <c r="N1273" s="1256"/>
      <c r="O1273" s="1256"/>
      <c r="P1273" s="1256"/>
      <c r="Q1273" s="1256"/>
      <c r="R1273" s="1256"/>
      <c r="S1273" s="1256"/>
      <c r="T1273" s="1256"/>
      <c r="U1273" s="1256"/>
      <c r="V1273" s="1256"/>
      <c r="W1273" s="1256"/>
      <c r="X1273" s="1256"/>
      <c r="Y1273" s="1256"/>
      <c r="Z1273" s="1256"/>
      <c r="AA1273" s="1256"/>
      <c r="AB1273" s="1256"/>
      <c r="AC1273" s="1256"/>
      <c r="AD1273" s="1256"/>
      <c r="AE1273" s="1256"/>
      <c r="AF1273" s="1256"/>
      <c r="AG1273" s="1256"/>
      <c r="AH1273" s="1256"/>
      <c r="AI1273" s="1256"/>
      <c r="AJ1273" s="1256"/>
      <c r="AK1273" s="1257"/>
      <c r="AL1273" s="511"/>
      <c r="AM1273" s="482"/>
      <c r="AN1273" s="482"/>
      <c r="AO1273" s="482"/>
      <c r="AP1273" s="482"/>
      <c r="AQ1273" s="482"/>
      <c r="AR1273" s="482"/>
      <c r="AS1273" s="482"/>
      <c r="AT1273" s="482"/>
      <c r="AU1273" s="482"/>
      <c r="AV1273" s="482"/>
      <c r="AW1273" s="482"/>
      <c r="AX1273" s="482"/>
      <c r="AY1273" s="482"/>
      <c r="AZ1273" s="483"/>
      <c r="BA1273" s="511"/>
      <c r="BB1273" s="482"/>
      <c r="BC1273" s="482"/>
      <c r="BD1273" s="482"/>
      <c r="BE1273" s="482"/>
      <c r="BF1273" s="482"/>
      <c r="BG1273" s="482"/>
      <c r="BH1273" s="482"/>
      <c r="BI1273" s="482"/>
      <c r="BJ1273" s="482"/>
      <c r="BK1273" s="482"/>
      <c r="BL1273" s="482"/>
      <c r="BM1273" s="482"/>
      <c r="BN1273" s="482"/>
      <c r="BO1273" s="398">
        <f t="shared" si="188"/>
        <v>0</v>
      </c>
      <c r="BP1273" s="399"/>
      <c r="BQ1273" s="399"/>
      <c r="BR1273" s="399"/>
      <c r="BS1273" s="399"/>
      <c r="BT1273" s="399"/>
      <c r="BU1273" s="399"/>
      <c r="BV1273" s="399"/>
      <c r="BW1273" s="399"/>
      <c r="BX1273" s="399"/>
      <c r="BY1273" s="399"/>
      <c r="BZ1273" s="400"/>
      <c r="CA1273" s="270"/>
      <c r="CB1273" s="3" t="str">
        <f t="shared" si="189"/>
        <v>Riadok bude skrytý.</v>
      </c>
      <c r="CC1273" s="271" t="s">
        <v>832</v>
      </c>
      <c r="CW1273" s="30">
        <f t="shared" si="186"/>
        <v>1</v>
      </c>
      <c r="CX1273" s="30">
        <f t="shared" si="187"/>
        <v>1</v>
      </c>
      <c r="CY1273" s="30">
        <f t="shared" si="190"/>
        <v>0</v>
      </c>
      <c r="CZ1273" s="30">
        <f t="shared" si="184"/>
        <v>1</v>
      </c>
      <c r="DA1273" s="53">
        <f t="shared" si="191"/>
        <v>0</v>
      </c>
      <c r="DB1273" s="2">
        <f t="shared" si="185"/>
        <v>0</v>
      </c>
      <c r="DS1273" s="130">
        <f>SI!BY1273</f>
        <v>173</v>
      </c>
      <c r="DZ1273" s="131">
        <f>SI!BZ1273</f>
        <v>0</v>
      </c>
    </row>
    <row r="1274" spans="1:130" hidden="1" x14ac:dyDescent="0.25">
      <c r="A1274" s="141"/>
      <c r="B1274" s="1255"/>
      <c r="C1274" s="1256"/>
      <c r="D1274" s="1256"/>
      <c r="E1274" s="1256"/>
      <c r="F1274" s="1256"/>
      <c r="G1274" s="1256"/>
      <c r="H1274" s="1256"/>
      <c r="I1274" s="1256"/>
      <c r="J1274" s="1256"/>
      <c r="K1274" s="1256"/>
      <c r="L1274" s="1256"/>
      <c r="M1274" s="1256"/>
      <c r="N1274" s="1256"/>
      <c r="O1274" s="1256"/>
      <c r="P1274" s="1256"/>
      <c r="Q1274" s="1256"/>
      <c r="R1274" s="1256"/>
      <c r="S1274" s="1256"/>
      <c r="T1274" s="1256"/>
      <c r="U1274" s="1256"/>
      <c r="V1274" s="1256"/>
      <c r="W1274" s="1256"/>
      <c r="X1274" s="1256"/>
      <c r="Y1274" s="1256"/>
      <c r="Z1274" s="1256"/>
      <c r="AA1274" s="1256"/>
      <c r="AB1274" s="1256"/>
      <c r="AC1274" s="1256"/>
      <c r="AD1274" s="1256"/>
      <c r="AE1274" s="1256"/>
      <c r="AF1274" s="1256"/>
      <c r="AG1274" s="1256"/>
      <c r="AH1274" s="1256"/>
      <c r="AI1274" s="1256"/>
      <c r="AJ1274" s="1256"/>
      <c r="AK1274" s="1257"/>
      <c r="AL1274" s="511"/>
      <c r="AM1274" s="482"/>
      <c r="AN1274" s="482"/>
      <c r="AO1274" s="482"/>
      <c r="AP1274" s="482"/>
      <c r="AQ1274" s="482"/>
      <c r="AR1274" s="482"/>
      <c r="AS1274" s="482"/>
      <c r="AT1274" s="482"/>
      <c r="AU1274" s="482"/>
      <c r="AV1274" s="482"/>
      <c r="AW1274" s="482"/>
      <c r="AX1274" s="482"/>
      <c r="AY1274" s="482"/>
      <c r="AZ1274" s="483"/>
      <c r="BA1274" s="511"/>
      <c r="BB1274" s="482"/>
      <c r="BC1274" s="482"/>
      <c r="BD1274" s="482"/>
      <c r="BE1274" s="482"/>
      <c r="BF1274" s="482"/>
      <c r="BG1274" s="482"/>
      <c r="BH1274" s="482"/>
      <c r="BI1274" s="482"/>
      <c r="BJ1274" s="482"/>
      <c r="BK1274" s="482"/>
      <c r="BL1274" s="482"/>
      <c r="BM1274" s="482"/>
      <c r="BN1274" s="482"/>
      <c r="BO1274" s="398">
        <f t="shared" si="188"/>
        <v>0</v>
      </c>
      <c r="BP1274" s="399"/>
      <c r="BQ1274" s="399"/>
      <c r="BR1274" s="399"/>
      <c r="BS1274" s="399"/>
      <c r="BT1274" s="399"/>
      <c r="BU1274" s="399"/>
      <c r="BV1274" s="399"/>
      <c r="BW1274" s="399"/>
      <c r="BX1274" s="399"/>
      <c r="BY1274" s="399"/>
      <c r="BZ1274" s="400"/>
      <c r="CA1274" s="270"/>
      <c r="CB1274" s="3" t="str">
        <f t="shared" si="189"/>
        <v>Riadok bude skrytý.</v>
      </c>
      <c r="CC1274" s="271" t="s">
        <v>832</v>
      </c>
      <c r="CW1274" s="30">
        <f t="shared" si="186"/>
        <v>1</v>
      </c>
      <c r="CX1274" s="30">
        <f t="shared" si="187"/>
        <v>1</v>
      </c>
      <c r="CY1274" s="30">
        <f t="shared" si="190"/>
        <v>0</v>
      </c>
      <c r="CZ1274" s="30">
        <f t="shared" si="184"/>
        <v>1</v>
      </c>
      <c r="DA1274" s="53">
        <f t="shared" si="191"/>
        <v>0</v>
      </c>
      <c r="DB1274" s="2">
        <f t="shared" si="185"/>
        <v>0</v>
      </c>
      <c r="DS1274" s="130">
        <f>SI!BY1274</f>
        <v>128</v>
      </c>
      <c r="DZ1274" s="131">
        <f>SI!BZ1274</f>
        <v>0</v>
      </c>
    </row>
    <row r="1275" spans="1:130" hidden="1" x14ac:dyDescent="0.25">
      <c r="A1275" s="141"/>
      <c r="B1275" s="1255"/>
      <c r="C1275" s="1256"/>
      <c r="D1275" s="1256"/>
      <c r="E1275" s="1256"/>
      <c r="F1275" s="1256"/>
      <c r="G1275" s="1256"/>
      <c r="H1275" s="1256"/>
      <c r="I1275" s="1256"/>
      <c r="J1275" s="1256"/>
      <c r="K1275" s="1256"/>
      <c r="L1275" s="1256"/>
      <c r="M1275" s="1256"/>
      <c r="N1275" s="1256"/>
      <c r="O1275" s="1256"/>
      <c r="P1275" s="1256"/>
      <c r="Q1275" s="1256"/>
      <c r="R1275" s="1256"/>
      <c r="S1275" s="1256"/>
      <c r="T1275" s="1256"/>
      <c r="U1275" s="1256"/>
      <c r="V1275" s="1256"/>
      <c r="W1275" s="1256"/>
      <c r="X1275" s="1256"/>
      <c r="Y1275" s="1256"/>
      <c r="Z1275" s="1256"/>
      <c r="AA1275" s="1256"/>
      <c r="AB1275" s="1256"/>
      <c r="AC1275" s="1256"/>
      <c r="AD1275" s="1256"/>
      <c r="AE1275" s="1256"/>
      <c r="AF1275" s="1256"/>
      <c r="AG1275" s="1256"/>
      <c r="AH1275" s="1256"/>
      <c r="AI1275" s="1256"/>
      <c r="AJ1275" s="1256"/>
      <c r="AK1275" s="1257"/>
      <c r="AL1275" s="511"/>
      <c r="AM1275" s="482"/>
      <c r="AN1275" s="482"/>
      <c r="AO1275" s="482"/>
      <c r="AP1275" s="482"/>
      <c r="AQ1275" s="482"/>
      <c r="AR1275" s="482"/>
      <c r="AS1275" s="482"/>
      <c r="AT1275" s="482"/>
      <c r="AU1275" s="482"/>
      <c r="AV1275" s="482"/>
      <c r="AW1275" s="482"/>
      <c r="AX1275" s="482"/>
      <c r="AY1275" s="482"/>
      <c r="AZ1275" s="483"/>
      <c r="BA1275" s="511"/>
      <c r="BB1275" s="482"/>
      <c r="BC1275" s="482"/>
      <c r="BD1275" s="482"/>
      <c r="BE1275" s="482"/>
      <c r="BF1275" s="482"/>
      <c r="BG1275" s="482"/>
      <c r="BH1275" s="482"/>
      <c r="BI1275" s="482"/>
      <c r="BJ1275" s="482"/>
      <c r="BK1275" s="482"/>
      <c r="BL1275" s="482"/>
      <c r="BM1275" s="482"/>
      <c r="BN1275" s="482"/>
      <c r="BO1275" s="398">
        <f t="shared" si="188"/>
        <v>0</v>
      </c>
      <c r="BP1275" s="399"/>
      <c r="BQ1275" s="399"/>
      <c r="BR1275" s="399"/>
      <c r="BS1275" s="399"/>
      <c r="BT1275" s="399"/>
      <c r="BU1275" s="399"/>
      <c r="BV1275" s="399"/>
      <c r="BW1275" s="399"/>
      <c r="BX1275" s="399"/>
      <c r="BY1275" s="399"/>
      <c r="BZ1275" s="400"/>
      <c r="CA1275" s="270"/>
      <c r="CB1275" s="3" t="str">
        <f t="shared" si="189"/>
        <v>Riadok bude skrytý.</v>
      </c>
      <c r="CC1275" s="271" t="s">
        <v>832</v>
      </c>
      <c r="CW1275" s="30">
        <f t="shared" si="186"/>
        <v>1</v>
      </c>
      <c r="CX1275" s="30">
        <f t="shared" si="187"/>
        <v>1</v>
      </c>
      <c r="CY1275" s="30">
        <f t="shared" si="190"/>
        <v>0</v>
      </c>
      <c r="CZ1275" s="30">
        <f t="shared" si="184"/>
        <v>1</v>
      </c>
      <c r="DA1275" s="53">
        <f t="shared" si="191"/>
        <v>0</v>
      </c>
      <c r="DB1275" s="2">
        <f t="shared" si="185"/>
        <v>0</v>
      </c>
      <c r="DS1275" s="130">
        <f>SI!BY1275</f>
        <v>1137</v>
      </c>
      <c r="DZ1275" s="131">
        <f>SI!BZ1275</f>
        <v>0</v>
      </c>
    </row>
    <row r="1276" spans="1:130" hidden="1" x14ac:dyDescent="0.25">
      <c r="A1276" s="141"/>
      <c r="B1276" s="1735"/>
      <c r="C1276" s="1736"/>
      <c r="D1276" s="1736"/>
      <c r="E1276" s="1736"/>
      <c r="F1276" s="1736"/>
      <c r="G1276" s="1736"/>
      <c r="H1276" s="1736"/>
      <c r="I1276" s="1736"/>
      <c r="J1276" s="1736"/>
      <c r="K1276" s="1736"/>
      <c r="L1276" s="1736"/>
      <c r="M1276" s="1736"/>
      <c r="N1276" s="1736"/>
      <c r="O1276" s="1736"/>
      <c r="P1276" s="1736"/>
      <c r="Q1276" s="1736"/>
      <c r="R1276" s="1736"/>
      <c r="S1276" s="1736"/>
      <c r="T1276" s="1736"/>
      <c r="U1276" s="1736"/>
      <c r="V1276" s="1736"/>
      <c r="W1276" s="1736"/>
      <c r="X1276" s="1736"/>
      <c r="Y1276" s="1736"/>
      <c r="Z1276" s="1736"/>
      <c r="AA1276" s="1736"/>
      <c r="AB1276" s="1736"/>
      <c r="AC1276" s="1736"/>
      <c r="AD1276" s="1736"/>
      <c r="AE1276" s="1736"/>
      <c r="AF1276" s="1736"/>
      <c r="AG1276" s="1736"/>
      <c r="AH1276" s="1736"/>
      <c r="AI1276" s="1736"/>
      <c r="AJ1276" s="1736"/>
      <c r="AK1276" s="1737"/>
      <c r="AL1276" s="454"/>
      <c r="AM1276" s="455"/>
      <c r="AN1276" s="455"/>
      <c r="AO1276" s="455"/>
      <c r="AP1276" s="455"/>
      <c r="AQ1276" s="455"/>
      <c r="AR1276" s="455"/>
      <c r="AS1276" s="455"/>
      <c r="AT1276" s="455"/>
      <c r="AU1276" s="455"/>
      <c r="AV1276" s="455"/>
      <c r="AW1276" s="455"/>
      <c r="AX1276" s="455"/>
      <c r="AY1276" s="455"/>
      <c r="AZ1276" s="456"/>
      <c r="BA1276" s="454"/>
      <c r="BB1276" s="455"/>
      <c r="BC1276" s="455"/>
      <c r="BD1276" s="455"/>
      <c r="BE1276" s="455"/>
      <c r="BF1276" s="455"/>
      <c r="BG1276" s="455"/>
      <c r="BH1276" s="455"/>
      <c r="BI1276" s="455"/>
      <c r="BJ1276" s="455"/>
      <c r="BK1276" s="455"/>
      <c r="BL1276" s="455"/>
      <c r="BM1276" s="455"/>
      <c r="BN1276" s="455"/>
      <c r="BO1276" s="1209">
        <f t="shared" si="188"/>
        <v>0</v>
      </c>
      <c r="BP1276" s="1210"/>
      <c r="BQ1276" s="1210"/>
      <c r="BR1276" s="1210"/>
      <c r="BS1276" s="1210"/>
      <c r="BT1276" s="1210"/>
      <c r="BU1276" s="1210"/>
      <c r="BV1276" s="1210"/>
      <c r="BW1276" s="1210"/>
      <c r="BX1276" s="1210"/>
      <c r="BY1276" s="1210"/>
      <c r="BZ1276" s="1211"/>
      <c r="CA1276" s="270"/>
      <c r="CB1276" s="3" t="str">
        <f t="shared" si="189"/>
        <v>Riadok bude skrytý.</v>
      </c>
      <c r="CC1276" s="271" t="s">
        <v>832</v>
      </c>
      <c r="CW1276" s="30">
        <f t="shared" si="186"/>
        <v>1</v>
      </c>
      <c r="CX1276" s="30">
        <f t="shared" si="187"/>
        <v>1</v>
      </c>
      <c r="CZ1276" s="30">
        <f t="shared" si="184"/>
        <v>1</v>
      </c>
      <c r="DA1276" s="52">
        <f>+IF(CW1276*CX1276=0,0,IF(CZ1276=0,0,1))</f>
        <v>1</v>
      </c>
      <c r="DB1276" s="2">
        <f t="shared" si="185"/>
        <v>0</v>
      </c>
      <c r="DS1276" s="130">
        <f>SI!BY1276</f>
        <v>1</v>
      </c>
      <c r="DZ1276" s="131">
        <f>SI!BZ1276</f>
        <v>0</v>
      </c>
    </row>
    <row r="1277" spans="1:130" hidden="1" x14ac:dyDescent="0.25">
      <c r="A1277" s="141"/>
      <c r="CA1277" s="270"/>
      <c r="CB1277" s="3" t="str">
        <f t="shared" si="189"/>
        <v>Riadok bude skrytý.</v>
      </c>
      <c r="CC1277" s="271" t="s">
        <v>832</v>
      </c>
      <c r="CW1277" s="30">
        <f t="shared" si="186"/>
        <v>1</v>
      </c>
      <c r="CZ1277" s="30">
        <f t="shared" si="184"/>
        <v>1</v>
      </c>
      <c r="DA1277" s="30">
        <f>+IF(CW1277+CX1277+CY1277=0,0,IF(CZ1277=0,0,1))</f>
        <v>1</v>
      </c>
      <c r="DB1277" s="2">
        <f t="shared" si="185"/>
        <v>0</v>
      </c>
      <c r="DS1277" s="130">
        <f>SI!BY1277</f>
        <v>860</v>
      </c>
      <c r="DZ1277" s="131">
        <f>SI!BZ1277</f>
        <v>0</v>
      </c>
    </row>
    <row r="1278" spans="1:130" hidden="1" x14ac:dyDescent="0.25">
      <c r="A1278" s="141"/>
      <c r="B1278" s="14" t="s">
        <v>96</v>
      </c>
      <c r="C1278" s="14"/>
      <c r="D1278" s="14"/>
      <c r="E1278" s="14"/>
      <c r="F1278" s="14"/>
      <c r="G1278" s="14"/>
      <c r="H1278" s="14"/>
      <c r="I1278" s="14"/>
      <c r="J1278" s="378" t="s">
        <v>97</v>
      </c>
      <c r="K1278" s="378"/>
      <c r="L1278" s="378"/>
      <c r="M1278" s="378"/>
      <c r="N1278" s="378"/>
      <c r="O1278" s="137" t="str">
        <f>+IF($I$52&lt;&gt;"",IF((ROUNDDOWN(CODE(MID($I$52,1,1))*3,0)+DAY(36167))*(IF(SI!EE1278="",1,SI!EE1278-1))+(2*LEN(SI!J3))=DS1278,"podiely v iných účtovných jednotkách. ","NEPOVOLENÉ POUŽITIE!"),"NEPOVOLENÉ POUŽITIE!")</f>
        <v xml:space="preserve">podiely v iných účtovných jednotkách. </v>
      </c>
      <c r="Q1278" s="14"/>
      <c r="R1278" s="14"/>
      <c r="S1278" s="14"/>
      <c r="T1278" s="14"/>
      <c r="U1278" s="14"/>
      <c r="X1278" s="14"/>
      <c r="Y1278" s="14"/>
      <c r="Z1278" s="14"/>
      <c r="AA1278" s="14"/>
      <c r="AB1278" s="14"/>
      <c r="AC1278" s="14"/>
      <c r="AD1278" s="14"/>
      <c r="AE1278" s="14"/>
      <c r="AF1278" s="14"/>
      <c r="AG1278" s="14"/>
      <c r="AH1278" s="14"/>
      <c r="AI1278" s="14"/>
      <c r="AJ1278" s="14"/>
      <c r="AK1278" s="14"/>
      <c r="AL1278" s="14"/>
      <c r="AM1278" s="14"/>
      <c r="AN1278" s="14"/>
      <c r="AO1278" s="14"/>
      <c r="AP1278" s="14"/>
      <c r="AQ1278" s="14"/>
      <c r="AR1278" s="14"/>
      <c r="AS1278" s="14"/>
      <c r="AT1278" s="14"/>
      <c r="AU1278" s="14"/>
      <c r="AV1278" s="14"/>
      <c r="AW1278" s="14"/>
      <c r="AX1278" s="14"/>
      <c r="AY1278" s="14"/>
      <c r="AZ1278" s="14"/>
      <c r="BA1278" s="14"/>
      <c r="BB1278" s="14"/>
      <c r="BC1278" s="14"/>
      <c r="BD1278" s="14"/>
      <c r="BE1278" s="14"/>
      <c r="BF1278" s="14"/>
      <c r="BG1278" s="14"/>
      <c r="BH1278" s="14"/>
      <c r="BI1278" s="14"/>
      <c r="BJ1278" s="14"/>
      <c r="BK1278" s="14"/>
      <c r="BL1278" s="14"/>
      <c r="BM1278" s="14"/>
      <c r="BN1278" s="14"/>
      <c r="BO1278" s="14"/>
      <c r="BP1278" s="14"/>
      <c r="BQ1278" s="14"/>
      <c r="BR1278" s="14"/>
      <c r="BS1278" s="14"/>
      <c r="BT1278" s="14"/>
      <c r="BU1278" s="14"/>
      <c r="BV1278" s="14"/>
      <c r="BW1278" s="14"/>
      <c r="BX1278" s="14"/>
      <c r="BY1278" s="14"/>
      <c r="BZ1278" s="14"/>
      <c r="CA1278" s="265" t="s">
        <v>773</v>
      </c>
      <c r="CB1278" s="3" t="str">
        <f t="shared" si="189"/>
        <v>Riadok bude skrytý.</v>
      </c>
      <c r="CC1278" s="271" t="s">
        <v>832</v>
      </c>
      <c r="CF1278" s="13"/>
      <c r="CW1278" s="30">
        <f t="shared" si="186"/>
        <v>1</v>
      </c>
      <c r="CX1278" s="30">
        <f>+IF($J$1278="nemá",1,1)</f>
        <v>1</v>
      </c>
      <c r="CY1278" s="43"/>
      <c r="CZ1278" s="30">
        <f t="shared" si="184"/>
        <v>1</v>
      </c>
      <c r="DA1278" s="52">
        <f t="shared" ref="DA1278:DA1287" si="192">+IF(CW1278*CX1278=0,0,IF(CZ1278=0,0,1))</f>
        <v>1</v>
      </c>
      <c r="DB1278" s="2">
        <f t="shared" si="185"/>
        <v>0</v>
      </c>
      <c r="DS1278" s="130">
        <f>SI!BY1278</f>
        <v>10</v>
      </c>
      <c r="DZ1278" s="131">
        <f>SI!BZ1278</f>
        <v>0</v>
      </c>
    </row>
    <row r="1279" spans="1:130" hidden="1" x14ac:dyDescent="0.25">
      <c r="A1279" s="141"/>
      <c r="B1279" s="137" t="str">
        <f>+IF(J1278="má","Údaje o podieloch v iných účtovných jednotkách sú uvedené v tabuľke:","")</f>
        <v>Údaje o podieloch v iných účtovných jednotkách sú uvedené v tabuľke:</v>
      </c>
      <c r="CA1279" s="270"/>
      <c r="CB1279" s="3" t="str">
        <f t="shared" si="189"/>
        <v>Riadok bude skrytý.</v>
      </c>
      <c r="CC1279" s="271" t="s">
        <v>832</v>
      </c>
      <c r="CW1279" s="30">
        <f t="shared" si="186"/>
        <v>1</v>
      </c>
      <c r="CX1279" s="30">
        <f t="shared" ref="CX1279:CX1310" si="193">+IF($J$1278="nemá",0,1)</f>
        <v>1</v>
      </c>
      <c r="CZ1279" s="30">
        <f t="shared" si="184"/>
        <v>1</v>
      </c>
      <c r="DA1279" s="52">
        <f t="shared" si="192"/>
        <v>1</v>
      </c>
      <c r="DB1279" s="2">
        <f t="shared" si="185"/>
        <v>0</v>
      </c>
      <c r="DS1279" s="130">
        <f>SI!BY1279</f>
        <v>1154</v>
      </c>
      <c r="DZ1279" s="131">
        <f>SI!BZ1279</f>
        <v>0</v>
      </c>
    </row>
    <row r="1280" spans="1:130" hidden="1" x14ac:dyDescent="0.25">
      <c r="A1280" s="141"/>
      <c r="CA1280" s="270"/>
      <c r="CB1280" s="3" t="str">
        <f t="shared" si="189"/>
        <v>Riadok bude skrytý.</v>
      </c>
      <c r="CC1280" s="271" t="s">
        <v>832</v>
      </c>
      <c r="CW1280" s="30">
        <f t="shared" si="186"/>
        <v>1</v>
      </c>
      <c r="CX1280" s="30">
        <f t="shared" si="193"/>
        <v>1</v>
      </c>
      <c r="CZ1280" s="30">
        <f t="shared" si="184"/>
        <v>1</v>
      </c>
      <c r="DA1280" s="52">
        <f t="shared" si="192"/>
        <v>1</v>
      </c>
      <c r="DB1280" s="2">
        <f t="shared" si="185"/>
        <v>0</v>
      </c>
      <c r="DS1280" s="130">
        <f>SI!BY1280</f>
        <v>127</v>
      </c>
      <c r="DZ1280" s="131">
        <f>SI!BZ1280</f>
        <v>0</v>
      </c>
    </row>
    <row r="1281" spans="1:132" hidden="1" x14ac:dyDescent="0.25">
      <c r="A1281" s="141"/>
      <c r="B1281" s="137" t="str">
        <f>+IF($Q$52&lt;&gt;"",IF((CODE(MID($Q$52,1,1)))*(GCD(121,132))*(IF(SI!EE1281="",1,SI!EE1281-1))+(LEN(SI!J5)+LEN(SI!J6))=DS1281,"Štruktúra dlhodobého finančného majetku:","NEPOVOLENÉ POUŽITIE!"),"NEPOVOLENÉ POUŽITIE!")</f>
        <v>Štruktúra dlhodobého finančného majetku:</v>
      </c>
      <c r="CA1281" s="270"/>
      <c r="CB1281" s="3" t="str">
        <f t="shared" si="189"/>
        <v>Riadok bude skrytý.</v>
      </c>
      <c r="CC1281" s="271" t="s">
        <v>832</v>
      </c>
      <c r="CW1281" s="30">
        <f t="shared" si="186"/>
        <v>1</v>
      </c>
      <c r="CX1281" s="30">
        <f t="shared" si="193"/>
        <v>1</v>
      </c>
      <c r="CZ1281" s="30">
        <f t="shared" si="184"/>
        <v>1</v>
      </c>
      <c r="DA1281" s="52">
        <f t="shared" si="192"/>
        <v>1</v>
      </c>
      <c r="DB1281" s="2">
        <f t="shared" si="185"/>
        <v>0</v>
      </c>
      <c r="DS1281" s="130">
        <f>SI!BY1281</f>
        <v>20</v>
      </c>
      <c r="DZ1281" s="131">
        <f>SI!BZ1281</f>
        <v>0</v>
      </c>
    </row>
    <row r="1282" spans="1:132" ht="14.95" hidden="1" customHeight="1" x14ac:dyDescent="0.25">
      <c r="A1282" s="141"/>
      <c r="B1282" s="439" t="s">
        <v>133</v>
      </c>
      <c r="C1282" s="440"/>
      <c r="D1282" s="440"/>
      <c r="E1282" s="440"/>
      <c r="F1282" s="440"/>
      <c r="G1282" s="440"/>
      <c r="H1282" s="440"/>
      <c r="I1282" s="440"/>
      <c r="J1282" s="440"/>
      <c r="K1282" s="440"/>
      <c r="L1282" s="440"/>
      <c r="M1282" s="440"/>
      <c r="N1282" s="440"/>
      <c r="O1282" s="440"/>
      <c r="P1282" s="440"/>
      <c r="Q1282" s="440"/>
      <c r="R1282" s="440"/>
      <c r="S1282" s="441"/>
      <c r="T1282" s="650">
        <f>+AJ141</f>
        <v>2021</v>
      </c>
      <c r="U1282" s="391"/>
      <c r="V1282" s="391"/>
      <c r="W1282" s="391"/>
      <c r="X1282" s="391"/>
      <c r="Y1282" s="391"/>
      <c r="Z1282" s="391"/>
      <c r="AA1282" s="391"/>
      <c r="AB1282" s="391"/>
      <c r="AC1282" s="391"/>
      <c r="AD1282" s="391"/>
      <c r="AE1282" s="391"/>
      <c r="AF1282" s="391"/>
      <c r="AG1282" s="391"/>
      <c r="AH1282" s="391"/>
      <c r="AI1282" s="391"/>
      <c r="AJ1282" s="391"/>
      <c r="AK1282" s="391"/>
      <c r="AL1282" s="391"/>
      <c r="AM1282" s="391"/>
      <c r="AN1282" s="391"/>
      <c r="AO1282" s="391"/>
      <c r="AP1282" s="391"/>
      <c r="AQ1282" s="391"/>
      <c r="AR1282" s="391"/>
      <c r="AS1282" s="391"/>
      <c r="AT1282" s="391"/>
      <c r="AU1282" s="391"/>
      <c r="AV1282" s="391"/>
      <c r="AW1282" s="391"/>
      <c r="AX1282" s="391"/>
      <c r="AY1282" s="391"/>
      <c r="AZ1282" s="391"/>
      <c r="BA1282" s="391"/>
      <c r="BB1282" s="391"/>
      <c r="BC1282" s="391"/>
      <c r="BD1282" s="391"/>
      <c r="BE1282" s="391"/>
      <c r="BF1282" s="391"/>
      <c r="BG1282" s="391"/>
      <c r="BH1282" s="391"/>
      <c r="BI1282" s="391"/>
      <c r="BJ1282" s="391"/>
      <c r="BK1282" s="391"/>
      <c r="BL1282" s="391"/>
      <c r="BM1282" s="391"/>
      <c r="BN1282" s="391"/>
      <c r="BO1282" s="391"/>
      <c r="BP1282" s="391"/>
      <c r="BQ1282" s="391"/>
      <c r="BR1282" s="391"/>
      <c r="BS1282" s="391"/>
      <c r="BT1282" s="391"/>
      <c r="BU1282" s="391"/>
      <c r="BV1282" s="391"/>
      <c r="BW1282" s="391"/>
      <c r="BX1282" s="391"/>
      <c r="BY1282" s="391"/>
      <c r="BZ1282" s="392"/>
      <c r="CA1282" s="265" t="s">
        <v>773</v>
      </c>
      <c r="CB1282" s="3" t="str">
        <f t="shared" si="189"/>
        <v>Riadok bude skrytý.</v>
      </c>
      <c r="CC1282" s="271" t="s">
        <v>832</v>
      </c>
      <c r="CD1282" s="4"/>
      <c r="CW1282" s="30">
        <f t="shared" si="186"/>
        <v>1</v>
      </c>
      <c r="CX1282" s="30">
        <f t="shared" si="193"/>
        <v>1</v>
      </c>
      <c r="CZ1282" s="30">
        <f t="shared" si="184"/>
        <v>1</v>
      </c>
      <c r="DA1282" s="52">
        <f t="shared" si="192"/>
        <v>1</v>
      </c>
      <c r="DB1282" s="2">
        <f t="shared" si="185"/>
        <v>0</v>
      </c>
      <c r="DS1282" s="130">
        <f>SI!BY1282</f>
        <v>172</v>
      </c>
      <c r="DZ1282" s="131">
        <f>SI!BZ1282</f>
        <v>0</v>
      </c>
    </row>
    <row r="1283" spans="1:132" ht="14.95" hidden="1" customHeight="1" x14ac:dyDescent="0.25">
      <c r="A1283" s="141"/>
      <c r="B1283" s="1019"/>
      <c r="C1283" s="1020"/>
      <c r="D1283" s="1020"/>
      <c r="E1283" s="1020"/>
      <c r="F1283" s="1020"/>
      <c r="G1283" s="1020"/>
      <c r="H1283" s="1020"/>
      <c r="I1283" s="1020"/>
      <c r="J1283" s="1020"/>
      <c r="K1283" s="1020"/>
      <c r="L1283" s="1020"/>
      <c r="M1283" s="1020"/>
      <c r="N1283" s="1020"/>
      <c r="O1283" s="1020"/>
      <c r="P1283" s="1020"/>
      <c r="Q1283" s="1020"/>
      <c r="R1283" s="1020"/>
      <c r="S1283" s="1232"/>
      <c r="T1283" s="1233" t="s">
        <v>134</v>
      </c>
      <c r="U1283" s="1234"/>
      <c r="V1283" s="1234"/>
      <c r="W1283" s="1234"/>
      <c r="X1283" s="1234"/>
      <c r="Y1283" s="1234"/>
      <c r="Z1283" s="1234"/>
      <c r="AA1283" s="1234"/>
      <c r="AB1283" s="1234"/>
      <c r="AC1283" s="1234"/>
      <c r="AD1283" s="1234"/>
      <c r="AE1283" s="1234"/>
      <c r="AF1283" s="1234"/>
      <c r="AG1283" s="1233" t="s">
        <v>42</v>
      </c>
      <c r="AH1283" s="1234"/>
      <c r="AI1283" s="1234"/>
      <c r="AJ1283" s="1234"/>
      <c r="AK1283" s="1234"/>
      <c r="AL1283" s="1234"/>
      <c r="AM1283" s="1234"/>
      <c r="AN1283" s="1234"/>
      <c r="AO1283" s="1234"/>
      <c r="AP1283" s="1234"/>
      <c r="AQ1283" s="1234"/>
      <c r="AR1283" s="1235"/>
      <c r="AS1283" s="1233" t="s">
        <v>135</v>
      </c>
      <c r="AT1283" s="1234"/>
      <c r="AU1283" s="1234"/>
      <c r="AV1283" s="1234"/>
      <c r="AW1283" s="1234"/>
      <c r="AX1283" s="1234"/>
      <c r="AY1283" s="1234"/>
      <c r="AZ1283" s="1234"/>
      <c r="BA1283" s="1234"/>
      <c r="BB1283" s="1234"/>
      <c r="BC1283" s="1234"/>
      <c r="BD1283" s="1235"/>
      <c r="BE1283" s="1233" t="s">
        <v>136</v>
      </c>
      <c r="BF1283" s="1234"/>
      <c r="BG1283" s="1234"/>
      <c r="BH1283" s="1234"/>
      <c r="BI1283" s="1234"/>
      <c r="BJ1283" s="1234"/>
      <c r="BK1283" s="1234"/>
      <c r="BL1283" s="1234"/>
      <c r="BM1283" s="1234"/>
      <c r="BN1283" s="1234"/>
      <c r="BO1283" s="1234"/>
      <c r="BP1283" s="1234"/>
      <c r="BQ1283" s="1235"/>
      <c r="BR1283" s="1233" t="s">
        <v>137</v>
      </c>
      <c r="BS1283" s="1234"/>
      <c r="BT1283" s="1234"/>
      <c r="BU1283" s="1234"/>
      <c r="BV1283" s="1234"/>
      <c r="BW1283" s="1234"/>
      <c r="BX1283" s="1234"/>
      <c r="BY1283" s="1234"/>
      <c r="BZ1283" s="1235"/>
      <c r="CA1283" s="270"/>
      <c r="CB1283" s="3" t="str">
        <f t="shared" si="189"/>
        <v>Riadok bude skrytý.</v>
      </c>
      <c r="CC1283" s="271" t="s">
        <v>832</v>
      </c>
      <c r="CW1283" s="30">
        <f t="shared" si="186"/>
        <v>1</v>
      </c>
      <c r="CX1283" s="30">
        <f t="shared" si="193"/>
        <v>1</v>
      </c>
      <c r="CZ1283" s="30">
        <f t="shared" si="184"/>
        <v>1</v>
      </c>
      <c r="DA1283" s="52">
        <f t="shared" si="192"/>
        <v>1</v>
      </c>
      <c r="DB1283" s="2">
        <f t="shared" si="185"/>
        <v>0</v>
      </c>
      <c r="DS1283" s="130">
        <f>SI!BY1283</f>
        <v>179</v>
      </c>
      <c r="DZ1283" s="131">
        <f>SI!BZ1283</f>
        <v>0</v>
      </c>
    </row>
    <row r="1284" spans="1:132" hidden="1" x14ac:dyDescent="0.25">
      <c r="A1284" s="141"/>
      <c r="B1284" s="442"/>
      <c r="C1284" s="443"/>
      <c r="D1284" s="443"/>
      <c r="E1284" s="443"/>
      <c r="F1284" s="443"/>
      <c r="G1284" s="443"/>
      <c r="H1284" s="443"/>
      <c r="I1284" s="443"/>
      <c r="J1284" s="443"/>
      <c r="K1284" s="443"/>
      <c r="L1284" s="443"/>
      <c r="M1284" s="443"/>
      <c r="N1284" s="443"/>
      <c r="O1284" s="443"/>
      <c r="P1284" s="443"/>
      <c r="Q1284" s="443"/>
      <c r="R1284" s="443"/>
      <c r="S1284" s="444"/>
      <c r="T1284" s="1236"/>
      <c r="U1284" s="1237"/>
      <c r="V1284" s="1237"/>
      <c r="W1284" s="1237"/>
      <c r="X1284" s="1237"/>
      <c r="Y1284" s="1237"/>
      <c r="Z1284" s="1237"/>
      <c r="AA1284" s="1237"/>
      <c r="AB1284" s="1237"/>
      <c r="AC1284" s="1237"/>
      <c r="AD1284" s="1237"/>
      <c r="AE1284" s="1237"/>
      <c r="AF1284" s="1237"/>
      <c r="AG1284" s="1236"/>
      <c r="AH1284" s="1237"/>
      <c r="AI1284" s="1237"/>
      <c r="AJ1284" s="1237"/>
      <c r="AK1284" s="1237"/>
      <c r="AL1284" s="1237"/>
      <c r="AM1284" s="1237"/>
      <c r="AN1284" s="1237"/>
      <c r="AO1284" s="1237"/>
      <c r="AP1284" s="1237"/>
      <c r="AQ1284" s="1237"/>
      <c r="AR1284" s="1238"/>
      <c r="AS1284" s="1236"/>
      <c r="AT1284" s="1237"/>
      <c r="AU1284" s="1237"/>
      <c r="AV1284" s="1237"/>
      <c r="AW1284" s="1237"/>
      <c r="AX1284" s="1237"/>
      <c r="AY1284" s="1237"/>
      <c r="AZ1284" s="1237"/>
      <c r="BA1284" s="1237"/>
      <c r="BB1284" s="1237"/>
      <c r="BC1284" s="1237"/>
      <c r="BD1284" s="1238"/>
      <c r="BE1284" s="1236"/>
      <c r="BF1284" s="1237"/>
      <c r="BG1284" s="1237"/>
      <c r="BH1284" s="1237"/>
      <c r="BI1284" s="1237"/>
      <c r="BJ1284" s="1237"/>
      <c r="BK1284" s="1237"/>
      <c r="BL1284" s="1237"/>
      <c r="BM1284" s="1237"/>
      <c r="BN1284" s="1237"/>
      <c r="BO1284" s="1237"/>
      <c r="BP1284" s="1237"/>
      <c r="BQ1284" s="1238"/>
      <c r="BR1284" s="1236"/>
      <c r="BS1284" s="1237"/>
      <c r="BT1284" s="1237"/>
      <c r="BU1284" s="1237"/>
      <c r="BV1284" s="1237"/>
      <c r="BW1284" s="1237"/>
      <c r="BX1284" s="1237"/>
      <c r="BY1284" s="1237"/>
      <c r="BZ1284" s="1238"/>
      <c r="CA1284" s="270"/>
      <c r="CB1284" s="3" t="str">
        <f t="shared" si="189"/>
        <v>Riadok bude skrytý.</v>
      </c>
      <c r="CC1284" s="271" t="s">
        <v>832</v>
      </c>
      <c r="CW1284" s="30">
        <f t="shared" si="186"/>
        <v>1</v>
      </c>
      <c r="CX1284" s="30">
        <f t="shared" si="193"/>
        <v>1</v>
      </c>
      <c r="CZ1284" s="30">
        <f t="shared" si="184"/>
        <v>1</v>
      </c>
      <c r="DA1284" s="52">
        <f t="shared" si="192"/>
        <v>1</v>
      </c>
      <c r="DB1284" s="2">
        <f t="shared" si="185"/>
        <v>0</v>
      </c>
      <c r="DS1284" s="130">
        <f>SI!BY1284</f>
        <v>137</v>
      </c>
      <c r="DZ1284" s="131">
        <f>SI!BZ1284</f>
        <v>0</v>
      </c>
    </row>
    <row r="1285" spans="1:132" s="6" customFormat="1" hidden="1" x14ac:dyDescent="0.25">
      <c r="A1285" s="226"/>
      <c r="B1285" s="524" t="s">
        <v>0</v>
      </c>
      <c r="C1285" s="525"/>
      <c r="D1285" s="525"/>
      <c r="E1285" s="525"/>
      <c r="F1285" s="525"/>
      <c r="G1285" s="525"/>
      <c r="H1285" s="525"/>
      <c r="I1285" s="525"/>
      <c r="J1285" s="525"/>
      <c r="K1285" s="525"/>
      <c r="L1285" s="525"/>
      <c r="M1285" s="525"/>
      <c r="N1285" s="525"/>
      <c r="O1285" s="525"/>
      <c r="P1285" s="525"/>
      <c r="Q1285" s="525"/>
      <c r="R1285" s="525"/>
      <c r="S1285" s="723"/>
      <c r="T1285" s="1686" t="s">
        <v>1</v>
      </c>
      <c r="U1285" s="1687"/>
      <c r="V1285" s="1687"/>
      <c r="W1285" s="1687"/>
      <c r="X1285" s="1687"/>
      <c r="Y1285" s="1687"/>
      <c r="Z1285" s="1687"/>
      <c r="AA1285" s="1687"/>
      <c r="AB1285" s="1687"/>
      <c r="AC1285" s="1687"/>
      <c r="AD1285" s="1687"/>
      <c r="AE1285" s="1687"/>
      <c r="AF1285" s="1687"/>
      <c r="AG1285" s="1686" t="s">
        <v>2</v>
      </c>
      <c r="AH1285" s="1687"/>
      <c r="AI1285" s="1687"/>
      <c r="AJ1285" s="1687"/>
      <c r="AK1285" s="1687"/>
      <c r="AL1285" s="1687"/>
      <c r="AM1285" s="1687"/>
      <c r="AN1285" s="1687"/>
      <c r="AO1285" s="1687"/>
      <c r="AP1285" s="1687"/>
      <c r="AQ1285" s="1687"/>
      <c r="AR1285" s="1688"/>
      <c r="AS1285" s="1686" t="s">
        <v>28</v>
      </c>
      <c r="AT1285" s="1687"/>
      <c r="AU1285" s="1687"/>
      <c r="AV1285" s="1687"/>
      <c r="AW1285" s="1687"/>
      <c r="AX1285" s="1687"/>
      <c r="AY1285" s="1687"/>
      <c r="AZ1285" s="1687"/>
      <c r="BA1285" s="1687"/>
      <c r="BB1285" s="1687"/>
      <c r="BC1285" s="1687"/>
      <c r="BD1285" s="1688"/>
      <c r="BE1285" s="1686" t="s">
        <v>29</v>
      </c>
      <c r="BF1285" s="1687"/>
      <c r="BG1285" s="1687"/>
      <c r="BH1285" s="1687"/>
      <c r="BI1285" s="1687"/>
      <c r="BJ1285" s="1687"/>
      <c r="BK1285" s="1687"/>
      <c r="BL1285" s="1687"/>
      <c r="BM1285" s="1687"/>
      <c r="BN1285" s="1687"/>
      <c r="BO1285" s="1687"/>
      <c r="BP1285" s="1687"/>
      <c r="BQ1285" s="1688"/>
      <c r="BR1285" s="1686" t="s">
        <v>103</v>
      </c>
      <c r="BS1285" s="1687"/>
      <c r="BT1285" s="1687"/>
      <c r="BU1285" s="1687"/>
      <c r="BV1285" s="1687"/>
      <c r="BW1285" s="1687"/>
      <c r="BX1285" s="1687"/>
      <c r="BY1285" s="1687"/>
      <c r="BZ1285" s="1688"/>
      <c r="CA1285" s="270"/>
      <c r="CB1285" s="3" t="str">
        <f t="shared" si="189"/>
        <v>Riadok bude skrytý.</v>
      </c>
      <c r="CC1285" s="271" t="s">
        <v>832</v>
      </c>
      <c r="CW1285" s="30">
        <f t="shared" si="186"/>
        <v>1</v>
      </c>
      <c r="CX1285" s="30">
        <f t="shared" si="193"/>
        <v>1</v>
      </c>
      <c r="CZ1285" s="30">
        <f t="shared" si="184"/>
        <v>1</v>
      </c>
      <c r="DA1285" s="52">
        <f t="shared" si="192"/>
        <v>1</v>
      </c>
      <c r="DB1285" s="2">
        <f t="shared" si="185"/>
        <v>0</v>
      </c>
      <c r="DR1285" s="82"/>
      <c r="DS1285" s="130">
        <f>SI!BY1285</f>
        <v>941</v>
      </c>
      <c r="DT1285" s="130"/>
      <c r="DU1285" s="130"/>
      <c r="DV1285" s="130"/>
      <c r="DW1285" s="130"/>
      <c r="DX1285" s="130"/>
      <c r="DY1285" s="130"/>
      <c r="DZ1285" s="131">
        <f>SI!BZ1285</f>
        <v>0</v>
      </c>
      <c r="EA1285" s="82"/>
      <c r="EB1285" s="82"/>
    </row>
    <row r="1286" spans="1:132" hidden="1" x14ac:dyDescent="0.25">
      <c r="A1286" s="141"/>
      <c r="B1286" s="1732" t="s">
        <v>138</v>
      </c>
      <c r="C1286" s="1733"/>
      <c r="D1286" s="1733"/>
      <c r="E1286" s="1733"/>
      <c r="F1286" s="1733"/>
      <c r="G1286" s="1733"/>
      <c r="H1286" s="1733"/>
      <c r="I1286" s="1733"/>
      <c r="J1286" s="1733"/>
      <c r="K1286" s="1733"/>
      <c r="L1286" s="1733"/>
      <c r="M1286" s="1733"/>
      <c r="N1286" s="1733"/>
      <c r="O1286" s="1733"/>
      <c r="P1286" s="1733"/>
      <c r="Q1286" s="1733"/>
      <c r="R1286" s="1733"/>
      <c r="S1286" s="1733"/>
      <c r="T1286" s="1733"/>
      <c r="U1286" s="1733"/>
      <c r="V1286" s="1733"/>
      <c r="W1286" s="1733"/>
      <c r="X1286" s="1733"/>
      <c r="Y1286" s="1733"/>
      <c r="Z1286" s="1733"/>
      <c r="AA1286" s="1733"/>
      <c r="AB1286" s="1733"/>
      <c r="AC1286" s="1733"/>
      <c r="AD1286" s="1733"/>
      <c r="AE1286" s="1733"/>
      <c r="AF1286" s="1733"/>
      <c r="AG1286" s="1733"/>
      <c r="AH1286" s="1733"/>
      <c r="AI1286" s="1733"/>
      <c r="AJ1286" s="1733"/>
      <c r="AK1286" s="1733"/>
      <c r="AL1286" s="1733"/>
      <c r="AM1286" s="1733"/>
      <c r="AN1286" s="1733"/>
      <c r="AO1286" s="1733"/>
      <c r="AP1286" s="1733"/>
      <c r="AQ1286" s="1733"/>
      <c r="AR1286" s="1733"/>
      <c r="AS1286" s="1733"/>
      <c r="AT1286" s="1733"/>
      <c r="AU1286" s="1733"/>
      <c r="AV1286" s="1733"/>
      <c r="AW1286" s="1733"/>
      <c r="AX1286" s="1733"/>
      <c r="AY1286" s="1733"/>
      <c r="AZ1286" s="1733"/>
      <c r="BA1286" s="1733"/>
      <c r="BB1286" s="1733"/>
      <c r="BC1286" s="1733"/>
      <c r="BD1286" s="1733"/>
      <c r="BE1286" s="1733"/>
      <c r="BF1286" s="1733"/>
      <c r="BG1286" s="1733"/>
      <c r="BH1286" s="1733"/>
      <c r="BI1286" s="1733"/>
      <c r="BJ1286" s="1733"/>
      <c r="BK1286" s="1733"/>
      <c r="BL1286" s="1733"/>
      <c r="BM1286" s="1733"/>
      <c r="BN1286" s="1733"/>
      <c r="BO1286" s="1733"/>
      <c r="BP1286" s="1733"/>
      <c r="BQ1286" s="1733"/>
      <c r="BR1286" s="1733"/>
      <c r="BS1286" s="1733"/>
      <c r="BT1286" s="1733"/>
      <c r="BU1286" s="1733"/>
      <c r="BV1286" s="1733"/>
      <c r="BW1286" s="1733"/>
      <c r="BX1286" s="1733"/>
      <c r="BY1286" s="1733"/>
      <c r="BZ1286" s="1734"/>
      <c r="CA1286" s="270"/>
      <c r="CB1286" s="3" t="str">
        <f t="shared" si="189"/>
        <v>Riadok bude skrytý.</v>
      </c>
      <c r="CC1286" s="271" t="s">
        <v>832</v>
      </c>
      <c r="CW1286" s="30">
        <f t="shared" si="186"/>
        <v>1</v>
      </c>
      <c r="CX1286" s="30">
        <f t="shared" si="193"/>
        <v>1</v>
      </c>
      <c r="CZ1286" s="30">
        <f t="shared" si="184"/>
        <v>1</v>
      </c>
      <c r="DA1286" s="52">
        <f t="shared" si="192"/>
        <v>1</v>
      </c>
      <c r="DB1286" s="2">
        <f t="shared" si="185"/>
        <v>0</v>
      </c>
      <c r="DS1286" s="130">
        <f>SI!BY1286</f>
        <v>162</v>
      </c>
      <c r="DZ1286" s="131">
        <f>SI!BZ1286</f>
        <v>0</v>
      </c>
    </row>
    <row r="1287" spans="1:132" hidden="1" x14ac:dyDescent="0.25">
      <c r="A1287" s="141"/>
      <c r="B1287" s="561"/>
      <c r="C1287" s="562"/>
      <c r="D1287" s="562"/>
      <c r="E1287" s="562"/>
      <c r="F1287" s="562"/>
      <c r="G1287" s="562"/>
      <c r="H1287" s="562"/>
      <c r="I1287" s="562"/>
      <c r="J1287" s="562"/>
      <c r="K1287" s="562"/>
      <c r="L1287" s="562"/>
      <c r="M1287" s="562"/>
      <c r="N1287" s="562"/>
      <c r="O1287" s="562"/>
      <c r="P1287" s="562"/>
      <c r="Q1287" s="562"/>
      <c r="R1287" s="562"/>
      <c r="S1287" s="562"/>
      <c r="T1287" s="1674"/>
      <c r="U1287" s="1675"/>
      <c r="V1287" s="1675"/>
      <c r="W1287" s="1675"/>
      <c r="X1287" s="1675"/>
      <c r="Y1287" s="1675"/>
      <c r="Z1287" s="1675"/>
      <c r="AA1287" s="1675"/>
      <c r="AB1287" s="1675"/>
      <c r="AC1287" s="1675"/>
      <c r="AD1287" s="1675"/>
      <c r="AE1287" s="1675"/>
      <c r="AF1287" s="1676"/>
      <c r="AG1287" s="1674"/>
      <c r="AH1287" s="1675"/>
      <c r="AI1287" s="1675"/>
      <c r="AJ1287" s="1675"/>
      <c r="AK1287" s="1675"/>
      <c r="AL1287" s="1675"/>
      <c r="AM1287" s="1675"/>
      <c r="AN1287" s="1675"/>
      <c r="AO1287" s="1675"/>
      <c r="AP1287" s="1675"/>
      <c r="AQ1287" s="1675"/>
      <c r="AR1287" s="1676"/>
      <c r="AS1287" s="535"/>
      <c r="AT1287" s="536"/>
      <c r="AU1287" s="536"/>
      <c r="AV1287" s="536"/>
      <c r="AW1287" s="536"/>
      <c r="AX1287" s="536"/>
      <c r="AY1287" s="536"/>
      <c r="AZ1287" s="536"/>
      <c r="BA1287" s="536"/>
      <c r="BB1287" s="536"/>
      <c r="BC1287" s="536"/>
      <c r="BD1287" s="537"/>
      <c r="BE1287" s="1014"/>
      <c r="BF1287" s="536"/>
      <c r="BG1287" s="536"/>
      <c r="BH1287" s="536"/>
      <c r="BI1287" s="536"/>
      <c r="BJ1287" s="536"/>
      <c r="BK1287" s="536"/>
      <c r="BL1287" s="536"/>
      <c r="BM1287" s="536"/>
      <c r="BN1287" s="536"/>
      <c r="BO1287" s="536"/>
      <c r="BP1287" s="536"/>
      <c r="BQ1287" s="537"/>
      <c r="BR1287" s="1014"/>
      <c r="BS1287" s="536"/>
      <c r="BT1287" s="536"/>
      <c r="BU1287" s="536"/>
      <c r="BV1287" s="536"/>
      <c r="BW1287" s="536"/>
      <c r="BX1287" s="536"/>
      <c r="BY1287" s="536"/>
      <c r="BZ1287" s="537"/>
      <c r="CA1287" s="270"/>
      <c r="CB1287" s="3" t="str">
        <f t="shared" si="189"/>
        <v>Riadok bude skrytý.</v>
      </c>
      <c r="CC1287" s="271" t="s">
        <v>832</v>
      </c>
      <c r="CW1287" s="30">
        <f t="shared" si="186"/>
        <v>1</v>
      </c>
      <c r="CX1287" s="30">
        <f t="shared" si="193"/>
        <v>1</v>
      </c>
      <c r="CZ1287" s="30">
        <f t="shared" si="184"/>
        <v>1</v>
      </c>
      <c r="DA1287" s="52">
        <f t="shared" si="192"/>
        <v>1</v>
      </c>
      <c r="DB1287" s="2">
        <f t="shared" si="185"/>
        <v>0</v>
      </c>
      <c r="DS1287" s="130">
        <f>SI!BY1287</f>
        <v>625</v>
      </c>
      <c r="DZ1287" s="131">
        <f>SI!BZ1287</f>
        <v>0</v>
      </c>
    </row>
    <row r="1288" spans="1:132" hidden="1" x14ac:dyDescent="0.25">
      <c r="A1288" s="141"/>
      <c r="B1288" s="549"/>
      <c r="C1288" s="550"/>
      <c r="D1288" s="550"/>
      <c r="E1288" s="550"/>
      <c r="F1288" s="550"/>
      <c r="G1288" s="550"/>
      <c r="H1288" s="550"/>
      <c r="I1288" s="550"/>
      <c r="J1288" s="550"/>
      <c r="K1288" s="550"/>
      <c r="L1288" s="550"/>
      <c r="M1288" s="550"/>
      <c r="N1288" s="550"/>
      <c r="O1288" s="550"/>
      <c r="P1288" s="550"/>
      <c r="Q1288" s="550"/>
      <c r="R1288" s="550"/>
      <c r="S1288" s="550"/>
      <c r="T1288" s="388"/>
      <c r="U1288" s="389"/>
      <c r="V1288" s="389"/>
      <c r="W1288" s="389"/>
      <c r="X1288" s="389"/>
      <c r="Y1288" s="389"/>
      <c r="Z1288" s="389"/>
      <c r="AA1288" s="389"/>
      <c r="AB1288" s="389"/>
      <c r="AC1288" s="389"/>
      <c r="AD1288" s="389"/>
      <c r="AE1288" s="389"/>
      <c r="AF1288" s="390"/>
      <c r="AG1288" s="388"/>
      <c r="AH1288" s="389"/>
      <c r="AI1288" s="389"/>
      <c r="AJ1288" s="389"/>
      <c r="AK1288" s="389"/>
      <c r="AL1288" s="389"/>
      <c r="AM1288" s="389"/>
      <c r="AN1288" s="389"/>
      <c r="AO1288" s="389"/>
      <c r="AP1288" s="389"/>
      <c r="AQ1288" s="389"/>
      <c r="AR1288" s="390"/>
      <c r="AS1288" s="363"/>
      <c r="AT1288" s="364"/>
      <c r="AU1288" s="364"/>
      <c r="AV1288" s="364"/>
      <c r="AW1288" s="364"/>
      <c r="AX1288" s="364"/>
      <c r="AY1288" s="364"/>
      <c r="AZ1288" s="364"/>
      <c r="BA1288" s="364"/>
      <c r="BB1288" s="364"/>
      <c r="BC1288" s="364"/>
      <c r="BD1288" s="387"/>
      <c r="BE1288" s="386"/>
      <c r="BF1288" s="364"/>
      <c r="BG1288" s="364"/>
      <c r="BH1288" s="364"/>
      <c r="BI1288" s="364"/>
      <c r="BJ1288" s="364"/>
      <c r="BK1288" s="364"/>
      <c r="BL1288" s="364"/>
      <c r="BM1288" s="364"/>
      <c r="BN1288" s="364"/>
      <c r="BO1288" s="364"/>
      <c r="BP1288" s="364"/>
      <c r="BQ1288" s="387"/>
      <c r="BR1288" s="386"/>
      <c r="BS1288" s="364"/>
      <c r="BT1288" s="364"/>
      <c r="BU1288" s="364"/>
      <c r="BV1288" s="364"/>
      <c r="BW1288" s="364"/>
      <c r="BX1288" s="364"/>
      <c r="BY1288" s="364"/>
      <c r="BZ1288" s="387"/>
      <c r="CA1288" s="270"/>
      <c r="CB1288" s="3" t="str">
        <f t="shared" si="189"/>
        <v>Riadok bude skrytý.</v>
      </c>
      <c r="CC1288" s="271" t="s">
        <v>832</v>
      </c>
      <c r="CW1288" s="30">
        <f t="shared" si="186"/>
        <v>1</v>
      </c>
      <c r="CX1288" s="30">
        <f t="shared" si="193"/>
        <v>1</v>
      </c>
      <c r="CY1288" s="30">
        <f t="shared" ref="CY1288:CY1295" si="194">+IF(B1288="",0,1)</f>
        <v>0</v>
      </c>
      <c r="CZ1288" s="30">
        <f t="shared" si="184"/>
        <v>1</v>
      </c>
      <c r="DA1288" s="53">
        <f t="shared" ref="DA1288:DA1295" si="195">+IF(CW1288*CX1288*CY1288=0,0,IF(CZ1288=0,0,1))</f>
        <v>0</v>
      </c>
      <c r="DB1288" s="2">
        <f t="shared" si="185"/>
        <v>0</v>
      </c>
      <c r="DS1288" s="130">
        <f>SI!BY1288</f>
        <v>890</v>
      </c>
      <c r="DZ1288" s="131">
        <f>SI!BZ1288</f>
        <v>0</v>
      </c>
    </row>
    <row r="1289" spans="1:132" hidden="1" x14ac:dyDescent="0.25">
      <c r="A1289" s="141"/>
      <c r="B1289" s="549"/>
      <c r="C1289" s="550"/>
      <c r="D1289" s="550"/>
      <c r="E1289" s="550"/>
      <c r="F1289" s="550"/>
      <c r="G1289" s="550"/>
      <c r="H1289" s="550"/>
      <c r="I1289" s="550"/>
      <c r="J1289" s="550"/>
      <c r="K1289" s="550"/>
      <c r="L1289" s="550"/>
      <c r="M1289" s="550"/>
      <c r="N1289" s="550"/>
      <c r="O1289" s="550"/>
      <c r="P1289" s="550"/>
      <c r="Q1289" s="550"/>
      <c r="R1289" s="550"/>
      <c r="S1289" s="550"/>
      <c r="T1289" s="388"/>
      <c r="U1289" s="389"/>
      <c r="V1289" s="389"/>
      <c r="W1289" s="389"/>
      <c r="X1289" s="389"/>
      <c r="Y1289" s="389"/>
      <c r="Z1289" s="389"/>
      <c r="AA1289" s="389"/>
      <c r="AB1289" s="389"/>
      <c r="AC1289" s="389"/>
      <c r="AD1289" s="389"/>
      <c r="AE1289" s="389"/>
      <c r="AF1289" s="390"/>
      <c r="AG1289" s="388"/>
      <c r="AH1289" s="389"/>
      <c r="AI1289" s="389"/>
      <c r="AJ1289" s="389"/>
      <c r="AK1289" s="389"/>
      <c r="AL1289" s="389"/>
      <c r="AM1289" s="389"/>
      <c r="AN1289" s="389"/>
      <c r="AO1289" s="389"/>
      <c r="AP1289" s="389"/>
      <c r="AQ1289" s="389"/>
      <c r="AR1289" s="390"/>
      <c r="AS1289" s="363"/>
      <c r="AT1289" s="364"/>
      <c r="AU1289" s="364"/>
      <c r="AV1289" s="364"/>
      <c r="AW1289" s="364"/>
      <c r="AX1289" s="364"/>
      <c r="AY1289" s="364"/>
      <c r="AZ1289" s="364"/>
      <c r="BA1289" s="364"/>
      <c r="BB1289" s="364"/>
      <c r="BC1289" s="364"/>
      <c r="BD1289" s="387"/>
      <c r="BE1289" s="386"/>
      <c r="BF1289" s="364"/>
      <c r="BG1289" s="364"/>
      <c r="BH1289" s="364"/>
      <c r="BI1289" s="364"/>
      <c r="BJ1289" s="364"/>
      <c r="BK1289" s="364"/>
      <c r="BL1289" s="364"/>
      <c r="BM1289" s="364"/>
      <c r="BN1289" s="364"/>
      <c r="BO1289" s="364"/>
      <c r="BP1289" s="364"/>
      <c r="BQ1289" s="387"/>
      <c r="BR1289" s="386"/>
      <c r="BS1289" s="364"/>
      <c r="BT1289" s="364"/>
      <c r="BU1289" s="364"/>
      <c r="BV1289" s="364"/>
      <c r="BW1289" s="364"/>
      <c r="BX1289" s="364"/>
      <c r="BY1289" s="364"/>
      <c r="BZ1289" s="387"/>
      <c r="CA1289" s="270"/>
      <c r="CB1289" s="3" t="str">
        <f t="shared" si="189"/>
        <v>Riadok bude skrytý.</v>
      </c>
      <c r="CC1289" s="271" t="s">
        <v>832</v>
      </c>
      <c r="CW1289" s="30">
        <f t="shared" si="186"/>
        <v>1</v>
      </c>
      <c r="CX1289" s="30">
        <f t="shared" si="193"/>
        <v>1</v>
      </c>
      <c r="CY1289" s="30">
        <f t="shared" si="194"/>
        <v>0</v>
      </c>
      <c r="CZ1289" s="30">
        <f t="shared" si="184"/>
        <v>1</v>
      </c>
      <c r="DA1289" s="53">
        <f t="shared" si="195"/>
        <v>0</v>
      </c>
      <c r="DB1289" s="2">
        <f t="shared" si="185"/>
        <v>0</v>
      </c>
      <c r="DS1289" s="130">
        <f>SI!BY1289</f>
        <v>192</v>
      </c>
      <c r="DZ1289" s="131">
        <f>SI!BZ1289</f>
        <v>0</v>
      </c>
    </row>
    <row r="1290" spans="1:132" hidden="1" x14ac:dyDescent="0.25">
      <c r="A1290" s="141"/>
      <c r="B1290" s="549"/>
      <c r="C1290" s="550"/>
      <c r="D1290" s="550"/>
      <c r="E1290" s="550"/>
      <c r="F1290" s="550"/>
      <c r="G1290" s="550"/>
      <c r="H1290" s="550"/>
      <c r="I1290" s="550"/>
      <c r="J1290" s="550"/>
      <c r="K1290" s="550"/>
      <c r="L1290" s="550"/>
      <c r="M1290" s="550"/>
      <c r="N1290" s="550"/>
      <c r="O1290" s="550"/>
      <c r="P1290" s="550"/>
      <c r="Q1290" s="550"/>
      <c r="R1290" s="550"/>
      <c r="S1290" s="550"/>
      <c r="T1290" s="388"/>
      <c r="U1290" s="389"/>
      <c r="V1290" s="389"/>
      <c r="W1290" s="389"/>
      <c r="X1290" s="389"/>
      <c r="Y1290" s="389"/>
      <c r="Z1290" s="389"/>
      <c r="AA1290" s="389"/>
      <c r="AB1290" s="389"/>
      <c r="AC1290" s="389"/>
      <c r="AD1290" s="389"/>
      <c r="AE1290" s="389"/>
      <c r="AF1290" s="390"/>
      <c r="AG1290" s="388"/>
      <c r="AH1290" s="389"/>
      <c r="AI1290" s="389"/>
      <c r="AJ1290" s="389"/>
      <c r="AK1290" s="389"/>
      <c r="AL1290" s="389"/>
      <c r="AM1290" s="389"/>
      <c r="AN1290" s="389"/>
      <c r="AO1290" s="389"/>
      <c r="AP1290" s="389"/>
      <c r="AQ1290" s="389"/>
      <c r="AR1290" s="390"/>
      <c r="AS1290" s="363"/>
      <c r="AT1290" s="364"/>
      <c r="AU1290" s="364"/>
      <c r="AV1290" s="364"/>
      <c r="AW1290" s="364"/>
      <c r="AX1290" s="364"/>
      <c r="AY1290" s="364"/>
      <c r="AZ1290" s="364"/>
      <c r="BA1290" s="364"/>
      <c r="BB1290" s="364"/>
      <c r="BC1290" s="364"/>
      <c r="BD1290" s="387"/>
      <c r="BE1290" s="386"/>
      <c r="BF1290" s="364"/>
      <c r="BG1290" s="364"/>
      <c r="BH1290" s="364"/>
      <c r="BI1290" s="364"/>
      <c r="BJ1290" s="364"/>
      <c r="BK1290" s="364"/>
      <c r="BL1290" s="364"/>
      <c r="BM1290" s="364"/>
      <c r="BN1290" s="364"/>
      <c r="BO1290" s="364"/>
      <c r="BP1290" s="364"/>
      <c r="BQ1290" s="387"/>
      <c r="BR1290" s="386"/>
      <c r="BS1290" s="364"/>
      <c r="BT1290" s="364"/>
      <c r="BU1290" s="364"/>
      <c r="BV1290" s="364"/>
      <c r="BW1290" s="364"/>
      <c r="BX1290" s="364"/>
      <c r="BY1290" s="364"/>
      <c r="BZ1290" s="387"/>
      <c r="CA1290" s="270"/>
      <c r="CB1290" s="3" t="str">
        <f t="shared" si="189"/>
        <v>Riadok bude skrytý.</v>
      </c>
      <c r="CC1290" s="271" t="s">
        <v>832</v>
      </c>
      <c r="CW1290" s="30">
        <f t="shared" si="186"/>
        <v>1</v>
      </c>
      <c r="CX1290" s="30">
        <f t="shared" si="193"/>
        <v>1</v>
      </c>
      <c r="CY1290" s="30">
        <f t="shared" si="194"/>
        <v>0</v>
      </c>
      <c r="CZ1290" s="30">
        <f t="shared" si="184"/>
        <v>1</v>
      </c>
      <c r="DA1290" s="53">
        <f t="shared" si="195"/>
        <v>0</v>
      </c>
      <c r="DB1290" s="2">
        <f t="shared" si="185"/>
        <v>0</v>
      </c>
      <c r="DS1290" s="130">
        <f>SI!BY1290</f>
        <v>810</v>
      </c>
      <c r="DZ1290" s="131">
        <f>SI!BZ1290</f>
        <v>0</v>
      </c>
    </row>
    <row r="1291" spans="1:132" hidden="1" x14ac:dyDescent="0.25">
      <c r="A1291" s="141"/>
      <c r="B1291" s="549"/>
      <c r="C1291" s="550"/>
      <c r="D1291" s="550"/>
      <c r="E1291" s="550"/>
      <c r="F1291" s="550"/>
      <c r="G1291" s="550"/>
      <c r="H1291" s="550"/>
      <c r="I1291" s="550"/>
      <c r="J1291" s="550"/>
      <c r="K1291" s="550"/>
      <c r="L1291" s="550"/>
      <c r="M1291" s="550"/>
      <c r="N1291" s="550"/>
      <c r="O1291" s="550"/>
      <c r="P1291" s="550"/>
      <c r="Q1291" s="550"/>
      <c r="R1291" s="550"/>
      <c r="S1291" s="550"/>
      <c r="T1291" s="388"/>
      <c r="U1291" s="389"/>
      <c r="V1291" s="389"/>
      <c r="W1291" s="389"/>
      <c r="X1291" s="389"/>
      <c r="Y1291" s="389"/>
      <c r="Z1291" s="389"/>
      <c r="AA1291" s="389"/>
      <c r="AB1291" s="389"/>
      <c r="AC1291" s="389"/>
      <c r="AD1291" s="389"/>
      <c r="AE1291" s="389"/>
      <c r="AF1291" s="390"/>
      <c r="AG1291" s="388"/>
      <c r="AH1291" s="389"/>
      <c r="AI1291" s="389"/>
      <c r="AJ1291" s="389"/>
      <c r="AK1291" s="389"/>
      <c r="AL1291" s="389"/>
      <c r="AM1291" s="389"/>
      <c r="AN1291" s="389"/>
      <c r="AO1291" s="389"/>
      <c r="AP1291" s="389"/>
      <c r="AQ1291" s="389"/>
      <c r="AR1291" s="390"/>
      <c r="AS1291" s="363"/>
      <c r="AT1291" s="364"/>
      <c r="AU1291" s="364"/>
      <c r="AV1291" s="364"/>
      <c r="AW1291" s="364"/>
      <c r="AX1291" s="364"/>
      <c r="AY1291" s="364"/>
      <c r="AZ1291" s="364"/>
      <c r="BA1291" s="364"/>
      <c r="BB1291" s="364"/>
      <c r="BC1291" s="364"/>
      <c r="BD1291" s="387"/>
      <c r="BE1291" s="386"/>
      <c r="BF1291" s="364"/>
      <c r="BG1291" s="364"/>
      <c r="BH1291" s="364"/>
      <c r="BI1291" s="364"/>
      <c r="BJ1291" s="364"/>
      <c r="BK1291" s="364"/>
      <c r="BL1291" s="364"/>
      <c r="BM1291" s="364"/>
      <c r="BN1291" s="364"/>
      <c r="BO1291" s="364"/>
      <c r="BP1291" s="364"/>
      <c r="BQ1291" s="387"/>
      <c r="BR1291" s="386"/>
      <c r="BS1291" s="364"/>
      <c r="BT1291" s="364"/>
      <c r="BU1291" s="364"/>
      <c r="BV1291" s="364"/>
      <c r="BW1291" s="364"/>
      <c r="BX1291" s="364"/>
      <c r="BY1291" s="364"/>
      <c r="BZ1291" s="387"/>
      <c r="CA1291" s="270"/>
      <c r="CB1291" s="3" t="str">
        <f t="shared" si="189"/>
        <v>Riadok bude skrytý.</v>
      </c>
      <c r="CC1291" s="271" t="s">
        <v>832</v>
      </c>
      <c r="CW1291" s="30">
        <f t="shared" ref="CW1291:CW1322" si="196">+IF($AB$1193="neeviduje",0,1)</f>
        <v>1</v>
      </c>
      <c r="CX1291" s="30">
        <f t="shared" si="193"/>
        <v>1</v>
      </c>
      <c r="CY1291" s="30">
        <f t="shared" si="194"/>
        <v>0</v>
      </c>
      <c r="CZ1291" s="30">
        <f t="shared" si="184"/>
        <v>1</v>
      </c>
      <c r="DA1291" s="53">
        <f t="shared" si="195"/>
        <v>0</v>
      </c>
      <c r="DB1291" s="2">
        <f t="shared" si="185"/>
        <v>0</v>
      </c>
      <c r="DS1291" s="130">
        <f>SI!BY1291</f>
        <v>156</v>
      </c>
      <c r="DZ1291" s="131">
        <f>SI!BZ1291</f>
        <v>0</v>
      </c>
    </row>
    <row r="1292" spans="1:132" hidden="1" x14ac:dyDescent="0.25">
      <c r="A1292" s="141"/>
      <c r="B1292" s="549"/>
      <c r="C1292" s="550"/>
      <c r="D1292" s="550"/>
      <c r="E1292" s="550"/>
      <c r="F1292" s="550"/>
      <c r="G1292" s="550"/>
      <c r="H1292" s="550"/>
      <c r="I1292" s="550"/>
      <c r="J1292" s="550"/>
      <c r="K1292" s="550"/>
      <c r="L1292" s="550"/>
      <c r="M1292" s="550"/>
      <c r="N1292" s="550"/>
      <c r="O1292" s="550"/>
      <c r="P1292" s="550"/>
      <c r="Q1292" s="550"/>
      <c r="R1292" s="550"/>
      <c r="S1292" s="550"/>
      <c r="T1292" s="388"/>
      <c r="U1292" s="389"/>
      <c r="V1292" s="389"/>
      <c r="W1292" s="389"/>
      <c r="X1292" s="389"/>
      <c r="Y1292" s="389"/>
      <c r="Z1292" s="389"/>
      <c r="AA1292" s="389"/>
      <c r="AB1292" s="389"/>
      <c r="AC1292" s="389"/>
      <c r="AD1292" s="389"/>
      <c r="AE1292" s="389"/>
      <c r="AF1292" s="390"/>
      <c r="AG1292" s="388"/>
      <c r="AH1292" s="389"/>
      <c r="AI1292" s="389"/>
      <c r="AJ1292" s="389"/>
      <c r="AK1292" s="389"/>
      <c r="AL1292" s="389"/>
      <c r="AM1292" s="389"/>
      <c r="AN1292" s="389"/>
      <c r="AO1292" s="389"/>
      <c r="AP1292" s="389"/>
      <c r="AQ1292" s="389"/>
      <c r="AR1292" s="390"/>
      <c r="AS1292" s="363"/>
      <c r="AT1292" s="364"/>
      <c r="AU1292" s="364"/>
      <c r="AV1292" s="364"/>
      <c r="AW1292" s="364"/>
      <c r="AX1292" s="364"/>
      <c r="AY1292" s="364"/>
      <c r="AZ1292" s="364"/>
      <c r="BA1292" s="364"/>
      <c r="BB1292" s="364"/>
      <c r="BC1292" s="364"/>
      <c r="BD1292" s="387"/>
      <c r="BE1292" s="386"/>
      <c r="BF1292" s="364"/>
      <c r="BG1292" s="364"/>
      <c r="BH1292" s="364"/>
      <c r="BI1292" s="364"/>
      <c r="BJ1292" s="364"/>
      <c r="BK1292" s="364"/>
      <c r="BL1292" s="364"/>
      <c r="BM1292" s="364"/>
      <c r="BN1292" s="364"/>
      <c r="BO1292" s="364"/>
      <c r="BP1292" s="364"/>
      <c r="BQ1292" s="387"/>
      <c r="BR1292" s="386"/>
      <c r="BS1292" s="364"/>
      <c r="BT1292" s="364"/>
      <c r="BU1292" s="364"/>
      <c r="BV1292" s="364"/>
      <c r="BW1292" s="364"/>
      <c r="BX1292" s="364"/>
      <c r="BY1292" s="364"/>
      <c r="BZ1292" s="387"/>
      <c r="CA1292" s="270"/>
      <c r="CB1292" s="3" t="str">
        <f t="shared" si="189"/>
        <v>Riadok bude skrytý.</v>
      </c>
      <c r="CC1292" s="271" t="s">
        <v>832</v>
      </c>
      <c r="CW1292" s="30">
        <f t="shared" si="196"/>
        <v>1</v>
      </c>
      <c r="CX1292" s="30">
        <f t="shared" si="193"/>
        <v>1</v>
      </c>
      <c r="CY1292" s="30">
        <f t="shared" si="194"/>
        <v>0</v>
      </c>
      <c r="CZ1292" s="30">
        <f t="shared" si="184"/>
        <v>1</v>
      </c>
      <c r="DA1292" s="53">
        <f t="shared" si="195"/>
        <v>0</v>
      </c>
      <c r="DB1292" s="2">
        <f t="shared" si="185"/>
        <v>0</v>
      </c>
      <c r="DS1292" s="130">
        <f>SI!BY1292</f>
        <v>421</v>
      </c>
      <c r="DZ1292" s="131">
        <f>SI!BZ1292</f>
        <v>0</v>
      </c>
    </row>
    <row r="1293" spans="1:132" hidden="1" x14ac:dyDescent="0.25">
      <c r="A1293" s="141"/>
      <c r="B1293" s="549"/>
      <c r="C1293" s="550"/>
      <c r="D1293" s="550"/>
      <c r="E1293" s="550"/>
      <c r="F1293" s="550"/>
      <c r="G1293" s="550"/>
      <c r="H1293" s="550"/>
      <c r="I1293" s="550"/>
      <c r="J1293" s="550"/>
      <c r="K1293" s="550"/>
      <c r="L1293" s="550"/>
      <c r="M1293" s="550"/>
      <c r="N1293" s="550"/>
      <c r="O1293" s="550"/>
      <c r="P1293" s="550"/>
      <c r="Q1293" s="550"/>
      <c r="R1293" s="550"/>
      <c r="S1293" s="550"/>
      <c r="T1293" s="388"/>
      <c r="U1293" s="389"/>
      <c r="V1293" s="389"/>
      <c r="W1293" s="389"/>
      <c r="X1293" s="389"/>
      <c r="Y1293" s="389"/>
      <c r="Z1293" s="389"/>
      <c r="AA1293" s="389"/>
      <c r="AB1293" s="389"/>
      <c r="AC1293" s="389"/>
      <c r="AD1293" s="389"/>
      <c r="AE1293" s="389"/>
      <c r="AF1293" s="390"/>
      <c r="AG1293" s="388"/>
      <c r="AH1293" s="389"/>
      <c r="AI1293" s="389"/>
      <c r="AJ1293" s="389"/>
      <c r="AK1293" s="389"/>
      <c r="AL1293" s="389"/>
      <c r="AM1293" s="389"/>
      <c r="AN1293" s="389"/>
      <c r="AO1293" s="389"/>
      <c r="AP1293" s="389"/>
      <c r="AQ1293" s="389"/>
      <c r="AR1293" s="390"/>
      <c r="AS1293" s="363"/>
      <c r="AT1293" s="364"/>
      <c r="AU1293" s="364"/>
      <c r="AV1293" s="364"/>
      <c r="AW1293" s="364"/>
      <c r="AX1293" s="364"/>
      <c r="AY1293" s="364"/>
      <c r="AZ1293" s="364"/>
      <c r="BA1293" s="364"/>
      <c r="BB1293" s="364"/>
      <c r="BC1293" s="364"/>
      <c r="BD1293" s="387"/>
      <c r="BE1293" s="386"/>
      <c r="BF1293" s="364"/>
      <c r="BG1293" s="364"/>
      <c r="BH1293" s="364"/>
      <c r="BI1293" s="364"/>
      <c r="BJ1293" s="364"/>
      <c r="BK1293" s="364"/>
      <c r="BL1293" s="364"/>
      <c r="BM1293" s="364"/>
      <c r="BN1293" s="364"/>
      <c r="BO1293" s="364"/>
      <c r="BP1293" s="364"/>
      <c r="BQ1293" s="387"/>
      <c r="BR1293" s="386"/>
      <c r="BS1293" s="364"/>
      <c r="BT1293" s="364"/>
      <c r="BU1293" s="364"/>
      <c r="BV1293" s="364"/>
      <c r="BW1293" s="364"/>
      <c r="BX1293" s="364"/>
      <c r="BY1293" s="364"/>
      <c r="BZ1293" s="387"/>
      <c r="CA1293" s="270"/>
      <c r="CB1293" s="3" t="str">
        <f t="shared" si="189"/>
        <v>Riadok bude skrytý.</v>
      </c>
      <c r="CC1293" s="271" t="s">
        <v>832</v>
      </c>
      <c r="CW1293" s="30">
        <f t="shared" si="196"/>
        <v>1</v>
      </c>
      <c r="CX1293" s="30">
        <f t="shared" si="193"/>
        <v>1</v>
      </c>
      <c r="CY1293" s="30">
        <f t="shared" si="194"/>
        <v>0</v>
      </c>
      <c r="CZ1293" s="30">
        <f t="shared" si="184"/>
        <v>1</v>
      </c>
      <c r="DA1293" s="53">
        <f t="shared" si="195"/>
        <v>0</v>
      </c>
      <c r="DB1293" s="2">
        <f t="shared" si="185"/>
        <v>0</v>
      </c>
      <c r="DS1293" s="130">
        <f>SI!BY1293</f>
        <v>161</v>
      </c>
      <c r="DZ1293" s="131">
        <f>SI!BZ1293</f>
        <v>0</v>
      </c>
    </row>
    <row r="1294" spans="1:132" hidden="1" x14ac:dyDescent="0.25">
      <c r="A1294" s="141"/>
      <c r="B1294" s="549"/>
      <c r="C1294" s="550"/>
      <c r="D1294" s="550"/>
      <c r="E1294" s="550"/>
      <c r="F1294" s="550"/>
      <c r="G1294" s="550"/>
      <c r="H1294" s="550"/>
      <c r="I1294" s="550"/>
      <c r="J1294" s="550"/>
      <c r="K1294" s="550"/>
      <c r="L1294" s="550"/>
      <c r="M1294" s="550"/>
      <c r="N1294" s="550"/>
      <c r="O1294" s="550"/>
      <c r="P1294" s="550"/>
      <c r="Q1294" s="550"/>
      <c r="R1294" s="550"/>
      <c r="S1294" s="550"/>
      <c r="T1294" s="388"/>
      <c r="U1294" s="389"/>
      <c r="V1294" s="389"/>
      <c r="W1294" s="389"/>
      <c r="X1294" s="389"/>
      <c r="Y1294" s="389"/>
      <c r="Z1294" s="389"/>
      <c r="AA1294" s="389"/>
      <c r="AB1294" s="389"/>
      <c r="AC1294" s="389"/>
      <c r="AD1294" s="389"/>
      <c r="AE1294" s="389"/>
      <c r="AF1294" s="390"/>
      <c r="AG1294" s="388"/>
      <c r="AH1294" s="389"/>
      <c r="AI1294" s="389"/>
      <c r="AJ1294" s="389"/>
      <c r="AK1294" s="389"/>
      <c r="AL1294" s="389"/>
      <c r="AM1294" s="389"/>
      <c r="AN1294" s="389"/>
      <c r="AO1294" s="389"/>
      <c r="AP1294" s="389"/>
      <c r="AQ1294" s="389"/>
      <c r="AR1294" s="390"/>
      <c r="AS1294" s="363"/>
      <c r="AT1294" s="364"/>
      <c r="AU1294" s="364"/>
      <c r="AV1294" s="364"/>
      <c r="AW1294" s="364"/>
      <c r="AX1294" s="364"/>
      <c r="AY1294" s="364"/>
      <c r="AZ1294" s="364"/>
      <c r="BA1294" s="364"/>
      <c r="BB1294" s="364"/>
      <c r="BC1294" s="364"/>
      <c r="BD1294" s="387"/>
      <c r="BE1294" s="386"/>
      <c r="BF1294" s="364"/>
      <c r="BG1294" s="364"/>
      <c r="BH1294" s="364"/>
      <c r="BI1294" s="364"/>
      <c r="BJ1294" s="364"/>
      <c r="BK1294" s="364"/>
      <c r="BL1294" s="364"/>
      <c r="BM1294" s="364"/>
      <c r="BN1294" s="364"/>
      <c r="BO1294" s="364"/>
      <c r="BP1294" s="364"/>
      <c r="BQ1294" s="387"/>
      <c r="BR1294" s="386"/>
      <c r="BS1294" s="364"/>
      <c r="BT1294" s="364"/>
      <c r="BU1294" s="364"/>
      <c r="BV1294" s="364"/>
      <c r="BW1294" s="364"/>
      <c r="BX1294" s="364"/>
      <c r="BY1294" s="364"/>
      <c r="BZ1294" s="387"/>
      <c r="CA1294" s="270"/>
      <c r="CB1294" s="3" t="str">
        <f t="shared" si="189"/>
        <v>Riadok bude skrytý.</v>
      </c>
      <c r="CC1294" s="271" t="s">
        <v>832</v>
      </c>
      <c r="CW1294" s="30">
        <f t="shared" si="196"/>
        <v>1</v>
      </c>
      <c r="CX1294" s="30">
        <f t="shared" si="193"/>
        <v>1</v>
      </c>
      <c r="CY1294" s="30">
        <f t="shared" si="194"/>
        <v>0</v>
      </c>
      <c r="CZ1294" s="30">
        <f t="shared" si="184"/>
        <v>1</v>
      </c>
      <c r="DA1294" s="53">
        <f t="shared" si="195"/>
        <v>0</v>
      </c>
      <c r="DB1294" s="2">
        <f t="shared" si="185"/>
        <v>0</v>
      </c>
      <c r="DS1294" s="130">
        <f>SI!BY1294</f>
        <v>1057</v>
      </c>
      <c r="DZ1294" s="131">
        <f>SI!BZ1294</f>
        <v>0</v>
      </c>
    </row>
    <row r="1295" spans="1:132" hidden="1" x14ac:dyDescent="0.25">
      <c r="A1295" s="141"/>
      <c r="B1295" s="549"/>
      <c r="C1295" s="550"/>
      <c r="D1295" s="550"/>
      <c r="E1295" s="550"/>
      <c r="F1295" s="550"/>
      <c r="G1295" s="550"/>
      <c r="H1295" s="550"/>
      <c r="I1295" s="550"/>
      <c r="J1295" s="550"/>
      <c r="K1295" s="550"/>
      <c r="L1295" s="550"/>
      <c r="M1295" s="550"/>
      <c r="N1295" s="550"/>
      <c r="O1295" s="550"/>
      <c r="P1295" s="550"/>
      <c r="Q1295" s="550"/>
      <c r="R1295" s="550"/>
      <c r="S1295" s="550"/>
      <c r="T1295" s="388"/>
      <c r="U1295" s="389"/>
      <c r="V1295" s="389"/>
      <c r="W1295" s="389"/>
      <c r="X1295" s="389"/>
      <c r="Y1295" s="389"/>
      <c r="Z1295" s="389"/>
      <c r="AA1295" s="389"/>
      <c r="AB1295" s="389"/>
      <c r="AC1295" s="389"/>
      <c r="AD1295" s="389"/>
      <c r="AE1295" s="389"/>
      <c r="AF1295" s="390"/>
      <c r="AG1295" s="388"/>
      <c r="AH1295" s="389"/>
      <c r="AI1295" s="389"/>
      <c r="AJ1295" s="389"/>
      <c r="AK1295" s="389"/>
      <c r="AL1295" s="389"/>
      <c r="AM1295" s="389"/>
      <c r="AN1295" s="389"/>
      <c r="AO1295" s="389"/>
      <c r="AP1295" s="389"/>
      <c r="AQ1295" s="389"/>
      <c r="AR1295" s="390"/>
      <c r="AS1295" s="363"/>
      <c r="AT1295" s="364"/>
      <c r="AU1295" s="364"/>
      <c r="AV1295" s="364"/>
      <c r="AW1295" s="364"/>
      <c r="AX1295" s="364"/>
      <c r="AY1295" s="364"/>
      <c r="AZ1295" s="364"/>
      <c r="BA1295" s="364"/>
      <c r="BB1295" s="364"/>
      <c r="BC1295" s="364"/>
      <c r="BD1295" s="387"/>
      <c r="BE1295" s="386"/>
      <c r="BF1295" s="364"/>
      <c r="BG1295" s="364"/>
      <c r="BH1295" s="364"/>
      <c r="BI1295" s="364"/>
      <c r="BJ1295" s="364"/>
      <c r="BK1295" s="364"/>
      <c r="BL1295" s="364"/>
      <c r="BM1295" s="364"/>
      <c r="BN1295" s="364"/>
      <c r="BO1295" s="364"/>
      <c r="BP1295" s="364"/>
      <c r="BQ1295" s="387"/>
      <c r="BR1295" s="386"/>
      <c r="BS1295" s="364"/>
      <c r="BT1295" s="364"/>
      <c r="BU1295" s="364"/>
      <c r="BV1295" s="364"/>
      <c r="BW1295" s="364"/>
      <c r="BX1295" s="364"/>
      <c r="BY1295" s="364"/>
      <c r="BZ1295" s="387"/>
      <c r="CA1295" s="270"/>
      <c r="CB1295" s="3" t="str">
        <f t="shared" si="189"/>
        <v>Riadok bude skrytý.</v>
      </c>
      <c r="CC1295" s="271" t="s">
        <v>832</v>
      </c>
      <c r="CW1295" s="30">
        <f t="shared" si="196"/>
        <v>1</v>
      </c>
      <c r="CX1295" s="30">
        <f t="shared" si="193"/>
        <v>1</v>
      </c>
      <c r="CY1295" s="30">
        <f t="shared" si="194"/>
        <v>0</v>
      </c>
      <c r="CZ1295" s="30">
        <f t="shared" si="184"/>
        <v>1</v>
      </c>
      <c r="DA1295" s="53">
        <f t="shared" si="195"/>
        <v>0</v>
      </c>
      <c r="DB1295" s="2">
        <f t="shared" si="185"/>
        <v>0</v>
      </c>
      <c r="DS1295" s="130">
        <f>SI!BY1295</f>
        <v>203</v>
      </c>
      <c r="DZ1295" s="131">
        <f>SI!BZ1295</f>
        <v>0</v>
      </c>
    </row>
    <row r="1296" spans="1:132" hidden="1" x14ac:dyDescent="0.25">
      <c r="A1296" s="141"/>
      <c r="B1296" s="1717"/>
      <c r="C1296" s="1718"/>
      <c r="D1296" s="1718"/>
      <c r="E1296" s="1718"/>
      <c r="F1296" s="1718"/>
      <c r="G1296" s="1718"/>
      <c r="H1296" s="1718"/>
      <c r="I1296" s="1718"/>
      <c r="J1296" s="1718"/>
      <c r="K1296" s="1718"/>
      <c r="L1296" s="1718"/>
      <c r="M1296" s="1718"/>
      <c r="N1296" s="1718"/>
      <c r="O1296" s="1718"/>
      <c r="P1296" s="1718"/>
      <c r="Q1296" s="1718"/>
      <c r="R1296" s="1718"/>
      <c r="S1296" s="1718"/>
      <c r="T1296" s="1249"/>
      <c r="U1296" s="1250"/>
      <c r="V1296" s="1250"/>
      <c r="W1296" s="1250"/>
      <c r="X1296" s="1250"/>
      <c r="Y1296" s="1250"/>
      <c r="Z1296" s="1250"/>
      <c r="AA1296" s="1250"/>
      <c r="AB1296" s="1250"/>
      <c r="AC1296" s="1250"/>
      <c r="AD1296" s="1250"/>
      <c r="AE1296" s="1250"/>
      <c r="AF1296" s="1251"/>
      <c r="AG1296" s="1249"/>
      <c r="AH1296" s="1250"/>
      <c r="AI1296" s="1250"/>
      <c r="AJ1296" s="1250"/>
      <c r="AK1296" s="1250"/>
      <c r="AL1296" s="1250"/>
      <c r="AM1296" s="1250"/>
      <c r="AN1296" s="1250"/>
      <c r="AO1296" s="1250"/>
      <c r="AP1296" s="1250"/>
      <c r="AQ1296" s="1250"/>
      <c r="AR1296" s="1251"/>
      <c r="AS1296" s="367"/>
      <c r="AT1296" s="368"/>
      <c r="AU1296" s="368"/>
      <c r="AV1296" s="368"/>
      <c r="AW1296" s="368"/>
      <c r="AX1296" s="368"/>
      <c r="AY1296" s="368"/>
      <c r="AZ1296" s="368"/>
      <c r="BA1296" s="368"/>
      <c r="BB1296" s="368"/>
      <c r="BC1296" s="368"/>
      <c r="BD1296" s="438"/>
      <c r="BE1296" s="457"/>
      <c r="BF1296" s="368"/>
      <c r="BG1296" s="368"/>
      <c r="BH1296" s="368"/>
      <c r="BI1296" s="368"/>
      <c r="BJ1296" s="368"/>
      <c r="BK1296" s="368"/>
      <c r="BL1296" s="368"/>
      <c r="BM1296" s="368"/>
      <c r="BN1296" s="368"/>
      <c r="BO1296" s="368"/>
      <c r="BP1296" s="368"/>
      <c r="BQ1296" s="438"/>
      <c r="BR1296" s="457"/>
      <c r="BS1296" s="368"/>
      <c r="BT1296" s="368"/>
      <c r="BU1296" s="368"/>
      <c r="BV1296" s="368"/>
      <c r="BW1296" s="368"/>
      <c r="BX1296" s="368"/>
      <c r="BY1296" s="368"/>
      <c r="BZ1296" s="438"/>
      <c r="CA1296" s="270"/>
      <c r="CB1296" s="3" t="str">
        <f t="shared" si="189"/>
        <v>Riadok bude skrytý.</v>
      </c>
      <c r="CC1296" s="271" t="s">
        <v>832</v>
      </c>
      <c r="CW1296" s="30">
        <f t="shared" si="196"/>
        <v>1</v>
      </c>
      <c r="CX1296" s="30">
        <f t="shared" si="193"/>
        <v>1</v>
      </c>
      <c r="CZ1296" s="30">
        <f>IF(CC1296="",1,IF(CC1296="Chcem skryť riadok.",0,1))</f>
        <v>1</v>
      </c>
      <c r="DA1296" s="52">
        <f>+IF(CW1296*CX1296=0,0,IF(CZ1296=0,0,1))</f>
        <v>1</v>
      </c>
      <c r="DB1296" s="2">
        <f t="shared" si="185"/>
        <v>0</v>
      </c>
      <c r="DS1296" s="130">
        <f>SI!BY1296</f>
        <v>154</v>
      </c>
      <c r="DZ1296" s="131">
        <f>SI!BZ1296</f>
        <v>0</v>
      </c>
    </row>
    <row r="1297" spans="1:130" hidden="1" x14ac:dyDescent="0.25">
      <c r="A1297" s="141"/>
      <c r="B1297" s="1689" t="s">
        <v>139</v>
      </c>
      <c r="C1297" s="1690"/>
      <c r="D1297" s="1690"/>
      <c r="E1297" s="1690"/>
      <c r="F1297" s="1690"/>
      <c r="G1297" s="1690"/>
      <c r="H1297" s="1690"/>
      <c r="I1297" s="1690"/>
      <c r="J1297" s="1690"/>
      <c r="K1297" s="1690"/>
      <c r="L1297" s="1690"/>
      <c r="M1297" s="1690"/>
      <c r="N1297" s="1690"/>
      <c r="O1297" s="1690"/>
      <c r="P1297" s="1690"/>
      <c r="Q1297" s="1690"/>
      <c r="R1297" s="1690"/>
      <c r="S1297" s="1690"/>
      <c r="T1297" s="1690"/>
      <c r="U1297" s="1690"/>
      <c r="V1297" s="1690"/>
      <c r="W1297" s="1690"/>
      <c r="X1297" s="1690"/>
      <c r="Y1297" s="1690"/>
      <c r="Z1297" s="1690"/>
      <c r="AA1297" s="1690"/>
      <c r="AB1297" s="1690"/>
      <c r="AC1297" s="1690"/>
      <c r="AD1297" s="1690"/>
      <c r="AE1297" s="1690"/>
      <c r="AF1297" s="1690"/>
      <c r="AG1297" s="1690"/>
      <c r="AH1297" s="1690"/>
      <c r="AI1297" s="1690"/>
      <c r="AJ1297" s="1690"/>
      <c r="AK1297" s="1690"/>
      <c r="AL1297" s="1690"/>
      <c r="AM1297" s="1690"/>
      <c r="AN1297" s="1690"/>
      <c r="AO1297" s="1690"/>
      <c r="AP1297" s="1690"/>
      <c r="AQ1297" s="1690"/>
      <c r="AR1297" s="1690"/>
      <c r="AS1297" s="1690"/>
      <c r="AT1297" s="1690"/>
      <c r="AU1297" s="1690"/>
      <c r="AV1297" s="1690"/>
      <c r="AW1297" s="1690"/>
      <c r="AX1297" s="1690"/>
      <c r="AY1297" s="1690"/>
      <c r="AZ1297" s="1690"/>
      <c r="BA1297" s="1690"/>
      <c r="BB1297" s="1690"/>
      <c r="BC1297" s="1690"/>
      <c r="BD1297" s="1690"/>
      <c r="BE1297" s="1690"/>
      <c r="BF1297" s="1690"/>
      <c r="BG1297" s="1690"/>
      <c r="BH1297" s="1690"/>
      <c r="BI1297" s="1690"/>
      <c r="BJ1297" s="1690"/>
      <c r="BK1297" s="1690"/>
      <c r="BL1297" s="1690"/>
      <c r="BM1297" s="1690"/>
      <c r="BN1297" s="1690"/>
      <c r="BO1297" s="1690"/>
      <c r="BP1297" s="1690"/>
      <c r="BQ1297" s="1690"/>
      <c r="BR1297" s="1690"/>
      <c r="BS1297" s="1690"/>
      <c r="BT1297" s="1690"/>
      <c r="BU1297" s="1690"/>
      <c r="BV1297" s="1690"/>
      <c r="BW1297" s="1690"/>
      <c r="BX1297" s="1690"/>
      <c r="BY1297" s="1690"/>
      <c r="BZ1297" s="1691"/>
      <c r="CA1297" s="270"/>
      <c r="CB1297" s="3" t="str">
        <f t="shared" si="189"/>
        <v>Riadok bude skrytý.</v>
      </c>
      <c r="CC1297" s="271" t="s">
        <v>832</v>
      </c>
      <c r="CW1297" s="30">
        <f t="shared" si="196"/>
        <v>1</v>
      </c>
      <c r="CX1297" s="30">
        <f t="shared" si="193"/>
        <v>1</v>
      </c>
      <c r="CZ1297" s="30">
        <f t="shared" si="184"/>
        <v>1</v>
      </c>
      <c r="DA1297" s="52">
        <f>+IF(CW1297*CX1297=0,0,IF(CZ1297=0,0,1))</f>
        <v>1</v>
      </c>
      <c r="DB1297" s="2">
        <f t="shared" si="185"/>
        <v>0</v>
      </c>
      <c r="DS1297" s="130">
        <f>SI!BY1297</f>
        <v>126</v>
      </c>
      <c r="DZ1297" s="131">
        <f>SI!BZ1297</f>
        <v>0</v>
      </c>
    </row>
    <row r="1298" spans="1:130" hidden="1" x14ac:dyDescent="0.25">
      <c r="A1298" s="141"/>
      <c r="B1298" s="561"/>
      <c r="C1298" s="562"/>
      <c r="D1298" s="562"/>
      <c r="E1298" s="562"/>
      <c r="F1298" s="562"/>
      <c r="G1298" s="562"/>
      <c r="H1298" s="562"/>
      <c r="I1298" s="562"/>
      <c r="J1298" s="562"/>
      <c r="K1298" s="562"/>
      <c r="L1298" s="562"/>
      <c r="M1298" s="562"/>
      <c r="N1298" s="562"/>
      <c r="O1298" s="562"/>
      <c r="P1298" s="562"/>
      <c r="Q1298" s="562"/>
      <c r="R1298" s="562"/>
      <c r="S1298" s="562"/>
      <c r="T1298" s="1674"/>
      <c r="U1298" s="1675"/>
      <c r="V1298" s="1675"/>
      <c r="W1298" s="1675"/>
      <c r="X1298" s="1675"/>
      <c r="Y1298" s="1675"/>
      <c r="Z1298" s="1675"/>
      <c r="AA1298" s="1675"/>
      <c r="AB1298" s="1675"/>
      <c r="AC1298" s="1675"/>
      <c r="AD1298" s="1675"/>
      <c r="AE1298" s="1675"/>
      <c r="AF1298" s="1676"/>
      <c r="AG1298" s="1674"/>
      <c r="AH1298" s="1675"/>
      <c r="AI1298" s="1675"/>
      <c r="AJ1298" s="1675"/>
      <c r="AK1298" s="1675"/>
      <c r="AL1298" s="1675"/>
      <c r="AM1298" s="1675"/>
      <c r="AN1298" s="1675"/>
      <c r="AO1298" s="1675"/>
      <c r="AP1298" s="1675"/>
      <c r="AQ1298" s="1675"/>
      <c r="AR1298" s="1676"/>
      <c r="AS1298" s="535"/>
      <c r="AT1298" s="536"/>
      <c r="AU1298" s="536"/>
      <c r="AV1298" s="536"/>
      <c r="AW1298" s="536"/>
      <c r="AX1298" s="536"/>
      <c r="AY1298" s="536"/>
      <c r="AZ1298" s="536"/>
      <c r="BA1298" s="536"/>
      <c r="BB1298" s="536"/>
      <c r="BC1298" s="536"/>
      <c r="BD1298" s="537"/>
      <c r="BE1298" s="1014"/>
      <c r="BF1298" s="536"/>
      <c r="BG1298" s="536"/>
      <c r="BH1298" s="536"/>
      <c r="BI1298" s="536"/>
      <c r="BJ1298" s="536"/>
      <c r="BK1298" s="536"/>
      <c r="BL1298" s="536"/>
      <c r="BM1298" s="536"/>
      <c r="BN1298" s="536"/>
      <c r="BO1298" s="536"/>
      <c r="BP1298" s="536"/>
      <c r="BQ1298" s="537"/>
      <c r="BR1298" s="1014"/>
      <c r="BS1298" s="536"/>
      <c r="BT1298" s="536"/>
      <c r="BU1298" s="536"/>
      <c r="BV1298" s="536"/>
      <c r="BW1298" s="536"/>
      <c r="BX1298" s="536"/>
      <c r="BY1298" s="536"/>
      <c r="BZ1298" s="537"/>
      <c r="CA1298" s="270"/>
      <c r="CB1298" s="3" t="str">
        <f t="shared" si="189"/>
        <v>Riadok bude skrytý.</v>
      </c>
      <c r="CC1298" s="271" t="s">
        <v>832</v>
      </c>
      <c r="CW1298" s="30">
        <f t="shared" si="196"/>
        <v>1</v>
      </c>
      <c r="CX1298" s="30">
        <f t="shared" si="193"/>
        <v>1</v>
      </c>
      <c r="CZ1298" s="30">
        <f t="shared" si="184"/>
        <v>1</v>
      </c>
      <c r="DA1298" s="52">
        <f>+IF(CW1298*CX1298=0,0,IF(CZ1298=0,0,1))</f>
        <v>1</v>
      </c>
      <c r="DB1298" s="2">
        <f t="shared" si="185"/>
        <v>0</v>
      </c>
      <c r="DS1298" s="130">
        <f>SI!BY1298</f>
        <v>132</v>
      </c>
      <c r="DZ1298" s="131">
        <f>SI!BZ1298</f>
        <v>0</v>
      </c>
    </row>
    <row r="1299" spans="1:130" hidden="1" x14ac:dyDescent="0.25">
      <c r="A1299" s="141"/>
      <c r="B1299" s="549"/>
      <c r="C1299" s="550"/>
      <c r="D1299" s="550"/>
      <c r="E1299" s="550"/>
      <c r="F1299" s="550"/>
      <c r="G1299" s="550"/>
      <c r="H1299" s="550"/>
      <c r="I1299" s="550"/>
      <c r="J1299" s="550"/>
      <c r="K1299" s="550"/>
      <c r="L1299" s="550"/>
      <c r="M1299" s="550"/>
      <c r="N1299" s="550"/>
      <c r="O1299" s="550"/>
      <c r="P1299" s="550"/>
      <c r="Q1299" s="550"/>
      <c r="R1299" s="550"/>
      <c r="S1299" s="550"/>
      <c r="T1299" s="388"/>
      <c r="U1299" s="389"/>
      <c r="V1299" s="389"/>
      <c r="W1299" s="389"/>
      <c r="X1299" s="389"/>
      <c r="Y1299" s="389"/>
      <c r="Z1299" s="389"/>
      <c r="AA1299" s="389"/>
      <c r="AB1299" s="389"/>
      <c r="AC1299" s="389"/>
      <c r="AD1299" s="389"/>
      <c r="AE1299" s="389"/>
      <c r="AF1299" s="390"/>
      <c r="AG1299" s="388"/>
      <c r="AH1299" s="389"/>
      <c r="AI1299" s="389"/>
      <c r="AJ1299" s="389"/>
      <c r="AK1299" s="389"/>
      <c r="AL1299" s="389"/>
      <c r="AM1299" s="389"/>
      <c r="AN1299" s="389"/>
      <c r="AO1299" s="389"/>
      <c r="AP1299" s="389"/>
      <c r="AQ1299" s="389"/>
      <c r="AR1299" s="390"/>
      <c r="AS1299" s="363"/>
      <c r="AT1299" s="364"/>
      <c r="AU1299" s="364"/>
      <c r="AV1299" s="364"/>
      <c r="AW1299" s="364"/>
      <c r="AX1299" s="364"/>
      <c r="AY1299" s="364"/>
      <c r="AZ1299" s="364"/>
      <c r="BA1299" s="364"/>
      <c r="BB1299" s="364"/>
      <c r="BC1299" s="364"/>
      <c r="BD1299" s="387"/>
      <c r="BE1299" s="386"/>
      <c r="BF1299" s="364"/>
      <c r="BG1299" s="364"/>
      <c r="BH1299" s="364"/>
      <c r="BI1299" s="364"/>
      <c r="BJ1299" s="364"/>
      <c r="BK1299" s="364"/>
      <c r="BL1299" s="364"/>
      <c r="BM1299" s="364"/>
      <c r="BN1299" s="364"/>
      <c r="BO1299" s="364"/>
      <c r="BP1299" s="364"/>
      <c r="BQ1299" s="387"/>
      <c r="BR1299" s="386"/>
      <c r="BS1299" s="364"/>
      <c r="BT1299" s="364"/>
      <c r="BU1299" s="364"/>
      <c r="BV1299" s="364"/>
      <c r="BW1299" s="364"/>
      <c r="BX1299" s="364"/>
      <c r="BY1299" s="364"/>
      <c r="BZ1299" s="387"/>
      <c r="CA1299" s="270"/>
      <c r="CB1299" s="3" t="str">
        <f t="shared" si="189"/>
        <v>Riadok bude skrytý.</v>
      </c>
      <c r="CC1299" s="271" t="s">
        <v>832</v>
      </c>
      <c r="CW1299" s="30">
        <f t="shared" si="196"/>
        <v>1</v>
      </c>
      <c r="CX1299" s="30">
        <f t="shared" si="193"/>
        <v>1</v>
      </c>
      <c r="CY1299" s="30">
        <f t="shared" ref="CY1299:CY1306" si="197">+IF(B1299="",0,1)</f>
        <v>0</v>
      </c>
      <c r="CZ1299" s="30">
        <f t="shared" si="184"/>
        <v>1</v>
      </c>
      <c r="DA1299" s="53">
        <f t="shared" ref="DA1299:DA1306" si="198">+IF(CW1299*CX1299*CY1299=0,0,IF(CZ1299=0,0,1))</f>
        <v>0</v>
      </c>
      <c r="DB1299" s="2">
        <f t="shared" si="185"/>
        <v>0</v>
      </c>
      <c r="DS1299" s="130">
        <f>SI!BY1299</f>
        <v>126</v>
      </c>
      <c r="DZ1299" s="131">
        <f>SI!BZ1299</f>
        <v>0</v>
      </c>
    </row>
    <row r="1300" spans="1:130" hidden="1" x14ac:dyDescent="0.25">
      <c r="A1300" s="141"/>
      <c r="B1300" s="549"/>
      <c r="C1300" s="550"/>
      <c r="D1300" s="550"/>
      <c r="E1300" s="550"/>
      <c r="F1300" s="550"/>
      <c r="G1300" s="550"/>
      <c r="H1300" s="550"/>
      <c r="I1300" s="550"/>
      <c r="J1300" s="550"/>
      <c r="K1300" s="550"/>
      <c r="L1300" s="550"/>
      <c r="M1300" s="550"/>
      <c r="N1300" s="550"/>
      <c r="O1300" s="550"/>
      <c r="P1300" s="550"/>
      <c r="Q1300" s="550"/>
      <c r="R1300" s="550"/>
      <c r="S1300" s="550"/>
      <c r="T1300" s="388"/>
      <c r="U1300" s="389"/>
      <c r="V1300" s="389"/>
      <c r="W1300" s="389"/>
      <c r="X1300" s="389"/>
      <c r="Y1300" s="389"/>
      <c r="Z1300" s="389"/>
      <c r="AA1300" s="389"/>
      <c r="AB1300" s="389"/>
      <c r="AC1300" s="389"/>
      <c r="AD1300" s="389"/>
      <c r="AE1300" s="389"/>
      <c r="AF1300" s="390"/>
      <c r="AG1300" s="388"/>
      <c r="AH1300" s="389"/>
      <c r="AI1300" s="389"/>
      <c r="AJ1300" s="389"/>
      <c r="AK1300" s="389"/>
      <c r="AL1300" s="389"/>
      <c r="AM1300" s="389"/>
      <c r="AN1300" s="389"/>
      <c r="AO1300" s="389"/>
      <c r="AP1300" s="389"/>
      <c r="AQ1300" s="389"/>
      <c r="AR1300" s="390"/>
      <c r="AS1300" s="363"/>
      <c r="AT1300" s="364"/>
      <c r="AU1300" s="364"/>
      <c r="AV1300" s="364"/>
      <c r="AW1300" s="364"/>
      <c r="AX1300" s="364"/>
      <c r="AY1300" s="364"/>
      <c r="AZ1300" s="364"/>
      <c r="BA1300" s="364"/>
      <c r="BB1300" s="364"/>
      <c r="BC1300" s="364"/>
      <c r="BD1300" s="387"/>
      <c r="BE1300" s="386"/>
      <c r="BF1300" s="364"/>
      <c r="BG1300" s="364"/>
      <c r="BH1300" s="364"/>
      <c r="BI1300" s="364"/>
      <c r="BJ1300" s="364"/>
      <c r="BK1300" s="364"/>
      <c r="BL1300" s="364"/>
      <c r="BM1300" s="364"/>
      <c r="BN1300" s="364"/>
      <c r="BO1300" s="364"/>
      <c r="BP1300" s="364"/>
      <c r="BQ1300" s="387"/>
      <c r="BR1300" s="386"/>
      <c r="BS1300" s="364"/>
      <c r="BT1300" s="364"/>
      <c r="BU1300" s="364"/>
      <c r="BV1300" s="364"/>
      <c r="BW1300" s="364"/>
      <c r="BX1300" s="364"/>
      <c r="BY1300" s="364"/>
      <c r="BZ1300" s="387"/>
      <c r="CA1300" s="270"/>
      <c r="CB1300" s="3" t="str">
        <f t="shared" si="189"/>
        <v>Riadok bude skrytý.</v>
      </c>
      <c r="CC1300" s="271" t="s">
        <v>832</v>
      </c>
      <c r="CW1300" s="30">
        <f t="shared" si="196"/>
        <v>1</v>
      </c>
      <c r="CX1300" s="30">
        <f t="shared" si="193"/>
        <v>1</v>
      </c>
      <c r="CY1300" s="30">
        <f t="shared" si="197"/>
        <v>0</v>
      </c>
      <c r="CZ1300" s="30">
        <f t="shared" si="184"/>
        <v>1</v>
      </c>
      <c r="DA1300" s="53">
        <f t="shared" si="198"/>
        <v>0</v>
      </c>
      <c r="DB1300" s="2">
        <f t="shared" si="185"/>
        <v>0</v>
      </c>
      <c r="DS1300" s="130">
        <f>SI!BY1300</f>
        <v>117</v>
      </c>
      <c r="DZ1300" s="131">
        <f>SI!BZ1300</f>
        <v>0</v>
      </c>
    </row>
    <row r="1301" spans="1:130" hidden="1" x14ac:dyDescent="0.25">
      <c r="A1301" s="141"/>
      <c r="B1301" s="549"/>
      <c r="C1301" s="550"/>
      <c r="D1301" s="550"/>
      <c r="E1301" s="550"/>
      <c r="F1301" s="550"/>
      <c r="G1301" s="550"/>
      <c r="H1301" s="550"/>
      <c r="I1301" s="550"/>
      <c r="J1301" s="550"/>
      <c r="K1301" s="550"/>
      <c r="L1301" s="550"/>
      <c r="M1301" s="550"/>
      <c r="N1301" s="550"/>
      <c r="O1301" s="550"/>
      <c r="P1301" s="550"/>
      <c r="Q1301" s="550"/>
      <c r="R1301" s="550"/>
      <c r="S1301" s="550"/>
      <c r="T1301" s="388"/>
      <c r="U1301" s="389"/>
      <c r="V1301" s="389"/>
      <c r="W1301" s="389"/>
      <c r="X1301" s="389"/>
      <c r="Y1301" s="389"/>
      <c r="Z1301" s="389"/>
      <c r="AA1301" s="389"/>
      <c r="AB1301" s="389"/>
      <c r="AC1301" s="389"/>
      <c r="AD1301" s="389"/>
      <c r="AE1301" s="389"/>
      <c r="AF1301" s="390"/>
      <c r="AG1301" s="388"/>
      <c r="AH1301" s="389"/>
      <c r="AI1301" s="389"/>
      <c r="AJ1301" s="389"/>
      <c r="AK1301" s="389"/>
      <c r="AL1301" s="389"/>
      <c r="AM1301" s="389"/>
      <c r="AN1301" s="389"/>
      <c r="AO1301" s="389"/>
      <c r="AP1301" s="389"/>
      <c r="AQ1301" s="389"/>
      <c r="AR1301" s="390"/>
      <c r="AS1301" s="363"/>
      <c r="AT1301" s="364"/>
      <c r="AU1301" s="364"/>
      <c r="AV1301" s="364"/>
      <c r="AW1301" s="364"/>
      <c r="AX1301" s="364"/>
      <c r="AY1301" s="364"/>
      <c r="AZ1301" s="364"/>
      <c r="BA1301" s="364"/>
      <c r="BB1301" s="364"/>
      <c r="BC1301" s="364"/>
      <c r="BD1301" s="387"/>
      <c r="BE1301" s="386"/>
      <c r="BF1301" s="364"/>
      <c r="BG1301" s="364"/>
      <c r="BH1301" s="364"/>
      <c r="BI1301" s="364"/>
      <c r="BJ1301" s="364"/>
      <c r="BK1301" s="364"/>
      <c r="BL1301" s="364"/>
      <c r="BM1301" s="364"/>
      <c r="BN1301" s="364"/>
      <c r="BO1301" s="364"/>
      <c r="BP1301" s="364"/>
      <c r="BQ1301" s="387"/>
      <c r="BR1301" s="386"/>
      <c r="BS1301" s="364"/>
      <c r="BT1301" s="364"/>
      <c r="BU1301" s="364"/>
      <c r="BV1301" s="364"/>
      <c r="BW1301" s="364"/>
      <c r="BX1301" s="364"/>
      <c r="BY1301" s="364"/>
      <c r="BZ1301" s="387"/>
      <c r="CA1301" s="270"/>
      <c r="CB1301" s="3" t="str">
        <f t="shared" si="189"/>
        <v>Riadok bude skrytý.</v>
      </c>
      <c r="CC1301" s="271" t="s">
        <v>832</v>
      </c>
      <c r="CW1301" s="30">
        <f t="shared" si="196"/>
        <v>1</v>
      </c>
      <c r="CX1301" s="30">
        <f t="shared" si="193"/>
        <v>1</v>
      </c>
      <c r="CY1301" s="30">
        <f t="shared" si="197"/>
        <v>0</v>
      </c>
      <c r="CZ1301" s="30">
        <f t="shared" si="184"/>
        <v>1</v>
      </c>
      <c r="DA1301" s="53">
        <f t="shared" si="198"/>
        <v>0</v>
      </c>
      <c r="DB1301" s="2">
        <f t="shared" si="185"/>
        <v>0</v>
      </c>
      <c r="DS1301" s="130">
        <f>SI!BY1301</f>
        <v>175</v>
      </c>
      <c r="DZ1301" s="131">
        <f>SI!BZ1301</f>
        <v>0</v>
      </c>
    </row>
    <row r="1302" spans="1:130" hidden="1" x14ac:dyDescent="0.25">
      <c r="A1302" s="141"/>
      <c r="B1302" s="549"/>
      <c r="C1302" s="550"/>
      <c r="D1302" s="550"/>
      <c r="E1302" s="550"/>
      <c r="F1302" s="550"/>
      <c r="G1302" s="550"/>
      <c r="H1302" s="550"/>
      <c r="I1302" s="550"/>
      <c r="J1302" s="550"/>
      <c r="K1302" s="550"/>
      <c r="L1302" s="550"/>
      <c r="M1302" s="550"/>
      <c r="N1302" s="550"/>
      <c r="O1302" s="550"/>
      <c r="P1302" s="550"/>
      <c r="Q1302" s="550"/>
      <c r="R1302" s="550"/>
      <c r="S1302" s="550"/>
      <c r="T1302" s="388"/>
      <c r="U1302" s="389"/>
      <c r="V1302" s="389"/>
      <c r="W1302" s="389"/>
      <c r="X1302" s="389"/>
      <c r="Y1302" s="389"/>
      <c r="Z1302" s="389"/>
      <c r="AA1302" s="389"/>
      <c r="AB1302" s="389"/>
      <c r="AC1302" s="389"/>
      <c r="AD1302" s="389"/>
      <c r="AE1302" s="389"/>
      <c r="AF1302" s="390"/>
      <c r="AG1302" s="388"/>
      <c r="AH1302" s="389"/>
      <c r="AI1302" s="389"/>
      <c r="AJ1302" s="389"/>
      <c r="AK1302" s="389"/>
      <c r="AL1302" s="389"/>
      <c r="AM1302" s="389"/>
      <c r="AN1302" s="389"/>
      <c r="AO1302" s="389"/>
      <c r="AP1302" s="389"/>
      <c r="AQ1302" s="389"/>
      <c r="AR1302" s="390"/>
      <c r="AS1302" s="363"/>
      <c r="AT1302" s="364"/>
      <c r="AU1302" s="364"/>
      <c r="AV1302" s="364"/>
      <c r="AW1302" s="364"/>
      <c r="AX1302" s="364"/>
      <c r="AY1302" s="364"/>
      <c r="AZ1302" s="364"/>
      <c r="BA1302" s="364"/>
      <c r="BB1302" s="364"/>
      <c r="BC1302" s="364"/>
      <c r="BD1302" s="387"/>
      <c r="BE1302" s="386"/>
      <c r="BF1302" s="364"/>
      <c r="BG1302" s="364"/>
      <c r="BH1302" s="364"/>
      <c r="BI1302" s="364"/>
      <c r="BJ1302" s="364"/>
      <c r="BK1302" s="364"/>
      <c r="BL1302" s="364"/>
      <c r="BM1302" s="364"/>
      <c r="BN1302" s="364"/>
      <c r="BO1302" s="364"/>
      <c r="BP1302" s="364"/>
      <c r="BQ1302" s="387"/>
      <c r="BR1302" s="386"/>
      <c r="BS1302" s="364"/>
      <c r="BT1302" s="364"/>
      <c r="BU1302" s="364"/>
      <c r="BV1302" s="364"/>
      <c r="BW1302" s="364"/>
      <c r="BX1302" s="364"/>
      <c r="BY1302" s="364"/>
      <c r="BZ1302" s="387"/>
      <c r="CA1302" s="270"/>
      <c r="CB1302" s="3" t="str">
        <f t="shared" si="189"/>
        <v>Riadok bude skrytý.</v>
      </c>
      <c r="CC1302" s="271" t="s">
        <v>832</v>
      </c>
      <c r="CW1302" s="30">
        <f t="shared" si="196"/>
        <v>1</v>
      </c>
      <c r="CX1302" s="30">
        <f t="shared" si="193"/>
        <v>1</v>
      </c>
      <c r="CY1302" s="30">
        <f t="shared" si="197"/>
        <v>0</v>
      </c>
      <c r="CZ1302" s="30">
        <f t="shared" si="184"/>
        <v>1</v>
      </c>
      <c r="DA1302" s="53">
        <f t="shared" si="198"/>
        <v>0</v>
      </c>
      <c r="DB1302" s="2">
        <f t="shared" si="185"/>
        <v>0</v>
      </c>
      <c r="DS1302" s="130">
        <f>SI!BY1302</f>
        <v>354</v>
      </c>
      <c r="DZ1302" s="131">
        <f>SI!BZ1302</f>
        <v>0</v>
      </c>
    </row>
    <row r="1303" spans="1:130" hidden="1" x14ac:dyDescent="0.25">
      <c r="A1303" s="141"/>
      <c r="B1303" s="549"/>
      <c r="C1303" s="550"/>
      <c r="D1303" s="550"/>
      <c r="E1303" s="550"/>
      <c r="F1303" s="550"/>
      <c r="G1303" s="550"/>
      <c r="H1303" s="550"/>
      <c r="I1303" s="550"/>
      <c r="J1303" s="550"/>
      <c r="K1303" s="550"/>
      <c r="L1303" s="550"/>
      <c r="M1303" s="550"/>
      <c r="N1303" s="550"/>
      <c r="O1303" s="550"/>
      <c r="P1303" s="550"/>
      <c r="Q1303" s="550"/>
      <c r="R1303" s="550"/>
      <c r="S1303" s="550"/>
      <c r="T1303" s="388"/>
      <c r="U1303" s="389"/>
      <c r="V1303" s="389"/>
      <c r="W1303" s="389"/>
      <c r="X1303" s="389"/>
      <c r="Y1303" s="389"/>
      <c r="Z1303" s="389"/>
      <c r="AA1303" s="389"/>
      <c r="AB1303" s="389"/>
      <c r="AC1303" s="389"/>
      <c r="AD1303" s="389"/>
      <c r="AE1303" s="389"/>
      <c r="AF1303" s="390"/>
      <c r="AG1303" s="388"/>
      <c r="AH1303" s="389"/>
      <c r="AI1303" s="389"/>
      <c r="AJ1303" s="389"/>
      <c r="AK1303" s="389"/>
      <c r="AL1303" s="389"/>
      <c r="AM1303" s="389"/>
      <c r="AN1303" s="389"/>
      <c r="AO1303" s="389"/>
      <c r="AP1303" s="389"/>
      <c r="AQ1303" s="389"/>
      <c r="AR1303" s="390"/>
      <c r="AS1303" s="363"/>
      <c r="AT1303" s="364"/>
      <c r="AU1303" s="364"/>
      <c r="AV1303" s="364"/>
      <c r="AW1303" s="364"/>
      <c r="AX1303" s="364"/>
      <c r="AY1303" s="364"/>
      <c r="AZ1303" s="364"/>
      <c r="BA1303" s="364"/>
      <c r="BB1303" s="364"/>
      <c r="BC1303" s="364"/>
      <c r="BD1303" s="387"/>
      <c r="BE1303" s="386"/>
      <c r="BF1303" s="364"/>
      <c r="BG1303" s="364"/>
      <c r="BH1303" s="364"/>
      <c r="BI1303" s="364"/>
      <c r="BJ1303" s="364"/>
      <c r="BK1303" s="364"/>
      <c r="BL1303" s="364"/>
      <c r="BM1303" s="364"/>
      <c r="BN1303" s="364"/>
      <c r="BO1303" s="364"/>
      <c r="BP1303" s="364"/>
      <c r="BQ1303" s="387"/>
      <c r="BR1303" s="386"/>
      <c r="BS1303" s="364"/>
      <c r="BT1303" s="364"/>
      <c r="BU1303" s="364"/>
      <c r="BV1303" s="364"/>
      <c r="BW1303" s="364"/>
      <c r="BX1303" s="364"/>
      <c r="BY1303" s="364"/>
      <c r="BZ1303" s="387"/>
      <c r="CA1303" s="270"/>
      <c r="CB1303" s="3" t="str">
        <f t="shared" si="189"/>
        <v>Riadok bude skrytý.</v>
      </c>
      <c r="CC1303" s="271" t="s">
        <v>832</v>
      </c>
      <c r="CW1303" s="30">
        <f t="shared" si="196"/>
        <v>1</v>
      </c>
      <c r="CX1303" s="30">
        <f t="shared" si="193"/>
        <v>1</v>
      </c>
      <c r="CY1303" s="30">
        <f t="shared" si="197"/>
        <v>0</v>
      </c>
      <c r="CZ1303" s="30">
        <f t="shared" si="184"/>
        <v>1</v>
      </c>
      <c r="DA1303" s="53">
        <f t="shared" si="198"/>
        <v>0</v>
      </c>
      <c r="DB1303" s="2">
        <f t="shared" si="185"/>
        <v>0</v>
      </c>
      <c r="DS1303" s="130">
        <f>SI!BY1303</f>
        <v>113</v>
      </c>
      <c r="DZ1303" s="131">
        <f>SI!BZ1303</f>
        <v>0</v>
      </c>
    </row>
    <row r="1304" spans="1:130" hidden="1" x14ac:dyDescent="0.25">
      <c r="A1304" s="141"/>
      <c r="B1304" s="549"/>
      <c r="C1304" s="550"/>
      <c r="D1304" s="550"/>
      <c r="E1304" s="550"/>
      <c r="F1304" s="550"/>
      <c r="G1304" s="550"/>
      <c r="H1304" s="550"/>
      <c r="I1304" s="550"/>
      <c r="J1304" s="550"/>
      <c r="K1304" s="550"/>
      <c r="L1304" s="550"/>
      <c r="M1304" s="550"/>
      <c r="N1304" s="550"/>
      <c r="O1304" s="550"/>
      <c r="P1304" s="550"/>
      <c r="Q1304" s="550"/>
      <c r="R1304" s="550"/>
      <c r="S1304" s="550"/>
      <c r="T1304" s="388"/>
      <c r="U1304" s="389"/>
      <c r="V1304" s="389"/>
      <c r="W1304" s="389"/>
      <c r="X1304" s="389"/>
      <c r="Y1304" s="389"/>
      <c r="Z1304" s="389"/>
      <c r="AA1304" s="389"/>
      <c r="AB1304" s="389"/>
      <c r="AC1304" s="389"/>
      <c r="AD1304" s="389"/>
      <c r="AE1304" s="389"/>
      <c r="AF1304" s="390"/>
      <c r="AG1304" s="388"/>
      <c r="AH1304" s="389"/>
      <c r="AI1304" s="389"/>
      <c r="AJ1304" s="389"/>
      <c r="AK1304" s="389"/>
      <c r="AL1304" s="389"/>
      <c r="AM1304" s="389"/>
      <c r="AN1304" s="389"/>
      <c r="AO1304" s="389"/>
      <c r="AP1304" s="389"/>
      <c r="AQ1304" s="389"/>
      <c r="AR1304" s="390"/>
      <c r="AS1304" s="363"/>
      <c r="AT1304" s="364"/>
      <c r="AU1304" s="364"/>
      <c r="AV1304" s="364"/>
      <c r="AW1304" s="364"/>
      <c r="AX1304" s="364"/>
      <c r="AY1304" s="364"/>
      <c r="AZ1304" s="364"/>
      <c r="BA1304" s="364"/>
      <c r="BB1304" s="364"/>
      <c r="BC1304" s="364"/>
      <c r="BD1304" s="387"/>
      <c r="BE1304" s="386"/>
      <c r="BF1304" s="364"/>
      <c r="BG1304" s="364"/>
      <c r="BH1304" s="364"/>
      <c r="BI1304" s="364"/>
      <c r="BJ1304" s="364"/>
      <c r="BK1304" s="364"/>
      <c r="BL1304" s="364"/>
      <c r="BM1304" s="364"/>
      <c r="BN1304" s="364"/>
      <c r="BO1304" s="364"/>
      <c r="BP1304" s="364"/>
      <c r="BQ1304" s="387"/>
      <c r="BR1304" s="386"/>
      <c r="BS1304" s="364"/>
      <c r="BT1304" s="364"/>
      <c r="BU1304" s="364"/>
      <c r="BV1304" s="364"/>
      <c r="BW1304" s="364"/>
      <c r="BX1304" s="364"/>
      <c r="BY1304" s="364"/>
      <c r="BZ1304" s="387"/>
      <c r="CA1304" s="270"/>
      <c r="CB1304" s="3" t="str">
        <f t="shared" si="189"/>
        <v>Riadok bude skrytý.</v>
      </c>
      <c r="CC1304" s="271" t="s">
        <v>832</v>
      </c>
      <c r="CW1304" s="30">
        <f t="shared" si="196"/>
        <v>1</v>
      </c>
      <c r="CX1304" s="30">
        <f t="shared" si="193"/>
        <v>1</v>
      </c>
      <c r="CY1304" s="30">
        <f t="shared" si="197"/>
        <v>0</v>
      </c>
      <c r="CZ1304" s="30">
        <f t="shared" si="184"/>
        <v>1</v>
      </c>
      <c r="DA1304" s="53">
        <f t="shared" si="198"/>
        <v>0</v>
      </c>
      <c r="DB1304" s="2">
        <f t="shared" si="185"/>
        <v>0</v>
      </c>
      <c r="DS1304" s="130">
        <f>SI!BY1304</f>
        <v>976</v>
      </c>
      <c r="DZ1304" s="131">
        <f>SI!BZ1304</f>
        <v>0</v>
      </c>
    </row>
    <row r="1305" spans="1:130" hidden="1" x14ac:dyDescent="0.25">
      <c r="A1305" s="141"/>
      <c r="B1305" s="549"/>
      <c r="C1305" s="550"/>
      <c r="D1305" s="550"/>
      <c r="E1305" s="550"/>
      <c r="F1305" s="550"/>
      <c r="G1305" s="550"/>
      <c r="H1305" s="550"/>
      <c r="I1305" s="550"/>
      <c r="J1305" s="550"/>
      <c r="K1305" s="550"/>
      <c r="L1305" s="550"/>
      <c r="M1305" s="550"/>
      <c r="N1305" s="550"/>
      <c r="O1305" s="550"/>
      <c r="P1305" s="550"/>
      <c r="Q1305" s="550"/>
      <c r="R1305" s="550"/>
      <c r="S1305" s="550"/>
      <c r="T1305" s="388"/>
      <c r="U1305" s="389"/>
      <c r="V1305" s="389"/>
      <c r="W1305" s="389"/>
      <c r="X1305" s="389"/>
      <c r="Y1305" s="389"/>
      <c r="Z1305" s="389"/>
      <c r="AA1305" s="389"/>
      <c r="AB1305" s="389"/>
      <c r="AC1305" s="389"/>
      <c r="AD1305" s="389"/>
      <c r="AE1305" s="389"/>
      <c r="AF1305" s="390"/>
      <c r="AG1305" s="388"/>
      <c r="AH1305" s="389"/>
      <c r="AI1305" s="389"/>
      <c r="AJ1305" s="389"/>
      <c r="AK1305" s="389"/>
      <c r="AL1305" s="389"/>
      <c r="AM1305" s="389"/>
      <c r="AN1305" s="389"/>
      <c r="AO1305" s="389"/>
      <c r="AP1305" s="389"/>
      <c r="AQ1305" s="389"/>
      <c r="AR1305" s="390"/>
      <c r="AS1305" s="363"/>
      <c r="AT1305" s="364"/>
      <c r="AU1305" s="364"/>
      <c r="AV1305" s="364"/>
      <c r="AW1305" s="364"/>
      <c r="AX1305" s="364"/>
      <c r="AY1305" s="364"/>
      <c r="AZ1305" s="364"/>
      <c r="BA1305" s="364"/>
      <c r="BB1305" s="364"/>
      <c r="BC1305" s="364"/>
      <c r="BD1305" s="387"/>
      <c r="BE1305" s="386"/>
      <c r="BF1305" s="364"/>
      <c r="BG1305" s="364"/>
      <c r="BH1305" s="364"/>
      <c r="BI1305" s="364"/>
      <c r="BJ1305" s="364"/>
      <c r="BK1305" s="364"/>
      <c r="BL1305" s="364"/>
      <c r="BM1305" s="364"/>
      <c r="BN1305" s="364"/>
      <c r="BO1305" s="364"/>
      <c r="BP1305" s="364"/>
      <c r="BQ1305" s="387"/>
      <c r="BR1305" s="386"/>
      <c r="BS1305" s="364"/>
      <c r="BT1305" s="364"/>
      <c r="BU1305" s="364"/>
      <c r="BV1305" s="364"/>
      <c r="BW1305" s="364"/>
      <c r="BX1305" s="364"/>
      <c r="BY1305" s="364"/>
      <c r="BZ1305" s="387"/>
      <c r="CA1305" s="270"/>
      <c r="CB1305" s="3" t="str">
        <f t="shared" si="189"/>
        <v>Riadok bude skrytý.</v>
      </c>
      <c r="CC1305" s="271" t="s">
        <v>832</v>
      </c>
      <c r="CW1305" s="30">
        <f t="shared" si="196"/>
        <v>1</v>
      </c>
      <c r="CX1305" s="30">
        <f t="shared" si="193"/>
        <v>1</v>
      </c>
      <c r="CY1305" s="30">
        <f t="shared" si="197"/>
        <v>0</v>
      </c>
      <c r="CZ1305" s="30">
        <f t="shared" si="184"/>
        <v>1</v>
      </c>
      <c r="DA1305" s="53">
        <f t="shared" si="198"/>
        <v>0</v>
      </c>
      <c r="DB1305" s="2">
        <f t="shared" si="185"/>
        <v>0</v>
      </c>
      <c r="DS1305" s="130">
        <f>SI!BY1305</f>
        <v>115</v>
      </c>
      <c r="DZ1305" s="131">
        <f>SI!BZ1305</f>
        <v>0</v>
      </c>
    </row>
    <row r="1306" spans="1:130" hidden="1" x14ac:dyDescent="0.25">
      <c r="A1306" s="141"/>
      <c r="B1306" s="549"/>
      <c r="C1306" s="550"/>
      <c r="D1306" s="550"/>
      <c r="E1306" s="550"/>
      <c r="F1306" s="550"/>
      <c r="G1306" s="550"/>
      <c r="H1306" s="550"/>
      <c r="I1306" s="550"/>
      <c r="J1306" s="550"/>
      <c r="K1306" s="550"/>
      <c r="L1306" s="550"/>
      <c r="M1306" s="550"/>
      <c r="N1306" s="550"/>
      <c r="O1306" s="550"/>
      <c r="P1306" s="550"/>
      <c r="Q1306" s="550"/>
      <c r="R1306" s="550"/>
      <c r="S1306" s="550"/>
      <c r="T1306" s="388"/>
      <c r="U1306" s="389"/>
      <c r="V1306" s="389"/>
      <c r="W1306" s="389"/>
      <c r="X1306" s="389"/>
      <c r="Y1306" s="389"/>
      <c r="Z1306" s="389"/>
      <c r="AA1306" s="389"/>
      <c r="AB1306" s="389"/>
      <c r="AC1306" s="389"/>
      <c r="AD1306" s="389"/>
      <c r="AE1306" s="389"/>
      <c r="AF1306" s="390"/>
      <c r="AG1306" s="388"/>
      <c r="AH1306" s="389"/>
      <c r="AI1306" s="389"/>
      <c r="AJ1306" s="389"/>
      <c r="AK1306" s="389"/>
      <c r="AL1306" s="389"/>
      <c r="AM1306" s="389"/>
      <c r="AN1306" s="389"/>
      <c r="AO1306" s="389"/>
      <c r="AP1306" s="389"/>
      <c r="AQ1306" s="389"/>
      <c r="AR1306" s="390"/>
      <c r="AS1306" s="363"/>
      <c r="AT1306" s="364"/>
      <c r="AU1306" s="364"/>
      <c r="AV1306" s="364"/>
      <c r="AW1306" s="364"/>
      <c r="AX1306" s="364"/>
      <c r="AY1306" s="364"/>
      <c r="AZ1306" s="364"/>
      <c r="BA1306" s="364"/>
      <c r="BB1306" s="364"/>
      <c r="BC1306" s="364"/>
      <c r="BD1306" s="387"/>
      <c r="BE1306" s="386"/>
      <c r="BF1306" s="364"/>
      <c r="BG1306" s="364"/>
      <c r="BH1306" s="364"/>
      <c r="BI1306" s="364"/>
      <c r="BJ1306" s="364"/>
      <c r="BK1306" s="364"/>
      <c r="BL1306" s="364"/>
      <c r="BM1306" s="364"/>
      <c r="BN1306" s="364"/>
      <c r="BO1306" s="364"/>
      <c r="BP1306" s="364"/>
      <c r="BQ1306" s="387"/>
      <c r="BR1306" s="386"/>
      <c r="BS1306" s="364"/>
      <c r="BT1306" s="364"/>
      <c r="BU1306" s="364"/>
      <c r="BV1306" s="364"/>
      <c r="BW1306" s="364"/>
      <c r="BX1306" s="364"/>
      <c r="BY1306" s="364"/>
      <c r="BZ1306" s="387"/>
      <c r="CA1306" s="270"/>
      <c r="CB1306" s="3" t="str">
        <f t="shared" si="189"/>
        <v>Riadok bude skrytý.</v>
      </c>
      <c r="CC1306" s="271" t="s">
        <v>832</v>
      </c>
      <c r="CW1306" s="30">
        <f t="shared" si="196"/>
        <v>1</v>
      </c>
      <c r="CX1306" s="30">
        <f t="shared" si="193"/>
        <v>1</v>
      </c>
      <c r="CY1306" s="30">
        <f t="shared" si="197"/>
        <v>0</v>
      </c>
      <c r="CZ1306" s="30">
        <f t="shared" si="184"/>
        <v>1</v>
      </c>
      <c r="DA1306" s="53">
        <f t="shared" si="198"/>
        <v>0</v>
      </c>
      <c r="DB1306" s="2">
        <f t="shared" si="185"/>
        <v>0</v>
      </c>
      <c r="DS1306" s="130">
        <f>SI!BY1306</f>
        <v>751</v>
      </c>
      <c r="DZ1306" s="131">
        <f>SI!BZ1306</f>
        <v>0</v>
      </c>
    </row>
    <row r="1307" spans="1:130" hidden="1" x14ac:dyDescent="0.25">
      <c r="A1307" s="141"/>
      <c r="B1307" s="1717"/>
      <c r="C1307" s="1718"/>
      <c r="D1307" s="1718"/>
      <c r="E1307" s="1718"/>
      <c r="F1307" s="1718"/>
      <c r="G1307" s="1718"/>
      <c r="H1307" s="1718"/>
      <c r="I1307" s="1718"/>
      <c r="J1307" s="1718"/>
      <c r="K1307" s="1718"/>
      <c r="L1307" s="1718"/>
      <c r="M1307" s="1718"/>
      <c r="N1307" s="1718"/>
      <c r="O1307" s="1718"/>
      <c r="P1307" s="1718"/>
      <c r="Q1307" s="1718"/>
      <c r="R1307" s="1718"/>
      <c r="S1307" s="1718"/>
      <c r="T1307" s="1249"/>
      <c r="U1307" s="1250"/>
      <c r="V1307" s="1250"/>
      <c r="W1307" s="1250"/>
      <c r="X1307" s="1250"/>
      <c r="Y1307" s="1250"/>
      <c r="Z1307" s="1250"/>
      <c r="AA1307" s="1250"/>
      <c r="AB1307" s="1250"/>
      <c r="AC1307" s="1250"/>
      <c r="AD1307" s="1250"/>
      <c r="AE1307" s="1250"/>
      <c r="AF1307" s="1251"/>
      <c r="AG1307" s="1249"/>
      <c r="AH1307" s="1250"/>
      <c r="AI1307" s="1250"/>
      <c r="AJ1307" s="1250"/>
      <c r="AK1307" s="1250"/>
      <c r="AL1307" s="1250"/>
      <c r="AM1307" s="1250"/>
      <c r="AN1307" s="1250"/>
      <c r="AO1307" s="1250"/>
      <c r="AP1307" s="1250"/>
      <c r="AQ1307" s="1250"/>
      <c r="AR1307" s="1251"/>
      <c r="AS1307" s="367"/>
      <c r="AT1307" s="368"/>
      <c r="AU1307" s="368"/>
      <c r="AV1307" s="368"/>
      <c r="AW1307" s="368"/>
      <c r="AX1307" s="368"/>
      <c r="AY1307" s="368"/>
      <c r="AZ1307" s="368"/>
      <c r="BA1307" s="368"/>
      <c r="BB1307" s="368"/>
      <c r="BC1307" s="368"/>
      <c r="BD1307" s="438"/>
      <c r="BE1307" s="457"/>
      <c r="BF1307" s="368"/>
      <c r="BG1307" s="368"/>
      <c r="BH1307" s="368"/>
      <c r="BI1307" s="368"/>
      <c r="BJ1307" s="368"/>
      <c r="BK1307" s="368"/>
      <c r="BL1307" s="368"/>
      <c r="BM1307" s="368"/>
      <c r="BN1307" s="368"/>
      <c r="BO1307" s="368"/>
      <c r="BP1307" s="368"/>
      <c r="BQ1307" s="438"/>
      <c r="BR1307" s="457"/>
      <c r="BS1307" s="368"/>
      <c r="BT1307" s="368"/>
      <c r="BU1307" s="368"/>
      <c r="BV1307" s="368"/>
      <c r="BW1307" s="368"/>
      <c r="BX1307" s="368"/>
      <c r="BY1307" s="368"/>
      <c r="BZ1307" s="438"/>
      <c r="CA1307" s="270"/>
      <c r="CB1307" s="3" t="str">
        <f t="shared" si="189"/>
        <v>Riadok bude skrytý.</v>
      </c>
      <c r="CC1307" s="271" t="s">
        <v>832</v>
      </c>
      <c r="CW1307" s="30">
        <f t="shared" si="196"/>
        <v>1</v>
      </c>
      <c r="CX1307" s="30">
        <f t="shared" si="193"/>
        <v>1</v>
      </c>
      <c r="CZ1307" s="30">
        <f t="shared" si="184"/>
        <v>1</v>
      </c>
      <c r="DA1307" s="52">
        <f>+IF(CW1307*CX1307=0,0,IF(CZ1307=0,0,1))</f>
        <v>1</v>
      </c>
      <c r="DB1307" s="2">
        <f t="shared" si="185"/>
        <v>0</v>
      </c>
      <c r="DS1307" s="130">
        <f>SI!BY1307</f>
        <v>137</v>
      </c>
      <c r="DZ1307" s="131">
        <f>SI!BZ1307</f>
        <v>0</v>
      </c>
    </row>
    <row r="1308" spans="1:130" hidden="1" x14ac:dyDescent="0.25">
      <c r="A1308" s="141"/>
      <c r="B1308" s="1689" t="s">
        <v>140</v>
      </c>
      <c r="C1308" s="1690"/>
      <c r="D1308" s="1690"/>
      <c r="E1308" s="1690"/>
      <c r="F1308" s="1690"/>
      <c r="G1308" s="1690"/>
      <c r="H1308" s="1690"/>
      <c r="I1308" s="1690"/>
      <c r="J1308" s="1690"/>
      <c r="K1308" s="1690"/>
      <c r="L1308" s="1690"/>
      <c r="M1308" s="1690"/>
      <c r="N1308" s="1690"/>
      <c r="O1308" s="1690"/>
      <c r="P1308" s="1690"/>
      <c r="Q1308" s="1690"/>
      <c r="R1308" s="1690"/>
      <c r="S1308" s="1690"/>
      <c r="T1308" s="1690"/>
      <c r="U1308" s="1690"/>
      <c r="V1308" s="1690"/>
      <c r="W1308" s="1690"/>
      <c r="X1308" s="1690"/>
      <c r="Y1308" s="1690"/>
      <c r="Z1308" s="1690"/>
      <c r="AA1308" s="1690"/>
      <c r="AB1308" s="1690"/>
      <c r="AC1308" s="1690"/>
      <c r="AD1308" s="1690"/>
      <c r="AE1308" s="1690"/>
      <c r="AF1308" s="1690"/>
      <c r="AG1308" s="1690"/>
      <c r="AH1308" s="1690"/>
      <c r="AI1308" s="1690"/>
      <c r="AJ1308" s="1690"/>
      <c r="AK1308" s="1690"/>
      <c r="AL1308" s="1690"/>
      <c r="AM1308" s="1690"/>
      <c r="AN1308" s="1690"/>
      <c r="AO1308" s="1690"/>
      <c r="AP1308" s="1690"/>
      <c r="AQ1308" s="1690"/>
      <c r="AR1308" s="1690"/>
      <c r="AS1308" s="1690"/>
      <c r="AT1308" s="1690"/>
      <c r="AU1308" s="1690"/>
      <c r="AV1308" s="1690"/>
      <c r="AW1308" s="1690"/>
      <c r="AX1308" s="1690"/>
      <c r="AY1308" s="1690"/>
      <c r="AZ1308" s="1690"/>
      <c r="BA1308" s="1690"/>
      <c r="BB1308" s="1690"/>
      <c r="BC1308" s="1690"/>
      <c r="BD1308" s="1690"/>
      <c r="BE1308" s="1690"/>
      <c r="BF1308" s="1690"/>
      <c r="BG1308" s="1690"/>
      <c r="BH1308" s="1690"/>
      <c r="BI1308" s="1690"/>
      <c r="BJ1308" s="1690"/>
      <c r="BK1308" s="1690"/>
      <c r="BL1308" s="1690"/>
      <c r="BM1308" s="1690"/>
      <c r="BN1308" s="1690"/>
      <c r="BO1308" s="1690"/>
      <c r="BP1308" s="1690"/>
      <c r="BQ1308" s="1690"/>
      <c r="BR1308" s="1690"/>
      <c r="BS1308" s="1690"/>
      <c r="BT1308" s="1690"/>
      <c r="BU1308" s="1690"/>
      <c r="BV1308" s="1690"/>
      <c r="BW1308" s="1690"/>
      <c r="BX1308" s="1690"/>
      <c r="BY1308" s="1690"/>
      <c r="BZ1308" s="1691"/>
      <c r="CA1308" s="270"/>
      <c r="CB1308" s="3" t="str">
        <f t="shared" si="189"/>
        <v>Riadok bude skrytý.</v>
      </c>
      <c r="CC1308" s="271" t="s">
        <v>832</v>
      </c>
      <c r="CW1308" s="30">
        <f t="shared" si="196"/>
        <v>1</v>
      </c>
      <c r="CX1308" s="30">
        <f t="shared" si="193"/>
        <v>1</v>
      </c>
      <c r="CZ1308" s="30">
        <f t="shared" si="184"/>
        <v>1</v>
      </c>
      <c r="DA1308" s="52">
        <f>+IF(CW1308*CX1308=0,0,IF(CZ1308=0,0,1))</f>
        <v>1</v>
      </c>
      <c r="DB1308" s="2">
        <f t="shared" si="185"/>
        <v>0</v>
      </c>
      <c r="DS1308" s="130">
        <f>SI!BY1308</f>
        <v>285</v>
      </c>
      <c r="DZ1308" s="131">
        <f>SI!BZ1308</f>
        <v>0</v>
      </c>
    </row>
    <row r="1309" spans="1:130" hidden="1" x14ac:dyDescent="0.25">
      <c r="A1309" s="141"/>
      <c r="B1309" s="561"/>
      <c r="C1309" s="562"/>
      <c r="D1309" s="562"/>
      <c r="E1309" s="562"/>
      <c r="F1309" s="562"/>
      <c r="G1309" s="562"/>
      <c r="H1309" s="562"/>
      <c r="I1309" s="562"/>
      <c r="J1309" s="562"/>
      <c r="K1309" s="562"/>
      <c r="L1309" s="562"/>
      <c r="M1309" s="562"/>
      <c r="N1309" s="562"/>
      <c r="O1309" s="562"/>
      <c r="P1309" s="562"/>
      <c r="Q1309" s="562"/>
      <c r="R1309" s="562"/>
      <c r="S1309" s="562"/>
      <c r="T1309" s="1674"/>
      <c r="U1309" s="1675"/>
      <c r="V1309" s="1675"/>
      <c r="W1309" s="1675"/>
      <c r="X1309" s="1675"/>
      <c r="Y1309" s="1675"/>
      <c r="Z1309" s="1675"/>
      <c r="AA1309" s="1675"/>
      <c r="AB1309" s="1675"/>
      <c r="AC1309" s="1675"/>
      <c r="AD1309" s="1675"/>
      <c r="AE1309" s="1675"/>
      <c r="AF1309" s="1676"/>
      <c r="AG1309" s="1674"/>
      <c r="AH1309" s="1675"/>
      <c r="AI1309" s="1675"/>
      <c r="AJ1309" s="1675"/>
      <c r="AK1309" s="1675"/>
      <c r="AL1309" s="1675"/>
      <c r="AM1309" s="1675"/>
      <c r="AN1309" s="1675"/>
      <c r="AO1309" s="1675"/>
      <c r="AP1309" s="1675"/>
      <c r="AQ1309" s="1675"/>
      <c r="AR1309" s="1676"/>
      <c r="AS1309" s="535"/>
      <c r="AT1309" s="536"/>
      <c r="AU1309" s="536"/>
      <c r="AV1309" s="536"/>
      <c r="AW1309" s="536"/>
      <c r="AX1309" s="536"/>
      <c r="AY1309" s="536"/>
      <c r="AZ1309" s="536"/>
      <c r="BA1309" s="536"/>
      <c r="BB1309" s="536"/>
      <c r="BC1309" s="536"/>
      <c r="BD1309" s="537"/>
      <c r="BE1309" s="1014"/>
      <c r="BF1309" s="536"/>
      <c r="BG1309" s="536"/>
      <c r="BH1309" s="536"/>
      <c r="BI1309" s="536"/>
      <c r="BJ1309" s="536"/>
      <c r="BK1309" s="536"/>
      <c r="BL1309" s="536"/>
      <c r="BM1309" s="536"/>
      <c r="BN1309" s="536"/>
      <c r="BO1309" s="536"/>
      <c r="BP1309" s="536"/>
      <c r="BQ1309" s="537"/>
      <c r="BR1309" s="1014"/>
      <c r="BS1309" s="536"/>
      <c r="BT1309" s="536"/>
      <c r="BU1309" s="536"/>
      <c r="BV1309" s="536"/>
      <c r="BW1309" s="536"/>
      <c r="BX1309" s="536"/>
      <c r="BY1309" s="536"/>
      <c r="BZ1309" s="537"/>
      <c r="CA1309" s="270"/>
      <c r="CB1309" s="3" t="str">
        <f t="shared" si="189"/>
        <v>Riadok bude skrytý.</v>
      </c>
      <c r="CC1309" s="271" t="s">
        <v>832</v>
      </c>
      <c r="CW1309" s="30">
        <f t="shared" si="196"/>
        <v>1</v>
      </c>
      <c r="CX1309" s="30">
        <f t="shared" si="193"/>
        <v>1</v>
      </c>
      <c r="CZ1309" s="30">
        <f t="shared" si="184"/>
        <v>1</v>
      </c>
      <c r="DA1309" s="52">
        <f>+IF(CW1309*CX1309=0,0,IF(CZ1309=0,0,1))</f>
        <v>1</v>
      </c>
      <c r="DB1309" s="2">
        <f t="shared" si="185"/>
        <v>0</v>
      </c>
      <c r="DS1309" s="130">
        <f>SI!BY1309</f>
        <v>174</v>
      </c>
      <c r="DZ1309" s="131">
        <f>SI!BZ1309</f>
        <v>0</v>
      </c>
    </row>
    <row r="1310" spans="1:130" hidden="1" x14ac:dyDescent="0.25">
      <c r="A1310" s="141"/>
      <c r="B1310" s="549"/>
      <c r="C1310" s="550"/>
      <c r="D1310" s="550"/>
      <c r="E1310" s="550"/>
      <c r="F1310" s="550"/>
      <c r="G1310" s="550"/>
      <c r="H1310" s="550"/>
      <c r="I1310" s="550"/>
      <c r="J1310" s="550"/>
      <c r="K1310" s="550"/>
      <c r="L1310" s="550"/>
      <c r="M1310" s="550"/>
      <c r="N1310" s="550"/>
      <c r="O1310" s="550"/>
      <c r="P1310" s="550"/>
      <c r="Q1310" s="550"/>
      <c r="R1310" s="550"/>
      <c r="S1310" s="550"/>
      <c r="T1310" s="388"/>
      <c r="U1310" s="389"/>
      <c r="V1310" s="389"/>
      <c r="W1310" s="389"/>
      <c r="X1310" s="389"/>
      <c r="Y1310" s="389"/>
      <c r="Z1310" s="389"/>
      <c r="AA1310" s="389"/>
      <c r="AB1310" s="389"/>
      <c r="AC1310" s="389"/>
      <c r="AD1310" s="389"/>
      <c r="AE1310" s="389"/>
      <c r="AF1310" s="390"/>
      <c r="AG1310" s="388"/>
      <c r="AH1310" s="389"/>
      <c r="AI1310" s="389"/>
      <c r="AJ1310" s="389"/>
      <c r="AK1310" s="389"/>
      <c r="AL1310" s="389"/>
      <c r="AM1310" s="389"/>
      <c r="AN1310" s="389"/>
      <c r="AO1310" s="389"/>
      <c r="AP1310" s="389"/>
      <c r="AQ1310" s="389"/>
      <c r="AR1310" s="390"/>
      <c r="AS1310" s="363"/>
      <c r="AT1310" s="364"/>
      <c r="AU1310" s="364"/>
      <c r="AV1310" s="364"/>
      <c r="AW1310" s="364"/>
      <c r="AX1310" s="364"/>
      <c r="AY1310" s="364"/>
      <c r="AZ1310" s="364"/>
      <c r="BA1310" s="364"/>
      <c r="BB1310" s="364"/>
      <c r="BC1310" s="364"/>
      <c r="BD1310" s="387"/>
      <c r="BE1310" s="386"/>
      <c r="BF1310" s="364"/>
      <c r="BG1310" s="364"/>
      <c r="BH1310" s="364"/>
      <c r="BI1310" s="364"/>
      <c r="BJ1310" s="364"/>
      <c r="BK1310" s="364"/>
      <c r="BL1310" s="364"/>
      <c r="BM1310" s="364"/>
      <c r="BN1310" s="364"/>
      <c r="BO1310" s="364"/>
      <c r="BP1310" s="364"/>
      <c r="BQ1310" s="387"/>
      <c r="BR1310" s="386"/>
      <c r="BS1310" s="364"/>
      <c r="BT1310" s="364"/>
      <c r="BU1310" s="364"/>
      <c r="BV1310" s="364"/>
      <c r="BW1310" s="364"/>
      <c r="BX1310" s="364"/>
      <c r="BY1310" s="364"/>
      <c r="BZ1310" s="387"/>
      <c r="CA1310" s="270"/>
      <c r="CB1310" s="3" t="str">
        <f t="shared" si="189"/>
        <v>Riadok bude skrytý.</v>
      </c>
      <c r="CC1310" s="271" t="s">
        <v>832</v>
      </c>
      <c r="CW1310" s="30">
        <f t="shared" si="196"/>
        <v>1</v>
      </c>
      <c r="CX1310" s="30">
        <f t="shared" si="193"/>
        <v>1</v>
      </c>
      <c r="CY1310" s="30">
        <f t="shared" ref="CY1310:CY1317" si="199">+IF(B1310="",0,1)</f>
        <v>0</v>
      </c>
      <c r="CZ1310" s="30">
        <f t="shared" ref="CZ1310:CZ1373" si="200">IF(CC1310="",1,IF(CC1310="Chcem skryť riadok.",0,1))</f>
        <v>1</v>
      </c>
      <c r="DA1310" s="53">
        <f t="shared" ref="DA1310:DA1317" si="201">+IF(CW1310*CX1310*CY1310=0,0,IF(CZ1310=0,0,1))</f>
        <v>0</v>
      </c>
      <c r="DB1310" s="2">
        <f t="shared" si="185"/>
        <v>0</v>
      </c>
      <c r="DS1310" s="130">
        <f>SI!BY1310</f>
        <v>431</v>
      </c>
      <c r="DZ1310" s="131">
        <f>SI!BZ1310</f>
        <v>0</v>
      </c>
    </row>
    <row r="1311" spans="1:130" hidden="1" x14ac:dyDescent="0.25">
      <c r="A1311" s="141"/>
      <c r="B1311" s="549"/>
      <c r="C1311" s="550"/>
      <c r="D1311" s="550"/>
      <c r="E1311" s="550"/>
      <c r="F1311" s="550"/>
      <c r="G1311" s="550"/>
      <c r="H1311" s="550"/>
      <c r="I1311" s="550"/>
      <c r="J1311" s="550"/>
      <c r="K1311" s="550"/>
      <c r="L1311" s="550"/>
      <c r="M1311" s="550"/>
      <c r="N1311" s="550"/>
      <c r="O1311" s="550"/>
      <c r="P1311" s="550"/>
      <c r="Q1311" s="550"/>
      <c r="R1311" s="550"/>
      <c r="S1311" s="550"/>
      <c r="T1311" s="388"/>
      <c r="U1311" s="389"/>
      <c r="V1311" s="389"/>
      <c r="W1311" s="389"/>
      <c r="X1311" s="389"/>
      <c r="Y1311" s="389"/>
      <c r="Z1311" s="389"/>
      <c r="AA1311" s="389"/>
      <c r="AB1311" s="389"/>
      <c r="AC1311" s="389"/>
      <c r="AD1311" s="389"/>
      <c r="AE1311" s="389"/>
      <c r="AF1311" s="390"/>
      <c r="AG1311" s="388"/>
      <c r="AH1311" s="389"/>
      <c r="AI1311" s="389"/>
      <c r="AJ1311" s="389"/>
      <c r="AK1311" s="389"/>
      <c r="AL1311" s="389"/>
      <c r="AM1311" s="389"/>
      <c r="AN1311" s="389"/>
      <c r="AO1311" s="389"/>
      <c r="AP1311" s="389"/>
      <c r="AQ1311" s="389"/>
      <c r="AR1311" s="390"/>
      <c r="AS1311" s="363"/>
      <c r="AT1311" s="364"/>
      <c r="AU1311" s="364"/>
      <c r="AV1311" s="364"/>
      <c r="AW1311" s="364"/>
      <c r="AX1311" s="364"/>
      <c r="AY1311" s="364"/>
      <c r="AZ1311" s="364"/>
      <c r="BA1311" s="364"/>
      <c r="BB1311" s="364"/>
      <c r="BC1311" s="364"/>
      <c r="BD1311" s="387"/>
      <c r="BE1311" s="386"/>
      <c r="BF1311" s="364"/>
      <c r="BG1311" s="364"/>
      <c r="BH1311" s="364"/>
      <c r="BI1311" s="364"/>
      <c r="BJ1311" s="364"/>
      <c r="BK1311" s="364"/>
      <c r="BL1311" s="364"/>
      <c r="BM1311" s="364"/>
      <c r="BN1311" s="364"/>
      <c r="BO1311" s="364"/>
      <c r="BP1311" s="364"/>
      <c r="BQ1311" s="387"/>
      <c r="BR1311" s="386"/>
      <c r="BS1311" s="364"/>
      <c r="BT1311" s="364"/>
      <c r="BU1311" s="364"/>
      <c r="BV1311" s="364"/>
      <c r="BW1311" s="364"/>
      <c r="BX1311" s="364"/>
      <c r="BY1311" s="364"/>
      <c r="BZ1311" s="387"/>
      <c r="CA1311" s="270"/>
      <c r="CB1311" s="3" t="str">
        <f t="shared" si="189"/>
        <v>Riadok bude skrytý.</v>
      </c>
      <c r="CC1311" s="271" t="s">
        <v>832</v>
      </c>
      <c r="CW1311" s="30">
        <f t="shared" si="196"/>
        <v>1</v>
      </c>
      <c r="CX1311" s="30">
        <f t="shared" ref="CX1311:CX1330" si="202">+IF($J$1278="nemá",0,1)</f>
        <v>1</v>
      </c>
      <c r="CY1311" s="30">
        <f t="shared" si="199"/>
        <v>0</v>
      </c>
      <c r="CZ1311" s="30">
        <f t="shared" si="200"/>
        <v>1</v>
      </c>
      <c r="DA1311" s="53">
        <f t="shared" si="201"/>
        <v>0</v>
      </c>
      <c r="DB1311" s="2">
        <f t="shared" si="185"/>
        <v>0</v>
      </c>
      <c r="DS1311" s="130">
        <f>SI!BY1311</f>
        <v>139</v>
      </c>
      <c r="DZ1311" s="131">
        <f>SI!BZ1311</f>
        <v>0</v>
      </c>
    </row>
    <row r="1312" spans="1:130" hidden="1" x14ac:dyDescent="0.25">
      <c r="A1312" s="141"/>
      <c r="B1312" s="549"/>
      <c r="C1312" s="550"/>
      <c r="D1312" s="550"/>
      <c r="E1312" s="550"/>
      <c r="F1312" s="550"/>
      <c r="G1312" s="550"/>
      <c r="H1312" s="550"/>
      <c r="I1312" s="550"/>
      <c r="J1312" s="550"/>
      <c r="K1312" s="550"/>
      <c r="L1312" s="550"/>
      <c r="M1312" s="550"/>
      <c r="N1312" s="550"/>
      <c r="O1312" s="550"/>
      <c r="P1312" s="550"/>
      <c r="Q1312" s="550"/>
      <c r="R1312" s="550"/>
      <c r="S1312" s="550"/>
      <c r="T1312" s="388"/>
      <c r="U1312" s="389"/>
      <c r="V1312" s="389"/>
      <c r="W1312" s="389"/>
      <c r="X1312" s="389"/>
      <c r="Y1312" s="389"/>
      <c r="Z1312" s="389"/>
      <c r="AA1312" s="389"/>
      <c r="AB1312" s="389"/>
      <c r="AC1312" s="389"/>
      <c r="AD1312" s="389"/>
      <c r="AE1312" s="389"/>
      <c r="AF1312" s="390"/>
      <c r="AG1312" s="388"/>
      <c r="AH1312" s="389"/>
      <c r="AI1312" s="389"/>
      <c r="AJ1312" s="389"/>
      <c r="AK1312" s="389"/>
      <c r="AL1312" s="389"/>
      <c r="AM1312" s="389"/>
      <c r="AN1312" s="389"/>
      <c r="AO1312" s="389"/>
      <c r="AP1312" s="389"/>
      <c r="AQ1312" s="389"/>
      <c r="AR1312" s="390"/>
      <c r="AS1312" s="363"/>
      <c r="AT1312" s="364"/>
      <c r="AU1312" s="364"/>
      <c r="AV1312" s="364"/>
      <c r="AW1312" s="364"/>
      <c r="AX1312" s="364"/>
      <c r="AY1312" s="364"/>
      <c r="AZ1312" s="364"/>
      <c r="BA1312" s="364"/>
      <c r="BB1312" s="364"/>
      <c r="BC1312" s="364"/>
      <c r="BD1312" s="387"/>
      <c r="BE1312" s="386"/>
      <c r="BF1312" s="364"/>
      <c r="BG1312" s="364"/>
      <c r="BH1312" s="364"/>
      <c r="BI1312" s="364"/>
      <c r="BJ1312" s="364"/>
      <c r="BK1312" s="364"/>
      <c r="BL1312" s="364"/>
      <c r="BM1312" s="364"/>
      <c r="BN1312" s="364"/>
      <c r="BO1312" s="364"/>
      <c r="BP1312" s="364"/>
      <c r="BQ1312" s="387"/>
      <c r="BR1312" s="386"/>
      <c r="BS1312" s="364"/>
      <c r="BT1312" s="364"/>
      <c r="BU1312" s="364"/>
      <c r="BV1312" s="364"/>
      <c r="BW1312" s="364"/>
      <c r="BX1312" s="364"/>
      <c r="BY1312" s="364"/>
      <c r="BZ1312" s="387"/>
      <c r="CA1312" s="270"/>
      <c r="CB1312" s="3" t="str">
        <f t="shared" si="189"/>
        <v>Riadok bude skrytý.</v>
      </c>
      <c r="CC1312" s="271" t="s">
        <v>832</v>
      </c>
      <c r="CW1312" s="30">
        <f t="shared" si="196"/>
        <v>1</v>
      </c>
      <c r="CX1312" s="30">
        <f t="shared" si="202"/>
        <v>1</v>
      </c>
      <c r="CY1312" s="30">
        <f t="shared" si="199"/>
        <v>0</v>
      </c>
      <c r="CZ1312" s="30">
        <f t="shared" si="200"/>
        <v>1</v>
      </c>
      <c r="DA1312" s="53">
        <f t="shared" si="201"/>
        <v>0</v>
      </c>
      <c r="DB1312" s="2">
        <f t="shared" si="185"/>
        <v>0</v>
      </c>
      <c r="DS1312" s="130">
        <f>SI!BY1312</f>
        <v>223</v>
      </c>
      <c r="DZ1312" s="131">
        <f>SI!BZ1312</f>
        <v>0</v>
      </c>
    </row>
    <row r="1313" spans="1:130" hidden="1" x14ac:dyDescent="0.25">
      <c r="A1313" s="141"/>
      <c r="B1313" s="549"/>
      <c r="C1313" s="550"/>
      <c r="D1313" s="550"/>
      <c r="E1313" s="550"/>
      <c r="F1313" s="550"/>
      <c r="G1313" s="550"/>
      <c r="H1313" s="550"/>
      <c r="I1313" s="550"/>
      <c r="J1313" s="550"/>
      <c r="K1313" s="550"/>
      <c r="L1313" s="550"/>
      <c r="M1313" s="550"/>
      <c r="N1313" s="550"/>
      <c r="O1313" s="550"/>
      <c r="P1313" s="550"/>
      <c r="Q1313" s="550"/>
      <c r="R1313" s="550"/>
      <c r="S1313" s="550"/>
      <c r="T1313" s="388"/>
      <c r="U1313" s="389"/>
      <c r="V1313" s="389"/>
      <c r="W1313" s="389"/>
      <c r="X1313" s="389"/>
      <c r="Y1313" s="389"/>
      <c r="Z1313" s="389"/>
      <c r="AA1313" s="389"/>
      <c r="AB1313" s="389"/>
      <c r="AC1313" s="389"/>
      <c r="AD1313" s="389"/>
      <c r="AE1313" s="389"/>
      <c r="AF1313" s="390"/>
      <c r="AG1313" s="388"/>
      <c r="AH1313" s="389"/>
      <c r="AI1313" s="389"/>
      <c r="AJ1313" s="389"/>
      <c r="AK1313" s="389"/>
      <c r="AL1313" s="389"/>
      <c r="AM1313" s="389"/>
      <c r="AN1313" s="389"/>
      <c r="AO1313" s="389"/>
      <c r="AP1313" s="389"/>
      <c r="AQ1313" s="389"/>
      <c r="AR1313" s="390"/>
      <c r="AS1313" s="363"/>
      <c r="AT1313" s="364"/>
      <c r="AU1313" s="364"/>
      <c r="AV1313" s="364"/>
      <c r="AW1313" s="364"/>
      <c r="AX1313" s="364"/>
      <c r="AY1313" s="364"/>
      <c r="AZ1313" s="364"/>
      <c r="BA1313" s="364"/>
      <c r="BB1313" s="364"/>
      <c r="BC1313" s="364"/>
      <c r="BD1313" s="387"/>
      <c r="BE1313" s="386"/>
      <c r="BF1313" s="364"/>
      <c r="BG1313" s="364"/>
      <c r="BH1313" s="364"/>
      <c r="BI1313" s="364"/>
      <c r="BJ1313" s="364"/>
      <c r="BK1313" s="364"/>
      <c r="BL1313" s="364"/>
      <c r="BM1313" s="364"/>
      <c r="BN1313" s="364"/>
      <c r="BO1313" s="364"/>
      <c r="BP1313" s="364"/>
      <c r="BQ1313" s="387"/>
      <c r="BR1313" s="386"/>
      <c r="BS1313" s="364"/>
      <c r="BT1313" s="364"/>
      <c r="BU1313" s="364"/>
      <c r="BV1313" s="364"/>
      <c r="BW1313" s="364"/>
      <c r="BX1313" s="364"/>
      <c r="BY1313" s="364"/>
      <c r="BZ1313" s="387"/>
      <c r="CA1313" s="270"/>
      <c r="CB1313" s="3" t="str">
        <f t="shared" si="189"/>
        <v>Riadok bude skrytý.</v>
      </c>
      <c r="CC1313" s="271" t="s">
        <v>832</v>
      </c>
      <c r="CW1313" s="30">
        <f t="shared" si="196"/>
        <v>1</v>
      </c>
      <c r="CX1313" s="30">
        <f t="shared" si="202"/>
        <v>1</v>
      </c>
      <c r="CY1313" s="30">
        <f t="shared" si="199"/>
        <v>0</v>
      </c>
      <c r="CZ1313" s="30">
        <f t="shared" si="200"/>
        <v>1</v>
      </c>
      <c r="DA1313" s="53">
        <f t="shared" si="201"/>
        <v>0</v>
      </c>
      <c r="DB1313" s="2">
        <f t="shared" si="185"/>
        <v>0</v>
      </c>
      <c r="DS1313" s="130">
        <f>SI!BY1313</f>
        <v>116</v>
      </c>
      <c r="DZ1313" s="131">
        <f>SI!BZ1313</f>
        <v>0</v>
      </c>
    </row>
    <row r="1314" spans="1:130" hidden="1" x14ac:dyDescent="0.25">
      <c r="A1314" s="141"/>
      <c r="B1314" s="549"/>
      <c r="C1314" s="550"/>
      <c r="D1314" s="550"/>
      <c r="E1314" s="550"/>
      <c r="F1314" s="550"/>
      <c r="G1314" s="550"/>
      <c r="H1314" s="550"/>
      <c r="I1314" s="550"/>
      <c r="J1314" s="550"/>
      <c r="K1314" s="550"/>
      <c r="L1314" s="550"/>
      <c r="M1314" s="550"/>
      <c r="N1314" s="550"/>
      <c r="O1314" s="550"/>
      <c r="P1314" s="550"/>
      <c r="Q1314" s="550"/>
      <c r="R1314" s="550"/>
      <c r="S1314" s="550"/>
      <c r="T1314" s="388"/>
      <c r="U1314" s="389"/>
      <c r="V1314" s="389"/>
      <c r="W1314" s="389"/>
      <c r="X1314" s="389"/>
      <c r="Y1314" s="389"/>
      <c r="Z1314" s="389"/>
      <c r="AA1314" s="389"/>
      <c r="AB1314" s="389"/>
      <c r="AC1314" s="389"/>
      <c r="AD1314" s="389"/>
      <c r="AE1314" s="389"/>
      <c r="AF1314" s="390"/>
      <c r="AG1314" s="388"/>
      <c r="AH1314" s="389"/>
      <c r="AI1314" s="389"/>
      <c r="AJ1314" s="389"/>
      <c r="AK1314" s="389"/>
      <c r="AL1314" s="389"/>
      <c r="AM1314" s="389"/>
      <c r="AN1314" s="389"/>
      <c r="AO1314" s="389"/>
      <c r="AP1314" s="389"/>
      <c r="AQ1314" s="389"/>
      <c r="AR1314" s="390"/>
      <c r="AS1314" s="363"/>
      <c r="AT1314" s="364"/>
      <c r="AU1314" s="364"/>
      <c r="AV1314" s="364"/>
      <c r="AW1314" s="364"/>
      <c r="AX1314" s="364"/>
      <c r="AY1314" s="364"/>
      <c r="AZ1314" s="364"/>
      <c r="BA1314" s="364"/>
      <c r="BB1314" s="364"/>
      <c r="BC1314" s="364"/>
      <c r="BD1314" s="387"/>
      <c r="BE1314" s="386"/>
      <c r="BF1314" s="364"/>
      <c r="BG1314" s="364"/>
      <c r="BH1314" s="364"/>
      <c r="BI1314" s="364"/>
      <c r="BJ1314" s="364"/>
      <c r="BK1314" s="364"/>
      <c r="BL1314" s="364"/>
      <c r="BM1314" s="364"/>
      <c r="BN1314" s="364"/>
      <c r="BO1314" s="364"/>
      <c r="BP1314" s="364"/>
      <c r="BQ1314" s="387"/>
      <c r="BR1314" s="386"/>
      <c r="BS1314" s="364"/>
      <c r="BT1314" s="364"/>
      <c r="BU1314" s="364"/>
      <c r="BV1314" s="364"/>
      <c r="BW1314" s="364"/>
      <c r="BX1314" s="364"/>
      <c r="BY1314" s="364"/>
      <c r="BZ1314" s="387"/>
      <c r="CA1314" s="270"/>
      <c r="CB1314" s="3" t="str">
        <f t="shared" si="189"/>
        <v>Riadok bude skrytý.</v>
      </c>
      <c r="CC1314" s="271" t="s">
        <v>832</v>
      </c>
      <c r="CW1314" s="30">
        <f t="shared" si="196"/>
        <v>1</v>
      </c>
      <c r="CX1314" s="30">
        <f t="shared" si="202"/>
        <v>1</v>
      </c>
      <c r="CY1314" s="30">
        <f t="shared" si="199"/>
        <v>0</v>
      </c>
      <c r="CZ1314" s="30">
        <f t="shared" si="200"/>
        <v>1</v>
      </c>
      <c r="DA1314" s="53">
        <f t="shared" si="201"/>
        <v>0</v>
      </c>
      <c r="DB1314" s="2">
        <f t="shared" si="185"/>
        <v>0</v>
      </c>
      <c r="DS1314" s="130">
        <f>SI!BY1314</f>
        <v>140</v>
      </c>
      <c r="DZ1314" s="131">
        <f>SI!BZ1314</f>
        <v>0</v>
      </c>
    </row>
    <row r="1315" spans="1:130" hidden="1" x14ac:dyDescent="0.25">
      <c r="A1315" s="141"/>
      <c r="B1315" s="549"/>
      <c r="C1315" s="550"/>
      <c r="D1315" s="550"/>
      <c r="E1315" s="550"/>
      <c r="F1315" s="550"/>
      <c r="G1315" s="550"/>
      <c r="H1315" s="550"/>
      <c r="I1315" s="550"/>
      <c r="J1315" s="550"/>
      <c r="K1315" s="550"/>
      <c r="L1315" s="550"/>
      <c r="M1315" s="550"/>
      <c r="N1315" s="550"/>
      <c r="O1315" s="550"/>
      <c r="P1315" s="550"/>
      <c r="Q1315" s="550"/>
      <c r="R1315" s="550"/>
      <c r="S1315" s="550"/>
      <c r="T1315" s="388"/>
      <c r="U1315" s="389"/>
      <c r="V1315" s="389"/>
      <c r="W1315" s="389"/>
      <c r="X1315" s="389"/>
      <c r="Y1315" s="389"/>
      <c r="Z1315" s="389"/>
      <c r="AA1315" s="389"/>
      <c r="AB1315" s="389"/>
      <c r="AC1315" s="389"/>
      <c r="AD1315" s="389"/>
      <c r="AE1315" s="389"/>
      <c r="AF1315" s="390"/>
      <c r="AG1315" s="388"/>
      <c r="AH1315" s="389"/>
      <c r="AI1315" s="389"/>
      <c r="AJ1315" s="389"/>
      <c r="AK1315" s="389"/>
      <c r="AL1315" s="389"/>
      <c r="AM1315" s="389"/>
      <c r="AN1315" s="389"/>
      <c r="AO1315" s="389"/>
      <c r="AP1315" s="389"/>
      <c r="AQ1315" s="389"/>
      <c r="AR1315" s="390"/>
      <c r="AS1315" s="363"/>
      <c r="AT1315" s="364"/>
      <c r="AU1315" s="364"/>
      <c r="AV1315" s="364"/>
      <c r="AW1315" s="364"/>
      <c r="AX1315" s="364"/>
      <c r="AY1315" s="364"/>
      <c r="AZ1315" s="364"/>
      <c r="BA1315" s="364"/>
      <c r="BB1315" s="364"/>
      <c r="BC1315" s="364"/>
      <c r="BD1315" s="387"/>
      <c r="BE1315" s="386"/>
      <c r="BF1315" s="364"/>
      <c r="BG1315" s="364"/>
      <c r="BH1315" s="364"/>
      <c r="BI1315" s="364"/>
      <c r="BJ1315" s="364"/>
      <c r="BK1315" s="364"/>
      <c r="BL1315" s="364"/>
      <c r="BM1315" s="364"/>
      <c r="BN1315" s="364"/>
      <c r="BO1315" s="364"/>
      <c r="BP1315" s="364"/>
      <c r="BQ1315" s="387"/>
      <c r="BR1315" s="386"/>
      <c r="BS1315" s="364"/>
      <c r="BT1315" s="364"/>
      <c r="BU1315" s="364"/>
      <c r="BV1315" s="364"/>
      <c r="BW1315" s="364"/>
      <c r="BX1315" s="364"/>
      <c r="BY1315" s="364"/>
      <c r="BZ1315" s="387"/>
      <c r="CA1315" s="270"/>
      <c r="CB1315" s="3" t="str">
        <f t="shared" si="189"/>
        <v>Riadok bude skrytý.</v>
      </c>
      <c r="CC1315" s="271" t="s">
        <v>832</v>
      </c>
      <c r="CW1315" s="30">
        <f t="shared" si="196"/>
        <v>1</v>
      </c>
      <c r="CX1315" s="30">
        <f t="shared" si="202"/>
        <v>1</v>
      </c>
      <c r="CY1315" s="30">
        <f t="shared" si="199"/>
        <v>0</v>
      </c>
      <c r="CZ1315" s="30">
        <f t="shared" si="200"/>
        <v>1</v>
      </c>
      <c r="DA1315" s="53">
        <f t="shared" si="201"/>
        <v>0</v>
      </c>
      <c r="DB1315" s="2">
        <f t="shared" si="185"/>
        <v>0</v>
      </c>
      <c r="DS1315" s="130">
        <f>SI!BY1315</f>
        <v>469</v>
      </c>
      <c r="DZ1315" s="131">
        <f>SI!BZ1315</f>
        <v>0</v>
      </c>
    </row>
    <row r="1316" spans="1:130" hidden="1" x14ac:dyDescent="0.25">
      <c r="A1316" s="141"/>
      <c r="B1316" s="549"/>
      <c r="C1316" s="550"/>
      <c r="D1316" s="550"/>
      <c r="E1316" s="550"/>
      <c r="F1316" s="550"/>
      <c r="G1316" s="550"/>
      <c r="H1316" s="550"/>
      <c r="I1316" s="550"/>
      <c r="J1316" s="550"/>
      <c r="K1316" s="550"/>
      <c r="L1316" s="550"/>
      <c r="M1316" s="550"/>
      <c r="N1316" s="550"/>
      <c r="O1316" s="550"/>
      <c r="P1316" s="550"/>
      <c r="Q1316" s="550"/>
      <c r="R1316" s="550"/>
      <c r="S1316" s="550"/>
      <c r="T1316" s="388"/>
      <c r="U1316" s="389"/>
      <c r="V1316" s="389"/>
      <c r="W1316" s="389"/>
      <c r="X1316" s="389"/>
      <c r="Y1316" s="389"/>
      <c r="Z1316" s="389"/>
      <c r="AA1316" s="389"/>
      <c r="AB1316" s="389"/>
      <c r="AC1316" s="389"/>
      <c r="AD1316" s="389"/>
      <c r="AE1316" s="389"/>
      <c r="AF1316" s="390"/>
      <c r="AG1316" s="388"/>
      <c r="AH1316" s="389"/>
      <c r="AI1316" s="389"/>
      <c r="AJ1316" s="389"/>
      <c r="AK1316" s="389"/>
      <c r="AL1316" s="389"/>
      <c r="AM1316" s="389"/>
      <c r="AN1316" s="389"/>
      <c r="AO1316" s="389"/>
      <c r="AP1316" s="389"/>
      <c r="AQ1316" s="389"/>
      <c r="AR1316" s="390"/>
      <c r="AS1316" s="363"/>
      <c r="AT1316" s="364"/>
      <c r="AU1316" s="364"/>
      <c r="AV1316" s="364"/>
      <c r="AW1316" s="364"/>
      <c r="AX1316" s="364"/>
      <c r="AY1316" s="364"/>
      <c r="AZ1316" s="364"/>
      <c r="BA1316" s="364"/>
      <c r="BB1316" s="364"/>
      <c r="BC1316" s="364"/>
      <c r="BD1316" s="387"/>
      <c r="BE1316" s="386"/>
      <c r="BF1316" s="364"/>
      <c r="BG1316" s="364"/>
      <c r="BH1316" s="364"/>
      <c r="BI1316" s="364"/>
      <c r="BJ1316" s="364"/>
      <c r="BK1316" s="364"/>
      <c r="BL1316" s="364"/>
      <c r="BM1316" s="364"/>
      <c r="BN1316" s="364"/>
      <c r="BO1316" s="364"/>
      <c r="BP1316" s="364"/>
      <c r="BQ1316" s="387"/>
      <c r="BR1316" s="386"/>
      <c r="BS1316" s="364"/>
      <c r="BT1316" s="364"/>
      <c r="BU1316" s="364"/>
      <c r="BV1316" s="364"/>
      <c r="BW1316" s="364"/>
      <c r="BX1316" s="364"/>
      <c r="BY1316" s="364"/>
      <c r="BZ1316" s="387"/>
      <c r="CA1316" s="270"/>
      <c r="CB1316" s="3" t="str">
        <f t="shared" si="189"/>
        <v>Riadok bude skrytý.</v>
      </c>
      <c r="CC1316" s="271" t="s">
        <v>832</v>
      </c>
      <c r="CW1316" s="30">
        <f t="shared" si="196"/>
        <v>1</v>
      </c>
      <c r="CX1316" s="30">
        <f t="shared" si="202"/>
        <v>1</v>
      </c>
      <c r="CY1316" s="30">
        <f t="shared" si="199"/>
        <v>0</v>
      </c>
      <c r="CZ1316" s="30">
        <f t="shared" si="200"/>
        <v>1</v>
      </c>
      <c r="DA1316" s="53">
        <f t="shared" si="201"/>
        <v>0</v>
      </c>
      <c r="DB1316" s="2">
        <f t="shared" si="185"/>
        <v>0</v>
      </c>
      <c r="DS1316" s="130">
        <f>SI!BY1316</f>
        <v>157</v>
      </c>
      <c r="DZ1316" s="131">
        <f>SI!BZ1316</f>
        <v>0</v>
      </c>
    </row>
    <row r="1317" spans="1:130" hidden="1" x14ac:dyDescent="0.25">
      <c r="A1317" s="141"/>
      <c r="B1317" s="549"/>
      <c r="C1317" s="550"/>
      <c r="D1317" s="550"/>
      <c r="E1317" s="550"/>
      <c r="F1317" s="550"/>
      <c r="G1317" s="550"/>
      <c r="H1317" s="550"/>
      <c r="I1317" s="550"/>
      <c r="J1317" s="550"/>
      <c r="K1317" s="550"/>
      <c r="L1317" s="550"/>
      <c r="M1317" s="550"/>
      <c r="N1317" s="550"/>
      <c r="O1317" s="550"/>
      <c r="P1317" s="550"/>
      <c r="Q1317" s="550"/>
      <c r="R1317" s="550"/>
      <c r="S1317" s="550"/>
      <c r="T1317" s="388"/>
      <c r="U1317" s="389"/>
      <c r="V1317" s="389"/>
      <c r="W1317" s="389"/>
      <c r="X1317" s="389"/>
      <c r="Y1317" s="389"/>
      <c r="Z1317" s="389"/>
      <c r="AA1317" s="389"/>
      <c r="AB1317" s="389"/>
      <c r="AC1317" s="389"/>
      <c r="AD1317" s="389"/>
      <c r="AE1317" s="389"/>
      <c r="AF1317" s="390"/>
      <c r="AG1317" s="388"/>
      <c r="AH1317" s="389"/>
      <c r="AI1317" s="389"/>
      <c r="AJ1317" s="389"/>
      <c r="AK1317" s="389"/>
      <c r="AL1317" s="389"/>
      <c r="AM1317" s="389"/>
      <c r="AN1317" s="389"/>
      <c r="AO1317" s="389"/>
      <c r="AP1317" s="389"/>
      <c r="AQ1317" s="389"/>
      <c r="AR1317" s="390"/>
      <c r="AS1317" s="363"/>
      <c r="AT1317" s="364"/>
      <c r="AU1317" s="364"/>
      <c r="AV1317" s="364"/>
      <c r="AW1317" s="364"/>
      <c r="AX1317" s="364"/>
      <c r="AY1317" s="364"/>
      <c r="AZ1317" s="364"/>
      <c r="BA1317" s="364"/>
      <c r="BB1317" s="364"/>
      <c r="BC1317" s="364"/>
      <c r="BD1317" s="387"/>
      <c r="BE1317" s="386"/>
      <c r="BF1317" s="364"/>
      <c r="BG1317" s="364"/>
      <c r="BH1317" s="364"/>
      <c r="BI1317" s="364"/>
      <c r="BJ1317" s="364"/>
      <c r="BK1317" s="364"/>
      <c r="BL1317" s="364"/>
      <c r="BM1317" s="364"/>
      <c r="BN1317" s="364"/>
      <c r="BO1317" s="364"/>
      <c r="BP1317" s="364"/>
      <c r="BQ1317" s="387"/>
      <c r="BR1317" s="386"/>
      <c r="BS1317" s="364"/>
      <c r="BT1317" s="364"/>
      <c r="BU1317" s="364"/>
      <c r="BV1317" s="364"/>
      <c r="BW1317" s="364"/>
      <c r="BX1317" s="364"/>
      <c r="BY1317" s="364"/>
      <c r="BZ1317" s="387"/>
      <c r="CA1317" s="270"/>
      <c r="CB1317" s="3" t="str">
        <f t="shared" si="189"/>
        <v>Riadok bude skrytý.</v>
      </c>
      <c r="CC1317" s="271" t="s">
        <v>832</v>
      </c>
      <c r="CW1317" s="30">
        <f t="shared" si="196"/>
        <v>1</v>
      </c>
      <c r="CX1317" s="30">
        <f t="shared" si="202"/>
        <v>1</v>
      </c>
      <c r="CY1317" s="30">
        <f t="shared" si="199"/>
        <v>0</v>
      </c>
      <c r="CZ1317" s="30">
        <f t="shared" si="200"/>
        <v>1</v>
      </c>
      <c r="DA1317" s="53">
        <f t="shared" si="201"/>
        <v>0</v>
      </c>
      <c r="DB1317" s="2">
        <f t="shared" si="185"/>
        <v>0</v>
      </c>
      <c r="DS1317" s="130">
        <f>SI!BY1317</f>
        <v>996</v>
      </c>
      <c r="DZ1317" s="131">
        <f>SI!BZ1317</f>
        <v>0</v>
      </c>
    </row>
    <row r="1318" spans="1:130" hidden="1" x14ac:dyDescent="0.25">
      <c r="A1318" s="141"/>
      <c r="B1318" s="1717"/>
      <c r="C1318" s="1718"/>
      <c r="D1318" s="1718"/>
      <c r="E1318" s="1718"/>
      <c r="F1318" s="1718"/>
      <c r="G1318" s="1718"/>
      <c r="H1318" s="1718"/>
      <c r="I1318" s="1718"/>
      <c r="J1318" s="1718"/>
      <c r="K1318" s="1718"/>
      <c r="L1318" s="1718"/>
      <c r="M1318" s="1718"/>
      <c r="N1318" s="1718"/>
      <c r="O1318" s="1718"/>
      <c r="P1318" s="1718"/>
      <c r="Q1318" s="1718"/>
      <c r="R1318" s="1718"/>
      <c r="S1318" s="1718"/>
      <c r="T1318" s="1249"/>
      <c r="U1318" s="1250"/>
      <c r="V1318" s="1250"/>
      <c r="W1318" s="1250"/>
      <c r="X1318" s="1250"/>
      <c r="Y1318" s="1250"/>
      <c r="Z1318" s="1250"/>
      <c r="AA1318" s="1250"/>
      <c r="AB1318" s="1250"/>
      <c r="AC1318" s="1250"/>
      <c r="AD1318" s="1250"/>
      <c r="AE1318" s="1250"/>
      <c r="AF1318" s="1251"/>
      <c r="AG1318" s="1249"/>
      <c r="AH1318" s="1250"/>
      <c r="AI1318" s="1250"/>
      <c r="AJ1318" s="1250"/>
      <c r="AK1318" s="1250"/>
      <c r="AL1318" s="1250"/>
      <c r="AM1318" s="1250"/>
      <c r="AN1318" s="1250"/>
      <c r="AO1318" s="1250"/>
      <c r="AP1318" s="1250"/>
      <c r="AQ1318" s="1250"/>
      <c r="AR1318" s="1251"/>
      <c r="AS1318" s="367"/>
      <c r="AT1318" s="368"/>
      <c r="AU1318" s="368"/>
      <c r="AV1318" s="368"/>
      <c r="AW1318" s="368"/>
      <c r="AX1318" s="368"/>
      <c r="AY1318" s="368"/>
      <c r="AZ1318" s="368"/>
      <c r="BA1318" s="368"/>
      <c r="BB1318" s="368"/>
      <c r="BC1318" s="368"/>
      <c r="BD1318" s="438"/>
      <c r="BE1318" s="457"/>
      <c r="BF1318" s="368"/>
      <c r="BG1318" s="368"/>
      <c r="BH1318" s="368"/>
      <c r="BI1318" s="368"/>
      <c r="BJ1318" s="368"/>
      <c r="BK1318" s="368"/>
      <c r="BL1318" s="368"/>
      <c r="BM1318" s="368"/>
      <c r="BN1318" s="368"/>
      <c r="BO1318" s="368"/>
      <c r="BP1318" s="368"/>
      <c r="BQ1318" s="438"/>
      <c r="BR1318" s="457"/>
      <c r="BS1318" s="368"/>
      <c r="BT1318" s="368"/>
      <c r="BU1318" s="368"/>
      <c r="BV1318" s="368"/>
      <c r="BW1318" s="368"/>
      <c r="BX1318" s="368"/>
      <c r="BY1318" s="368"/>
      <c r="BZ1318" s="438"/>
      <c r="CA1318" s="270"/>
      <c r="CB1318" s="3" t="str">
        <f t="shared" si="189"/>
        <v>Riadok bude skrytý.</v>
      </c>
      <c r="CC1318" s="271" t="s">
        <v>832</v>
      </c>
      <c r="CW1318" s="30">
        <f t="shared" si="196"/>
        <v>1</v>
      </c>
      <c r="CX1318" s="30">
        <f t="shared" si="202"/>
        <v>1</v>
      </c>
      <c r="CZ1318" s="30">
        <f t="shared" si="200"/>
        <v>1</v>
      </c>
      <c r="DA1318" s="52">
        <f>+IF(CW1318*CX1318=0,0,IF(CZ1318=0,0,1))</f>
        <v>1</v>
      </c>
      <c r="DB1318" s="2">
        <f t="shared" si="185"/>
        <v>0</v>
      </c>
      <c r="DS1318" s="130">
        <f>SI!BY1318</f>
        <v>170</v>
      </c>
      <c r="DZ1318" s="131">
        <f>SI!BZ1318</f>
        <v>0</v>
      </c>
    </row>
    <row r="1319" spans="1:130" hidden="1" x14ac:dyDescent="0.25">
      <c r="A1319" s="141"/>
      <c r="B1319" s="1689" t="s">
        <v>141</v>
      </c>
      <c r="C1319" s="1690"/>
      <c r="D1319" s="1690"/>
      <c r="E1319" s="1690"/>
      <c r="F1319" s="1690"/>
      <c r="G1319" s="1690"/>
      <c r="H1319" s="1690"/>
      <c r="I1319" s="1690"/>
      <c r="J1319" s="1690"/>
      <c r="K1319" s="1690"/>
      <c r="L1319" s="1690"/>
      <c r="M1319" s="1690"/>
      <c r="N1319" s="1690"/>
      <c r="O1319" s="1690"/>
      <c r="P1319" s="1690"/>
      <c r="Q1319" s="1690"/>
      <c r="R1319" s="1690"/>
      <c r="S1319" s="1690"/>
      <c r="T1319" s="1690"/>
      <c r="U1319" s="1690"/>
      <c r="V1319" s="1690"/>
      <c r="W1319" s="1690"/>
      <c r="X1319" s="1690"/>
      <c r="Y1319" s="1690"/>
      <c r="Z1319" s="1690"/>
      <c r="AA1319" s="1690"/>
      <c r="AB1319" s="1690"/>
      <c r="AC1319" s="1690"/>
      <c r="AD1319" s="1690"/>
      <c r="AE1319" s="1690"/>
      <c r="AF1319" s="1690"/>
      <c r="AG1319" s="1690"/>
      <c r="AH1319" s="1690"/>
      <c r="AI1319" s="1690"/>
      <c r="AJ1319" s="1690"/>
      <c r="AK1319" s="1690"/>
      <c r="AL1319" s="1690"/>
      <c r="AM1319" s="1690"/>
      <c r="AN1319" s="1690"/>
      <c r="AO1319" s="1690"/>
      <c r="AP1319" s="1690"/>
      <c r="AQ1319" s="1690"/>
      <c r="AR1319" s="1690"/>
      <c r="AS1319" s="1690"/>
      <c r="AT1319" s="1690"/>
      <c r="AU1319" s="1690"/>
      <c r="AV1319" s="1690"/>
      <c r="AW1319" s="1690"/>
      <c r="AX1319" s="1690"/>
      <c r="AY1319" s="1690"/>
      <c r="AZ1319" s="1690"/>
      <c r="BA1319" s="1690"/>
      <c r="BB1319" s="1690"/>
      <c r="BC1319" s="1690"/>
      <c r="BD1319" s="1690"/>
      <c r="BE1319" s="1690"/>
      <c r="BF1319" s="1690"/>
      <c r="BG1319" s="1690"/>
      <c r="BH1319" s="1690"/>
      <c r="BI1319" s="1690"/>
      <c r="BJ1319" s="1690"/>
      <c r="BK1319" s="1690"/>
      <c r="BL1319" s="1690"/>
      <c r="BM1319" s="1690"/>
      <c r="BN1319" s="1690"/>
      <c r="BO1319" s="1690"/>
      <c r="BP1319" s="1690"/>
      <c r="BQ1319" s="1690"/>
      <c r="BR1319" s="1690"/>
      <c r="BS1319" s="1690"/>
      <c r="BT1319" s="1690"/>
      <c r="BU1319" s="1690"/>
      <c r="BV1319" s="1690"/>
      <c r="BW1319" s="1690"/>
      <c r="BX1319" s="1690"/>
      <c r="BY1319" s="1690"/>
      <c r="BZ1319" s="1690"/>
      <c r="CA1319" s="270"/>
      <c r="CB1319" s="3" t="str">
        <f t="shared" si="189"/>
        <v>Riadok bude skrytý.</v>
      </c>
      <c r="CC1319" s="271" t="s">
        <v>832</v>
      </c>
      <c r="CW1319" s="30">
        <f t="shared" si="196"/>
        <v>1</v>
      </c>
      <c r="CX1319" s="30">
        <f t="shared" si="202"/>
        <v>1</v>
      </c>
      <c r="CZ1319" s="30">
        <f t="shared" si="200"/>
        <v>1</v>
      </c>
      <c r="DA1319" s="52">
        <f>+IF(CW1319*CX1319=0,0,IF(CZ1319=0,0,1))</f>
        <v>1</v>
      </c>
      <c r="DB1319" s="2">
        <f t="shared" si="185"/>
        <v>0</v>
      </c>
      <c r="DS1319" s="130">
        <f>SI!BY1319</f>
        <v>742</v>
      </c>
      <c r="DZ1319" s="131">
        <f>SI!BZ1319</f>
        <v>0</v>
      </c>
    </row>
    <row r="1320" spans="1:130" hidden="1" x14ac:dyDescent="0.25">
      <c r="A1320" s="141"/>
      <c r="B1320" s="561"/>
      <c r="C1320" s="562"/>
      <c r="D1320" s="562"/>
      <c r="E1320" s="562"/>
      <c r="F1320" s="562"/>
      <c r="G1320" s="562"/>
      <c r="H1320" s="562"/>
      <c r="I1320" s="562"/>
      <c r="J1320" s="562"/>
      <c r="K1320" s="562"/>
      <c r="L1320" s="562"/>
      <c r="M1320" s="562"/>
      <c r="N1320" s="562"/>
      <c r="O1320" s="562"/>
      <c r="P1320" s="562"/>
      <c r="Q1320" s="562"/>
      <c r="R1320" s="562"/>
      <c r="S1320" s="562"/>
      <c r="T1320" s="1674"/>
      <c r="U1320" s="1675"/>
      <c r="V1320" s="1675"/>
      <c r="W1320" s="1675"/>
      <c r="X1320" s="1675"/>
      <c r="Y1320" s="1675"/>
      <c r="Z1320" s="1675"/>
      <c r="AA1320" s="1675"/>
      <c r="AB1320" s="1675"/>
      <c r="AC1320" s="1675"/>
      <c r="AD1320" s="1675"/>
      <c r="AE1320" s="1675"/>
      <c r="AF1320" s="1676"/>
      <c r="AG1320" s="1674"/>
      <c r="AH1320" s="1675"/>
      <c r="AI1320" s="1675"/>
      <c r="AJ1320" s="1675"/>
      <c r="AK1320" s="1675"/>
      <c r="AL1320" s="1675"/>
      <c r="AM1320" s="1675"/>
      <c r="AN1320" s="1675"/>
      <c r="AO1320" s="1675"/>
      <c r="AP1320" s="1675"/>
      <c r="AQ1320" s="1675"/>
      <c r="AR1320" s="1676"/>
      <c r="AS1320" s="535"/>
      <c r="AT1320" s="536"/>
      <c r="AU1320" s="536"/>
      <c r="AV1320" s="536"/>
      <c r="AW1320" s="536"/>
      <c r="AX1320" s="536"/>
      <c r="AY1320" s="536"/>
      <c r="AZ1320" s="536"/>
      <c r="BA1320" s="536"/>
      <c r="BB1320" s="536"/>
      <c r="BC1320" s="536"/>
      <c r="BD1320" s="537"/>
      <c r="BE1320" s="1014"/>
      <c r="BF1320" s="536"/>
      <c r="BG1320" s="536"/>
      <c r="BH1320" s="536"/>
      <c r="BI1320" s="536"/>
      <c r="BJ1320" s="536"/>
      <c r="BK1320" s="536"/>
      <c r="BL1320" s="536"/>
      <c r="BM1320" s="536"/>
      <c r="BN1320" s="536"/>
      <c r="BO1320" s="536"/>
      <c r="BP1320" s="536"/>
      <c r="BQ1320" s="537"/>
      <c r="BR1320" s="1014"/>
      <c r="BS1320" s="536"/>
      <c r="BT1320" s="536"/>
      <c r="BU1320" s="536"/>
      <c r="BV1320" s="536"/>
      <c r="BW1320" s="536"/>
      <c r="BX1320" s="536"/>
      <c r="BY1320" s="536"/>
      <c r="BZ1320" s="537"/>
      <c r="CA1320" s="270"/>
      <c r="CB1320" s="3" t="str">
        <f t="shared" si="189"/>
        <v>Riadok bude skrytý.</v>
      </c>
      <c r="CC1320" s="271" t="s">
        <v>832</v>
      </c>
      <c r="CW1320" s="30">
        <f t="shared" si="196"/>
        <v>1</v>
      </c>
      <c r="CX1320" s="30">
        <f t="shared" si="202"/>
        <v>1</v>
      </c>
      <c r="CZ1320" s="30">
        <f t="shared" si="200"/>
        <v>1</v>
      </c>
      <c r="DA1320" s="52">
        <f>+IF(CW1320*CX1320=0,0,IF(CZ1320=0,0,1))</f>
        <v>1</v>
      </c>
      <c r="DB1320" s="2">
        <f t="shared" ref="DB1320:DB1383" si="203">+IF($CD$1="malé",0,DA1320)</f>
        <v>0</v>
      </c>
      <c r="DS1320" s="130">
        <f>SI!BY1320</f>
        <v>171</v>
      </c>
      <c r="DZ1320" s="131">
        <f>SI!BZ1320</f>
        <v>0</v>
      </c>
    </row>
    <row r="1321" spans="1:130" hidden="1" x14ac:dyDescent="0.25">
      <c r="A1321" s="141"/>
      <c r="B1321" s="549"/>
      <c r="C1321" s="550"/>
      <c r="D1321" s="550"/>
      <c r="E1321" s="550"/>
      <c r="F1321" s="550"/>
      <c r="G1321" s="550"/>
      <c r="H1321" s="550"/>
      <c r="I1321" s="550"/>
      <c r="J1321" s="550"/>
      <c r="K1321" s="550"/>
      <c r="L1321" s="550"/>
      <c r="M1321" s="550"/>
      <c r="N1321" s="550"/>
      <c r="O1321" s="550"/>
      <c r="P1321" s="550"/>
      <c r="Q1321" s="550"/>
      <c r="R1321" s="550"/>
      <c r="S1321" s="550"/>
      <c r="T1321" s="388"/>
      <c r="U1321" s="389"/>
      <c r="V1321" s="389"/>
      <c r="W1321" s="389"/>
      <c r="X1321" s="389"/>
      <c r="Y1321" s="389"/>
      <c r="Z1321" s="389"/>
      <c r="AA1321" s="389"/>
      <c r="AB1321" s="389"/>
      <c r="AC1321" s="389"/>
      <c r="AD1321" s="389"/>
      <c r="AE1321" s="389"/>
      <c r="AF1321" s="390"/>
      <c r="AG1321" s="388"/>
      <c r="AH1321" s="389"/>
      <c r="AI1321" s="389"/>
      <c r="AJ1321" s="389"/>
      <c r="AK1321" s="389"/>
      <c r="AL1321" s="389"/>
      <c r="AM1321" s="389"/>
      <c r="AN1321" s="389"/>
      <c r="AO1321" s="389"/>
      <c r="AP1321" s="389"/>
      <c r="AQ1321" s="389"/>
      <c r="AR1321" s="390"/>
      <c r="AS1321" s="363"/>
      <c r="AT1321" s="364"/>
      <c r="AU1321" s="364"/>
      <c r="AV1321" s="364"/>
      <c r="AW1321" s="364"/>
      <c r="AX1321" s="364"/>
      <c r="AY1321" s="364"/>
      <c r="AZ1321" s="364"/>
      <c r="BA1321" s="364"/>
      <c r="BB1321" s="364"/>
      <c r="BC1321" s="364"/>
      <c r="BD1321" s="387"/>
      <c r="BE1321" s="386"/>
      <c r="BF1321" s="364"/>
      <c r="BG1321" s="364"/>
      <c r="BH1321" s="364"/>
      <c r="BI1321" s="364"/>
      <c r="BJ1321" s="364"/>
      <c r="BK1321" s="364"/>
      <c r="BL1321" s="364"/>
      <c r="BM1321" s="364"/>
      <c r="BN1321" s="364"/>
      <c r="BO1321" s="364"/>
      <c r="BP1321" s="364"/>
      <c r="BQ1321" s="387"/>
      <c r="BR1321" s="386"/>
      <c r="BS1321" s="364"/>
      <c r="BT1321" s="364"/>
      <c r="BU1321" s="364"/>
      <c r="BV1321" s="364"/>
      <c r="BW1321" s="364"/>
      <c r="BX1321" s="364"/>
      <c r="BY1321" s="364"/>
      <c r="BZ1321" s="387"/>
      <c r="CA1321" s="270"/>
      <c r="CB1321" s="3" t="str">
        <f t="shared" si="189"/>
        <v>Riadok bude skrytý.</v>
      </c>
      <c r="CC1321" s="271" t="s">
        <v>832</v>
      </c>
      <c r="CW1321" s="30">
        <f t="shared" si="196"/>
        <v>1</v>
      </c>
      <c r="CX1321" s="30">
        <f t="shared" si="202"/>
        <v>1</v>
      </c>
      <c r="CY1321" s="30">
        <f t="shared" ref="CY1321:CY1328" si="204">+IF(B1321="",0,1)</f>
        <v>0</v>
      </c>
      <c r="CZ1321" s="30">
        <f t="shared" si="200"/>
        <v>1</v>
      </c>
      <c r="DA1321" s="53">
        <f t="shared" ref="DA1321:DA1328" si="205">+IF(CW1321*CX1321*CY1321=0,0,IF(CZ1321=0,0,1))</f>
        <v>0</v>
      </c>
      <c r="DB1321" s="2">
        <f t="shared" si="203"/>
        <v>0</v>
      </c>
      <c r="DS1321" s="130">
        <f>SI!BY1321</f>
        <v>538</v>
      </c>
      <c r="DZ1321" s="131">
        <f>SI!BZ1321</f>
        <v>0</v>
      </c>
    </row>
    <row r="1322" spans="1:130" hidden="1" x14ac:dyDescent="0.25">
      <c r="A1322" s="141"/>
      <c r="B1322" s="549"/>
      <c r="C1322" s="550"/>
      <c r="D1322" s="550"/>
      <c r="E1322" s="550"/>
      <c r="F1322" s="550"/>
      <c r="G1322" s="550"/>
      <c r="H1322" s="550"/>
      <c r="I1322" s="550"/>
      <c r="J1322" s="550"/>
      <c r="K1322" s="550"/>
      <c r="L1322" s="550"/>
      <c r="M1322" s="550"/>
      <c r="N1322" s="550"/>
      <c r="O1322" s="550"/>
      <c r="P1322" s="550"/>
      <c r="Q1322" s="550"/>
      <c r="R1322" s="550"/>
      <c r="S1322" s="550"/>
      <c r="T1322" s="388"/>
      <c r="U1322" s="389"/>
      <c r="V1322" s="389"/>
      <c r="W1322" s="389"/>
      <c r="X1322" s="389"/>
      <c r="Y1322" s="389"/>
      <c r="Z1322" s="389"/>
      <c r="AA1322" s="389"/>
      <c r="AB1322" s="389"/>
      <c r="AC1322" s="389"/>
      <c r="AD1322" s="389"/>
      <c r="AE1322" s="389"/>
      <c r="AF1322" s="390"/>
      <c r="AG1322" s="388"/>
      <c r="AH1322" s="389"/>
      <c r="AI1322" s="389"/>
      <c r="AJ1322" s="389"/>
      <c r="AK1322" s="389"/>
      <c r="AL1322" s="389"/>
      <c r="AM1322" s="389"/>
      <c r="AN1322" s="389"/>
      <c r="AO1322" s="389"/>
      <c r="AP1322" s="389"/>
      <c r="AQ1322" s="389"/>
      <c r="AR1322" s="390"/>
      <c r="AS1322" s="363"/>
      <c r="AT1322" s="364"/>
      <c r="AU1322" s="364"/>
      <c r="AV1322" s="364"/>
      <c r="AW1322" s="364"/>
      <c r="AX1322" s="364"/>
      <c r="AY1322" s="364"/>
      <c r="AZ1322" s="364"/>
      <c r="BA1322" s="364"/>
      <c r="BB1322" s="364"/>
      <c r="BC1322" s="364"/>
      <c r="BD1322" s="387"/>
      <c r="BE1322" s="386"/>
      <c r="BF1322" s="364"/>
      <c r="BG1322" s="364"/>
      <c r="BH1322" s="364"/>
      <c r="BI1322" s="364"/>
      <c r="BJ1322" s="364"/>
      <c r="BK1322" s="364"/>
      <c r="BL1322" s="364"/>
      <c r="BM1322" s="364"/>
      <c r="BN1322" s="364"/>
      <c r="BO1322" s="364"/>
      <c r="BP1322" s="364"/>
      <c r="BQ1322" s="387"/>
      <c r="BR1322" s="386"/>
      <c r="BS1322" s="364"/>
      <c r="BT1322" s="364"/>
      <c r="BU1322" s="364"/>
      <c r="BV1322" s="364"/>
      <c r="BW1322" s="364"/>
      <c r="BX1322" s="364"/>
      <c r="BY1322" s="364"/>
      <c r="BZ1322" s="387"/>
      <c r="CA1322" s="270"/>
      <c r="CB1322" s="3" t="str">
        <f t="shared" si="189"/>
        <v>Riadok bude skrytý.</v>
      </c>
      <c r="CC1322" s="271" t="s">
        <v>832</v>
      </c>
      <c r="CW1322" s="30">
        <f t="shared" si="196"/>
        <v>1</v>
      </c>
      <c r="CX1322" s="30">
        <f t="shared" si="202"/>
        <v>1</v>
      </c>
      <c r="CY1322" s="30">
        <f t="shared" si="204"/>
        <v>0</v>
      </c>
      <c r="CZ1322" s="30">
        <f t="shared" si="200"/>
        <v>1</v>
      </c>
      <c r="DA1322" s="53">
        <f t="shared" si="205"/>
        <v>0</v>
      </c>
      <c r="DB1322" s="2">
        <f t="shared" si="203"/>
        <v>0</v>
      </c>
      <c r="DS1322" s="130">
        <f>SI!BY1322</f>
        <v>181</v>
      </c>
      <c r="DZ1322" s="131">
        <f>SI!BZ1322</f>
        <v>0</v>
      </c>
    </row>
    <row r="1323" spans="1:130" hidden="1" x14ac:dyDescent="0.25">
      <c r="A1323" s="141"/>
      <c r="B1323" s="549"/>
      <c r="C1323" s="550"/>
      <c r="D1323" s="550"/>
      <c r="E1323" s="550"/>
      <c r="F1323" s="550"/>
      <c r="G1323" s="550"/>
      <c r="H1323" s="550"/>
      <c r="I1323" s="550"/>
      <c r="J1323" s="550"/>
      <c r="K1323" s="550"/>
      <c r="L1323" s="550"/>
      <c r="M1323" s="550"/>
      <c r="N1323" s="550"/>
      <c r="O1323" s="550"/>
      <c r="P1323" s="550"/>
      <c r="Q1323" s="550"/>
      <c r="R1323" s="550"/>
      <c r="S1323" s="550"/>
      <c r="T1323" s="388"/>
      <c r="U1323" s="389"/>
      <c r="V1323" s="389"/>
      <c r="W1323" s="389"/>
      <c r="X1323" s="389"/>
      <c r="Y1323" s="389"/>
      <c r="Z1323" s="389"/>
      <c r="AA1323" s="389"/>
      <c r="AB1323" s="389"/>
      <c r="AC1323" s="389"/>
      <c r="AD1323" s="389"/>
      <c r="AE1323" s="389"/>
      <c r="AF1323" s="390"/>
      <c r="AG1323" s="388"/>
      <c r="AH1323" s="389"/>
      <c r="AI1323" s="389"/>
      <c r="AJ1323" s="389"/>
      <c r="AK1323" s="389"/>
      <c r="AL1323" s="389"/>
      <c r="AM1323" s="389"/>
      <c r="AN1323" s="389"/>
      <c r="AO1323" s="389"/>
      <c r="AP1323" s="389"/>
      <c r="AQ1323" s="389"/>
      <c r="AR1323" s="390"/>
      <c r="AS1323" s="363"/>
      <c r="AT1323" s="364"/>
      <c r="AU1323" s="364"/>
      <c r="AV1323" s="364"/>
      <c r="AW1323" s="364"/>
      <c r="AX1323" s="364"/>
      <c r="AY1323" s="364"/>
      <c r="AZ1323" s="364"/>
      <c r="BA1323" s="364"/>
      <c r="BB1323" s="364"/>
      <c r="BC1323" s="364"/>
      <c r="BD1323" s="387"/>
      <c r="BE1323" s="386"/>
      <c r="BF1323" s="364"/>
      <c r="BG1323" s="364"/>
      <c r="BH1323" s="364"/>
      <c r="BI1323" s="364"/>
      <c r="BJ1323" s="364"/>
      <c r="BK1323" s="364"/>
      <c r="BL1323" s="364"/>
      <c r="BM1323" s="364"/>
      <c r="BN1323" s="364"/>
      <c r="BO1323" s="364"/>
      <c r="BP1323" s="364"/>
      <c r="BQ1323" s="387"/>
      <c r="BR1323" s="386"/>
      <c r="BS1323" s="364"/>
      <c r="BT1323" s="364"/>
      <c r="BU1323" s="364"/>
      <c r="BV1323" s="364"/>
      <c r="BW1323" s="364"/>
      <c r="BX1323" s="364"/>
      <c r="BY1323" s="364"/>
      <c r="BZ1323" s="387"/>
      <c r="CA1323" s="270"/>
      <c r="CB1323" s="3" t="str">
        <f t="shared" si="189"/>
        <v>Riadok bude skrytý.</v>
      </c>
      <c r="CC1323" s="271" t="s">
        <v>832</v>
      </c>
      <c r="CW1323" s="30">
        <f t="shared" ref="CW1323:CW1354" si="206">+IF($AB$1193="neeviduje",0,1)</f>
        <v>1</v>
      </c>
      <c r="CX1323" s="30">
        <f t="shared" si="202"/>
        <v>1</v>
      </c>
      <c r="CY1323" s="30">
        <f t="shared" si="204"/>
        <v>0</v>
      </c>
      <c r="CZ1323" s="30">
        <f t="shared" si="200"/>
        <v>1</v>
      </c>
      <c r="DA1323" s="53">
        <f t="shared" si="205"/>
        <v>0</v>
      </c>
      <c r="DB1323" s="2">
        <f t="shared" si="203"/>
        <v>0</v>
      </c>
      <c r="DS1323" s="130">
        <f>SI!BY1323</f>
        <v>262</v>
      </c>
      <c r="DZ1323" s="131">
        <f>SI!BZ1323</f>
        <v>0</v>
      </c>
    </row>
    <row r="1324" spans="1:130" hidden="1" x14ac:dyDescent="0.25">
      <c r="A1324" s="141"/>
      <c r="B1324" s="549"/>
      <c r="C1324" s="550"/>
      <c r="D1324" s="550"/>
      <c r="E1324" s="550"/>
      <c r="F1324" s="550"/>
      <c r="G1324" s="550"/>
      <c r="H1324" s="550"/>
      <c r="I1324" s="550"/>
      <c r="J1324" s="550"/>
      <c r="K1324" s="550"/>
      <c r="L1324" s="550"/>
      <c r="M1324" s="550"/>
      <c r="N1324" s="550"/>
      <c r="O1324" s="550"/>
      <c r="P1324" s="550"/>
      <c r="Q1324" s="550"/>
      <c r="R1324" s="550"/>
      <c r="S1324" s="550"/>
      <c r="T1324" s="388"/>
      <c r="U1324" s="389"/>
      <c r="V1324" s="389"/>
      <c r="W1324" s="389"/>
      <c r="X1324" s="389"/>
      <c r="Y1324" s="389"/>
      <c r="Z1324" s="389"/>
      <c r="AA1324" s="389"/>
      <c r="AB1324" s="389"/>
      <c r="AC1324" s="389"/>
      <c r="AD1324" s="389"/>
      <c r="AE1324" s="389"/>
      <c r="AF1324" s="390"/>
      <c r="AG1324" s="388"/>
      <c r="AH1324" s="389"/>
      <c r="AI1324" s="389"/>
      <c r="AJ1324" s="389"/>
      <c r="AK1324" s="389"/>
      <c r="AL1324" s="389"/>
      <c r="AM1324" s="389"/>
      <c r="AN1324" s="389"/>
      <c r="AO1324" s="389"/>
      <c r="AP1324" s="389"/>
      <c r="AQ1324" s="389"/>
      <c r="AR1324" s="390"/>
      <c r="AS1324" s="363"/>
      <c r="AT1324" s="364"/>
      <c r="AU1324" s="364"/>
      <c r="AV1324" s="364"/>
      <c r="AW1324" s="364"/>
      <c r="AX1324" s="364"/>
      <c r="AY1324" s="364"/>
      <c r="AZ1324" s="364"/>
      <c r="BA1324" s="364"/>
      <c r="BB1324" s="364"/>
      <c r="BC1324" s="364"/>
      <c r="BD1324" s="387"/>
      <c r="BE1324" s="386"/>
      <c r="BF1324" s="364"/>
      <c r="BG1324" s="364"/>
      <c r="BH1324" s="364"/>
      <c r="BI1324" s="364"/>
      <c r="BJ1324" s="364"/>
      <c r="BK1324" s="364"/>
      <c r="BL1324" s="364"/>
      <c r="BM1324" s="364"/>
      <c r="BN1324" s="364"/>
      <c r="BO1324" s="364"/>
      <c r="BP1324" s="364"/>
      <c r="BQ1324" s="387"/>
      <c r="BR1324" s="386"/>
      <c r="BS1324" s="364"/>
      <c r="BT1324" s="364"/>
      <c r="BU1324" s="364"/>
      <c r="BV1324" s="364"/>
      <c r="BW1324" s="364"/>
      <c r="BX1324" s="364"/>
      <c r="BY1324" s="364"/>
      <c r="BZ1324" s="387"/>
      <c r="CA1324" s="270"/>
      <c r="CB1324" s="3" t="str">
        <f t="shared" si="189"/>
        <v>Riadok bude skrytý.</v>
      </c>
      <c r="CC1324" s="271" t="s">
        <v>832</v>
      </c>
      <c r="CW1324" s="30">
        <f t="shared" si="206"/>
        <v>1</v>
      </c>
      <c r="CX1324" s="30">
        <f t="shared" si="202"/>
        <v>1</v>
      </c>
      <c r="CY1324" s="30">
        <f t="shared" si="204"/>
        <v>0</v>
      </c>
      <c r="CZ1324" s="30">
        <f t="shared" si="200"/>
        <v>1</v>
      </c>
      <c r="DA1324" s="53">
        <f t="shared" si="205"/>
        <v>0</v>
      </c>
      <c r="DB1324" s="2">
        <f t="shared" si="203"/>
        <v>0</v>
      </c>
      <c r="DS1324" s="130">
        <f>SI!BY1324</f>
        <v>183</v>
      </c>
      <c r="DZ1324" s="131">
        <f>SI!BZ1324</f>
        <v>0</v>
      </c>
    </row>
    <row r="1325" spans="1:130" hidden="1" x14ac:dyDescent="0.25">
      <c r="A1325" s="141"/>
      <c r="B1325" s="549"/>
      <c r="C1325" s="550"/>
      <c r="D1325" s="550"/>
      <c r="E1325" s="550"/>
      <c r="F1325" s="550"/>
      <c r="G1325" s="550"/>
      <c r="H1325" s="550"/>
      <c r="I1325" s="550"/>
      <c r="J1325" s="550"/>
      <c r="K1325" s="550"/>
      <c r="L1325" s="550"/>
      <c r="M1325" s="550"/>
      <c r="N1325" s="550"/>
      <c r="O1325" s="550"/>
      <c r="P1325" s="550"/>
      <c r="Q1325" s="550"/>
      <c r="R1325" s="550"/>
      <c r="S1325" s="550"/>
      <c r="T1325" s="388"/>
      <c r="U1325" s="389"/>
      <c r="V1325" s="389"/>
      <c r="W1325" s="389"/>
      <c r="X1325" s="389"/>
      <c r="Y1325" s="389"/>
      <c r="Z1325" s="389"/>
      <c r="AA1325" s="389"/>
      <c r="AB1325" s="389"/>
      <c r="AC1325" s="389"/>
      <c r="AD1325" s="389"/>
      <c r="AE1325" s="389"/>
      <c r="AF1325" s="390"/>
      <c r="AG1325" s="388"/>
      <c r="AH1325" s="389"/>
      <c r="AI1325" s="389"/>
      <c r="AJ1325" s="389"/>
      <c r="AK1325" s="389"/>
      <c r="AL1325" s="389"/>
      <c r="AM1325" s="389"/>
      <c r="AN1325" s="389"/>
      <c r="AO1325" s="389"/>
      <c r="AP1325" s="389"/>
      <c r="AQ1325" s="389"/>
      <c r="AR1325" s="390"/>
      <c r="AS1325" s="363"/>
      <c r="AT1325" s="364"/>
      <c r="AU1325" s="364"/>
      <c r="AV1325" s="364"/>
      <c r="AW1325" s="364"/>
      <c r="AX1325" s="364"/>
      <c r="AY1325" s="364"/>
      <c r="AZ1325" s="364"/>
      <c r="BA1325" s="364"/>
      <c r="BB1325" s="364"/>
      <c r="BC1325" s="364"/>
      <c r="BD1325" s="387"/>
      <c r="BE1325" s="386"/>
      <c r="BF1325" s="364"/>
      <c r="BG1325" s="364"/>
      <c r="BH1325" s="364"/>
      <c r="BI1325" s="364"/>
      <c r="BJ1325" s="364"/>
      <c r="BK1325" s="364"/>
      <c r="BL1325" s="364"/>
      <c r="BM1325" s="364"/>
      <c r="BN1325" s="364"/>
      <c r="BO1325" s="364"/>
      <c r="BP1325" s="364"/>
      <c r="BQ1325" s="387"/>
      <c r="BR1325" s="386"/>
      <c r="BS1325" s="364"/>
      <c r="BT1325" s="364"/>
      <c r="BU1325" s="364"/>
      <c r="BV1325" s="364"/>
      <c r="BW1325" s="364"/>
      <c r="BX1325" s="364"/>
      <c r="BY1325" s="364"/>
      <c r="BZ1325" s="387"/>
      <c r="CA1325" s="270"/>
      <c r="CB1325" s="3" t="str">
        <f t="shared" si="189"/>
        <v>Riadok bude skrytý.</v>
      </c>
      <c r="CC1325" s="271" t="s">
        <v>832</v>
      </c>
      <c r="CW1325" s="30">
        <f t="shared" si="206"/>
        <v>1</v>
      </c>
      <c r="CX1325" s="30">
        <f t="shared" si="202"/>
        <v>1</v>
      </c>
      <c r="CY1325" s="30">
        <f t="shared" si="204"/>
        <v>0</v>
      </c>
      <c r="CZ1325" s="30">
        <f t="shared" si="200"/>
        <v>1</v>
      </c>
      <c r="DA1325" s="53">
        <f t="shared" si="205"/>
        <v>0</v>
      </c>
      <c r="DB1325" s="2">
        <f t="shared" si="203"/>
        <v>0</v>
      </c>
      <c r="DS1325" s="130">
        <f>SI!BY1325</f>
        <v>273</v>
      </c>
      <c r="DZ1325" s="131">
        <f>SI!BZ1325</f>
        <v>0</v>
      </c>
    </row>
    <row r="1326" spans="1:130" hidden="1" x14ac:dyDescent="0.25">
      <c r="A1326" s="141"/>
      <c r="B1326" s="549"/>
      <c r="C1326" s="550"/>
      <c r="D1326" s="550"/>
      <c r="E1326" s="550"/>
      <c r="F1326" s="550"/>
      <c r="G1326" s="550"/>
      <c r="H1326" s="550"/>
      <c r="I1326" s="550"/>
      <c r="J1326" s="550"/>
      <c r="K1326" s="550"/>
      <c r="L1326" s="550"/>
      <c r="M1326" s="550"/>
      <c r="N1326" s="550"/>
      <c r="O1326" s="550"/>
      <c r="P1326" s="550"/>
      <c r="Q1326" s="550"/>
      <c r="R1326" s="550"/>
      <c r="S1326" s="550"/>
      <c r="T1326" s="388"/>
      <c r="U1326" s="389"/>
      <c r="V1326" s="389"/>
      <c r="W1326" s="389"/>
      <c r="X1326" s="389"/>
      <c r="Y1326" s="389"/>
      <c r="Z1326" s="389"/>
      <c r="AA1326" s="389"/>
      <c r="AB1326" s="389"/>
      <c r="AC1326" s="389"/>
      <c r="AD1326" s="389"/>
      <c r="AE1326" s="389"/>
      <c r="AF1326" s="390"/>
      <c r="AG1326" s="388"/>
      <c r="AH1326" s="389"/>
      <c r="AI1326" s="389"/>
      <c r="AJ1326" s="389"/>
      <c r="AK1326" s="389"/>
      <c r="AL1326" s="389"/>
      <c r="AM1326" s="389"/>
      <c r="AN1326" s="389"/>
      <c r="AO1326" s="389"/>
      <c r="AP1326" s="389"/>
      <c r="AQ1326" s="389"/>
      <c r="AR1326" s="390"/>
      <c r="AS1326" s="363"/>
      <c r="AT1326" s="364"/>
      <c r="AU1326" s="364"/>
      <c r="AV1326" s="364"/>
      <c r="AW1326" s="364"/>
      <c r="AX1326" s="364"/>
      <c r="AY1326" s="364"/>
      <c r="AZ1326" s="364"/>
      <c r="BA1326" s="364"/>
      <c r="BB1326" s="364"/>
      <c r="BC1326" s="364"/>
      <c r="BD1326" s="387"/>
      <c r="BE1326" s="386"/>
      <c r="BF1326" s="364"/>
      <c r="BG1326" s="364"/>
      <c r="BH1326" s="364"/>
      <c r="BI1326" s="364"/>
      <c r="BJ1326" s="364"/>
      <c r="BK1326" s="364"/>
      <c r="BL1326" s="364"/>
      <c r="BM1326" s="364"/>
      <c r="BN1326" s="364"/>
      <c r="BO1326" s="364"/>
      <c r="BP1326" s="364"/>
      <c r="BQ1326" s="387"/>
      <c r="BR1326" s="386"/>
      <c r="BS1326" s="364"/>
      <c r="BT1326" s="364"/>
      <c r="BU1326" s="364"/>
      <c r="BV1326" s="364"/>
      <c r="BW1326" s="364"/>
      <c r="BX1326" s="364"/>
      <c r="BY1326" s="364"/>
      <c r="BZ1326" s="387"/>
      <c r="CA1326" s="270"/>
      <c r="CB1326" s="3" t="str">
        <f t="shared" si="189"/>
        <v>Riadok bude skrytý.</v>
      </c>
      <c r="CC1326" s="271" t="s">
        <v>832</v>
      </c>
      <c r="CW1326" s="30">
        <f t="shared" si="206"/>
        <v>1</v>
      </c>
      <c r="CX1326" s="30">
        <f t="shared" si="202"/>
        <v>1</v>
      </c>
      <c r="CY1326" s="30">
        <f t="shared" si="204"/>
        <v>0</v>
      </c>
      <c r="CZ1326" s="30">
        <f t="shared" si="200"/>
        <v>1</v>
      </c>
      <c r="DA1326" s="53">
        <f t="shared" si="205"/>
        <v>0</v>
      </c>
      <c r="DB1326" s="2">
        <f t="shared" si="203"/>
        <v>0</v>
      </c>
      <c r="DS1326" s="130">
        <f>SI!BY1326</f>
        <v>192</v>
      </c>
      <c r="DZ1326" s="131">
        <f>SI!BZ1326</f>
        <v>0</v>
      </c>
    </row>
    <row r="1327" spans="1:130" hidden="1" x14ac:dyDescent="0.25">
      <c r="A1327" s="141"/>
      <c r="B1327" s="549"/>
      <c r="C1327" s="550"/>
      <c r="D1327" s="550"/>
      <c r="E1327" s="550"/>
      <c r="F1327" s="550"/>
      <c r="G1327" s="550"/>
      <c r="H1327" s="550"/>
      <c r="I1327" s="550"/>
      <c r="J1327" s="550"/>
      <c r="K1327" s="550"/>
      <c r="L1327" s="550"/>
      <c r="M1327" s="550"/>
      <c r="N1327" s="550"/>
      <c r="O1327" s="550"/>
      <c r="P1327" s="550"/>
      <c r="Q1327" s="550"/>
      <c r="R1327" s="550"/>
      <c r="S1327" s="550"/>
      <c r="T1327" s="388"/>
      <c r="U1327" s="389"/>
      <c r="V1327" s="389"/>
      <c r="W1327" s="389"/>
      <c r="X1327" s="389"/>
      <c r="Y1327" s="389"/>
      <c r="Z1327" s="389"/>
      <c r="AA1327" s="389"/>
      <c r="AB1327" s="389"/>
      <c r="AC1327" s="389"/>
      <c r="AD1327" s="389"/>
      <c r="AE1327" s="389"/>
      <c r="AF1327" s="390"/>
      <c r="AG1327" s="388"/>
      <c r="AH1327" s="389"/>
      <c r="AI1327" s="389"/>
      <c r="AJ1327" s="389"/>
      <c r="AK1327" s="389"/>
      <c r="AL1327" s="389"/>
      <c r="AM1327" s="389"/>
      <c r="AN1327" s="389"/>
      <c r="AO1327" s="389"/>
      <c r="AP1327" s="389"/>
      <c r="AQ1327" s="389"/>
      <c r="AR1327" s="390"/>
      <c r="AS1327" s="363"/>
      <c r="AT1327" s="364"/>
      <c r="AU1327" s="364"/>
      <c r="AV1327" s="364"/>
      <c r="AW1327" s="364"/>
      <c r="AX1327" s="364"/>
      <c r="AY1327" s="364"/>
      <c r="AZ1327" s="364"/>
      <c r="BA1327" s="364"/>
      <c r="BB1327" s="364"/>
      <c r="BC1327" s="364"/>
      <c r="BD1327" s="387"/>
      <c r="BE1327" s="386"/>
      <c r="BF1327" s="364"/>
      <c r="BG1327" s="364"/>
      <c r="BH1327" s="364"/>
      <c r="BI1327" s="364"/>
      <c r="BJ1327" s="364"/>
      <c r="BK1327" s="364"/>
      <c r="BL1327" s="364"/>
      <c r="BM1327" s="364"/>
      <c r="BN1327" s="364"/>
      <c r="BO1327" s="364"/>
      <c r="BP1327" s="364"/>
      <c r="BQ1327" s="387"/>
      <c r="BR1327" s="386"/>
      <c r="BS1327" s="364"/>
      <c r="BT1327" s="364"/>
      <c r="BU1327" s="364"/>
      <c r="BV1327" s="364"/>
      <c r="BW1327" s="364"/>
      <c r="BX1327" s="364"/>
      <c r="BY1327" s="364"/>
      <c r="BZ1327" s="387"/>
      <c r="CA1327" s="270"/>
      <c r="CB1327" s="3" t="str">
        <f t="shared" si="189"/>
        <v>Riadok bude skrytý.</v>
      </c>
      <c r="CC1327" s="271" t="s">
        <v>832</v>
      </c>
      <c r="CW1327" s="30">
        <f t="shared" si="206"/>
        <v>1</v>
      </c>
      <c r="CX1327" s="30">
        <f t="shared" si="202"/>
        <v>1</v>
      </c>
      <c r="CY1327" s="30">
        <f t="shared" si="204"/>
        <v>0</v>
      </c>
      <c r="CZ1327" s="30">
        <f t="shared" si="200"/>
        <v>1</v>
      </c>
      <c r="DA1327" s="53">
        <f t="shared" si="205"/>
        <v>0</v>
      </c>
      <c r="DB1327" s="2">
        <f t="shared" si="203"/>
        <v>0</v>
      </c>
      <c r="DS1327" s="130">
        <f>SI!BY1327</f>
        <v>819</v>
      </c>
      <c r="DZ1327" s="131">
        <f>SI!BZ1327</f>
        <v>0</v>
      </c>
    </row>
    <row r="1328" spans="1:130" hidden="1" x14ac:dyDescent="0.25">
      <c r="A1328" s="141"/>
      <c r="B1328" s="549"/>
      <c r="C1328" s="550"/>
      <c r="D1328" s="550"/>
      <c r="E1328" s="550"/>
      <c r="F1328" s="550"/>
      <c r="G1328" s="550"/>
      <c r="H1328" s="550"/>
      <c r="I1328" s="550"/>
      <c r="J1328" s="550"/>
      <c r="K1328" s="550"/>
      <c r="L1328" s="550"/>
      <c r="M1328" s="550"/>
      <c r="N1328" s="550"/>
      <c r="O1328" s="550"/>
      <c r="P1328" s="550"/>
      <c r="Q1328" s="550"/>
      <c r="R1328" s="550"/>
      <c r="S1328" s="550"/>
      <c r="T1328" s="388"/>
      <c r="U1328" s="389"/>
      <c r="V1328" s="389"/>
      <c r="W1328" s="389"/>
      <c r="X1328" s="389"/>
      <c r="Y1328" s="389"/>
      <c r="Z1328" s="389"/>
      <c r="AA1328" s="389"/>
      <c r="AB1328" s="389"/>
      <c r="AC1328" s="389"/>
      <c r="AD1328" s="389"/>
      <c r="AE1328" s="389"/>
      <c r="AF1328" s="390"/>
      <c r="AG1328" s="388"/>
      <c r="AH1328" s="389"/>
      <c r="AI1328" s="389"/>
      <c r="AJ1328" s="389"/>
      <c r="AK1328" s="389"/>
      <c r="AL1328" s="389"/>
      <c r="AM1328" s="389"/>
      <c r="AN1328" s="389"/>
      <c r="AO1328" s="389"/>
      <c r="AP1328" s="389"/>
      <c r="AQ1328" s="389"/>
      <c r="AR1328" s="390"/>
      <c r="AS1328" s="363"/>
      <c r="AT1328" s="364"/>
      <c r="AU1328" s="364"/>
      <c r="AV1328" s="364"/>
      <c r="AW1328" s="364"/>
      <c r="AX1328" s="364"/>
      <c r="AY1328" s="364"/>
      <c r="AZ1328" s="364"/>
      <c r="BA1328" s="364"/>
      <c r="BB1328" s="364"/>
      <c r="BC1328" s="364"/>
      <c r="BD1328" s="387"/>
      <c r="BE1328" s="386"/>
      <c r="BF1328" s="364"/>
      <c r="BG1328" s="364"/>
      <c r="BH1328" s="364"/>
      <c r="BI1328" s="364"/>
      <c r="BJ1328" s="364"/>
      <c r="BK1328" s="364"/>
      <c r="BL1328" s="364"/>
      <c r="BM1328" s="364"/>
      <c r="BN1328" s="364"/>
      <c r="BO1328" s="364"/>
      <c r="BP1328" s="364"/>
      <c r="BQ1328" s="387"/>
      <c r="BR1328" s="386"/>
      <c r="BS1328" s="364"/>
      <c r="BT1328" s="364"/>
      <c r="BU1328" s="364"/>
      <c r="BV1328" s="364"/>
      <c r="BW1328" s="364"/>
      <c r="BX1328" s="364"/>
      <c r="BY1328" s="364"/>
      <c r="BZ1328" s="387"/>
      <c r="CA1328" s="270"/>
      <c r="CB1328" s="3" t="str">
        <f t="shared" si="189"/>
        <v>Riadok bude skrytý.</v>
      </c>
      <c r="CC1328" s="271" t="s">
        <v>832</v>
      </c>
      <c r="CW1328" s="30">
        <f t="shared" si="206"/>
        <v>1</v>
      </c>
      <c r="CX1328" s="30">
        <f t="shared" si="202"/>
        <v>1</v>
      </c>
      <c r="CY1328" s="30">
        <f t="shared" si="204"/>
        <v>0</v>
      </c>
      <c r="CZ1328" s="30">
        <f t="shared" si="200"/>
        <v>1</v>
      </c>
      <c r="DA1328" s="53">
        <f t="shared" si="205"/>
        <v>0</v>
      </c>
      <c r="DB1328" s="2">
        <f t="shared" si="203"/>
        <v>0</v>
      </c>
      <c r="DS1328" s="130">
        <f>SI!BY1328</f>
        <v>648</v>
      </c>
      <c r="DZ1328" s="131">
        <f>SI!BZ1328</f>
        <v>0</v>
      </c>
    </row>
    <row r="1329" spans="1:130" hidden="1" x14ac:dyDescent="0.25">
      <c r="A1329" s="141"/>
      <c r="B1329" s="1717"/>
      <c r="C1329" s="1718"/>
      <c r="D1329" s="1718"/>
      <c r="E1329" s="1718"/>
      <c r="F1329" s="1718"/>
      <c r="G1329" s="1718"/>
      <c r="H1329" s="1718"/>
      <c r="I1329" s="1718"/>
      <c r="J1329" s="1718"/>
      <c r="K1329" s="1718"/>
      <c r="L1329" s="1718"/>
      <c r="M1329" s="1718"/>
      <c r="N1329" s="1718"/>
      <c r="O1329" s="1718"/>
      <c r="P1329" s="1718"/>
      <c r="Q1329" s="1718"/>
      <c r="R1329" s="1718"/>
      <c r="S1329" s="1718"/>
      <c r="T1329" s="1249"/>
      <c r="U1329" s="1250"/>
      <c r="V1329" s="1250"/>
      <c r="W1329" s="1250"/>
      <c r="X1329" s="1250"/>
      <c r="Y1329" s="1250"/>
      <c r="Z1329" s="1250"/>
      <c r="AA1329" s="1250"/>
      <c r="AB1329" s="1250"/>
      <c r="AC1329" s="1250"/>
      <c r="AD1329" s="1250"/>
      <c r="AE1329" s="1250"/>
      <c r="AF1329" s="1251"/>
      <c r="AG1329" s="1249"/>
      <c r="AH1329" s="1250"/>
      <c r="AI1329" s="1250"/>
      <c r="AJ1329" s="1250"/>
      <c r="AK1329" s="1250"/>
      <c r="AL1329" s="1250"/>
      <c r="AM1329" s="1250"/>
      <c r="AN1329" s="1250"/>
      <c r="AO1329" s="1250"/>
      <c r="AP1329" s="1250"/>
      <c r="AQ1329" s="1250"/>
      <c r="AR1329" s="1251"/>
      <c r="AS1329" s="367"/>
      <c r="AT1329" s="368"/>
      <c r="AU1329" s="368"/>
      <c r="AV1329" s="368"/>
      <c r="AW1329" s="368"/>
      <c r="AX1329" s="368"/>
      <c r="AY1329" s="368"/>
      <c r="AZ1329" s="368"/>
      <c r="BA1329" s="368"/>
      <c r="BB1329" s="368"/>
      <c r="BC1329" s="368"/>
      <c r="BD1329" s="438"/>
      <c r="BE1329" s="457"/>
      <c r="BF1329" s="368"/>
      <c r="BG1329" s="368"/>
      <c r="BH1329" s="368"/>
      <c r="BI1329" s="368"/>
      <c r="BJ1329" s="368"/>
      <c r="BK1329" s="368"/>
      <c r="BL1329" s="368"/>
      <c r="BM1329" s="368"/>
      <c r="BN1329" s="368"/>
      <c r="BO1329" s="368"/>
      <c r="BP1329" s="368"/>
      <c r="BQ1329" s="438"/>
      <c r="BR1329" s="457"/>
      <c r="BS1329" s="368"/>
      <c r="BT1329" s="368"/>
      <c r="BU1329" s="368"/>
      <c r="BV1329" s="368"/>
      <c r="BW1329" s="368"/>
      <c r="BX1329" s="368"/>
      <c r="BY1329" s="368"/>
      <c r="BZ1329" s="438"/>
      <c r="CA1329" s="270"/>
      <c r="CB1329" s="3" t="str">
        <f t="shared" si="189"/>
        <v>Riadok bude skrytý.</v>
      </c>
      <c r="CC1329" s="271" t="s">
        <v>832</v>
      </c>
      <c r="CW1329" s="30">
        <f t="shared" si="206"/>
        <v>1</v>
      </c>
      <c r="CX1329" s="30">
        <f t="shared" si="202"/>
        <v>1</v>
      </c>
      <c r="CZ1329" s="30">
        <f>IF(CC1329="",1,IF(CC1329="Chcem skryť riadok.",0,1))</f>
        <v>1</v>
      </c>
      <c r="DA1329" s="52">
        <f>+IF(CW1329*CX1329=0,0,IF(CZ1329=0,0,1))</f>
        <v>1</v>
      </c>
      <c r="DB1329" s="2">
        <f t="shared" si="203"/>
        <v>0</v>
      </c>
      <c r="DS1329" s="130">
        <f>SI!BY1329</f>
        <v>150</v>
      </c>
      <c r="DZ1329" s="131">
        <f>SI!BZ1329</f>
        <v>0</v>
      </c>
    </row>
    <row r="1330" spans="1:130" hidden="1" x14ac:dyDescent="0.25">
      <c r="A1330" s="141"/>
      <c r="B1330" s="2070" t="s">
        <v>944</v>
      </c>
      <c r="C1330" s="2071"/>
      <c r="D1330" s="2071"/>
      <c r="E1330" s="2071"/>
      <c r="F1330" s="2071"/>
      <c r="G1330" s="2071"/>
      <c r="H1330" s="2071"/>
      <c r="I1330" s="2071"/>
      <c r="J1330" s="2071"/>
      <c r="K1330" s="2071"/>
      <c r="L1330" s="2071"/>
      <c r="M1330" s="2071"/>
      <c r="N1330" s="2071"/>
      <c r="O1330" s="2071"/>
      <c r="P1330" s="2071"/>
      <c r="Q1330" s="2071"/>
      <c r="R1330" s="2071"/>
      <c r="S1330" s="2071"/>
      <c r="T1330" s="1708" t="s">
        <v>26</v>
      </c>
      <c r="U1330" s="1709"/>
      <c r="V1330" s="1709"/>
      <c r="W1330" s="1709"/>
      <c r="X1330" s="1709"/>
      <c r="Y1330" s="1709"/>
      <c r="Z1330" s="1709"/>
      <c r="AA1330" s="1709"/>
      <c r="AB1330" s="1709"/>
      <c r="AC1330" s="1709"/>
      <c r="AD1330" s="1709"/>
      <c r="AE1330" s="1709"/>
      <c r="AF1330" s="1710"/>
      <c r="AG1330" s="1708" t="s">
        <v>26</v>
      </c>
      <c r="AH1330" s="1709"/>
      <c r="AI1330" s="1709"/>
      <c r="AJ1330" s="1709"/>
      <c r="AK1330" s="1709"/>
      <c r="AL1330" s="1709"/>
      <c r="AM1330" s="1709"/>
      <c r="AN1330" s="1709"/>
      <c r="AO1330" s="1709"/>
      <c r="AP1330" s="1709"/>
      <c r="AQ1330" s="1709"/>
      <c r="AR1330" s="1709"/>
      <c r="AS1330" s="1708" t="s">
        <v>26</v>
      </c>
      <c r="AT1330" s="1709"/>
      <c r="AU1330" s="1709"/>
      <c r="AV1330" s="1709"/>
      <c r="AW1330" s="1709"/>
      <c r="AX1330" s="1709"/>
      <c r="AY1330" s="1709"/>
      <c r="AZ1330" s="1709"/>
      <c r="BA1330" s="1709"/>
      <c r="BB1330" s="1709"/>
      <c r="BC1330" s="1709"/>
      <c r="BD1330" s="1710"/>
      <c r="BE1330" s="1708" t="s">
        <v>26</v>
      </c>
      <c r="BF1330" s="1709"/>
      <c r="BG1330" s="1709"/>
      <c r="BH1330" s="1709"/>
      <c r="BI1330" s="1709"/>
      <c r="BJ1330" s="1709"/>
      <c r="BK1330" s="1709"/>
      <c r="BL1330" s="1709"/>
      <c r="BM1330" s="1709"/>
      <c r="BN1330" s="1709"/>
      <c r="BO1330" s="1709"/>
      <c r="BP1330" s="1709"/>
      <c r="BQ1330" s="1710"/>
      <c r="BR1330" s="424">
        <f>+SUM(BR1287:BZ1329)</f>
        <v>0</v>
      </c>
      <c r="BS1330" s="424"/>
      <c r="BT1330" s="424"/>
      <c r="BU1330" s="424"/>
      <c r="BV1330" s="424"/>
      <c r="BW1330" s="424"/>
      <c r="BX1330" s="424"/>
      <c r="BY1330" s="424"/>
      <c r="BZ1330" s="425"/>
      <c r="CA1330" s="270"/>
      <c r="CB1330" s="3" t="str">
        <f t="shared" si="189"/>
        <v>Riadok bude skrytý.</v>
      </c>
      <c r="CC1330" s="271" t="s">
        <v>832</v>
      </c>
      <c r="CW1330" s="30">
        <f t="shared" si="206"/>
        <v>1</v>
      </c>
      <c r="CX1330" s="30">
        <f t="shared" si="202"/>
        <v>1</v>
      </c>
      <c r="CZ1330" s="30">
        <f t="shared" si="200"/>
        <v>1</v>
      </c>
      <c r="DA1330" s="52">
        <f t="shared" ref="DA1330:DA1380" si="207">+IF(CW1330*CX1330=0,0,IF(CZ1330=0,0,1))</f>
        <v>1</v>
      </c>
      <c r="DB1330" s="2">
        <f t="shared" si="203"/>
        <v>0</v>
      </c>
      <c r="DS1330" s="130">
        <f>SI!BY1330</f>
        <v>533</v>
      </c>
      <c r="DZ1330" s="131">
        <f>SI!BZ1330</f>
        <v>0</v>
      </c>
    </row>
    <row r="1331" spans="1:130" hidden="1" x14ac:dyDescent="0.25">
      <c r="A1331" s="141"/>
      <c r="CA1331" s="270"/>
      <c r="CB1331" s="3" t="str">
        <f t="shared" ref="CB1331:CB1394" si="208">+IF(DB1331=0,"Riadok bude skrytý.","Riadok bude vidieť.")</f>
        <v>Riadok bude skrytý.</v>
      </c>
      <c r="CC1331" s="271" t="s">
        <v>832</v>
      </c>
      <c r="CW1331" s="30">
        <f t="shared" si="206"/>
        <v>1</v>
      </c>
      <c r="CZ1331" s="30">
        <f t="shared" si="200"/>
        <v>1</v>
      </c>
      <c r="DA1331" s="30">
        <f>+IF(CW1331+CX1331+CY1331=0,0,IF(CZ1331=0,0,1))</f>
        <v>1</v>
      </c>
      <c r="DB1331" s="2">
        <f t="shared" si="203"/>
        <v>0</v>
      </c>
      <c r="DS1331" s="130">
        <f>SI!BY1331</f>
        <v>172</v>
      </c>
      <c r="DZ1331" s="131">
        <f>SI!BZ1331</f>
        <v>0</v>
      </c>
    </row>
    <row r="1332" spans="1:130" hidden="1" x14ac:dyDescent="0.25">
      <c r="A1332" s="141"/>
      <c r="B1332" s="137" t="s">
        <v>96</v>
      </c>
      <c r="C1332" s="14"/>
      <c r="D1332" s="14"/>
      <c r="E1332" s="14"/>
      <c r="F1332" s="14"/>
      <c r="G1332" s="14"/>
      <c r="H1332" s="14"/>
      <c r="I1332" s="14"/>
      <c r="J1332" s="14"/>
      <c r="K1332" s="378" t="s">
        <v>97</v>
      </c>
      <c r="L1332" s="378"/>
      <c r="M1332" s="378"/>
      <c r="N1332" s="378"/>
      <c r="O1332" s="378"/>
      <c r="P1332" s="378"/>
      <c r="Q1332" s="137" t="str">
        <f>+IF($K$52&lt;&gt;"",IF(INT(SQRT((CODE(MID($K$52,1,1)))))*(IF(SI!EE1332="",1,SI!EE1332-1))+LEN(SI!J5)=DS1332,"dlhové CP držané do splatnosti. ","NEPOVOLENÉ POUŽITIE!"),"NEPOVOLENÉ POUŽITIE!")</f>
        <v xml:space="preserve">dlhové CP držané do splatnosti. </v>
      </c>
      <c r="S1332" s="14"/>
      <c r="T1332" s="14"/>
      <c r="U1332" s="14"/>
      <c r="V1332" s="14"/>
      <c r="W1332" s="14"/>
      <c r="X1332" s="14"/>
      <c r="Y1332" s="14"/>
      <c r="Z1332" s="14"/>
      <c r="AA1332" s="14"/>
      <c r="AB1332" s="14"/>
      <c r="AC1332" s="14"/>
      <c r="AD1332" s="14"/>
      <c r="AE1332" s="14"/>
      <c r="AF1332" s="14"/>
      <c r="AG1332" s="14"/>
      <c r="AH1332" s="14"/>
      <c r="AI1332" s="14"/>
      <c r="AJ1332" s="14"/>
      <c r="AK1332" s="14"/>
      <c r="AL1332" s="14"/>
      <c r="AM1332" s="14"/>
      <c r="AN1332" s="14"/>
      <c r="AO1332" s="14"/>
      <c r="AP1332" s="14"/>
      <c r="AQ1332" s="14"/>
      <c r="AR1332" s="14"/>
      <c r="AS1332" s="14"/>
      <c r="AT1332" s="14"/>
      <c r="AU1332" s="14"/>
      <c r="AV1332" s="14"/>
      <c r="AW1332" s="14"/>
      <c r="AX1332" s="14"/>
      <c r="AY1332" s="14"/>
      <c r="AZ1332" s="14"/>
      <c r="BA1332" s="14"/>
      <c r="BB1332" s="14"/>
      <c r="BC1332" s="14"/>
      <c r="BD1332" s="14"/>
      <c r="BE1332" s="14"/>
      <c r="BF1332" s="14"/>
      <c r="BG1332" s="14"/>
      <c r="BH1332" s="14"/>
      <c r="BI1332" s="14"/>
      <c r="BJ1332" s="14"/>
      <c r="BK1332" s="14"/>
      <c r="BL1332" s="14"/>
      <c r="BM1332" s="14"/>
      <c r="BN1332" s="14"/>
      <c r="BO1332" s="14"/>
      <c r="BP1332" s="14"/>
      <c r="BQ1332" s="14"/>
      <c r="BR1332" s="14"/>
      <c r="BS1332" s="14"/>
      <c r="BT1332" s="14"/>
      <c r="BU1332" s="14"/>
      <c r="BV1332" s="14"/>
      <c r="BW1332" s="14"/>
      <c r="BX1332" s="14"/>
      <c r="BY1332" s="14"/>
      <c r="BZ1332" s="14"/>
      <c r="CA1332" s="265" t="s">
        <v>773</v>
      </c>
      <c r="CB1332" s="3" t="str">
        <f t="shared" si="208"/>
        <v>Riadok bude skrytý.</v>
      </c>
      <c r="CC1332" s="271" t="s">
        <v>832</v>
      </c>
      <c r="CF1332" s="13"/>
      <c r="CW1332" s="30">
        <f t="shared" si="206"/>
        <v>1</v>
      </c>
      <c r="CX1332" s="30">
        <f>+IF($K$1332="nemá",1,1)</f>
        <v>1</v>
      </c>
      <c r="CZ1332" s="30">
        <f t="shared" si="200"/>
        <v>1</v>
      </c>
      <c r="DA1332" s="52">
        <f t="shared" si="207"/>
        <v>1</v>
      </c>
      <c r="DB1332" s="2">
        <f t="shared" si="203"/>
        <v>0</v>
      </c>
      <c r="DS1332" s="130">
        <f>SI!BY1332</f>
        <v>15</v>
      </c>
      <c r="DZ1332" s="131">
        <f>SI!BZ1332</f>
        <v>0</v>
      </c>
    </row>
    <row r="1333" spans="1:130" hidden="1" x14ac:dyDescent="0.25">
      <c r="A1333" s="141"/>
      <c r="B1333" s="137" t="str">
        <f>+IF(K1332="má","Údaje o dlhových cenných papieroch držaných do splatnosti sú uvedené v tabuľke:","")</f>
        <v>Údaje o dlhových cenných papieroch držaných do splatnosti sú uvedené v tabuľke:</v>
      </c>
      <c r="C1333" s="14"/>
      <c r="D1333" s="14"/>
      <c r="E1333" s="14"/>
      <c r="F1333" s="14"/>
      <c r="G1333" s="14"/>
      <c r="H1333" s="14"/>
      <c r="S1333" s="14"/>
      <c r="T1333" s="14"/>
      <c r="U1333" s="14"/>
      <c r="V1333" s="14"/>
      <c r="W1333" s="14"/>
      <c r="X1333" s="14"/>
      <c r="Y1333" s="14"/>
      <c r="Z1333" s="14"/>
      <c r="AA1333" s="14"/>
      <c r="AB1333" s="14"/>
      <c r="AC1333" s="14"/>
      <c r="AD1333" s="14"/>
      <c r="AE1333" s="14"/>
      <c r="AF1333" s="14"/>
      <c r="AG1333" s="14"/>
      <c r="AH1333" s="14"/>
      <c r="AI1333" s="14"/>
      <c r="AJ1333" s="14"/>
      <c r="AK1333" s="14"/>
      <c r="AL1333" s="14"/>
      <c r="AM1333" s="14"/>
      <c r="AN1333" s="14"/>
      <c r="AO1333" s="14"/>
      <c r="AP1333" s="14"/>
      <c r="AQ1333" s="14"/>
      <c r="AR1333" s="14"/>
      <c r="AS1333" s="14"/>
      <c r="AT1333" s="14"/>
      <c r="AU1333" s="14"/>
      <c r="AV1333" s="14"/>
      <c r="AW1333" s="14"/>
      <c r="AX1333" s="14"/>
      <c r="AY1333" s="14"/>
      <c r="AZ1333" s="14"/>
      <c r="BA1333" s="14"/>
      <c r="BB1333" s="14"/>
      <c r="BC1333" s="14"/>
      <c r="BD1333" s="14"/>
      <c r="BE1333" s="14"/>
      <c r="BF1333" s="14"/>
      <c r="BG1333" s="14"/>
      <c r="BH1333" s="14"/>
      <c r="BI1333" s="14"/>
      <c r="BJ1333" s="14"/>
      <c r="BK1333" s="14"/>
      <c r="BL1333" s="14"/>
      <c r="BM1333" s="14"/>
      <c r="BN1333" s="14"/>
      <c r="BO1333" s="14"/>
      <c r="BP1333" s="14"/>
      <c r="BQ1333" s="14"/>
      <c r="BR1333" s="14"/>
      <c r="BS1333" s="14"/>
      <c r="BT1333" s="14"/>
      <c r="BU1333" s="14"/>
      <c r="BV1333" s="14"/>
      <c r="BW1333" s="14"/>
      <c r="BX1333" s="14"/>
      <c r="BY1333" s="14"/>
      <c r="BZ1333" s="14"/>
      <c r="CA1333" s="270"/>
      <c r="CB1333" s="3" t="str">
        <f t="shared" si="208"/>
        <v>Riadok bude skrytý.</v>
      </c>
      <c r="CC1333" s="271" t="s">
        <v>832</v>
      </c>
      <c r="CF1333" s="13"/>
      <c r="CW1333" s="30">
        <f t="shared" si="206"/>
        <v>1</v>
      </c>
      <c r="CX1333" s="30">
        <f>+IF($K$1332="nemá",0,1)</f>
        <v>1</v>
      </c>
      <c r="CZ1333" s="30">
        <f t="shared" si="200"/>
        <v>1</v>
      </c>
      <c r="DA1333" s="52">
        <f t="shared" si="207"/>
        <v>1</v>
      </c>
      <c r="DB1333" s="2">
        <f t="shared" si="203"/>
        <v>0</v>
      </c>
      <c r="DS1333" s="130">
        <f>SI!BY1333</f>
        <v>191</v>
      </c>
      <c r="DZ1333" s="131">
        <f>SI!BZ1333</f>
        <v>0</v>
      </c>
    </row>
    <row r="1334" spans="1:130" hidden="1" x14ac:dyDescent="0.25">
      <c r="A1334" s="141"/>
      <c r="CA1334" s="270"/>
      <c r="CB1334" s="3" t="str">
        <f t="shared" si="208"/>
        <v>Riadok bude skrytý.</v>
      </c>
      <c r="CC1334" s="271" t="s">
        <v>832</v>
      </c>
      <c r="CW1334" s="30">
        <f t="shared" si="206"/>
        <v>1</v>
      </c>
      <c r="CX1334" s="30">
        <f>+IF(K1332="nemá",0,1)</f>
        <v>1</v>
      </c>
      <c r="CZ1334" s="30">
        <f t="shared" si="200"/>
        <v>1</v>
      </c>
      <c r="DA1334" s="52">
        <f t="shared" si="207"/>
        <v>1</v>
      </c>
      <c r="DB1334" s="2">
        <f t="shared" si="203"/>
        <v>0</v>
      </c>
      <c r="DS1334" s="130">
        <f>SI!BY1334</f>
        <v>966</v>
      </c>
      <c r="DZ1334" s="131">
        <f>SI!BZ1334</f>
        <v>0</v>
      </c>
    </row>
    <row r="1335" spans="1:130" ht="14.95" hidden="1" customHeight="1" x14ac:dyDescent="0.25">
      <c r="A1335" s="141"/>
      <c r="B1335" s="1065" t="str">
        <f>+IF(LEN(SI!$J$3)=Poznamky_k_UZ!DZ1335,"Dlhové CP držané do splatnosti","")</f>
        <v>Dlhové CP držané do splatnosti</v>
      </c>
      <c r="C1335" s="1066"/>
      <c r="D1335" s="1066"/>
      <c r="E1335" s="1066"/>
      <c r="F1335" s="1066"/>
      <c r="G1335" s="1066"/>
      <c r="H1335" s="1066"/>
      <c r="I1335" s="1066"/>
      <c r="J1335" s="1066"/>
      <c r="K1335" s="1066"/>
      <c r="L1335" s="1066"/>
      <c r="M1335" s="1066"/>
      <c r="N1335" s="1066"/>
      <c r="O1335" s="1066"/>
      <c r="P1335" s="1066"/>
      <c r="Q1335" s="1066"/>
      <c r="R1335" s="1066"/>
      <c r="S1335" s="1692"/>
      <c r="T1335" s="1720" t="s">
        <v>142</v>
      </c>
      <c r="U1335" s="1721"/>
      <c r="V1335" s="1721"/>
      <c r="W1335" s="1721"/>
      <c r="X1335" s="1721"/>
      <c r="Y1335" s="1721"/>
      <c r="Z1335" s="1721"/>
      <c r="AA1335" s="1721"/>
      <c r="AB1335" s="1721"/>
      <c r="AC1335" s="1722"/>
      <c r="AD1335" s="1720" t="s">
        <v>432</v>
      </c>
      <c r="AE1335" s="1721"/>
      <c r="AF1335" s="1721"/>
      <c r="AG1335" s="1721"/>
      <c r="AH1335" s="1721"/>
      <c r="AI1335" s="1721"/>
      <c r="AJ1335" s="1721"/>
      <c r="AK1335" s="1721"/>
      <c r="AL1335" s="1722"/>
      <c r="AM1335" s="1720" t="s">
        <v>143</v>
      </c>
      <c r="AN1335" s="1721"/>
      <c r="AO1335" s="1721"/>
      <c r="AP1335" s="1721"/>
      <c r="AQ1335" s="1721"/>
      <c r="AR1335" s="1721"/>
      <c r="AS1335" s="1721"/>
      <c r="AT1335" s="1721"/>
      <c r="AU1335" s="1722"/>
      <c r="AV1335" s="1898" t="s">
        <v>144</v>
      </c>
      <c r="AW1335" s="1721"/>
      <c r="AX1335" s="1721"/>
      <c r="AY1335" s="1721"/>
      <c r="AZ1335" s="1721"/>
      <c r="BA1335" s="1721"/>
      <c r="BB1335" s="1721"/>
      <c r="BC1335" s="1721"/>
      <c r="BD1335" s="1721"/>
      <c r="BE1335" s="1899"/>
      <c r="BF1335" s="1677" t="s">
        <v>145</v>
      </c>
      <c r="BG1335" s="1678"/>
      <c r="BH1335" s="1678"/>
      <c r="BI1335" s="1678"/>
      <c r="BJ1335" s="1678"/>
      <c r="BK1335" s="1678"/>
      <c r="BL1335" s="1678"/>
      <c r="BM1335" s="1678"/>
      <c r="BN1335" s="1678"/>
      <c r="BO1335" s="1678"/>
      <c r="BP1335" s="1679"/>
      <c r="BQ1335" s="1720" t="s">
        <v>146</v>
      </c>
      <c r="BR1335" s="1721"/>
      <c r="BS1335" s="1721"/>
      <c r="BT1335" s="1721"/>
      <c r="BU1335" s="1721"/>
      <c r="BV1335" s="1721"/>
      <c r="BW1335" s="1721"/>
      <c r="BX1335" s="1721"/>
      <c r="BY1335" s="1721"/>
      <c r="BZ1335" s="1722"/>
      <c r="CA1335" s="265" t="s">
        <v>773</v>
      </c>
      <c r="CB1335" s="3" t="str">
        <f t="shared" si="208"/>
        <v>Riadok bude skrytý.</v>
      </c>
      <c r="CC1335" s="271" t="s">
        <v>832</v>
      </c>
      <c r="CD1335" s="4"/>
      <c r="CW1335" s="30">
        <f t="shared" si="206"/>
        <v>1</v>
      </c>
      <c r="CX1335" s="32">
        <f>+IF($K$1332="nemá",0,1)</f>
        <v>1</v>
      </c>
      <c r="CZ1335" s="30">
        <f t="shared" si="200"/>
        <v>1</v>
      </c>
      <c r="DA1335" s="52">
        <f t="shared" si="207"/>
        <v>1</v>
      </c>
      <c r="DB1335" s="2">
        <f t="shared" si="203"/>
        <v>0</v>
      </c>
      <c r="DS1335" s="130">
        <f>SI!BY1335</f>
        <v>165</v>
      </c>
      <c r="DZ1335" s="131">
        <f>SI!BZ1335</f>
        <v>5</v>
      </c>
    </row>
    <row r="1336" spans="1:130" ht="14.95" hidden="1" customHeight="1" x14ac:dyDescent="0.25">
      <c r="A1336" s="141"/>
      <c r="B1336" s="1693"/>
      <c r="C1336" s="1694"/>
      <c r="D1336" s="1694"/>
      <c r="E1336" s="1694"/>
      <c r="F1336" s="1694"/>
      <c r="G1336" s="1694"/>
      <c r="H1336" s="1694"/>
      <c r="I1336" s="1694"/>
      <c r="J1336" s="1694"/>
      <c r="K1336" s="1694"/>
      <c r="L1336" s="1694"/>
      <c r="M1336" s="1694"/>
      <c r="N1336" s="1694"/>
      <c r="O1336" s="1694"/>
      <c r="P1336" s="1694"/>
      <c r="Q1336" s="1694"/>
      <c r="R1336" s="1694"/>
      <c r="S1336" s="1695"/>
      <c r="T1336" s="1723"/>
      <c r="U1336" s="1724"/>
      <c r="V1336" s="1724"/>
      <c r="W1336" s="1724"/>
      <c r="X1336" s="1724"/>
      <c r="Y1336" s="1724"/>
      <c r="Z1336" s="1724"/>
      <c r="AA1336" s="1724"/>
      <c r="AB1336" s="1724"/>
      <c r="AC1336" s="1725"/>
      <c r="AD1336" s="1729"/>
      <c r="AE1336" s="1730"/>
      <c r="AF1336" s="1730"/>
      <c r="AG1336" s="1730"/>
      <c r="AH1336" s="1730"/>
      <c r="AI1336" s="1730"/>
      <c r="AJ1336" s="1730"/>
      <c r="AK1336" s="1730"/>
      <c r="AL1336" s="1731"/>
      <c r="AM1336" s="1723"/>
      <c r="AN1336" s="1724"/>
      <c r="AO1336" s="1724"/>
      <c r="AP1336" s="1724"/>
      <c r="AQ1336" s="1724"/>
      <c r="AR1336" s="1724"/>
      <c r="AS1336" s="1724"/>
      <c r="AT1336" s="1724"/>
      <c r="AU1336" s="1725"/>
      <c r="AV1336" s="1900"/>
      <c r="AW1336" s="1724"/>
      <c r="AX1336" s="1724"/>
      <c r="AY1336" s="1724"/>
      <c r="AZ1336" s="1724"/>
      <c r="BA1336" s="1724"/>
      <c r="BB1336" s="1724"/>
      <c r="BC1336" s="1724"/>
      <c r="BD1336" s="1724"/>
      <c r="BE1336" s="1901"/>
      <c r="BF1336" s="1680"/>
      <c r="BG1336" s="1681"/>
      <c r="BH1336" s="1681"/>
      <c r="BI1336" s="1681"/>
      <c r="BJ1336" s="1681"/>
      <c r="BK1336" s="1681"/>
      <c r="BL1336" s="1681"/>
      <c r="BM1336" s="1681"/>
      <c r="BN1336" s="1681"/>
      <c r="BO1336" s="1681"/>
      <c r="BP1336" s="1682"/>
      <c r="BQ1336" s="1729"/>
      <c r="BR1336" s="1730"/>
      <c r="BS1336" s="1730"/>
      <c r="BT1336" s="1730"/>
      <c r="BU1336" s="1730"/>
      <c r="BV1336" s="1730"/>
      <c r="BW1336" s="1730"/>
      <c r="BX1336" s="1730"/>
      <c r="BY1336" s="1730"/>
      <c r="BZ1336" s="1731"/>
      <c r="CA1336" s="270"/>
      <c r="CB1336" s="3" t="str">
        <f t="shared" si="208"/>
        <v>Riadok bude skrytý.</v>
      </c>
      <c r="CC1336" s="271" t="s">
        <v>832</v>
      </c>
      <c r="CD1336" s="4"/>
      <c r="CE1336" s="4"/>
      <c r="CF1336" s="4"/>
      <c r="CW1336" s="30">
        <f t="shared" si="206"/>
        <v>1</v>
      </c>
      <c r="CX1336" s="32">
        <f t="shared" ref="CX1336:CX1344" si="209">+IF($K$1332="nemá",0,1)</f>
        <v>1</v>
      </c>
      <c r="CZ1336" s="30">
        <f t="shared" si="200"/>
        <v>1</v>
      </c>
      <c r="DA1336" s="52">
        <f t="shared" si="207"/>
        <v>1</v>
      </c>
      <c r="DB1336" s="2">
        <f t="shared" si="203"/>
        <v>0</v>
      </c>
      <c r="DS1336" s="130">
        <f>SI!BY1336</f>
        <v>1100</v>
      </c>
      <c r="DZ1336" s="131">
        <f>SI!BZ1336</f>
        <v>5</v>
      </c>
    </row>
    <row r="1337" spans="1:130" hidden="1" x14ac:dyDescent="0.25">
      <c r="A1337" s="141"/>
      <c r="B1337" s="1068"/>
      <c r="C1337" s="1069"/>
      <c r="D1337" s="1069"/>
      <c r="E1337" s="1069"/>
      <c r="F1337" s="1069"/>
      <c r="G1337" s="1069"/>
      <c r="H1337" s="1069"/>
      <c r="I1337" s="1069"/>
      <c r="J1337" s="1069"/>
      <c r="K1337" s="1069"/>
      <c r="L1337" s="1069"/>
      <c r="M1337" s="1069"/>
      <c r="N1337" s="1069"/>
      <c r="O1337" s="1069"/>
      <c r="P1337" s="1069"/>
      <c r="Q1337" s="1069"/>
      <c r="R1337" s="1069"/>
      <c r="S1337" s="1696"/>
      <c r="T1337" s="1726"/>
      <c r="U1337" s="1727"/>
      <c r="V1337" s="1727"/>
      <c r="W1337" s="1727"/>
      <c r="X1337" s="1727"/>
      <c r="Y1337" s="1727"/>
      <c r="Z1337" s="1727"/>
      <c r="AA1337" s="1727"/>
      <c r="AB1337" s="1727"/>
      <c r="AC1337" s="1728"/>
      <c r="AD1337" s="690">
        <f>+AJ141</f>
        <v>2021</v>
      </c>
      <c r="AE1337" s="1719"/>
      <c r="AF1337" s="1719"/>
      <c r="AG1337" s="1719"/>
      <c r="AH1337" s="1719"/>
      <c r="AI1337" s="1719"/>
      <c r="AJ1337" s="1719"/>
      <c r="AK1337" s="1719"/>
      <c r="AL1337" s="1212"/>
      <c r="AM1337" s="1726"/>
      <c r="AN1337" s="1727"/>
      <c r="AO1337" s="1727"/>
      <c r="AP1337" s="1727"/>
      <c r="AQ1337" s="1727"/>
      <c r="AR1337" s="1727"/>
      <c r="AS1337" s="1727"/>
      <c r="AT1337" s="1727"/>
      <c r="AU1337" s="1728"/>
      <c r="AV1337" s="1902"/>
      <c r="AW1337" s="1727"/>
      <c r="AX1337" s="1727"/>
      <c r="AY1337" s="1727"/>
      <c r="AZ1337" s="1727"/>
      <c r="BA1337" s="1727"/>
      <c r="BB1337" s="1727"/>
      <c r="BC1337" s="1727"/>
      <c r="BD1337" s="1727"/>
      <c r="BE1337" s="1903"/>
      <c r="BF1337" s="1683"/>
      <c r="BG1337" s="1684"/>
      <c r="BH1337" s="1684"/>
      <c r="BI1337" s="1684"/>
      <c r="BJ1337" s="1684"/>
      <c r="BK1337" s="1684"/>
      <c r="BL1337" s="1684"/>
      <c r="BM1337" s="1684"/>
      <c r="BN1337" s="1684"/>
      <c r="BO1337" s="1684"/>
      <c r="BP1337" s="1685"/>
      <c r="BQ1337" s="690">
        <f>+AJ141</f>
        <v>2021</v>
      </c>
      <c r="BR1337" s="1719"/>
      <c r="BS1337" s="1719"/>
      <c r="BT1337" s="1719"/>
      <c r="BU1337" s="1719"/>
      <c r="BV1337" s="1719"/>
      <c r="BW1337" s="1719"/>
      <c r="BX1337" s="1719"/>
      <c r="BY1337" s="1719"/>
      <c r="BZ1337" s="1897"/>
      <c r="CA1337" s="270"/>
      <c r="CB1337" s="3" t="str">
        <f t="shared" si="208"/>
        <v>Riadok bude skrytý.</v>
      </c>
      <c r="CC1337" s="271" t="s">
        <v>832</v>
      </c>
      <c r="CW1337" s="30">
        <f t="shared" si="206"/>
        <v>1</v>
      </c>
      <c r="CX1337" s="32">
        <f t="shared" si="209"/>
        <v>1</v>
      </c>
      <c r="CZ1337" s="30">
        <f t="shared" si="200"/>
        <v>1</v>
      </c>
      <c r="DA1337" s="52">
        <f t="shared" si="207"/>
        <v>1</v>
      </c>
      <c r="DB1337" s="2">
        <f t="shared" si="203"/>
        <v>0</v>
      </c>
      <c r="DS1337" s="130">
        <f>SI!BY1337</f>
        <v>154</v>
      </c>
      <c r="DZ1337" s="131">
        <f>SI!BZ1337</f>
        <v>5</v>
      </c>
    </row>
    <row r="1338" spans="1:130" hidden="1" x14ac:dyDescent="0.25">
      <c r="A1338" s="141"/>
      <c r="B1338" s="1703" t="str">
        <f>+IF(LEN(SI!$J$3)=Poznamky_k_UZ!DZ1338,"a","")</f>
        <v>a</v>
      </c>
      <c r="C1338" s="1704"/>
      <c r="D1338" s="1704"/>
      <c r="E1338" s="1704"/>
      <c r="F1338" s="1704"/>
      <c r="G1338" s="1704"/>
      <c r="H1338" s="1704"/>
      <c r="I1338" s="1704"/>
      <c r="J1338" s="1704"/>
      <c r="K1338" s="1704"/>
      <c r="L1338" s="1704"/>
      <c r="M1338" s="1704"/>
      <c r="N1338" s="1704"/>
      <c r="O1338" s="1704"/>
      <c r="P1338" s="1704"/>
      <c r="Q1338" s="1704"/>
      <c r="R1338" s="1704"/>
      <c r="S1338" s="1705"/>
      <c r="T1338" s="1703" t="s">
        <v>1</v>
      </c>
      <c r="U1338" s="1704"/>
      <c r="V1338" s="1704"/>
      <c r="W1338" s="1704"/>
      <c r="X1338" s="1704"/>
      <c r="Y1338" s="1704"/>
      <c r="Z1338" s="1704"/>
      <c r="AA1338" s="1704"/>
      <c r="AB1338" s="1704"/>
      <c r="AC1338" s="1707"/>
      <c r="AD1338" s="1706" t="s">
        <v>2</v>
      </c>
      <c r="AE1338" s="1704"/>
      <c r="AF1338" s="1704"/>
      <c r="AG1338" s="1704"/>
      <c r="AH1338" s="1704"/>
      <c r="AI1338" s="1704"/>
      <c r="AJ1338" s="1704"/>
      <c r="AK1338" s="1704"/>
      <c r="AL1338" s="1705"/>
      <c r="AM1338" s="1703" t="s">
        <v>28</v>
      </c>
      <c r="AN1338" s="1704"/>
      <c r="AO1338" s="1704"/>
      <c r="AP1338" s="1704"/>
      <c r="AQ1338" s="1704"/>
      <c r="AR1338" s="1704"/>
      <c r="AS1338" s="1704"/>
      <c r="AT1338" s="1704"/>
      <c r="AU1338" s="1707"/>
      <c r="AV1338" s="1706" t="s">
        <v>29</v>
      </c>
      <c r="AW1338" s="1704"/>
      <c r="AX1338" s="1704"/>
      <c r="AY1338" s="1704"/>
      <c r="AZ1338" s="1704"/>
      <c r="BA1338" s="1704"/>
      <c r="BB1338" s="1704"/>
      <c r="BC1338" s="1704"/>
      <c r="BD1338" s="1704"/>
      <c r="BE1338" s="1705"/>
      <c r="BF1338" s="1703" t="s">
        <v>103</v>
      </c>
      <c r="BG1338" s="1704"/>
      <c r="BH1338" s="1704"/>
      <c r="BI1338" s="1704"/>
      <c r="BJ1338" s="1704"/>
      <c r="BK1338" s="1704"/>
      <c r="BL1338" s="1704"/>
      <c r="BM1338" s="1704"/>
      <c r="BN1338" s="1704"/>
      <c r="BO1338" s="1704"/>
      <c r="BP1338" s="1707"/>
      <c r="BQ1338" s="2061" t="s">
        <v>104</v>
      </c>
      <c r="BR1338" s="2062"/>
      <c r="BS1338" s="2062"/>
      <c r="BT1338" s="2062"/>
      <c r="BU1338" s="2062"/>
      <c r="BV1338" s="2062"/>
      <c r="BW1338" s="2062"/>
      <c r="BX1338" s="2062"/>
      <c r="BY1338" s="2062"/>
      <c r="BZ1338" s="2063"/>
      <c r="CA1338" s="270"/>
      <c r="CB1338" s="3" t="str">
        <f t="shared" si="208"/>
        <v>Riadok bude skrytý.</v>
      </c>
      <c r="CC1338" s="271" t="s">
        <v>832</v>
      </c>
      <c r="CD1338" s="4" t="s">
        <v>764</v>
      </c>
      <c r="CW1338" s="30">
        <f t="shared" si="206"/>
        <v>1</v>
      </c>
      <c r="CX1338" s="32">
        <f t="shared" si="209"/>
        <v>1</v>
      </c>
      <c r="CZ1338" s="30">
        <f t="shared" si="200"/>
        <v>1</v>
      </c>
      <c r="DA1338" s="52">
        <f t="shared" si="207"/>
        <v>1</v>
      </c>
      <c r="DB1338" s="2">
        <f t="shared" si="203"/>
        <v>0</v>
      </c>
      <c r="DS1338" s="130">
        <f>SI!BY1338</f>
        <v>628</v>
      </c>
      <c r="DZ1338" s="131">
        <f>SI!BZ1338</f>
        <v>5</v>
      </c>
    </row>
    <row r="1339" spans="1:130" hidden="1" x14ac:dyDescent="0.25">
      <c r="A1339" s="141"/>
      <c r="B1339" s="704" t="str">
        <f>+IF(LEN(SI!$J$3)=Poznamky_k_UZ!DZ1339,"Do splatnosti: ","")</f>
        <v xml:space="preserve">Do splatnosti: </v>
      </c>
      <c r="C1339" s="705"/>
      <c r="D1339" s="705"/>
      <c r="E1339" s="705"/>
      <c r="F1339" s="705"/>
      <c r="G1339" s="705"/>
      <c r="H1339" s="705"/>
      <c r="I1339" s="705"/>
      <c r="J1339" s="705"/>
      <c r="K1339" s="705"/>
      <c r="L1339" s="705"/>
      <c r="M1339" s="705"/>
      <c r="N1339" s="705"/>
      <c r="O1339" s="705"/>
      <c r="P1339" s="705"/>
      <c r="Q1339" s="705"/>
      <c r="R1339" s="705"/>
      <c r="S1339" s="705"/>
      <c r="T1339" s="1559"/>
      <c r="U1339" s="1560"/>
      <c r="V1339" s="1560"/>
      <c r="W1339" s="1560"/>
      <c r="X1339" s="1560"/>
      <c r="Y1339" s="1560"/>
      <c r="Z1339" s="1560"/>
      <c r="AA1339" s="1560"/>
      <c r="AB1339" s="1560"/>
      <c r="AC1339" s="1561"/>
      <c r="AD1339" s="1559"/>
      <c r="AE1339" s="1560"/>
      <c r="AF1339" s="1560"/>
      <c r="AG1339" s="1560"/>
      <c r="AH1339" s="1560"/>
      <c r="AI1339" s="1560"/>
      <c r="AJ1339" s="1560"/>
      <c r="AK1339" s="1560"/>
      <c r="AL1339" s="1561"/>
      <c r="AM1339" s="1559"/>
      <c r="AN1339" s="1560"/>
      <c r="AO1339" s="1560"/>
      <c r="AP1339" s="1560"/>
      <c r="AQ1339" s="1560"/>
      <c r="AR1339" s="1560"/>
      <c r="AS1339" s="1560"/>
      <c r="AT1339" s="1560"/>
      <c r="AU1339" s="1561"/>
      <c r="AV1339" s="1559"/>
      <c r="AW1339" s="1560"/>
      <c r="AX1339" s="1560"/>
      <c r="AY1339" s="1560"/>
      <c r="AZ1339" s="1560"/>
      <c r="BA1339" s="1560"/>
      <c r="BB1339" s="1560"/>
      <c r="BC1339" s="1560"/>
      <c r="BD1339" s="1560"/>
      <c r="BE1339" s="1561"/>
      <c r="BF1339" s="1559"/>
      <c r="BG1339" s="1560"/>
      <c r="BH1339" s="1560"/>
      <c r="BI1339" s="1560"/>
      <c r="BJ1339" s="1560"/>
      <c r="BK1339" s="1560"/>
      <c r="BL1339" s="1560"/>
      <c r="BM1339" s="1560"/>
      <c r="BN1339" s="1560"/>
      <c r="BO1339" s="1560"/>
      <c r="BP1339" s="1561"/>
      <c r="BQ1339" s="1559"/>
      <c r="BR1339" s="1560"/>
      <c r="BS1339" s="1560"/>
      <c r="BT1339" s="1560"/>
      <c r="BU1339" s="1560"/>
      <c r="BV1339" s="1560"/>
      <c r="BW1339" s="1560"/>
      <c r="BX1339" s="1560"/>
      <c r="BY1339" s="1560"/>
      <c r="BZ1339" s="1561"/>
      <c r="CA1339" s="270"/>
      <c r="CB1339" s="3" t="str">
        <f t="shared" si="208"/>
        <v>Riadok bude skrytý.</v>
      </c>
      <c r="CC1339" s="271" t="s">
        <v>832</v>
      </c>
      <c r="CW1339" s="30">
        <f t="shared" si="206"/>
        <v>1</v>
      </c>
      <c r="CX1339" s="32">
        <f t="shared" si="209"/>
        <v>1</v>
      </c>
      <c r="CZ1339" s="30">
        <f t="shared" si="200"/>
        <v>1</v>
      </c>
      <c r="DA1339" s="52">
        <f t="shared" si="207"/>
        <v>1</v>
      </c>
      <c r="DB1339" s="2">
        <f t="shared" si="203"/>
        <v>0</v>
      </c>
      <c r="DS1339" s="130">
        <f>SI!BY1339</f>
        <v>140</v>
      </c>
      <c r="DZ1339" s="131">
        <f>SI!BZ1339</f>
        <v>5</v>
      </c>
    </row>
    <row r="1340" spans="1:130" hidden="1" x14ac:dyDescent="0.25">
      <c r="A1340" s="141"/>
      <c r="B1340" s="1894" t="str">
        <f>+IF(LEN(SI!$J$3)=Poznamky_k_UZ!DZ1340," viac ako 5 rokov","")</f>
        <v xml:space="preserve"> viac ako 5 rokov</v>
      </c>
      <c r="C1340" s="1895"/>
      <c r="D1340" s="1895"/>
      <c r="E1340" s="1895"/>
      <c r="F1340" s="1895"/>
      <c r="G1340" s="1895"/>
      <c r="H1340" s="1895"/>
      <c r="I1340" s="1895"/>
      <c r="J1340" s="1895"/>
      <c r="K1340" s="1895"/>
      <c r="L1340" s="1895"/>
      <c r="M1340" s="1895"/>
      <c r="N1340" s="1895"/>
      <c r="O1340" s="1895"/>
      <c r="P1340" s="1895"/>
      <c r="Q1340" s="1895"/>
      <c r="R1340" s="1895"/>
      <c r="S1340" s="1896"/>
      <c r="T1340" s="407"/>
      <c r="U1340" s="408"/>
      <c r="V1340" s="408"/>
      <c r="W1340" s="408"/>
      <c r="X1340" s="408"/>
      <c r="Y1340" s="408"/>
      <c r="Z1340" s="408"/>
      <c r="AA1340" s="408"/>
      <c r="AB1340" s="408"/>
      <c r="AC1340" s="409"/>
      <c r="AD1340" s="386"/>
      <c r="AE1340" s="364"/>
      <c r="AF1340" s="364"/>
      <c r="AG1340" s="364"/>
      <c r="AH1340" s="364"/>
      <c r="AI1340" s="364"/>
      <c r="AJ1340" s="364"/>
      <c r="AK1340" s="364"/>
      <c r="AL1340" s="475"/>
      <c r="AM1340" s="363"/>
      <c r="AN1340" s="364"/>
      <c r="AO1340" s="364"/>
      <c r="AP1340" s="364"/>
      <c r="AQ1340" s="364"/>
      <c r="AR1340" s="364"/>
      <c r="AS1340" s="364"/>
      <c r="AT1340" s="364"/>
      <c r="AU1340" s="387"/>
      <c r="AV1340" s="386"/>
      <c r="AW1340" s="364"/>
      <c r="AX1340" s="364"/>
      <c r="AY1340" s="364"/>
      <c r="AZ1340" s="364"/>
      <c r="BA1340" s="364"/>
      <c r="BB1340" s="364"/>
      <c r="BC1340" s="364"/>
      <c r="BD1340" s="364"/>
      <c r="BE1340" s="475"/>
      <c r="BF1340" s="363"/>
      <c r="BG1340" s="364"/>
      <c r="BH1340" s="364"/>
      <c r="BI1340" s="364"/>
      <c r="BJ1340" s="364"/>
      <c r="BK1340" s="364"/>
      <c r="BL1340" s="364"/>
      <c r="BM1340" s="364"/>
      <c r="BN1340" s="364"/>
      <c r="BO1340" s="364"/>
      <c r="BP1340" s="387"/>
      <c r="BQ1340" s="526">
        <f>+SUM(AD1340:BP1340)</f>
        <v>0</v>
      </c>
      <c r="BR1340" s="527"/>
      <c r="BS1340" s="527"/>
      <c r="BT1340" s="527"/>
      <c r="BU1340" s="527"/>
      <c r="BV1340" s="527"/>
      <c r="BW1340" s="527"/>
      <c r="BX1340" s="527"/>
      <c r="BY1340" s="527"/>
      <c r="BZ1340" s="528"/>
      <c r="CA1340" s="270"/>
      <c r="CB1340" s="3" t="str">
        <f t="shared" si="208"/>
        <v>Riadok bude skrytý.</v>
      </c>
      <c r="CC1340" s="271" t="s">
        <v>832</v>
      </c>
      <c r="CW1340" s="30">
        <f t="shared" si="206"/>
        <v>1</v>
      </c>
      <c r="CX1340" s="32">
        <f t="shared" si="209"/>
        <v>1</v>
      </c>
      <c r="CZ1340" s="30">
        <f t="shared" si="200"/>
        <v>1</v>
      </c>
      <c r="DA1340" s="52">
        <f t="shared" si="207"/>
        <v>1</v>
      </c>
      <c r="DB1340" s="2">
        <f t="shared" si="203"/>
        <v>0</v>
      </c>
      <c r="DS1340" s="130">
        <f>SI!BY1340</f>
        <v>198</v>
      </c>
      <c r="DZ1340" s="131">
        <f>SI!BZ1340</f>
        <v>5</v>
      </c>
    </row>
    <row r="1341" spans="1:130" ht="30.75" hidden="1" customHeight="1" x14ac:dyDescent="0.25">
      <c r="A1341" s="141"/>
      <c r="B1341" s="1700" t="str">
        <f>+IF(LEN(SI!$J$3)=Poznamky_k_UZ!DZ1341," viac ako 3 roky a najviac 5 rokov vrátane","")</f>
        <v xml:space="preserve"> viac ako 3 roky a najviac 5 rokov vrátane</v>
      </c>
      <c r="C1341" s="1701"/>
      <c r="D1341" s="1701"/>
      <c r="E1341" s="1701"/>
      <c r="F1341" s="1701"/>
      <c r="G1341" s="1701"/>
      <c r="H1341" s="1701"/>
      <c r="I1341" s="1701"/>
      <c r="J1341" s="1701"/>
      <c r="K1341" s="1701"/>
      <c r="L1341" s="1701"/>
      <c r="M1341" s="1701"/>
      <c r="N1341" s="1701"/>
      <c r="O1341" s="1701"/>
      <c r="P1341" s="1701"/>
      <c r="Q1341" s="1701"/>
      <c r="R1341" s="1701"/>
      <c r="S1341" s="1702"/>
      <c r="T1341" s="407"/>
      <c r="U1341" s="408"/>
      <c r="V1341" s="408"/>
      <c r="W1341" s="408"/>
      <c r="X1341" s="408"/>
      <c r="Y1341" s="408"/>
      <c r="Z1341" s="408"/>
      <c r="AA1341" s="408"/>
      <c r="AB1341" s="408"/>
      <c r="AC1341" s="409"/>
      <c r="AD1341" s="386"/>
      <c r="AE1341" s="364"/>
      <c r="AF1341" s="364"/>
      <c r="AG1341" s="364"/>
      <c r="AH1341" s="364"/>
      <c r="AI1341" s="364"/>
      <c r="AJ1341" s="364"/>
      <c r="AK1341" s="364"/>
      <c r="AL1341" s="475"/>
      <c r="AM1341" s="363"/>
      <c r="AN1341" s="364"/>
      <c r="AO1341" s="364"/>
      <c r="AP1341" s="364"/>
      <c r="AQ1341" s="364"/>
      <c r="AR1341" s="364"/>
      <c r="AS1341" s="364"/>
      <c r="AT1341" s="364"/>
      <c r="AU1341" s="387"/>
      <c r="AV1341" s="386"/>
      <c r="AW1341" s="364"/>
      <c r="AX1341" s="364"/>
      <c r="AY1341" s="364"/>
      <c r="AZ1341" s="364"/>
      <c r="BA1341" s="364"/>
      <c r="BB1341" s="364"/>
      <c r="BC1341" s="364"/>
      <c r="BD1341" s="364"/>
      <c r="BE1341" s="475"/>
      <c r="BF1341" s="363"/>
      <c r="BG1341" s="364"/>
      <c r="BH1341" s="364"/>
      <c r="BI1341" s="364"/>
      <c r="BJ1341" s="364"/>
      <c r="BK1341" s="364"/>
      <c r="BL1341" s="364"/>
      <c r="BM1341" s="364"/>
      <c r="BN1341" s="364"/>
      <c r="BO1341" s="364"/>
      <c r="BP1341" s="387"/>
      <c r="BQ1341" s="526">
        <f>+SUM(AD1341:BP1341)</f>
        <v>0</v>
      </c>
      <c r="BR1341" s="527"/>
      <c r="BS1341" s="527"/>
      <c r="BT1341" s="527"/>
      <c r="BU1341" s="527"/>
      <c r="BV1341" s="527"/>
      <c r="BW1341" s="527"/>
      <c r="BX1341" s="527"/>
      <c r="BY1341" s="527"/>
      <c r="BZ1341" s="528"/>
      <c r="CA1341" s="270"/>
      <c r="CB1341" s="3" t="str">
        <f t="shared" si="208"/>
        <v>Riadok bude skrytý.</v>
      </c>
      <c r="CC1341" s="271" t="s">
        <v>832</v>
      </c>
      <c r="CW1341" s="30">
        <f t="shared" si="206"/>
        <v>1</v>
      </c>
      <c r="CX1341" s="32">
        <f t="shared" si="209"/>
        <v>1</v>
      </c>
      <c r="CZ1341" s="30">
        <f t="shared" si="200"/>
        <v>1</v>
      </c>
      <c r="DA1341" s="52">
        <f t="shared" si="207"/>
        <v>1</v>
      </c>
      <c r="DB1341" s="2">
        <f t="shared" si="203"/>
        <v>0</v>
      </c>
      <c r="DS1341" s="130">
        <f>SI!BY1341</f>
        <v>136</v>
      </c>
      <c r="DZ1341" s="131">
        <f>SI!BZ1341</f>
        <v>5</v>
      </c>
    </row>
    <row r="1342" spans="1:130" ht="32.950000000000003" hidden="1" customHeight="1" x14ac:dyDescent="0.25">
      <c r="A1342" s="141"/>
      <c r="B1342" s="1700" t="str">
        <f>+IF(LEN(SI!$J$3)=Poznamky_k_UZ!DZ1342," viac ako 1 rok a najviac 3 roky vrátane","")</f>
        <v xml:space="preserve"> viac ako 1 rok a najviac 3 roky vrátane</v>
      </c>
      <c r="C1342" s="1701"/>
      <c r="D1342" s="1701"/>
      <c r="E1342" s="1701"/>
      <c r="F1342" s="1701"/>
      <c r="G1342" s="1701"/>
      <c r="H1342" s="1701"/>
      <c r="I1342" s="1701"/>
      <c r="J1342" s="1701"/>
      <c r="K1342" s="1701"/>
      <c r="L1342" s="1701"/>
      <c r="M1342" s="1701"/>
      <c r="N1342" s="1701"/>
      <c r="O1342" s="1701"/>
      <c r="P1342" s="1701"/>
      <c r="Q1342" s="1701"/>
      <c r="R1342" s="1701"/>
      <c r="S1342" s="1702"/>
      <c r="T1342" s="407"/>
      <c r="U1342" s="408"/>
      <c r="V1342" s="408"/>
      <c r="W1342" s="408"/>
      <c r="X1342" s="408"/>
      <c r="Y1342" s="408"/>
      <c r="Z1342" s="408"/>
      <c r="AA1342" s="408"/>
      <c r="AB1342" s="408"/>
      <c r="AC1342" s="409"/>
      <c r="AD1342" s="386"/>
      <c r="AE1342" s="364"/>
      <c r="AF1342" s="364"/>
      <c r="AG1342" s="364"/>
      <c r="AH1342" s="364"/>
      <c r="AI1342" s="364"/>
      <c r="AJ1342" s="364"/>
      <c r="AK1342" s="364"/>
      <c r="AL1342" s="475"/>
      <c r="AM1342" s="363"/>
      <c r="AN1342" s="364"/>
      <c r="AO1342" s="364"/>
      <c r="AP1342" s="364"/>
      <c r="AQ1342" s="364"/>
      <c r="AR1342" s="364"/>
      <c r="AS1342" s="364"/>
      <c r="AT1342" s="364"/>
      <c r="AU1342" s="387"/>
      <c r="AV1342" s="386"/>
      <c r="AW1342" s="364"/>
      <c r="AX1342" s="364"/>
      <c r="AY1342" s="364"/>
      <c r="AZ1342" s="364"/>
      <c r="BA1342" s="364"/>
      <c r="BB1342" s="364"/>
      <c r="BC1342" s="364"/>
      <c r="BD1342" s="364"/>
      <c r="BE1342" s="475"/>
      <c r="BF1342" s="363"/>
      <c r="BG1342" s="364"/>
      <c r="BH1342" s="364"/>
      <c r="BI1342" s="364"/>
      <c r="BJ1342" s="364"/>
      <c r="BK1342" s="364"/>
      <c r="BL1342" s="364"/>
      <c r="BM1342" s="364"/>
      <c r="BN1342" s="364"/>
      <c r="BO1342" s="364"/>
      <c r="BP1342" s="387"/>
      <c r="BQ1342" s="526">
        <f>+SUM(AD1342:BP1342)</f>
        <v>0</v>
      </c>
      <c r="BR1342" s="527"/>
      <c r="BS1342" s="527"/>
      <c r="BT1342" s="527"/>
      <c r="BU1342" s="527"/>
      <c r="BV1342" s="527"/>
      <c r="BW1342" s="527"/>
      <c r="BX1342" s="527"/>
      <c r="BY1342" s="527"/>
      <c r="BZ1342" s="528"/>
      <c r="CA1342" s="270"/>
      <c r="CB1342" s="3" t="str">
        <f t="shared" si="208"/>
        <v>Riadok bude skrytý.</v>
      </c>
      <c r="CC1342" s="271" t="s">
        <v>832</v>
      </c>
      <c r="CW1342" s="30">
        <f t="shared" si="206"/>
        <v>1</v>
      </c>
      <c r="CX1342" s="32">
        <f t="shared" si="209"/>
        <v>1</v>
      </c>
      <c r="CZ1342" s="30">
        <f t="shared" si="200"/>
        <v>1</v>
      </c>
      <c r="DA1342" s="52">
        <f t="shared" si="207"/>
        <v>1</v>
      </c>
      <c r="DB1342" s="2">
        <f t="shared" si="203"/>
        <v>0</v>
      </c>
      <c r="DS1342" s="130">
        <f>SI!BY1342</f>
        <v>166</v>
      </c>
      <c r="DZ1342" s="131">
        <f>SI!BZ1342</f>
        <v>5</v>
      </c>
    </row>
    <row r="1343" spans="1:130" hidden="1" x14ac:dyDescent="0.25">
      <c r="A1343" s="141"/>
      <c r="B1343" s="1714" t="str">
        <f>+IF(LEN(SI!$J$3)=Poznamky_k_UZ!DZ1343," do 1 roka vrátane","")</f>
        <v xml:space="preserve"> do 1 roka vrátane</v>
      </c>
      <c r="C1343" s="1715"/>
      <c r="D1343" s="1715"/>
      <c r="E1343" s="1715"/>
      <c r="F1343" s="1715"/>
      <c r="G1343" s="1715"/>
      <c r="H1343" s="1715"/>
      <c r="I1343" s="1715"/>
      <c r="J1343" s="1715"/>
      <c r="K1343" s="1715"/>
      <c r="L1343" s="1715"/>
      <c r="M1343" s="1715"/>
      <c r="N1343" s="1715"/>
      <c r="O1343" s="1715"/>
      <c r="P1343" s="1715"/>
      <c r="Q1343" s="1715"/>
      <c r="R1343" s="1715"/>
      <c r="S1343" s="1716"/>
      <c r="T1343" s="576"/>
      <c r="U1343" s="577"/>
      <c r="V1343" s="577"/>
      <c r="W1343" s="577"/>
      <c r="X1343" s="577"/>
      <c r="Y1343" s="577"/>
      <c r="Z1343" s="577"/>
      <c r="AA1343" s="577"/>
      <c r="AB1343" s="577"/>
      <c r="AC1343" s="578"/>
      <c r="AD1343" s="460"/>
      <c r="AE1343" s="461"/>
      <c r="AF1343" s="461"/>
      <c r="AG1343" s="461"/>
      <c r="AH1343" s="461"/>
      <c r="AI1343" s="461"/>
      <c r="AJ1343" s="461"/>
      <c r="AK1343" s="461"/>
      <c r="AL1343" s="462"/>
      <c r="AM1343" s="459"/>
      <c r="AN1343" s="461"/>
      <c r="AO1343" s="461"/>
      <c r="AP1343" s="461"/>
      <c r="AQ1343" s="461"/>
      <c r="AR1343" s="461"/>
      <c r="AS1343" s="461"/>
      <c r="AT1343" s="461"/>
      <c r="AU1343" s="1610"/>
      <c r="AV1343" s="460"/>
      <c r="AW1343" s="461"/>
      <c r="AX1343" s="461"/>
      <c r="AY1343" s="461"/>
      <c r="AZ1343" s="461"/>
      <c r="BA1343" s="461"/>
      <c r="BB1343" s="461"/>
      <c r="BC1343" s="461"/>
      <c r="BD1343" s="461"/>
      <c r="BE1343" s="462"/>
      <c r="BF1343" s="459"/>
      <c r="BG1343" s="461"/>
      <c r="BH1343" s="461"/>
      <c r="BI1343" s="461"/>
      <c r="BJ1343" s="461"/>
      <c r="BK1343" s="461"/>
      <c r="BL1343" s="461"/>
      <c r="BM1343" s="461"/>
      <c r="BN1343" s="461"/>
      <c r="BO1343" s="461"/>
      <c r="BP1343" s="1610"/>
      <c r="BQ1343" s="1252">
        <f>+SUM(AD1343:BP1343)</f>
        <v>0</v>
      </c>
      <c r="BR1343" s="1253"/>
      <c r="BS1343" s="1253"/>
      <c r="BT1343" s="1253"/>
      <c r="BU1343" s="1253"/>
      <c r="BV1343" s="1253"/>
      <c r="BW1343" s="1253"/>
      <c r="BX1343" s="1253"/>
      <c r="BY1343" s="1253"/>
      <c r="BZ1343" s="1254"/>
      <c r="CA1343" s="270"/>
      <c r="CB1343" s="3" t="str">
        <f t="shared" si="208"/>
        <v>Riadok bude skrytý.</v>
      </c>
      <c r="CC1343" s="271" t="s">
        <v>832</v>
      </c>
      <c r="CW1343" s="30">
        <f t="shared" si="206"/>
        <v>1</v>
      </c>
      <c r="CX1343" s="32">
        <f t="shared" si="209"/>
        <v>1</v>
      </c>
      <c r="CZ1343" s="30">
        <f t="shared" si="200"/>
        <v>1</v>
      </c>
      <c r="DA1343" s="52">
        <f t="shared" si="207"/>
        <v>1</v>
      </c>
      <c r="DB1343" s="2">
        <f t="shared" si="203"/>
        <v>0</v>
      </c>
      <c r="DS1343" s="130">
        <f>SI!BY1343</f>
        <v>105</v>
      </c>
      <c r="DZ1343" s="131">
        <f>SI!BZ1343</f>
        <v>5</v>
      </c>
    </row>
    <row r="1344" spans="1:130" hidden="1" x14ac:dyDescent="0.25">
      <c r="A1344" s="141"/>
      <c r="B1344" s="1711" t="str">
        <f>+IF(LEN(SI!$J$3)=Poznamky_k_UZ!DZ1344," Dlhové CP držané do splatnosti spolu","")</f>
        <v xml:space="preserve"> Dlhové CP držané do splatnosti spolu</v>
      </c>
      <c r="C1344" s="1712"/>
      <c r="D1344" s="1712"/>
      <c r="E1344" s="1712"/>
      <c r="F1344" s="1712"/>
      <c r="G1344" s="1712"/>
      <c r="H1344" s="1712"/>
      <c r="I1344" s="1712"/>
      <c r="J1344" s="1712"/>
      <c r="K1344" s="1712"/>
      <c r="L1344" s="1712"/>
      <c r="M1344" s="1712"/>
      <c r="N1344" s="1712"/>
      <c r="O1344" s="1712"/>
      <c r="P1344" s="1712"/>
      <c r="Q1344" s="1712"/>
      <c r="R1344" s="1712"/>
      <c r="S1344" s="1712"/>
      <c r="T1344" s="1712"/>
      <c r="U1344" s="1712"/>
      <c r="V1344" s="1712"/>
      <c r="W1344" s="1712"/>
      <c r="X1344" s="1712"/>
      <c r="Y1344" s="1712"/>
      <c r="Z1344" s="1712"/>
      <c r="AA1344" s="1712"/>
      <c r="AB1344" s="1712"/>
      <c r="AC1344" s="1713"/>
      <c r="AD1344" s="476">
        <f>+SUM(AD1340:AL1343)</f>
        <v>0</v>
      </c>
      <c r="AE1344" s="412"/>
      <c r="AF1344" s="412"/>
      <c r="AG1344" s="412"/>
      <c r="AH1344" s="412"/>
      <c r="AI1344" s="412"/>
      <c r="AJ1344" s="412"/>
      <c r="AK1344" s="412"/>
      <c r="AL1344" s="477"/>
      <c r="AM1344" s="411">
        <f>+SUM(AM1340:AU1343)</f>
        <v>0</v>
      </c>
      <c r="AN1344" s="412"/>
      <c r="AO1344" s="412"/>
      <c r="AP1344" s="412"/>
      <c r="AQ1344" s="412"/>
      <c r="AR1344" s="412"/>
      <c r="AS1344" s="412"/>
      <c r="AT1344" s="412"/>
      <c r="AU1344" s="413"/>
      <c r="AV1344" s="476">
        <f>+SUM(AV1340:BE1343)</f>
        <v>0</v>
      </c>
      <c r="AW1344" s="412"/>
      <c r="AX1344" s="412"/>
      <c r="AY1344" s="412"/>
      <c r="AZ1344" s="412"/>
      <c r="BA1344" s="412"/>
      <c r="BB1344" s="412"/>
      <c r="BC1344" s="412"/>
      <c r="BD1344" s="412"/>
      <c r="BE1344" s="477"/>
      <c r="BF1344" s="411">
        <f>+SUM(BF1340:BP1343)</f>
        <v>0</v>
      </c>
      <c r="BG1344" s="412"/>
      <c r="BH1344" s="412"/>
      <c r="BI1344" s="412"/>
      <c r="BJ1344" s="412"/>
      <c r="BK1344" s="412"/>
      <c r="BL1344" s="412"/>
      <c r="BM1344" s="412"/>
      <c r="BN1344" s="412"/>
      <c r="BO1344" s="412"/>
      <c r="BP1344" s="413"/>
      <c r="BQ1344" s="476">
        <f>+SUM(BQ1340:BZ1342)</f>
        <v>0</v>
      </c>
      <c r="BR1344" s="412"/>
      <c r="BS1344" s="412"/>
      <c r="BT1344" s="412"/>
      <c r="BU1344" s="412"/>
      <c r="BV1344" s="412"/>
      <c r="BW1344" s="412"/>
      <c r="BX1344" s="412"/>
      <c r="BY1344" s="412"/>
      <c r="BZ1344" s="413"/>
      <c r="CA1344" s="270"/>
      <c r="CB1344" s="3" t="str">
        <f t="shared" si="208"/>
        <v>Riadok bude skrytý.</v>
      </c>
      <c r="CC1344" s="271" t="s">
        <v>832</v>
      </c>
      <c r="CW1344" s="30">
        <f t="shared" si="206"/>
        <v>1</v>
      </c>
      <c r="CX1344" s="32">
        <f t="shared" si="209"/>
        <v>1</v>
      </c>
      <c r="CZ1344" s="30">
        <f t="shared" si="200"/>
        <v>1</v>
      </c>
      <c r="DA1344" s="52">
        <f t="shared" si="207"/>
        <v>1</v>
      </c>
      <c r="DB1344" s="2">
        <f t="shared" si="203"/>
        <v>0</v>
      </c>
      <c r="DS1344" s="130">
        <f>SI!BY1344</f>
        <v>138</v>
      </c>
      <c r="DZ1344" s="131">
        <f>SI!BZ1344</f>
        <v>5</v>
      </c>
    </row>
    <row r="1345" spans="1:130" hidden="1" x14ac:dyDescent="0.25">
      <c r="A1345" s="141"/>
      <c r="CA1345" s="270"/>
      <c r="CB1345" s="3" t="str">
        <f t="shared" si="208"/>
        <v>Riadok bude skrytý.</v>
      </c>
      <c r="CC1345" s="271" t="s">
        <v>832</v>
      </c>
      <c r="CW1345" s="30">
        <f t="shared" si="206"/>
        <v>1</v>
      </c>
      <c r="CX1345" s="32"/>
      <c r="CZ1345" s="30">
        <f t="shared" si="200"/>
        <v>1</v>
      </c>
      <c r="DA1345" s="30">
        <f>+IF(CW1345+CX1345+CY1345=0,0,IF(CZ1345=0,0,1))</f>
        <v>1</v>
      </c>
      <c r="DB1345" s="2">
        <f t="shared" si="203"/>
        <v>0</v>
      </c>
      <c r="DS1345" s="130">
        <f>SI!BY1345</f>
        <v>113</v>
      </c>
      <c r="DZ1345" s="131">
        <f>SI!BZ1345</f>
        <v>0</v>
      </c>
    </row>
    <row r="1346" spans="1:130" hidden="1" x14ac:dyDescent="0.25">
      <c r="A1346" s="141"/>
      <c r="B1346" s="14" t="s">
        <v>96</v>
      </c>
      <c r="C1346" s="14"/>
      <c r="D1346" s="14"/>
      <c r="E1346" s="14"/>
      <c r="F1346" s="14"/>
      <c r="G1346" s="14"/>
      <c r="H1346" s="14"/>
      <c r="I1346" s="14"/>
      <c r="J1346" s="378" t="s">
        <v>827</v>
      </c>
      <c r="K1346" s="378"/>
      <c r="L1346" s="378"/>
      <c r="M1346" s="378"/>
      <c r="N1346" s="378"/>
      <c r="O1346" s="378"/>
      <c r="P1346" s="378"/>
      <c r="Q1346" s="378"/>
      <c r="R1346" s="378"/>
      <c r="S1346" s="137" t="str">
        <f>+IF($E$52&lt;&gt;"",IF(ROUNDDOWN(CODE(MID($E$52,1,1))/10,0)*(IF(SI!EE1346="",1,SI!EE1346-1))+(LEN(SI!J2)+2)=DS1346,"dlhodobé pôžičky.","NEPOVOLENÉ POUŽITIE!"),"NEPOVOLENÉ POUŽITIE!")</f>
        <v>dlhodobé pôžičky.</v>
      </c>
      <c r="T1346" s="38"/>
      <c r="Y1346" s="14"/>
      <c r="Z1346" s="14"/>
      <c r="AA1346" s="14"/>
      <c r="AB1346" s="14"/>
      <c r="AC1346" s="14"/>
      <c r="AD1346" s="14"/>
      <c r="AE1346" s="14"/>
      <c r="AF1346" s="14"/>
      <c r="AG1346" s="14"/>
      <c r="AH1346" s="14"/>
      <c r="AI1346" s="14"/>
      <c r="AJ1346" s="14"/>
      <c r="AK1346" s="14"/>
      <c r="AL1346" s="14"/>
      <c r="AM1346" s="14"/>
      <c r="AN1346" s="14"/>
      <c r="AO1346" s="14"/>
      <c r="AP1346" s="14"/>
      <c r="AQ1346" s="14"/>
      <c r="AR1346" s="14"/>
      <c r="AS1346" s="14"/>
      <c r="AT1346" s="14"/>
      <c r="AU1346" s="14"/>
      <c r="AV1346" s="14"/>
      <c r="AW1346" s="14"/>
      <c r="AX1346" s="14"/>
      <c r="AY1346" s="14"/>
      <c r="AZ1346" s="14"/>
      <c r="BA1346" s="14"/>
      <c r="BB1346" s="14"/>
      <c r="BC1346" s="14"/>
      <c r="BD1346" s="14"/>
      <c r="BE1346" s="14"/>
      <c r="BF1346" s="14"/>
      <c r="BG1346" s="14"/>
      <c r="BH1346" s="14"/>
      <c r="BI1346" s="14"/>
      <c r="BJ1346" s="14"/>
      <c r="BK1346" s="14"/>
      <c r="BL1346" s="14"/>
      <c r="BM1346" s="14"/>
      <c r="BN1346" s="14"/>
      <c r="BO1346" s="14"/>
      <c r="BP1346" s="14"/>
      <c r="BQ1346" s="14"/>
      <c r="BR1346" s="14"/>
      <c r="BS1346" s="14"/>
      <c r="BT1346" s="14"/>
      <c r="BU1346" s="14"/>
      <c r="BV1346" s="14"/>
      <c r="BW1346" s="14"/>
      <c r="BX1346" s="14"/>
      <c r="BY1346" s="14"/>
      <c r="BZ1346" s="14"/>
      <c r="CA1346" s="265" t="s">
        <v>773</v>
      </c>
      <c r="CB1346" s="3" t="str">
        <f t="shared" si="208"/>
        <v>Riadok bude skrytý.</v>
      </c>
      <c r="CC1346" s="271" t="s">
        <v>832</v>
      </c>
      <c r="CF1346" s="13"/>
      <c r="CW1346" s="30">
        <f t="shared" si="206"/>
        <v>1</v>
      </c>
      <c r="CX1346" s="32">
        <f>+IF($J$1346="neposkytla",1,1)</f>
        <v>1</v>
      </c>
      <c r="CY1346" s="43"/>
      <c r="CZ1346" s="30">
        <f t="shared" si="200"/>
        <v>1</v>
      </c>
      <c r="DA1346" s="52">
        <f t="shared" si="207"/>
        <v>1</v>
      </c>
      <c r="DB1346" s="2">
        <f t="shared" si="203"/>
        <v>0</v>
      </c>
      <c r="DS1346" s="130">
        <f>SI!BY1346</f>
        <v>15</v>
      </c>
      <c r="DZ1346" s="131">
        <f>SI!BZ1346</f>
        <v>0</v>
      </c>
    </row>
    <row r="1347" spans="1:130" hidden="1" x14ac:dyDescent="0.25">
      <c r="A1347" s="141"/>
      <c r="B1347" s="137" t="str">
        <f>+IF(J1346="poskytla","Údaje o poskytnutých dlhodobých pôžičkach sú uvedené v tabuľke:","")</f>
        <v>Údaje o poskytnutých dlhodobých pôžičkach sú uvedené v tabuľke:</v>
      </c>
      <c r="C1347" s="14"/>
      <c r="D1347" s="14"/>
      <c r="E1347" s="14"/>
      <c r="F1347" s="14"/>
      <c r="G1347" s="14"/>
      <c r="H1347" s="14"/>
      <c r="S1347" s="14"/>
      <c r="T1347" s="14"/>
      <c r="U1347" s="14"/>
      <c r="V1347" s="14"/>
      <c r="W1347" s="14"/>
      <c r="X1347" s="14"/>
      <c r="Y1347" s="14"/>
      <c r="Z1347" s="14"/>
      <c r="AA1347" s="14"/>
      <c r="AB1347" s="14"/>
      <c r="AC1347" s="14"/>
      <c r="AD1347" s="14"/>
      <c r="AE1347" s="14"/>
      <c r="AF1347" s="14"/>
      <c r="AG1347" s="14"/>
      <c r="AH1347" s="14"/>
      <c r="AI1347" s="14"/>
      <c r="AJ1347" s="14"/>
      <c r="AK1347" s="14"/>
      <c r="AL1347" s="14"/>
      <c r="AM1347" s="14"/>
      <c r="AN1347" s="14"/>
      <c r="AO1347" s="14"/>
      <c r="AP1347" s="14"/>
      <c r="AQ1347" s="14"/>
      <c r="AR1347" s="14"/>
      <c r="AS1347" s="14"/>
      <c r="AT1347" s="14"/>
      <c r="AU1347" s="14"/>
      <c r="AV1347" s="14"/>
      <c r="AW1347" s="14"/>
      <c r="AX1347" s="14"/>
      <c r="AY1347" s="14"/>
      <c r="AZ1347" s="14"/>
      <c r="BA1347" s="14"/>
      <c r="BB1347" s="14"/>
      <c r="BC1347" s="14"/>
      <c r="BD1347" s="14"/>
      <c r="BE1347" s="14"/>
      <c r="BF1347" s="14"/>
      <c r="BG1347" s="14"/>
      <c r="BH1347" s="14"/>
      <c r="BI1347" s="14"/>
      <c r="BJ1347" s="14"/>
      <c r="BK1347" s="14"/>
      <c r="BL1347" s="14"/>
      <c r="BM1347" s="14"/>
      <c r="BN1347" s="14"/>
      <c r="BO1347" s="14"/>
      <c r="BP1347" s="14"/>
      <c r="BQ1347" s="14"/>
      <c r="BR1347" s="14"/>
      <c r="BS1347" s="14"/>
      <c r="BT1347" s="14"/>
      <c r="BU1347" s="14"/>
      <c r="BV1347" s="14"/>
      <c r="BW1347" s="14"/>
      <c r="BX1347" s="14"/>
      <c r="BY1347" s="14"/>
      <c r="BZ1347" s="14"/>
      <c r="CA1347" s="270"/>
      <c r="CB1347" s="3" t="str">
        <f t="shared" si="208"/>
        <v>Riadok bude skrytý.</v>
      </c>
      <c r="CC1347" s="271" t="s">
        <v>832</v>
      </c>
      <c r="CF1347" s="13"/>
      <c r="CW1347" s="30">
        <f t="shared" si="206"/>
        <v>1</v>
      </c>
      <c r="CX1347" s="32">
        <f t="shared" ref="CX1347:CX1358" si="210">+IF($J$1346="neposkytla",0,1)</f>
        <v>1</v>
      </c>
      <c r="CZ1347" s="30">
        <f t="shared" si="200"/>
        <v>1</v>
      </c>
      <c r="DA1347" s="52">
        <f t="shared" si="207"/>
        <v>1</v>
      </c>
      <c r="DB1347" s="2">
        <f t="shared" si="203"/>
        <v>0</v>
      </c>
      <c r="DS1347" s="130">
        <f>SI!BY1347</f>
        <v>189</v>
      </c>
      <c r="DZ1347" s="131">
        <f>SI!BZ1347</f>
        <v>0</v>
      </c>
    </row>
    <row r="1348" spans="1:130" hidden="1" x14ac:dyDescent="0.25">
      <c r="A1348" s="141"/>
      <c r="CA1348" s="270"/>
      <c r="CB1348" s="3" t="str">
        <f t="shared" si="208"/>
        <v>Riadok bude skrytý.</v>
      </c>
      <c r="CC1348" s="271" t="s">
        <v>832</v>
      </c>
      <c r="CW1348" s="30">
        <f t="shared" si="206"/>
        <v>1</v>
      </c>
      <c r="CX1348" s="32">
        <f t="shared" si="210"/>
        <v>1</v>
      </c>
      <c r="CZ1348" s="30">
        <f t="shared" si="200"/>
        <v>1</v>
      </c>
      <c r="DA1348" s="52">
        <f t="shared" si="207"/>
        <v>1</v>
      </c>
      <c r="DB1348" s="2">
        <f t="shared" si="203"/>
        <v>0</v>
      </c>
      <c r="DS1348" s="130">
        <f>SI!BY1348</f>
        <v>906</v>
      </c>
      <c r="DZ1348" s="131">
        <f>SI!BZ1348</f>
        <v>0</v>
      </c>
    </row>
    <row r="1349" spans="1:130" ht="14.95" hidden="1" customHeight="1" x14ac:dyDescent="0.25">
      <c r="A1349" s="141"/>
      <c r="B1349" s="439" t="str">
        <f>+IF(LEN(SI!$J$3)=Poznamky_k_UZ!DZ1350," Dlhodobé pôžičky","")</f>
        <v xml:space="preserve"> Dlhodobé pôžičky</v>
      </c>
      <c r="C1349" s="440"/>
      <c r="D1349" s="440"/>
      <c r="E1349" s="440"/>
      <c r="F1349" s="440"/>
      <c r="G1349" s="440"/>
      <c r="H1349" s="440"/>
      <c r="I1349" s="440"/>
      <c r="J1349" s="440"/>
      <c r="K1349" s="440"/>
      <c r="L1349" s="440"/>
      <c r="M1349" s="440"/>
      <c r="N1349" s="440"/>
      <c r="O1349" s="440"/>
      <c r="P1349" s="440"/>
      <c r="Q1349" s="440"/>
      <c r="R1349" s="440"/>
      <c r="S1349" s="441"/>
      <c r="T1349" s="543" t="s">
        <v>112</v>
      </c>
      <c r="U1349" s="544"/>
      <c r="V1349" s="544"/>
      <c r="W1349" s="544"/>
      <c r="X1349" s="544"/>
      <c r="Y1349" s="544"/>
      <c r="Z1349" s="544"/>
      <c r="AA1349" s="544"/>
      <c r="AB1349" s="544"/>
      <c r="AC1349" s="544"/>
      <c r="AD1349" s="544"/>
      <c r="AE1349" s="544"/>
      <c r="AF1349" s="545"/>
      <c r="AG1349" s="543" t="s">
        <v>143</v>
      </c>
      <c r="AH1349" s="544"/>
      <c r="AI1349" s="544"/>
      <c r="AJ1349" s="544"/>
      <c r="AK1349" s="544"/>
      <c r="AL1349" s="544"/>
      <c r="AM1349" s="544"/>
      <c r="AN1349" s="544"/>
      <c r="AO1349" s="544"/>
      <c r="AP1349" s="544"/>
      <c r="AQ1349" s="544"/>
      <c r="AR1349" s="545"/>
      <c r="AS1349" s="543" t="s">
        <v>144</v>
      </c>
      <c r="AT1349" s="544"/>
      <c r="AU1349" s="544"/>
      <c r="AV1349" s="544"/>
      <c r="AW1349" s="544"/>
      <c r="AX1349" s="544"/>
      <c r="AY1349" s="544"/>
      <c r="AZ1349" s="544"/>
      <c r="BA1349" s="544"/>
      <c r="BB1349" s="544"/>
      <c r="BC1349" s="545"/>
      <c r="BD1349" s="1885" t="s">
        <v>148</v>
      </c>
      <c r="BE1349" s="1886"/>
      <c r="BF1349" s="1886"/>
      <c r="BG1349" s="1886"/>
      <c r="BH1349" s="1886"/>
      <c r="BI1349" s="1886"/>
      <c r="BJ1349" s="1886"/>
      <c r="BK1349" s="1886"/>
      <c r="BL1349" s="1886"/>
      <c r="BM1349" s="1887"/>
      <c r="BN1349" s="543" t="s">
        <v>146</v>
      </c>
      <c r="BO1349" s="544"/>
      <c r="BP1349" s="544"/>
      <c r="BQ1349" s="544"/>
      <c r="BR1349" s="544"/>
      <c r="BS1349" s="544"/>
      <c r="BT1349" s="544"/>
      <c r="BU1349" s="544"/>
      <c r="BV1349" s="544"/>
      <c r="BW1349" s="544"/>
      <c r="BX1349" s="544"/>
      <c r="BY1349" s="544"/>
      <c r="BZ1349" s="545"/>
      <c r="CA1349" s="265" t="s">
        <v>773</v>
      </c>
      <c r="CB1349" s="3" t="str">
        <f t="shared" si="208"/>
        <v>Riadok bude skrytý.</v>
      </c>
      <c r="CC1349" s="271" t="s">
        <v>832</v>
      </c>
      <c r="CD1349" s="4"/>
      <c r="CW1349" s="30">
        <f t="shared" si="206"/>
        <v>1</v>
      </c>
      <c r="CX1349" s="32">
        <f t="shared" si="210"/>
        <v>1</v>
      </c>
      <c r="CZ1349" s="30">
        <f t="shared" si="200"/>
        <v>1</v>
      </c>
      <c r="DA1349" s="52">
        <f t="shared" si="207"/>
        <v>1</v>
      </c>
      <c r="DB1349" s="2">
        <f t="shared" si="203"/>
        <v>0</v>
      </c>
      <c r="DS1349" s="130">
        <f>SI!BY1349</f>
        <v>194</v>
      </c>
      <c r="DZ1349" s="131">
        <f>SI!BZ1349</f>
        <v>0</v>
      </c>
    </row>
    <row r="1350" spans="1:130" ht="14.95" hidden="1" customHeight="1" x14ac:dyDescent="0.25">
      <c r="A1350" s="141"/>
      <c r="B1350" s="1019"/>
      <c r="C1350" s="1020"/>
      <c r="D1350" s="1020"/>
      <c r="E1350" s="1020"/>
      <c r="F1350" s="1020"/>
      <c r="G1350" s="1020"/>
      <c r="H1350" s="1020"/>
      <c r="I1350" s="1020"/>
      <c r="J1350" s="1020"/>
      <c r="K1350" s="1020"/>
      <c r="L1350" s="1020"/>
      <c r="M1350" s="1020"/>
      <c r="N1350" s="1020"/>
      <c r="O1350" s="1020"/>
      <c r="P1350" s="1020"/>
      <c r="Q1350" s="1020"/>
      <c r="R1350" s="1020"/>
      <c r="S1350" s="1232"/>
      <c r="T1350" s="647"/>
      <c r="U1350" s="648"/>
      <c r="V1350" s="648"/>
      <c r="W1350" s="648"/>
      <c r="X1350" s="648"/>
      <c r="Y1350" s="648"/>
      <c r="Z1350" s="648"/>
      <c r="AA1350" s="648"/>
      <c r="AB1350" s="648"/>
      <c r="AC1350" s="648"/>
      <c r="AD1350" s="648"/>
      <c r="AE1350" s="648"/>
      <c r="AF1350" s="649"/>
      <c r="AG1350" s="647"/>
      <c r="AH1350" s="648"/>
      <c r="AI1350" s="648"/>
      <c r="AJ1350" s="648"/>
      <c r="AK1350" s="648"/>
      <c r="AL1350" s="648"/>
      <c r="AM1350" s="648"/>
      <c r="AN1350" s="648"/>
      <c r="AO1350" s="648"/>
      <c r="AP1350" s="648"/>
      <c r="AQ1350" s="648"/>
      <c r="AR1350" s="649"/>
      <c r="AS1350" s="647"/>
      <c r="AT1350" s="648"/>
      <c r="AU1350" s="648"/>
      <c r="AV1350" s="648"/>
      <c r="AW1350" s="648"/>
      <c r="AX1350" s="648"/>
      <c r="AY1350" s="648"/>
      <c r="AZ1350" s="648"/>
      <c r="BA1350" s="648"/>
      <c r="BB1350" s="648"/>
      <c r="BC1350" s="649"/>
      <c r="BD1350" s="1888"/>
      <c r="BE1350" s="1889"/>
      <c r="BF1350" s="1889"/>
      <c r="BG1350" s="1889"/>
      <c r="BH1350" s="1889"/>
      <c r="BI1350" s="1889"/>
      <c r="BJ1350" s="1889"/>
      <c r="BK1350" s="1889"/>
      <c r="BL1350" s="1889"/>
      <c r="BM1350" s="1890"/>
      <c r="BN1350" s="647"/>
      <c r="BO1350" s="648"/>
      <c r="BP1350" s="648"/>
      <c r="BQ1350" s="648"/>
      <c r="BR1350" s="648"/>
      <c r="BS1350" s="648"/>
      <c r="BT1350" s="648"/>
      <c r="BU1350" s="648"/>
      <c r="BV1350" s="648"/>
      <c r="BW1350" s="648"/>
      <c r="BX1350" s="648"/>
      <c r="BY1350" s="648"/>
      <c r="BZ1350" s="649"/>
      <c r="CA1350" s="270"/>
      <c r="CB1350" s="3" t="str">
        <f t="shared" si="208"/>
        <v>Riadok bude skrytý.</v>
      </c>
      <c r="CC1350" s="271" t="s">
        <v>832</v>
      </c>
      <c r="CD1350" s="4"/>
      <c r="CE1350" s="4"/>
      <c r="CF1350" s="4"/>
      <c r="CW1350" s="30">
        <f t="shared" si="206"/>
        <v>1</v>
      </c>
      <c r="CX1350" s="32">
        <f t="shared" si="210"/>
        <v>1</v>
      </c>
      <c r="CZ1350" s="30">
        <f t="shared" si="200"/>
        <v>1</v>
      </c>
      <c r="DA1350" s="52">
        <f t="shared" si="207"/>
        <v>1</v>
      </c>
      <c r="DB1350" s="2">
        <f t="shared" si="203"/>
        <v>0</v>
      </c>
      <c r="DS1350" s="130">
        <f>SI!BY1350</f>
        <v>5</v>
      </c>
      <c r="DZ1350" s="131">
        <f>SI!BZ1350</f>
        <v>5</v>
      </c>
    </row>
    <row r="1351" spans="1:130" hidden="1" x14ac:dyDescent="0.25">
      <c r="A1351" s="141"/>
      <c r="B1351" s="442"/>
      <c r="C1351" s="443"/>
      <c r="D1351" s="443"/>
      <c r="E1351" s="443"/>
      <c r="F1351" s="443"/>
      <c r="G1351" s="443"/>
      <c r="H1351" s="443"/>
      <c r="I1351" s="443"/>
      <c r="J1351" s="443"/>
      <c r="K1351" s="443"/>
      <c r="L1351" s="443"/>
      <c r="M1351" s="443"/>
      <c r="N1351" s="443"/>
      <c r="O1351" s="443"/>
      <c r="P1351" s="443"/>
      <c r="Q1351" s="443"/>
      <c r="R1351" s="443"/>
      <c r="S1351" s="444"/>
      <c r="T1351" s="688">
        <f>+AJ141</f>
        <v>2021</v>
      </c>
      <c r="U1351" s="689"/>
      <c r="V1351" s="689"/>
      <c r="W1351" s="689"/>
      <c r="X1351" s="689"/>
      <c r="Y1351" s="689"/>
      <c r="Z1351" s="689"/>
      <c r="AA1351" s="689"/>
      <c r="AB1351" s="689"/>
      <c r="AC1351" s="689"/>
      <c r="AD1351" s="689"/>
      <c r="AE1351" s="689"/>
      <c r="AF1351" s="1213"/>
      <c r="AG1351" s="546"/>
      <c r="AH1351" s="547"/>
      <c r="AI1351" s="547"/>
      <c r="AJ1351" s="547"/>
      <c r="AK1351" s="547"/>
      <c r="AL1351" s="547"/>
      <c r="AM1351" s="547"/>
      <c r="AN1351" s="547"/>
      <c r="AO1351" s="547"/>
      <c r="AP1351" s="547"/>
      <c r="AQ1351" s="547"/>
      <c r="AR1351" s="548"/>
      <c r="AS1351" s="546"/>
      <c r="AT1351" s="547"/>
      <c r="AU1351" s="547"/>
      <c r="AV1351" s="547"/>
      <c r="AW1351" s="547"/>
      <c r="AX1351" s="547"/>
      <c r="AY1351" s="547"/>
      <c r="AZ1351" s="547"/>
      <c r="BA1351" s="547"/>
      <c r="BB1351" s="547"/>
      <c r="BC1351" s="548"/>
      <c r="BD1351" s="1891"/>
      <c r="BE1351" s="1892"/>
      <c r="BF1351" s="1892"/>
      <c r="BG1351" s="1892"/>
      <c r="BH1351" s="1892"/>
      <c r="BI1351" s="1892"/>
      <c r="BJ1351" s="1892"/>
      <c r="BK1351" s="1892"/>
      <c r="BL1351" s="1892"/>
      <c r="BM1351" s="1893"/>
      <c r="BN1351" s="688">
        <f>+AJ141</f>
        <v>2021</v>
      </c>
      <c r="BO1351" s="689"/>
      <c r="BP1351" s="689"/>
      <c r="BQ1351" s="689"/>
      <c r="BR1351" s="689"/>
      <c r="BS1351" s="689"/>
      <c r="BT1351" s="689"/>
      <c r="BU1351" s="689"/>
      <c r="BV1351" s="689"/>
      <c r="BW1351" s="689"/>
      <c r="BX1351" s="689"/>
      <c r="BY1351" s="689"/>
      <c r="BZ1351" s="1213"/>
      <c r="CA1351" s="270"/>
      <c r="CB1351" s="3" t="str">
        <f t="shared" si="208"/>
        <v>Riadok bude skrytý.</v>
      </c>
      <c r="CC1351" s="271" t="s">
        <v>832</v>
      </c>
      <c r="CW1351" s="30">
        <f t="shared" si="206"/>
        <v>1</v>
      </c>
      <c r="CX1351" s="32">
        <f t="shared" si="210"/>
        <v>1</v>
      </c>
      <c r="CZ1351" s="30">
        <f t="shared" si="200"/>
        <v>1</v>
      </c>
      <c r="DA1351" s="52">
        <f t="shared" si="207"/>
        <v>1</v>
      </c>
      <c r="DB1351" s="2">
        <f t="shared" si="203"/>
        <v>0</v>
      </c>
      <c r="DS1351" s="130">
        <f>SI!BY1351</f>
        <v>158</v>
      </c>
      <c r="DZ1351" s="131">
        <f>SI!BZ1351</f>
        <v>5</v>
      </c>
    </row>
    <row r="1352" spans="1:130" hidden="1" x14ac:dyDescent="0.25">
      <c r="A1352" s="141"/>
      <c r="B1352" s="524" t="str">
        <f>+IF(LEN(SI!$J$3)=Poznamky_k_UZ!DZ1352," a","")</f>
        <v xml:space="preserve"> a</v>
      </c>
      <c r="C1352" s="525"/>
      <c r="D1352" s="525"/>
      <c r="E1352" s="1637"/>
      <c r="F1352" s="1637"/>
      <c r="G1352" s="1637"/>
      <c r="H1352" s="1637"/>
      <c r="I1352" s="1637"/>
      <c r="J1352" s="1637"/>
      <c r="K1352" s="1637"/>
      <c r="L1352" s="1637"/>
      <c r="M1352" s="1637"/>
      <c r="N1352" s="1637"/>
      <c r="O1352" s="1637"/>
      <c r="P1352" s="1637"/>
      <c r="Q1352" s="1637"/>
      <c r="R1352" s="1637"/>
      <c r="S1352" s="1638"/>
      <c r="T1352" s="1636" t="s">
        <v>1</v>
      </c>
      <c r="U1352" s="1637"/>
      <c r="V1352" s="1637"/>
      <c r="W1352" s="1637"/>
      <c r="X1352" s="1637"/>
      <c r="Y1352" s="1637"/>
      <c r="Z1352" s="1637"/>
      <c r="AA1352" s="1637"/>
      <c r="AB1352" s="1637"/>
      <c r="AC1352" s="1637"/>
      <c r="AD1352" s="1637"/>
      <c r="AE1352" s="1637"/>
      <c r="AF1352" s="1638"/>
      <c r="AG1352" s="1636" t="s">
        <v>2</v>
      </c>
      <c r="AH1352" s="1637"/>
      <c r="AI1352" s="1637"/>
      <c r="AJ1352" s="1637"/>
      <c r="AK1352" s="1637"/>
      <c r="AL1352" s="1637"/>
      <c r="AM1352" s="1637"/>
      <c r="AN1352" s="1637"/>
      <c r="AO1352" s="1637"/>
      <c r="AP1352" s="1637"/>
      <c r="AQ1352" s="1637"/>
      <c r="AR1352" s="1638"/>
      <c r="AS1352" s="1636" t="s">
        <v>28</v>
      </c>
      <c r="AT1352" s="1637"/>
      <c r="AU1352" s="1637"/>
      <c r="AV1352" s="1637"/>
      <c r="AW1352" s="1637"/>
      <c r="AX1352" s="1637"/>
      <c r="AY1352" s="1637"/>
      <c r="AZ1352" s="1637"/>
      <c r="BA1352" s="1637"/>
      <c r="BB1352" s="1637"/>
      <c r="BC1352" s="1638"/>
      <c r="BD1352" s="1636" t="s">
        <v>29</v>
      </c>
      <c r="BE1352" s="1637"/>
      <c r="BF1352" s="1637"/>
      <c r="BG1352" s="1637"/>
      <c r="BH1352" s="1637"/>
      <c r="BI1352" s="1637"/>
      <c r="BJ1352" s="1637"/>
      <c r="BK1352" s="1637"/>
      <c r="BL1352" s="1637"/>
      <c r="BM1352" s="1637"/>
      <c r="BN1352" s="1636" t="s">
        <v>103</v>
      </c>
      <c r="BO1352" s="1637"/>
      <c r="BP1352" s="1637"/>
      <c r="BQ1352" s="1637"/>
      <c r="BR1352" s="1637"/>
      <c r="BS1352" s="1637"/>
      <c r="BT1352" s="1637"/>
      <c r="BU1352" s="1637"/>
      <c r="BV1352" s="1637"/>
      <c r="BW1352" s="1637"/>
      <c r="BX1352" s="1637"/>
      <c r="BY1352" s="1637"/>
      <c r="BZ1352" s="1638"/>
      <c r="CA1352" s="270"/>
      <c r="CB1352" s="3" t="str">
        <f t="shared" si="208"/>
        <v>Riadok bude skrytý.</v>
      </c>
      <c r="CC1352" s="271" t="s">
        <v>832</v>
      </c>
      <c r="CD1352" s="4" t="s">
        <v>764</v>
      </c>
      <c r="CW1352" s="30">
        <f t="shared" si="206"/>
        <v>1</v>
      </c>
      <c r="CX1352" s="32">
        <f t="shared" si="210"/>
        <v>1</v>
      </c>
      <c r="CZ1352" s="30">
        <f t="shared" si="200"/>
        <v>1</v>
      </c>
      <c r="DA1352" s="52">
        <f t="shared" si="207"/>
        <v>1</v>
      </c>
      <c r="DB1352" s="2">
        <f t="shared" si="203"/>
        <v>0</v>
      </c>
      <c r="DS1352" s="130">
        <f>SI!BY1352</f>
        <v>163</v>
      </c>
      <c r="DZ1352" s="131">
        <f>SI!BZ1352</f>
        <v>5</v>
      </c>
    </row>
    <row r="1353" spans="1:130" hidden="1" x14ac:dyDescent="0.25">
      <c r="A1353" s="141"/>
      <c r="B1353" s="68" t="str">
        <f>+IF(LEN(SI!$J$3)=Poznamky_k_UZ!DZ1353,"Do splatnosti:","")</f>
        <v>Do splatnosti:</v>
      </c>
      <c r="C1353" s="69"/>
      <c r="D1353" s="69"/>
      <c r="E1353" s="68"/>
      <c r="F1353" s="69"/>
      <c r="G1353" s="69"/>
      <c r="H1353" s="69"/>
      <c r="I1353" s="69"/>
      <c r="J1353" s="69"/>
      <c r="K1353" s="69"/>
      <c r="L1353" s="69"/>
      <c r="M1353" s="69"/>
      <c r="N1353" s="69"/>
      <c r="O1353" s="69"/>
      <c r="P1353" s="69"/>
      <c r="Q1353" s="69"/>
      <c r="R1353" s="69"/>
      <c r="S1353" s="69"/>
      <c r="T1353" s="524"/>
      <c r="U1353" s="525"/>
      <c r="V1353" s="525"/>
      <c r="W1353" s="525"/>
      <c r="X1353" s="525"/>
      <c r="Y1353" s="525"/>
      <c r="Z1353" s="525"/>
      <c r="AA1353" s="525"/>
      <c r="AB1353" s="525"/>
      <c r="AC1353" s="525"/>
      <c r="AD1353" s="525"/>
      <c r="AE1353" s="525"/>
      <c r="AF1353" s="525"/>
      <c r="AG1353" s="524"/>
      <c r="AH1353" s="525"/>
      <c r="AI1353" s="525"/>
      <c r="AJ1353" s="525"/>
      <c r="AK1353" s="525"/>
      <c r="AL1353" s="525"/>
      <c r="AM1353" s="525"/>
      <c r="AN1353" s="525"/>
      <c r="AO1353" s="525"/>
      <c r="AP1353" s="525"/>
      <c r="AQ1353" s="525"/>
      <c r="AR1353" s="525"/>
      <c r="AS1353" s="524"/>
      <c r="AT1353" s="525"/>
      <c r="AU1353" s="525"/>
      <c r="AV1353" s="525"/>
      <c r="AW1353" s="525"/>
      <c r="AX1353" s="525"/>
      <c r="AY1353" s="525"/>
      <c r="AZ1353" s="525"/>
      <c r="BA1353" s="525"/>
      <c r="BB1353" s="525"/>
      <c r="BC1353" s="723"/>
      <c r="BD1353" s="525"/>
      <c r="BE1353" s="525"/>
      <c r="BF1353" s="525"/>
      <c r="BG1353" s="525"/>
      <c r="BH1353" s="525"/>
      <c r="BI1353" s="525"/>
      <c r="BJ1353" s="525"/>
      <c r="BK1353" s="525"/>
      <c r="BL1353" s="525"/>
      <c r="BM1353" s="723"/>
      <c r="BN1353" s="525"/>
      <c r="BO1353" s="525"/>
      <c r="BP1353" s="525"/>
      <c r="BQ1353" s="525"/>
      <c r="BR1353" s="525"/>
      <c r="BS1353" s="525"/>
      <c r="BT1353" s="525"/>
      <c r="BU1353" s="525"/>
      <c r="BV1353" s="525"/>
      <c r="BW1353" s="525"/>
      <c r="BX1353" s="525"/>
      <c r="BY1353" s="525"/>
      <c r="BZ1353" s="723"/>
      <c r="CA1353" s="270"/>
      <c r="CB1353" s="3" t="str">
        <f t="shared" si="208"/>
        <v>Riadok bude skrytý.</v>
      </c>
      <c r="CC1353" s="271" t="s">
        <v>832</v>
      </c>
      <c r="CW1353" s="30">
        <f t="shared" si="206"/>
        <v>1</v>
      </c>
      <c r="CX1353" s="32">
        <f t="shared" si="210"/>
        <v>1</v>
      </c>
      <c r="CZ1353" s="30">
        <f t="shared" si="200"/>
        <v>1</v>
      </c>
      <c r="DA1353" s="52">
        <f t="shared" si="207"/>
        <v>1</v>
      </c>
      <c r="DB1353" s="2">
        <f t="shared" si="203"/>
        <v>0</v>
      </c>
      <c r="DS1353" s="130">
        <f>SI!BY1353</f>
        <v>749</v>
      </c>
      <c r="DZ1353" s="131">
        <f>SI!BZ1353</f>
        <v>5</v>
      </c>
    </row>
    <row r="1354" spans="1:130" hidden="1" x14ac:dyDescent="0.25">
      <c r="A1354" s="141"/>
      <c r="B1354" s="1697" t="str">
        <f>+IF(LEN(SI!$J$3)=Poznamky_k_UZ!DZ1354,"viac ako 5 rokov","")</f>
        <v>viac ako 5 rokov</v>
      </c>
      <c r="C1354" s="1698"/>
      <c r="D1354" s="1698"/>
      <c r="E1354" s="1699"/>
      <c r="F1354" s="1699"/>
      <c r="G1354" s="1699"/>
      <c r="H1354" s="1699"/>
      <c r="I1354" s="1699"/>
      <c r="J1354" s="1699"/>
      <c r="K1354" s="1699"/>
      <c r="L1354" s="1699"/>
      <c r="M1354" s="1699"/>
      <c r="N1354" s="1699"/>
      <c r="O1354" s="1699"/>
      <c r="P1354" s="1699"/>
      <c r="Q1354" s="1699"/>
      <c r="R1354" s="1699"/>
      <c r="S1354" s="1699"/>
      <c r="T1354" s="1054"/>
      <c r="U1354" s="1055"/>
      <c r="V1354" s="1055"/>
      <c r="W1354" s="1055"/>
      <c r="X1354" s="1055"/>
      <c r="Y1354" s="1055"/>
      <c r="Z1354" s="1055"/>
      <c r="AA1354" s="1055"/>
      <c r="AB1354" s="1055"/>
      <c r="AC1354" s="1055"/>
      <c r="AD1354" s="1055"/>
      <c r="AE1354" s="1055"/>
      <c r="AF1354" s="502"/>
      <c r="AG1354" s="1054"/>
      <c r="AH1354" s="1055"/>
      <c r="AI1354" s="1055"/>
      <c r="AJ1354" s="1055"/>
      <c r="AK1354" s="1055"/>
      <c r="AL1354" s="1055"/>
      <c r="AM1354" s="1055"/>
      <c r="AN1354" s="1055"/>
      <c r="AO1354" s="1055"/>
      <c r="AP1354" s="1055"/>
      <c r="AQ1354" s="1055"/>
      <c r="AR1354" s="502"/>
      <c r="AS1354" s="1054"/>
      <c r="AT1354" s="1055"/>
      <c r="AU1354" s="1055"/>
      <c r="AV1354" s="1055"/>
      <c r="AW1354" s="1055"/>
      <c r="AX1354" s="1055"/>
      <c r="AY1354" s="1055"/>
      <c r="AZ1354" s="1055"/>
      <c r="BA1354" s="1055"/>
      <c r="BB1354" s="1055"/>
      <c r="BC1354" s="1056"/>
      <c r="BD1354" s="1132"/>
      <c r="BE1354" s="1055"/>
      <c r="BF1354" s="1055"/>
      <c r="BG1354" s="1055"/>
      <c r="BH1354" s="1055"/>
      <c r="BI1354" s="1055"/>
      <c r="BJ1354" s="1055"/>
      <c r="BK1354" s="1055"/>
      <c r="BL1354" s="1055"/>
      <c r="BM1354" s="1056"/>
      <c r="BN1354" s="1840">
        <f>+SUM(T1354:BM1354)</f>
        <v>0</v>
      </c>
      <c r="BO1354" s="1841"/>
      <c r="BP1354" s="1841"/>
      <c r="BQ1354" s="1841"/>
      <c r="BR1354" s="1841"/>
      <c r="BS1354" s="1841"/>
      <c r="BT1354" s="1841"/>
      <c r="BU1354" s="1841"/>
      <c r="BV1354" s="1841"/>
      <c r="BW1354" s="1841"/>
      <c r="BX1354" s="1841"/>
      <c r="BY1354" s="1841"/>
      <c r="BZ1354" s="1842"/>
      <c r="CA1354" s="270"/>
      <c r="CB1354" s="3" t="str">
        <f t="shared" si="208"/>
        <v>Riadok bude skrytý.</v>
      </c>
      <c r="CC1354" s="271" t="s">
        <v>832</v>
      </c>
      <c r="CW1354" s="30">
        <f t="shared" si="206"/>
        <v>1</v>
      </c>
      <c r="CX1354" s="32">
        <f t="shared" si="210"/>
        <v>1</v>
      </c>
      <c r="CZ1354" s="30">
        <f t="shared" si="200"/>
        <v>1</v>
      </c>
      <c r="DA1354" s="52">
        <f t="shared" si="207"/>
        <v>1</v>
      </c>
      <c r="DB1354" s="2">
        <f t="shared" si="203"/>
        <v>0</v>
      </c>
      <c r="DS1354" s="130">
        <f>SI!BY1354</f>
        <v>123</v>
      </c>
      <c r="DZ1354" s="131">
        <f>SI!BZ1354</f>
        <v>5</v>
      </c>
    </row>
    <row r="1355" spans="1:130" ht="30.1" hidden="1" customHeight="1" x14ac:dyDescent="0.25">
      <c r="A1355" s="141"/>
      <c r="B1355" s="1700" t="str">
        <f>+IF(LEN(SI!$J$3)=Poznamky_k_UZ!DZ1356," viac ako 3 roky a najviac 5 rokov vrátane","")</f>
        <v xml:space="preserve"> viac ako 3 roky a najviac 5 rokov vrátane</v>
      </c>
      <c r="C1355" s="1701"/>
      <c r="D1355" s="1701"/>
      <c r="E1355" s="1701"/>
      <c r="F1355" s="1701"/>
      <c r="G1355" s="1701"/>
      <c r="H1355" s="1701"/>
      <c r="I1355" s="1701"/>
      <c r="J1355" s="1701"/>
      <c r="K1355" s="1701"/>
      <c r="L1355" s="1701"/>
      <c r="M1355" s="1701"/>
      <c r="N1355" s="1701"/>
      <c r="O1355" s="1701"/>
      <c r="P1355" s="1701"/>
      <c r="Q1355" s="1701"/>
      <c r="R1355" s="1701"/>
      <c r="S1355" s="1702"/>
      <c r="T1355" s="363"/>
      <c r="U1355" s="364"/>
      <c r="V1355" s="364"/>
      <c r="W1355" s="364"/>
      <c r="X1355" s="364"/>
      <c r="Y1355" s="364"/>
      <c r="Z1355" s="364"/>
      <c r="AA1355" s="364"/>
      <c r="AB1355" s="364"/>
      <c r="AC1355" s="364"/>
      <c r="AD1355" s="364"/>
      <c r="AE1355" s="364"/>
      <c r="AF1355" s="475"/>
      <c r="AG1355" s="363"/>
      <c r="AH1355" s="364"/>
      <c r="AI1355" s="364"/>
      <c r="AJ1355" s="364"/>
      <c r="AK1355" s="364"/>
      <c r="AL1355" s="364"/>
      <c r="AM1355" s="364"/>
      <c r="AN1355" s="364"/>
      <c r="AO1355" s="364"/>
      <c r="AP1355" s="364"/>
      <c r="AQ1355" s="364"/>
      <c r="AR1355" s="475"/>
      <c r="AS1355" s="363"/>
      <c r="AT1355" s="364"/>
      <c r="AU1355" s="364"/>
      <c r="AV1355" s="364"/>
      <c r="AW1355" s="364"/>
      <c r="AX1355" s="364"/>
      <c r="AY1355" s="364"/>
      <c r="AZ1355" s="364"/>
      <c r="BA1355" s="364"/>
      <c r="BB1355" s="364"/>
      <c r="BC1355" s="387"/>
      <c r="BD1355" s="386"/>
      <c r="BE1355" s="364"/>
      <c r="BF1355" s="364"/>
      <c r="BG1355" s="364"/>
      <c r="BH1355" s="364"/>
      <c r="BI1355" s="364"/>
      <c r="BJ1355" s="364"/>
      <c r="BK1355" s="364"/>
      <c r="BL1355" s="364"/>
      <c r="BM1355" s="387"/>
      <c r="BN1355" s="526">
        <f>+SUM(T1355:BM1355)</f>
        <v>0</v>
      </c>
      <c r="BO1355" s="527"/>
      <c r="BP1355" s="527"/>
      <c r="BQ1355" s="527"/>
      <c r="BR1355" s="527"/>
      <c r="BS1355" s="527"/>
      <c r="BT1355" s="527"/>
      <c r="BU1355" s="527"/>
      <c r="BV1355" s="527"/>
      <c r="BW1355" s="527"/>
      <c r="BX1355" s="527"/>
      <c r="BY1355" s="527"/>
      <c r="BZ1355" s="528"/>
      <c r="CA1355" s="270"/>
      <c r="CB1355" s="3" t="str">
        <f t="shared" si="208"/>
        <v>Riadok bude skrytý.</v>
      </c>
      <c r="CC1355" s="271" t="s">
        <v>832</v>
      </c>
      <c r="CW1355" s="30">
        <f t="shared" ref="CW1355:CW1380" si="211">+IF($AB$1193="neeviduje",0,1)</f>
        <v>1</v>
      </c>
      <c r="CX1355" s="32">
        <f t="shared" si="210"/>
        <v>1</v>
      </c>
      <c r="CZ1355" s="30">
        <f t="shared" si="200"/>
        <v>1</v>
      </c>
      <c r="DA1355" s="52">
        <f t="shared" si="207"/>
        <v>1</v>
      </c>
      <c r="DB1355" s="2">
        <f t="shared" si="203"/>
        <v>0</v>
      </c>
      <c r="DS1355" s="130">
        <f>SI!BY1355</f>
        <v>637</v>
      </c>
      <c r="DZ1355" s="131">
        <f>SI!BZ1355</f>
        <v>5</v>
      </c>
    </row>
    <row r="1356" spans="1:130" ht="30.75" hidden="1" customHeight="1" x14ac:dyDescent="0.25">
      <c r="A1356" s="141"/>
      <c r="B1356" s="1700" t="s">
        <v>945</v>
      </c>
      <c r="C1356" s="1701"/>
      <c r="D1356" s="1701"/>
      <c r="E1356" s="1701"/>
      <c r="F1356" s="1701"/>
      <c r="G1356" s="1701"/>
      <c r="H1356" s="1701"/>
      <c r="I1356" s="1701"/>
      <c r="J1356" s="1701"/>
      <c r="K1356" s="1701"/>
      <c r="L1356" s="1701"/>
      <c r="M1356" s="1701"/>
      <c r="N1356" s="1701"/>
      <c r="O1356" s="1701"/>
      <c r="P1356" s="1701"/>
      <c r="Q1356" s="1701"/>
      <c r="R1356" s="1701"/>
      <c r="S1356" s="1702"/>
      <c r="T1356" s="363"/>
      <c r="U1356" s="364"/>
      <c r="V1356" s="364"/>
      <c r="W1356" s="364"/>
      <c r="X1356" s="364"/>
      <c r="Y1356" s="364"/>
      <c r="Z1356" s="364"/>
      <c r="AA1356" s="364"/>
      <c r="AB1356" s="364"/>
      <c r="AC1356" s="364"/>
      <c r="AD1356" s="364"/>
      <c r="AE1356" s="364"/>
      <c r="AF1356" s="475"/>
      <c r="AG1356" s="363"/>
      <c r="AH1356" s="364"/>
      <c r="AI1356" s="364"/>
      <c r="AJ1356" s="364"/>
      <c r="AK1356" s="364"/>
      <c r="AL1356" s="364"/>
      <c r="AM1356" s="364"/>
      <c r="AN1356" s="364"/>
      <c r="AO1356" s="364"/>
      <c r="AP1356" s="364"/>
      <c r="AQ1356" s="364"/>
      <c r="AR1356" s="475"/>
      <c r="AS1356" s="363"/>
      <c r="AT1356" s="364"/>
      <c r="AU1356" s="364"/>
      <c r="AV1356" s="364"/>
      <c r="AW1356" s="364"/>
      <c r="AX1356" s="364"/>
      <c r="AY1356" s="364"/>
      <c r="AZ1356" s="364"/>
      <c r="BA1356" s="364"/>
      <c r="BB1356" s="364"/>
      <c r="BC1356" s="387"/>
      <c r="BD1356" s="386"/>
      <c r="BE1356" s="364"/>
      <c r="BF1356" s="364"/>
      <c r="BG1356" s="364"/>
      <c r="BH1356" s="364"/>
      <c r="BI1356" s="364"/>
      <c r="BJ1356" s="364"/>
      <c r="BK1356" s="364"/>
      <c r="BL1356" s="364"/>
      <c r="BM1356" s="387"/>
      <c r="BN1356" s="526">
        <f>+SUM(T1356:BM1356)</f>
        <v>0</v>
      </c>
      <c r="BO1356" s="527"/>
      <c r="BP1356" s="527"/>
      <c r="BQ1356" s="527"/>
      <c r="BR1356" s="527"/>
      <c r="BS1356" s="527"/>
      <c r="BT1356" s="527"/>
      <c r="BU1356" s="527"/>
      <c r="BV1356" s="527"/>
      <c r="BW1356" s="527"/>
      <c r="BX1356" s="527"/>
      <c r="BY1356" s="527"/>
      <c r="BZ1356" s="528"/>
      <c r="CA1356" s="270"/>
      <c r="CB1356" s="3" t="str">
        <f t="shared" si="208"/>
        <v>Riadok bude skrytý.</v>
      </c>
      <c r="CC1356" s="271" t="s">
        <v>832</v>
      </c>
      <c r="CW1356" s="30">
        <f t="shared" si="211"/>
        <v>1</v>
      </c>
      <c r="CX1356" s="32">
        <f t="shared" si="210"/>
        <v>1</v>
      </c>
      <c r="CZ1356" s="30">
        <f t="shared" si="200"/>
        <v>1</v>
      </c>
      <c r="DA1356" s="52">
        <f t="shared" si="207"/>
        <v>1</v>
      </c>
      <c r="DB1356" s="2">
        <f t="shared" si="203"/>
        <v>0</v>
      </c>
      <c r="DS1356" s="130">
        <f>SI!BY1356</f>
        <v>185</v>
      </c>
      <c r="DZ1356" s="131">
        <f>SI!BZ1356</f>
        <v>5</v>
      </c>
    </row>
    <row r="1357" spans="1:130" hidden="1" x14ac:dyDescent="0.25">
      <c r="A1357" s="141"/>
      <c r="B1357" s="1838" t="str">
        <f>+IF(LEN(SI!$J$3)=Poznamky_k_UZ!DZ1357,"do 1 roka vrátane","")</f>
        <v>do 1 roka vrátane</v>
      </c>
      <c r="C1357" s="1839"/>
      <c r="D1357" s="1839"/>
      <c r="E1357" s="1839"/>
      <c r="F1357" s="1839"/>
      <c r="G1357" s="1839"/>
      <c r="H1357" s="1839"/>
      <c r="I1357" s="1839"/>
      <c r="J1357" s="1839"/>
      <c r="K1357" s="1839"/>
      <c r="L1357" s="1839"/>
      <c r="M1357" s="1839"/>
      <c r="N1357" s="1839"/>
      <c r="O1357" s="1839"/>
      <c r="P1357" s="1839"/>
      <c r="Q1357" s="1839"/>
      <c r="R1357" s="1839"/>
      <c r="S1357" s="1839"/>
      <c r="T1357" s="459"/>
      <c r="U1357" s="461"/>
      <c r="V1357" s="461"/>
      <c r="W1357" s="461"/>
      <c r="X1357" s="461"/>
      <c r="Y1357" s="461"/>
      <c r="Z1357" s="461"/>
      <c r="AA1357" s="461"/>
      <c r="AB1357" s="461"/>
      <c r="AC1357" s="461"/>
      <c r="AD1357" s="461"/>
      <c r="AE1357" s="461"/>
      <c r="AF1357" s="462"/>
      <c r="AG1357" s="459"/>
      <c r="AH1357" s="461"/>
      <c r="AI1357" s="461"/>
      <c r="AJ1357" s="461"/>
      <c r="AK1357" s="461"/>
      <c r="AL1357" s="461"/>
      <c r="AM1357" s="461"/>
      <c r="AN1357" s="461"/>
      <c r="AO1357" s="461"/>
      <c r="AP1357" s="461"/>
      <c r="AQ1357" s="461"/>
      <c r="AR1357" s="462"/>
      <c r="AS1357" s="459"/>
      <c r="AT1357" s="461"/>
      <c r="AU1357" s="461"/>
      <c r="AV1357" s="461"/>
      <c r="AW1357" s="461"/>
      <c r="AX1357" s="461"/>
      <c r="AY1357" s="461"/>
      <c r="AZ1357" s="461"/>
      <c r="BA1357" s="461"/>
      <c r="BB1357" s="461"/>
      <c r="BC1357" s="1610"/>
      <c r="BD1357" s="460"/>
      <c r="BE1357" s="461"/>
      <c r="BF1357" s="461"/>
      <c r="BG1357" s="461"/>
      <c r="BH1357" s="461"/>
      <c r="BI1357" s="461"/>
      <c r="BJ1357" s="461"/>
      <c r="BK1357" s="461"/>
      <c r="BL1357" s="461"/>
      <c r="BM1357" s="1610"/>
      <c r="BN1357" s="1252">
        <f>+SUM(T1357:BM1357)</f>
        <v>0</v>
      </c>
      <c r="BO1357" s="1253"/>
      <c r="BP1357" s="1253"/>
      <c r="BQ1357" s="1253"/>
      <c r="BR1357" s="1253"/>
      <c r="BS1357" s="1253"/>
      <c r="BT1357" s="1253"/>
      <c r="BU1357" s="1253"/>
      <c r="BV1357" s="1253"/>
      <c r="BW1357" s="1253"/>
      <c r="BX1357" s="1253"/>
      <c r="BY1357" s="1253"/>
      <c r="BZ1357" s="1254"/>
      <c r="CA1357" s="270"/>
      <c r="CB1357" s="3" t="str">
        <f t="shared" si="208"/>
        <v>Riadok bude skrytý.</v>
      </c>
      <c r="CC1357" s="271" t="s">
        <v>832</v>
      </c>
      <c r="CW1357" s="30">
        <f t="shared" si="211"/>
        <v>1</v>
      </c>
      <c r="CX1357" s="32">
        <f t="shared" si="210"/>
        <v>1</v>
      </c>
      <c r="CZ1357" s="30">
        <f t="shared" si="200"/>
        <v>1</v>
      </c>
      <c r="DA1357" s="52">
        <f t="shared" si="207"/>
        <v>1</v>
      </c>
      <c r="DB1357" s="2">
        <f t="shared" si="203"/>
        <v>0</v>
      </c>
      <c r="DS1357" s="130">
        <f>SI!BY1357</f>
        <v>698</v>
      </c>
      <c r="DZ1357" s="131">
        <f>SI!BZ1357</f>
        <v>5</v>
      </c>
    </row>
    <row r="1358" spans="1:130" hidden="1" x14ac:dyDescent="0.25">
      <c r="A1358" s="141"/>
      <c r="B1358" s="1242" t="str">
        <f>+IF(LEN(SI!$J$3)=Poznamky_k_UZ!DZ1358,"Dlhodobé pôžičky spolu:","")</f>
        <v>Dlhodobé pôžičky spolu:</v>
      </c>
      <c r="C1358" s="1243"/>
      <c r="D1358" s="1243"/>
      <c r="E1358" s="1243"/>
      <c r="F1358" s="1243"/>
      <c r="G1358" s="1243"/>
      <c r="H1358" s="1243"/>
      <c r="I1358" s="1243"/>
      <c r="J1358" s="1243"/>
      <c r="K1358" s="1243"/>
      <c r="L1358" s="1243"/>
      <c r="M1358" s="1243"/>
      <c r="N1358" s="1243"/>
      <c r="O1358" s="1243"/>
      <c r="P1358" s="1243"/>
      <c r="Q1358" s="1243"/>
      <c r="R1358" s="1243"/>
      <c r="S1358" s="1243"/>
      <c r="T1358" s="423">
        <f>+SUM(T1354:AF1357)</f>
        <v>0</v>
      </c>
      <c r="U1358" s="424"/>
      <c r="V1358" s="424"/>
      <c r="W1358" s="424"/>
      <c r="X1358" s="424"/>
      <c r="Y1358" s="424"/>
      <c r="Z1358" s="424"/>
      <c r="AA1358" s="424"/>
      <c r="AB1358" s="424"/>
      <c r="AC1358" s="424"/>
      <c r="AD1358" s="424"/>
      <c r="AE1358" s="424"/>
      <c r="AF1358" s="424"/>
      <c r="AG1358" s="423">
        <f>+SUM(AG1354:AR1357)</f>
        <v>0</v>
      </c>
      <c r="AH1358" s="424"/>
      <c r="AI1358" s="424"/>
      <c r="AJ1358" s="424"/>
      <c r="AK1358" s="424"/>
      <c r="AL1358" s="424"/>
      <c r="AM1358" s="424"/>
      <c r="AN1358" s="424"/>
      <c r="AO1358" s="424"/>
      <c r="AP1358" s="424"/>
      <c r="AQ1358" s="424"/>
      <c r="AR1358" s="424"/>
      <c r="AS1358" s="423">
        <f>+SUM(AS1354:BC1357)</f>
        <v>0</v>
      </c>
      <c r="AT1358" s="424"/>
      <c r="AU1358" s="424"/>
      <c r="AV1358" s="424"/>
      <c r="AW1358" s="424"/>
      <c r="AX1358" s="424"/>
      <c r="AY1358" s="424"/>
      <c r="AZ1358" s="424"/>
      <c r="BA1358" s="424"/>
      <c r="BB1358" s="424"/>
      <c r="BC1358" s="425"/>
      <c r="BD1358" s="424">
        <f>+SUM(BD1354:BL1357)</f>
        <v>0</v>
      </c>
      <c r="BE1358" s="424"/>
      <c r="BF1358" s="424"/>
      <c r="BG1358" s="424"/>
      <c r="BH1358" s="424"/>
      <c r="BI1358" s="424"/>
      <c r="BJ1358" s="424"/>
      <c r="BK1358" s="424"/>
      <c r="BL1358" s="424"/>
      <c r="BM1358" s="425"/>
      <c r="BN1358" s="424">
        <f>+SUM(T1358:BM1358)</f>
        <v>0</v>
      </c>
      <c r="BO1358" s="424"/>
      <c r="BP1358" s="424"/>
      <c r="BQ1358" s="424"/>
      <c r="BR1358" s="424"/>
      <c r="BS1358" s="424"/>
      <c r="BT1358" s="424"/>
      <c r="BU1358" s="424"/>
      <c r="BV1358" s="424"/>
      <c r="BW1358" s="424"/>
      <c r="BX1358" s="424"/>
      <c r="BY1358" s="424"/>
      <c r="BZ1358" s="425"/>
      <c r="CA1358" s="270"/>
      <c r="CB1358" s="3" t="str">
        <f t="shared" si="208"/>
        <v>Riadok bude skrytý.</v>
      </c>
      <c r="CC1358" s="271" t="s">
        <v>832</v>
      </c>
      <c r="CW1358" s="30">
        <f t="shared" si="211"/>
        <v>1</v>
      </c>
      <c r="CX1358" s="32">
        <f t="shared" si="210"/>
        <v>1</v>
      </c>
      <c r="CZ1358" s="30">
        <f t="shared" si="200"/>
        <v>1</v>
      </c>
      <c r="DA1358" s="52">
        <f t="shared" si="207"/>
        <v>1</v>
      </c>
      <c r="DB1358" s="2">
        <f t="shared" si="203"/>
        <v>0</v>
      </c>
      <c r="DS1358" s="130">
        <f>SI!BY1358</f>
        <v>187</v>
      </c>
      <c r="DZ1358" s="131">
        <f>SI!BZ1358</f>
        <v>5</v>
      </c>
    </row>
    <row r="1359" spans="1:130" hidden="1" x14ac:dyDescent="0.25">
      <c r="A1359" s="141"/>
      <c r="CA1359" s="270"/>
      <c r="CB1359" s="3" t="str">
        <f t="shared" si="208"/>
        <v>Riadok bude skrytý.</v>
      </c>
      <c r="CC1359" s="271" t="s">
        <v>832</v>
      </c>
      <c r="CW1359" s="30">
        <f t="shared" si="211"/>
        <v>1</v>
      </c>
      <c r="CX1359" s="32">
        <f>+IF(B1361="",0,1)</f>
        <v>0</v>
      </c>
      <c r="CZ1359" s="30">
        <f t="shared" si="200"/>
        <v>1</v>
      </c>
      <c r="DA1359" s="52">
        <f t="shared" si="207"/>
        <v>0</v>
      </c>
      <c r="DB1359" s="2">
        <f t="shared" si="203"/>
        <v>0</v>
      </c>
      <c r="DS1359" s="130">
        <f>SI!BY1359</f>
        <v>161</v>
      </c>
      <c r="DZ1359" s="131">
        <f>SI!BZ1359</f>
        <v>0</v>
      </c>
    </row>
    <row r="1360" spans="1:130" hidden="1" x14ac:dyDescent="0.25">
      <c r="A1360" s="141"/>
      <c r="B1360" s="137" t="str">
        <f>+IF($G$52&lt;&gt;"",IF(ROUNDDOWN(CODE(MID($G$52,1,1))*2,0)*(IF(SI!EE1360="",1,SI!EE1360-1))+(LEN(SI!J2)+LEN(SI!J3))=DS1360,"Spoločnosť uvádza k dlhodobému finančnému majetku ďalšie doplňujúce informácie:","NEPOVOLENÉ POUŽITIE!"),"NEPOVOLENÉ POUŽITIE!")</f>
        <v>Spoločnosť uvádza k dlhodobému finančnému majetku ďalšie doplňujúce informácie:</v>
      </c>
      <c r="C1360" s="7"/>
      <c r="D1360" s="7"/>
      <c r="E1360" s="7"/>
      <c r="F1360" s="7"/>
      <c r="CA1360" s="265" t="s">
        <v>773</v>
      </c>
      <c r="CB1360" s="3" t="str">
        <f t="shared" si="208"/>
        <v>Riadok bude skrytý.</v>
      </c>
      <c r="CC1360" s="271" t="s">
        <v>832</v>
      </c>
      <c r="CW1360" s="30">
        <f t="shared" si="211"/>
        <v>1</v>
      </c>
      <c r="CX1360" s="30">
        <f>+IF(B1361="",0,1)</f>
        <v>0</v>
      </c>
      <c r="CZ1360" s="30">
        <f t="shared" si="200"/>
        <v>1</v>
      </c>
      <c r="DA1360" s="52">
        <f t="shared" si="207"/>
        <v>0</v>
      </c>
      <c r="DB1360" s="2">
        <f t="shared" si="203"/>
        <v>0</v>
      </c>
      <c r="DS1360" s="130">
        <f>SI!BY1360</f>
        <v>18</v>
      </c>
      <c r="DZ1360" s="131">
        <f>SI!BZ1360</f>
        <v>0</v>
      </c>
    </row>
    <row r="1361" spans="1:130" hidden="1" x14ac:dyDescent="0.25">
      <c r="A1361" s="141"/>
      <c r="B1361" s="379"/>
      <c r="C1361" s="379"/>
      <c r="D1361" s="379"/>
      <c r="E1361" s="379"/>
      <c r="F1361" s="379"/>
      <c r="G1361" s="379"/>
      <c r="H1361" s="379"/>
      <c r="I1361" s="379"/>
      <c r="J1361" s="379"/>
      <c r="K1361" s="379"/>
      <c r="L1361" s="379"/>
      <c r="M1361" s="379"/>
      <c r="N1361" s="379"/>
      <c r="O1361" s="379"/>
      <c r="P1361" s="379"/>
      <c r="Q1361" s="379"/>
      <c r="R1361" s="379"/>
      <c r="S1361" s="379"/>
      <c r="T1361" s="379"/>
      <c r="U1361" s="379"/>
      <c r="V1361" s="379"/>
      <c r="W1361" s="379"/>
      <c r="X1361" s="379"/>
      <c r="Y1361" s="379"/>
      <c r="Z1361" s="379"/>
      <c r="AA1361" s="379"/>
      <c r="AB1361" s="379"/>
      <c r="AC1361" s="379"/>
      <c r="AD1361" s="379"/>
      <c r="AE1361" s="379"/>
      <c r="AF1361" s="379"/>
      <c r="AG1361" s="379"/>
      <c r="AH1361" s="379"/>
      <c r="AI1361" s="379"/>
      <c r="AJ1361" s="379"/>
      <c r="AK1361" s="379"/>
      <c r="AL1361" s="379"/>
      <c r="AM1361" s="379"/>
      <c r="AN1361" s="379"/>
      <c r="AO1361" s="379"/>
      <c r="AP1361" s="379"/>
      <c r="AQ1361" s="379"/>
      <c r="AR1361" s="379"/>
      <c r="AS1361" s="379"/>
      <c r="AT1361" s="379"/>
      <c r="AU1361" s="379"/>
      <c r="AV1361" s="379"/>
      <c r="AW1361" s="379"/>
      <c r="AX1361" s="379"/>
      <c r="AY1361" s="379"/>
      <c r="AZ1361" s="379"/>
      <c r="BA1361" s="379"/>
      <c r="BB1361" s="379"/>
      <c r="BC1361" s="379"/>
      <c r="BD1361" s="379"/>
      <c r="BE1361" s="379"/>
      <c r="BF1361" s="379"/>
      <c r="BG1361" s="379"/>
      <c r="BH1361" s="379"/>
      <c r="BI1361" s="379"/>
      <c r="BJ1361" s="379"/>
      <c r="BK1361" s="379"/>
      <c r="BL1361" s="379"/>
      <c r="BM1361" s="379"/>
      <c r="BN1361" s="379"/>
      <c r="BO1361" s="379"/>
      <c r="BP1361" s="379"/>
      <c r="BQ1361" s="379"/>
      <c r="BR1361" s="379"/>
      <c r="BS1361" s="379"/>
      <c r="BT1361" s="379"/>
      <c r="BU1361" s="379"/>
      <c r="BV1361" s="379"/>
      <c r="BW1361" s="379"/>
      <c r="BX1361" s="379"/>
      <c r="BY1361" s="379"/>
      <c r="BZ1361" s="379"/>
      <c r="CA1361" s="270"/>
      <c r="CB1361" s="3" t="str">
        <f t="shared" si="208"/>
        <v>Riadok bude skrytý.</v>
      </c>
      <c r="CC1361" s="271" t="s">
        <v>832</v>
      </c>
      <c r="CW1361" s="30">
        <f t="shared" si="211"/>
        <v>1</v>
      </c>
      <c r="CX1361" s="30">
        <f t="shared" ref="CX1361:CX1380" si="212">+IF(B1361="",0,1)</f>
        <v>0</v>
      </c>
      <c r="CZ1361" s="30">
        <f t="shared" si="200"/>
        <v>1</v>
      </c>
      <c r="DA1361" s="52">
        <f t="shared" si="207"/>
        <v>0</v>
      </c>
      <c r="DB1361" s="2">
        <f t="shared" si="203"/>
        <v>0</v>
      </c>
      <c r="DS1361" s="130">
        <f>SI!BY1361</f>
        <v>489</v>
      </c>
      <c r="DZ1361" s="131">
        <f>SI!BZ1361</f>
        <v>0</v>
      </c>
    </row>
    <row r="1362" spans="1:130" hidden="1" x14ac:dyDescent="0.25">
      <c r="A1362" s="141"/>
      <c r="B1362" s="379"/>
      <c r="C1362" s="379"/>
      <c r="D1362" s="379"/>
      <c r="E1362" s="379"/>
      <c r="F1362" s="379"/>
      <c r="G1362" s="379"/>
      <c r="H1362" s="379"/>
      <c r="I1362" s="379"/>
      <c r="J1362" s="379"/>
      <c r="K1362" s="379"/>
      <c r="L1362" s="379"/>
      <c r="M1362" s="379"/>
      <c r="N1362" s="379"/>
      <c r="O1362" s="379"/>
      <c r="P1362" s="379"/>
      <c r="Q1362" s="379"/>
      <c r="R1362" s="379"/>
      <c r="S1362" s="379"/>
      <c r="T1362" s="379"/>
      <c r="U1362" s="379"/>
      <c r="V1362" s="379"/>
      <c r="W1362" s="379"/>
      <c r="X1362" s="379"/>
      <c r="Y1362" s="379"/>
      <c r="Z1362" s="379"/>
      <c r="AA1362" s="379"/>
      <c r="AB1362" s="379"/>
      <c r="AC1362" s="379"/>
      <c r="AD1362" s="379"/>
      <c r="AE1362" s="379"/>
      <c r="AF1362" s="379"/>
      <c r="AG1362" s="379"/>
      <c r="AH1362" s="379"/>
      <c r="AI1362" s="379"/>
      <c r="AJ1362" s="379"/>
      <c r="AK1362" s="379"/>
      <c r="AL1362" s="379"/>
      <c r="AM1362" s="379"/>
      <c r="AN1362" s="379"/>
      <c r="AO1362" s="379"/>
      <c r="AP1362" s="379"/>
      <c r="AQ1362" s="379"/>
      <c r="AR1362" s="379"/>
      <c r="AS1362" s="379"/>
      <c r="AT1362" s="379"/>
      <c r="AU1362" s="379"/>
      <c r="AV1362" s="379"/>
      <c r="AW1362" s="379"/>
      <c r="AX1362" s="379"/>
      <c r="AY1362" s="379"/>
      <c r="AZ1362" s="379"/>
      <c r="BA1362" s="379"/>
      <c r="BB1362" s="379"/>
      <c r="BC1362" s="379"/>
      <c r="BD1362" s="379"/>
      <c r="BE1362" s="379"/>
      <c r="BF1362" s="379"/>
      <c r="BG1362" s="379"/>
      <c r="BH1362" s="379"/>
      <c r="BI1362" s="379"/>
      <c r="BJ1362" s="379"/>
      <c r="BK1362" s="379"/>
      <c r="BL1362" s="379"/>
      <c r="BM1362" s="379"/>
      <c r="BN1362" s="379"/>
      <c r="BO1362" s="379"/>
      <c r="BP1362" s="379"/>
      <c r="BQ1362" s="379"/>
      <c r="BR1362" s="379"/>
      <c r="BS1362" s="379"/>
      <c r="BT1362" s="379"/>
      <c r="BU1362" s="379"/>
      <c r="BV1362" s="379"/>
      <c r="BW1362" s="379"/>
      <c r="BX1362" s="379"/>
      <c r="BY1362" s="379"/>
      <c r="BZ1362" s="379"/>
      <c r="CA1362" s="270"/>
      <c r="CB1362" s="3" t="str">
        <f t="shared" si="208"/>
        <v>Riadok bude skrytý.</v>
      </c>
      <c r="CC1362" s="271" t="s">
        <v>832</v>
      </c>
      <c r="CW1362" s="30">
        <f t="shared" si="211"/>
        <v>1</v>
      </c>
      <c r="CX1362" s="30">
        <f t="shared" si="212"/>
        <v>0</v>
      </c>
      <c r="CZ1362" s="30">
        <f t="shared" si="200"/>
        <v>1</v>
      </c>
      <c r="DA1362" s="52">
        <f t="shared" si="207"/>
        <v>0</v>
      </c>
      <c r="DB1362" s="2">
        <f t="shared" si="203"/>
        <v>0</v>
      </c>
      <c r="DS1362" s="130">
        <f>SI!BY1362</f>
        <v>107</v>
      </c>
      <c r="DZ1362" s="131">
        <f>SI!BZ1362</f>
        <v>0</v>
      </c>
    </row>
    <row r="1363" spans="1:130" hidden="1" x14ac:dyDescent="0.25">
      <c r="A1363" s="141"/>
      <c r="B1363" s="379"/>
      <c r="C1363" s="379"/>
      <c r="D1363" s="379"/>
      <c r="E1363" s="379"/>
      <c r="F1363" s="379"/>
      <c r="G1363" s="379"/>
      <c r="H1363" s="379"/>
      <c r="I1363" s="379"/>
      <c r="J1363" s="379"/>
      <c r="K1363" s="379"/>
      <c r="L1363" s="379"/>
      <c r="M1363" s="379"/>
      <c r="N1363" s="379"/>
      <c r="O1363" s="379"/>
      <c r="P1363" s="379"/>
      <c r="Q1363" s="379"/>
      <c r="R1363" s="379"/>
      <c r="S1363" s="379"/>
      <c r="T1363" s="379"/>
      <c r="U1363" s="379"/>
      <c r="V1363" s="379"/>
      <c r="W1363" s="379"/>
      <c r="X1363" s="379"/>
      <c r="Y1363" s="379"/>
      <c r="Z1363" s="379"/>
      <c r="AA1363" s="379"/>
      <c r="AB1363" s="379"/>
      <c r="AC1363" s="379"/>
      <c r="AD1363" s="379"/>
      <c r="AE1363" s="379"/>
      <c r="AF1363" s="379"/>
      <c r="AG1363" s="379"/>
      <c r="AH1363" s="379"/>
      <c r="AI1363" s="379"/>
      <c r="AJ1363" s="379"/>
      <c r="AK1363" s="379"/>
      <c r="AL1363" s="379"/>
      <c r="AM1363" s="379"/>
      <c r="AN1363" s="379"/>
      <c r="AO1363" s="379"/>
      <c r="AP1363" s="379"/>
      <c r="AQ1363" s="379"/>
      <c r="AR1363" s="379"/>
      <c r="AS1363" s="379"/>
      <c r="AT1363" s="379"/>
      <c r="AU1363" s="379"/>
      <c r="AV1363" s="379"/>
      <c r="AW1363" s="379"/>
      <c r="AX1363" s="379"/>
      <c r="AY1363" s="379"/>
      <c r="AZ1363" s="379"/>
      <c r="BA1363" s="379"/>
      <c r="BB1363" s="379"/>
      <c r="BC1363" s="379"/>
      <c r="BD1363" s="379"/>
      <c r="BE1363" s="379"/>
      <c r="BF1363" s="379"/>
      <c r="BG1363" s="379"/>
      <c r="BH1363" s="379"/>
      <c r="BI1363" s="379"/>
      <c r="BJ1363" s="379"/>
      <c r="BK1363" s="379"/>
      <c r="BL1363" s="379"/>
      <c r="BM1363" s="379"/>
      <c r="BN1363" s="379"/>
      <c r="BO1363" s="379"/>
      <c r="BP1363" s="379"/>
      <c r="BQ1363" s="379"/>
      <c r="BR1363" s="379"/>
      <c r="BS1363" s="379"/>
      <c r="BT1363" s="379"/>
      <c r="BU1363" s="379"/>
      <c r="BV1363" s="379"/>
      <c r="BW1363" s="379"/>
      <c r="BX1363" s="379"/>
      <c r="BY1363" s="379"/>
      <c r="BZ1363" s="379"/>
      <c r="CA1363" s="270"/>
      <c r="CB1363" s="3" t="str">
        <f t="shared" si="208"/>
        <v>Riadok bude skrytý.</v>
      </c>
      <c r="CC1363" s="271" t="s">
        <v>832</v>
      </c>
      <c r="CW1363" s="30">
        <f t="shared" si="211"/>
        <v>1</v>
      </c>
      <c r="CX1363" s="30">
        <f t="shared" si="212"/>
        <v>0</v>
      </c>
      <c r="CZ1363" s="30">
        <f t="shared" si="200"/>
        <v>1</v>
      </c>
      <c r="DA1363" s="52">
        <f t="shared" si="207"/>
        <v>0</v>
      </c>
      <c r="DB1363" s="2">
        <f t="shared" si="203"/>
        <v>0</v>
      </c>
      <c r="DS1363" s="130">
        <f>SI!BY1363</f>
        <v>1034</v>
      </c>
      <c r="DZ1363" s="131">
        <f>SI!BZ1363</f>
        <v>0</v>
      </c>
    </row>
    <row r="1364" spans="1:130" hidden="1" x14ac:dyDescent="0.25">
      <c r="A1364" s="141"/>
      <c r="B1364" s="379"/>
      <c r="C1364" s="379"/>
      <c r="D1364" s="379"/>
      <c r="E1364" s="379"/>
      <c r="F1364" s="379"/>
      <c r="G1364" s="379"/>
      <c r="H1364" s="379"/>
      <c r="I1364" s="379"/>
      <c r="J1364" s="379"/>
      <c r="K1364" s="379"/>
      <c r="L1364" s="379"/>
      <c r="M1364" s="379"/>
      <c r="N1364" s="379"/>
      <c r="O1364" s="379"/>
      <c r="P1364" s="379"/>
      <c r="Q1364" s="379"/>
      <c r="R1364" s="379"/>
      <c r="S1364" s="379"/>
      <c r="T1364" s="379"/>
      <c r="U1364" s="379"/>
      <c r="V1364" s="379"/>
      <c r="W1364" s="379"/>
      <c r="X1364" s="379"/>
      <c r="Y1364" s="379"/>
      <c r="Z1364" s="379"/>
      <c r="AA1364" s="379"/>
      <c r="AB1364" s="379"/>
      <c r="AC1364" s="379"/>
      <c r="AD1364" s="379"/>
      <c r="AE1364" s="379"/>
      <c r="AF1364" s="379"/>
      <c r="AG1364" s="379"/>
      <c r="AH1364" s="379"/>
      <c r="AI1364" s="379"/>
      <c r="AJ1364" s="379"/>
      <c r="AK1364" s="379"/>
      <c r="AL1364" s="379"/>
      <c r="AM1364" s="379"/>
      <c r="AN1364" s="379"/>
      <c r="AO1364" s="379"/>
      <c r="AP1364" s="379"/>
      <c r="AQ1364" s="379"/>
      <c r="AR1364" s="379"/>
      <c r="AS1364" s="379"/>
      <c r="AT1364" s="379"/>
      <c r="AU1364" s="379"/>
      <c r="AV1364" s="379"/>
      <c r="AW1364" s="379"/>
      <c r="AX1364" s="379"/>
      <c r="AY1364" s="379"/>
      <c r="AZ1364" s="379"/>
      <c r="BA1364" s="379"/>
      <c r="BB1364" s="379"/>
      <c r="BC1364" s="379"/>
      <c r="BD1364" s="379"/>
      <c r="BE1364" s="379"/>
      <c r="BF1364" s="379"/>
      <c r="BG1364" s="379"/>
      <c r="BH1364" s="379"/>
      <c r="BI1364" s="379"/>
      <c r="BJ1364" s="379"/>
      <c r="BK1364" s="379"/>
      <c r="BL1364" s="379"/>
      <c r="BM1364" s="379"/>
      <c r="BN1364" s="379"/>
      <c r="BO1364" s="379"/>
      <c r="BP1364" s="379"/>
      <c r="BQ1364" s="379"/>
      <c r="BR1364" s="379"/>
      <c r="BS1364" s="379"/>
      <c r="BT1364" s="379"/>
      <c r="BU1364" s="379"/>
      <c r="BV1364" s="379"/>
      <c r="BW1364" s="379"/>
      <c r="BX1364" s="379"/>
      <c r="BY1364" s="379"/>
      <c r="BZ1364" s="379"/>
      <c r="CA1364" s="270"/>
      <c r="CB1364" s="3" t="str">
        <f t="shared" si="208"/>
        <v>Riadok bude skrytý.</v>
      </c>
      <c r="CC1364" s="271" t="s">
        <v>832</v>
      </c>
      <c r="CW1364" s="30">
        <f t="shared" si="211"/>
        <v>1</v>
      </c>
      <c r="CX1364" s="30">
        <f t="shared" si="212"/>
        <v>0</v>
      </c>
      <c r="CZ1364" s="30">
        <f t="shared" si="200"/>
        <v>1</v>
      </c>
      <c r="DA1364" s="52">
        <f t="shared" si="207"/>
        <v>0</v>
      </c>
      <c r="DB1364" s="2">
        <f t="shared" si="203"/>
        <v>0</v>
      </c>
      <c r="DS1364" s="130">
        <f>SI!BY1364</f>
        <v>167</v>
      </c>
      <c r="DZ1364" s="131">
        <f>SI!BZ1364</f>
        <v>0</v>
      </c>
    </row>
    <row r="1365" spans="1:130" hidden="1" x14ac:dyDescent="0.25">
      <c r="A1365" s="141"/>
      <c r="B1365" s="379"/>
      <c r="C1365" s="379"/>
      <c r="D1365" s="379"/>
      <c r="E1365" s="379"/>
      <c r="F1365" s="379"/>
      <c r="G1365" s="379"/>
      <c r="H1365" s="379"/>
      <c r="I1365" s="379"/>
      <c r="J1365" s="379"/>
      <c r="K1365" s="379"/>
      <c r="L1365" s="379"/>
      <c r="M1365" s="379"/>
      <c r="N1365" s="379"/>
      <c r="O1365" s="379"/>
      <c r="P1365" s="379"/>
      <c r="Q1365" s="379"/>
      <c r="R1365" s="379"/>
      <c r="S1365" s="379"/>
      <c r="T1365" s="379"/>
      <c r="U1365" s="379"/>
      <c r="V1365" s="379"/>
      <c r="W1365" s="379"/>
      <c r="X1365" s="379"/>
      <c r="Y1365" s="379"/>
      <c r="Z1365" s="379"/>
      <c r="AA1365" s="379"/>
      <c r="AB1365" s="379"/>
      <c r="AC1365" s="379"/>
      <c r="AD1365" s="379"/>
      <c r="AE1365" s="379"/>
      <c r="AF1365" s="379"/>
      <c r="AG1365" s="379"/>
      <c r="AH1365" s="379"/>
      <c r="AI1365" s="379"/>
      <c r="AJ1365" s="379"/>
      <c r="AK1365" s="379"/>
      <c r="AL1365" s="379"/>
      <c r="AM1365" s="379"/>
      <c r="AN1365" s="379"/>
      <c r="AO1365" s="379"/>
      <c r="AP1365" s="379"/>
      <c r="AQ1365" s="379"/>
      <c r="AR1365" s="379"/>
      <c r="AS1365" s="379"/>
      <c r="AT1365" s="379"/>
      <c r="AU1365" s="379"/>
      <c r="AV1365" s="379"/>
      <c r="AW1365" s="379"/>
      <c r="AX1365" s="379"/>
      <c r="AY1365" s="379"/>
      <c r="AZ1365" s="379"/>
      <c r="BA1365" s="379"/>
      <c r="BB1365" s="379"/>
      <c r="BC1365" s="379"/>
      <c r="BD1365" s="379"/>
      <c r="BE1365" s="379"/>
      <c r="BF1365" s="379"/>
      <c r="BG1365" s="379"/>
      <c r="BH1365" s="379"/>
      <c r="BI1365" s="379"/>
      <c r="BJ1365" s="379"/>
      <c r="BK1365" s="379"/>
      <c r="BL1365" s="379"/>
      <c r="BM1365" s="379"/>
      <c r="BN1365" s="379"/>
      <c r="BO1365" s="379"/>
      <c r="BP1365" s="379"/>
      <c r="BQ1365" s="379"/>
      <c r="BR1365" s="379"/>
      <c r="BS1365" s="379"/>
      <c r="BT1365" s="379"/>
      <c r="BU1365" s="379"/>
      <c r="BV1365" s="379"/>
      <c r="BW1365" s="379"/>
      <c r="BX1365" s="379"/>
      <c r="BY1365" s="379"/>
      <c r="BZ1365" s="379"/>
      <c r="CA1365" s="270"/>
      <c r="CB1365" s="3" t="str">
        <f t="shared" si="208"/>
        <v>Riadok bude skrytý.</v>
      </c>
      <c r="CC1365" s="271" t="s">
        <v>832</v>
      </c>
      <c r="CW1365" s="30">
        <f t="shared" si="211"/>
        <v>1</v>
      </c>
      <c r="CX1365" s="30">
        <f t="shared" si="212"/>
        <v>0</v>
      </c>
      <c r="CZ1365" s="30">
        <f t="shared" si="200"/>
        <v>1</v>
      </c>
      <c r="DA1365" s="52">
        <f t="shared" si="207"/>
        <v>0</v>
      </c>
      <c r="DB1365" s="2">
        <f t="shared" si="203"/>
        <v>0</v>
      </c>
      <c r="DS1365" s="130">
        <f>SI!BY1365</f>
        <v>456</v>
      </c>
      <c r="DZ1365" s="131">
        <f>SI!BZ1365</f>
        <v>0</v>
      </c>
    </row>
    <row r="1366" spans="1:130" hidden="1" x14ac:dyDescent="0.25">
      <c r="A1366" s="141"/>
      <c r="B1366" s="379"/>
      <c r="C1366" s="379"/>
      <c r="D1366" s="379"/>
      <c r="E1366" s="379"/>
      <c r="F1366" s="379"/>
      <c r="G1366" s="379"/>
      <c r="H1366" s="379"/>
      <c r="I1366" s="379"/>
      <c r="J1366" s="379"/>
      <c r="K1366" s="379"/>
      <c r="L1366" s="379"/>
      <c r="M1366" s="379"/>
      <c r="N1366" s="379"/>
      <c r="O1366" s="379"/>
      <c r="P1366" s="379"/>
      <c r="Q1366" s="379"/>
      <c r="R1366" s="379"/>
      <c r="S1366" s="379"/>
      <c r="T1366" s="379"/>
      <c r="U1366" s="379"/>
      <c r="V1366" s="379"/>
      <c r="W1366" s="379"/>
      <c r="X1366" s="379"/>
      <c r="Y1366" s="379"/>
      <c r="Z1366" s="379"/>
      <c r="AA1366" s="379"/>
      <c r="AB1366" s="379"/>
      <c r="AC1366" s="379"/>
      <c r="AD1366" s="379"/>
      <c r="AE1366" s="379"/>
      <c r="AF1366" s="379"/>
      <c r="AG1366" s="379"/>
      <c r="AH1366" s="379"/>
      <c r="AI1366" s="379"/>
      <c r="AJ1366" s="379"/>
      <c r="AK1366" s="379"/>
      <c r="AL1366" s="379"/>
      <c r="AM1366" s="379"/>
      <c r="AN1366" s="379"/>
      <c r="AO1366" s="379"/>
      <c r="AP1366" s="379"/>
      <c r="AQ1366" s="379"/>
      <c r="AR1366" s="379"/>
      <c r="AS1366" s="379"/>
      <c r="AT1366" s="379"/>
      <c r="AU1366" s="379"/>
      <c r="AV1366" s="379"/>
      <c r="AW1366" s="379"/>
      <c r="AX1366" s="379"/>
      <c r="AY1366" s="379"/>
      <c r="AZ1366" s="379"/>
      <c r="BA1366" s="379"/>
      <c r="BB1366" s="379"/>
      <c r="BC1366" s="379"/>
      <c r="BD1366" s="379"/>
      <c r="BE1366" s="379"/>
      <c r="BF1366" s="379"/>
      <c r="BG1366" s="379"/>
      <c r="BH1366" s="379"/>
      <c r="BI1366" s="379"/>
      <c r="BJ1366" s="379"/>
      <c r="BK1366" s="379"/>
      <c r="BL1366" s="379"/>
      <c r="BM1366" s="379"/>
      <c r="BN1366" s="379"/>
      <c r="BO1366" s="379"/>
      <c r="BP1366" s="379"/>
      <c r="BQ1366" s="379"/>
      <c r="BR1366" s="379"/>
      <c r="BS1366" s="379"/>
      <c r="BT1366" s="379"/>
      <c r="BU1366" s="379"/>
      <c r="BV1366" s="379"/>
      <c r="BW1366" s="379"/>
      <c r="BX1366" s="379"/>
      <c r="BY1366" s="379"/>
      <c r="BZ1366" s="379"/>
      <c r="CA1366" s="270"/>
      <c r="CB1366" s="3" t="str">
        <f t="shared" si="208"/>
        <v>Riadok bude skrytý.</v>
      </c>
      <c r="CC1366" s="271" t="s">
        <v>832</v>
      </c>
      <c r="CW1366" s="30">
        <f t="shared" si="211"/>
        <v>1</v>
      </c>
      <c r="CX1366" s="30">
        <f t="shared" si="212"/>
        <v>0</v>
      </c>
      <c r="CZ1366" s="30">
        <f t="shared" si="200"/>
        <v>1</v>
      </c>
      <c r="DA1366" s="52">
        <f t="shared" si="207"/>
        <v>0</v>
      </c>
      <c r="DB1366" s="2">
        <f t="shared" si="203"/>
        <v>0</v>
      </c>
      <c r="DS1366" s="130">
        <f>SI!BY1366</f>
        <v>1086</v>
      </c>
      <c r="DZ1366" s="131">
        <f>SI!BZ1366</f>
        <v>0</v>
      </c>
    </row>
    <row r="1367" spans="1:130" hidden="1" x14ac:dyDescent="0.25">
      <c r="A1367" s="141"/>
      <c r="B1367" s="379"/>
      <c r="C1367" s="379"/>
      <c r="D1367" s="379"/>
      <c r="E1367" s="379"/>
      <c r="F1367" s="379"/>
      <c r="G1367" s="379"/>
      <c r="H1367" s="379"/>
      <c r="I1367" s="379"/>
      <c r="J1367" s="379"/>
      <c r="K1367" s="379"/>
      <c r="L1367" s="379"/>
      <c r="M1367" s="379"/>
      <c r="N1367" s="379"/>
      <c r="O1367" s="379"/>
      <c r="P1367" s="379"/>
      <c r="Q1367" s="379"/>
      <c r="R1367" s="379"/>
      <c r="S1367" s="379"/>
      <c r="T1367" s="379"/>
      <c r="U1367" s="379"/>
      <c r="V1367" s="379"/>
      <c r="W1367" s="379"/>
      <c r="X1367" s="379"/>
      <c r="Y1367" s="379"/>
      <c r="Z1367" s="379"/>
      <c r="AA1367" s="379"/>
      <c r="AB1367" s="379"/>
      <c r="AC1367" s="379"/>
      <c r="AD1367" s="379"/>
      <c r="AE1367" s="379"/>
      <c r="AF1367" s="379"/>
      <c r="AG1367" s="379"/>
      <c r="AH1367" s="379"/>
      <c r="AI1367" s="379"/>
      <c r="AJ1367" s="379"/>
      <c r="AK1367" s="379"/>
      <c r="AL1367" s="379"/>
      <c r="AM1367" s="379"/>
      <c r="AN1367" s="379"/>
      <c r="AO1367" s="379"/>
      <c r="AP1367" s="379"/>
      <c r="AQ1367" s="379"/>
      <c r="AR1367" s="379"/>
      <c r="AS1367" s="379"/>
      <c r="AT1367" s="379"/>
      <c r="AU1367" s="379"/>
      <c r="AV1367" s="379"/>
      <c r="AW1367" s="379"/>
      <c r="AX1367" s="379"/>
      <c r="AY1367" s="379"/>
      <c r="AZ1367" s="379"/>
      <c r="BA1367" s="379"/>
      <c r="BB1367" s="379"/>
      <c r="BC1367" s="379"/>
      <c r="BD1367" s="379"/>
      <c r="BE1367" s="379"/>
      <c r="BF1367" s="379"/>
      <c r="BG1367" s="379"/>
      <c r="BH1367" s="379"/>
      <c r="BI1367" s="379"/>
      <c r="BJ1367" s="379"/>
      <c r="BK1367" s="379"/>
      <c r="BL1367" s="379"/>
      <c r="BM1367" s="379"/>
      <c r="BN1367" s="379"/>
      <c r="BO1367" s="379"/>
      <c r="BP1367" s="379"/>
      <c r="BQ1367" s="379"/>
      <c r="BR1367" s="379"/>
      <c r="BS1367" s="379"/>
      <c r="BT1367" s="379"/>
      <c r="BU1367" s="379"/>
      <c r="BV1367" s="379"/>
      <c r="BW1367" s="379"/>
      <c r="BX1367" s="379"/>
      <c r="BY1367" s="379"/>
      <c r="BZ1367" s="379"/>
      <c r="CA1367" s="270"/>
      <c r="CB1367" s="3" t="str">
        <f t="shared" si="208"/>
        <v>Riadok bude skrytý.</v>
      </c>
      <c r="CC1367" s="271" t="s">
        <v>832</v>
      </c>
      <c r="CW1367" s="30">
        <f t="shared" si="211"/>
        <v>1</v>
      </c>
      <c r="CX1367" s="30">
        <f t="shared" si="212"/>
        <v>0</v>
      </c>
      <c r="CZ1367" s="30">
        <f t="shared" si="200"/>
        <v>1</v>
      </c>
      <c r="DA1367" s="52">
        <f t="shared" si="207"/>
        <v>0</v>
      </c>
      <c r="DB1367" s="2">
        <f t="shared" si="203"/>
        <v>0</v>
      </c>
      <c r="DS1367" s="130">
        <f>SI!BY1367</f>
        <v>149</v>
      </c>
      <c r="DZ1367" s="131">
        <f>SI!BZ1367</f>
        <v>0</v>
      </c>
    </row>
    <row r="1368" spans="1:130" hidden="1" x14ac:dyDescent="0.25">
      <c r="A1368" s="141"/>
      <c r="B1368" s="379"/>
      <c r="C1368" s="379"/>
      <c r="D1368" s="379"/>
      <c r="E1368" s="379"/>
      <c r="F1368" s="379"/>
      <c r="G1368" s="379"/>
      <c r="H1368" s="379"/>
      <c r="I1368" s="379"/>
      <c r="J1368" s="379"/>
      <c r="K1368" s="379"/>
      <c r="L1368" s="379"/>
      <c r="M1368" s="379"/>
      <c r="N1368" s="379"/>
      <c r="O1368" s="379"/>
      <c r="P1368" s="379"/>
      <c r="Q1368" s="379"/>
      <c r="R1368" s="379"/>
      <c r="S1368" s="379"/>
      <c r="T1368" s="379"/>
      <c r="U1368" s="379"/>
      <c r="V1368" s="379"/>
      <c r="W1368" s="379"/>
      <c r="X1368" s="379"/>
      <c r="Y1368" s="379"/>
      <c r="Z1368" s="379"/>
      <c r="AA1368" s="379"/>
      <c r="AB1368" s="379"/>
      <c r="AC1368" s="379"/>
      <c r="AD1368" s="379"/>
      <c r="AE1368" s="379"/>
      <c r="AF1368" s="379"/>
      <c r="AG1368" s="379"/>
      <c r="AH1368" s="379"/>
      <c r="AI1368" s="379"/>
      <c r="AJ1368" s="379"/>
      <c r="AK1368" s="379"/>
      <c r="AL1368" s="379"/>
      <c r="AM1368" s="379"/>
      <c r="AN1368" s="379"/>
      <c r="AO1368" s="379"/>
      <c r="AP1368" s="379"/>
      <c r="AQ1368" s="379"/>
      <c r="AR1368" s="379"/>
      <c r="AS1368" s="379"/>
      <c r="AT1368" s="379"/>
      <c r="AU1368" s="379"/>
      <c r="AV1368" s="379"/>
      <c r="AW1368" s="379"/>
      <c r="AX1368" s="379"/>
      <c r="AY1368" s="379"/>
      <c r="AZ1368" s="379"/>
      <c r="BA1368" s="379"/>
      <c r="BB1368" s="379"/>
      <c r="BC1368" s="379"/>
      <c r="BD1368" s="379"/>
      <c r="BE1368" s="379"/>
      <c r="BF1368" s="379"/>
      <c r="BG1368" s="379"/>
      <c r="BH1368" s="379"/>
      <c r="BI1368" s="379"/>
      <c r="BJ1368" s="379"/>
      <c r="BK1368" s="379"/>
      <c r="BL1368" s="379"/>
      <c r="BM1368" s="379"/>
      <c r="BN1368" s="379"/>
      <c r="BO1368" s="379"/>
      <c r="BP1368" s="379"/>
      <c r="BQ1368" s="379"/>
      <c r="BR1368" s="379"/>
      <c r="BS1368" s="379"/>
      <c r="BT1368" s="379"/>
      <c r="BU1368" s="379"/>
      <c r="BV1368" s="379"/>
      <c r="BW1368" s="379"/>
      <c r="BX1368" s="379"/>
      <c r="BY1368" s="379"/>
      <c r="BZ1368" s="379"/>
      <c r="CA1368" s="270"/>
      <c r="CB1368" s="3" t="str">
        <f t="shared" si="208"/>
        <v>Riadok bude skrytý.</v>
      </c>
      <c r="CC1368" s="271" t="s">
        <v>832</v>
      </c>
      <c r="CW1368" s="30">
        <f t="shared" si="211"/>
        <v>1</v>
      </c>
      <c r="CX1368" s="30">
        <f t="shared" si="212"/>
        <v>0</v>
      </c>
      <c r="CZ1368" s="30">
        <f t="shared" si="200"/>
        <v>1</v>
      </c>
      <c r="DA1368" s="52">
        <f t="shared" si="207"/>
        <v>0</v>
      </c>
      <c r="DB1368" s="2">
        <f t="shared" si="203"/>
        <v>0</v>
      </c>
      <c r="DS1368" s="130">
        <f>SI!BY1368</f>
        <v>587</v>
      </c>
      <c r="DZ1368" s="131">
        <f>SI!BZ1368</f>
        <v>0</v>
      </c>
    </row>
    <row r="1369" spans="1:130" hidden="1" x14ac:dyDescent="0.25">
      <c r="A1369" s="141"/>
      <c r="B1369" s="379"/>
      <c r="C1369" s="379"/>
      <c r="D1369" s="379"/>
      <c r="E1369" s="379"/>
      <c r="F1369" s="379"/>
      <c r="G1369" s="379"/>
      <c r="H1369" s="379"/>
      <c r="I1369" s="379"/>
      <c r="J1369" s="379"/>
      <c r="K1369" s="379"/>
      <c r="L1369" s="379"/>
      <c r="M1369" s="379"/>
      <c r="N1369" s="379"/>
      <c r="O1369" s="379"/>
      <c r="P1369" s="379"/>
      <c r="Q1369" s="379"/>
      <c r="R1369" s="379"/>
      <c r="S1369" s="379"/>
      <c r="T1369" s="379"/>
      <c r="U1369" s="379"/>
      <c r="V1369" s="379"/>
      <c r="W1369" s="379"/>
      <c r="X1369" s="379"/>
      <c r="Y1369" s="379"/>
      <c r="Z1369" s="379"/>
      <c r="AA1369" s="379"/>
      <c r="AB1369" s="379"/>
      <c r="AC1369" s="379"/>
      <c r="AD1369" s="379"/>
      <c r="AE1369" s="379"/>
      <c r="AF1369" s="379"/>
      <c r="AG1369" s="379"/>
      <c r="AH1369" s="379"/>
      <c r="AI1369" s="379"/>
      <c r="AJ1369" s="379"/>
      <c r="AK1369" s="379"/>
      <c r="AL1369" s="379"/>
      <c r="AM1369" s="379"/>
      <c r="AN1369" s="379"/>
      <c r="AO1369" s="379"/>
      <c r="AP1369" s="379"/>
      <c r="AQ1369" s="379"/>
      <c r="AR1369" s="379"/>
      <c r="AS1369" s="379"/>
      <c r="AT1369" s="379"/>
      <c r="AU1369" s="379"/>
      <c r="AV1369" s="379"/>
      <c r="AW1369" s="379"/>
      <c r="AX1369" s="379"/>
      <c r="AY1369" s="379"/>
      <c r="AZ1369" s="379"/>
      <c r="BA1369" s="379"/>
      <c r="BB1369" s="379"/>
      <c r="BC1369" s="379"/>
      <c r="BD1369" s="379"/>
      <c r="BE1369" s="379"/>
      <c r="BF1369" s="379"/>
      <c r="BG1369" s="379"/>
      <c r="BH1369" s="379"/>
      <c r="BI1369" s="379"/>
      <c r="BJ1369" s="379"/>
      <c r="BK1369" s="379"/>
      <c r="BL1369" s="379"/>
      <c r="BM1369" s="379"/>
      <c r="BN1369" s="379"/>
      <c r="BO1369" s="379"/>
      <c r="BP1369" s="379"/>
      <c r="BQ1369" s="379"/>
      <c r="BR1369" s="379"/>
      <c r="BS1369" s="379"/>
      <c r="BT1369" s="379"/>
      <c r="BU1369" s="379"/>
      <c r="BV1369" s="379"/>
      <c r="BW1369" s="379"/>
      <c r="BX1369" s="379"/>
      <c r="BY1369" s="379"/>
      <c r="BZ1369" s="379"/>
      <c r="CA1369" s="270"/>
      <c r="CB1369" s="3" t="str">
        <f t="shared" si="208"/>
        <v>Riadok bude skrytý.</v>
      </c>
      <c r="CC1369" s="271" t="s">
        <v>832</v>
      </c>
      <c r="CW1369" s="30">
        <f t="shared" si="211"/>
        <v>1</v>
      </c>
      <c r="CX1369" s="30">
        <f t="shared" si="212"/>
        <v>0</v>
      </c>
      <c r="CZ1369" s="30">
        <f t="shared" si="200"/>
        <v>1</v>
      </c>
      <c r="DA1369" s="52">
        <f t="shared" si="207"/>
        <v>0</v>
      </c>
      <c r="DB1369" s="2">
        <f t="shared" si="203"/>
        <v>0</v>
      </c>
      <c r="DS1369" s="130">
        <f>SI!BY1369</f>
        <v>200</v>
      </c>
      <c r="DZ1369" s="131">
        <f>SI!BZ1369</f>
        <v>0</v>
      </c>
    </row>
    <row r="1370" spans="1:130" hidden="1" x14ac:dyDescent="0.25">
      <c r="A1370" s="141"/>
      <c r="B1370" s="379"/>
      <c r="C1370" s="379"/>
      <c r="D1370" s="379"/>
      <c r="E1370" s="379"/>
      <c r="F1370" s="379"/>
      <c r="G1370" s="379"/>
      <c r="H1370" s="379"/>
      <c r="I1370" s="379"/>
      <c r="J1370" s="379"/>
      <c r="K1370" s="379"/>
      <c r="L1370" s="379"/>
      <c r="M1370" s="379"/>
      <c r="N1370" s="379"/>
      <c r="O1370" s="379"/>
      <c r="P1370" s="379"/>
      <c r="Q1370" s="379"/>
      <c r="R1370" s="379"/>
      <c r="S1370" s="379"/>
      <c r="T1370" s="379"/>
      <c r="U1370" s="379"/>
      <c r="V1370" s="379"/>
      <c r="W1370" s="379"/>
      <c r="X1370" s="379"/>
      <c r="Y1370" s="379"/>
      <c r="Z1370" s="379"/>
      <c r="AA1370" s="379"/>
      <c r="AB1370" s="379"/>
      <c r="AC1370" s="379"/>
      <c r="AD1370" s="379"/>
      <c r="AE1370" s="379"/>
      <c r="AF1370" s="379"/>
      <c r="AG1370" s="379"/>
      <c r="AH1370" s="379"/>
      <c r="AI1370" s="379"/>
      <c r="AJ1370" s="379"/>
      <c r="AK1370" s="379"/>
      <c r="AL1370" s="379"/>
      <c r="AM1370" s="379"/>
      <c r="AN1370" s="379"/>
      <c r="AO1370" s="379"/>
      <c r="AP1370" s="379"/>
      <c r="AQ1370" s="379"/>
      <c r="AR1370" s="379"/>
      <c r="AS1370" s="379"/>
      <c r="AT1370" s="379"/>
      <c r="AU1370" s="379"/>
      <c r="AV1370" s="379"/>
      <c r="AW1370" s="379"/>
      <c r="AX1370" s="379"/>
      <c r="AY1370" s="379"/>
      <c r="AZ1370" s="379"/>
      <c r="BA1370" s="379"/>
      <c r="BB1370" s="379"/>
      <c r="BC1370" s="379"/>
      <c r="BD1370" s="379"/>
      <c r="BE1370" s="379"/>
      <c r="BF1370" s="379"/>
      <c r="BG1370" s="379"/>
      <c r="BH1370" s="379"/>
      <c r="BI1370" s="379"/>
      <c r="BJ1370" s="379"/>
      <c r="BK1370" s="379"/>
      <c r="BL1370" s="379"/>
      <c r="BM1370" s="379"/>
      <c r="BN1370" s="379"/>
      <c r="BO1370" s="379"/>
      <c r="BP1370" s="379"/>
      <c r="BQ1370" s="379"/>
      <c r="BR1370" s="379"/>
      <c r="BS1370" s="379"/>
      <c r="BT1370" s="379"/>
      <c r="BU1370" s="379"/>
      <c r="BV1370" s="379"/>
      <c r="BW1370" s="379"/>
      <c r="BX1370" s="379"/>
      <c r="BY1370" s="379"/>
      <c r="BZ1370" s="379"/>
      <c r="CA1370" s="270"/>
      <c r="CB1370" s="3" t="str">
        <f t="shared" si="208"/>
        <v>Riadok bude skrytý.</v>
      </c>
      <c r="CC1370" s="271" t="s">
        <v>832</v>
      </c>
      <c r="CW1370" s="30">
        <f t="shared" si="211"/>
        <v>1</v>
      </c>
      <c r="CX1370" s="30">
        <f t="shared" si="212"/>
        <v>0</v>
      </c>
      <c r="CZ1370" s="30">
        <f t="shared" si="200"/>
        <v>1</v>
      </c>
      <c r="DA1370" s="52">
        <f t="shared" si="207"/>
        <v>0</v>
      </c>
      <c r="DB1370" s="2">
        <f t="shared" si="203"/>
        <v>0</v>
      </c>
      <c r="DS1370" s="130">
        <f>SI!BY1370</f>
        <v>162</v>
      </c>
      <c r="DZ1370" s="131">
        <f>SI!BZ1370</f>
        <v>0</v>
      </c>
    </row>
    <row r="1371" spans="1:130" hidden="1" x14ac:dyDescent="0.25">
      <c r="A1371" s="141"/>
      <c r="B1371" s="379"/>
      <c r="C1371" s="379"/>
      <c r="D1371" s="379"/>
      <c r="E1371" s="379"/>
      <c r="F1371" s="379"/>
      <c r="G1371" s="379"/>
      <c r="H1371" s="379"/>
      <c r="I1371" s="379"/>
      <c r="J1371" s="379"/>
      <c r="K1371" s="379"/>
      <c r="L1371" s="379"/>
      <c r="M1371" s="379"/>
      <c r="N1371" s="379"/>
      <c r="O1371" s="379"/>
      <c r="P1371" s="379"/>
      <c r="Q1371" s="379"/>
      <c r="R1371" s="379"/>
      <c r="S1371" s="379"/>
      <c r="T1371" s="379"/>
      <c r="U1371" s="379"/>
      <c r="V1371" s="379"/>
      <c r="W1371" s="379"/>
      <c r="X1371" s="379"/>
      <c r="Y1371" s="379"/>
      <c r="Z1371" s="379"/>
      <c r="AA1371" s="379"/>
      <c r="AB1371" s="379"/>
      <c r="AC1371" s="379"/>
      <c r="AD1371" s="379"/>
      <c r="AE1371" s="379"/>
      <c r="AF1371" s="379"/>
      <c r="AG1371" s="379"/>
      <c r="AH1371" s="379"/>
      <c r="AI1371" s="379"/>
      <c r="AJ1371" s="379"/>
      <c r="AK1371" s="379"/>
      <c r="AL1371" s="379"/>
      <c r="AM1371" s="379"/>
      <c r="AN1371" s="379"/>
      <c r="AO1371" s="379"/>
      <c r="AP1371" s="379"/>
      <c r="AQ1371" s="379"/>
      <c r="AR1371" s="379"/>
      <c r="AS1371" s="379"/>
      <c r="AT1371" s="379"/>
      <c r="AU1371" s="379"/>
      <c r="AV1371" s="379"/>
      <c r="AW1371" s="379"/>
      <c r="AX1371" s="379"/>
      <c r="AY1371" s="379"/>
      <c r="AZ1371" s="379"/>
      <c r="BA1371" s="379"/>
      <c r="BB1371" s="379"/>
      <c r="BC1371" s="379"/>
      <c r="BD1371" s="379"/>
      <c r="BE1371" s="379"/>
      <c r="BF1371" s="379"/>
      <c r="BG1371" s="379"/>
      <c r="BH1371" s="379"/>
      <c r="BI1371" s="379"/>
      <c r="BJ1371" s="379"/>
      <c r="BK1371" s="379"/>
      <c r="BL1371" s="379"/>
      <c r="BM1371" s="379"/>
      <c r="BN1371" s="379"/>
      <c r="BO1371" s="379"/>
      <c r="BP1371" s="379"/>
      <c r="BQ1371" s="379"/>
      <c r="BR1371" s="379"/>
      <c r="BS1371" s="379"/>
      <c r="BT1371" s="379"/>
      <c r="BU1371" s="379"/>
      <c r="BV1371" s="379"/>
      <c r="BW1371" s="379"/>
      <c r="BX1371" s="379"/>
      <c r="BY1371" s="379"/>
      <c r="BZ1371" s="379"/>
      <c r="CA1371" s="270"/>
      <c r="CB1371" s="3" t="str">
        <f t="shared" si="208"/>
        <v>Riadok bude skrytý.</v>
      </c>
      <c r="CC1371" s="271" t="s">
        <v>832</v>
      </c>
      <c r="CW1371" s="30">
        <f t="shared" si="211"/>
        <v>1</v>
      </c>
      <c r="CX1371" s="30">
        <f t="shared" si="212"/>
        <v>0</v>
      </c>
      <c r="CZ1371" s="30">
        <f t="shared" si="200"/>
        <v>1</v>
      </c>
      <c r="DA1371" s="52">
        <f t="shared" si="207"/>
        <v>0</v>
      </c>
      <c r="DB1371" s="2">
        <f t="shared" si="203"/>
        <v>0</v>
      </c>
      <c r="DS1371" s="130">
        <f>SI!BY1371</f>
        <v>192</v>
      </c>
      <c r="DZ1371" s="131">
        <f>SI!BZ1371</f>
        <v>0</v>
      </c>
    </row>
    <row r="1372" spans="1:130" hidden="1" x14ac:dyDescent="0.25">
      <c r="A1372" s="141"/>
      <c r="B1372" s="379"/>
      <c r="C1372" s="379"/>
      <c r="D1372" s="379"/>
      <c r="E1372" s="379"/>
      <c r="F1372" s="379"/>
      <c r="G1372" s="379"/>
      <c r="H1372" s="379"/>
      <c r="I1372" s="379"/>
      <c r="J1372" s="379"/>
      <c r="K1372" s="379"/>
      <c r="L1372" s="379"/>
      <c r="M1372" s="379"/>
      <c r="N1372" s="379"/>
      <c r="O1372" s="379"/>
      <c r="P1372" s="379"/>
      <c r="Q1372" s="379"/>
      <c r="R1372" s="379"/>
      <c r="S1372" s="379"/>
      <c r="T1372" s="379"/>
      <c r="U1372" s="379"/>
      <c r="V1372" s="379"/>
      <c r="W1372" s="379"/>
      <c r="X1372" s="379"/>
      <c r="Y1372" s="379"/>
      <c r="Z1372" s="379"/>
      <c r="AA1372" s="379"/>
      <c r="AB1372" s="379"/>
      <c r="AC1372" s="379"/>
      <c r="AD1372" s="379"/>
      <c r="AE1372" s="379"/>
      <c r="AF1372" s="379"/>
      <c r="AG1372" s="379"/>
      <c r="AH1372" s="379"/>
      <c r="AI1372" s="379"/>
      <c r="AJ1372" s="379"/>
      <c r="AK1372" s="379"/>
      <c r="AL1372" s="379"/>
      <c r="AM1372" s="379"/>
      <c r="AN1372" s="379"/>
      <c r="AO1372" s="379"/>
      <c r="AP1372" s="379"/>
      <c r="AQ1372" s="379"/>
      <c r="AR1372" s="379"/>
      <c r="AS1372" s="379"/>
      <c r="AT1372" s="379"/>
      <c r="AU1372" s="379"/>
      <c r="AV1372" s="379"/>
      <c r="AW1372" s="379"/>
      <c r="AX1372" s="379"/>
      <c r="AY1372" s="379"/>
      <c r="AZ1372" s="379"/>
      <c r="BA1372" s="379"/>
      <c r="BB1372" s="379"/>
      <c r="BC1372" s="379"/>
      <c r="BD1372" s="379"/>
      <c r="BE1372" s="379"/>
      <c r="BF1372" s="379"/>
      <c r="BG1372" s="379"/>
      <c r="BH1372" s="379"/>
      <c r="BI1372" s="379"/>
      <c r="BJ1372" s="379"/>
      <c r="BK1372" s="379"/>
      <c r="BL1372" s="379"/>
      <c r="BM1372" s="379"/>
      <c r="BN1372" s="379"/>
      <c r="BO1372" s="379"/>
      <c r="BP1372" s="379"/>
      <c r="BQ1372" s="379"/>
      <c r="BR1372" s="379"/>
      <c r="BS1372" s="379"/>
      <c r="BT1372" s="379"/>
      <c r="BU1372" s="379"/>
      <c r="BV1372" s="379"/>
      <c r="BW1372" s="379"/>
      <c r="BX1372" s="379"/>
      <c r="BY1372" s="379"/>
      <c r="BZ1372" s="379"/>
      <c r="CA1372" s="270"/>
      <c r="CB1372" s="3" t="str">
        <f t="shared" si="208"/>
        <v>Riadok bude skrytý.</v>
      </c>
      <c r="CC1372" s="271" t="s">
        <v>832</v>
      </c>
      <c r="CW1372" s="30">
        <f t="shared" si="211"/>
        <v>1</v>
      </c>
      <c r="CX1372" s="30">
        <f t="shared" si="212"/>
        <v>0</v>
      </c>
      <c r="CZ1372" s="30">
        <f t="shared" si="200"/>
        <v>1</v>
      </c>
      <c r="DA1372" s="52">
        <f t="shared" si="207"/>
        <v>0</v>
      </c>
      <c r="DB1372" s="2">
        <f t="shared" si="203"/>
        <v>0</v>
      </c>
      <c r="DS1372" s="130">
        <f>SI!BY1372</f>
        <v>318</v>
      </c>
      <c r="DZ1372" s="131">
        <f>SI!BZ1372</f>
        <v>0</v>
      </c>
    </row>
    <row r="1373" spans="1:130" hidden="1" x14ac:dyDescent="0.25">
      <c r="A1373" s="141"/>
      <c r="B1373" s="379"/>
      <c r="C1373" s="379"/>
      <c r="D1373" s="379"/>
      <c r="E1373" s="379"/>
      <c r="F1373" s="379"/>
      <c r="G1373" s="379"/>
      <c r="H1373" s="379"/>
      <c r="I1373" s="379"/>
      <c r="J1373" s="379"/>
      <c r="K1373" s="379"/>
      <c r="L1373" s="379"/>
      <c r="M1373" s="379"/>
      <c r="N1373" s="379"/>
      <c r="O1373" s="379"/>
      <c r="P1373" s="379"/>
      <c r="Q1373" s="379"/>
      <c r="R1373" s="379"/>
      <c r="S1373" s="379"/>
      <c r="T1373" s="379"/>
      <c r="U1373" s="379"/>
      <c r="V1373" s="379"/>
      <c r="W1373" s="379"/>
      <c r="X1373" s="379"/>
      <c r="Y1373" s="379"/>
      <c r="Z1373" s="379"/>
      <c r="AA1373" s="379"/>
      <c r="AB1373" s="379"/>
      <c r="AC1373" s="379"/>
      <c r="AD1373" s="379"/>
      <c r="AE1373" s="379"/>
      <c r="AF1373" s="379"/>
      <c r="AG1373" s="379"/>
      <c r="AH1373" s="379"/>
      <c r="AI1373" s="379"/>
      <c r="AJ1373" s="379"/>
      <c r="AK1373" s="379"/>
      <c r="AL1373" s="379"/>
      <c r="AM1373" s="379"/>
      <c r="AN1373" s="379"/>
      <c r="AO1373" s="379"/>
      <c r="AP1373" s="379"/>
      <c r="AQ1373" s="379"/>
      <c r="AR1373" s="379"/>
      <c r="AS1373" s="379"/>
      <c r="AT1373" s="379"/>
      <c r="AU1373" s="379"/>
      <c r="AV1373" s="379"/>
      <c r="AW1373" s="379"/>
      <c r="AX1373" s="379"/>
      <c r="AY1373" s="379"/>
      <c r="AZ1373" s="379"/>
      <c r="BA1373" s="379"/>
      <c r="BB1373" s="379"/>
      <c r="BC1373" s="379"/>
      <c r="BD1373" s="379"/>
      <c r="BE1373" s="379"/>
      <c r="BF1373" s="379"/>
      <c r="BG1373" s="379"/>
      <c r="BH1373" s="379"/>
      <c r="BI1373" s="379"/>
      <c r="BJ1373" s="379"/>
      <c r="BK1373" s="379"/>
      <c r="BL1373" s="379"/>
      <c r="BM1373" s="379"/>
      <c r="BN1373" s="379"/>
      <c r="BO1373" s="379"/>
      <c r="BP1373" s="379"/>
      <c r="BQ1373" s="379"/>
      <c r="BR1373" s="379"/>
      <c r="BS1373" s="379"/>
      <c r="BT1373" s="379"/>
      <c r="BU1373" s="379"/>
      <c r="BV1373" s="379"/>
      <c r="BW1373" s="379"/>
      <c r="BX1373" s="379"/>
      <c r="BY1373" s="379"/>
      <c r="BZ1373" s="379"/>
      <c r="CA1373" s="270"/>
      <c r="CB1373" s="3" t="str">
        <f t="shared" si="208"/>
        <v>Riadok bude skrytý.</v>
      </c>
      <c r="CC1373" s="271" t="s">
        <v>832</v>
      </c>
      <c r="CW1373" s="30">
        <f t="shared" si="211"/>
        <v>1</v>
      </c>
      <c r="CX1373" s="30">
        <f t="shared" si="212"/>
        <v>0</v>
      </c>
      <c r="CZ1373" s="30">
        <f t="shared" si="200"/>
        <v>1</v>
      </c>
      <c r="DA1373" s="52">
        <f t="shared" si="207"/>
        <v>0</v>
      </c>
      <c r="DB1373" s="2">
        <f t="shared" si="203"/>
        <v>0</v>
      </c>
      <c r="DS1373" s="130">
        <f>SI!BY1373</f>
        <v>195</v>
      </c>
      <c r="DZ1373" s="131">
        <f>SI!BZ1373</f>
        <v>0</v>
      </c>
    </row>
    <row r="1374" spans="1:130" hidden="1" x14ac:dyDescent="0.25">
      <c r="A1374" s="141"/>
      <c r="B1374" s="379"/>
      <c r="C1374" s="379"/>
      <c r="D1374" s="379"/>
      <c r="E1374" s="379"/>
      <c r="F1374" s="379"/>
      <c r="G1374" s="379"/>
      <c r="H1374" s="379"/>
      <c r="I1374" s="379"/>
      <c r="J1374" s="379"/>
      <c r="K1374" s="379"/>
      <c r="L1374" s="379"/>
      <c r="M1374" s="379"/>
      <c r="N1374" s="379"/>
      <c r="O1374" s="379"/>
      <c r="P1374" s="379"/>
      <c r="Q1374" s="379"/>
      <c r="R1374" s="379"/>
      <c r="S1374" s="379"/>
      <c r="T1374" s="379"/>
      <c r="U1374" s="379"/>
      <c r="V1374" s="379"/>
      <c r="W1374" s="379"/>
      <c r="X1374" s="379"/>
      <c r="Y1374" s="379"/>
      <c r="Z1374" s="379"/>
      <c r="AA1374" s="379"/>
      <c r="AB1374" s="379"/>
      <c r="AC1374" s="379"/>
      <c r="AD1374" s="379"/>
      <c r="AE1374" s="379"/>
      <c r="AF1374" s="379"/>
      <c r="AG1374" s="379"/>
      <c r="AH1374" s="379"/>
      <c r="AI1374" s="379"/>
      <c r="AJ1374" s="379"/>
      <c r="AK1374" s="379"/>
      <c r="AL1374" s="379"/>
      <c r="AM1374" s="379"/>
      <c r="AN1374" s="379"/>
      <c r="AO1374" s="379"/>
      <c r="AP1374" s="379"/>
      <c r="AQ1374" s="379"/>
      <c r="AR1374" s="379"/>
      <c r="AS1374" s="379"/>
      <c r="AT1374" s="379"/>
      <c r="AU1374" s="379"/>
      <c r="AV1374" s="379"/>
      <c r="AW1374" s="379"/>
      <c r="AX1374" s="379"/>
      <c r="AY1374" s="379"/>
      <c r="AZ1374" s="379"/>
      <c r="BA1374" s="379"/>
      <c r="BB1374" s="379"/>
      <c r="BC1374" s="379"/>
      <c r="BD1374" s="379"/>
      <c r="BE1374" s="379"/>
      <c r="BF1374" s="379"/>
      <c r="BG1374" s="379"/>
      <c r="BH1374" s="379"/>
      <c r="BI1374" s="379"/>
      <c r="BJ1374" s="379"/>
      <c r="BK1374" s="379"/>
      <c r="BL1374" s="379"/>
      <c r="BM1374" s="379"/>
      <c r="BN1374" s="379"/>
      <c r="BO1374" s="379"/>
      <c r="BP1374" s="379"/>
      <c r="BQ1374" s="379"/>
      <c r="BR1374" s="379"/>
      <c r="BS1374" s="379"/>
      <c r="BT1374" s="379"/>
      <c r="BU1374" s="379"/>
      <c r="BV1374" s="379"/>
      <c r="BW1374" s="379"/>
      <c r="BX1374" s="379"/>
      <c r="BY1374" s="379"/>
      <c r="BZ1374" s="379"/>
      <c r="CA1374" s="270"/>
      <c r="CB1374" s="3" t="str">
        <f t="shared" si="208"/>
        <v>Riadok bude skrytý.</v>
      </c>
      <c r="CC1374" s="271" t="s">
        <v>832</v>
      </c>
      <c r="CW1374" s="30">
        <f t="shared" si="211"/>
        <v>1</v>
      </c>
      <c r="CX1374" s="30">
        <f t="shared" si="212"/>
        <v>0</v>
      </c>
      <c r="CZ1374" s="30">
        <f t="shared" ref="CZ1374:CZ1437" si="213">IF(CC1374="",1,IF(CC1374="Chcem skryť riadok.",0,1))</f>
        <v>1</v>
      </c>
      <c r="DA1374" s="52">
        <f t="shared" si="207"/>
        <v>0</v>
      </c>
      <c r="DB1374" s="2">
        <f t="shared" si="203"/>
        <v>0</v>
      </c>
      <c r="DS1374" s="130">
        <f>SI!BY1374</f>
        <v>1029</v>
      </c>
      <c r="DZ1374" s="131">
        <f>SI!BZ1374</f>
        <v>0</v>
      </c>
    </row>
    <row r="1375" spans="1:130" hidden="1" x14ac:dyDescent="0.25">
      <c r="A1375" s="141"/>
      <c r="B1375" s="379"/>
      <c r="C1375" s="379"/>
      <c r="D1375" s="379"/>
      <c r="E1375" s="379"/>
      <c r="F1375" s="379"/>
      <c r="G1375" s="379"/>
      <c r="H1375" s="379"/>
      <c r="I1375" s="379"/>
      <c r="J1375" s="379"/>
      <c r="K1375" s="379"/>
      <c r="L1375" s="379"/>
      <c r="M1375" s="379"/>
      <c r="N1375" s="379"/>
      <c r="O1375" s="379"/>
      <c r="P1375" s="379"/>
      <c r="Q1375" s="379"/>
      <c r="R1375" s="379"/>
      <c r="S1375" s="379"/>
      <c r="T1375" s="379"/>
      <c r="U1375" s="379"/>
      <c r="V1375" s="379"/>
      <c r="W1375" s="379"/>
      <c r="X1375" s="379"/>
      <c r="Y1375" s="379"/>
      <c r="Z1375" s="379"/>
      <c r="AA1375" s="379"/>
      <c r="AB1375" s="379"/>
      <c r="AC1375" s="379"/>
      <c r="AD1375" s="379"/>
      <c r="AE1375" s="379"/>
      <c r="AF1375" s="379"/>
      <c r="AG1375" s="379"/>
      <c r="AH1375" s="379"/>
      <c r="AI1375" s="379"/>
      <c r="AJ1375" s="379"/>
      <c r="AK1375" s="379"/>
      <c r="AL1375" s="379"/>
      <c r="AM1375" s="379"/>
      <c r="AN1375" s="379"/>
      <c r="AO1375" s="379"/>
      <c r="AP1375" s="379"/>
      <c r="AQ1375" s="379"/>
      <c r="AR1375" s="379"/>
      <c r="AS1375" s="379"/>
      <c r="AT1375" s="379"/>
      <c r="AU1375" s="379"/>
      <c r="AV1375" s="379"/>
      <c r="AW1375" s="379"/>
      <c r="AX1375" s="379"/>
      <c r="AY1375" s="379"/>
      <c r="AZ1375" s="379"/>
      <c r="BA1375" s="379"/>
      <c r="BB1375" s="379"/>
      <c r="BC1375" s="379"/>
      <c r="BD1375" s="379"/>
      <c r="BE1375" s="379"/>
      <c r="BF1375" s="379"/>
      <c r="BG1375" s="379"/>
      <c r="BH1375" s="379"/>
      <c r="BI1375" s="379"/>
      <c r="BJ1375" s="379"/>
      <c r="BK1375" s="379"/>
      <c r="BL1375" s="379"/>
      <c r="BM1375" s="379"/>
      <c r="BN1375" s="379"/>
      <c r="BO1375" s="379"/>
      <c r="BP1375" s="379"/>
      <c r="BQ1375" s="379"/>
      <c r="BR1375" s="379"/>
      <c r="BS1375" s="379"/>
      <c r="BT1375" s="379"/>
      <c r="BU1375" s="379"/>
      <c r="BV1375" s="379"/>
      <c r="BW1375" s="379"/>
      <c r="BX1375" s="379"/>
      <c r="BY1375" s="379"/>
      <c r="BZ1375" s="379"/>
      <c r="CA1375" s="270"/>
      <c r="CB1375" s="3" t="str">
        <f t="shared" si="208"/>
        <v>Riadok bude skrytý.</v>
      </c>
      <c r="CC1375" s="271" t="s">
        <v>832</v>
      </c>
      <c r="CW1375" s="30">
        <f t="shared" si="211"/>
        <v>1</v>
      </c>
      <c r="CX1375" s="30">
        <f t="shared" si="212"/>
        <v>0</v>
      </c>
      <c r="CZ1375" s="30">
        <f t="shared" si="213"/>
        <v>1</v>
      </c>
      <c r="DA1375" s="52">
        <f t="shared" si="207"/>
        <v>0</v>
      </c>
      <c r="DB1375" s="2">
        <f t="shared" si="203"/>
        <v>0</v>
      </c>
      <c r="DS1375" s="130">
        <f>SI!BY1375</f>
        <v>158</v>
      </c>
      <c r="DZ1375" s="131">
        <f>SI!BZ1375</f>
        <v>0</v>
      </c>
    </row>
    <row r="1376" spans="1:130" hidden="1" x14ac:dyDescent="0.25">
      <c r="A1376" s="141"/>
      <c r="B1376" s="379"/>
      <c r="C1376" s="379"/>
      <c r="D1376" s="379"/>
      <c r="E1376" s="379"/>
      <c r="F1376" s="379"/>
      <c r="G1376" s="379"/>
      <c r="H1376" s="379"/>
      <c r="I1376" s="379"/>
      <c r="J1376" s="379"/>
      <c r="K1376" s="379"/>
      <c r="L1376" s="379"/>
      <c r="M1376" s="379"/>
      <c r="N1376" s="379"/>
      <c r="O1376" s="379"/>
      <c r="P1376" s="379"/>
      <c r="Q1376" s="379"/>
      <c r="R1376" s="379"/>
      <c r="S1376" s="379"/>
      <c r="T1376" s="379"/>
      <c r="U1376" s="379"/>
      <c r="V1376" s="379"/>
      <c r="W1376" s="379"/>
      <c r="X1376" s="379"/>
      <c r="Y1376" s="379"/>
      <c r="Z1376" s="379"/>
      <c r="AA1376" s="379"/>
      <c r="AB1376" s="379"/>
      <c r="AC1376" s="379"/>
      <c r="AD1376" s="379"/>
      <c r="AE1376" s="379"/>
      <c r="AF1376" s="379"/>
      <c r="AG1376" s="379"/>
      <c r="AH1376" s="379"/>
      <c r="AI1376" s="379"/>
      <c r="AJ1376" s="379"/>
      <c r="AK1376" s="379"/>
      <c r="AL1376" s="379"/>
      <c r="AM1376" s="379"/>
      <c r="AN1376" s="379"/>
      <c r="AO1376" s="379"/>
      <c r="AP1376" s="379"/>
      <c r="AQ1376" s="379"/>
      <c r="AR1376" s="379"/>
      <c r="AS1376" s="379"/>
      <c r="AT1376" s="379"/>
      <c r="AU1376" s="379"/>
      <c r="AV1376" s="379"/>
      <c r="AW1376" s="379"/>
      <c r="AX1376" s="379"/>
      <c r="AY1376" s="379"/>
      <c r="AZ1376" s="379"/>
      <c r="BA1376" s="379"/>
      <c r="BB1376" s="379"/>
      <c r="BC1376" s="379"/>
      <c r="BD1376" s="379"/>
      <c r="BE1376" s="379"/>
      <c r="BF1376" s="379"/>
      <c r="BG1376" s="379"/>
      <c r="BH1376" s="379"/>
      <c r="BI1376" s="379"/>
      <c r="BJ1376" s="379"/>
      <c r="BK1376" s="379"/>
      <c r="BL1376" s="379"/>
      <c r="BM1376" s="379"/>
      <c r="BN1376" s="379"/>
      <c r="BO1376" s="379"/>
      <c r="BP1376" s="379"/>
      <c r="BQ1376" s="379"/>
      <c r="BR1376" s="379"/>
      <c r="BS1376" s="379"/>
      <c r="BT1376" s="379"/>
      <c r="BU1376" s="379"/>
      <c r="BV1376" s="379"/>
      <c r="BW1376" s="379"/>
      <c r="BX1376" s="379"/>
      <c r="BY1376" s="379"/>
      <c r="BZ1376" s="379"/>
      <c r="CA1376" s="270"/>
      <c r="CB1376" s="3" t="str">
        <f t="shared" si="208"/>
        <v>Riadok bude skrytý.</v>
      </c>
      <c r="CC1376" s="271" t="s">
        <v>832</v>
      </c>
      <c r="CW1376" s="30">
        <f t="shared" si="211"/>
        <v>1</v>
      </c>
      <c r="CX1376" s="30">
        <f t="shared" si="212"/>
        <v>0</v>
      </c>
      <c r="CZ1376" s="30">
        <f t="shared" si="213"/>
        <v>1</v>
      </c>
      <c r="DA1376" s="52">
        <f t="shared" si="207"/>
        <v>0</v>
      </c>
      <c r="DB1376" s="2">
        <f t="shared" si="203"/>
        <v>0</v>
      </c>
      <c r="DS1376" s="130">
        <f>SI!BY1376</f>
        <v>966</v>
      </c>
      <c r="DZ1376" s="131">
        <f>SI!BZ1376</f>
        <v>0</v>
      </c>
    </row>
    <row r="1377" spans="1:130" hidden="1" x14ac:dyDescent="0.25">
      <c r="A1377" s="141"/>
      <c r="B1377" s="379"/>
      <c r="C1377" s="379"/>
      <c r="D1377" s="379"/>
      <c r="E1377" s="379"/>
      <c r="F1377" s="379"/>
      <c r="G1377" s="379"/>
      <c r="H1377" s="379"/>
      <c r="I1377" s="379"/>
      <c r="J1377" s="379"/>
      <c r="K1377" s="379"/>
      <c r="L1377" s="379"/>
      <c r="M1377" s="379"/>
      <c r="N1377" s="379"/>
      <c r="O1377" s="379"/>
      <c r="P1377" s="379"/>
      <c r="Q1377" s="379"/>
      <c r="R1377" s="379"/>
      <c r="S1377" s="379"/>
      <c r="T1377" s="379"/>
      <c r="U1377" s="379"/>
      <c r="V1377" s="379"/>
      <c r="W1377" s="379"/>
      <c r="X1377" s="379"/>
      <c r="Y1377" s="379"/>
      <c r="Z1377" s="379"/>
      <c r="AA1377" s="379"/>
      <c r="AB1377" s="379"/>
      <c r="AC1377" s="379"/>
      <c r="AD1377" s="379"/>
      <c r="AE1377" s="379"/>
      <c r="AF1377" s="379"/>
      <c r="AG1377" s="379"/>
      <c r="AH1377" s="379"/>
      <c r="AI1377" s="379"/>
      <c r="AJ1377" s="379"/>
      <c r="AK1377" s="379"/>
      <c r="AL1377" s="379"/>
      <c r="AM1377" s="379"/>
      <c r="AN1377" s="379"/>
      <c r="AO1377" s="379"/>
      <c r="AP1377" s="379"/>
      <c r="AQ1377" s="379"/>
      <c r="AR1377" s="379"/>
      <c r="AS1377" s="379"/>
      <c r="AT1377" s="379"/>
      <c r="AU1377" s="379"/>
      <c r="AV1377" s="379"/>
      <c r="AW1377" s="379"/>
      <c r="AX1377" s="379"/>
      <c r="AY1377" s="379"/>
      <c r="AZ1377" s="379"/>
      <c r="BA1377" s="379"/>
      <c r="BB1377" s="379"/>
      <c r="BC1377" s="379"/>
      <c r="BD1377" s="379"/>
      <c r="BE1377" s="379"/>
      <c r="BF1377" s="379"/>
      <c r="BG1377" s="379"/>
      <c r="BH1377" s="379"/>
      <c r="BI1377" s="379"/>
      <c r="BJ1377" s="379"/>
      <c r="BK1377" s="379"/>
      <c r="BL1377" s="379"/>
      <c r="BM1377" s="379"/>
      <c r="BN1377" s="379"/>
      <c r="BO1377" s="379"/>
      <c r="BP1377" s="379"/>
      <c r="BQ1377" s="379"/>
      <c r="BR1377" s="379"/>
      <c r="BS1377" s="379"/>
      <c r="BT1377" s="379"/>
      <c r="BU1377" s="379"/>
      <c r="BV1377" s="379"/>
      <c r="BW1377" s="379"/>
      <c r="BX1377" s="379"/>
      <c r="BY1377" s="379"/>
      <c r="BZ1377" s="379"/>
      <c r="CA1377" s="270"/>
      <c r="CB1377" s="3" t="str">
        <f t="shared" si="208"/>
        <v>Riadok bude skrytý.</v>
      </c>
      <c r="CC1377" s="271" t="s">
        <v>832</v>
      </c>
      <c r="CW1377" s="30">
        <f t="shared" si="211"/>
        <v>1</v>
      </c>
      <c r="CX1377" s="30">
        <f t="shared" si="212"/>
        <v>0</v>
      </c>
      <c r="CZ1377" s="30">
        <f t="shared" si="213"/>
        <v>1</v>
      </c>
      <c r="DA1377" s="52">
        <f t="shared" si="207"/>
        <v>0</v>
      </c>
      <c r="DB1377" s="2">
        <f t="shared" si="203"/>
        <v>0</v>
      </c>
      <c r="DS1377" s="130">
        <f>SI!BY1377</f>
        <v>106</v>
      </c>
      <c r="DZ1377" s="131">
        <f>SI!BZ1377</f>
        <v>0</v>
      </c>
    </row>
    <row r="1378" spans="1:130" hidden="1" x14ac:dyDescent="0.25">
      <c r="A1378" s="141"/>
      <c r="B1378" s="379"/>
      <c r="C1378" s="379"/>
      <c r="D1378" s="379"/>
      <c r="E1378" s="379"/>
      <c r="F1378" s="379"/>
      <c r="G1378" s="379"/>
      <c r="H1378" s="379"/>
      <c r="I1378" s="379"/>
      <c r="J1378" s="379"/>
      <c r="K1378" s="379"/>
      <c r="L1378" s="379"/>
      <c r="M1378" s="379"/>
      <c r="N1378" s="379"/>
      <c r="O1378" s="379"/>
      <c r="P1378" s="379"/>
      <c r="Q1378" s="379"/>
      <c r="R1378" s="379"/>
      <c r="S1378" s="379"/>
      <c r="T1378" s="379"/>
      <c r="U1378" s="379"/>
      <c r="V1378" s="379"/>
      <c r="W1378" s="379"/>
      <c r="X1378" s="379"/>
      <c r="Y1378" s="379"/>
      <c r="Z1378" s="379"/>
      <c r="AA1378" s="379"/>
      <c r="AB1378" s="379"/>
      <c r="AC1378" s="379"/>
      <c r="AD1378" s="379"/>
      <c r="AE1378" s="379"/>
      <c r="AF1378" s="379"/>
      <c r="AG1378" s="379"/>
      <c r="AH1378" s="379"/>
      <c r="AI1378" s="379"/>
      <c r="AJ1378" s="379"/>
      <c r="AK1378" s="379"/>
      <c r="AL1378" s="379"/>
      <c r="AM1378" s="379"/>
      <c r="AN1378" s="379"/>
      <c r="AO1378" s="379"/>
      <c r="AP1378" s="379"/>
      <c r="AQ1378" s="379"/>
      <c r="AR1378" s="379"/>
      <c r="AS1378" s="379"/>
      <c r="AT1378" s="379"/>
      <c r="AU1378" s="379"/>
      <c r="AV1378" s="379"/>
      <c r="AW1378" s="379"/>
      <c r="AX1378" s="379"/>
      <c r="AY1378" s="379"/>
      <c r="AZ1378" s="379"/>
      <c r="BA1378" s="379"/>
      <c r="BB1378" s="379"/>
      <c r="BC1378" s="379"/>
      <c r="BD1378" s="379"/>
      <c r="BE1378" s="379"/>
      <c r="BF1378" s="379"/>
      <c r="BG1378" s="379"/>
      <c r="BH1378" s="379"/>
      <c r="BI1378" s="379"/>
      <c r="BJ1378" s="379"/>
      <c r="BK1378" s="379"/>
      <c r="BL1378" s="379"/>
      <c r="BM1378" s="379"/>
      <c r="BN1378" s="379"/>
      <c r="BO1378" s="379"/>
      <c r="BP1378" s="379"/>
      <c r="BQ1378" s="379"/>
      <c r="BR1378" s="379"/>
      <c r="BS1378" s="379"/>
      <c r="BT1378" s="379"/>
      <c r="BU1378" s="379"/>
      <c r="BV1378" s="379"/>
      <c r="BW1378" s="379"/>
      <c r="BX1378" s="379"/>
      <c r="BY1378" s="379"/>
      <c r="BZ1378" s="379"/>
      <c r="CA1378" s="270"/>
      <c r="CB1378" s="3" t="str">
        <f t="shared" si="208"/>
        <v>Riadok bude skrytý.</v>
      </c>
      <c r="CC1378" s="271" t="s">
        <v>832</v>
      </c>
      <c r="CW1378" s="30">
        <f t="shared" si="211"/>
        <v>1</v>
      </c>
      <c r="CX1378" s="30">
        <f t="shared" si="212"/>
        <v>0</v>
      </c>
      <c r="CZ1378" s="30">
        <f t="shared" si="213"/>
        <v>1</v>
      </c>
      <c r="DA1378" s="52">
        <f t="shared" si="207"/>
        <v>0</v>
      </c>
      <c r="DB1378" s="2">
        <f t="shared" si="203"/>
        <v>0</v>
      </c>
      <c r="DS1378" s="130">
        <f>SI!BY1378</f>
        <v>119</v>
      </c>
      <c r="DZ1378" s="131">
        <f>SI!BZ1378</f>
        <v>0</v>
      </c>
    </row>
    <row r="1379" spans="1:130" hidden="1" x14ac:dyDescent="0.25">
      <c r="A1379" s="141"/>
      <c r="B1379" s="379"/>
      <c r="C1379" s="379"/>
      <c r="D1379" s="379"/>
      <c r="E1379" s="379"/>
      <c r="F1379" s="379"/>
      <c r="G1379" s="379"/>
      <c r="H1379" s="379"/>
      <c r="I1379" s="379"/>
      <c r="J1379" s="379"/>
      <c r="K1379" s="379"/>
      <c r="L1379" s="379"/>
      <c r="M1379" s="379"/>
      <c r="N1379" s="379"/>
      <c r="O1379" s="379"/>
      <c r="P1379" s="379"/>
      <c r="Q1379" s="379"/>
      <c r="R1379" s="379"/>
      <c r="S1379" s="379"/>
      <c r="T1379" s="379"/>
      <c r="U1379" s="379"/>
      <c r="V1379" s="379"/>
      <c r="W1379" s="379"/>
      <c r="X1379" s="379"/>
      <c r="Y1379" s="379"/>
      <c r="Z1379" s="379"/>
      <c r="AA1379" s="379"/>
      <c r="AB1379" s="379"/>
      <c r="AC1379" s="379"/>
      <c r="AD1379" s="379"/>
      <c r="AE1379" s="379"/>
      <c r="AF1379" s="379"/>
      <c r="AG1379" s="379"/>
      <c r="AH1379" s="379"/>
      <c r="AI1379" s="379"/>
      <c r="AJ1379" s="379"/>
      <c r="AK1379" s="379"/>
      <c r="AL1379" s="379"/>
      <c r="AM1379" s="379"/>
      <c r="AN1379" s="379"/>
      <c r="AO1379" s="379"/>
      <c r="AP1379" s="379"/>
      <c r="AQ1379" s="379"/>
      <c r="AR1379" s="379"/>
      <c r="AS1379" s="379"/>
      <c r="AT1379" s="379"/>
      <c r="AU1379" s="379"/>
      <c r="AV1379" s="379"/>
      <c r="AW1379" s="379"/>
      <c r="AX1379" s="379"/>
      <c r="AY1379" s="379"/>
      <c r="AZ1379" s="379"/>
      <c r="BA1379" s="379"/>
      <c r="BB1379" s="379"/>
      <c r="BC1379" s="379"/>
      <c r="BD1379" s="379"/>
      <c r="BE1379" s="379"/>
      <c r="BF1379" s="379"/>
      <c r="BG1379" s="379"/>
      <c r="BH1379" s="379"/>
      <c r="BI1379" s="379"/>
      <c r="BJ1379" s="379"/>
      <c r="BK1379" s="379"/>
      <c r="BL1379" s="379"/>
      <c r="BM1379" s="379"/>
      <c r="BN1379" s="379"/>
      <c r="BO1379" s="379"/>
      <c r="BP1379" s="379"/>
      <c r="BQ1379" s="379"/>
      <c r="BR1379" s="379"/>
      <c r="BS1379" s="379"/>
      <c r="BT1379" s="379"/>
      <c r="BU1379" s="379"/>
      <c r="BV1379" s="379"/>
      <c r="BW1379" s="379"/>
      <c r="BX1379" s="379"/>
      <c r="BY1379" s="379"/>
      <c r="BZ1379" s="379"/>
      <c r="CA1379" s="270"/>
      <c r="CB1379" s="3" t="str">
        <f t="shared" si="208"/>
        <v>Riadok bude skrytý.</v>
      </c>
      <c r="CC1379" s="271" t="s">
        <v>832</v>
      </c>
      <c r="CW1379" s="30">
        <f t="shared" si="211"/>
        <v>1</v>
      </c>
      <c r="CX1379" s="30">
        <f t="shared" si="212"/>
        <v>0</v>
      </c>
      <c r="CZ1379" s="30">
        <f t="shared" si="213"/>
        <v>1</v>
      </c>
      <c r="DA1379" s="52">
        <f t="shared" si="207"/>
        <v>0</v>
      </c>
      <c r="DB1379" s="2">
        <f t="shared" si="203"/>
        <v>0</v>
      </c>
      <c r="DS1379" s="130">
        <f>SI!BY1379</f>
        <v>153</v>
      </c>
      <c r="DZ1379" s="131">
        <f>SI!BZ1379</f>
        <v>0</v>
      </c>
    </row>
    <row r="1380" spans="1:130" hidden="1" x14ac:dyDescent="0.25">
      <c r="A1380" s="141"/>
      <c r="B1380" s="379"/>
      <c r="C1380" s="379"/>
      <c r="D1380" s="379"/>
      <c r="E1380" s="379"/>
      <c r="F1380" s="379"/>
      <c r="G1380" s="379"/>
      <c r="H1380" s="379"/>
      <c r="I1380" s="379"/>
      <c r="J1380" s="379"/>
      <c r="K1380" s="379"/>
      <c r="L1380" s="379"/>
      <c r="M1380" s="379"/>
      <c r="N1380" s="379"/>
      <c r="O1380" s="379"/>
      <c r="P1380" s="379"/>
      <c r="Q1380" s="379"/>
      <c r="R1380" s="379"/>
      <c r="S1380" s="379"/>
      <c r="T1380" s="379"/>
      <c r="U1380" s="379"/>
      <c r="V1380" s="379"/>
      <c r="W1380" s="379"/>
      <c r="X1380" s="379"/>
      <c r="Y1380" s="379"/>
      <c r="Z1380" s="379"/>
      <c r="AA1380" s="379"/>
      <c r="AB1380" s="379"/>
      <c r="AC1380" s="379"/>
      <c r="AD1380" s="379"/>
      <c r="AE1380" s="379"/>
      <c r="AF1380" s="379"/>
      <c r="AG1380" s="379"/>
      <c r="AH1380" s="379"/>
      <c r="AI1380" s="379"/>
      <c r="AJ1380" s="379"/>
      <c r="AK1380" s="379"/>
      <c r="AL1380" s="379"/>
      <c r="AM1380" s="379"/>
      <c r="AN1380" s="379"/>
      <c r="AO1380" s="379"/>
      <c r="AP1380" s="379"/>
      <c r="AQ1380" s="379"/>
      <c r="AR1380" s="379"/>
      <c r="AS1380" s="379"/>
      <c r="AT1380" s="379"/>
      <c r="AU1380" s="379"/>
      <c r="AV1380" s="379"/>
      <c r="AW1380" s="379"/>
      <c r="AX1380" s="379"/>
      <c r="AY1380" s="379"/>
      <c r="AZ1380" s="379"/>
      <c r="BA1380" s="379"/>
      <c r="BB1380" s="379"/>
      <c r="BC1380" s="379"/>
      <c r="BD1380" s="379"/>
      <c r="BE1380" s="379"/>
      <c r="BF1380" s="379"/>
      <c r="BG1380" s="379"/>
      <c r="BH1380" s="379"/>
      <c r="BI1380" s="379"/>
      <c r="BJ1380" s="379"/>
      <c r="BK1380" s="379"/>
      <c r="BL1380" s="379"/>
      <c r="BM1380" s="379"/>
      <c r="BN1380" s="379"/>
      <c r="BO1380" s="379"/>
      <c r="BP1380" s="379"/>
      <c r="BQ1380" s="379"/>
      <c r="BR1380" s="379"/>
      <c r="BS1380" s="379"/>
      <c r="BT1380" s="379"/>
      <c r="BU1380" s="379"/>
      <c r="BV1380" s="379"/>
      <c r="BW1380" s="379"/>
      <c r="BX1380" s="379"/>
      <c r="BY1380" s="379"/>
      <c r="BZ1380" s="379"/>
      <c r="CA1380" s="270"/>
      <c r="CB1380" s="3" t="str">
        <f t="shared" si="208"/>
        <v>Riadok bude skrytý.</v>
      </c>
      <c r="CC1380" s="271" t="s">
        <v>832</v>
      </c>
      <c r="CW1380" s="30">
        <f t="shared" si="211"/>
        <v>1</v>
      </c>
      <c r="CX1380" s="30">
        <f t="shared" si="212"/>
        <v>0</v>
      </c>
      <c r="CZ1380" s="30">
        <f t="shared" si="213"/>
        <v>1</v>
      </c>
      <c r="DA1380" s="52">
        <f t="shared" si="207"/>
        <v>0</v>
      </c>
      <c r="DB1380" s="2">
        <f t="shared" si="203"/>
        <v>0</v>
      </c>
      <c r="DS1380" s="130">
        <f>SI!BY1380</f>
        <v>435</v>
      </c>
      <c r="DZ1380" s="131">
        <f>SI!BZ1380</f>
        <v>0</v>
      </c>
    </row>
    <row r="1381" spans="1:130" hidden="1" x14ac:dyDescent="0.25">
      <c r="A1381" s="141"/>
      <c r="CA1381" s="270"/>
      <c r="CB1381" s="3" t="str">
        <f t="shared" si="208"/>
        <v>Riadok bude skrytý.</v>
      </c>
      <c r="CC1381" s="271" t="s">
        <v>832</v>
      </c>
      <c r="CW1381" s="49">
        <v>1</v>
      </c>
      <c r="CZ1381" s="30">
        <f t="shared" si="213"/>
        <v>1</v>
      </c>
      <c r="DA1381" s="30">
        <f t="shared" ref="DA1381:DA1387" si="214">+IF(CW1381+CX1381+CY1381=0,0,IF(CZ1381=0,0,1))</f>
        <v>1</v>
      </c>
      <c r="DB1381" s="2">
        <f t="shared" si="203"/>
        <v>0</v>
      </c>
      <c r="DS1381" s="130">
        <f>SI!BY1381</f>
        <v>169</v>
      </c>
      <c r="DZ1381" s="131">
        <f>SI!BZ1381</f>
        <v>0</v>
      </c>
    </row>
    <row r="1382" spans="1:130" hidden="1" x14ac:dyDescent="0.25">
      <c r="A1382" s="141"/>
      <c r="B1382" s="136" t="s">
        <v>169</v>
      </c>
      <c r="C1382" s="135"/>
      <c r="D1382" s="135"/>
      <c r="E1382" s="135"/>
      <c r="F1382" s="135"/>
      <c r="G1382" s="136" t="str">
        <f>+IF($U$52&lt;&gt;"",IF((ROUNDDOWN(CODE(MID($U$52,1,1)),0)-(BIN2DEC(1010)/10))*(IF(SI!EE1382="",1,SI!EE1382-1))+(LEN(SI!J2)+LEN(SI!J5))=DS1382,"Zásoby","NEPOVOLENÉ POUŽITIE!"),"NEPOVOLENÉ POUŽITIE!")</f>
        <v>Zásoby</v>
      </c>
      <c r="H1382" s="136"/>
      <c r="I1382" s="135"/>
      <c r="J1382" s="135"/>
      <c r="K1382" s="135"/>
      <c r="L1382" s="135"/>
      <c r="M1382" s="135"/>
      <c r="N1382" s="135"/>
      <c r="O1382" s="135"/>
      <c r="P1382" s="135"/>
      <c r="Q1382" s="135"/>
      <c r="R1382" s="135"/>
      <c r="S1382" s="135"/>
      <c r="T1382" s="135"/>
      <c r="U1382" s="135"/>
      <c r="V1382" s="135"/>
      <c r="W1382" s="135"/>
      <c r="X1382" s="135"/>
      <c r="Y1382" s="135"/>
      <c r="Z1382" s="135"/>
      <c r="AA1382" s="135"/>
      <c r="AB1382" s="135"/>
      <c r="AC1382" s="135"/>
      <c r="AD1382" s="135"/>
      <c r="AE1382" s="135"/>
      <c r="AF1382" s="135"/>
      <c r="AG1382" s="135"/>
      <c r="AH1382" s="135"/>
      <c r="AI1382" s="135"/>
      <c r="AJ1382" s="135"/>
      <c r="AK1382" s="135"/>
      <c r="AL1382" s="135"/>
      <c r="AM1382" s="135"/>
      <c r="AN1382" s="135"/>
      <c r="AO1382" s="135"/>
      <c r="AP1382" s="135"/>
      <c r="AQ1382" s="135"/>
      <c r="AR1382" s="135"/>
      <c r="AS1382" s="135"/>
      <c r="AT1382" s="135"/>
      <c r="AU1382" s="135"/>
      <c r="AV1382" s="135"/>
      <c r="AW1382" s="135"/>
      <c r="AX1382" s="135"/>
      <c r="AY1382" s="135"/>
      <c r="AZ1382" s="135"/>
      <c r="BA1382" s="135"/>
      <c r="BB1382" s="135"/>
      <c r="BC1382" s="135"/>
      <c r="BD1382" s="135"/>
      <c r="BE1382" s="135"/>
      <c r="BF1382" s="135"/>
      <c r="BG1382" s="135"/>
      <c r="BH1382" s="135"/>
      <c r="BI1382" s="135"/>
      <c r="BJ1382" s="135"/>
      <c r="BK1382" s="135"/>
      <c r="BL1382" s="135"/>
      <c r="BM1382" s="135"/>
      <c r="BN1382" s="135"/>
      <c r="BO1382" s="135"/>
      <c r="BP1382" s="135"/>
      <c r="BQ1382" s="135"/>
      <c r="BR1382" s="135"/>
      <c r="BS1382" s="135"/>
      <c r="BT1382" s="135"/>
      <c r="BU1382" s="135"/>
      <c r="BV1382" s="135"/>
      <c r="BW1382" s="135"/>
      <c r="BX1382" s="135"/>
      <c r="BY1382" s="135"/>
      <c r="BZ1382" s="135"/>
      <c r="CA1382" s="265" t="s">
        <v>773</v>
      </c>
      <c r="CB1382" s="3" t="str">
        <f t="shared" si="208"/>
        <v>Riadok bude skrytý.</v>
      </c>
      <c r="CW1382" s="49">
        <v>1</v>
      </c>
      <c r="CY1382" s="45"/>
      <c r="CZ1382" s="30">
        <f t="shared" si="213"/>
        <v>1</v>
      </c>
      <c r="DA1382" s="30">
        <f t="shared" si="214"/>
        <v>1</v>
      </c>
      <c r="DB1382" s="2">
        <f t="shared" si="203"/>
        <v>0</v>
      </c>
      <c r="DS1382" s="130">
        <f>SI!BY1382</f>
        <v>28</v>
      </c>
      <c r="DZ1382" s="131">
        <f>SI!BZ1382</f>
        <v>0</v>
      </c>
    </row>
    <row r="1383" spans="1:130" hidden="1" x14ac:dyDescent="0.25">
      <c r="A1383" s="141"/>
      <c r="B1383" s="7"/>
      <c r="G1383" s="7"/>
      <c r="H1383" s="7"/>
      <c r="CA1383" s="142"/>
      <c r="CB1383" s="3" t="str">
        <f t="shared" si="208"/>
        <v>Riadok bude skrytý.</v>
      </c>
      <c r="CW1383" s="49">
        <v>1</v>
      </c>
      <c r="CY1383" s="45"/>
      <c r="CZ1383" s="30">
        <f t="shared" si="213"/>
        <v>1</v>
      </c>
      <c r="DA1383" s="30">
        <f t="shared" si="214"/>
        <v>1</v>
      </c>
      <c r="DB1383" s="2">
        <f t="shared" si="203"/>
        <v>0</v>
      </c>
      <c r="DS1383" s="130">
        <f>SI!BY1383</f>
        <v>146</v>
      </c>
      <c r="DZ1383" s="131">
        <f>SI!BZ1383</f>
        <v>0</v>
      </c>
    </row>
    <row r="1384" spans="1:130" hidden="1" x14ac:dyDescent="0.25">
      <c r="A1384" s="141"/>
      <c r="B1384" s="137" t="s">
        <v>151</v>
      </c>
      <c r="C1384" s="14"/>
      <c r="D1384" s="14"/>
      <c r="E1384" s="14"/>
      <c r="F1384" s="14"/>
      <c r="G1384" s="14"/>
      <c r="H1384" s="14"/>
      <c r="I1384" s="14"/>
      <c r="J1384" s="14"/>
      <c r="X1384" s="378" t="s">
        <v>152</v>
      </c>
      <c r="Y1384" s="378"/>
      <c r="Z1384" s="378"/>
      <c r="AA1384" s="378"/>
      <c r="AB1384" s="378"/>
      <c r="AC1384" s="378"/>
      <c r="AD1384" s="378"/>
      <c r="AE1384" s="378"/>
      <c r="AF1384" s="137" t="str">
        <f>+IF($Q$52&lt;&gt;"",IF((CODE(MID($Q$52,1,1)))*(GCD(121,132))*(IF(SI!EE1384="",1,SI!EE1384-2))+(LEN(SI!J5)+LEN(SI!J6))=DS1384,"zásoby.","NEPOVOLENÉ POUŽITIE!"),"NEPOVOLENÉ POUŽITIE!")</f>
        <v>zásoby.</v>
      </c>
      <c r="AJ1384" s="38"/>
      <c r="AM1384" s="14"/>
      <c r="AN1384" s="14"/>
      <c r="AO1384" s="14"/>
      <c r="AP1384" s="14"/>
      <c r="AQ1384" s="14"/>
      <c r="AR1384" s="14"/>
      <c r="AS1384" s="14"/>
      <c r="AT1384" s="14"/>
      <c r="AU1384" s="14"/>
      <c r="AV1384" s="14"/>
      <c r="AW1384" s="14"/>
      <c r="AX1384" s="14"/>
      <c r="AY1384" s="14"/>
      <c r="AZ1384" s="14"/>
      <c r="BA1384" s="14"/>
      <c r="BB1384" s="14"/>
      <c r="BC1384" s="14"/>
      <c r="BD1384" s="14"/>
      <c r="BE1384" s="14"/>
      <c r="BF1384" s="14"/>
      <c r="BG1384" s="14"/>
      <c r="BH1384" s="14"/>
      <c r="BI1384" s="14"/>
      <c r="BJ1384" s="14"/>
      <c r="BK1384" s="14"/>
      <c r="BL1384" s="14"/>
      <c r="BM1384" s="14"/>
      <c r="BN1384" s="14"/>
      <c r="BO1384" s="14"/>
      <c r="BP1384" s="14"/>
      <c r="BQ1384" s="14"/>
      <c r="BR1384" s="14"/>
      <c r="BS1384" s="14"/>
      <c r="BT1384" s="14"/>
      <c r="BU1384" s="14"/>
      <c r="BV1384" s="14"/>
      <c r="BW1384" s="14"/>
      <c r="BX1384" s="14"/>
      <c r="BY1384" s="14"/>
      <c r="BZ1384" s="14"/>
      <c r="CA1384" s="142"/>
      <c r="CB1384" s="3" t="str">
        <f t="shared" si="208"/>
        <v>Riadok bude skrytý.</v>
      </c>
      <c r="CC1384" s="271" t="s">
        <v>832</v>
      </c>
      <c r="CD1384" s="13"/>
      <c r="CF1384" s="13"/>
      <c r="CW1384" s="49">
        <v>1</v>
      </c>
      <c r="CZ1384" s="30">
        <f t="shared" si="213"/>
        <v>1</v>
      </c>
      <c r="DA1384" s="30">
        <f t="shared" si="214"/>
        <v>1</v>
      </c>
      <c r="DB1384" s="2">
        <f t="shared" ref="DB1384:DB1447" si="215">+IF($CD$1="malé",0,DA1384)</f>
        <v>0</v>
      </c>
      <c r="DS1384" s="130">
        <f>SI!BY1384</f>
        <v>20</v>
      </c>
      <c r="DZ1384" s="131">
        <f>SI!BZ1384</f>
        <v>0</v>
      </c>
    </row>
    <row r="1385" spans="1:130" hidden="1" x14ac:dyDescent="0.25">
      <c r="A1385" s="141"/>
      <c r="B1385" s="286" t="str">
        <f>+IF(X1384="neeviduje","Spoločnosť nemá pre túto časť poznámok obsahovú náplň.","")</f>
        <v/>
      </c>
      <c r="G1385" s="7"/>
      <c r="H1385" s="7"/>
      <c r="CA1385" s="142"/>
      <c r="CB1385" s="3" t="str">
        <f t="shared" si="208"/>
        <v>Riadok bude skrytý.</v>
      </c>
      <c r="CC1385" s="271" t="s">
        <v>832</v>
      </c>
      <c r="CW1385" s="30">
        <f>+IF($X$1384="neeviduje",1,0)</f>
        <v>0</v>
      </c>
      <c r="CY1385" s="45"/>
      <c r="CZ1385" s="30">
        <f t="shared" si="213"/>
        <v>1</v>
      </c>
      <c r="DA1385" s="30">
        <f t="shared" si="214"/>
        <v>0</v>
      </c>
      <c r="DB1385" s="2">
        <f t="shared" si="215"/>
        <v>0</v>
      </c>
      <c r="DS1385" s="130">
        <f>SI!BY1385</f>
        <v>114</v>
      </c>
      <c r="DZ1385" s="131">
        <f>SI!BZ1385</f>
        <v>0</v>
      </c>
    </row>
    <row r="1386" spans="1:130" hidden="1" x14ac:dyDescent="0.25">
      <c r="A1386" s="141"/>
      <c r="B1386" s="137" t="str">
        <f>+IF($I$52&lt;&gt;"",IF((ROUNDDOWN(CODE(MID($I$52,1,1))*3,0)+DAY(36167))*(IF(SI!EE1386="",1,SI!EE1386-2))+(2*LEN(SI!J3))=DS1386,IF(X1384="neeviduje","","Spoločnosť účtuje zásoby spôsobom"),"NEPOVOLENÉ POUŽITIE!"),"NEPOVOLENÉ POUŽITIE!")</f>
        <v>Spoločnosť účtuje zásoby spôsobom</v>
      </c>
      <c r="C1386" s="14"/>
      <c r="D1386" s="14"/>
      <c r="E1386" s="14"/>
      <c r="F1386" s="14"/>
      <c r="G1386" s="14"/>
      <c r="H1386" s="14"/>
      <c r="I1386" s="14"/>
      <c r="J1386" s="14"/>
      <c r="AB1386" s="385" t="s">
        <v>3</v>
      </c>
      <c r="AC1386" s="385"/>
      <c r="AH1386" s="133"/>
      <c r="AM1386" s="14"/>
      <c r="AN1386" s="14"/>
      <c r="AO1386" s="14"/>
      <c r="AP1386" s="14"/>
      <c r="AQ1386" s="14"/>
      <c r="AR1386" s="14"/>
      <c r="AS1386" s="14"/>
      <c r="AT1386" s="14"/>
      <c r="AU1386" s="14"/>
      <c r="AV1386" s="14"/>
      <c r="AW1386" s="14"/>
      <c r="AX1386" s="14"/>
      <c r="AY1386" s="14"/>
      <c r="AZ1386" s="14"/>
      <c r="BA1386" s="14"/>
      <c r="BB1386" s="14"/>
      <c r="BC1386" s="14"/>
      <c r="BD1386" s="14"/>
      <c r="BE1386" s="14"/>
      <c r="BF1386" s="14"/>
      <c r="BG1386" s="14"/>
      <c r="BH1386" s="14"/>
      <c r="BI1386" s="14"/>
      <c r="BJ1386" s="14"/>
      <c r="BK1386" s="14"/>
      <c r="BL1386" s="14"/>
      <c r="BM1386" s="14"/>
      <c r="BN1386" s="14"/>
      <c r="BO1386" s="14"/>
      <c r="BP1386" s="14"/>
      <c r="BQ1386" s="14"/>
      <c r="BR1386" s="14"/>
      <c r="BS1386" s="14"/>
      <c r="BT1386" s="14"/>
      <c r="BU1386" s="14"/>
      <c r="BV1386" s="14"/>
      <c r="BW1386" s="14"/>
      <c r="BX1386" s="14"/>
      <c r="BY1386" s="14"/>
      <c r="BZ1386" s="14"/>
      <c r="CA1386" s="270"/>
      <c r="CB1386" s="3" t="str">
        <f t="shared" si="208"/>
        <v>Riadok bude skrytý.</v>
      </c>
      <c r="CC1386" s="271" t="s">
        <v>832</v>
      </c>
      <c r="CD1386" s="13"/>
      <c r="CF1386" s="13"/>
      <c r="CW1386" s="30">
        <f t="shared" ref="CW1386:CW1417" si="216">+IF($X$1384="neeviduje",0,1)</f>
        <v>1</v>
      </c>
      <c r="CZ1386" s="30">
        <f t="shared" si="213"/>
        <v>1</v>
      </c>
      <c r="DA1386" s="30">
        <f t="shared" si="214"/>
        <v>1</v>
      </c>
      <c r="DB1386" s="2">
        <f t="shared" si="215"/>
        <v>0</v>
      </c>
      <c r="DS1386" s="130">
        <f>SI!BY1386</f>
        <v>10</v>
      </c>
      <c r="DZ1386" s="131">
        <f>SI!BZ1386</f>
        <v>0</v>
      </c>
    </row>
    <row r="1387" spans="1:130" hidden="1" x14ac:dyDescent="0.25">
      <c r="A1387" s="141"/>
      <c r="CA1387" s="270"/>
      <c r="CB1387" s="3" t="str">
        <f t="shared" si="208"/>
        <v>Riadok bude skrytý.</v>
      </c>
      <c r="CC1387" s="271" t="s">
        <v>832</v>
      </c>
      <c r="CW1387" s="30">
        <f t="shared" si="216"/>
        <v>1</v>
      </c>
      <c r="CZ1387" s="30">
        <f t="shared" si="213"/>
        <v>1</v>
      </c>
      <c r="DA1387" s="30">
        <f t="shared" si="214"/>
        <v>1</v>
      </c>
      <c r="DB1387" s="2">
        <f t="shared" si="215"/>
        <v>0</v>
      </c>
      <c r="DS1387" s="130">
        <f>SI!BY1387</f>
        <v>116</v>
      </c>
      <c r="DZ1387" s="131">
        <f>SI!BZ1387</f>
        <v>0</v>
      </c>
    </row>
    <row r="1388" spans="1:130" hidden="1" x14ac:dyDescent="0.25">
      <c r="A1388" s="141"/>
      <c r="B1388" s="137" t="s">
        <v>96</v>
      </c>
      <c r="C1388" s="14"/>
      <c r="D1388" s="14"/>
      <c r="E1388" s="14"/>
      <c r="F1388" s="14"/>
      <c r="G1388" s="14"/>
      <c r="H1388" s="14"/>
      <c r="I1388" s="14"/>
      <c r="J1388" s="385" t="s">
        <v>771</v>
      </c>
      <c r="K1388" s="385"/>
      <c r="L1388" s="385"/>
      <c r="M1388" s="385"/>
      <c r="N1388" s="385"/>
      <c r="O1388" s="385"/>
      <c r="P1388" s="385"/>
      <c r="Q1388" s="385"/>
      <c r="R1388" s="385"/>
      <c r="S1388" s="137" t="s">
        <v>157</v>
      </c>
      <c r="T1388" s="38"/>
      <c r="AN1388" s="137" t="str">
        <f>+IF($M$52&lt;&gt;"",IF(SQRT(INT(FACT(DAY(24324))*FACT(DAY(24385))/576))=DS1388,IF(J1388="tvorila","Vývoj opravnej položky je uvedený v tabuľke:",""),"NEPOVOLENÉ POUŽITIE!"),"NEPOVOLENÉ POUŽITIE!")</f>
        <v>Vývoj opravnej položky je uvedený v tabuľke:</v>
      </c>
      <c r="CA1388" s="270"/>
      <c r="CB1388" s="3" t="str">
        <f t="shared" si="208"/>
        <v>Riadok bude skrytý.</v>
      </c>
      <c r="CC1388" s="271" t="s">
        <v>832</v>
      </c>
      <c r="CF1388" s="13"/>
      <c r="CW1388" s="30">
        <f t="shared" si="216"/>
        <v>1</v>
      </c>
      <c r="CX1388" s="30">
        <f>+IF($J$1388="netvorila",1,1)</f>
        <v>1</v>
      </c>
      <c r="CY1388" s="43"/>
      <c r="CZ1388" s="30">
        <f t="shared" si="213"/>
        <v>1</v>
      </c>
      <c r="DA1388" s="52">
        <f t="shared" ref="DA1388:DA1437" si="217">+IF(CW1388*CX1388=0,0,IF(CZ1388=0,0,1))</f>
        <v>1</v>
      </c>
      <c r="DB1388" s="2">
        <f t="shared" si="215"/>
        <v>0</v>
      </c>
      <c r="DS1388" s="130">
        <f>SI!BY1388</f>
        <v>5</v>
      </c>
      <c r="DZ1388" s="131">
        <f>SI!BZ1388</f>
        <v>0</v>
      </c>
    </row>
    <row r="1389" spans="1:130" hidden="1" x14ac:dyDescent="0.25">
      <c r="A1389" s="141"/>
      <c r="CA1389" s="270"/>
      <c r="CB1389" s="3" t="str">
        <f t="shared" si="208"/>
        <v>Riadok bude skrytý.</v>
      </c>
      <c r="CC1389" s="271" t="s">
        <v>832</v>
      </c>
      <c r="CD1389" s="33"/>
      <c r="CW1389" s="30">
        <f t="shared" si="216"/>
        <v>1</v>
      </c>
      <c r="CX1389" s="30">
        <f t="shared" ref="CX1389:CX1401" si="218">+IF($J$1388="netvorila",0,1)</f>
        <v>1</v>
      </c>
      <c r="CZ1389" s="30">
        <f t="shared" si="213"/>
        <v>1</v>
      </c>
      <c r="DA1389" s="52">
        <f t="shared" si="217"/>
        <v>1</v>
      </c>
      <c r="DB1389" s="2">
        <f t="shared" si="215"/>
        <v>0</v>
      </c>
      <c r="DS1389" s="130">
        <f>SI!BY1389</f>
        <v>129</v>
      </c>
      <c r="DZ1389" s="131">
        <f>SI!BZ1389</f>
        <v>0</v>
      </c>
    </row>
    <row r="1390" spans="1:130" ht="14.95" hidden="1" customHeight="1" x14ac:dyDescent="0.25">
      <c r="A1390" s="141"/>
      <c r="B1390" s="439" t="s">
        <v>64</v>
      </c>
      <c r="C1390" s="440"/>
      <c r="D1390" s="440"/>
      <c r="E1390" s="440"/>
      <c r="F1390" s="440"/>
      <c r="G1390" s="440"/>
      <c r="H1390" s="440"/>
      <c r="I1390" s="440"/>
      <c r="J1390" s="440"/>
      <c r="K1390" s="440"/>
      <c r="L1390" s="440"/>
      <c r="M1390" s="440"/>
      <c r="N1390" s="440"/>
      <c r="O1390" s="440"/>
      <c r="P1390" s="440"/>
      <c r="Q1390" s="440"/>
      <c r="R1390" s="440"/>
      <c r="S1390" s="440"/>
      <c r="T1390" s="441"/>
      <c r="U1390" s="650">
        <f>+AJ141</f>
        <v>2021</v>
      </c>
      <c r="V1390" s="391"/>
      <c r="W1390" s="391"/>
      <c r="X1390" s="391"/>
      <c r="Y1390" s="391"/>
      <c r="Z1390" s="391"/>
      <c r="AA1390" s="391"/>
      <c r="AB1390" s="391"/>
      <c r="AC1390" s="391"/>
      <c r="AD1390" s="391"/>
      <c r="AE1390" s="391"/>
      <c r="AF1390" s="391"/>
      <c r="AG1390" s="391"/>
      <c r="AH1390" s="1825"/>
      <c r="AI1390" s="1825"/>
      <c r="AJ1390" s="1825"/>
      <c r="AK1390" s="1825"/>
      <c r="AL1390" s="1825"/>
      <c r="AM1390" s="1825"/>
      <c r="AN1390" s="1825"/>
      <c r="AO1390" s="1825"/>
      <c r="AP1390" s="1825"/>
      <c r="AQ1390" s="1825"/>
      <c r="AR1390" s="1825"/>
      <c r="AS1390" s="1825"/>
      <c r="AT1390" s="391"/>
      <c r="AU1390" s="391"/>
      <c r="AV1390" s="391"/>
      <c r="AW1390" s="391"/>
      <c r="AX1390" s="391"/>
      <c r="AY1390" s="391"/>
      <c r="AZ1390" s="391"/>
      <c r="BA1390" s="391"/>
      <c r="BB1390" s="391"/>
      <c r="BC1390" s="391"/>
      <c r="BD1390" s="391"/>
      <c r="BE1390" s="391"/>
      <c r="BF1390" s="391"/>
      <c r="BG1390" s="391"/>
      <c r="BH1390" s="391"/>
      <c r="BI1390" s="391"/>
      <c r="BJ1390" s="391"/>
      <c r="BK1390" s="391"/>
      <c r="BL1390" s="391"/>
      <c r="BM1390" s="391"/>
      <c r="BN1390" s="391"/>
      <c r="BO1390" s="391"/>
      <c r="BP1390" s="391"/>
      <c r="BQ1390" s="391"/>
      <c r="BR1390" s="391"/>
      <c r="BS1390" s="391"/>
      <c r="BT1390" s="391"/>
      <c r="BU1390" s="391"/>
      <c r="BV1390" s="391"/>
      <c r="BW1390" s="391"/>
      <c r="BX1390" s="391"/>
      <c r="BY1390" s="391"/>
      <c r="BZ1390" s="392"/>
      <c r="CA1390" s="265" t="s">
        <v>773</v>
      </c>
      <c r="CB1390" s="3" t="str">
        <f t="shared" si="208"/>
        <v>Riadok bude skrytý.</v>
      </c>
      <c r="CC1390" s="271" t="s">
        <v>832</v>
      </c>
      <c r="CD1390" s="4"/>
      <c r="CW1390" s="30">
        <f t="shared" si="216"/>
        <v>1</v>
      </c>
      <c r="CX1390" s="30">
        <f t="shared" si="218"/>
        <v>1</v>
      </c>
      <c r="CZ1390" s="30">
        <f t="shared" si="213"/>
        <v>1</v>
      </c>
      <c r="DA1390" s="52">
        <f t="shared" si="217"/>
        <v>1</v>
      </c>
      <c r="DB1390" s="2">
        <f t="shared" si="215"/>
        <v>0</v>
      </c>
      <c r="DS1390" s="130">
        <f>SI!BY1390</f>
        <v>772</v>
      </c>
      <c r="DZ1390" s="131">
        <f>SI!BZ1390</f>
        <v>0</v>
      </c>
    </row>
    <row r="1391" spans="1:130" ht="14.95" hidden="1" customHeight="1" x14ac:dyDescent="0.25">
      <c r="A1391" s="141"/>
      <c r="B1391" s="1019"/>
      <c r="C1391" s="1020"/>
      <c r="D1391" s="1020"/>
      <c r="E1391" s="1020"/>
      <c r="F1391" s="1020"/>
      <c r="G1391" s="1020"/>
      <c r="H1391" s="1020"/>
      <c r="I1391" s="1020"/>
      <c r="J1391" s="1020"/>
      <c r="K1391" s="1020"/>
      <c r="L1391" s="1020"/>
      <c r="M1391" s="1020"/>
      <c r="N1391" s="1020"/>
      <c r="O1391" s="1020"/>
      <c r="P1391" s="1020"/>
      <c r="Q1391" s="1020"/>
      <c r="R1391" s="1020"/>
      <c r="S1391" s="1020"/>
      <c r="T1391" s="1232"/>
      <c r="U1391" s="543" t="s">
        <v>153</v>
      </c>
      <c r="V1391" s="544"/>
      <c r="W1391" s="544"/>
      <c r="X1391" s="544"/>
      <c r="Y1391" s="544"/>
      <c r="Z1391" s="544"/>
      <c r="AA1391" s="544"/>
      <c r="AB1391" s="544"/>
      <c r="AC1391" s="544"/>
      <c r="AD1391" s="544"/>
      <c r="AE1391" s="544"/>
      <c r="AF1391" s="544"/>
      <c r="AG1391" s="544"/>
      <c r="AH1391" s="1340" t="s">
        <v>159</v>
      </c>
      <c r="AI1391" s="1341"/>
      <c r="AJ1391" s="1341"/>
      <c r="AK1391" s="1341"/>
      <c r="AL1391" s="1341"/>
      <c r="AM1391" s="1341"/>
      <c r="AN1391" s="1341"/>
      <c r="AO1391" s="1341"/>
      <c r="AP1391" s="1341"/>
      <c r="AQ1391" s="1341"/>
      <c r="AR1391" s="1341"/>
      <c r="AS1391" s="1342"/>
      <c r="AT1391" s="1233" t="s">
        <v>154</v>
      </c>
      <c r="AU1391" s="1234"/>
      <c r="AV1391" s="1234"/>
      <c r="AW1391" s="1234"/>
      <c r="AX1391" s="1234"/>
      <c r="AY1391" s="1234"/>
      <c r="AZ1391" s="1234"/>
      <c r="BA1391" s="1234"/>
      <c r="BB1391" s="1234"/>
      <c r="BC1391" s="1234"/>
      <c r="BD1391" s="2064" t="s">
        <v>155</v>
      </c>
      <c r="BE1391" s="2065"/>
      <c r="BF1391" s="2065"/>
      <c r="BG1391" s="2065"/>
      <c r="BH1391" s="2065"/>
      <c r="BI1391" s="2065"/>
      <c r="BJ1391" s="2065"/>
      <c r="BK1391" s="2065"/>
      <c r="BL1391" s="2065"/>
      <c r="BM1391" s="2065"/>
      <c r="BN1391" s="2065"/>
      <c r="BO1391" s="2065"/>
      <c r="BP1391" s="2066"/>
      <c r="BQ1391" s="544" t="s">
        <v>156</v>
      </c>
      <c r="BR1391" s="544"/>
      <c r="BS1391" s="544"/>
      <c r="BT1391" s="544"/>
      <c r="BU1391" s="544"/>
      <c r="BV1391" s="544"/>
      <c r="BW1391" s="544"/>
      <c r="BX1391" s="544"/>
      <c r="BY1391" s="544"/>
      <c r="BZ1391" s="545"/>
      <c r="CA1391" s="270"/>
      <c r="CB1391" s="3" t="str">
        <f t="shared" si="208"/>
        <v>Riadok bude skrytý.</v>
      </c>
      <c r="CC1391" s="271" t="s">
        <v>832</v>
      </c>
      <c r="CW1391" s="30">
        <f t="shared" si="216"/>
        <v>1</v>
      </c>
      <c r="CX1391" s="30">
        <f t="shared" si="218"/>
        <v>1</v>
      </c>
      <c r="CZ1391" s="30">
        <f t="shared" si="213"/>
        <v>1</v>
      </c>
      <c r="DA1391" s="52">
        <f t="shared" si="217"/>
        <v>1</v>
      </c>
      <c r="DB1391" s="2">
        <f t="shared" si="215"/>
        <v>0</v>
      </c>
      <c r="DS1391" s="130">
        <f>SI!BY1391</f>
        <v>173</v>
      </c>
      <c r="DZ1391" s="131">
        <f>SI!BZ1391</f>
        <v>0</v>
      </c>
    </row>
    <row r="1392" spans="1:130" hidden="1" x14ac:dyDescent="0.25">
      <c r="A1392" s="141"/>
      <c r="B1392" s="442"/>
      <c r="C1392" s="443"/>
      <c r="D1392" s="443"/>
      <c r="E1392" s="443"/>
      <c r="F1392" s="443"/>
      <c r="G1392" s="443"/>
      <c r="H1392" s="443"/>
      <c r="I1392" s="443"/>
      <c r="J1392" s="443"/>
      <c r="K1392" s="443"/>
      <c r="L1392" s="443"/>
      <c r="M1392" s="443"/>
      <c r="N1392" s="443"/>
      <c r="O1392" s="443"/>
      <c r="P1392" s="443"/>
      <c r="Q1392" s="443"/>
      <c r="R1392" s="443"/>
      <c r="S1392" s="443"/>
      <c r="T1392" s="444"/>
      <c r="U1392" s="546"/>
      <c r="V1392" s="547"/>
      <c r="W1392" s="547"/>
      <c r="X1392" s="547"/>
      <c r="Y1392" s="547"/>
      <c r="Z1392" s="547"/>
      <c r="AA1392" s="547"/>
      <c r="AB1392" s="547"/>
      <c r="AC1392" s="547"/>
      <c r="AD1392" s="547"/>
      <c r="AE1392" s="547"/>
      <c r="AF1392" s="547"/>
      <c r="AG1392" s="547"/>
      <c r="AH1392" s="1904"/>
      <c r="AI1392" s="1905"/>
      <c r="AJ1392" s="1905"/>
      <c r="AK1392" s="1905"/>
      <c r="AL1392" s="1905"/>
      <c r="AM1392" s="1905"/>
      <c r="AN1392" s="1905"/>
      <c r="AO1392" s="1905"/>
      <c r="AP1392" s="1905"/>
      <c r="AQ1392" s="1905"/>
      <c r="AR1392" s="1905"/>
      <c r="AS1392" s="1906"/>
      <c r="AT1392" s="1236"/>
      <c r="AU1392" s="1237"/>
      <c r="AV1392" s="1237"/>
      <c r="AW1392" s="1237"/>
      <c r="AX1392" s="1237"/>
      <c r="AY1392" s="1237"/>
      <c r="AZ1392" s="1237"/>
      <c r="BA1392" s="1237"/>
      <c r="BB1392" s="1237"/>
      <c r="BC1392" s="1237"/>
      <c r="BD1392" s="2067"/>
      <c r="BE1392" s="2068"/>
      <c r="BF1392" s="2068"/>
      <c r="BG1392" s="2068"/>
      <c r="BH1392" s="2068"/>
      <c r="BI1392" s="2068"/>
      <c r="BJ1392" s="2068"/>
      <c r="BK1392" s="2068"/>
      <c r="BL1392" s="2068"/>
      <c r="BM1392" s="2068"/>
      <c r="BN1392" s="2068"/>
      <c r="BO1392" s="2068"/>
      <c r="BP1392" s="2069"/>
      <c r="BQ1392" s="547"/>
      <c r="BR1392" s="547"/>
      <c r="BS1392" s="547"/>
      <c r="BT1392" s="547"/>
      <c r="BU1392" s="547"/>
      <c r="BV1392" s="547"/>
      <c r="BW1392" s="547"/>
      <c r="BX1392" s="547"/>
      <c r="BY1392" s="547"/>
      <c r="BZ1392" s="548"/>
      <c r="CA1392" s="270"/>
      <c r="CB1392" s="3" t="str">
        <f t="shared" si="208"/>
        <v>Riadok bude skrytý.</v>
      </c>
      <c r="CC1392" s="271" t="s">
        <v>832</v>
      </c>
      <c r="CW1392" s="30">
        <f t="shared" si="216"/>
        <v>1</v>
      </c>
      <c r="CX1392" s="30">
        <f t="shared" si="218"/>
        <v>1</v>
      </c>
      <c r="CZ1392" s="30">
        <f t="shared" si="213"/>
        <v>1</v>
      </c>
      <c r="DA1392" s="52">
        <f t="shared" si="217"/>
        <v>1</v>
      </c>
      <c r="DB1392" s="2">
        <f t="shared" si="215"/>
        <v>0</v>
      </c>
      <c r="DS1392" s="130">
        <f>SI!BY1392</f>
        <v>197</v>
      </c>
      <c r="DZ1392" s="131">
        <f>SI!BZ1392</f>
        <v>0</v>
      </c>
    </row>
    <row r="1393" spans="1:130" hidden="1" x14ac:dyDescent="0.25">
      <c r="A1393" s="141"/>
      <c r="B1393" s="524" t="s">
        <v>0</v>
      </c>
      <c r="C1393" s="525"/>
      <c r="D1393" s="525"/>
      <c r="E1393" s="525"/>
      <c r="F1393" s="525"/>
      <c r="G1393" s="525"/>
      <c r="H1393" s="525"/>
      <c r="I1393" s="525"/>
      <c r="J1393" s="525"/>
      <c r="K1393" s="525"/>
      <c r="L1393" s="525"/>
      <c r="M1393" s="525"/>
      <c r="N1393" s="525"/>
      <c r="O1393" s="525"/>
      <c r="P1393" s="525"/>
      <c r="Q1393" s="525"/>
      <c r="R1393" s="525"/>
      <c r="S1393" s="525"/>
      <c r="T1393" s="723"/>
      <c r="U1393" s="524" t="s">
        <v>1</v>
      </c>
      <c r="V1393" s="525"/>
      <c r="W1393" s="525"/>
      <c r="X1393" s="525"/>
      <c r="Y1393" s="525"/>
      <c r="Z1393" s="525"/>
      <c r="AA1393" s="525"/>
      <c r="AB1393" s="525"/>
      <c r="AC1393" s="525"/>
      <c r="AD1393" s="525"/>
      <c r="AE1393" s="525"/>
      <c r="AF1393" s="525"/>
      <c r="AG1393" s="525"/>
      <c r="AH1393" s="524" t="s">
        <v>2</v>
      </c>
      <c r="AI1393" s="525"/>
      <c r="AJ1393" s="525"/>
      <c r="AK1393" s="525"/>
      <c r="AL1393" s="525"/>
      <c r="AM1393" s="525"/>
      <c r="AN1393" s="525"/>
      <c r="AO1393" s="525"/>
      <c r="AP1393" s="525"/>
      <c r="AQ1393" s="525"/>
      <c r="AR1393" s="525"/>
      <c r="AS1393" s="723"/>
      <c r="AT1393" s="524" t="s">
        <v>28</v>
      </c>
      <c r="AU1393" s="525"/>
      <c r="AV1393" s="525"/>
      <c r="AW1393" s="525"/>
      <c r="AX1393" s="525"/>
      <c r="AY1393" s="525"/>
      <c r="AZ1393" s="525"/>
      <c r="BA1393" s="525"/>
      <c r="BB1393" s="525"/>
      <c r="BC1393" s="525"/>
      <c r="BD1393" s="1703" t="s">
        <v>29</v>
      </c>
      <c r="BE1393" s="1704"/>
      <c r="BF1393" s="1704"/>
      <c r="BG1393" s="1704"/>
      <c r="BH1393" s="1704"/>
      <c r="BI1393" s="1704"/>
      <c r="BJ1393" s="1704"/>
      <c r="BK1393" s="1704"/>
      <c r="BL1393" s="1704"/>
      <c r="BM1393" s="1704"/>
      <c r="BN1393" s="1704"/>
      <c r="BO1393" s="1704"/>
      <c r="BP1393" s="1707"/>
      <c r="BQ1393" s="1706" t="s">
        <v>103</v>
      </c>
      <c r="BR1393" s="1704"/>
      <c r="BS1393" s="1704"/>
      <c r="BT1393" s="1704"/>
      <c r="BU1393" s="1704"/>
      <c r="BV1393" s="1704"/>
      <c r="BW1393" s="1704"/>
      <c r="BX1393" s="1704"/>
      <c r="BY1393" s="1704"/>
      <c r="BZ1393" s="1707"/>
      <c r="CA1393" s="270"/>
      <c r="CB1393" s="3" t="str">
        <f t="shared" si="208"/>
        <v>Riadok bude skrytý.</v>
      </c>
      <c r="CC1393" s="271" t="s">
        <v>832</v>
      </c>
      <c r="CD1393" s="4"/>
      <c r="CW1393" s="30">
        <f t="shared" si="216"/>
        <v>1</v>
      </c>
      <c r="CX1393" s="30">
        <f t="shared" si="218"/>
        <v>1</v>
      </c>
      <c r="CZ1393" s="30">
        <f t="shared" si="213"/>
        <v>1</v>
      </c>
      <c r="DA1393" s="52">
        <f t="shared" si="217"/>
        <v>1</v>
      </c>
      <c r="DB1393" s="2">
        <f t="shared" si="215"/>
        <v>0</v>
      </c>
      <c r="DS1393" s="130">
        <f>SI!BY1393</f>
        <v>330</v>
      </c>
      <c r="DZ1393" s="131">
        <f>SI!BZ1393</f>
        <v>0</v>
      </c>
    </row>
    <row r="1394" spans="1:130" hidden="1" x14ac:dyDescent="0.25">
      <c r="A1394" s="141"/>
      <c r="B1394" s="1170" t="s">
        <v>158</v>
      </c>
      <c r="C1394" s="1171"/>
      <c r="D1394" s="1171"/>
      <c r="E1394" s="1171"/>
      <c r="F1394" s="1171"/>
      <c r="G1394" s="1171"/>
      <c r="H1394" s="1171"/>
      <c r="I1394" s="1171"/>
      <c r="J1394" s="1171"/>
      <c r="K1394" s="1171"/>
      <c r="L1394" s="1171"/>
      <c r="M1394" s="1171"/>
      <c r="N1394" s="1171"/>
      <c r="O1394" s="1171"/>
      <c r="P1394" s="1171"/>
      <c r="Q1394" s="1171"/>
      <c r="R1394" s="1171"/>
      <c r="S1394" s="1171"/>
      <c r="T1394" s="1172"/>
      <c r="U1394" s="478"/>
      <c r="V1394" s="479"/>
      <c r="W1394" s="479"/>
      <c r="X1394" s="479"/>
      <c r="Y1394" s="1907"/>
      <c r="Z1394" s="1907"/>
      <c r="AA1394" s="1907"/>
      <c r="AB1394" s="1907"/>
      <c r="AC1394" s="1907"/>
      <c r="AD1394" s="1907"/>
      <c r="AE1394" s="1907"/>
      <c r="AF1394" s="1907"/>
      <c r="AG1394" s="1907"/>
      <c r="AH1394" s="1228"/>
      <c r="AI1394" s="503"/>
      <c r="AJ1394" s="503"/>
      <c r="AK1394" s="503"/>
      <c r="AL1394" s="503"/>
      <c r="AM1394" s="503"/>
      <c r="AN1394" s="503"/>
      <c r="AO1394" s="503"/>
      <c r="AP1394" s="503"/>
      <c r="AQ1394" s="503"/>
      <c r="AR1394" s="503"/>
      <c r="AS1394" s="504"/>
      <c r="AT1394" s="417"/>
      <c r="AU1394" s="418"/>
      <c r="AV1394" s="418"/>
      <c r="AW1394" s="418"/>
      <c r="AX1394" s="418"/>
      <c r="AY1394" s="418"/>
      <c r="AZ1394" s="418"/>
      <c r="BA1394" s="418"/>
      <c r="BB1394" s="418"/>
      <c r="BC1394" s="418"/>
      <c r="BD1394" s="1908"/>
      <c r="BE1394" s="1909"/>
      <c r="BF1394" s="1909"/>
      <c r="BG1394" s="1909"/>
      <c r="BH1394" s="1909"/>
      <c r="BI1394" s="1909"/>
      <c r="BJ1394" s="1909"/>
      <c r="BK1394" s="1909"/>
      <c r="BL1394" s="1909"/>
      <c r="BM1394" s="1909"/>
      <c r="BN1394" s="1909"/>
      <c r="BO1394" s="1909"/>
      <c r="BP1394" s="1910"/>
      <c r="BQ1394" s="1840">
        <f t="shared" ref="BQ1394:BQ1400" si="219">+SUM(U1394:BP1394)</f>
        <v>0</v>
      </c>
      <c r="BR1394" s="1841"/>
      <c r="BS1394" s="1841"/>
      <c r="BT1394" s="1841"/>
      <c r="BU1394" s="1841"/>
      <c r="BV1394" s="1841"/>
      <c r="BW1394" s="1841"/>
      <c r="BX1394" s="1841"/>
      <c r="BY1394" s="1841"/>
      <c r="BZ1394" s="1842"/>
      <c r="CA1394" s="270"/>
      <c r="CB1394" s="3" t="str">
        <f t="shared" si="208"/>
        <v>Riadok bude skrytý.</v>
      </c>
      <c r="CC1394" s="271" t="s">
        <v>832</v>
      </c>
      <c r="CW1394" s="30">
        <f t="shared" si="216"/>
        <v>1</v>
      </c>
      <c r="CX1394" s="30">
        <f t="shared" si="218"/>
        <v>1</v>
      </c>
      <c r="CZ1394" s="30">
        <f t="shared" si="213"/>
        <v>1</v>
      </c>
      <c r="DA1394" s="52">
        <f t="shared" si="217"/>
        <v>1</v>
      </c>
      <c r="DB1394" s="2">
        <f t="shared" si="215"/>
        <v>0</v>
      </c>
      <c r="DS1394" s="130">
        <f>SI!BY1394</f>
        <v>125</v>
      </c>
      <c r="DZ1394" s="131">
        <f>SI!BZ1394</f>
        <v>0</v>
      </c>
    </row>
    <row r="1395" spans="1:130" ht="22.6" hidden="1" customHeight="1" x14ac:dyDescent="0.25">
      <c r="A1395" s="141"/>
      <c r="B1395" s="714" t="s">
        <v>160</v>
      </c>
      <c r="C1395" s="715"/>
      <c r="D1395" s="715"/>
      <c r="E1395" s="715"/>
      <c r="F1395" s="715"/>
      <c r="G1395" s="715"/>
      <c r="H1395" s="715"/>
      <c r="I1395" s="715"/>
      <c r="J1395" s="715"/>
      <c r="K1395" s="715"/>
      <c r="L1395" s="715"/>
      <c r="M1395" s="715"/>
      <c r="N1395" s="715"/>
      <c r="O1395" s="715"/>
      <c r="P1395" s="715"/>
      <c r="Q1395" s="715"/>
      <c r="R1395" s="715"/>
      <c r="S1395" s="715"/>
      <c r="T1395" s="716"/>
      <c r="U1395" s="511"/>
      <c r="V1395" s="482"/>
      <c r="W1395" s="482"/>
      <c r="X1395" s="482"/>
      <c r="Y1395" s="512"/>
      <c r="Z1395" s="512"/>
      <c r="AA1395" s="512"/>
      <c r="AB1395" s="512"/>
      <c r="AC1395" s="512"/>
      <c r="AD1395" s="512"/>
      <c r="AE1395" s="512"/>
      <c r="AF1395" s="512"/>
      <c r="AG1395" s="512"/>
      <c r="AH1395" s="511"/>
      <c r="AI1395" s="482"/>
      <c r="AJ1395" s="482"/>
      <c r="AK1395" s="482"/>
      <c r="AL1395" s="482"/>
      <c r="AM1395" s="482"/>
      <c r="AN1395" s="482"/>
      <c r="AO1395" s="482"/>
      <c r="AP1395" s="482"/>
      <c r="AQ1395" s="482"/>
      <c r="AR1395" s="482"/>
      <c r="AS1395" s="483"/>
      <c r="AT1395" s="511"/>
      <c r="AU1395" s="482"/>
      <c r="AV1395" s="482"/>
      <c r="AW1395" s="482"/>
      <c r="AX1395" s="482"/>
      <c r="AY1395" s="482"/>
      <c r="AZ1395" s="482"/>
      <c r="BA1395" s="482"/>
      <c r="BB1395" s="482"/>
      <c r="BC1395" s="482"/>
      <c r="BD1395" s="363"/>
      <c r="BE1395" s="364"/>
      <c r="BF1395" s="364"/>
      <c r="BG1395" s="364"/>
      <c r="BH1395" s="364"/>
      <c r="BI1395" s="364"/>
      <c r="BJ1395" s="364"/>
      <c r="BK1395" s="364"/>
      <c r="BL1395" s="364"/>
      <c r="BM1395" s="364"/>
      <c r="BN1395" s="364"/>
      <c r="BO1395" s="364"/>
      <c r="BP1395" s="387"/>
      <c r="BQ1395" s="526">
        <f t="shared" si="219"/>
        <v>0</v>
      </c>
      <c r="BR1395" s="527"/>
      <c r="BS1395" s="527"/>
      <c r="BT1395" s="527"/>
      <c r="BU1395" s="527"/>
      <c r="BV1395" s="527"/>
      <c r="BW1395" s="527"/>
      <c r="BX1395" s="527"/>
      <c r="BY1395" s="527"/>
      <c r="BZ1395" s="528"/>
      <c r="CA1395" s="270"/>
      <c r="CB1395" s="3" t="str">
        <f t="shared" ref="CB1395:CB1458" si="220">+IF(DB1395=0,"Riadok bude skrytý.","Riadok bude vidieť.")</f>
        <v>Riadok bude skrytý.</v>
      </c>
      <c r="CC1395" s="271" t="s">
        <v>832</v>
      </c>
      <c r="CW1395" s="30">
        <f t="shared" si="216"/>
        <v>1</v>
      </c>
      <c r="CX1395" s="30">
        <f t="shared" si="218"/>
        <v>1</v>
      </c>
      <c r="CZ1395" s="30">
        <f t="shared" si="213"/>
        <v>1</v>
      </c>
      <c r="DA1395" s="52">
        <f t="shared" si="217"/>
        <v>1</v>
      </c>
      <c r="DB1395" s="2">
        <f t="shared" si="215"/>
        <v>0</v>
      </c>
      <c r="DS1395" s="130">
        <f>SI!BY1395</f>
        <v>915</v>
      </c>
      <c r="DZ1395" s="131">
        <f>SI!BZ1395</f>
        <v>0</v>
      </c>
    </row>
    <row r="1396" spans="1:130" ht="14.95" hidden="1" customHeight="1" x14ac:dyDescent="0.25">
      <c r="A1396" s="141"/>
      <c r="B1396" s="1835" t="s">
        <v>161</v>
      </c>
      <c r="C1396" s="1836"/>
      <c r="D1396" s="1836"/>
      <c r="E1396" s="1836"/>
      <c r="F1396" s="1836"/>
      <c r="G1396" s="1836"/>
      <c r="H1396" s="1836"/>
      <c r="I1396" s="1836"/>
      <c r="J1396" s="1836"/>
      <c r="K1396" s="1836"/>
      <c r="L1396" s="1836"/>
      <c r="M1396" s="1836"/>
      <c r="N1396" s="1836"/>
      <c r="O1396" s="1836"/>
      <c r="P1396" s="1836"/>
      <c r="Q1396" s="1836"/>
      <c r="R1396" s="1836"/>
      <c r="S1396" s="1836"/>
      <c r="T1396" s="1837"/>
      <c r="U1396" s="511"/>
      <c r="V1396" s="482"/>
      <c r="W1396" s="482"/>
      <c r="X1396" s="482"/>
      <c r="Y1396" s="512"/>
      <c r="Z1396" s="512"/>
      <c r="AA1396" s="512"/>
      <c r="AB1396" s="512"/>
      <c r="AC1396" s="512"/>
      <c r="AD1396" s="512"/>
      <c r="AE1396" s="512"/>
      <c r="AF1396" s="512"/>
      <c r="AG1396" s="512"/>
      <c r="AH1396" s="511"/>
      <c r="AI1396" s="482"/>
      <c r="AJ1396" s="482"/>
      <c r="AK1396" s="482"/>
      <c r="AL1396" s="482"/>
      <c r="AM1396" s="482"/>
      <c r="AN1396" s="482"/>
      <c r="AO1396" s="482"/>
      <c r="AP1396" s="482"/>
      <c r="AQ1396" s="482"/>
      <c r="AR1396" s="482"/>
      <c r="AS1396" s="483"/>
      <c r="AT1396" s="511"/>
      <c r="AU1396" s="482"/>
      <c r="AV1396" s="482"/>
      <c r="AW1396" s="482"/>
      <c r="AX1396" s="482"/>
      <c r="AY1396" s="482"/>
      <c r="AZ1396" s="482"/>
      <c r="BA1396" s="482"/>
      <c r="BB1396" s="482"/>
      <c r="BC1396" s="482"/>
      <c r="BD1396" s="363"/>
      <c r="BE1396" s="364"/>
      <c r="BF1396" s="364"/>
      <c r="BG1396" s="364"/>
      <c r="BH1396" s="364"/>
      <c r="BI1396" s="364"/>
      <c r="BJ1396" s="364"/>
      <c r="BK1396" s="364"/>
      <c r="BL1396" s="364"/>
      <c r="BM1396" s="364"/>
      <c r="BN1396" s="364"/>
      <c r="BO1396" s="364"/>
      <c r="BP1396" s="387"/>
      <c r="BQ1396" s="526">
        <f t="shared" si="219"/>
        <v>0</v>
      </c>
      <c r="BR1396" s="527"/>
      <c r="BS1396" s="527"/>
      <c r="BT1396" s="527"/>
      <c r="BU1396" s="527"/>
      <c r="BV1396" s="527"/>
      <c r="BW1396" s="527"/>
      <c r="BX1396" s="527"/>
      <c r="BY1396" s="527"/>
      <c r="BZ1396" s="528"/>
      <c r="CA1396" s="270"/>
      <c r="CB1396" s="3" t="str">
        <f t="shared" si="220"/>
        <v>Riadok bude skrytý.</v>
      </c>
      <c r="CC1396" s="271" t="s">
        <v>832</v>
      </c>
      <c r="CW1396" s="30">
        <f t="shared" si="216"/>
        <v>1</v>
      </c>
      <c r="CX1396" s="30">
        <f t="shared" si="218"/>
        <v>1</v>
      </c>
      <c r="CZ1396" s="30">
        <f t="shared" si="213"/>
        <v>1</v>
      </c>
      <c r="DA1396" s="52">
        <f t="shared" si="217"/>
        <v>1</v>
      </c>
      <c r="DB1396" s="2">
        <f t="shared" si="215"/>
        <v>0</v>
      </c>
      <c r="DS1396" s="130">
        <f>SI!BY1396</f>
        <v>130</v>
      </c>
      <c r="DZ1396" s="131">
        <f>SI!BZ1396</f>
        <v>0</v>
      </c>
    </row>
    <row r="1397" spans="1:130" ht="14.95" hidden="1" customHeight="1" x14ac:dyDescent="0.25">
      <c r="A1397" s="141"/>
      <c r="B1397" s="1835" t="s">
        <v>162</v>
      </c>
      <c r="C1397" s="1836"/>
      <c r="D1397" s="1836"/>
      <c r="E1397" s="1836"/>
      <c r="F1397" s="1836"/>
      <c r="G1397" s="1836"/>
      <c r="H1397" s="1836"/>
      <c r="I1397" s="1836"/>
      <c r="J1397" s="1836"/>
      <c r="K1397" s="1836"/>
      <c r="L1397" s="1836"/>
      <c r="M1397" s="1836"/>
      <c r="N1397" s="1836"/>
      <c r="O1397" s="1836"/>
      <c r="P1397" s="1836"/>
      <c r="Q1397" s="1836"/>
      <c r="R1397" s="1836"/>
      <c r="S1397" s="1836"/>
      <c r="T1397" s="1837"/>
      <c r="U1397" s="511"/>
      <c r="V1397" s="482"/>
      <c r="W1397" s="482"/>
      <c r="X1397" s="482"/>
      <c r="Y1397" s="512"/>
      <c r="Z1397" s="512"/>
      <c r="AA1397" s="512"/>
      <c r="AB1397" s="512"/>
      <c r="AC1397" s="512"/>
      <c r="AD1397" s="512"/>
      <c r="AE1397" s="512"/>
      <c r="AF1397" s="512"/>
      <c r="AG1397" s="512"/>
      <c r="AH1397" s="511"/>
      <c r="AI1397" s="482"/>
      <c r="AJ1397" s="482"/>
      <c r="AK1397" s="482"/>
      <c r="AL1397" s="482"/>
      <c r="AM1397" s="482"/>
      <c r="AN1397" s="482"/>
      <c r="AO1397" s="482"/>
      <c r="AP1397" s="482"/>
      <c r="AQ1397" s="482"/>
      <c r="AR1397" s="482"/>
      <c r="AS1397" s="483"/>
      <c r="AT1397" s="511"/>
      <c r="AU1397" s="482"/>
      <c r="AV1397" s="482"/>
      <c r="AW1397" s="482"/>
      <c r="AX1397" s="482"/>
      <c r="AY1397" s="482"/>
      <c r="AZ1397" s="482"/>
      <c r="BA1397" s="482"/>
      <c r="BB1397" s="482"/>
      <c r="BC1397" s="482"/>
      <c r="BD1397" s="363"/>
      <c r="BE1397" s="364"/>
      <c r="BF1397" s="364"/>
      <c r="BG1397" s="364"/>
      <c r="BH1397" s="364"/>
      <c r="BI1397" s="364"/>
      <c r="BJ1397" s="364"/>
      <c r="BK1397" s="364"/>
      <c r="BL1397" s="364"/>
      <c r="BM1397" s="364"/>
      <c r="BN1397" s="364"/>
      <c r="BO1397" s="364"/>
      <c r="BP1397" s="387"/>
      <c r="BQ1397" s="526">
        <f t="shared" si="219"/>
        <v>0</v>
      </c>
      <c r="BR1397" s="527"/>
      <c r="BS1397" s="527"/>
      <c r="BT1397" s="527"/>
      <c r="BU1397" s="527"/>
      <c r="BV1397" s="527"/>
      <c r="BW1397" s="527"/>
      <c r="BX1397" s="527"/>
      <c r="BY1397" s="527"/>
      <c r="BZ1397" s="528"/>
      <c r="CA1397" s="270"/>
      <c r="CB1397" s="3" t="str">
        <f t="shared" si="220"/>
        <v>Riadok bude skrytý.</v>
      </c>
      <c r="CC1397" s="271" t="s">
        <v>832</v>
      </c>
      <c r="CW1397" s="30">
        <f t="shared" si="216"/>
        <v>1</v>
      </c>
      <c r="CX1397" s="30">
        <f t="shared" si="218"/>
        <v>1</v>
      </c>
      <c r="CZ1397" s="30">
        <f t="shared" si="213"/>
        <v>1</v>
      </c>
      <c r="DA1397" s="52">
        <f t="shared" si="217"/>
        <v>1</v>
      </c>
      <c r="DB1397" s="2">
        <f t="shared" si="215"/>
        <v>0</v>
      </c>
      <c r="DS1397" s="130">
        <f>SI!BY1397</f>
        <v>633</v>
      </c>
      <c r="DZ1397" s="131">
        <f>SI!BZ1397</f>
        <v>0</v>
      </c>
    </row>
    <row r="1398" spans="1:130" ht="14.95" hidden="1" customHeight="1" x14ac:dyDescent="0.25">
      <c r="A1398" s="141"/>
      <c r="B1398" s="1835" t="s">
        <v>163</v>
      </c>
      <c r="C1398" s="1836"/>
      <c r="D1398" s="1836"/>
      <c r="E1398" s="1836"/>
      <c r="F1398" s="1836"/>
      <c r="G1398" s="1836"/>
      <c r="H1398" s="1836"/>
      <c r="I1398" s="1836"/>
      <c r="J1398" s="1836"/>
      <c r="K1398" s="1836"/>
      <c r="L1398" s="1836"/>
      <c r="M1398" s="1836"/>
      <c r="N1398" s="1836"/>
      <c r="O1398" s="1836"/>
      <c r="P1398" s="1836"/>
      <c r="Q1398" s="1836"/>
      <c r="R1398" s="1836"/>
      <c r="S1398" s="1836"/>
      <c r="T1398" s="1837"/>
      <c r="U1398" s="511"/>
      <c r="V1398" s="482"/>
      <c r="W1398" s="482"/>
      <c r="X1398" s="482"/>
      <c r="Y1398" s="512"/>
      <c r="Z1398" s="512"/>
      <c r="AA1398" s="512"/>
      <c r="AB1398" s="512"/>
      <c r="AC1398" s="512"/>
      <c r="AD1398" s="512"/>
      <c r="AE1398" s="512"/>
      <c r="AF1398" s="512"/>
      <c r="AG1398" s="512"/>
      <c r="AH1398" s="511"/>
      <c r="AI1398" s="482"/>
      <c r="AJ1398" s="482"/>
      <c r="AK1398" s="482"/>
      <c r="AL1398" s="482"/>
      <c r="AM1398" s="482"/>
      <c r="AN1398" s="482"/>
      <c r="AO1398" s="482"/>
      <c r="AP1398" s="482"/>
      <c r="AQ1398" s="482"/>
      <c r="AR1398" s="482"/>
      <c r="AS1398" s="483"/>
      <c r="AT1398" s="511"/>
      <c r="AU1398" s="482"/>
      <c r="AV1398" s="482"/>
      <c r="AW1398" s="482"/>
      <c r="AX1398" s="482"/>
      <c r="AY1398" s="482"/>
      <c r="AZ1398" s="482"/>
      <c r="BA1398" s="482"/>
      <c r="BB1398" s="482"/>
      <c r="BC1398" s="482"/>
      <c r="BD1398" s="363"/>
      <c r="BE1398" s="364"/>
      <c r="BF1398" s="364"/>
      <c r="BG1398" s="364"/>
      <c r="BH1398" s="364"/>
      <c r="BI1398" s="364"/>
      <c r="BJ1398" s="364"/>
      <c r="BK1398" s="364"/>
      <c r="BL1398" s="364"/>
      <c r="BM1398" s="364"/>
      <c r="BN1398" s="364"/>
      <c r="BO1398" s="364"/>
      <c r="BP1398" s="387"/>
      <c r="BQ1398" s="526">
        <f t="shared" si="219"/>
        <v>0</v>
      </c>
      <c r="BR1398" s="527"/>
      <c r="BS1398" s="527"/>
      <c r="BT1398" s="527"/>
      <c r="BU1398" s="527"/>
      <c r="BV1398" s="527"/>
      <c r="BW1398" s="527"/>
      <c r="BX1398" s="527"/>
      <c r="BY1398" s="527"/>
      <c r="BZ1398" s="528"/>
      <c r="CA1398" s="270"/>
      <c r="CB1398" s="3" t="str">
        <f t="shared" si="220"/>
        <v>Riadok bude skrytý.</v>
      </c>
      <c r="CC1398" s="271" t="s">
        <v>832</v>
      </c>
      <c r="CW1398" s="30">
        <f t="shared" si="216"/>
        <v>1</v>
      </c>
      <c r="CX1398" s="30">
        <f t="shared" si="218"/>
        <v>1</v>
      </c>
      <c r="CZ1398" s="30">
        <f t="shared" si="213"/>
        <v>1</v>
      </c>
      <c r="DA1398" s="52">
        <f t="shared" si="217"/>
        <v>1</v>
      </c>
      <c r="DB1398" s="2">
        <f t="shared" si="215"/>
        <v>0</v>
      </c>
      <c r="DS1398" s="130">
        <f>SI!BY1398</f>
        <v>184</v>
      </c>
      <c r="DZ1398" s="131">
        <f>SI!BZ1398</f>
        <v>0</v>
      </c>
    </row>
    <row r="1399" spans="1:130" ht="14.95" hidden="1" customHeight="1" x14ac:dyDescent="0.25">
      <c r="A1399" s="141"/>
      <c r="B1399" s="1835" t="s">
        <v>164</v>
      </c>
      <c r="C1399" s="1836"/>
      <c r="D1399" s="1836"/>
      <c r="E1399" s="1836"/>
      <c r="F1399" s="1836"/>
      <c r="G1399" s="1836"/>
      <c r="H1399" s="1836"/>
      <c r="I1399" s="1836"/>
      <c r="J1399" s="1836"/>
      <c r="K1399" s="1836"/>
      <c r="L1399" s="1836"/>
      <c r="M1399" s="1836"/>
      <c r="N1399" s="1836"/>
      <c r="O1399" s="1836"/>
      <c r="P1399" s="1836"/>
      <c r="Q1399" s="1836"/>
      <c r="R1399" s="1836"/>
      <c r="S1399" s="1836"/>
      <c r="T1399" s="1837"/>
      <c r="U1399" s="511"/>
      <c r="V1399" s="482"/>
      <c r="W1399" s="482"/>
      <c r="X1399" s="482"/>
      <c r="Y1399" s="512"/>
      <c r="Z1399" s="512"/>
      <c r="AA1399" s="512"/>
      <c r="AB1399" s="512"/>
      <c r="AC1399" s="512"/>
      <c r="AD1399" s="512"/>
      <c r="AE1399" s="512"/>
      <c r="AF1399" s="512"/>
      <c r="AG1399" s="512"/>
      <c r="AH1399" s="511"/>
      <c r="AI1399" s="482"/>
      <c r="AJ1399" s="482"/>
      <c r="AK1399" s="482"/>
      <c r="AL1399" s="482"/>
      <c r="AM1399" s="482"/>
      <c r="AN1399" s="482"/>
      <c r="AO1399" s="482"/>
      <c r="AP1399" s="482"/>
      <c r="AQ1399" s="482"/>
      <c r="AR1399" s="482"/>
      <c r="AS1399" s="483"/>
      <c r="AT1399" s="511"/>
      <c r="AU1399" s="482"/>
      <c r="AV1399" s="482"/>
      <c r="AW1399" s="482"/>
      <c r="AX1399" s="482"/>
      <c r="AY1399" s="482"/>
      <c r="AZ1399" s="482"/>
      <c r="BA1399" s="482"/>
      <c r="BB1399" s="482"/>
      <c r="BC1399" s="482"/>
      <c r="BD1399" s="363"/>
      <c r="BE1399" s="364"/>
      <c r="BF1399" s="364"/>
      <c r="BG1399" s="364"/>
      <c r="BH1399" s="364"/>
      <c r="BI1399" s="364"/>
      <c r="BJ1399" s="364"/>
      <c r="BK1399" s="364"/>
      <c r="BL1399" s="364"/>
      <c r="BM1399" s="364"/>
      <c r="BN1399" s="364"/>
      <c r="BO1399" s="364"/>
      <c r="BP1399" s="387"/>
      <c r="BQ1399" s="526">
        <f t="shared" si="219"/>
        <v>0</v>
      </c>
      <c r="BR1399" s="527"/>
      <c r="BS1399" s="527"/>
      <c r="BT1399" s="527"/>
      <c r="BU1399" s="527"/>
      <c r="BV1399" s="527"/>
      <c r="BW1399" s="527"/>
      <c r="BX1399" s="527"/>
      <c r="BY1399" s="527"/>
      <c r="BZ1399" s="528"/>
      <c r="CA1399" s="270"/>
      <c r="CB1399" s="3" t="str">
        <f t="shared" si="220"/>
        <v>Riadok bude skrytý.</v>
      </c>
      <c r="CC1399" s="271" t="s">
        <v>832</v>
      </c>
      <c r="CW1399" s="30">
        <f t="shared" si="216"/>
        <v>1</v>
      </c>
      <c r="CX1399" s="30">
        <f t="shared" si="218"/>
        <v>1</v>
      </c>
      <c r="CZ1399" s="30">
        <f t="shared" si="213"/>
        <v>1</v>
      </c>
      <c r="DA1399" s="52">
        <f t="shared" si="217"/>
        <v>1</v>
      </c>
      <c r="DB1399" s="2">
        <f t="shared" si="215"/>
        <v>0</v>
      </c>
      <c r="DS1399" s="130">
        <f>SI!BY1399</f>
        <v>208</v>
      </c>
      <c r="DZ1399" s="131">
        <f>SI!BZ1399</f>
        <v>0</v>
      </c>
    </row>
    <row r="1400" spans="1:130" ht="14.95" hidden="1" customHeight="1" x14ac:dyDescent="0.25">
      <c r="A1400" s="141"/>
      <c r="B1400" s="714" t="s">
        <v>165</v>
      </c>
      <c r="C1400" s="715"/>
      <c r="D1400" s="715"/>
      <c r="E1400" s="715"/>
      <c r="F1400" s="715"/>
      <c r="G1400" s="715"/>
      <c r="H1400" s="715"/>
      <c r="I1400" s="715"/>
      <c r="J1400" s="715"/>
      <c r="K1400" s="715"/>
      <c r="L1400" s="715"/>
      <c r="M1400" s="715"/>
      <c r="N1400" s="715"/>
      <c r="O1400" s="715"/>
      <c r="P1400" s="715"/>
      <c r="Q1400" s="715"/>
      <c r="R1400" s="715"/>
      <c r="S1400" s="715"/>
      <c r="T1400" s="716"/>
      <c r="U1400" s="770"/>
      <c r="V1400" s="771"/>
      <c r="W1400" s="771"/>
      <c r="X1400" s="771"/>
      <c r="Y1400" s="1478"/>
      <c r="Z1400" s="1478"/>
      <c r="AA1400" s="1478"/>
      <c r="AB1400" s="1478"/>
      <c r="AC1400" s="1478"/>
      <c r="AD1400" s="1478"/>
      <c r="AE1400" s="1478"/>
      <c r="AF1400" s="1478"/>
      <c r="AG1400" s="1478"/>
      <c r="AH1400" s="420"/>
      <c r="AI1400" s="421"/>
      <c r="AJ1400" s="421"/>
      <c r="AK1400" s="421"/>
      <c r="AL1400" s="421"/>
      <c r="AM1400" s="421"/>
      <c r="AN1400" s="421"/>
      <c r="AO1400" s="421"/>
      <c r="AP1400" s="421"/>
      <c r="AQ1400" s="421"/>
      <c r="AR1400" s="421"/>
      <c r="AS1400" s="422"/>
      <c r="AT1400" s="420"/>
      <c r="AU1400" s="421"/>
      <c r="AV1400" s="421"/>
      <c r="AW1400" s="421"/>
      <c r="AX1400" s="421"/>
      <c r="AY1400" s="421"/>
      <c r="AZ1400" s="421"/>
      <c r="BA1400" s="421"/>
      <c r="BB1400" s="421"/>
      <c r="BC1400" s="421"/>
      <c r="BD1400" s="459"/>
      <c r="BE1400" s="461"/>
      <c r="BF1400" s="461"/>
      <c r="BG1400" s="461"/>
      <c r="BH1400" s="461"/>
      <c r="BI1400" s="461"/>
      <c r="BJ1400" s="461"/>
      <c r="BK1400" s="461"/>
      <c r="BL1400" s="461"/>
      <c r="BM1400" s="461"/>
      <c r="BN1400" s="461"/>
      <c r="BO1400" s="461"/>
      <c r="BP1400" s="1610"/>
      <c r="BQ1400" s="526">
        <f t="shared" si="219"/>
        <v>0</v>
      </c>
      <c r="BR1400" s="527"/>
      <c r="BS1400" s="527"/>
      <c r="BT1400" s="527"/>
      <c r="BU1400" s="527"/>
      <c r="BV1400" s="527"/>
      <c r="BW1400" s="527"/>
      <c r="BX1400" s="527"/>
      <c r="BY1400" s="527"/>
      <c r="BZ1400" s="528"/>
      <c r="CA1400" s="270"/>
      <c r="CB1400" s="3" t="str">
        <f t="shared" si="220"/>
        <v>Riadok bude skrytý.</v>
      </c>
      <c r="CC1400" s="271" t="s">
        <v>832</v>
      </c>
      <c r="CW1400" s="30">
        <f t="shared" si="216"/>
        <v>1</v>
      </c>
      <c r="CX1400" s="30">
        <f t="shared" si="218"/>
        <v>1</v>
      </c>
      <c r="CZ1400" s="30">
        <f t="shared" si="213"/>
        <v>1</v>
      </c>
      <c r="DA1400" s="52">
        <f t="shared" si="217"/>
        <v>1</v>
      </c>
      <c r="DB1400" s="2">
        <f t="shared" si="215"/>
        <v>0</v>
      </c>
      <c r="DS1400" s="130">
        <f>SI!BY1400</f>
        <v>135</v>
      </c>
      <c r="DZ1400" s="131">
        <f>SI!BZ1400</f>
        <v>0</v>
      </c>
    </row>
    <row r="1401" spans="1:130" hidden="1" x14ac:dyDescent="0.25">
      <c r="A1401" s="141"/>
      <c r="B1401" s="1708" t="s">
        <v>166</v>
      </c>
      <c r="C1401" s="1709"/>
      <c r="D1401" s="1709"/>
      <c r="E1401" s="1709"/>
      <c r="F1401" s="1709"/>
      <c r="G1401" s="1709"/>
      <c r="H1401" s="1709"/>
      <c r="I1401" s="1709"/>
      <c r="J1401" s="1709"/>
      <c r="K1401" s="1709"/>
      <c r="L1401" s="1709"/>
      <c r="M1401" s="1709"/>
      <c r="N1401" s="1709"/>
      <c r="O1401" s="1709"/>
      <c r="P1401" s="1709"/>
      <c r="Q1401" s="1709"/>
      <c r="R1401" s="1709"/>
      <c r="S1401" s="1709"/>
      <c r="T1401" s="1710"/>
      <c r="U1401" s="423">
        <f>+SUM(U1394:AG1400)</f>
        <v>0</v>
      </c>
      <c r="V1401" s="424"/>
      <c r="W1401" s="424"/>
      <c r="X1401" s="424"/>
      <c r="Y1401" s="490"/>
      <c r="Z1401" s="490"/>
      <c r="AA1401" s="490"/>
      <c r="AB1401" s="490"/>
      <c r="AC1401" s="490"/>
      <c r="AD1401" s="490"/>
      <c r="AE1401" s="490"/>
      <c r="AF1401" s="490"/>
      <c r="AG1401" s="490"/>
      <c r="AH1401" s="423">
        <f>+SUM(AH1394:AS1400)</f>
        <v>0</v>
      </c>
      <c r="AI1401" s="424"/>
      <c r="AJ1401" s="424"/>
      <c r="AK1401" s="424"/>
      <c r="AL1401" s="424"/>
      <c r="AM1401" s="424"/>
      <c r="AN1401" s="424"/>
      <c r="AO1401" s="424"/>
      <c r="AP1401" s="424"/>
      <c r="AQ1401" s="424"/>
      <c r="AR1401" s="424"/>
      <c r="AS1401" s="425"/>
      <c r="AT1401" s="423">
        <f>+SUM(AT1394:BC1400)</f>
        <v>0</v>
      </c>
      <c r="AU1401" s="424"/>
      <c r="AV1401" s="424"/>
      <c r="AW1401" s="424"/>
      <c r="AX1401" s="424"/>
      <c r="AY1401" s="424"/>
      <c r="AZ1401" s="424"/>
      <c r="BA1401" s="424"/>
      <c r="BB1401" s="424"/>
      <c r="BC1401" s="424"/>
      <c r="BD1401" s="411">
        <f>+SUM(BD1394:BP1400)</f>
        <v>0</v>
      </c>
      <c r="BE1401" s="412"/>
      <c r="BF1401" s="412"/>
      <c r="BG1401" s="412"/>
      <c r="BH1401" s="412"/>
      <c r="BI1401" s="412"/>
      <c r="BJ1401" s="412"/>
      <c r="BK1401" s="412"/>
      <c r="BL1401" s="412"/>
      <c r="BM1401" s="412"/>
      <c r="BN1401" s="412"/>
      <c r="BO1401" s="412"/>
      <c r="BP1401" s="413"/>
      <c r="BQ1401" s="476">
        <f>+SUM(BQ1394:BZ1400)</f>
        <v>0</v>
      </c>
      <c r="BR1401" s="412"/>
      <c r="BS1401" s="412"/>
      <c r="BT1401" s="412"/>
      <c r="BU1401" s="412"/>
      <c r="BV1401" s="412"/>
      <c r="BW1401" s="412"/>
      <c r="BX1401" s="412"/>
      <c r="BY1401" s="412"/>
      <c r="BZ1401" s="413"/>
      <c r="CA1401" s="270"/>
      <c r="CB1401" s="3" t="str">
        <f t="shared" si="220"/>
        <v>Riadok bude skrytý.</v>
      </c>
      <c r="CC1401" s="271" t="s">
        <v>832</v>
      </c>
      <c r="CW1401" s="30">
        <f t="shared" si="216"/>
        <v>1</v>
      </c>
      <c r="CX1401" s="30">
        <f t="shared" si="218"/>
        <v>1</v>
      </c>
      <c r="CZ1401" s="30">
        <f t="shared" si="213"/>
        <v>1</v>
      </c>
      <c r="DA1401" s="52">
        <f t="shared" si="217"/>
        <v>1</v>
      </c>
      <c r="DB1401" s="2">
        <f t="shared" si="215"/>
        <v>0</v>
      </c>
      <c r="DS1401" s="130">
        <f>SI!BY1401</f>
        <v>179</v>
      </c>
      <c r="DZ1401" s="131">
        <f>SI!BZ1401</f>
        <v>0</v>
      </c>
    </row>
    <row r="1402" spans="1:130" hidden="1" x14ac:dyDescent="0.25">
      <c r="A1402" s="141"/>
      <c r="CA1402" s="270"/>
      <c r="CB1402" s="3" t="str">
        <f t="shared" si="220"/>
        <v>Riadok bude skrytý.</v>
      </c>
      <c r="CC1402" s="271" t="s">
        <v>832</v>
      </c>
      <c r="CW1402" s="30">
        <f t="shared" si="216"/>
        <v>1</v>
      </c>
      <c r="CZ1402" s="30">
        <f t="shared" si="213"/>
        <v>1</v>
      </c>
      <c r="DA1402" s="30">
        <f>+IF(CW1402+CX1402+CY1402=0,0,IF(CZ1402=0,0,1))</f>
        <v>1</v>
      </c>
      <c r="DB1402" s="2">
        <f t="shared" si="215"/>
        <v>0</v>
      </c>
      <c r="DS1402" s="130">
        <f>SI!BY1402</f>
        <v>143</v>
      </c>
      <c r="DZ1402" s="131">
        <f>SI!BZ1402</f>
        <v>0</v>
      </c>
    </row>
    <row r="1403" spans="1:130" hidden="1" x14ac:dyDescent="0.25">
      <c r="A1403" s="141"/>
      <c r="B1403" s="66" t="s">
        <v>96</v>
      </c>
      <c r="C1403" s="66"/>
      <c r="D1403" s="66"/>
      <c r="E1403" s="66"/>
      <c r="F1403" s="66"/>
      <c r="G1403" s="66"/>
      <c r="H1403" s="66"/>
      <c r="I1403" s="66"/>
      <c r="J1403" s="385" t="s">
        <v>97</v>
      </c>
      <c r="K1403" s="385"/>
      <c r="L1403" s="385"/>
      <c r="M1403" s="385"/>
      <c r="N1403" s="385"/>
      <c r="O1403" s="137" t="s">
        <v>733</v>
      </c>
      <c r="P1403" s="38"/>
      <c r="S1403" s="14"/>
      <c r="T1403" s="14"/>
      <c r="U1403" s="14"/>
      <c r="V1403" s="14"/>
      <c r="W1403" s="14"/>
      <c r="X1403" s="66"/>
      <c r="Y1403" s="66"/>
      <c r="Z1403" s="66"/>
      <c r="AA1403" s="66"/>
      <c r="AB1403" s="66"/>
      <c r="AC1403" s="66"/>
      <c r="AD1403" s="66"/>
      <c r="AE1403" s="66"/>
      <c r="AF1403" s="66"/>
      <c r="AG1403" s="66"/>
      <c r="AH1403" s="66"/>
      <c r="AI1403" s="66"/>
      <c r="AJ1403" s="66"/>
      <c r="AK1403" s="66"/>
      <c r="AL1403" s="66"/>
      <c r="AM1403" s="66"/>
      <c r="AN1403" s="66"/>
      <c r="AO1403" s="66"/>
      <c r="AP1403" s="66"/>
      <c r="AQ1403" s="66"/>
      <c r="AR1403" s="66"/>
      <c r="AS1403" s="66"/>
      <c r="AT1403" s="66"/>
      <c r="AU1403" s="66"/>
      <c r="AV1403" s="66"/>
      <c r="AW1403" s="66"/>
      <c r="AX1403" s="66"/>
      <c r="AY1403" s="66"/>
      <c r="AZ1403" s="66"/>
      <c r="BA1403" s="66"/>
      <c r="BB1403" s="66"/>
      <c r="BC1403" s="66"/>
      <c r="BD1403" s="66"/>
      <c r="BE1403" s="66"/>
      <c r="BF1403" s="66"/>
      <c r="BG1403" s="66"/>
      <c r="BH1403" s="66"/>
      <c r="BI1403" s="66"/>
      <c r="BJ1403" s="66"/>
      <c r="BK1403" s="66"/>
      <c r="BL1403" s="66"/>
      <c r="BM1403" s="66"/>
      <c r="BN1403" s="66"/>
      <c r="BO1403" s="66"/>
      <c r="BP1403" s="66"/>
      <c r="BQ1403" s="66"/>
      <c r="BR1403" s="66"/>
      <c r="BS1403" s="14"/>
      <c r="BT1403" s="14"/>
      <c r="BU1403" s="14"/>
      <c r="BV1403" s="14"/>
      <c r="BW1403" s="14"/>
      <c r="BX1403" s="14"/>
      <c r="BY1403" s="14"/>
      <c r="BZ1403" s="14"/>
      <c r="CA1403" s="265" t="s">
        <v>773</v>
      </c>
      <c r="CB1403" s="3" t="str">
        <f t="shared" si="220"/>
        <v>Riadok bude skrytý.</v>
      </c>
      <c r="CC1403" s="271" t="s">
        <v>832</v>
      </c>
      <c r="CF1403" s="13"/>
      <c r="CW1403" s="30">
        <f t="shared" si="216"/>
        <v>1</v>
      </c>
      <c r="CX1403" s="30">
        <f>+IF($J$1403="nemá",1,1)</f>
        <v>1</v>
      </c>
      <c r="CY1403" s="43"/>
      <c r="CZ1403" s="30">
        <f t="shared" si="213"/>
        <v>1</v>
      </c>
      <c r="DA1403" s="52">
        <f t="shared" si="217"/>
        <v>1</v>
      </c>
      <c r="DB1403" s="2">
        <f t="shared" si="215"/>
        <v>0</v>
      </c>
      <c r="DS1403" s="130">
        <f>SI!BY1403</f>
        <v>144</v>
      </c>
      <c r="DZ1403" s="131">
        <f>SI!BZ1403</f>
        <v>0</v>
      </c>
    </row>
    <row r="1404" spans="1:130" hidden="1" x14ac:dyDescent="0.25">
      <c r="A1404" s="141"/>
      <c r="B1404" s="14" t="str">
        <f>+IF(J1403="má","Hodnota zásob ku ktorým je zriadené záložné právo alebo obmedzenie je uvedená v tabuľke:","")</f>
        <v>Hodnota zásob ku ktorým je zriadené záložné právo alebo obmedzenie je uvedená v tabuľke:</v>
      </c>
      <c r="C1404" s="14"/>
      <c r="D1404" s="14"/>
      <c r="E1404" s="14"/>
      <c r="F1404" s="14"/>
      <c r="G1404" s="14"/>
      <c r="H1404" s="14"/>
      <c r="I1404" s="14"/>
      <c r="J1404" s="14"/>
      <c r="K1404" s="14"/>
      <c r="L1404" s="14"/>
      <c r="M1404" s="14"/>
      <c r="N1404" s="14"/>
      <c r="O1404" s="14"/>
      <c r="P1404" s="14"/>
      <c r="Q1404" s="14"/>
      <c r="R1404" s="14"/>
      <c r="S1404" s="14"/>
      <c r="T1404" s="14"/>
      <c r="U1404" s="14"/>
      <c r="V1404" s="14"/>
      <c r="W1404" s="14"/>
      <c r="X1404" s="14"/>
      <c r="Y1404" s="14"/>
      <c r="Z1404" s="14"/>
      <c r="AA1404" s="14"/>
      <c r="AB1404" s="14"/>
      <c r="AC1404" s="14"/>
      <c r="AD1404" s="14"/>
      <c r="AE1404" s="14"/>
      <c r="AF1404" s="14"/>
      <c r="AG1404" s="14"/>
      <c r="AH1404" s="14"/>
      <c r="AI1404" s="14"/>
      <c r="AJ1404" s="14"/>
      <c r="AK1404" s="14"/>
      <c r="AL1404" s="14"/>
      <c r="AM1404" s="14"/>
      <c r="AN1404" s="14"/>
      <c r="AO1404" s="14"/>
      <c r="AP1404" s="14"/>
      <c r="AQ1404" s="14"/>
      <c r="AR1404" s="14"/>
      <c r="AS1404" s="14"/>
      <c r="AT1404" s="14"/>
      <c r="AU1404" s="14"/>
      <c r="AV1404" s="14"/>
      <c r="AW1404" s="14"/>
      <c r="AX1404" s="14"/>
      <c r="AY1404" s="14"/>
      <c r="AZ1404" s="14"/>
      <c r="BA1404" s="14"/>
      <c r="BB1404" s="14"/>
      <c r="BC1404" s="14"/>
      <c r="BD1404" s="14"/>
      <c r="BE1404" s="14"/>
      <c r="BF1404" s="14"/>
      <c r="BG1404" s="14"/>
      <c r="BH1404" s="14"/>
      <c r="BI1404" s="14"/>
      <c r="BJ1404" s="14"/>
      <c r="BK1404" s="14"/>
      <c r="BL1404" s="14"/>
      <c r="BM1404" s="14"/>
      <c r="BN1404" s="14"/>
      <c r="BO1404" s="14"/>
      <c r="BP1404" s="14"/>
      <c r="BQ1404" s="14"/>
      <c r="BR1404" s="14"/>
      <c r="BS1404" s="14"/>
      <c r="BT1404" s="14"/>
      <c r="BU1404" s="14"/>
      <c r="BV1404" s="14"/>
      <c r="BW1404" s="14"/>
      <c r="BX1404" s="14"/>
      <c r="BY1404" s="14"/>
      <c r="BZ1404" s="14"/>
      <c r="CA1404" s="270"/>
      <c r="CB1404" s="3" t="str">
        <f t="shared" si="220"/>
        <v>Riadok bude skrytý.</v>
      </c>
      <c r="CC1404" s="271" t="s">
        <v>832</v>
      </c>
      <c r="CF1404" s="13"/>
      <c r="CW1404" s="30">
        <f t="shared" si="216"/>
        <v>1</v>
      </c>
      <c r="CX1404" s="30">
        <f>+IF($J$1403="nemá",0,1)</f>
        <v>1</v>
      </c>
      <c r="CY1404" s="43"/>
      <c r="CZ1404" s="30">
        <f t="shared" si="213"/>
        <v>1</v>
      </c>
      <c r="DA1404" s="52">
        <f t="shared" si="217"/>
        <v>1</v>
      </c>
      <c r="DB1404" s="2">
        <f t="shared" si="215"/>
        <v>0</v>
      </c>
      <c r="DS1404" s="130">
        <f>SI!BY1404</f>
        <v>180</v>
      </c>
      <c r="DZ1404" s="131">
        <f>SI!BZ1404</f>
        <v>0</v>
      </c>
    </row>
    <row r="1405" spans="1:130" hidden="1" x14ac:dyDescent="0.25">
      <c r="A1405" s="141"/>
      <c r="CA1405" s="270"/>
      <c r="CB1405" s="3" t="str">
        <f t="shared" si="220"/>
        <v>Riadok bude skrytý.</v>
      </c>
      <c r="CC1405" s="271" t="s">
        <v>832</v>
      </c>
      <c r="CW1405" s="30">
        <f t="shared" si="216"/>
        <v>1</v>
      </c>
      <c r="CX1405" s="30">
        <f>+IF($J$1403="nemá",0,1)</f>
        <v>1</v>
      </c>
      <c r="CZ1405" s="30">
        <f t="shared" si="213"/>
        <v>1</v>
      </c>
      <c r="DA1405" s="52">
        <f t="shared" si="217"/>
        <v>1</v>
      </c>
      <c r="DB1405" s="2">
        <f t="shared" si="215"/>
        <v>0</v>
      </c>
      <c r="DS1405" s="130">
        <f>SI!BY1405</f>
        <v>712</v>
      </c>
      <c r="DZ1405" s="131">
        <f>SI!BZ1405</f>
        <v>0</v>
      </c>
    </row>
    <row r="1406" spans="1:130" hidden="1" x14ac:dyDescent="0.25">
      <c r="A1406" s="141"/>
      <c r="B1406" s="579" t="s">
        <v>64</v>
      </c>
      <c r="C1406" s="580"/>
      <c r="D1406" s="580"/>
      <c r="E1406" s="580"/>
      <c r="F1406" s="580"/>
      <c r="G1406" s="580"/>
      <c r="H1406" s="580"/>
      <c r="I1406" s="580"/>
      <c r="J1406" s="580"/>
      <c r="K1406" s="580"/>
      <c r="L1406" s="580"/>
      <c r="M1406" s="580"/>
      <c r="N1406" s="580"/>
      <c r="O1406" s="580"/>
      <c r="P1406" s="580"/>
      <c r="Q1406" s="580"/>
      <c r="R1406" s="580"/>
      <c r="S1406" s="580"/>
      <c r="T1406" s="580"/>
      <c r="U1406" s="580"/>
      <c r="V1406" s="580"/>
      <c r="W1406" s="580"/>
      <c r="X1406" s="580"/>
      <c r="Y1406" s="580"/>
      <c r="Z1406" s="580"/>
      <c r="AA1406" s="580"/>
      <c r="AB1406" s="580"/>
      <c r="AC1406" s="580"/>
      <c r="AD1406" s="580"/>
      <c r="AE1406" s="580"/>
      <c r="AF1406" s="580"/>
      <c r="AG1406" s="580"/>
      <c r="AH1406" s="580"/>
      <c r="AI1406" s="580"/>
      <c r="AJ1406" s="580"/>
      <c r="AK1406" s="580"/>
      <c r="AL1406" s="580"/>
      <c r="AM1406" s="580"/>
      <c r="AN1406" s="580"/>
      <c r="AO1406" s="580"/>
      <c r="AP1406" s="580"/>
      <c r="AQ1406" s="580"/>
      <c r="AR1406" s="580"/>
      <c r="AS1406" s="580"/>
      <c r="AT1406" s="580"/>
      <c r="AU1406" s="580"/>
      <c r="AV1406" s="580"/>
      <c r="AW1406" s="580"/>
      <c r="AX1406" s="580"/>
      <c r="AY1406" s="580"/>
      <c r="AZ1406" s="580"/>
      <c r="BA1406" s="580"/>
      <c r="BB1406" s="580"/>
      <c r="BC1406" s="580"/>
      <c r="BD1406" s="580"/>
      <c r="BE1406" s="580"/>
      <c r="BF1406" s="580"/>
      <c r="BG1406" s="580"/>
      <c r="BH1406" s="580"/>
      <c r="BI1406" s="580"/>
      <c r="BJ1406" s="393" t="s">
        <v>1010</v>
      </c>
      <c r="BK1406" s="394"/>
      <c r="BL1406" s="394"/>
      <c r="BM1406" s="394"/>
      <c r="BN1406" s="394"/>
      <c r="BO1406" s="394"/>
      <c r="BP1406" s="394"/>
      <c r="BQ1406" s="394"/>
      <c r="BR1406" s="394"/>
      <c r="BS1406" s="391">
        <f>+AJ141</f>
        <v>2021</v>
      </c>
      <c r="BT1406" s="391"/>
      <c r="BU1406" s="391"/>
      <c r="BV1406" s="391"/>
      <c r="BW1406" s="391"/>
      <c r="BX1406" s="391"/>
      <c r="BY1406" s="391"/>
      <c r="BZ1406" s="392"/>
      <c r="CA1406" s="265" t="s">
        <v>773</v>
      </c>
      <c r="CB1406" s="3" t="str">
        <f t="shared" si="220"/>
        <v>Riadok bude skrytý.</v>
      </c>
      <c r="CC1406" s="271" t="s">
        <v>832</v>
      </c>
      <c r="CD1406" s="4"/>
      <c r="CW1406" s="30">
        <f t="shared" si="216"/>
        <v>1</v>
      </c>
      <c r="CX1406" s="30">
        <f>+IF($J$1403="nemá",0,1)</f>
        <v>1</v>
      </c>
      <c r="CZ1406" s="30">
        <f t="shared" si="213"/>
        <v>1</v>
      </c>
      <c r="DA1406" s="52">
        <f t="shared" si="217"/>
        <v>1</v>
      </c>
      <c r="DB1406" s="2">
        <f t="shared" si="215"/>
        <v>0</v>
      </c>
      <c r="DS1406" s="130">
        <f>SI!BY1406</f>
        <v>1085</v>
      </c>
      <c r="DZ1406" s="131">
        <f>SI!BZ1406</f>
        <v>0</v>
      </c>
    </row>
    <row r="1407" spans="1:130" hidden="1" x14ac:dyDescent="0.25">
      <c r="A1407" s="141"/>
      <c r="B1407" s="401" t="s">
        <v>806</v>
      </c>
      <c r="C1407" s="402"/>
      <c r="D1407" s="402"/>
      <c r="E1407" s="402"/>
      <c r="F1407" s="402"/>
      <c r="G1407" s="402"/>
      <c r="H1407" s="402"/>
      <c r="I1407" s="402"/>
      <c r="J1407" s="402"/>
      <c r="K1407" s="402"/>
      <c r="L1407" s="402"/>
      <c r="M1407" s="402"/>
      <c r="N1407" s="402"/>
      <c r="O1407" s="402"/>
      <c r="P1407" s="402"/>
      <c r="Q1407" s="402"/>
      <c r="R1407" s="402"/>
      <c r="S1407" s="402"/>
      <c r="T1407" s="402"/>
      <c r="U1407" s="402"/>
      <c r="V1407" s="402"/>
      <c r="W1407" s="402"/>
      <c r="X1407" s="402"/>
      <c r="Y1407" s="402"/>
      <c r="Z1407" s="402"/>
      <c r="AA1407" s="402"/>
      <c r="AB1407" s="402"/>
      <c r="AC1407" s="402"/>
      <c r="AD1407" s="402"/>
      <c r="AE1407" s="402"/>
      <c r="AF1407" s="402"/>
      <c r="AG1407" s="402"/>
      <c r="AH1407" s="402"/>
      <c r="AI1407" s="402"/>
      <c r="AJ1407" s="402"/>
      <c r="AK1407" s="402"/>
      <c r="AL1407" s="402"/>
      <c r="AM1407" s="402"/>
      <c r="AN1407" s="402"/>
      <c r="AO1407" s="402"/>
      <c r="AP1407" s="402"/>
      <c r="AQ1407" s="402"/>
      <c r="AR1407" s="402"/>
      <c r="AS1407" s="402"/>
      <c r="AT1407" s="402"/>
      <c r="AU1407" s="402"/>
      <c r="AV1407" s="402"/>
      <c r="AW1407" s="402"/>
      <c r="AX1407" s="402"/>
      <c r="AY1407" s="402"/>
      <c r="AZ1407" s="402"/>
      <c r="BA1407" s="402"/>
      <c r="BB1407" s="402"/>
      <c r="BC1407" s="402"/>
      <c r="BD1407" s="402"/>
      <c r="BE1407" s="402"/>
      <c r="BF1407" s="402"/>
      <c r="BG1407" s="402"/>
      <c r="BH1407" s="402"/>
      <c r="BI1407" s="402"/>
      <c r="BJ1407" s="472"/>
      <c r="BK1407" s="473"/>
      <c r="BL1407" s="473"/>
      <c r="BM1407" s="473"/>
      <c r="BN1407" s="473"/>
      <c r="BO1407" s="473"/>
      <c r="BP1407" s="473"/>
      <c r="BQ1407" s="473"/>
      <c r="BR1407" s="473"/>
      <c r="BS1407" s="473"/>
      <c r="BT1407" s="473"/>
      <c r="BU1407" s="473"/>
      <c r="BV1407" s="473"/>
      <c r="BW1407" s="473"/>
      <c r="BX1407" s="473"/>
      <c r="BY1407" s="473"/>
      <c r="BZ1407" s="474"/>
      <c r="CA1407" s="270"/>
      <c r="CB1407" s="3" t="str">
        <f t="shared" si="220"/>
        <v>Riadok bude skrytý.</v>
      </c>
      <c r="CC1407" s="271" t="s">
        <v>832</v>
      </c>
      <c r="CW1407" s="30">
        <f t="shared" si="216"/>
        <v>1</v>
      </c>
      <c r="CX1407" s="30">
        <f>+IF($J$1403="nemá",0,1)</f>
        <v>1</v>
      </c>
      <c r="CZ1407" s="30">
        <f t="shared" si="213"/>
        <v>1</v>
      </c>
      <c r="DA1407" s="52">
        <f t="shared" si="217"/>
        <v>1</v>
      </c>
      <c r="DB1407" s="2">
        <f t="shared" si="215"/>
        <v>0</v>
      </c>
      <c r="DS1407" s="130">
        <f>SI!BY1407</f>
        <v>150</v>
      </c>
      <c r="DZ1407" s="131">
        <f>SI!BZ1407</f>
        <v>0</v>
      </c>
    </row>
    <row r="1408" spans="1:130" hidden="1" x14ac:dyDescent="0.25">
      <c r="A1408" s="141"/>
      <c r="B1408" s="2072" t="s">
        <v>807</v>
      </c>
      <c r="C1408" s="2073"/>
      <c r="D1408" s="2073"/>
      <c r="E1408" s="2073"/>
      <c r="F1408" s="2073"/>
      <c r="G1408" s="2073"/>
      <c r="H1408" s="2073"/>
      <c r="I1408" s="2073"/>
      <c r="J1408" s="2073"/>
      <c r="K1408" s="2073"/>
      <c r="L1408" s="2073"/>
      <c r="M1408" s="2073"/>
      <c r="N1408" s="2073"/>
      <c r="O1408" s="2073"/>
      <c r="P1408" s="2073"/>
      <c r="Q1408" s="2073"/>
      <c r="R1408" s="2073"/>
      <c r="S1408" s="2073"/>
      <c r="T1408" s="2073"/>
      <c r="U1408" s="2073"/>
      <c r="V1408" s="2073"/>
      <c r="W1408" s="2073"/>
      <c r="X1408" s="2073"/>
      <c r="Y1408" s="2073"/>
      <c r="Z1408" s="2073"/>
      <c r="AA1408" s="2073"/>
      <c r="AB1408" s="2073"/>
      <c r="AC1408" s="2073"/>
      <c r="AD1408" s="2073"/>
      <c r="AE1408" s="2073"/>
      <c r="AF1408" s="2073"/>
      <c r="AG1408" s="2073"/>
      <c r="AH1408" s="2073"/>
      <c r="AI1408" s="2073"/>
      <c r="AJ1408" s="2073"/>
      <c r="AK1408" s="2073"/>
      <c r="AL1408" s="2073"/>
      <c r="AM1408" s="2073"/>
      <c r="AN1408" s="2073"/>
      <c r="AO1408" s="2073"/>
      <c r="AP1408" s="2073"/>
      <c r="AQ1408" s="2073"/>
      <c r="AR1408" s="2073"/>
      <c r="AS1408" s="2073"/>
      <c r="AT1408" s="2073"/>
      <c r="AU1408" s="2073"/>
      <c r="AV1408" s="2073"/>
      <c r="AW1408" s="2073"/>
      <c r="AX1408" s="2073"/>
      <c r="AY1408" s="2073"/>
      <c r="AZ1408" s="2073"/>
      <c r="BA1408" s="2073"/>
      <c r="BB1408" s="2073"/>
      <c r="BC1408" s="2073"/>
      <c r="BD1408" s="2073"/>
      <c r="BE1408" s="2073"/>
      <c r="BF1408" s="2073"/>
      <c r="BG1408" s="2073"/>
      <c r="BH1408" s="2073"/>
      <c r="BI1408" s="2073"/>
      <c r="BJ1408" s="770"/>
      <c r="BK1408" s="771"/>
      <c r="BL1408" s="771"/>
      <c r="BM1408" s="771"/>
      <c r="BN1408" s="771"/>
      <c r="BO1408" s="771"/>
      <c r="BP1408" s="771"/>
      <c r="BQ1408" s="771"/>
      <c r="BR1408" s="771"/>
      <c r="BS1408" s="771"/>
      <c r="BT1408" s="771"/>
      <c r="BU1408" s="771"/>
      <c r="BV1408" s="771"/>
      <c r="BW1408" s="771"/>
      <c r="BX1408" s="771"/>
      <c r="BY1408" s="771"/>
      <c r="BZ1408" s="772"/>
      <c r="CA1408" s="270"/>
      <c r="CB1408" s="3" t="str">
        <f t="shared" si="220"/>
        <v>Riadok bude skrytý.</v>
      </c>
      <c r="CC1408" s="271" t="s">
        <v>832</v>
      </c>
      <c r="CD1408" s="4"/>
      <c r="CE1408" s="4"/>
      <c r="CF1408" s="4"/>
      <c r="CG1408" s="4"/>
      <c r="CH1408" s="4"/>
      <c r="CI1408" s="4"/>
      <c r="CJ1408" s="4"/>
      <c r="CK1408" s="4"/>
      <c r="CL1408" s="4"/>
      <c r="CM1408" s="4"/>
      <c r="CN1408" s="4"/>
      <c r="CO1408" s="4"/>
      <c r="CP1408" s="4"/>
      <c r="CW1408" s="30">
        <f t="shared" si="216"/>
        <v>1</v>
      </c>
      <c r="CX1408" s="30">
        <f>+IF($J$1403="nemá",0,1)</f>
        <v>1</v>
      </c>
      <c r="CZ1408" s="30">
        <f t="shared" si="213"/>
        <v>1</v>
      </c>
      <c r="DA1408" s="52">
        <f t="shared" si="217"/>
        <v>1</v>
      </c>
      <c r="DB1408" s="2">
        <f t="shared" si="215"/>
        <v>0</v>
      </c>
      <c r="DS1408" s="130">
        <f>SI!BY1408</f>
        <v>1011</v>
      </c>
      <c r="DZ1408" s="131">
        <f>SI!BZ1408</f>
        <v>0</v>
      </c>
    </row>
    <row r="1409" spans="1:130" hidden="1" x14ac:dyDescent="0.25">
      <c r="A1409" s="141"/>
      <c r="CA1409" s="270"/>
      <c r="CB1409" s="3" t="str">
        <f t="shared" si="220"/>
        <v>Riadok bude skrytý.</v>
      </c>
      <c r="CC1409" s="271" t="s">
        <v>832</v>
      </c>
      <c r="CW1409" s="30">
        <f t="shared" si="216"/>
        <v>1</v>
      </c>
      <c r="CZ1409" s="30">
        <f t="shared" si="213"/>
        <v>1</v>
      </c>
      <c r="DA1409" s="30">
        <f>+IF(CW1409+CX1409+CY1409=0,0,IF(CZ1409=0,0,1))</f>
        <v>1</v>
      </c>
      <c r="DB1409" s="2">
        <f t="shared" si="215"/>
        <v>0</v>
      </c>
      <c r="DS1409" s="130">
        <f>SI!BY1409</f>
        <v>151</v>
      </c>
      <c r="DZ1409" s="131">
        <f>SI!BZ1409</f>
        <v>0</v>
      </c>
    </row>
    <row r="1410" spans="1:130" hidden="1" x14ac:dyDescent="0.25">
      <c r="A1410" s="141"/>
      <c r="B1410" s="14" t="s">
        <v>96</v>
      </c>
      <c r="C1410" s="14"/>
      <c r="D1410" s="14"/>
      <c r="E1410" s="14"/>
      <c r="F1410" s="14"/>
      <c r="G1410" s="14"/>
      <c r="H1410" s="14"/>
      <c r="I1410" s="14"/>
      <c r="J1410" s="385" t="s">
        <v>853</v>
      </c>
      <c r="K1410" s="385"/>
      <c r="L1410" s="385"/>
      <c r="M1410" s="385"/>
      <c r="N1410" s="385"/>
      <c r="O1410" s="385"/>
      <c r="P1410" s="385"/>
      <c r="Q1410" s="385"/>
      <c r="R1410" s="385"/>
      <c r="S1410" s="137" t="s">
        <v>167</v>
      </c>
      <c r="T1410" s="38"/>
      <c r="CA1410" s="265" t="s">
        <v>773</v>
      </c>
      <c r="CB1410" s="3" t="str">
        <f t="shared" si="220"/>
        <v>Riadok bude skrytý.</v>
      </c>
      <c r="CC1410" s="271" t="s">
        <v>832</v>
      </c>
      <c r="CF1410" s="13"/>
      <c r="CW1410" s="30">
        <f t="shared" si="216"/>
        <v>1</v>
      </c>
      <c r="CX1410" s="30">
        <f>+IF($J$1410="neobstarala",1,1)</f>
        <v>1</v>
      </c>
      <c r="CY1410" s="43"/>
      <c r="CZ1410" s="30">
        <f t="shared" si="213"/>
        <v>1</v>
      </c>
      <c r="DA1410" s="52">
        <f t="shared" si="217"/>
        <v>1</v>
      </c>
      <c r="DB1410" s="2">
        <f t="shared" si="215"/>
        <v>0</v>
      </c>
      <c r="DS1410" s="130">
        <f>SI!BY1410</f>
        <v>1028</v>
      </c>
      <c r="DZ1410" s="131">
        <f>SI!BZ1410</f>
        <v>0</v>
      </c>
    </row>
    <row r="1411" spans="1:130" hidden="1" x14ac:dyDescent="0.25">
      <c r="A1411" s="141"/>
      <c r="B1411" s="14" t="str">
        <f>+IF(J1410="obstarala","Údaje k nehnuteľnostiam obstaraným za účelom predaja sú uvedené v tabuľke:","")</f>
        <v>Údaje k nehnuteľnostiam obstaraným za účelom predaja sú uvedené v tabuľke:</v>
      </c>
      <c r="C1411" s="14"/>
      <c r="D1411" s="14"/>
      <c r="E1411" s="14"/>
      <c r="F1411" s="14"/>
      <c r="G1411" s="14"/>
      <c r="H1411" s="14"/>
      <c r="CA1411" s="270"/>
      <c r="CB1411" s="3" t="str">
        <f t="shared" si="220"/>
        <v>Riadok bude skrytý.</v>
      </c>
      <c r="CC1411" s="271" t="s">
        <v>832</v>
      </c>
      <c r="CF1411" s="13"/>
      <c r="CW1411" s="30">
        <f t="shared" si="216"/>
        <v>1</v>
      </c>
      <c r="CX1411" s="30">
        <f>+IF($J$1410="neobstarala",0,1)</f>
        <v>1</v>
      </c>
      <c r="CY1411" s="43"/>
      <c r="CZ1411" s="30">
        <f t="shared" si="213"/>
        <v>1</v>
      </c>
      <c r="DA1411" s="52">
        <f t="shared" si="217"/>
        <v>1</v>
      </c>
      <c r="DB1411" s="2">
        <f t="shared" si="215"/>
        <v>0</v>
      </c>
      <c r="DS1411" s="130">
        <f>SI!BY1411</f>
        <v>139</v>
      </c>
      <c r="DZ1411" s="131">
        <f>SI!BZ1411</f>
        <v>0</v>
      </c>
    </row>
    <row r="1412" spans="1:130" hidden="1" x14ac:dyDescent="0.25">
      <c r="A1412" s="141"/>
      <c r="CA1412" s="270"/>
      <c r="CB1412" s="3" t="str">
        <f t="shared" si="220"/>
        <v>Riadok bude skrytý.</v>
      </c>
      <c r="CC1412" s="271" t="s">
        <v>832</v>
      </c>
      <c r="CW1412" s="30">
        <f t="shared" si="216"/>
        <v>1</v>
      </c>
      <c r="CX1412" s="30">
        <f>+IF($J$1410="neobstarala",0,1)</f>
        <v>1</v>
      </c>
      <c r="CZ1412" s="30">
        <f t="shared" si="213"/>
        <v>1</v>
      </c>
      <c r="DA1412" s="52">
        <f t="shared" si="217"/>
        <v>1</v>
      </c>
      <c r="DB1412" s="2">
        <f t="shared" si="215"/>
        <v>0</v>
      </c>
      <c r="DS1412" s="130">
        <f>SI!BY1412</f>
        <v>782</v>
      </c>
      <c r="DZ1412" s="131">
        <f>SI!BZ1412</f>
        <v>0</v>
      </c>
    </row>
    <row r="1413" spans="1:130" hidden="1" x14ac:dyDescent="0.25">
      <c r="A1413" s="141"/>
      <c r="B1413" s="579" t="s">
        <v>164</v>
      </c>
      <c r="C1413" s="580"/>
      <c r="D1413" s="580"/>
      <c r="E1413" s="580"/>
      <c r="F1413" s="580"/>
      <c r="G1413" s="580"/>
      <c r="H1413" s="580"/>
      <c r="I1413" s="580"/>
      <c r="J1413" s="580"/>
      <c r="K1413" s="580"/>
      <c r="L1413" s="580"/>
      <c r="M1413" s="580"/>
      <c r="N1413" s="580"/>
      <c r="O1413" s="580"/>
      <c r="P1413" s="580"/>
      <c r="Q1413" s="580"/>
      <c r="R1413" s="580"/>
      <c r="S1413" s="580"/>
      <c r="T1413" s="580"/>
      <c r="U1413" s="580"/>
      <c r="V1413" s="580"/>
      <c r="W1413" s="580"/>
      <c r="X1413" s="580"/>
      <c r="Y1413" s="580"/>
      <c r="Z1413" s="580"/>
      <c r="AA1413" s="580"/>
      <c r="AB1413" s="580"/>
      <c r="AC1413" s="580"/>
      <c r="AD1413" s="580"/>
      <c r="AE1413" s="580"/>
      <c r="AF1413" s="580"/>
      <c r="AG1413" s="580"/>
      <c r="AH1413" s="580"/>
      <c r="AI1413" s="580"/>
      <c r="AJ1413" s="580"/>
      <c r="AK1413" s="580"/>
      <c r="AL1413" s="580"/>
      <c r="AM1413" s="580"/>
      <c r="AN1413" s="580"/>
      <c r="AO1413" s="580"/>
      <c r="AP1413" s="580"/>
      <c r="AQ1413" s="580"/>
      <c r="AR1413" s="580"/>
      <c r="AS1413" s="580"/>
      <c r="AT1413" s="580"/>
      <c r="AU1413" s="580"/>
      <c r="AV1413" s="580"/>
      <c r="AW1413" s="580"/>
      <c r="AX1413" s="580"/>
      <c r="AY1413" s="580"/>
      <c r="AZ1413" s="580"/>
      <c r="BA1413" s="580"/>
      <c r="BB1413" s="580"/>
      <c r="BC1413" s="580"/>
      <c r="BD1413" s="580"/>
      <c r="BE1413" s="580"/>
      <c r="BF1413" s="580"/>
      <c r="BG1413" s="580"/>
      <c r="BH1413" s="580"/>
      <c r="BI1413" s="581"/>
      <c r="BJ1413" s="598" t="s">
        <v>168</v>
      </c>
      <c r="BK1413" s="645"/>
      <c r="BL1413" s="645"/>
      <c r="BM1413" s="645"/>
      <c r="BN1413" s="645"/>
      <c r="BO1413" s="645"/>
      <c r="BP1413" s="645"/>
      <c r="BQ1413" s="645"/>
      <c r="BR1413" s="645"/>
      <c r="BS1413" s="645"/>
      <c r="BT1413" s="645"/>
      <c r="BU1413" s="645"/>
      <c r="BV1413" s="645"/>
      <c r="BW1413" s="645"/>
      <c r="BX1413" s="645"/>
      <c r="BY1413" s="645"/>
      <c r="BZ1413" s="646"/>
      <c r="CA1413" s="265" t="s">
        <v>773</v>
      </c>
      <c r="CB1413" s="3" t="str">
        <f t="shared" si="220"/>
        <v>Riadok bude skrytý.</v>
      </c>
      <c r="CC1413" s="271" t="s">
        <v>832</v>
      </c>
      <c r="CD1413" s="4"/>
      <c r="CW1413" s="30">
        <f t="shared" si="216"/>
        <v>1</v>
      </c>
      <c r="CX1413" s="30">
        <f>+IF($J$1410="neobstarala",0,1)</f>
        <v>1</v>
      </c>
      <c r="CZ1413" s="30">
        <f t="shared" si="213"/>
        <v>1</v>
      </c>
      <c r="DA1413" s="52">
        <f t="shared" si="217"/>
        <v>1</v>
      </c>
      <c r="DB1413" s="2">
        <f t="shared" si="215"/>
        <v>0</v>
      </c>
      <c r="DS1413" s="130">
        <f>SI!BY1413</f>
        <v>150</v>
      </c>
      <c r="DZ1413" s="131">
        <f>SI!BZ1413</f>
        <v>0</v>
      </c>
    </row>
    <row r="1414" spans="1:130" hidden="1" x14ac:dyDescent="0.25">
      <c r="A1414" s="141"/>
      <c r="B1414" s="672" t="s">
        <v>1007</v>
      </c>
      <c r="C1414" s="673"/>
      <c r="D1414" s="673"/>
      <c r="E1414" s="673"/>
      <c r="F1414" s="673"/>
      <c r="G1414" s="673"/>
      <c r="H1414" s="673"/>
      <c r="I1414" s="673"/>
      <c r="J1414" s="673"/>
      <c r="K1414" s="673"/>
      <c r="L1414" s="673"/>
      <c r="M1414" s="673"/>
      <c r="N1414" s="673"/>
      <c r="O1414" s="673"/>
      <c r="P1414" s="673"/>
      <c r="Q1414" s="673"/>
      <c r="R1414" s="673"/>
      <c r="S1414" s="673"/>
      <c r="T1414" s="673"/>
      <c r="U1414" s="673"/>
      <c r="V1414" s="673"/>
      <c r="W1414" s="673"/>
      <c r="X1414" s="673"/>
      <c r="Y1414" s="673"/>
      <c r="Z1414" s="673"/>
      <c r="AA1414" s="673"/>
      <c r="AB1414" s="673"/>
      <c r="AC1414" s="673"/>
      <c r="AD1414" s="673"/>
      <c r="AE1414" s="673"/>
      <c r="AF1414" s="673"/>
      <c r="AG1414" s="673"/>
      <c r="AH1414" s="673"/>
      <c r="AI1414" s="673"/>
      <c r="AJ1414" s="673"/>
      <c r="AK1414" s="673"/>
      <c r="AL1414" s="673"/>
      <c r="AM1414" s="673"/>
      <c r="AN1414" s="673"/>
      <c r="AO1414" s="673"/>
      <c r="AP1414" s="673"/>
      <c r="AQ1414" s="673"/>
      <c r="AR1414" s="673"/>
      <c r="AS1414" s="673"/>
      <c r="AT1414" s="673"/>
      <c r="AU1414" s="673"/>
      <c r="AV1414" s="673"/>
      <c r="AW1414" s="673"/>
      <c r="AX1414" s="673"/>
      <c r="AY1414" s="673"/>
      <c r="AZ1414" s="673"/>
      <c r="BA1414" s="673"/>
      <c r="BB1414" s="673"/>
      <c r="BC1414" s="673"/>
      <c r="BD1414" s="673"/>
      <c r="BE1414" s="673"/>
      <c r="BF1414" s="673"/>
      <c r="BG1414" s="673"/>
      <c r="BH1414" s="673"/>
      <c r="BI1414" s="1580"/>
      <c r="BJ1414" s="502"/>
      <c r="BK1414" s="503"/>
      <c r="BL1414" s="503"/>
      <c r="BM1414" s="503"/>
      <c r="BN1414" s="503"/>
      <c r="BO1414" s="503"/>
      <c r="BP1414" s="503"/>
      <c r="BQ1414" s="503"/>
      <c r="BR1414" s="503"/>
      <c r="BS1414" s="503"/>
      <c r="BT1414" s="503"/>
      <c r="BU1414" s="503"/>
      <c r="BV1414" s="503"/>
      <c r="BW1414" s="503"/>
      <c r="BX1414" s="503"/>
      <c r="BY1414" s="503"/>
      <c r="BZ1414" s="504"/>
      <c r="CA1414" s="270"/>
      <c r="CB1414" s="3" t="str">
        <f t="shared" si="220"/>
        <v>Riadok bude skrytý.</v>
      </c>
      <c r="CC1414" s="271" t="s">
        <v>832</v>
      </c>
      <c r="CW1414" s="30">
        <f t="shared" si="216"/>
        <v>1</v>
      </c>
      <c r="CX1414" s="30">
        <f>+IF($J$1410="neobstarala",0,1)</f>
        <v>1</v>
      </c>
      <c r="CZ1414" s="30">
        <f t="shared" si="213"/>
        <v>1</v>
      </c>
      <c r="DA1414" s="52">
        <f t="shared" si="217"/>
        <v>1</v>
      </c>
      <c r="DB1414" s="2">
        <f t="shared" si="215"/>
        <v>0</v>
      </c>
      <c r="DS1414" s="130">
        <f>SI!BY1414</f>
        <v>977</v>
      </c>
      <c r="DZ1414" s="131">
        <f>SI!BZ1414</f>
        <v>0</v>
      </c>
    </row>
    <row r="1415" spans="1:130" hidden="1" x14ac:dyDescent="0.25">
      <c r="A1415" s="141"/>
      <c r="B1415" s="1214" t="s">
        <v>1008</v>
      </c>
      <c r="C1415" s="1215"/>
      <c r="D1415" s="1215"/>
      <c r="E1415" s="1215"/>
      <c r="F1415" s="1215"/>
      <c r="G1415" s="1215"/>
      <c r="H1415" s="1215"/>
      <c r="I1415" s="1215"/>
      <c r="J1415" s="1215"/>
      <c r="K1415" s="1215"/>
      <c r="L1415" s="1215"/>
      <c r="M1415" s="1215"/>
      <c r="N1415" s="1215"/>
      <c r="O1415" s="1215"/>
      <c r="P1415" s="1215"/>
      <c r="Q1415" s="1215"/>
      <c r="R1415" s="1215"/>
      <c r="S1415" s="1215"/>
      <c r="T1415" s="1215"/>
      <c r="U1415" s="1215"/>
      <c r="V1415" s="1215"/>
      <c r="W1415" s="1215"/>
      <c r="X1415" s="1215"/>
      <c r="Y1415" s="1215"/>
      <c r="Z1415" s="1215"/>
      <c r="AA1415" s="1215"/>
      <c r="AB1415" s="1215"/>
      <c r="AC1415" s="1215"/>
      <c r="AD1415" s="1215"/>
      <c r="AE1415" s="1215"/>
      <c r="AF1415" s="1215"/>
      <c r="AG1415" s="1215"/>
      <c r="AH1415" s="1215"/>
      <c r="AI1415" s="1215"/>
      <c r="AJ1415" s="1215"/>
      <c r="AK1415" s="1215"/>
      <c r="AL1415" s="1215"/>
      <c r="AM1415" s="1215"/>
      <c r="AN1415" s="1215"/>
      <c r="AO1415" s="1215"/>
      <c r="AP1415" s="1215"/>
      <c r="AQ1415" s="1215"/>
      <c r="AR1415" s="1215"/>
      <c r="AS1415" s="1215"/>
      <c r="AT1415" s="1215"/>
      <c r="AU1415" s="1215"/>
      <c r="AV1415" s="1215"/>
      <c r="AW1415" s="1215"/>
      <c r="AX1415" s="1215"/>
      <c r="AY1415" s="1215"/>
      <c r="AZ1415" s="1215"/>
      <c r="BA1415" s="1215"/>
      <c r="BB1415" s="1215"/>
      <c r="BC1415" s="1215"/>
      <c r="BD1415" s="1215"/>
      <c r="BE1415" s="1215"/>
      <c r="BF1415" s="1215"/>
      <c r="BG1415" s="1215"/>
      <c r="BH1415" s="1215"/>
      <c r="BI1415" s="1591"/>
      <c r="BJ1415" s="458"/>
      <c r="BK1415" s="455"/>
      <c r="BL1415" s="455"/>
      <c r="BM1415" s="455"/>
      <c r="BN1415" s="455"/>
      <c r="BO1415" s="455"/>
      <c r="BP1415" s="455"/>
      <c r="BQ1415" s="455"/>
      <c r="BR1415" s="455"/>
      <c r="BS1415" s="455"/>
      <c r="BT1415" s="455"/>
      <c r="BU1415" s="455"/>
      <c r="BV1415" s="455"/>
      <c r="BW1415" s="455"/>
      <c r="BX1415" s="455"/>
      <c r="BY1415" s="455"/>
      <c r="BZ1415" s="456"/>
      <c r="CA1415" s="270"/>
      <c r="CB1415" s="3" t="str">
        <f t="shared" si="220"/>
        <v>Riadok bude skrytý.</v>
      </c>
      <c r="CC1415" s="271" t="s">
        <v>832</v>
      </c>
      <c r="CW1415" s="30">
        <f t="shared" si="216"/>
        <v>1</v>
      </c>
      <c r="CX1415" s="30">
        <f>+IF($J$1410="neobstarala",0,1)</f>
        <v>1</v>
      </c>
      <c r="CZ1415" s="30">
        <f t="shared" si="213"/>
        <v>1</v>
      </c>
      <c r="DA1415" s="52">
        <f t="shared" si="217"/>
        <v>1</v>
      </c>
      <c r="DB1415" s="2">
        <f t="shared" si="215"/>
        <v>0</v>
      </c>
      <c r="DS1415" s="130">
        <f>SI!BY1415</f>
        <v>108</v>
      </c>
      <c r="DZ1415" s="131">
        <f>SI!BZ1415</f>
        <v>0</v>
      </c>
    </row>
    <row r="1416" spans="1:130" hidden="1" x14ac:dyDescent="0.25">
      <c r="A1416" s="141"/>
      <c r="CA1416" s="270"/>
      <c r="CB1416" s="3" t="str">
        <f t="shared" si="220"/>
        <v>Riadok bude skrytý.</v>
      </c>
      <c r="CC1416" s="271" t="s">
        <v>832</v>
      </c>
      <c r="CW1416" s="30">
        <f t="shared" si="216"/>
        <v>1</v>
      </c>
      <c r="CX1416" s="30">
        <f>+IF(B1418="",0,1)</f>
        <v>0</v>
      </c>
      <c r="CZ1416" s="30">
        <f t="shared" si="213"/>
        <v>1</v>
      </c>
      <c r="DA1416" s="52">
        <f t="shared" si="217"/>
        <v>0</v>
      </c>
      <c r="DB1416" s="2">
        <f t="shared" si="215"/>
        <v>0</v>
      </c>
      <c r="DS1416" s="130">
        <f>SI!BY1416</f>
        <v>767</v>
      </c>
      <c r="DZ1416" s="131">
        <f>SI!BZ1416</f>
        <v>0</v>
      </c>
    </row>
    <row r="1417" spans="1:130" hidden="1" x14ac:dyDescent="0.25">
      <c r="A1417" s="141"/>
      <c r="B1417" s="137" t="s">
        <v>745</v>
      </c>
      <c r="C1417" s="7"/>
      <c r="D1417" s="7"/>
      <c r="E1417" s="7"/>
      <c r="F1417" s="7"/>
      <c r="CA1417" s="265" t="s">
        <v>773</v>
      </c>
      <c r="CB1417" s="3" t="str">
        <f t="shared" si="220"/>
        <v>Riadok bude skrytý.</v>
      </c>
      <c r="CC1417" s="271" t="s">
        <v>832</v>
      </c>
      <c r="CW1417" s="30">
        <f t="shared" si="216"/>
        <v>1</v>
      </c>
      <c r="CX1417" s="30">
        <f>+IF(B1418="",0,1)</f>
        <v>0</v>
      </c>
      <c r="CZ1417" s="30">
        <f t="shared" si="213"/>
        <v>1</v>
      </c>
      <c r="DA1417" s="52">
        <f t="shared" si="217"/>
        <v>0</v>
      </c>
      <c r="DB1417" s="2">
        <f t="shared" si="215"/>
        <v>0</v>
      </c>
      <c r="DS1417" s="130">
        <f>SI!BY1417</f>
        <v>178</v>
      </c>
      <c r="DZ1417" s="131">
        <f>SI!BZ1417</f>
        <v>0</v>
      </c>
    </row>
    <row r="1418" spans="1:130" hidden="1" x14ac:dyDescent="0.25">
      <c r="A1418" s="141"/>
      <c r="B1418" s="379"/>
      <c r="C1418" s="379"/>
      <c r="D1418" s="379"/>
      <c r="E1418" s="379"/>
      <c r="F1418" s="379"/>
      <c r="G1418" s="379"/>
      <c r="H1418" s="379"/>
      <c r="I1418" s="379"/>
      <c r="J1418" s="379"/>
      <c r="K1418" s="379"/>
      <c r="L1418" s="379"/>
      <c r="M1418" s="379"/>
      <c r="N1418" s="379"/>
      <c r="O1418" s="379"/>
      <c r="P1418" s="379"/>
      <c r="Q1418" s="379"/>
      <c r="R1418" s="379"/>
      <c r="S1418" s="379"/>
      <c r="T1418" s="379"/>
      <c r="U1418" s="379"/>
      <c r="V1418" s="379"/>
      <c r="W1418" s="379"/>
      <c r="X1418" s="379"/>
      <c r="Y1418" s="379"/>
      <c r="Z1418" s="379"/>
      <c r="AA1418" s="379"/>
      <c r="AB1418" s="379"/>
      <c r="AC1418" s="379"/>
      <c r="AD1418" s="379"/>
      <c r="AE1418" s="379"/>
      <c r="AF1418" s="379"/>
      <c r="AG1418" s="379"/>
      <c r="AH1418" s="379"/>
      <c r="AI1418" s="379"/>
      <c r="AJ1418" s="379"/>
      <c r="AK1418" s="379"/>
      <c r="AL1418" s="379"/>
      <c r="AM1418" s="379"/>
      <c r="AN1418" s="379"/>
      <c r="AO1418" s="379"/>
      <c r="AP1418" s="379"/>
      <c r="AQ1418" s="379"/>
      <c r="AR1418" s="379"/>
      <c r="AS1418" s="379"/>
      <c r="AT1418" s="379"/>
      <c r="AU1418" s="379"/>
      <c r="AV1418" s="379"/>
      <c r="AW1418" s="379"/>
      <c r="AX1418" s="379"/>
      <c r="AY1418" s="379"/>
      <c r="AZ1418" s="379"/>
      <c r="BA1418" s="379"/>
      <c r="BB1418" s="379"/>
      <c r="BC1418" s="379"/>
      <c r="BD1418" s="379"/>
      <c r="BE1418" s="379"/>
      <c r="BF1418" s="379"/>
      <c r="BG1418" s="379"/>
      <c r="BH1418" s="379"/>
      <c r="BI1418" s="379"/>
      <c r="BJ1418" s="379"/>
      <c r="BK1418" s="379"/>
      <c r="BL1418" s="379"/>
      <c r="BM1418" s="379"/>
      <c r="BN1418" s="379"/>
      <c r="BO1418" s="379"/>
      <c r="BP1418" s="379"/>
      <c r="BQ1418" s="379"/>
      <c r="BR1418" s="379"/>
      <c r="BS1418" s="379"/>
      <c r="BT1418" s="379"/>
      <c r="BU1418" s="379"/>
      <c r="BV1418" s="379"/>
      <c r="BW1418" s="379"/>
      <c r="BX1418" s="379"/>
      <c r="BY1418" s="379"/>
      <c r="BZ1418" s="379"/>
      <c r="CA1418" s="270"/>
      <c r="CB1418" s="3" t="str">
        <f t="shared" si="220"/>
        <v>Riadok bude skrytý.</v>
      </c>
      <c r="CC1418" s="271" t="s">
        <v>832</v>
      </c>
      <c r="CW1418" s="30">
        <f t="shared" ref="CW1418:CW1437" si="221">+IF($X$1384="neeviduje",0,1)</f>
        <v>1</v>
      </c>
      <c r="CX1418" s="30">
        <f t="shared" ref="CX1418:CX1437" si="222">+IF(B1418="",0,1)</f>
        <v>0</v>
      </c>
      <c r="CZ1418" s="30">
        <f t="shared" si="213"/>
        <v>1</v>
      </c>
      <c r="DA1418" s="52">
        <f t="shared" si="217"/>
        <v>0</v>
      </c>
      <c r="DB1418" s="2">
        <f t="shared" si="215"/>
        <v>0</v>
      </c>
      <c r="DS1418" s="130">
        <f>SI!BY1418</f>
        <v>104</v>
      </c>
      <c r="DZ1418" s="131">
        <f>SI!BZ1418</f>
        <v>0</v>
      </c>
    </row>
    <row r="1419" spans="1:130" hidden="1" x14ac:dyDescent="0.25">
      <c r="A1419" s="141"/>
      <c r="B1419" s="379"/>
      <c r="C1419" s="379"/>
      <c r="D1419" s="379"/>
      <c r="E1419" s="379"/>
      <c r="F1419" s="379"/>
      <c r="G1419" s="379"/>
      <c r="H1419" s="379"/>
      <c r="I1419" s="379"/>
      <c r="J1419" s="379"/>
      <c r="K1419" s="379"/>
      <c r="L1419" s="379"/>
      <c r="M1419" s="379"/>
      <c r="N1419" s="379"/>
      <c r="O1419" s="379"/>
      <c r="P1419" s="379"/>
      <c r="Q1419" s="379"/>
      <c r="R1419" s="379"/>
      <c r="S1419" s="379"/>
      <c r="T1419" s="379"/>
      <c r="U1419" s="379"/>
      <c r="V1419" s="379"/>
      <c r="W1419" s="379"/>
      <c r="X1419" s="379"/>
      <c r="Y1419" s="379"/>
      <c r="Z1419" s="379"/>
      <c r="AA1419" s="379"/>
      <c r="AB1419" s="379"/>
      <c r="AC1419" s="379"/>
      <c r="AD1419" s="379"/>
      <c r="AE1419" s="379"/>
      <c r="AF1419" s="379"/>
      <c r="AG1419" s="379"/>
      <c r="AH1419" s="379"/>
      <c r="AI1419" s="379"/>
      <c r="AJ1419" s="379"/>
      <c r="AK1419" s="379"/>
      <c r="AL1419" s="379"/>
      <c r="AM1419" s="379"/>
      <c r="AN1419" s="379"/>
      <c r="AO1419" s="379"/>
      <c r="AP1419" s="379"/>
      <c r="AQ1419" s="379"/>
      <c r="AR1419" s="379"/>
      <c r="AS1419" s="379"/>
      <c r="AT1419" s="379"/>
      <c r="AU1419" s="379"/>
      <c r="AV1419" s="379"/>
      <c r="AW1419" s="379"/>
      <c r="AX1419" s="379"/>
      <c r="AY1419" s="379"/>
      <c r="AZ1419" s="379"/>
      <c r="BA1419" s="379"/>
      <c r="BB1419" s="379"/>
      <c r="BC1419" s="379"/>
      <c r="BD1419" s="379"/>
      <c r="BE1419" s="379"/>
      <c r="BF1419" s="379"/>
      <c r="BG1419" s="379"/>
      <c r="BH1419" s="379"/>
      <c r="BI1419" s="379"/>
      <c r="BJ1419" s="379"/>
      <c r="BK1419" s="379"/>
      <c r="BL1419" s="379"/>
      <c r="BM1419" s="379"/>
      <c r="BN1419" s="379"/>
      <c r="BO1419" s="379"/>
      <c r="BP1419" s="379"/>
      <c r="BQ1419" s="379"/>
      <c r="BR1419" s="379"/>
      <c r="BS1419" s="379"/>
      <c r="BT1419" s="379"/>
      <c r="BU1419" s="379"/>
      <c r="BV1419" s="379"/>
      <c r="BW1419" s="379"/>
      <c r="BX1419" s="379"/>
      <c r="BY1419" s="379"/>
      <c r="BZ1419" s="379"/>
      <c r="CA1419" s="270"/>
      <c r="CB1419" s="3" t="str">
        <f t="shared" si="220"/>
        <v>Riadok bude skrytý.</v>
      </c>
      <c r="CC1419" s="271" t="s">
        <v>832</v>
      </c>
      <c r="CW1419" s="30">
        <f t="shared" si="221"/>
        <v>1</v>
      </c>
      <c r="CX1419" s="30">
        <f t="shared" si="222"/>
        <v>0</v>
      </c>
      <c r="CZ1419" s="30">
        <f t="shared" si="213"/>
        <v>1</v>
      </c>
      <c r="DA1419" s="52">
        <f t="shared" si="217"/>
        <v>0</v>
      </c>
      <c r="DB1419" s="2">
        <f t="shared" si="215"/>
        <v>0</v>
      </c>
      <c r="DS1419" s="130">
        <f>SI!BY1419</f>
        <v>164</v>
      </c>
      <c r="DZ1419" s="131">
        <f>SI!BZ1419</f>
        <v>0</v>
      </c>
    </row>
    <row r="1420" spans="1:130" hidden="1" x14ac:dyDescent="0.25">
      <c r="A1420" s="141"/>
      <c r="B1420" s="379"/>
      <c r="C1420" s="379"/>
      <c r="D1420" s="379"/>
      <c r="E1420" s="379"/>
      <c r="F1420" s="379"/>
      <c r="G1420" s="379"/>
      <c r="H1420" s="379"/>
      <c r="I1420" s="379"/>
      <c r="J1420" s="379"/>
      <c r="K1420" s="379"/>
      <c r="L1420" s="379"/>
      <c r="M1420" s="379"/>
      <c r="N1420" s="379"/>
      <c r="O1420" s="379"/>
      <c r="P1420" s="379"/>
      <c r="Q1420" s="379"/>
      <c r="R1420" s="379"/>
      <c r="S1420" s="379"/>
      <c r="T1420" s="379"/>
      <c r="U1420" s="379"/>
      <c r="V1420" s="379"/>
      <c r="W1420" s="379"/>
      <c r="X1420" s="379"/>
      <c r="Y1420" s="379"/>
      <c r="Z1420" s="379"/>
      <c r="AA1420" s="379"/>
      <c r="AB1420" s="379"/>
      <c r="AC1420" s="379"/>
      <c r="AD1420" s="379"/>
      <c r="AE1420" s="379"/>
      <c r="AF1420" s="379"/>
      <c r="AG1420" s="379"/>
      <c r="AH1420" s="379"/>
      <c r="AI1420" s="379"/>
      <c r="AJ1420" s="379"/>
      <c r="AK1420" s="379"/>
      <c r="AL1420" s="379"/>
      <c r="AM1420" s="379"/>
      <c r="AN1420" s="379"/>
      <c r="AO1420" s="379"/>
      <c r="AP1420" s="379"/>
      <c r="AQ1420" s="379"/>
      <c r="AR1420" s="379"/>
      <c r="AS1420" s="379"/>
      <c r="AT1420" s="379"/>
      <c r="AU1420" s="379"/>
      <c r="AV1420" s="379"/>
      <c r="AW1420" s="379"/>
      <c r="AX1420" s="379"/>
      <c r="AY1420" s="379"/>
      <c r="AZ1420" s="379"/>
      <c r="BA1420" s="379"/>
      <c r="BB1420" s="379"/>
      <c r="BC1420" s="379"/>
      <c r="BD1420" s="379"/>
      <c r="BE1420" s="379"/>
      <c r="BF1420" s="379"/>
      <c r="BG1420" s="379"/>
      <c r="BH1420" s="379"/>
      <c r="BI1420" s="379"/>
      <c r="BJ1420" s="379"/>
      <c r="BK1420" s="379"/>
      <c r="BL1420" s="379"/>
      <c r="BM1420" s="379"/>
      <c r="BN1420" s="379"/>
      <c r="BO1420" s="379"/>
      <c r="BP1420" s="379"/>
      <c r="BQ1420" s="379"/>
      <c r="BR1420" s="379"/>
      <c r="BS1420" s="379"/>
      <c r="BT1420" s="379"/>
      <c r="BU1420" s="379"/>
      <c r="BV1420" s="379"/>
      <c r="BW1420" s="379"/>
      <c r="BX1420" s="379"/>
      <c r="BY1420" s="379"/>
      <c r="BZ1420" s="379"/>
      <c r="CA1420" s="270"/>
      <c r="CB1420" s="3" t="str">
        <f t="shared" si="220"/>
        <v>Riadok bude skrytý.</v>
      </c>
      <c r="CC1420" s="271" t="s">
        <v>832</v>
      </c>
      <c r="CW1420" s="30">
        <f t="shared" si="221"/>
        <v>1</v>
      </c>
      <c r="CX1420" s="30">
        <f t="shared" si="222"/>
        <v>0</v>
      </c>
      <c r="CZ1420" s="30">
        <f t="shared" si="213"/>
        <v>1</v>
      </c>
      <c r="DA1420" s="52">
        <f t="shared" si="217"/>
        <v>0</v>
      </c>
      <c r="DB1420" s="2">
        <f t="shared" si="215"/>
        <v>0</v>
      </c>
      <c r="DS1420" s="130">
        <f>SI!BY1420</f>
        <v>574</v>
      </c>
      <c r="DZ1420" s="131">
        <f>SI!BZ1420</f>
        <v>0</v>
      </c>
    </row>
    <row r="1421" spans="1:130" hidden="1" x14ac:dyDescent="0.25">
      <c r="A1421" s="141"/>
      <c r="B1421" s="379"/>
      <c r="C1421" s="379"/>
      <c r="D1421" s="379"/>
      <c r="E1421" s="379"/>
      <c r="F1421" s="379"/>
      <c r="G1421" s="379"/>
      <c r="H1421" s="379"/>
      <c r="I1421" s="379"/>
      <c r="J1421" s="379"/>
      <c r="K1421" s="379"/>
      <c r="L1421" s="379"/>
      <c r="M1421" s="379"/>
      <c r="N1421" s="379"/>
      <c r="O1421" s="379"/>
      <c r="P1421" s="379"/>
      <c r="Q1421" s="379"/>
      <c r="R1421" s="379"/>
      <c r="S1421" s="379"/>
      <c r="T1421" s="379"/>
      <c r="U1421" s="379"/>
      <c r="V1421" s="379"/>
      <c r="W1421" s="379"/>
      <c r="X1421" s="379"/>
      <c r="Y1421" s="379"/>
      <c r="Z1421" s="379"/>
      <c r="AA1421" s="379"/>
      <c r="AB1421" s="379"/>
      <c r="AC1421" s="379"/>
      <c r="AD1421" s="379"/>
      <c r="AE1421" s="379"/>
      <c r="AF1421" s="379"/>
      <c r="AG1421" s="379"/>
      <c r="AH1421" s="379"/>
      <c r="AI1421" s="379"/>
      <c r="AJ1421" s="379"/>
      <c r="AK1421" s="379"/>
      <c r="AL1421" s="379"/>
      <c r="AM1421" s="379"/>
      <c r="AN1421" s="379"/>
      <c r="AO1421" s="379"/>
      <c r="AP1421" s="379"/>
      <c r="AQ1421" s="379"/>
      <c r="AR1421" s="379"/>
      <c r="AS1421" s="379"/>
      <c r="AT1421" s="379"/>
      <c r="AU1421" s="379"/>
      <c r="AV1421" s="379"/>
      <c r="AW1421" s="379"/>
      <c r="AX1421" s="379"/>
      <c r="AY1421" s="379"/>
      <c r="AZ1421" s="379"/>
      <c r="BA1421" s="379"/>
      <c r="BB1421" s="379"/>
      <c r="BC1421" s="379"/>
      <c r="BD1421" s="379"/>
      <c r="BE1421" s="379"/>
      <c r="BF1421" s="379"/>
      <c r="BG1421" s="379"/>
      <c r="BH1421" s="379"/>
      <c r="BI1421" s="379"/>
      <c r="BJ1421" s="379"/>
      <c r="BK1421" s="379"/>
      <c r="BL1421" s="379"/>
      <c r="BM1421" s="379"/>
      <c r="BN1421" s="379"/>
      <c r="BO1421" s="379"/>
      <c r="BP1421" s="379"/>
      <c r="BQ1421" s="379"/>
      <c r="BR1421" s="379"/>
      <c r="BS1421" s="379"/>
      <c r="BT1421" s="379"/>
      <c r="BU1421" s="379"/>
      <c r="BV1421" s="379"/>
      <c r="BW1421" s="379"/>
      <c r="BX1421" s="379"/>
      <c r="BY1421" s="379"/>
      <c r="BZ1421" s="379"/>
      <c r="CA1421" s="270"/>
      <c r="CB1421" s="3" t="str">
        <f t="shared" si="220"/>
        <v>Riadok bude skrytý.</v>
      </c>
      <c r="CC1421" s="271" t="s">
        <v>832</v>
      </c>
      <c r="CW1421" s="30">
        <f t="shared" si="221"/>
        <v>1</v>
      </c>
      <c r="CX1421" s="30">
        <f t="shared" si="222"/>
        <v>0</v>
      </c>
      <c r="CZ1421" s="30">
        <f t="shared" si="213"/>
        <v>1</v>
      </c>
      <c r="DA1421" s="52">
        <f t="shared" si="217"/>
        <v>0</v>
      </c>
      <c r="DB1421" s="2">
        <f t="shared" si="215"/>
        <v>0</v>
      </c>
      <c r="DS1421" s="130">
        <f>SI!BY1421</f>
        <v>163</v>
      </c>
      <c r="DZ1421" s="131">
        <f>SI!BZ1421</f>
        <v>0</v>
      </c>
    </row>
    <row r="1422" spans="1:130" hidden="1" x14ac:dyDescent="0.25">
      <c r="A1422" s="141"/>
      <c r="B1422" s="379"/>
      <c r="C1422" s="379"/>
      <c r="D1422" s="379"/>
      <c r="E1422" s="379"/>
      <c r="F1422" s="379"/>
      <c r="G1422" s="379"/>
      <c r="H1422" s="379"/>
      <c r="I1422" s="379"/>
      <c r="J1422" s="379"/>
      <c r="K1422" s="379"/>
      <c r="L1422" s="379"/>
      <c r="M1422" s="379"/>
      <c r="N1422" s="379"/>
      <c r="O1422" s="379"/>
      <c r="P1422" s="379"/>
      <c r="Q1422" s="379"/>
      <c r="R1422" s="379"/>
      <c r="S1422" s="379"/>
      <c r="T1422" s="379"/>
      <c r="U1422" s="379"/>
      <c r="V1422" s="379"/>
      <c r="W1422" s="379"/>
      <c r="X1422" s="379"/>
      <c r="Y1422" s="379"/>
      <c r="Z1422" s="379"/>
      <c r="AA1422" s="379"/>
      <c r="AB1422" s="379"/>
      <c r="AC1422" s="379"/>
      <c r="AD1422" s="379"/>
      <c r="AE1422" s="379"/>
      <c r="AF1422" s="379"/>
      <c r="AG1422" s="379"/>
      <c r="AH1422" s="379"/>
      <c r="AI1422" s="379"/>
      <c r="AJ1422" s="379"/>
      <c r="AK1422" s="379"/>
      <c r="AL1422" s="379"/>
      <c r="AM1422" s="379"/>
      <c r="AN1422" s="379"/>
      <c r="AO1422" s="379"/>
      <c r="AP1422" s="379"/>
      <c r="AQ1422" s="379"/>
      <c r="AR1422" s="379"/>
      <c r="AS1422" s="379"/>
      <c r="AT1422" s="379"/>
      <c r="AU1422" s="379"/>
      <c r="AV1422" s="379"/>
      <c r="AW1422" s="379"/>
      <c r="AX1422" s="379"/>
      <c r="AY1422" s="379"/>
      <c r="AZ1422" s="379"/>
      <c r="BA1422" s="379"/>
      <c r="BB1422" s="379"/>
      <c r="BC1422" s="379"/>
      <c r="BD1422" s="379"/>
      <c r="BE1422" s="379"/>
      <c r="BF1422" s="379"/>
      <c r="BG1422" s="379"/>
      <c r="BH1422" s="379"/>
      <c r="BI1422" s="379"/>
      <c r="BJ1422" s="379"/>
      <c r="BK1422" s="379"/>
      <c r="BL1422" s="379"/>
      <c r="BM1422" s="379"/>
      <c r="BN1422" s="379"/>
      <c r="BO1422" s="379"/>
      <c r="BP1422" s="379"/>
      <c r="BQ1422" s="379"/>
      <c r="BR1422" s="379"/>
      <c r="BS1422" s="379"/>
      <c r="BT1422" s="379"/>
      <c r="BU1422" s="379"/>
      <c r="BV1422" s="379"/>
      <c r="BW1422" s="379"/>
      <c r="BX1422" s="379"/>
      <c r="BY1422" s="379"/>
      <c r="BZ1422" s="379"/>
      <c r="CA1422" s="270"/>
      <c r="CB1422" s="3" t="str">
        <f t="shared" si="220"/>
        <v>Riadok bude skrytý.</v>
      </c>
      <c r="CC1422" s="271" t="s">
        <v>832</v>
      </c>
      <c r="CW1422" s="30">
        <f t="shared" si="221"/>
        <v>1</v>
      </c>
      <c r="CX1422" s="30">
        <f t="shared" si="222"/>
        <v>0</v>
      </c>
      <c r="CZ1422" s="30">
        <f t="shared" si="213"/>
        <v>1</v>
      </c>
      <c r="DA1422" s="52">
        <f t="shared" si="217"/>
        <v>0</v>
      </c>
      <c r="DB1422" s="2">
        <f t="shared" si="215"/>
        <v>0</v>
      </c>
      <c r="DS1422" s="130">
        <f>SI!BY1422</f>
        <v>1047</v>
      </c>
      <c r="DZ1422" s="131">
        <f>SI!BZ1422</f>
        <v>0</v>
      </c>
    </row>
    <row r="1423" spans="1:130" hidden="1" x14ac:dyDescent="0.25">
      <c r="A1423" s="141"/>
      <c r="B1423" s="379"/>
      <c r="C1423" s="379"/>
      <c r="D1423" s="379"/>
      <c r="E1423" s="379"/>
      <c r="F1423" s="379"/>
      <c r="G1423" s="379"/>
      <c r="H1423" s="379"/>
      <c r="I1423" s="379"/>
      <c r="J1423" s="379"/>
      <c r="K1423" s="379"/>
      <c r="L1423" s="379"/>
      <c r="M1423" s="379"/>
      <c r="N1423" s="379"/>
      <c r="O1423" s="379"/>
      <c r="P1423" s="379"/>
      <c r="Q1423" s="379"/>
      <c r="R1423" s="379"/>
      <c r="S1423" s="379"/>
      <c r="T1423" s="379"/>
      <c r="U1423" s="379"/>
      <c r="V1423" s="379"/>
      <c r="W1423" s="379"/>
      <c r="X1423" s="379"/>
      <c r="Y1423" s="379"/>
      <c r="Z1423" s="379"/>
      <c r="AA1423" s="379"/>
      <c r="AB1423" s="379"/>
      <c r="AC1423" s="379"/>
      <c r="AD1423" s="379"/>
      <c r="AE1423" s="379"/>
      <c r="AF1423" s="379"/>
      <c r="AG1423" s="379"/>
      <c r="AH1423" s="379"/>
      <c r="AI1423" s="379"/>
      <c r="AJ1423" s="379"/>
      <c r="AK1423" s="379"/>
      <c r="AL1423" s="379"/>
      <c r="AM1423" s="379"/>
      <c r="AN1423" s="379"/>
      <c r="AO1423" s="379"/>
      <c r="AP1423" s="379"/>
      <c r="AQ1423" s="379"/>
      <c r="AR1423" s="379"/>
      <c r="AS1423" s="379"/>
      <c r="AT1423" s="379"/>
      <c r="AU1423" s="379"/>
      <c r="AV1423" s="379"/>
      <c r="AW1423" s="379"/>
      <c r="AX1423" s="379"/>
      <c r="AY1423" s="379"/>
      <c r="AZ1423" s="379"/>
      <c r="BA1423" s="379"/>
      <c r="BB1423" s="379"/>
      <c r="BC1423" s="379"/>
      <c r="BD1423" s="379"/>
      <c r="BE1423" s="379"/>
      <c r="BF1423" s="379"/>
      <c r="BG1423" s="379"/>
      <c r="BH1423" s="379"/>
      <c r="BI1423" s="379"/>
      <c r="BJ1423" s="379"/>
      <c r="BK1423" s="379"/>
      <c r="BL1423" s="379"/>
      <c r="BM1423" s="379"/>
      <c r="BN1423" s="379"/>
      <c r="BO1423" s="379"/>
      <c r="BP1423" s="379"/>
      <c r="BQ1423" s="379"/>
      <c r="BR1423" s="379"/>
      <c r="BS1423" s="379"/>
      <c r="BT1423" s="379"/>
      <c r="BU1423" s="379"/>
      <c r="BV1423" s="379"/>
      <c r="BW1423" s="379"/>
      <c r="BX1423" s="379"/>
      <c r="BY1423" s="379"/>
      <c r="BZ1423" s="379"/>
      <c r="CA1423" s="270"/>
      <c r="CB1423" s="3" t="str">
        <f t="shared" si="220"/>
        <v>Riadok bude skrytý.</v>
      </c>
      <c r="CC1423" s="271" t="s">
        <v>832</v>
      </c>
      <c r="CW1423" s="30">
        <f t="shared" si="221"/>
        <v>1</v>
      </c>
      <c r="CX1423" s="30">
        <f t="shared" si="222"/>
        <v>0</v>
      </c>
      <c r="CZ1423" s="30">
        <f t="shared" si="213"/>
        <v>1</v>
      </c>
      <c r="DA1423" s="52">
        <f t="shared" si="217"/>
        <v>0</v>
      </c>
      <c r="DB1423" s="2">
        <f t="shared" si="215"/>
        <v>0</v>
      </c>
      <c r="DS1423" s="130">
        <f>SI!BY1423</f>
        <v>158</v>
      </c>
      <c r="DZ1423" s="131">
        <f>SI!BZ1423</f>
        <v>0</v>
      </c>
    </row>
    <row r="1424" spans="1:130" hidden="1" x14ac:dyDescent="0.25">
      <c r="A1424" s="141"/>
      <c r="B1424" s="379"/>
      <c r="C1424" s="379"/>
      <c r="D1424" s="379"/>
      <c r="E1424" s="379"/>
      <c r="F1424" s="379"/>
      <c r="G1424" s="379"/>
      <c r="H1424" s="379"/>
      <c r="I1424" s="379"/>
      <c r="J1424" s="379"/>
      <c r="K1424" s="379"/>
      <c r="L1424" s="379"/>
      <c r="M1424" s="379"/>
      <c r="N1424" s="379"/>
      <c r="O1424" s="379"/>
      <c r="P1424" s="379"/>
      <c r="Q1424" s="379"/>
      <c r="R1424" s="379"/>
      <c r="S1424" s="379"/>
      <c r="T1424" s="379"/>
      <c r="U1424" s="379"/>
      <c r="V1424" s="379"/>
      <c r="W1424" s="379"/>
      <c r="X1424" s="379"/>
      <c r="Y1424" s="379"/>
      <c r="Z1424" s="379"/>
      <c r="AA1424" s="379"/>
      <c r="AB1424" s="379"/>
      <c r="AC1424" s="379"/>
      <c r="AD1424" s="379"/>
      <c r="AE1424" s="379"/>
      <c r="AF1424" s="379"/>
      <c r="AG1424" s="379"/>
      <c r="AH1424" s="379"/>
      <c r="AI1424" s="379"/>
      <c r="AJ1424" s="379"/>
      <c r="AK1424" s="379"/>
      <c r="AL1424" s="379"/>
      <c r="AM1424" s="379"/>
      <c r="AN1424" s="379"/>
      <c r="AO1424" s="379"/>
      <c r="AP1424" s="379"/>
      <c r="AQ1424" s="379"/>
      <c r="AR1424" s="379"/>
      <c r="AS1424" s="379"/>
      <c r="AT1424" s="379"/>
      <c r="AU1424" s="379"/>
      <c r="AV1424" s="379"/>
      <c r="AW1424" s="379"/>
      <c r="AX1424" s="379"/>
      <c r="AY1424" s="379"/>
      <c r="AZ1424" s="379"/>
      <c r="BA1424" s="379"/>
      <c r="BB1424" s="379"/>
      <c r="BC1424" s="379"/>
      <c r="BD1424" s="379"/>
      <c r="BE1424" s="379"/>
      <c r="BF1424" s="379"/>
      <c r="BG1424" s="379"/>
      <c r="BH1424" s="379"/>
      <c r="BI1424" s="379"/>
      <c r="BJ1424" s="379"/>
      <c r="BK1424" s="379"/>
      <c r="BL1424" s="379"/>
      <c r="BM1424" s="379"/>
      <c r="BN1424" s="379"/>
      <c r="BO1424" s="379"/>
      <c r="BP1424" s="379"/>
      <c r="BQ1424" s="379"/>
      <c r="BR1424" s="379"/>
      <c r="BS1424" s="379"/>
      <c r="BT1424" s="379"/>
      <c r="BU1424" s="379"/>
      <c r="BV1424" s="379"/>
      <c r="BW1424" s="379"/>
      <c r="BX1424" s="379"/>
      <c r="BY1424" s="379"/>
      <c r="BZ1424" s="379"/>
      <c r="CA1424" s="270"/>
      <c r="CB1424" s="3" t="str">
        <f t="shared" si="220"/>
        <v>Riadok bude skrytý.</v>
      </c>
      <c r="CC1424" s="271" t="s">
        <v>832</v>
      </c>
      <c r="CW1424" s="30">
        <f t="shared" si="221"/>
        <v>1</v>
      </c>
      <c r="CX1424" s="30">
        <f t="shared" si="222"/>
        <v>0</v>
      </c>
      <c r="CZ1424" s="30">
        <f t="shared" si="213"/>
        <v>1</v>
      </c>
      <c r="DA1424" s="52">
        <f t="shared" si="217"/>
        <v>0</v>
      </c>
      <c r="DB1424" s="2">
        <f t="shared" si="215"/>
        <v>0</v>
      </c>
      <c r="DS1424" s="130">
        <f>SI!BY1424</f>
        <v>6</v>
      </c>
      <c r="DZ1424" s="131">
        <f>SI!BZ1424</f>
        <v>0</v>
      </c>
    </row>
    <row r="1425" spans="1:130" hidden="1" x14ac:dyDescent="0.25">
      <c r="A1425" s="141"/>
      <c r="B1425" s="379"/>
      <c r="C1425" s="379"/>
      <c r="D1425" s="379"/>
      <c r="E1425" s="379"/>
      <c r="F1425" s="379"/>
      <c r="G1425" s="379"/>
      <c r="H1425" s="379"/>
      <c r="I1425" s="379"/>
      <c r="J1425" s="379"/>
      <c r="K1425" s="379"/>
      <c r="L1425" s="379"/>
      <c r="M1425" s="379"/>
      <c r="N1425" s="379"/>
      <c r="O1425" s="379"/>
      <c r="P1425" s="379"/>
      <c r="Q1425" s="379"/>
      <c r="R1425" s="379"/>
      <c r="S1425" s="379"/>
      <c r="T1425" s="379"/>
      <c r="U1425" s="379"/>
      <c r="V1425" s="379"/>
      <c r="W1425" s="379"/>
      <c r="X1425" s="379"/>
      <c r="Y1425" s="379"/>
      <c r="Z1425" s="379"/>
      <c r="AA1425" s="379"/>
      <c r="AB1425" s="379"/>
      <c r="AC1425" s="379"/>
      <c r="AD1425" s="379"/>
      <c r="AE1425" s="379"/>
      <c r="AF1425" s="379"/>
      <c r="AG1425" s="379"/>
      <c r="AH1425" s="379"/>
      <c r="AI1425" s="379"/>
      <c r="AJ1425" s="379"/>
      <c r="AK1425" s="379"/>
      <c r="AL1425" s="379"/>
      <c r="AM1425" s="379"/>
      <c r="AN1425" s="379"/>
      <c r="AO1425" s="379"/>
      <c r="AP1425" s="379"/>
      <c r="AQ1425" s="379"/>
      <c r="AR1425" s="379"/>
      <c r="AS1425" s="379"/>
      <c r="AT1425" s="379"/>
      <c r="AU1425" s="379"/>
      <c r="AV1425" s="379"/>
      <c r="AW1425" s="379"/>
      <c r="AX1425" s="379"/>
      <c r="AY1425" s="379"/>
      <c r="AZ1425" s="379"/>
      <c r="BA1425" s="379"/>
      <c r="BB1425" s="379"/>
      <c r="BC1425" s="379"/>
      <c r="BD1425" s="379"/>
      <c r="BE1425" s="379"/>
      <c r="BF1425" s="379"/>
      <c r="BG1425" s="379"/>
      <c r="BH1425" s="379"/>
      <c r="BI1425" s="379"/>
      <c r="BJ1425" s="379"/>
      <c r="BK1425" s="379"/>
      <c r="BL1425" s="379"/>
      <c r="BM1425" s="379"/>
      <c r="BN1425" s="379"/>
      <c r="BO1425" s="379"/>
      <c r="BP1425" s="379"/>
      <c r="BQ1425" s="379"/>
      <c r="BR1425" s="379"/>
      <c r="BS1425" s="379"/>
      <c r="BT1425" s="379"/>
      <c r="BU1425" s="379"/>
      <c r="BV1425" s="379"/>
      <c r="BW1425" s="379"/>
      <c r="BX1425" s="379"/>
      <c r="BY1425" s="379"/>
      <c r="BZ1425" s="379"/>
      <c r="CA1425" s="270"/>
      <c r="CB1425" s="3" t="str">
        <f t="shared" si="220"/>
        <v>Riadok bude skrytý.</v>
      </c>
      <c r="CC1425" s="271" t="s">
        <v>832</v>
      </c>
      <c r="CW1425" s="30">
        <f t="shared" si="221"/>
        <v>1</v>
      </c>
      <c r="CX1425" s="30">
        <f t="shared" si="222"/>
        <v>0</v>
      </c>
      <c r="CZ1425" s="30">
        <f t="shared" si="213"/>
        <v>1</v>
      </c>
      <c r="DA1425" s="52">
        <f t="shared" si="217"/>
        <v>0</v>
      </c>
      <c r="DB1425" s="2">
        <f t="shared" si="215"/>
        <v>0</v>
      </c>
      <c r="DS1425" s="130">
        <f>SI!BY1425</f>
        <v>174</v>
      </c>
      <c r="DZ1425" s="131">
        <f>SI!BZ1425</f>
        <v>0</v>
      </c>
    </row>
    <row r="1426" spans="1:130" hidden="1" x14ac:dyDescent="0.25">
      <c r="A1426" s="141"/>
      <c r="B1426" s="379"/>
      <c r="C1426" s="379"/>
      <c r="D1426" s="379"/>
      <c r="E1426" s="379"/>
      <c r="F1426" s="379"/>
      <c r="G1426" s="379"/>
      <c r="H1426" s="379"/>
      <c r="I1426" s="379"/>
      <c r="J1426" s="379"/>
      <c r="K1426" s="379"/>
      <c r="L1426" s="379"/>
      <c r="M1426" s="379"/>
      <c r="N1426" s="379"/>
      <c r="O1426" s="379"/>
      <c r="P1426" s="379"/>
      <c r="Q1426" s="379"/>
      <c r="R1426" s="379"/>
      <c r="S1426" s="379"/>
      <c r="T1426" s="379"/>
      <c r="U1426" s="379"/>
      <c r="V1426" s="379"/>
      <c r="W1426" s="379"/>
      <c r="X1426" s="379"/>
      <c r="Y1426" s="379"/>
      <c r="Z1426" s="379"/>
      <c r="AA1426" s="379"/>
      <c r="AB1426" s="379"/>
      <c r="AC1426" s="379"/>
      <c r="AD1426" s="379"/>
      <c r="AE1426" s="379"/>
      <c r="AF1426" s="379"/>
      <c r="AG1426" s="379"/>
      <c r="AH1426" s="379"/>
      <c r="AI1426" s="379"/>
      <c r="AJ1426" s="379"/>
      <c r="AK1426" s="379"/>
      <c r="AL1426" s="379"/>
      <c r="AM1426" s="379"/>
      <c r="AN1426" s="379"/>
      <c r="AO1426" s="379"/>
      <c r="AP1426" s="379"/>
      <c r="AQ1426" s="379"/>
      <c r="AR1426" s="379"/>
      <c r="AS1426" s="379"/>
      <c r="AT1426" s="379"/>
      <c r="AU1426" s="379"/>
      <c r="AV1426" s="379"/>
      <c r="AW1426" s="379"/>
      <c r="AX1426" s="379"/>
      <c r="AY1426" s="379"/>
      <c r="AZ1426" s="379"/>
      <c r="BA1426" s="379"/>
      <c r="BB1426" s="379"/>
      <c r="BC1426" s="379"/>
      <c r="BD1426" s="379"/>
      <c r="BE1426" s="379"/>
      <c r="BF1426" s="379"/>
      <c r="BG1426" s="379"/>
      <c r="BH1426" s="379"/>
      <c r="BI1426" s="379"/>
      <c r="BJ1426" s="379"/>
      <c r="BK1426" s="379"/>
      <c r="BL1426" s="379"/>
      <c r="BM1426" s="379"/>
      <c r="BN1426" s="379"/>
      <c r="BO1426" s="379"/>
      <c r="BP1426" s="379"/>
      <c r="BQ1426" s="379"/>
      <c r="BR1426" s="379"/>
      <c r="BS1426" s="379"/>
      <c r="BT1426" s="379"/>
      <c r="BU1426" s="379"/>
      <c r="BV1426" s="379"/>
      <c r="BW1426" s="379"/>
      <c r="BX1426" s="379"/>
      <c r="BY1426" s="379"/>
      <c r="BZ1426" s="379"/>
      <c r="CA1426" s="270"/>
      <c r="CB1426" s="3" t="str">
        <f t="shared" si="220"/>
        <v>Riadok bude skrytý.</v>
      </c>
      <c r="CC1426" s="271" t="s">
        <v>832</v>
      </c>
      <c r="CW1426" s="30">
        <f t="shared" si="221"/>
        <v>1</v>
      </c>
      <c r="CX1426" s="30">
        <f t="shared" si="222"/>
        <v>0</v>
      </c>
      <c r="CZ1426" s="30">
        <f t="shared" si="213"/>
        <v>1</v>
      </c>
      <c r="DA1426" s="52">
        <f t="shared" si="217"/>
        <v>0</v>
      </c>
      <c r="DB1426" s="2">
        <f t="shared" si="215"/>
        <v>0</v>
      </c>
      <c r="DS1426" s="130">
        <f>SI!BY1426</f>
        <v>355</v>
      </c>
      <c r="DZ1426" s="131">
        <f>SI!BZ1426</f>
        <v>0</v>
      </c>
    </row>
    <row r="1427" spans="1:130" hidden="1" x14ac:dyDescent="0.25">
      <c r="A1427" s="141"/>
      <c r="B1427" s="379"/>
      <c r="C1427" s="379"/>
      <c r="D1427" s="379"/>
      <c r="E1427" s="379"/>
      <c r="F1427" s="379"/>
      <c r="G1427" s="379"/>
      <c r="H1427" s="379"/>
      <c r="I1427" s="379"/>
      <c r="J1427" s="379"/>
      <c r="K1427" s="379"/>
      <c r="L1427" s="379"/>
      <c r="M1427" s="379"/>
      <c r="N1427" s="379"/>
      <c r="O1427" s="379"/>
      <c r="P1427" s="379"/>
      <c r="Q1427" s="379"/>
      <c r="R1427" s="379"/>
      <c r="S1427" s="379"/>
      <c r="T1427" s="379"/>
      <c r="U1427" s="379"/>
      <c r="V1427" s="379"/>
      <c r="W1427" s="379"/>
      <c r="X1427" s="379"/>
      <c r="Y1427" s="379"/>
      <c r="Z1427" s="379"/>
      <c r="AA1427" s="379"/>
      <c r="AB1427" s="379"/>
      <c r="AC1427" s="379"/>
      <c r="AD1427" s="379"/>
      <c r="AE1427" s="379"/>
      <c r="AF1427" s="379"/>
      <c r="AG1427" s="379"/>
      <c r="AH1427" s="379"/>
      <c r="AI1427" s="379"/>
      <c r="AJ1427" s="379"/>
      <c r="AK1427" s="379"/>
      <c r="AL1427" s="379"/>
      <c r="AM1427" s="379"/>
      <c r="AN1427" s="379"/>
      <c r="AO1427" s="379"/>
      <c r="AP1427" s="379"/>
      <c r="AQ1427" s="379"/>
      <c r="AR1427" s="379"/>
      <c r="AS1427" s="379"/>
      <c r="AT1427" s="379"/>
      <c r="AU1427" s="379"/>
      <c r="AV1427" s="379"/>
      <c r="AW1427" s="379"/>
      <c r="AX1427" s="379"/>
      <c r="AY1427" s="379"/>
      <c r="AZ1427" s="379"/>
      <c r="BA1427" s="379"/>
      <c r="BB1427" s="379"/>
      <c r="BC1427" s="379"/>
      <c r="BD1427" s="379"/>
      <c r="BE1427" s="379"/>
      <c r="BF1427" s="379"/>
      <c r="BG1427" s="379"/>
      <c r="BH1427" s="379"/>
      <c r="BI1427" s="379"/>
      <c r="BJ1427" s="379"/>
      <c r="BK1427" s="379"/>
      <c r="BL1427" s="379"/>
      <c r="BM1427" s="379"/>
      <c r="BN1427" s="379"/>
      <c r="BO1427" s="379"/>
      <c r="BP1427" s="379"/>
      <c r="BQ1427" s="379"/>
      <c r="BR1427" s="379"/>
      <c r="BS1427" s="379"/>
      <c r="BT1427" s="379"/>
      <c r="BU1427" s="379"/>
      <c r="BV1427" s="379"/>
      <c r="BW1427" s="379"/>
      <c r="BX1427" s="379"/>
      <c r="BY1427" s="379"/>
      <c r="BZ1427" s="379"/>
      <c r="CA1427" s="270"/>
      <c r="CB1427" s="3" t="str">
        <f t="shared" si="220"/>
        <v>Riadok bude skrytý.</v>
      </c>
      <c r="CC1427" s="271" t="s">
        <v>832</v>
      </c>
      <c r="CW1427" s="30">
        <f t="shared" si="221"/>
        <v>1</v>
      </c>
      <c r="CX1427" s="30">
        <f t="shared" si="222"/>
        <v>0</v>
      </c>
      <c r="CZ1427" s="30">
        <f t="shared" si="213"/>
        <v>1</v>
      </c>
      <c r="DA1427" s="52">
        <f t="shared" si="217"/>
        <v>0</v>
      </c>
      <c r="DB1427" s="2">
        <f t="shared" si="215"/>
        <v>0</v>
      </c>
      <c r="DS1427" s="130">
        <f>SI!BY1427</f>
        <v>1180</v>
      </c>
      <c r="DZ1427" s="131">
        <f>SI!BZ1427</f>
        <v>0</v>
      </c>
    </row>
    <row r="1428" spans="1:130" hidden="1" x14ac:dyDescent="0.25">
      <c r="A1428" s="141"/>
      <c r="B1428" s="379"/>
      <c r="C1428" s="379"/>
      <c r="D1428" s="379"/>
      <c r="E1428" s="379"/>
      <c r="F1428" s="379"/>
      <c r="G1428" s="379"/>
      <c r="H1428" s="379"/>
      <c r="I1428" s="379"/>
      <c r="J1428" s="379"/>
      <c r="K1428" s="379"/>
      <c r="L1428" s="379"/>
      <c r="M1428" s="379"/>
      <c r="N1428" s="379"/>
      <c r="O1428" s="379"/>
      <c r="P1428" s="379"/>
      <c r="Q1428" s="379"/>
      <c r="R1428" s="379"/>
      <c r="S1428" s="379"/>
      <c r="T1428" s="379"/>
      <c r="U1428" s="379"/>
      <c r="V1428" s="379"/>
      <c r="W1428" s="379"/>
      <c r="X1428" s="379"/>
      <c r="Y1428" s="379"/>
      <c r="Z1428" s="379"/>
      <c r="AA1428" s="379"/>
      <c r="AB1428" s="379"/>
      <c r="AC1428" s="379"/>
      <c r="AD1428" s="379"/>
      <c r="AE1428" s="379"/>
      <c r="AF1428" s="379"/>
      <c r="AG1428" s="379"/>
      <c r="AH1428" s="379"/>
      <c r="AI1428" s="379"/>
      <c r="AJ1428" s="379"/>
      <c r="AK1428" s="379"/>
      <c r="AL1428" s="379"/>
      <c r="AM1428" s="379"/>
      <c r="AN1428" s="379"/>
      <c r="AO1428" s="379"/>
      <c r="AP1428" s="379"/>
      <c r="AQ1428" s="379"/>
      <c r="AR1428" s="379"/>
      <c r="AS1428" s="379"/>
      <c r="AT1428" s="379"/>
      <c r="AU1428" s="379"/>
      <c r="AV1428" s="379"/>
      <c r="AW1428" s="379"/>
      <c r="AX1428" s="379"/>
      <c r="AY1428" s="379"/>
      <c r="AZ1428" s="379"/>
      <c r="BA1428" s="379"/>
      <c r="BB1428" s="379"/>
      <c r="BC1428" s="379"/>
      <c r="BD1428" s="379"/>
      <c r="BE1428" s="379"/>
      <c r="BF1428" s="379"/>
      <c r="BG1428" s="379"/>
      <c r="BH1428" s="379"/>
      <c r="BI1428" s="379"/>
      <c r="BJ1428" s="379"/>
      <c r="BK1428" s="379"/>
      <c r="BL1428" s="379"/>
      <c r="BM1428" s="379"/>
      <c r="BN1428" s="379"/>
      <c r="BO1428" s="379"/>
      <c r="BP1428" s="379"/>
      <c r="BQ1428" s="379"/>
      <c r="BR1428" s="379"/>
      <c r="BS1428" s="379"/>
      <c r="BT1428" s="379"/>
      <c r="BU1428" s="379"/>
      <c r="BV1428" s="379"/>
      <c r="BW1428" s="379"/>
      <c r="BX1428" s="379"/>
      <c r="BY1428" s="379"/>
      <c r="BZ1428" s="379"/>
      <c r="CA1428" s="270"/>
      <c r="CB1428" s="3" t="str">
        <f t="shared" si="220"/>
        <v>Riadok bude skrytý.</v>
      </c>
      <c r="CC1428" s="271" t="s">
        <v>832</v>
      </c>
      <c r="CW1428" s="30">
        <f t="shared" si="221"/>
        <v>1</v>
      </c>
      <c r="CX1428" s="30">
        <f t="shared" si="222"/>
        <v>0</v>
      </c>
      <c r="CZ1428" s="30">
        <f t="shared" si="213"/>
        <v>1</v>
      </c>
      <c r="DA1428" s="52">
        <f t="shared" si="217"/>
        <v>0</v>
      </c>
      <c r="DB1428" s="2">
        <f t="shared" si="215"/>
        <v>0</v>
      </c>
      <c r="DS1428" s="130">
        <f>SI!BY1428</f>
        <v>171</v>
      </c>
      <c r="DZ1428" s="131">
        <f>SI!BZ1428</f>
        <v>0</v>
      </c>
    </row>
    <row r="1429" spans="1:130" hidden="1" x14ac:dyDescent="0.25">
      <c r="A1429" s="141"/>
      <c r="B1429" s="379"/>
      <c r="C1429" s="379"/>
      <c r="D1429" s="379"/>
      <c r="E1429" s="379"/>
      <c r="F1429" s="379"/>
      <c r="G1429" s="379"/>
      <c r="H1429" s="379"/>
      <c r="I1429" s="379"/>
      <c r="J1429" s="379"/>
      <c r="K1429" s="379"/>
      <c r="L1429" s="379"/>
      <c r="M1429" s="379"/>
      <c r="N1429" s="379"/>
      <c r="O1429" s="379"/>
      <c r="P1429" s="379"/>
      <c r="Q1429" s="379"/>
      <c r="R1429" s="379"/>
      <c r="S1429" s="379"/>
      <c r="T1429" s="379"/>
      <c r="U1429" s="379"/>
      <c r="V1429" s="379"/>
      <c r="W1429" s="379"/>
      <c r="X1429" s="379"/>
      <c r="Y1429" s="379"/>
      <c r="Z1429" s="379"/>
      <c r="AA1429" s="379"/>
      <c r="AB1429" s="379"/>
      <c r="AC1429" s="379"/>
      <c r="AD1429" s="379"/>
      <c r="AE1429" s="379"/>
      <c r="AF1429" s="379"/>
      <c r="AG1429" s="379"/>
      <c r="AH1429" s="379"/>
      <c r="AI1429" s="379"/>
      <c r="AJ1429" s="379"/>
      <c r="AK1429" s="379"/>
      <c r="AL1429" s="379"/>
      <c r="AM1429" s="379"/>
      <c r="AN1429" s="379"/>
      <c r="AO1429" s="379"/>
      <c r="AP1429" s="379"/>
      <c r="AQ1429" s="379"/>
      <c r="AR1429" s="379"/>
      <c r="AS1429" s="379"/>
      <c r="AT1429" s="379"/>
      <c r="AU1429" s="379"/>
      <c r="AV1429" s="379"/>
      <c r="AW1429" s="379"/>
      <c r="AX1429" s="379"/>
      <c r="AY1429" s="379"/>
      <c r="AZ1429" s="379"/>
      <c r="BA1429" s="379"/>
      <c r="BB1429" s="379"/>
      <c r="BC1429" s="379"/>
      <c r="BD1429" s="379"/>
      <c r="BE1429" s="379"/>
      <c r="BF1429" s="379"/>
      <c r="BG1429" s="379"/>
      <c r="BH1429" s="379"/>
      <c r="BI1429" s="379"/>
      <c r="BJ1429" s="379"/>
      <c r="BK1429" s="379"/>
      <c r="BL1429" s="379"/>
      <c r="BM1429" s="379"/>
      <c r="BN1429" s="379"/>
      <c r="BO1429" s="379"/>
      <c r="BP1429" s="379"/>
      <c r="BQ1429" s="379"/>
      <c r="BR1429" s="379"/>
      <c r="BS1429" s="379"/>
      <c r="BT1429" s="379"/>
      <c r="BU1429" s="379"/>
      <c r="BV1429" s="379"/>
      <c r="BW1429" s="379"/>
      <c r="BX1429" s="379"/>
      <c r="BY1429" s="379"/>
      <c r="BZ1429" s="379"/>
      <c r="CA1429" s="270"/>
      <c r="CB1429" s="3" t="str">
        <f t="shared" si="220"/>
        <v>Riadok bude skrytý.</v>
      </c>
      <c r="CC1429" s="271" t="s">
        <v>832</v>
      </c>
      <c r="CW1429" s="30">
        <f t="shared" si="221"/>
        <v>1</v>
      </c>
      <c r="CX1429" s="30">
        <f t="shared" si="222"/>
        <v>0</v>
      </c>
      <c r="CZ1429" s="30">
        <f t="shared" si="213"/>
        <v>1</v>
      </c>
      <c r="DA1429" s="52">
        <f t="shared" si="217"/>
        <v>0</v>
      </c>
      <c r="DB1429" s="2">
        <f t="shared" si="215"/>
        <v>0</v>
      </c>
      <c r="DS1429" s="130">
        <f>SI!BY1429</f>
        <v>164</v>
      </c>
      <c r="DZ1429" s="131">
        <f>SI!BZ1429</f>
        <v>0</v>
      </c>
    </row>
    <row r="1430" spans="1:130" hidden="1" x14ac:dyDescent="0.25">
      <c r="A1430" s="141"/>
      <c r="B1430" s="379"/>
      <c r="C1430" s="379"/>
      <c r="D1430" s="379"/>
      <c r="E1430" s="379"/>
      <c r="F1430" s="379"/>
      <c r="G1430" s="379"/>
      <c r="H1430" s="379"/>
      <c r="I1430" s="379"/>
      <c r="J1430" s="379"/>
      <c r="K1430" s="379"/>
      <c r="L1430" s="379"/>
      <c r="M1430" s="379"/>
      <c r="N1430" s="379"/>
      <c r="O1430" s="379"/>
      <c r="P1430" s="379"/>
      <c r="Q1430" s="379"/>
      <c r="R1430" s="379"/>
      <c r="S1430" s="379"/>
      <c r="T1430" s="379"/>
      <c r="U1430" s="379"/>
      <c r="V1430" s="379"/>
      <c r="W1430" s="379"/>
      <c r="X1430" s="379"/>
      <c r="Y1430" s="379"/>
      <c r="Z1430" s="379"/>
      <c r="AA1430" s="379"/>
      <c r="AB1430" s="379"/>
      <c r="AC1430" s="379"/>
      <c r="AD1430" s="379"/>
      <c r="AE1430" s="379"/>
      <c r="AF1430" s="379"/>
      <c r="AG1430" s="379"/>
      <c r="AH1430" s="379"/>
      <c r="AI1430" s="379"/>
      <c r="AJ1430" s="379"/>
      <c r="AK1430" s="379"/>
      <c r="AL1430" s="379"/>
      <c r="AM1430" s="379"/>
      <c r="AN1430" s="379"/>
      <c r="AO1430" s="379"/>
      <c r="AP1430" s="379"/>
      <c r="AQ1430" s="379"/>
      <c r="AR1430" s="379"/>
      <c r="AS1430" s="379"/>
      <c r="AT1430" s="379"/>
      <c r="AU1430" s="379"/>
      <c r="AV1430" s="379"/>
      <c r="AW1430" s="379"/>
      <c r="AX1430" s="379"/>
      <c r="AY1430" s="379"/>
      <c r="AZ1430" s="379"/>
      <c r="BA1430" s="379"/>
      <c r="BB1430" s="379"/>
      <c r="BC1430" s="379"/>
      <c r="BD1430" s="379"/>
      <c r="BE1430" s="379"/>
      <c r="BF1430" s="379"/>
      <c r="BG1430" s="379"/>
      <c r="BH1430" s="379"/>
      <c r="BI1430" s="379"/>
      <c r="BJ1430" s="379"/>
      <c r="BK1430" s="379"/>
      <c r="BL1430" s="379"/>
      <c r="BM1430" s="379"/>
      <c r="BN1430" s="379"/>
      <c r="BO1430" s="379"/>
      <c r="BP1430" s="379"/>
      <c r="BQ1430" s="379"/>
      <c r="BR1430" s="379"/>
      <c r="BS1430" s="379"/>
      <c r="BT1430" s="379"/>
      <c r="BU1430" s="379"/>
      <c r="BV1430" s="379"/>
      <c r="BW1430" s="379"/>
      <c r="BX1430" s="379"/>
      <c r="BY1430" s="379"/>
      <c r="BZ1430" s="379"/>
      <c r="CA1430" s="270"/>
      <c r="CB1430" s="3" t="str">
        <f t="shared" si="220"/>
        <v>Riadok bude skrytý.</v>
      </c>
      <c r="CC1430" s="271" t="s">
        <v>832</v>
      </c>
      <c r="CW1430" s="30">
        <f t="shared" si="221"/>
        <v>1</v>
      </c>
      <c r="CX1430" s="30">
        <f t="shared" si="222"/>
        <v>0</v>
      </c>
      <c r="CZ1430" s="30">
        <f t="shared" si="213"/>
        <v>1</v>
      </c>
      <c r="DA1430" s="52">
        <f t="shared" si="217"/>
        <v>0</v>
      </c>
      <c r="DB1430" s="2">
        <f t="shared" si="215"/>
        <v>0</v>
      </c>
      <c r="DS1430" s="130">
        <f>SI!BY1430</f>
        <v>110</v>
      </c>
      <c r="DZ1430" s="131">
        <f>SI!BZ1430</f>
        <v>0</v>
      </c>
    </row>
    <row r="1431" spans="1:130" hidden="1" x14ac:dyDescent="0.25">
      <c r="A1431" s="141"/>
      <c r="B1431" s="379"/>
      <c r="C1431" s="379"/>
      <c r="D1431" s="379"/>
      <c r="E1431" s="379"/>
      <c r="F1431" s="379"/>
      <c r="G1431" s="379"/>
      <c r="H1431" s="379"/>
      <c r="I1431" s="379"/>
      <c r="J1431" s="379"/>
      <c r="K1431" s="379"/>
      <c r="L1431" s="379"/>
      <c r="M1431" s="379"/>
      <c r="N1431" s="379"/>
      <c r="O1431" s="379"/>
      <c r="P1431" s="379"/>
      <c r="Q1431" s="379"/>
      <c r="R1431" s="379"/>
      <c r="S1431" s="379"/>
      <c r="T1431" s="379"/>
      <c r="U1431" s="379"/>
      <c r="V1431" s="379"/>
      <c r="W1431" s="379"/>
      <c r="X1431" s="379"/>
      <c r="Y1431" s="379"/>
      <c r="Z1431" s="379"/>
      <c r="AA1431" s="379"/>
      <c r="AB1431" s="379"/>
      <c r="AC1431" s="379"/>
      <c r="AD1431" s="379"/>
      <c r="AE1431" s="379"/>
      <c r="AF1431" s="379"/>
      <c r="AG1431" s="379"/>
      <c r="AH1431" s="379"/>
      <c r="AI1431" s="379"/>
      <c r="AJ1431" s="379"/>
      <c r="AK1431" s="379"/>
      <c r="AL1431" s="379"/>
      <c r="AM1431" s="379"/>
      <c r="AN1431" s="379"/>
      <c r="AO1431" s="379"/>
      <c r="AP1431" s="379"/>
      <c r="AQ1431" s="379"/>
      <c r="AR1431" s="379"/>
      <c r="AS1431" s="379"/>
      <c r="AT1431" s="379"/>
      <c r="AU1431" s="379"/>
      <c r="AV1431" s="379"/>
      <c r="AW1431" s="379"/>
      <c r="AX1431" s="379"/>
      <c r="AY1431" s="379"/>
      <c r="AZ1431" s="379"/>
      <c r="BA1431" s="379"/>
      <c r="BB1431" s="379"/>
      <c r="BC1431" s="379"/>
      <c r="BD1431" s="379"/>
      <c r="BE1431" s="379"/>
      <c r="BF1431" s="379"/>
      <c r="BG1431" s="379"/>
      <c r="BH1431" s="379"/>
      <c r="BI1431" s="379"/>
      <c r="BJ1431" s="379"/>
      <c r="BK1431" s="379"/>
      <c r="BL1431" s="379"/>
      <c r="BM1431" s="379"/>
      <c r="BN1431" s="379"/>
      <c r="BO1431" s="379"/>
      <c r="BP1431" s="379"/>
      <c r="BQ1431" s="379"/>
      <c r="BR1431" s="379"/>
      <c r="BS1431" s="379"/>
      <c r="BT1431" s="379"/>
      <c r="BU1431" s="379"/>
      <c r="BV1431" s="379"/>
      <c r="BW1431" s="379"/>
      <c r="BX1431" s="379"/>
      <c r="BY1431" s="379"/>
      <c r="BZ1431" s="379"/>
      <c r="CA1431" s="270"/>
      <c r="CB1431" s="3" t="str">
        <f t="shared" si="220"/>
        <v>Riadok bude skrytý.</v>
      </c>
      <c r="CC1431" s="271" t="s">
        <v>832</v>
      </c>
      <c r="CW1431" s="30">
        <f t="shared" si="221"/>
        <v>1</v>
      </c>
      <c r="CX1431" s="30">
        <f t="shared" si="222"/>
        <v>0</v>
      </c>
      <c r="CZ1431" s="30">
        <f t="shared" si="213"/>
        <v>1</v>
      </c>
      <c r="DA1431" s="52">
        <f t="shared" si="217"/>
        <v>0</v>
      </c>
      <c r="DB1431" s="2">
        <f t="shared" si="215"/>
        <v>0</v>
      </c>
      <c r="DS1431" s="130">
        <f>SI!BY1431</f>
        <v>614</v>
      </c>
      <c r="DZ1431" s="131">
        <f>SI!BZ1431</f>
        <v>0</v>
      </c>
    </row>
    <row r="1432" spans="1:130" hidden="1" x14ac:dyDescent="0.25">
      <c r="A1432" s="141"/>
      <c r="B1432" s="379"/>
      <c r="C1432" s="379"/>
      <c r="D1432" s="379"/>
      <c r="E1432" s="379"/>
      <c r="F1432" s="379"/>
      <c r="G1432" s="379"/>
      <c r="H1432" s="379"/>
      <c r="I1432" s="379"/>
      <c r="J1432" s="379"/>
      <c r="K1432" s="379"/>
      <c r="L1432" s="379"/>
      <c r="M1432" s="379"/>
      <c r="N1432" s="379"/>
      <c r="O1432" s="379"/>
      <c r="P1432" s="379"/>
      <c r="Q1432" s="379"/>
      <c r="R1432" s="379"/>
      <c r="S1432" s="379"/>
      <c r="T1432" s="379"/>
      <c r="U1432" s="379"/>
      <c r="V1432" s="379"/>
      <c r="W1432" s="379"/>
      <c r="X1432" s="379"/>
      <c r="Y1432" s="379"/>
      <c r="Z1432" s="379"/>
      <c r="AA1432" s="379"/>
      <c r="AB1432" s="379"/>
      <c r="AC1432" s="379"/>
      <c r="AD1432" s="379"/>
      <c r="AE1432" s="379"/>
      <c r="AF1432" s="379"/>
      <c r="AG1432" s="379"/>
      <c r="AH1432" s="379"/>
      <c r="AI1432" s="379"/>
      <c r="AJ1432" s="379"/>
      <c r="AK1432" s="379"/>
      <c r="AL1432" s="379"/>
      <c r="AM1432" s="379"/>
      <c r="AN1432" s="379"/>
      <c r="AO1432" s="379"/>
      <c r="AP1432" s="379"/>
      <c r="AQ1432" s="379"/>
      <c r="AR1432" s="379"/>
      <c r="AS1432" s="379"/>
      <c r="AT1432" s="379"/>
      <c r="AU1432" s="379"/>
      <c r="AV1432" s="379"/>
      <c r="AW1432" s="379"/>
      <c r="AX1432" s="379"/>
      <c r="AY1432" s="379"/>
      <c r="AZ1432" s="379"/>
      <c r="BA1432" s="379"/>
      <c r="BB1432" s="379"/>
      <c r="BC1432" s="379"/>
      <c r="BD1432" s="379"/>
      <c r="BE1432" s="379"/>
      <c r="BF1432" s="379"/>
      <c r="BG1432" s="379"/>
      <c r="BH1432" s="379"/>
      <c r="BI1432" s="379"/>
      <c r="BJ1432" s="379"/>
      <c r="BK1432" s="379"/>
      <c r="BL1432" s="379"/>
      <c r="BM1432" s="379"/>
      <c r="BN1432" s="379"/>
      <c r="BO1432" s="379"/>
      <c r="BP1432" s="379"/>
      <c r="BQ1432" s="379"/>
      <c r="BR1432" s="379"/>
      <c r="BS1432" s="379"/>
      <c r="BT1432" s="379"/>
      <c r="BU1432" s="379"/>
      <c r="BV1432" s="379"/>
      <c r="BW1432" s="379"/>
      <c r="BX1432" s="379"/>
      <c r="BY1432" s="379"/>
      <c r="BZ1432" s="379"/>
      <c r="CA1432" s="270"/>
      <c r="CB1432" s="3" t="str">
        <f t="shared" si="220"/>
        <v>Riadok bude skrytý.</v>
      </c>
      <c r="CC1432" s="271" t="s">
        <v>832</v>
      </c>
      <c r="CW1432" s="30">
        <f t="shared" si="221"/>
        <v>1</v>
      </c>
      <c r="CX1432" s="30">
        <f t="shared" si="222"/>
        <v>0</v>
      </c>
      <c r="CZ1432" s="30">
        <f t="shared" si="213"/>
        <v>1</v>
      </c>
      <c r="DA1432" s="52">
        <f t="shared" si="217"/>
        <v>0</v>
      </c>
      <c r="DB1432" s="2">
        <f t="shared" si="215"/>
        <v>0</v>
      </c>
      <c r="DS1432" s="130">
        <f>SI!BY1432</f>
        <v>195</v>
      </c>
      <c r="DZ1432" s="131">
        <f>SI!BZ1432</f>
        <v>0</v>
      </c>
    </row>
    <row r="1433" spans="1:130" hidden="1" x14ac:dyDescent="0.25">
      <c r="A1433" s="141"/>
      <c r="B1433" s="379"/>
      <c r="C1433" s="379"/>
      <c r="D1433" s="379"/>
      <c r="E1433" s="379"/>
      <c r="F1433" s="379"/>
      <c r="G1433" s="379"/>
      <c r="H1433" s="379"/>
      <c r="I1433" s="379"/>
      <c r="J1433" s="379"/>
      <c r="K1433" s="379"/>
      <c r="L1433" s="379"/>
      <c r="M1433" s="379"/>
      <c r="N1433" s="379"/>
      <c r="O1433" s="379"/>
      <c r="P1433" s="379"/>
      <c r="Q1433" s="379"/>
      <c r="R1433" s="379"/>
      <c r="S1433" s="379"/>
      <c r="T1433" s="379"/>
      <c r="U1433" s="379"/>
      <c r="V1433" s="379"/>
      <c r="W1433" s="379"/>
      <c r="X1433" s="379"/>
      <c r="Y1433" s="379"/>
      <c r="Z1433" s="379"/>
      <c r="AA1433" s="379"/>
      <c r="AB1433" s="379"/>
      <c r="AC1433" s="379"/>
      <c r="AD1433" s="379"/>
      <c r="AE1433" s="379"/>
      <c r="AF1433" s="379"/>
      <c r="AG1433" s="379"/>
      <c r="AH1433" s="379"/>
      <c r="AI1433" s="379"/>
      <c r="AJ1433" s="379"/>
      <c r="AK1433" s="379"/>
      <c r="AL1433" s="379"/>
      <c r="AM1433" s="379"/>
      <c r="AN1433" s="379"/>
      <c r="AO1433" s="379"/>
      <c r="AP1433" s="379"/>
      <c r="AQ1433" s="379"/>
      <c r="AR1433" s="379"/>
      <c r="AS1433" s="379"/>
      <c r="AT1433" s="379"/>
      <c r="AU1433" s="379"/>
      <c r="AV1433" s="379"/>
      <c r="AW1433" s="379"/>
      <c r="AX1433" s="379"/>
      <c r="AY1433" s="379"/>
      <c r="AZ1433" s="379"/>
      <c r="BA1433" s="379"/>
      <c r="BB1433" s="379"/>
      <c r="BC1433" s="379"/>
      <c r="BD1433" s="379"/>
      <c r="BE1433" s="379"/>
      <c r="BF1433" s="379"/>
      <c r="BG1433" s="379"/>
      <c r="BH1433" s="379"/>
      <c r="BI1433" s="379"/>
      <c r="BJ1433" s="379"/>
      <c r="BK1433" s="379"/>
      <c r="BL1433" s="379"/>
      <c r="BM1433" s="379"/>
      <c r="BN1433" s="379"/>
      <c r="BO1433" s="379"/>
      <c r="BP1433" s="379"/>
      <c r="BQ1433" s="379"/>
      <c r="BR1433" s="379"/>
      <c r="BS1433" s="379"/>
      <c r="BT1433" s="379"/>
      <c r="BU1433" s="379"/>
      <c r="BV1433" s="379"/>
      <c r="BW1433" s="379"/>
      <c r="BX1433" s="379"/>
      <c r="BY1433" s="379"/>
      <c r="BZ1433" s="379"/>
      <c r="CA1433" s="270"/>
      <c r="CB1433" s="3" t="str">
        <f t="shared" si="220"/>
        <v>Riadok bude skrytý.</v>
      </c>
      <c r="CC1433" s="271" t="s">
        <v>832</v>
      </c>
      <c r="CW1433" s="30">
        <f t="shared" si="221"/>
        <v>1</v>
      </c>
      <c r="CX1433" s="30">
        <f t="shared" si="222"/>
        <v>0</v>
      </c>
      <c r="CZ1433" s="30">
        <f t="shared" si="213"/>
        <v>1</v>
      </c>
      <c r="DA1433" s="52">
        <f t="shared" si="217"/>
        <v>0</v>
      </c>
      <c r="DB1433" s="2">
        <f t="shared" si="215"/>
        <v>0</v>
      </c>
      <c r="DS1433" s="130">
        <f>SI!BY1433</f>
        <v>245</v>
      </c>
      <c r="DZ1433" s="131">
        <f>SI!BZ1433</f>
        <v>0</v>
      </c>
    </row>
    <row r="1434" spans="1:130" hidden="1" x14ac:dyDescent="0.25">
      <c r="A1434" s="141"/>
      <c r="B1434" s="379"/>
      <c r="C1434" s="379"/>
      <c r="D1434" s="379"/>
      <c r="E1434" s="379"/>
      <c r="F1434" s="379"/>
      <c r="G1434" s="379"/>
      <c r="H1434" s="379"/>
      <c r="I1434" s="379"/>
      <c r="J1434" s="379"/>
      <c r="K1434" s="379"/>
      <c r="L1434" s="379"/>
      <c r="M1434" s="379"/>
      <c r="N1434" s="379"/>
      <c r="O1434" s="379"/>
      <c r="P1434" s="379"/>
      <c r="Q1434" s="379"/>
      <c r="R1434" s="379"/>
      <c r="S1434" s="379"/>
      <c r="T1434" s="379"/>
      <c r="U1434" s="379"/>
      <c r="V1434" s="379"/>
      <c r="W1434" s="379"/>
      <c r="X1434" s="379"/>
      <c r="Y1434" s="379"/>
      <c r="Z1434" s="379"/>
      <c r="AA1434" s="379"/>
      <c r="AB1434" s="379"/>
      <c r="AC1434" s="379"/>
      <c r="AD1434" s="379"/>
      <c r="AE1434" s="379"/>
      <c r="AF1434" s="379"/>
      <c r="AG1434" s="379"/>
      <c r="AH1434" s="379"/>
      <c r="AI1434" s="379"/>
      <c r="AJ1434" s="379"/>
      <c r="AK1434" s="379"/>
      <c r="AL1434" s="379"/>
      <c r="AM1434" s="379"/>
      <c r="AN1434" s="379"/>
      <c r="AO1434" s="379"/>
      <c r="AP1434" s="379"/>
      <c r="AQ1434" s="379"/>
      <c r="AR1434" s="379"/>
      <c r="AS1434" s="379"/>
      <c r="AT1434" s="379"/>
      <c r="AU1434" s="379"/>
      <c r="AV1434" s="379"/>
      <c r="AW1434" s="379"/>
      <c r="AX1434" s="379"/>
      <c r="AY1434" s="379"/>
      <c r="AZ1434" s="379"/>
      <c r="BA1434" s="379"/>
      <c r="BB1434" s="379"/>
      <c r="BC1434" s="379"/>
      <c r="BD1434" s="379"/>
      <c r="BE1434" s="379"/>
      <c r="BF1434" s="379"/>
      <c r="BG1434" s="379"/>
      <c r="BH1434" s="379"/>
      <c r="BI1434" s="379"/>
      <c r="BJ1434" s="379"/>
      <c r="BK1434" s="379"/>
      <c r="BL1434" s="379"/>
      <c r="BM1434" s="379"/>
      <c r="BN1434" s="379"/>
      <c r="BO1434" s="379"/>
      <c r="BP1434" s="379"/>
      <c r="BQ1434" s="379"/>
      <c r="BR1434" s="379"/>
      <c r="BS1434" s="379"/>
      <c r="BT1434" s="379"/>
      <c r="BU1434" s="379"/>
      <c r="BV1434" s="379"/>
      <c r="BW1434" s="379"/>
      <c r="BX1434" s="379"/>
      <c r="BY1434" s="379"/>
      <c r="BZ1434" s="379"/>
      <c r="CA1434" s="270"/>
      <c r="CB1434" s="3" t="str">
        <f t="shared" si="220"/>
        <v>Riadok bude skrytý.</v>
      </c>
      <c r="CC1434" s="271" t="s">
        <v>832</v>
      </c>
      <c r="CW1434" s="30">
        <f t="shared" si="221"/>
        <v>1</v>
      </c>
      <c r="CX1434" s="30">
        <f t="shared" si="222"/>
        <v>0</v>
      </c>
      <c r="CZ1434" s="30">
        <f t="shared" si="213"/>
        <v>1</v>
      </c>
      <c r="DA1434" s="52">
        <f t="shared" si="217"/>
        <v>0</v>
      </c>
      <c r="DB1434" s="2">
        <f t="shared" si="215"/>
        <v>0</v>
      </c>
      <c r="DS1434" s="130">
        <f>SI!BY1434</f>
        <v>123</v>
      </c>
      <c r="DZ1434" s="131">
        <f>SI!BZ1434</f>
        <v>0</v>
      </c>
    </row>
    <row r="1435" spans="1:130" hidden="1" x14ac:dyDescent="0.25">
      <c r="A1435" s="141"/>
      <c r="B1435" s="379"/>
      <c r="C1435" s="379"/>
      <c r="D1435" s="379"/>
      <c r="E1435" s="379"/>
      <c r="F1435" s="379"/>
      <c r="G1435" s="379"/>
      <c r="H1435" s="379"/>
      <c r="I1435" s="379"/>
      <c r="J1435" s="379"/>
      <c r="K1435" s="379"/>
      <c r="L1435" s="379"/>
      <c r="M1435" s="379"/>
      <c r="N1435" s="379"/>
      <c r="O1435" s="379"/>
      <c r="P1435" s="379"/>
      <c r="Q1435" s="379"/>
      <c r="R1435" s="379"/>
      <c r="S1435" s="379"/>
      <c r="T1435" s="379"/>
      <c r="U1435" s="379"/>
      <c r="V1435" s="379"/>
      <c r="W1435" s="379"/>
      <c r="X1435" s="379"/>
      <c r="Y1435" s="379"/>
      <c r="Z1435" s="379"/>
      <c r="AA1435" s="379"/>
      <c r="AB1435" s="379"/>
      <c r="AC1435" s="379"/>
      <c r="AD1435" s="379"/>
      <c r="AE1435" s="379"/>
      <c r="AF1435" s="379"/>
      <c r="AG1435" s="379"/>
      <c r="AH1435" s="379"/>
      <c r="AI1435" s="379"/>
      <c r="AJ1435" s="379"/>
      <c r="AK1435" s="379"/>
      <c r="AL1435" s="379"/>
      <c r="AM1435" s="379"/>
      <c r="AN1435" s="379"/>
      <c r="AO1435" s="379"/>
      <c r="AP1435" s="379"/>
      <c r="AQ1435" s="379"/>
      <c r="AR1435" s="379"/>
      <c r="AS1435" s="379"/>
      <c r="AT1435" s="379"/>
      <c r="AU1435" s="379"/>
      <c r="AV1435" s="379"/>
      <c r="AW1435" s="379"/>
      <c r="AX1435" s="379"/>
      <c r="AY1435" s="379"/>
      <c r="AZ1435" s="379"/>
      <c r="BA1435" s="379"/>
      <c r="BB1435" s="379"/>
      <c r="BC1435" s="379"/>
      <c r="BD1435" s="379"/>
      <c r="BE1435" s="379"/>
      <c r="BF1435" s="379"/>
      <c r="BG1435" s="379"/>
      <c r="BH1435" s="379"/>
      <c r="BI1435" s="379"/>
      <c r="BJ1435" s="379"/>
      <c r="BK1435" s="379"/>
      <c r="BL1435" s="379"/>
      <c r="BM1435" s="379"/>
      <c r="BN1435" s="379"/>
      <c r="BO1435" s="379"/>
      <c r="BP1435" s="379"/>
      <c r="BQ1435" s="379"/>
      <c r="BR1435" s="379"/>
      <c r="BS1435" s="379"/>
      <c r="BT1435" s="379"/>
      <c r="BU1435" s="379"/>
      <c r="BV1435" s="379"/>
      <c r="BW1435" s="379"/>
      <c r="BX1435" s="379"/>
      <c r="BY1435" s="379"/>
      <c r="BZ1435" s="379"/>
      <c r="CA1435" s="270"/>
      <c r="CB1435" s="3" t="str">
        <f t="shared" si="220"/>
        <v>Riadok bude skrytý.</v>
      </c>
      <c r="CC1435" s="271" t="s">
        <v>832</v>
      </c>
      <c r="CW1435" s="30">
        <f t="shared" si="221"/>
        <v>1</v>
      </c>
      <c r="CX1435" s="30">
        <f t="shared" si="222"/>
        <v>0</v>
      </c>
      <c r="CZ1435" s="30">
        <f t="shared" si="213"/>
        <v>1</v>
      </c>
      <c r="DA1435" s="52">
        <f t="shared" si="217"/>
        <v>0</v>
      </c>
      <c r="DB1435" s="2">
        <f t="shared" si="215"/>
        <v>0</v>
      </c>
      <c r="DS1435" s="130">
        <f>SI!BY1435</f>
        <v>876</v>
      </c>
      <c r="DZ1435" s="131">
        <f>SI!BZ1435</f>
        <v>0</v>
      </c>
    </row>
    <row r="1436" spans="1:130" hidden="1" x14ac:dyDescent="0.25">
      <c r="A1436" s="141"/>
      <c r="B1436" s="379"/>
      <c r="C1436" s="379"/>
      <c r="D1436" s="379"/>
      <c r="E1436" s="379"/>
      <c r="F1436" s="379"/>
      <c r="G1436" s="379"/>
      <c r="H1436" s="379"/>
      <c r="I1436" s="379"/>
      <c r="J1436" s="379"/>
      <c r="K1436" s="379"/>
      <c r="L1436" s="379"/>
      <c r="M1436" s="379"/>
      <c r="N1436" s="379"/>
      <c r="O1436" s="379"/>
      <c r="P1436" s="379"/>
      <c r="Q1436" s="379"/>
      <c r="R1436" s="379"/>
      <c r="S1436" s="379"/>
      <c r="T1436" s="379"/>
      <c r="U1436" s="379"/>
      <c r="V1436" s="379"/>
      <c r="W1436" s="379"/>
      <c r="X1436" s="379"/>
      <c r="Y1436" s="379"/>
      <c r="Z1436" s="379"/>
      <c r="AA1436" s="379"/>
      <c r="AB1436" s="379"/>
      <c r="AC1436" s="379"/>
      <c r="AD1436" s="379"/>
      <c r="AE1436" s="379"/>
      <c r="AF1436" s="379"/>
      <c r="AG1436" s="379"/>
      <c r="AH1436" s="379"/>
      <c r="AI1436" s="379"/>
      <c r="AJ1436" s="379"/>
      <c r="AK1436" s="379"/>
      <c r="AL1436" s="379"/>
      <c r="AM1436" s="379"/>
      <c r="AN1436" s="379"/>
      <c r="AO1436" s="379"/>
      <c r="AP1436" s="379"/>
      <c r="AQ1436" s="379"/>
      <c r="AR1436" s="379"/>
      <c r="AS1436" s="379"/>
      <c r="AT1436" s="379"/>
      <c r="AU1436" s="379"/>
      <c r="AV1436" s="379"/>
      <c r="AW1436" s="379"/>
      <c r="AX1436" s="379"/>
      <c r="AY1436" s="379"/>
      <c r="AZ1436" s="379"/>
      <c r="BA1436" s="379"/>
      <c r="BB1436" s="379"/>
      <c r="BC1436" s="379"/>
      <c r="BD1436" s="379"/>
      <c r="BE1436" s="379"/>
      <c r="BF1436" s="379"/>
      <c r="BG1436" s="379"/>
      <c r="BH1436" s="379"/>
      <c r="BI1436" s="379"/>
      <c r="BJ1436" s="379"/>
      <c r="BK1436" s="379"/>
      <c r="BL1436" s="379"/>
      <c r="BM1436" s="379"/>
      <c r="BN1436" s="379"/>
      <c r="BO1436" s="379"/>
      <c r="BP1436" s="379"/>
      <c r="BQ1436" s="379"/>
      <c r="BR1436" s="379"/>
      <c r="BS1436" s="379"/>
      <c r="BT1436" s="379"/>
      <c r="BU1436" s="379"/>
      <c r="BV1436" s="379"/>
      <c r="BW1436" s="379"/>
      <c r="BX1436" s="379"/>
      <c r="BY1436" s="379"/>
      <c r="BZ1436" s="379"/>
      <c r="CA1436" s="270"/>
      <c r="CB1436" s="3" t="str">
        <f t="shared" si="220"/>
        <v>Riadok bude skrytý.</v>
      </c>
      <c r="CC1436" s="271" t="s">
        <v>832</v>
      </c>
      <c r="CW1436" s="30">
        <f t="shared" si="221"/>
        <v>1</v>
      </c>
      <c r="CX1436" s="30">
        <f t="shared" si="222"/>
        <v>0</v>
      </c>
      <c r="CZ1436" s="30">
        <f t="shared" si="213"/>
        <v>1</v>
      </c>
      <c r="DA1436" s="52">
        <f t="shared" si="217"/>
        <v>0</v>
      </c>
      <c r="DB1436" s="2">
        <f t="shared" si="215"/>
        <v>0</v>
      </c>
      <c r="DS1436" s="130">
        <f>SI!BY1436</f>
        <v>106</v>
      </c>
      <c r="DZ1436" s="131">
        <f>SI!BZ1436</f>
        <v>0</v>
      </c>
    </row>
    <row r="1437" spans="1:130" hidden="1" x14ac:dyDescent="0.25">
      <c r="A1437" s="141"/>
      <c r="B1437" s="379"/>
      <c r="C1437" s="379"/>
      <c r="D1437" s="379"/>
      <c r="E1437" s="379"/>
      <c r="F1437" s="379"/>
      <c r="G1437" s="379"/>
      <c r="H1437" s="379"/>
      <c r="I1437" s="379"/>
      <c r="J1437" s="379"/>
      <c r="K1437" s="379"/>
      <c r="L1437" s="379"/>
      <c r="M1437" s="379"/>
      <c r="N1437" s="379"/>
      <c r="O1437" s="379"/>
      <c r="P1437" s="379"/>
      <c r="Q1437" s="379"/>
      <c r="R1437" s="379"/>
      <c r="S1437" s="379"/>
      <c r="T1437" s="379"/>
      <c r="U1437" s="379"/>
      <c r="V1437" s="379"/>
      <c r="W1437" s="379"/>
      <c r="X1437" s="379"/>
      <c r="Y1437" s="379"/>
      <c r="Z1437" s="379"/>
      <c r="AA1437" s="379"/>
      <c r="AB1437" s="379"/>
      <c r="AC1437" s="379"/>
      <c r="AD1437" s="379"/>
      <c r="AE1437" s="379"/>
      <c r="AF1437" s="379"/>
      <c r="AG1437" s="379"/>
      <c r="AH1437" s="379"/>
      <c r="AI1437" s="379"/>
      <c r="AJ1437" s="379"/>
      <c r="AK1437" s="379"/>
      <c r="AL1437" s="379"/>
      <c r="AM1437" s="379"/>
      <c r="AN1437" s="379"/>
      <c r="AO1437" s="379"/>
      <c r="AP1437" s="379"/>
      <c r="AQ1437" s="379"/>
      <c r="AR1437" s="379"/>
      <c r="AS1437" s="379"/>
      <c r="AT1437" s="379"/>
      <c r="AU1437" s="379"/>
      <c r="AV1437" s="379"/>
      <c r="AW1437" s="379"/>
      <c r="AX1437" s="379"/>
      <c r="AY1437" s="379"/>
      <c r="AZ1437" s="379"/>
      <c r="BA1437" s="379"/>
      <c r="BB1437" s="379"/>
      <c r="BC1437" s="379"/>
      <c r="BD1437" s="379"/>
      <c r="BE1437" s="379"/>
      <c r="BF1437" s="379"/>
      <c r="BG1437" s="379"/>
      <c r="BH1437" s="379"/>
      <c r="BI1437" s="379"/>
      <c r="BJ1437" s="379"/>
      <c r="BK1437" s="379"/>
      <c r="BL1437" s="379"/>
      <c r="BM1437" s="379"/>
      <c r="BN1437" s="379"/>
      <c r="BO1437" s="379"/>
      <c r="BP1437" s="379"/>
      <c r="BQ1437" s="379"/>
      <c r="BR1437" s="379"/>
      <c r="BS1437" s="379"/>
      <c r="BT1437" s="379"/>
      <c r="BU1437" s="379"/>
      <c r="BV1437" s="379"/>
      <c r="BW1437" s="379"/>
      <c r="BX1437" s="379"/>
      <c r="BY1437" s="379"/>
      <c r="BZ1437" s="379"/>
      <c r="CA1437" s="270"/>
      <c r="CB1437" s="3" t="str">
        <f t="shared" si="220"/>
        <v>Riadok bude skrytý.</v>
      </c>
      <c r="CC1437" s="271" t="s">
        <v>832</v>
      </c>
      <c r="CW1437" s="30">
        <f t="shared" si="221"/>
        <v>1</v>
      </c>
      <c r="CX1437" s="30">
        <f t="shared" si="222"/>
        <v>0</v>
      </c>
      <c r="CZ1437" s="30">
        <f t="shared" si="213"/>
        <v>1</v>
      </c>
      <c r="DA1437" s="52">
        <f t="shared" si="217"/>
        <v>0</v>
      </c>
      <c r="DB1437" s="2">
        <f t="shared" si="215"/>
        <v>0</v>
      </c>
      <c r="DS1437" s="130">
        <f>SI!BY1437</f>
        <v>1045</v>
      </c>
      <c r="DZ1437" s="131">
        <f>SI!BZ1437</f>
        <v>0</v>
      </c>
    </row>
    <row r="1438" spans="1:130" hidden="1" x14ac:dyDescent="0.25">
      <c r="A1438" s="141"/>
      <c r="CA1438" s="270"/>
      <c r="CB1438" s="3" t="str">
        <f t="shared" si="220"/>
        <v>Riadok bude skrytý.</v>
      </c>
      <c r="CC1438" s="271" t="s">
        <v>832</v>
      </c>
      <c r="CW1438" s="49">
        <v>1</v>
      </c>
      <c r="CZ1438" s="30">
        <f t="shared" ref="CZ1438:CZ1501" si="223">IF(CC1438="",1,IF(CC1438="Chcem skryť riadok.",0,1))</f>
        <v>1</v>
      </c>
      <c r="DA1438" s="30">
        <f t="shared" ref="DA1438:DA1485" si="224">+IF(CW1438+CX1438+CY1438=0,0,IF(CZ1438=0,0,1))</f>
        <v>1</v>
      </c>
      <c r="DB1438" s="2">
        <f t="shared" si="215"/>
        <v>0</v>
      </c>
      <c r="DS1438" s="130">
        <f>SI!BY1438</f>
        <v>159</v>
      </c>
      <c r="DZ1438" s="131">
        <f>SI!BZ1438</f>
        <v>0</v>
      </c>
    </row>
    <row r="1439" spans="1:130" hidden="1" x14ac:dyDescent="0.25">
      <c r="A1439" s="141"/>
      <c r="B1439" s="289" t="s">
        <v>188</v>
      </c>
      <c r="C1439" s="288"/>
      <c r="D1439" s="288"/>
      <c r="E1439" s="288"/>
      <c r="F1439" s="288"/>
      <c r="G1439" s="289" t="s">
        <v>170</v>
      </c>
      <c r="H1439" s="289"/>
      <c r="I1439" s="288"/>
      <c r="J1439" s="288"/>
      <c r="K1439" s="288"/>
      <c r="L1439" s="288"/>
      <c r="M1439" s="288"/>
      <c r="N1439" s="288"/>
      <c r="O1439" s="288"/>
      <c r="P1439" s="288"/>
      <c r="Q1439" s="288"/>
      <c r="R1439" s="288"/>
      <c r="S1439" s="288"/>
      <c r="T1439" s="288"/>
      <c r="U1439" s="288"/>
      <c r="V1439" s="288"/>
      <c r="W1439" s="288"/>
      <c r="X1439" s="288"/>
      <c r="Y1439" s="288"/>
      <c r="Z1439" s="288"/>
      <c r="AA1439" s="288"/>
      <c r="AB1439" s="288"/>
      <c r="AC1439" s="288"/>
      <c r="AD1439" s="288"/>
      <c r="AE1439" s="288"/>
      <c r="AF1439" s="288"/>
      <c r="AG1439" s="288"/>
      <c r="AH1439" s="288"/>
      <c r="AI1439" s="288"/>
      <c r="AJ1439" s="288"/>
      <c r="AK1439" s="288"/>
      <c r="AL1439" s="288"/>
      <c r="AM1439" s="288"/>
      <c r="AN1439" s="288"/>
      <c r="AO1439" s="288"/>
      <c r="AP1439" s="288"/>
      <c r="AQ1439" s="288"/>
      <c r="AR1439" s="288"/>
      <c r="AS1439" s="288"/>
      <c r="AT1439" s="288"/>
      <c r="AU1439" s="288"/>
      <c r="AV1439" s="288"/>
      <c r="AW1439" s="288"/>
      <c r="AX1439" s="288"/>
      <c r="AY1439" s="288"/>
      <c r="AZ1439" s="288"/>
      <c r="BA1439" s="288"/>
      <c r="BB1439" s="288"/>
      <c r="BC1439" s="288"/>
      <c r="BD1439" s="288"/>
      <c r="BE1439" s="288"/>
      <c r="BF1439" s="288"/>
      <c r="BG1439" s="288"/>
      <c r="BH1439" s="288"/>
      <c r="BI1439" s="288"/>
      <c r="BJ1439" s="288"/>
      <c r="BK1439" s="288"/>
      <c r="BL1439" s="288"/>
      <c r="BM1439" s="288"/>
      <c r="BN1439" s="288"/>
      <c r="BO1439" s="288"/>
      <c r="BP1439" s="288"/>
      <c r="BQ1439" s="288"/>
      <c r="BR1439" s="288"/>
      <c r="BS1439" s="288"/>
      <c r="BT1439" s="288"/>
      <c r="BU1439" s="288"/>
      <c r="BV1439" s="288"/>
      <c r="BW1439" s="288"/>
      <c r="BX1439" s="288"/>
      <c r="BY1439" s="288"/>
      <c r="BZ1439" s="288"/>
      <c r="CA1439" s="265" t="s">
        <v>773</v>
      </c>
      <c r="CB1439" s="3" t="str">
        <f t="shared" si="220"/>
        <v>Riadok bude skrytý.</v>
      </c>
      <c r="CW1439" s="49">
        <v>1</v>
      </c>
      <c r="CZ1439" s="30">
        <f t="shared" si="223"/>
        <v>1</v>
      </c>
      <c r="DA1439" s="30">
        <f t="shared" si="224"/>
        <v>1</v>
      </c>
      <c r="DB1439" s="2">
        <f t="shared" si="215"/>
        <v>0</v>
      </c>
      <c r="DS1439" s="130">
        <f>SI!BY1439</f>
        <v>941</v>
      </c>
      <c r="DZ1439" s="131">
        <f>SI!BZ1439</f>
        <v>0</v>
      </c>
    </row>
    <row r="1440" spans="1:130" hidden="1" x14ac:dyDescent="0.25">
      <c r="A1440" s="141"/>
      <c r="B1440" s="7"/>
      <c r="G1440" s="7"/>
      <c r="H1440" s="7"/>
      <c r="CA1440" s="142"/>
      <c r="CB1440" s="3" t="str">
        <f t="shared" si="220"/>
        <v>Riadok bude skrytý.</v>
      </c>
      <c r="CW1440" s="49">
        <v>1</v>
      </c>
      <c r="CZ1440" s="30">
        <f t="shared" si="223"/>
        <v>1</v>
      </c>
      <c r="DA1440" s="30">
        <f t="shared" si="224"/>
        <v>1</v>
      </c>
      <c r="DB1440" s="2">
        <f t="shared" si="215"/>
        <v>0</v>
      </c>
      <c r="DS1440" s="130">
        <f>SI!BY1440</f>
        <v>510</v>
      </c>
      <c r="DZ1440" s="131">
        <f>SI!BZ1440</f>
        <v>0</v>
      </c>
    </row>
    <row r="1441" spans="1:130" hidden="1" x14ac:dyDescent="0.25">
      <c r="A1441" s="141"/>
      <c r="B1441" s="14" t="s">
        <v>96</v>
      </c>
      <c r="C1441" s="14"/>
      <c r="D1441" s="14"/>
      <c r="E1441" s="14"/>
      <c r="F1441" s="14"/>
      <c r="G1441" s="14"/>
      <c r="H1441" s="14"/>
      <c r="I1441" s="14"/>
      <c r="J1441" s="378" t="s">
        <v>838</v>
      </c>
      <c r="K1441" s="378"/>
      <c r="L1441" s="378"/>
      <c r="M1441" s="378"/>
      <c r="N1441" s="378"/>
      <c r="O1441" s="378"/>
      <c r="P1441" s="378"/>
      <c r="Q1441" s="378"/>
      <c r="R1441" s="378"/>
      <c r="S1441" s="137" t="s">
        <v>182</v>
      </c>
      <c r="T1441" s="38"/>
      <c r="CA1441" s="142"/>
      <c r="CB1441" s="3" t="str">
        <f t="shared" si="220"/>
        <v>Riadok bude skrytý.</v>
      </c>
      <c r="CC1441" s="271" t="s">
        <v>832</v>
      </c>
      <c r="CF1441" s="13"/>
      <c r="CW1441" s="49">
        <v>1</v>
      </c>
      <c r="CY1441" s="43"/>
      <c r="CZ1441" s="30">
        <f t="shared" si="223"/>
        <v>1</v>
      </c>
      <c r="DA1441" s="30">
        <f t="shared" si="224"/>
        <v>1</v>
      </c>
      <c r="DB1441" s="2">
        <f t="shared" si="215"/>
        <v>0</v>
      </c>
      <c r="DS1441" s="130">
        <f>SI!BY1441</f>
        <v>118</v>
      </c>
      <c r="DZ1441" s="131">
        <f>SI!BZ1441</f>
        <v>0</v>
      </c>
    </row>
    <row r="1442" spans="1:130" hidden="1" x14ac:dyDescent="0.25">
      <c r="A1442" s="141"/>
      <c r="B1442" s="137" t="str">
        <f>+IF(J1441="realizuje","Určenie výnosov zo zákazkovej výroby je uvedené v texte a hodnoty viažujúce k zákazke sú v tabuľkách.","Spoločnosť nemá pre túto časť poznámok obsahovú náplň.")</f>
        <v>Určenie výnosov zo zákazkovej výroby je uvedené v texte a hodnoty viažujúce k zákazke sú v tabuľkách.</v>
      </c>
      <c r="CA1442" s="270"/>
      <c r="CB1442" s="3" t="str">
        <f t="shared" si="220"/>
        <v>Riadok bude skrytý.</v>
      </c>
      <c r="CC1442" s="271" t="s">
        <v>832</v>
      </c>
      <c r="CW1442" s="30">
        <f>+IF(J1441="nerealizuje",1,1)</f>
        <v>1</v>
      </c>
      <c r="CZ1442" s="30">
        <f t="shared" si="223"/>
        <v>1</v>
      </c>
      <c r="DA1442" s="30">
        <f t="shared" si="224"/>
        <v>1</v>
      </c>
      <c r="DB1442" s="2">
        <f t="shared" si="215"/>
        <v>0</v>
      </c>
      <c r="DS1442" s="130">
        <f>SI!BY1442</f>
        <v>1140</v>
      </c>
      <c r="DZ1442" s="131">
        <f>SI!BZ1442</f>
        <v>0</v>
      </c>
    </row>
    <row r="1443" spans="1:130" hidden="1" x14ac:dyDescent="0.25">
      <c r="A1443" s="141"/>
      <c r="B1443" s="379"/>
      <c r="C1443" s="379"/>
      <c r="D1443" s="379"/>
      <c r="E1443" s="379"/>
      <c r="F1443" s="379"/>
      <c r="G1443" s="379"/>
      <c r="H1443" s="379"/>
      <c r="I1443" s="379"/>
      <c r="J1443" s="379"/>
      <c r="K1443" s="379"/>
      <c r="L1443" s="379"/>
      <c r="M1443" s="379"/>
      <c r="N1443" s="379"/>
      <c r="O1443" s="379"/>
      <c r="P1443" s="379"/>
      <c r="Q1443" s="379"/>
      <c r="R1443" s="379"/>
      <c r="S1443" s="379"/>
      <c r="T1443" s="379"/>
      <c r="U1443" s="379"/>
      <c r="V1443" s="379"/>
      <c r="W1443" s="379"/>
      <c r="X1443" s="379"/>
      <c r="Y1443" s="379"/>
      <c r="Z1443" s="379"/>
      <c r="AA1443" s="379"/>
      <c r="AB1443" s="379"/>
      <c r="AC1443" s="379"/>
      <c r="AD1443" s="379"/>
      <c r="AE1443" s="379"/>
      <c r="AF1443" s="379"/>
      <c r="AG1443" s="379"/>
      <c r="AH1443" s="379"/>
      <c r="AI1443" s="379"/>
      <c r="AJ1443" s="379"/>
      <c r="AK1443" s="379"/>
      <c r="AL1443" s="379"/>
      <c r="AM1443" s="379"/>
      <c r="AN1443" s="379"/>
      <c r="AO1443" s="379"/>
      <c r="AP1443" s="379"/>
      <c r="AQ1443" s="379"/>
      <c r="AR1443" s="379"/>
      <c r="AS1443" s="379"/>
      <c r="AT1443" s="379"/>
      <c r="AU1443" s="379"/>
      <c r="AV1443" s="379"/>
      <c r="AW1443" s="379"/>
      <c r="AX1443" s="379"/>
      <c r="AY1443" s="379"/>
      <c r="AZ1443" s="379"/>
      <c r="BA1443" s="379"/>
      <c r="BB1443" s="379"/>
      <c r="BC1443" s="379"/>
      <c r="BD1443" s="379"/>
      <c r="BE1443" s="379"/>
      <c r="BF1443" s="379"/>
      <c r="BG1443" s="379"/>
      <c r="BH1443" s="379"/>
      <c r="BI1443" s="379"/>
      <c r="BJ1443" s="379"/>
      <c r="BK1443" s="379"/>
      <c r="BL1443" s="379"/>
      <c r="BM1443" s="379"/>
      <c r="BN1443" s="379"/>
      <c r="BO1443" s="379"/>
      <c r="BP1443" s="379"/>
      <c r="BQ1443" s="379"/>
      <c r="BR1443" s="379"/>
      <c r="BS1443" s="379"/>
      <c r="BT1443" s="379"/>
      <c r="BU1443" s="379"/>
      <c r="BV1443" s="379"/>
      <c r="BW1443" s="379"/>
      <c r="BX1443" s="379"/>
      <c r="BY1443" s="379"/>
      <c r="BZ1443" s="379"/>
      <c r="CA1443" s="281"/>
      <c r="CB1443" s="3" t="str">
        <f t="shared" si="220"/>
        <v>Riadok bude skrytý.</v>
      </c>
      <c r="CC1443" s="271" t="s">
        <v>832</v>
      </c>
      <c r="CW1443" s="30">
        <f t="shared" ref="CW1443:CW1462" si="225">+IF(B1443="",0,1)</f>
        <v>0</v>
      </c>
      <c r="CZ1443" s="30">
        <f t="shared" si="223"/>
        <v>1</v>
      </c>
      <c r="DA1443" s="30">
        <f t="shared" si="224"/>
        <v>0</v>
      </c>
      <c r="DB1443" s="2">
        <f t="shared" si="215"/>
        <v>0</v>
      </c>
      <c r="DS1443" s="130">
        <f>SI!BY1443</f>
        <v>119</v>
      </c>
      <c r="DZ1443" s="131">
        <f>SI!BZ1443</f>
        <v>0</v>
      </c>
    </row>
    <row r="1444" spans="1:130" hidden="1" x14ac:dyDescent="0.25">
      <c r="A1444" s="141"/>
      <c r="B1444" s="379"/>
      <c r="C1444" s="379"/>
      <c r="D1444" s="379"/>
      <c r="E1444" s="379"/>
      <c r="F1444" s="379"/>
      <c r="G1444" s="379"/>
      <c r="H1444" s="379"/>
      <c r="I1444" s="379"/>
      <c r="J1444" s="379"/>
      <c r="K1444" s="379"/>
      <c r="L1444" s="379"/>
      <c r="M1444" s="379"/>
      <c r="N1444" s="379"/>
      <c r="O1444" s="379"/>
      <c r="P1444" s="379"/>
      <c r="Q1444" s="379"/>
      <c r="R1444" s="379"/>
      <c r="S1444" s="379"/>
      <c r="T1444" s="379"/>
      <c r="U1444" s="379"/>
      <c r="V1444" s="379"/>
      <c r="W1444" s="379"/>
      <c r="X1444" s="379"/>
      <c r="Y1444" s="379"/>
      <c r="Z1444" s="379"/>
      <c r="AA1444" s="379"/>
      <c r="AB1444" s="379"/>
      <c r="AC1444" s="379"/>
      <c r="AD1444" s="379"/>
      <c r="AE1444" s="379"/>
      <c r="AF1444" s="379"/>
      <c r="AG1444" s="379"/>
      <c r="AH1444" s="379"/>
      <c r="AI1444" s="379"/>
      <c r="AJ1444" s="379"/>
      <c r="AK1444" s="379"/>
      <c r="AL1444" s="379"/>
      <c r="AM1444" s="379"/>
      <c r="AN1444" s="379"/>
      <c r="AO1444" s="379"/>
      <c r="AP1444" s="379"/>
      <c r="AQ1444" s="379"/>
      <c r="AR1444" s="379"/>
      <c r="AS1444" s="379"/>
      <c r="AT1444" s="379"/>
      <c r="AU1444" s="379"/>
      <c r="AV1444" s="379"/>
      <c r="AW1444" s="379"/>
      <c r="AX1444" s="379"/>
      <c r="AY1444" s="379"/>
      <c r="AZ1444" s="379"/>
      <c r="BA1444" s="379"/>
      <c r="BB1444" s="379"/>
      <c r="BC1444" s="379"/>
      <c r="BD1444" s="379"/>
      <c r="BE1444" s="379"/>
      <c r="BF1444" s="379"/>
      <c r="BG1444" s="379"/>
      <c r="BH1444" s="379"/>
      <c r="BI1444" s="379"/>
      <c r="BJ1444" s="379"/>
      <c r="BK1444" s="379"/>
      <c r="BL1444" s="379"/>
      <c r="BM1444" s="379"/>
      <c r="BN1444" s="379"/>
      <c r="BO1444" s="379"/>
      <c r="BP1444" s="379"/>
      <c r="BQ1444" s="379"/>
      <c r="BR1444" s="379"/>
      <c r="BS1444" s="379"/>
      <c r="BT1444" s="379"/>
      <c r="BU1444" s="379"/>
      <c r="BV1444" s="379"/>
      <c r="BW1444" s="379"/>
      <c r="BX1444" s="379"/>
      <c r="BY1444" s="379"/>
      <c r="BZ1444" s="379"/>
      <c r="CA1444" s="281"/>
      <c r="CB1444" s="3" t="str">
        <f t="shared" si="220"/>
        <v>Riadok bude skrytý.</v>
      </c>
      <c r="CC1444" s="271" t="s">
        <v>832</v>
      </c>
      <c r="CW1444" s="30">
        <f t="shared" si="225"/>
        <v>0</v>
      </c>
      <c r="CZ1444" s="30">
        <f t="shared" si="223"/>
        <v>1</v>
      </c>
      <c r="DA1444" s="30">
        <f t="shared" si="224"/>
        <v>0</v>
      </c>
      <c r="DB1444" s="2">
        <f t="shared" si="215"/>
        <v>0</v>
      </c>
      <c r="DS1444" s="130">
        <f>SI!BY1444</f>
        <v>1121</v>
      </c>
      <c r="DZ1444" s="131">
        <f>SI!BZ1444</f>
        <v>0</v>
      </c>
    </row>
    <row r="1445" spans="1:130" hidden="1" x14ac:dyDescent="0.25">
      <c r="A1445" s="141"/>
      <c r="B1445" s="379"/>
      <c r="C1445" s="379"/>
      <c r="D1445" s="379"/>
      <c r="E1445" s="379"/>
      <c r="F1445" s="379"/>
      <c r="G1445" s="379"/>
      <c r="H1445" s="379"/>
      <c r="I1445" s="379"/>
      <c r="J1445" s="379"/>
      <c r="K1445" s="379"/>
      <c r="L1445" s="379"/>
      <c r="M1445" s="379"/>
      <c r="N1445" s="379"/>
      <c r="O1445" s="379"/>
      <c r="P1445" s="379"/>
      <c r="Q1445" s="379"/>
      <c r="R1445" s="379"/>
      <c r="S1445" s="379"/>
      <c r="T1445" s="379"/>
      <c r="U1445" s="379"/>
      <c r="V1445" s="379"/>
      <c r="W1445" s="379"/>
      <c r="X1445" s="379"/>
      <c r="Y1445" s="379"/>
      <c r="Z1445" s="379"/>
      <c r="AA1445" s="379"/>
      <c r="AB1445" s="379"/>
      <c r="AC1445" s="379"/>
      <c r="AD1445" s="379"/>
      <c r="AE1445" s="379"/>
      <c r="AF1445" s="379"/>
      <c r="AG1445" s="379"/>
      <c r="AH1445" s="379"/>
      <c r="AI1445" s="379"/>
      <c r="AJ1445" s="379"/>
      <c r="AK1445" s="379"/>
      <c r="AL1445" s="379"/>
      <c r="AM1445" s="379"/>
      <c r="AN1445" s="379"/>
      <c r="AO1445" s="379"/>
      <c r="AP1445" s="379"/>
      <c r="AQ1445" s="379"/>
      <c r="AR1445" s="379"/>
      <c r="AS1445" s="379"/>
      <c r="AT1445" s="379"/>
      <c r="AU1445" s="379"/>
      <c r="AV1445" s="379"/>
      <c r="AW1445" s="379"/>
      <c r="AX1445" s="379"/>
      <c r="AY1445" s="379"/>
      <c r="AZ1445" s="379"/>
      <c r="BA1445" s="379"/>
      <c r="BB1445" s="379"/>
      <c r="BC1445" s="379"/>
      <c r="BD1445" s="379"/>
      <c r="BE1445" s="379"/>
      <c r="BF1445" s="379"/>
      <c r="BG1445" s="379"/>
      <c r="BH1445" s="379"/>
      <c r="BI1445" s="379"/>
      <c r="BJ1445" s="379"/>
      <c r="BK1445" s="379"/>
      <c r="BL1445" s="379"/>
      <c r="BM1445" s="379"/>
      <c r="BN1445" s="379"/>
      <c r="BO1445" s="379"/>
      <c r="BP1445" s="379"/>
      <c r="BQ1445" s="379"/>
      <c r="BR1445" s="379"/>
      <c r="BS1445" s="379"/>
      <c r="BT1445" s="379"/>
      <c r="BU1445" s="379"/>
      <c r="BV1445" s="379"/>
      <c r="BW1445" s="379"/>
      <c r="BX1445" s="379"/>
      <c r="BY1445" s="379"/>
      <c r="BZ1445" s="379"/>
      <c r="CA1445" s="281"/>
      <c r="CB1445" s="3" t="str">
        <f t="shared" si="220"/>
        <v>Riadok bude skrytý.</v>
      </c>
      <c r="CC1445" s="271" t="s">
        <v>832</v>
      </c>
      <c r="CW1445" s="30">
        <f t="shared" si="225"/>
        <v>0</v>
      </c>
      <c r="CZ1445" s="30">
        <f t="shared" si="223"/>
        <v>1</v>
      </c>
      <c r="DA1445" s="30">
        <f t="shared" si="224"/>
        <v>0</v>
      </c>
      <c r="DB1445" s="2">
        <f t="shared" si="215"/>
        <v>0</v>
      </c>
      <c r="DS1445" s="130">
        <f>SI!BY1445</f>
        <v>193</v>
      </c>
      <c r="DZ1445" s="131">
        <f>SI!BZ1445</f>
        <v>0</v>
      </c>
    </row>
    <row r="1446" spans="1:130" hidden="1" x14ac:dyDescent="0.25">
      <c r="A1446" s="141"/>
      <c r="B1446" s="379"/>
      <c r="C1446" s="379"/>
      <c r="D1446" s="379"/>
      <c r="E1446" s="379"/>
      <c r="F1446" s="379"/>
      <c r="G1446" s="379"/>
      <c r="H1446" s="379"/>
      <c r="I1446" s="379"/>
      <c r="J1446" s="379"/>
      <c r="K1446" s="379"/>
      <c r="L1446" s="379"/>
      <c r="M1446" s="379"/>
      <c r="N1446" s="379"/>
      <c r="O1446" s="379"/>
      <c r="P1446" s="379"/>
      <c r="Q1446" s="379"/>
      <c r="R1446" s="379"/>
      <c r="S1446" s="379"/>
      <c r="T1446" s="379"/>
      <c r="U1446" s="379"/>
      <c r="V1446" s="379"/>
      <c r="W1446" s="379"/>
      <c r="X1446" s="379"/>
      <c r="Y1446" s="379"/>
      <c r="Z1446" s="379"/>
      <c r="AA1446" s="379"/>
      <c r="AB1446" s="379"/>
      <c r="AC1446" s="379"/>
      <c r="AD1446" s="379"/>
      <c r="AE1446" s="379"/>
      <c r="AF1446" s="379"/>
      <c r="AG1446" s="379"/>
      <c r="AH1446" s="379"/>
      <c r="AI1446" s="379"/>
      <c r="AJ1446" s="379"/>
      <c r="AK1446" s="379"/>
      <c r="AL1446" s="379"/>
      <c r="AM1446" s="379"/>
      <c r="AN1446" s="379"/>
      <c r="AO1446" s="379"/>
      <c r="AP1446" s="379"/>
      <c r="AQ1446" s="379"/>
      <c r="AR1446" s="379"/>
      <c r="AS1446" s="379"/>
      <c r="AT1446" s="379"/>
      <c r="AU1446" s="379"/>
      <c r="AV1446" s="379"/>
      <c r="AW1446" s="379"/>
      <c r="AX1446" s="379"/>
      <c r="AY1446" s="379"/>
      <c r="AZ1446" s="379"/>
      <c r="BA1446" s="379"/>
      <c r="BB1446" s="379"/>
      <c r="BC1446" s="379"/>
      <c r="BD1446" s="379"/>
      <c r="BE1446" s="379"/>
      <c r="BF1446" s="379"/>
      <c r="BG1446" s="379"/>
      <c r="BH1446" s="379"/>
      <c r="BI1446" s="379"/>
      <c r="BJ1446" s="379"/>
      <c r="BK1446" s="379"/>
      <c r="BL1446" s="379"/>
      <c r="BM1446" s="379"/>
      <c r="BN1446" s="379"/>
      <c r="BO1446" s="379"/>
      <c r="BP1446" s="379"/>
      <c r="BQ1446" s="379"/>
      <c r="BR1446" s="379"/>
      <c r="BS1446" s="379"/>
      <c r="BT1446" s="379"/>
      <c r="BU1446" s="379"/>
      <c r="BV1446" s="379"/>
      <c r="BW1446" s="379"/>
      <c r="BX1446" s="379"/>
      <c r="BY1446" s="379"/>
      <c r="BZ1446" s="379"/>
      <c r="CA1446" s="281"/>
      <c r="CB1446" s="3" t="str">
        <f t="shared" si="220"/>
        <v>Riadok bude skrytý.</v>
      </c>
      <c r="CC1446" s="271" t="s">
        <v>832</v>
      </c>
      <c r="CW1446" s="30">
        <f t="shared" si="225"/>
        <v>0</v>
      </c>
      <c r="CZ1446" s="30">
        <f t="shared" si="223"/>
        <v>1</v>
      </c>
      <c r="DA1446" s="30">
        <f t="shared" si="224"/>
        <v>0</v>
      </c>
      <c r="DB1446" s="2">
        <f t="shared" si="215"/>
        <v>0</v>
      </c>
      <c r="DS1446" s="130">
        <f>SI!BY1446</f>
        <v>1147</v>
      </c>
      <c r="DZ1446" s="131">
        <f>SI!BZ1446</f>
        <v>0</v>
      </c>
    </row>
    <row r="1447" spans="1:130" hidden="1" x14ac:dyDescent="0.25">
      <c r="A1447" s="141"/>
      <c r="B1447" s="379"/>
      <c r="C1447" s="379"/>
      <c r="D1447" s="379"/>
      <c r="E1447" s="379"/>
      <c r="F1447" s="379"/>
      <c r="G1447" s="379"/>
      <c r="H1447" s="379"/>
      <c r="I1447" s="379"/>
      <c r="J1447" s="379"/>
      <c r="K1447" s="379"/>
      <c r="L1447" s="379"/>
      <c r="M1447" s="379"/>
      <c r="N1447" s="379"/>
      <c r="O1447" s="379"/>
      <c r="P1447" s="379"/>
      <c r="Q1447" s="379"/>
      <c r="R1447" s="379"/>
      <c r="S1447" s="379"/>
      <c r="T1447" s="379"/>
      <c r="U1447" s="379"/>
      <c r="V1447" s="379"/>
      <c r="W1447" s="379"/>
      <c r="X1447" s="379"/>
      <c r="Y1447" s="379"/>
      <c r="Z1447" s="379"/>
      <c r="AA1447" s="379"/>
      <c r="AB1447" s="379"/>
      <c r="AC1447" s="379"/>
      <c r="AD1447" s="379"/>
      <c r="AE1447" s="379"/>
      <c r="AF1447" s="379"/>
      <c r="AG1447" s="379"/>
      <c r="AH1447" s="379"/>
      <c r="AI1447" s="379"/>
      <c r="AJ1447" s="379"/>
      <c r="AK1447" s="379"/>
      <c r="AL1447" s="379"/>
      <c r="AM1447" s="379"/>
      <c r="AN1447" s="379"/>
      <c r="AO1447" s="379"/>
      <c r="AP1447" s="379"/>
      <c r="AQ1447" s="379"/>
      <c r="AR1447" s="379"/>
      <c r="AS1447" s="379"/>
      <c r="AT1447" s="379"/>
      <c r="AU1447" s="379"/>
      <c r="AV1447" s="379"/>
      <c r="AW1447" s="379"/>
      <c r="AX1447" s="379"/>
      <c r="AY1447" s="379"/>
      <c r="AZ1447" s="379"/>
      <c r="BA1447" s="379"/>
      <c r="BB1447" s="379"/>
      <c r="BC1447" s="379"/>
      <c r="BD1447" s="379"/>
      <c r="BE1447" s="379"/>
      <c r="BF1447" s="379"/>
      <c r="BG1447" s="379"/>
      <c r="BH1447" s="379"/>
      <c r="BI1447" s="379"/>
      <c r="BJ1447" s="379"/>
      <c r="BK1447" s="379"/>
      <c r="BL1447" s="379"/>
      <c r="BM1447" s="379"/>
      <c r="BN1447" s="379"/>
      <c r="BO1447" s="379"/>
      <c r="BP1447" s="379"/>
      <c r="BQ1447" s="379"/>
      <c r="BR1447" s="379"/>
      <c r="BS1447" s="379"/>
      <c r="BT1447" s="379"/>
      <c r="BU1447" s="379"/>
      <c r="BV1447" s="379"/>
      <c r="BW1447" s="379"/>
      <c r="BX1447" s="379"/>
      <c r="BY1447" s="379"/>
      <c r="BZ1447" s="379"/>
      <c r="CA1447" s="281"/>
      <c r="CB1447" s="3" t="str">
        <f t="shared" si="220"/>
        <v>Riadok bude skrytý.</v>
      </c>
      <c r="CC1447" s="271" t="s">
        <v>832</v>
      </c>
      <c r="CW1447" s="30">
        <f t="shared" si="225"/>
        <v>0</v>
      </c>
      <c r="CZ1447" s="30">
        <f t="shared" si="223"/>
        <v>1</v>
      </c>
      <c r="DA1447" s="30">
        <f t="shared" si="224"/>
        <v>0</v>
      </c>
      <c r="DB1447" s="2">
        <f t="shared" si="215"/>
        <v>0</v>
      </c>
      <c r="DS1447" s="130">
        <f>SI!BY1447</f>
        <v>143</v>
      </c>
      <c r="DZ1447" s="131">
        <f>SI!BZ1447</f>
        <v>0</v>
      </c>
    </row>
    <row r="1448" spans="1:130" hidden="1" x14ac:dyDescent="0.25">
      <c r="A1448" s="141"/>
      <c r="B1448" s="379"/>
      <c r="C1448" s="379"/>
      <c r="D1448" s="379"/>
      <c r="E1448" s="379"/>
      <c r="F1448" s="379"/>
      <c r="G1448" s="379"/>
      <c r="H1448" s="379"/>
      <c r="I1448" s="379"/>
      <c r="J1448" s="379"/>
      <c r="K1448" s="379"/>
      <c r="L1448" s="379"/>
      <c r="M1448" s="379"/>
      <c r="N1448" s="379"/>
      <c r="O1448" s="379"/>
      <c r="P1448" s="379"/>
      <c r="Q1448" s="379"/>
      <c r="R1448" s="379"/>
      <c r="S1448" s="379"/>
      <c r="T1448" s="379"/>
      <c r="U1448" s="379"/>
      <c r="V1448" s="379"/>
      <c r="W1448" s="379"/>
      <c r="X1448" s="379"/>
      <c r="Y1448" s="379"/>
      <c r="Z1448" s="379"/>
      <c r="AA1448" s="379"/>
      <c r="AB1448" s="379"/>
      <c r="AC1448" s="379"/>
      <c r="AD1448" s="379"/>
      <c r="AE1448" s="379"/>
      <c r="AF1448" s="379"/>
      <c r="AG1448" s="379"/>
      <c r="AH1448" s="379"/>
      <c r="AI1448" s="379"/>
      <c r="AJ1448" s="379"/>
      <c r="AK1448" s="379"/>
      <c r="AL1448" s="379"/>
      <c r="AM1448" s="379"/>
      <c r="AN1448" s="379"/>
      <c r="AO1448" s="379"/>
      <c r="AP1448" s="379"/>
      <c r="AQ1448" s="379"/>
      <c r="AR1448" s="379"/>
      <c r="AS1448" s="379"/>
      <c r="AT1448" s="379"/>
      <c r="AU1448" s="379"/>
      <c r="AV1448" s="379"/>
      <c r="AW1448" s="379"/>
      <c r="AX1448" s="379"/>
      <c r="AY1448" s="379"/>
      <c r="AZ1448" s="379"/>
      <c r="BA1448" s="379"/>
      <c r="BB1448" s="379"/>
      <c r="BC1448" s="379"/>
      <c r="BD1448" s="379"/>
      <c r="BE1448" s="379"/>
      <c r="BF1448" s="379"/>
      <c r="BG1448" s="379"/>
      <c r="BH1448" s="379"/>
      <c r="BI1448" s="379"/>
      <c r="BJ1448" s="379"/>
      <c r="BK1448" s="379"/>
      <c r="BL1448" s="379"/>
      <c r="BM1448" s="379"/>
      <c r="BN1448" s="379"/>
      <c r="BO1448" s="379"/>
      <c r="BP1448" s="379"/>
      <c r="BQ1448" s="379"/>
      <c r="BR1448" s="379"/>
      <c r="BS1448" s="379"/>
      <c r="BT1448" s="379"/>
      <c r="BU1448" s="379"/>
      <c r="BV1448" s="379"/>
      <c r="BW1448" s="379"/>
      <c r="BX1448" s="379"/>
      <c r="BY1448" s="379"/>
      <c r="BZ1448" s="379"/>
      <c r="CA1448" s="281"/>
      <c r="CB1448" s="3" t="str">
        <f t="shared" si="220"/>
        <v>Riadok bude skrytý.</v>
      </c>
      <c r="CC1448" s="271" t="s">
        <v>832</v>
      </c>
      <c r="CW1448" s="30">
        <f t="shared" si="225"/>
        <v>0</v>
      </c>
      <c r="CZ1448" s="30">
        <f t="shared" si="223"/>
        <v>1</v>
      </c>
      <c r="DA1448" s="30">
        <f t="shared" si="224"/>
        <v>0</v>
      </c>
      <c r="DB1448" s="2">
        <f t="shared" ref="DB1448:DB1511" si="226">+IF($CD$1="malé",0,DA1448)</f>
        <v>0</v>
      </c>
      <c r="DS1448" s="130">
        <f>SI!BY1448</f>
        <v>697</v>
      </c>
      <c r="DZ1448" s="131">
        <f>SI!BZ1448</f>
        <v>0</v>
      </c>
    </row>
    <row r="1449" spans="1:130" hidden="1" x14ac:dyDescent="0.25">
      <c r="A1449" s="141"/>
      <c r="B1449" s="379"/>
      <c r="C1449" s="379"/>
      <c r="D1449" s="379"/>
      <c r="E1449" s="379"/>
      <c r="F1449" s="379"/>
      <c r="G1449" s="379"/>
      <c r="H1449" s="379"/>
      <c r="I1449" s="379"/>
      <c r="J1449" s="379"/>
      <c r="K1449" s="379"/>
      <c r="L1449" s="379"/>
      <c r="M1449" s="379"/>
      <c r="N1449" s="379"/>
      <c r="O1449" s="379"/>
      <c r="P1449" s="379"/>
      <c r="Q1449" s="379"/>
      <c r="R1449" s="379"/>
      <c r="S1449" s="379"/>
      <c r="T1449" s="379"/>
      <c r="U1449" s="379"/>
      <c r="V1449" s="379"/>
      <c r="W1449" s="379"/>
      <c r="X1449" s="379"/>
      <c r="Y1449" s="379"/>
      <c r="Z1449" s="379"/>
      <c r="AA1449" s="379"/>
      <c r="AB1449" s="379"/>
      <c r="AC1449" s="379"/>
      <c r="AD1449" s="379"/>
      <c r="AE1449" s="379"/>
      <c r="AF1449" s="379"/>
      <c r="AG1449" s="379"/>
      <c r="AH1449" s="379"/>
      <c r="AI1449" s="379"/>
      <c r="AJ1449" s="379"/>
      <c r="AK1449" s="379"/>
      <c r="AL1449" s="379"/>
      <c r="AM1449" s="379"/>
      <c r="AN1449" s="379"/>
      <c r="AO1449" s="379"/>
      <c r="AP1449" s="379"/>
      <c r="AQ1449" s="379"/>
      <c r="AR1449" s="379"/>
      <c r="AS1449" s="379"/>
      <c r="AT1449" s="379"/>
      <c r="AU1449" s="379"/>
      <c r="AV1449" s="379"/>
      <c r="AW1449" s="379"/>
      <c r="AX1449" s="379"/>
      <c r="AY1449" s="379"/>
      <c r="AZ1449" s="379"/>
      <c r="BA1449" s="379"/>
      <c r="BB1449" s="379"/>
      <c r="BC1449" s="379"/>
      <c r="BD1449" s="379"/>
      <c r="BE1449" s="379"/>
      <c r="BF1449" s="379"/>
      <c r="BG1449" s="379"/>
      <c r="BH1449" s="379"/>
      <c r="BI1449" s="379"/>
      <c r="BJ1449" s="379"/>
      <c r="BK1449" s="379"/>
      <c r="BL1449" s="379"/>
      <c r="BM1449" s="379"/>
      <c r="BN1449" s="379"/>
      <c r="BO1449" s="379"/>
      <c r="BP1449" s="379"/>
      <c r="BQ1449" s="379"/>
      <c r="BR1449" s="379"/>
      <c r="BS1449" s="379"/>
      <c r="BT1449" s="379"/>
      <c r="BU1449" s="379"/>
      <c r="BV1449" s="379"/>
      <c r="BW1449" s="379"/>
      <c r="BX1449" s="379"/>
      <c r="BY1449" s="379"/>
      <c r="BZ1449" s="379"/>
      <c r="CA1449" s="281"/>
      <c r="CB1449" s="3" t="str">
        <f t="shared" si="220"/>
        <v>Riadok bude skrytý.</v>
      </c>
      <c r="CC1449" s="271" t="s">
        <v>832</v>
      </c>
      <c r="CW1449" s="30">
        <f t="shared" si="225"/>
        <v>0</v>
      </c>
      <c r="CZ1449" s="30">
        <f t="shared" si="223"/>
        <v>1</v>
      </c>
      <c r="DA1449" s="30">
        <f t="shared" si="224"/>
        <v>0</v>
      </c>
      <c r="DB1449" s="2">
        <f t="shared" si="226"/>
        <v>0</v>
      </c>
      <c r="DS1449" s="130">
        <f>SI!BY1449</f>
        <v>189</v>
      </c>
      <c r="DZ1449" s="131">
        <f>SI!BZ1449</f>
        <v>0</v>
      </c>
    </row>
    <row r="1450" spans="1:130" hidden="1" x14ac:dyDescent="0.25">
      <c r="A1450" s="141"/>
      <c r="B1450" s="379"/>
      <c r="C1450" s="379"/>
      <c r="D1450" s="379"/>
      <c r="E1450" s="379"/>
      <c r="F1450" s="379"/>
      <c r="G1450" s="379"/>
      <c r="H1450" s="379"/>
      <c r="I1450" s="379"/>
      <c r="J1450" s="379"/>
      <c r="K1450" s="379"/>
      <c r="L1450" s="379"/>
      <c r="M1450" s="379"/>
      <c r="N1450" s="379"/>
      <c r="O1450" s="379"/>
      <c r="P1450" s="379"/>
      <c r="Q1450" s="379"/>
      <c r="R1450" s="379"/>
      <c r="S1450" s="379"/>
      <c r="T1450" s="379"/>
      <c r="U1450" s="379"/>
      <c r="V1450" s="379"/>
      <c r="W1450" s="379"/>
      <c r="X1450" s="379"/>
      <c r="Y1450" s="379"/>
      <c r="Z1450" s="379"/>
      <c r="AA1450" s="379"/>
      <c r="AB1450" s="379"/>
      <c r="AC1450" s="379"/>
      <c r="AD1450" s="379"/>
      <c r="AE1450" s="379"/>
      <c r="AF1450" s="379"/>
      <c r="AG1450" s="379"/>
      <c r="AH1450" s="379"/>
      <c r="AI1450" s="379"/>
      <c r="AJ1450" s="379"/>
      <c r="AK1450" s="379"/>
      <c r="AL1450" s="379"/>
      <c r="AM1450" s="379"/>
      <c r="AN1450" s="379"/>
      <c r="AO1450" s="379"/>
      <c r="AP1450" s="379"/>
      <c r="AQ1450" s="379"/>
      <c r="AR1450" s="379"/>
      <c r="AS1450" s="379"/>
      <c r="AT1450" s="379"/>
      <c r="AU1450" s="379"/>
      <c r="AV1450" s="379"/>
      <c r="AW1450" s="379"/>
      <c r="AX1450" s="379"/>
      <c r="AY1450" s="379"/>
      <c r="AZ1450" s="379"/>
      <c r="BA1450" s="379"/>
      <c r="BB1450" s="379"/>
      <c r="BC1450" s="379"/>
      <c r="BD1450" s="379"/>
      <c r="BE1450" s="379"/>
      <c r="BF1450" s="379"/>
      <c r="BG1450" s="379"/>
      <c r="BH1450" s="379"/>
      <c r="BI1450" s="379"/>
      <c r="BJ1450" s="379"/>
      <c r="BK1450" s="379"/>
      <c r="BL1450" s="379"/>
      <c r="BM1450" s="379"/>
      <c r="BN1450" s="379"/>
      <c r="BO1450" s="379"/>
      <c r="BP1450" s="379"/>
      <c r="BQ1450" s="379"/>
      <c r="BR1450" s="379"/>
      <c r="BS1450" s="379"/>
      <c r="BT1450" s="379"/>
      <c r="BU1450" s="379"/>
      <c r="BV1450" s="379"/>
      <c r="BW1450" s="379"/>
      <c r="BX1450" s="379"/>
      <c r="BY1450" s="379"/>
      <c r="BZ1450" s="379"/>
      <c r="CA1450" s="281"/>
      <c r="CB1450" s="3" t="str">
        <f t="shared" si="220"/>
        <v>Riadok bude skrytý.</v>
      </c>
      <c r="CC1450" s="271" t="s">
        <v>832</v>
      </c>
      <c r="CW1450" s="30">
        <f t="shared" si="225"/>
        <v>0</v>
      </c>
      <c r="CZ1450" s="30">
        <f t="shared" si="223"/>
        <v>1</v>
      </c>
      <c r="DA1450" s="30">
        <f t="shared" si="224"/>
        <v>0</v>
      </c>
      <c r="DB1450" s="2">
        <f t="shared" si="226"/>
        <v>0</v>
      </c>
      <c r="DS1450" s="130">
        <f>SI!BY1450</f>
        <v>834</v>
      </c>
      <c r="DZ1450" s="131">
        <f>SI!BZ1450</f>
        <v>0</v>
      </c>
    </row>
    <row r="1451" spans="1:130" hidden="1" x14ac:dyDescent="0.25">
      <c r="A1451" s="141"/>
      <c r="B1451" s="379"/>
      <c r="C1451" s="379"/>
      <c r="D1451" s="379"/>
      <c r="E1451" s="379"/>
      <c r="F1451" s="379"/>
      <c r="G1451" s="379"/>
      <c r="H1451" s="379"/>
      <c r="I1451" s="379"/>
      <c r="J1451" s="379"/>
      <c r="K1451" s="379"/>
      <c r="L1451" s="379"/>
      <c r="M1451" s="379"/>
      <c r="N1451" s="379"/>
      <c r="O1451" s="379"/>
      <c r="P1451" s="379"/>
      <c r="Q1451" s="379"/>
      <c r="R1451" s="379"/>
      <c r="S1451" s="379"/>
      <c r="T1451" s="379"/>
      <c r="U1451" s="379"/>
      <c r="V1451" s="379"/>
      <c r="W1451" s="379"/>
      <c r="X1451" s="379"/>
      <c r="Y1451" s="379"/>
      <c r="Z1451" s="379"/>
      <c r="AA1451" s="379"/>
      <c r="AB1451" s="379"/>
      <c r="AC1451" s="379"/>
      <c r="AD1451" s="379"/>
      <c r="AE1451" s="379"/>
      <c r="AF1451" s="379"/>
      <c r="AG1451" s="379"/>
      <c r="AH1451" s="379"/>
      <c r="AI1451" s="379"/>
      <c r="AJ1451" s="379"/>
      <c r="AK1451" s="379"/>
      <c r="AL1451" s="379"/>
      <c r="AM1451" s="379"/>
      <c r="AN1451" s="379"/>
      <c r="AO1451" s="379"/>
      <c r="AP1451" s="379"/>
      <c r="AQ1451" s="379"/>
      <c r="AR1451" s="379"/>
      <c r="AS1451" s="379"/>
      <c r="AT1451" s="379"/>
      <c r="AU1451" s="379"/>
      <c r="AV1451" s="379"/>
      <c r="AW1451" s="379"/>
      <c r="AX1451" s="379"/>
      <c r="AY1451" s="379"/>
      <c r="AZ1451" s="379"/>
      <c r="BA1451" s="379"/>
      <c r="BB1451" s="379"/>
      <c r="BC1451" s="379"/>
      <c r="BD1451" s="379"/>
      <c r="BE1451" s="379"/>
      <c r="BF1451" s="379"/>
      <c r="BG1451" s="379"/>
      <c r="BH1451" s="379"/>
      <c r="BI1451" s="379"/>
      <c r="BJ1451" s="379"/>
      <c r="BK1451" s="379"/>
      <c r="BL1451" s="379"/>
      <c r="BM1451" s="379"/>
      <c r="BN1451" s="379"/>
      <c r="BO1451" s="379"/>
      <c r="BP1451" s="379"/>
      <c r="BQ1451" s="379"/>
      <c r="BR1451" s="379"/>
      <c r="BS1451" s="379"/>
      <c r="BT1451" s="379"/>
      <c r="BU1451" s="379"/>
      <c r="BV1451" s="379"/>
      <c r="BW1451" s="379"/>
      <c r="BX1451" s="379"/>
      <c r="BY1451" s="379"/>
      <c r="BZ1451" s="379"/>
      <c r="CA1451" s="281"/>
      <c r="CB1451" s="3" t="str">
        <f t="shared" si="220"/>
        <v>Riadok bude skrytý.</v>
      </c>
      <c r="CC1451" s="271" t="s">
        <v>832</v>
      </c>
      <c r="CW1451" s="30">
        <f t="shared" si="225"/>
        <v>0</v>
      </c>
      <c r="CZ1451" s="30">
        <f t="shared" si="223"/>
        <v>1</v>
      </c>
      <c r="DA1451" s="30">
        <f t="shared" si="224"/>
        <v>0</v>
      </c>
      <c r="DB1451" s="2">
        <f t="shared" si="226"/>
        <v>0</v>
      </c>
      <c r="DS1451" s="130">
        <f>SI!BY1451</f>
        <v>148</v>
      </c>
      <c r="DZ1451" s="131">
        <f>SI!BZ1451</f>
        <v>0</v>
      </c>
    </row>
    <row r="1452" spans="1:130" hidden="1" x14ac:dyDescent="0.25">
      <c r="A1452" s="141"/>
      <c r="B1452" s="379"/>
      <c r="C1452" s="379"/>
      <c r="D1452" s="379"/>
      <c r="E1452" s="379"/>
      <c r="F1452" s="379"/>
      <c r="G1452" s="379"/>
      <c r="H1452" s="379"/>
      <c r="I1452" s="379"/>
      <c r="J1452" s="379"/>
      <c r="K1452" s="379"/>
      <c r="L1452" s="379"/>
      <c r="M1452" s="379"/>
      <c r="N1452" s="379"/>
      <c r="O1452" s="379"/>
      <c r="P1452" s="379"/>
      <c r="Q1452" s="379"/>
      <c r="R1452" s="379"/>
      <c r="S1452" s="379"/>
      <c r="T1452" s="379"/>
      <c r="U1452" s="379"/>
      <c r="V1452" s="379"/>
      <c r="W1452" s="379"/>
      <c r="X1452" s="379"/>
      <c r="Y1452" s="379"/>
      <c r="Z1452" s="379"/>
      <c r="AA1452" s="379"/>
      <c r="AB1452" s="379"/>
      <c r="AC1452" s="379"/>
      <c r="AD1452" s="379"/>
      <c r="AE1452" s="379"/>
      <c r="AF1452" s="379"/>
      <c r="AG1452" s="379"/>
      <c r="AH1452" s="379"/>
      <c r="AI1452" s="379"/>
      <c r="AJ1452" s="379"/>
      <c r="AK1452" s="379"/>
      <c r="AL1452" s="379"/>
      <c r="AM1452" s="379"/>
      <c r="AN1452" s="379"/>
      <c r="AO1452" s="379"/>
      <c r="AP1452" s="379"/>
      <c r="AQ1452" s="379"/>
      <c r="AR1452" s="379"/>
      <c r="AS1452" s="379"/>
      <c r="AT1452" s="379"/>
      <c r="AU1452" s="379"/>
      <c r="AV1452" s="379"/>
      <c r="AW1452" s="379"/>
      <c r="AX1452" s="379"/>
      <c r="AY1452" s="379"/>
      <c r="AZ1452" s="379"/>
      <c r="BA1452" s="379"/>
      <c r="BB1452" s="379"/>
      <c r="BC1452" s="379"/>
      <c r="BD1452" s="379"/>
      <c r="BE1452" s="379"/>
      <c r="BF1452" s="379"/>
      <c r="BG1452" s="379"/>
      <c r="BH1452" s="379"/>
      <c r="BI1452" s="379"/>
      <c r="BJ1452" s="379"/>
      <c r="BK1452" s="379"/>
      <c r="BL1452" s="379"/>
      <c r="BM1452" s="379"/>
      <c r="BN1452" s="379"/>
      <c r="BO1452" s="379"/>
      <c r="BP1452" s="379"/>
      <c r="BQ1452" s="379"/>
      <c r="BR1452" s="379"/>
      <c r="BS1452" s="379"/>
      <c r="BT1452" s="379"/>
      <c r="BU1452" s="379"/>
      <c r="BV1452" s="379"/>
      <c r="BW1452" s="379"/>
      <c r="BX1452" s="379"/>
      <c r="BY1452" s="379"/>
      <c r="BZ1452" s="379"/>
      <c r="CA1452" s="281"/>
      <c r="CB1452" s="3" t="str">
        <f t="shared" si="220"/>
        <v>Riadok bude skrytý.</v>
      </c>
      <c r="CC1452" s="271" t="s">
        <v>832</v>
      </c>
      <c r="CW1452" s="30">
        <f t="shared" si="225"/>
        <v>0</v>
      </c>
      <c r="CZ1452" s="30">
        <f t="shared" si="223"/>
        <v>1</v>
      </c>
      <c r="DA1452" s="30">
        <f t="shared" si="224"/>
        <v>0</v>
      </c>
      <c r="DB1452" s="2">
        <f t="shared" si="226"/>
        <v>0</v>
      </c>
      <c r="DS1452" s="130">
        <f>SI!BY1452</f>
        <v>185</v>
      </c>
      <c r="DZ1452" s="131">
        <f>SI!BZ1452</f>
        <v>0</v>
      </c>
    </row>
    <row r="1453" spans="1:130" hidden="1" x14ac:dyDescent="0.25">
      <c r="A1453" s="141"/>
      <c r="B1453" s="379"/>
      <c r="C1453" s="379"/>
      <c r="D1453" s="379"/>
      <c r="E1453" s="379"/>
      <c r="F1453" s="379"/>
      <c r="G1453" s="379"/>
      <c r="H1453" s="379"/>
      <c r="I1453" s="379"/>
      <c r="J1453" s="379"/>
      <c r="K1453" s="379"/>
      <c r="L1453" s="379"/>
      <c r="M1453" s="379"/>
      <c r="N1453" s="379"/>
      <c r="O1453" s="379"/>
      <c r="P1453" s="379"/>
      <c r="Q1453" s="379"/>
      <c r="R1453" s="379"/>
      <c r="S1453" s="379"/>
      <c r="T1453" s="379"/>
      <c r="U1453" s="379"/>
      <c r="V1453" s="379"/>
      <c r="W1453" s="379"/>
      <c r="X1453" s="379"/>
      <c r="Y1453" s="379"/>
      <c r="Z1453" s="379"/>
      <c r="AA1453" s="379"/>
      <c r="AB1453" s="379"/>
      <c r="AC1453" s="379"/>
      <c r="AD1453" s="379"/>
      <c r="AE1453" s="379"/>
      <c r="AF1453" s="379"/>
      <c r="AG1453" s="379"/>
      <c r="AH1453" s="379"/>
      <c r="AI1453" s="379"/>
      <c r="AJ1453" s="379"/>
      <c r="AK1453" s="379"/>
      <c r="AL1453" s="379"/>
      <c r="AM1453" s="379"/>
      <c r="AN1453" s="379"/>
      <c r="AO1453" s="379"/>
      <c r="AP1453" s="379"/>
      <c r="AQ1453" s="379"/>
      <c r="AR1453" s="379"/>
      <c r="AS1453" s="379"/>
      <c r="AT1453" s="379"/>
      <c r="AU1453" s="379"/>
      <c r="AV1453" s="379"/>
      <c r="AW1453" s="379"/>
      <c r="AX1453" s="379"/>
      <c r="AY1453" s="379"/>
      <c r="AZ1453" s="379"/>
      <c r="BA1453" s="379"/>
      <c r="BB1453" s="379"/>
      <c r="BC1453" s="379"/>
      <c r="BD1453" s="379"/>
      <c r="BE1453" s="379"/>
      <c r="BF1453" s="379"/>
      <c r="BG1453" s="379"/>
      <c r="BH1453" s="379"/>
      <c r="BI1453" s="379"/>
      <c r="BJ1453" s="379"/>
      <c r="BK1453" s="379"/>
      <c r="BL1453" s="379"/>
      <c r="BM1453" s="379"/>
      <c r="BN1453" s="379"/>
      <c r="BO1453" s="379"/>
      <c r="BP1453" s="379"/>
      <c r="BQ1453" s="379"/>
      <c r="BR1453" s="379"/>
      <c r="BS1453" s="379"/>
      <c r="BT1453" s="379"/>
      <c r="BU1453" s="379"/>
      <c r="BV1453" s="379"/>
      <c r="BW1453" s="379"/>
      <c r="BX1453" s="379"/>
      <c r="BY1453" s="379"/>
      <c r="BZ1453" s="379"/>
      <c r="CA1453" s="281"/>
      <c r="CB1453" s="3" t="str">
        <f t="shared" si="220"/>
        <v>Riadok bude skrytý.</v>
      </c>
      <c r="CC1453" s="271" t="s">
        <v>832</v>
      </c>
      <c r="CW1453" s="30">
        <f t="shared" si="225"/>
        <v>0</v>
      </c>
      <c r="CZ1453" s="30">
        <f t="shared" si="223"/>
        <v>1</v>
      </c>
      <c r="DA1453" s="30">
        <f t="shared" si="224"/>
        <v>0</v>
      </c>
      <c r="DB1453" s="2">
        <f t="shared" si="226"/>
        <v>0</v>
      </c>
      <c r="DS1453" s="130">
        <f>SI!BY1453</f>
        <v>181</v>
      </c>
      <c r="DZ1453" s="131">
        <f>SI!BZ1453</f>
        <v>0</v>
      </c>
    </row>
    <row r="1454" spans="1:130" hidden="1" x14ac:dyDescent="0.25">
      <c r="A1454" s="141"/>
      <c r="B1454" s="379"/>
      <c r="C1454" s="379"/>
      <c r="D1454" s="379"/>
      <c r="E1454" s="379"/>
      <c r="F1454" s="379"/>
      <c r="G1454" s="379"/>
      <c r="H1454" s="379"/>
      <c r="I1454" s="379"/>
      <c r="J1454" s="379"/>
      <c r="K1454" s="379"/>
      <c r="L1454" s="379"/>
      <c r="M1454" s="379"/>
      <c r="N1454" s="379"/>
      <c r="O1454" s="379"/>
      <c r="P1454" s="379"/>
      <c r="Q1454" s="379"/>
      <c r="R1454" s="379"/>
      <c r="S1454" s="379"/>
      <c r="T1454" s="379"/>
      <c r="U1454" s="379"/>
      <c r="V1454" s="379"/>
      <c r="W1454" s="379"/>
      <c r="X1454" s="379"/>
      <c r="Y1454" s="379"/>
      <c r="Z1454" s="379"/>
      <c r="AA1454" s="379"/>
      <c r="AB1454" s="379"/>
      <c r="AC1454" s="379"/>
      <c r="AD1454" s="379"/>
      <c r="AE1454" s="379"/>
      <c r="AF1454" s="379"/>
      <c r="AG1454" s="379"/>
      <c r="AH1454" s="379"/>
      <c r="AI1454" s="379"/>
      <c r="AJ1454" s="379"/>
      <c r="AK1454" s="379"/>
      <c r="AL1454" s="379"/>
      <c r="AM1454" s="379"/>
      <c r="AN1454" s="379"/>
      <c r="AO1454" s="379"/>
      <c r="AP1454" s="379"/>
      <c r="AQ1454" s="379"/>
      <c r="AR1454" s="379"/>
      <c r="AS1454" s="379"/>
      <c r="AT1454" s="379"/>
      <c r="AU1454" s="379"/>
      <c r="AV1454" s="379"/>
      <c r="AW1454" s="379"/>
      <c r="AX1454" s="379"/>
      <c r="AY1454" s="379"/>
      <c r="AZ1454" s="379"/>
      <c r="BA1454" s="379"/>
      <c r="BB1454" s="379"/>
      <c r="BC1454" s="379"/>
      <c r="BD1454" s="379"/>
      <c r="BE1454" s="379"/>
      <c r="BF1454" s="379"/>
      <c r="BG1454" s="379"/>
      <c r="BH1454" s="379"/>
      <c r="BI1454" s="379"/>
      <c r="BJ1454" s="379"/>
      <c r="BK1454" s="379"/>
      <c r="BL1454" s="379"/>
      <c r="BM1454" s="379"/>
      <c r="BN1454" s="379"/>
      <c r="BO1454" s="379"/>
      <c r="BP1454" s="379"/>
      <c r="BQ1454" s="379"/>
      <c r="BR1454" s="379"/>
      <c r="BS1454" s="379"/>
      <c r="BT1454" s="379"/>
      <c r="BU1454" s="379"/>
      <c r="BV1454" s="379"/>
      <c r="BW1454" s="379"/>
      <c r="BX1454" s="379"/>
      <c r="BY1454" s="379"/>
      <c r="BZ1454" s="379"/>
      <c r="CA1454" s="281"/>
      <c r="CB1454" s="3" t="str">
        <f t="shared" si="220"/>
        <v>Riadok bude skrytý.</v>
      </c>
      <c r="CC1454" s="271" t="s">
        <v>832</v>
      </c>
      <c r="CW1454" s="30">
        <f t="shared" si="225"/>
        <v>0</v>
      </c>
      <c r="CZ1454" s="30">
        <f t="shared" si="223"/>
        <v>1</v>
      </c>
      <c r="DA1454" s="30">
        <f t="shared" si="224"/>
        <v>0</v>
      </c>
      <c r="DB1454" s="2">
        <f t="shared" si="226"/>
        <v>0</v>
      </c>
      <c r="DS1454" s="130">
        <f>SI!BY1454</f>
        <v>635</v>
      </c>
      <c r="DZ1454" s="131">
        <f>SI!BZ1454</f>
        <v>0</v>
      </c>
    </row>
    <row r="1455" spans="1:130" hidden="1" x14ac:dyDescent="0.25">
      <c r="A1455" s="141"/>
      <c r="B1455" s="379"/>
      <c r="C1455" s="379"/>
      <c r="D1455" s="379"/>
      <c r="E1455" s="379"/>
      <c r="F1455" s="379"/>
      <c r="G1455" s="379"/>
      <c r="H1455" s="379"/>
      <c r="I1455" s="379"/>
      <c r="J1455" s="379"/>
      <c r="K1455" s="379"/>
      <c r="L1455" s="379"/>
      <c r="M1455" s="379"/>
      <c r="N1455" s="379"/>
      <c r="O1455" s="379"/>
      <c r="P1455" s="379"/>
      <c r="Q1455" s="379"/>
      <c r="R1455" s="379"/>
      <c r="S1455" s="379"/>
      <c r="T1455" s="379"/>
      <c r="U1455" s="379"/>
      <c r="V1455" s="379"/>
      <c r="W1455" s="379"/>
      <c r="X1455" s="379"/>
      <c r="Y1455" s="379"/>
      <c r="Z1455" s="379"/>
      <c r="AA1455" s="379"/>
      <c r="AB1455" s="379"/>
      <c r="AC1455" s="379"/>
      <c r="AD1455" s="379"/>
      <c r="AE1455" s="379"/>
      <c r="AF1455" s="379"/>
      <c r="AG1455" s="379"/>
      <c r="AH1455" s="379"/>
      <c r="AI1455" s="379"/>
      <c r="AJ1455" s="379"/>
      <c r="AK1455" s="379"/>
      <c r="AL1455" s="379"/>
      <c r="AM1455" s="379"/>
      <c r="AN1455" s="379"/>
      <c r="AO1455" s="379"/>
      <c r="AP1455" s="379"/>
      <c r="AQ1455" s="379"/>
      <c r="AR1455" s="379"/>
      <c r="AS1455" s="379"/>
      <c r="AT1455" s="379"/>
      <c r="AU1455" s="379"/>
      <c r="AV1455" s="379"/>
      <c r="AW1455" s="379"/>
      <c r="AX1455" s="379"/>
      <c r="AY1455" s="379"/>
      <c r="AZ1455" s="379"/>
      <c r="BA1455" s="379"/>
      <c r="BB1455" s="379"/>
      <c r="BC1455" s="379"/>
      <c r="BD1455" s="379"/>
      <c r="BE1455" s="379"/>
      <c r="BF1455" s="379"/>
      <c r="BG1455" s="379"/>
      <c r="BH1455" s="379"/>
      <c r="BI1455" s="379"/>
      <c r="BJ1455" s="379"/>
      <c r="BK1455" s="379"/>
      <c r="BL1455" s="379"/>
      <c r="BM1455" s="379"/>
      <c r="BN1455" s="379"/>
      <c r="BO1455" s="379"/>
      <c r="BP1455" s="379"/>
      <c r="BQ1455" s="379"/>
      <c r="BR1455" s="379"/>
      <c r="BS1455" s="379"/>
      <c r="BT1455" s="379"/>
      <c r="BU1455" s="379"/>
      <c r="BV1455" s="379"/>
      <c r="BW1455" s="379"/>
      <c r="BX1455" s="379"/>
      <c r="BY1455" s="379"/>
      <c r="BZ1455" s="379"/>
      <c r="CA1455" s="281"/>
      <c r="CB1455" s="3" t="str">
        <f t="shared" si="220"/>
        <v>Riadok bude skrytý.</v>
      </c>
      <c r="CC1455" s="271" t="s">
        <v>832</v>
      </c>
      <c r="CW1455" s="30">
        <f t="shared" si="225"/>
        <v>0</v>
      </c>
      <c r="CZ1455" s="30">
        <f t="shared" si="223"/>
        <v>1</v>
      </c>
      <c r="DA1455" s="30">
        <f t="shared" si="224"/>
        <v>0</v>
      </c>
      <c r="DB1455" s="2">
        <f t="shared" si="226"/>
        <v>0</v>
      </c>
      <c r="DS1455" s="130">
        <f>SI!BY1455</f>
        <v>118</v>
      </c>
      <c r="DZ1455" s="131">
        <f>SI!BZ1455</f>
        <v>0</v>
      </c>
    </row>
    <row r="1456" spans="1:130" hidden="1" x14ac:dyDescent="0.25">
      <c r="A1456" s="141"/>
      <c r="B1456" s="379"/>
      <c r="C1456" s="379"/>
      <c r="D1456" s="379"/>
      <c r="E1456" s="379"/>
      <c r="F1456" s="379"/>
      <c r="G1456" s="379"/>
      <c r="H1456" s="379"/>
      <c r="I1456" s="379"/>
      <c r="J1456" s="379"/>
      <c r="K1456" s="379"/>
      <c r="L1456" s="379"/>
      <c r="M1456" s="379"/>
      <c r="N1456" s="379"/>
      <c r="O1456" s="379"/>
      <c r="P1456" s="379"/>
      <c r="Q1456" s="379"/>
      <c r="R1456" s="379"/>
      <c r="S1456" s="379"/>
      <c r="T1456" s="379"/>
      <c r="U1456" s="379"/>
      <c r="V1456" s="379"/>
      <c r="W1456" s="379"/>
      <c r="X1456" s="379"/>
      <c r="Y1456" s="379"/>
      <c r="Z1456" s="379"/>
      <c r="AA1456" s="379"/>
      <c r="AB1456" s="379"/>
      <c r="AC1456" s="379"/>
      <c r="AD1456" s="379"/>
      <c r="AE1456" s="379"/>
      <c r="AF1456" s="379"/>
      <c r="AG1456" s="379"/>
      <c r="AH1456" s="379"/>
      <c r="AI1456" s="379"/>
      <c r="AJ1456" s="379"/>
      <c r="AK1456" s="379"/>
      <c r="AL1456" s="379"/>
      <c r="AM1456" s="379"/>
      <c r="AN1456" s="379"/>
      <c r="AO1456" s="379"/>
      <c r="AP1456" s="379"/>
      <c r="AQ1456" s="379"/>
      <c r="AR1456" s="379"/>
      <c r="AS1456" s="379"/>
      <c r="AT1456" s="379"/>
      <c r="AU1456" s="379"/>
      <c r="AV1456" s="379"/>
      <c r="AW1456" s="379"/>
      <c r="AX1456" s="379"/>
      <c r="AY1456" s="379"/>
      <c r="AZ1456" s="379"/>
      <c r="BA1456" s="379"/>
      <c r="BB1456" s="379"/>
      <c r="BC1456" s="379"/>
      <c r="BD1456" s="379"/>
      <c r="BE1456" s="379"/>
      <c r="BF1456" s="379"/>
      <c r="BG1456" s="379"/>
      <c r="BH1456" s="379"/>
      <c r="BI1456" s="379"/>
      <c r="BJ1456" s="379"/>
      <c r="BK1456" s="379"/>
      <c r="BL1456" s="379"/>
      <c r="BM1456" s="379"/>
      <c r="BN1456" s="379"/>
      <c r="BO1456" s="379"/>
      <c r="BP1456" s="379"/>
      <c r="BQ1456" s="379"/>
      <c r="BR1456" s="379"/>
      <c r="BS1456" s="379"/>
      <c r="BT1456" s="379"/>
      <c r="BU1456" s="379"/>
      <c r="BV1456" s="379"/>
      <c r="BW1456" s="379"/>
      <c r="BX1456" s="379"/>
      <c r="BY1456" s="379"/>
      <c r="BZ1456" s="379"/>
      <c r="CA1456" s="281"/>
      <c r="CB1456" s="3" t="str">
        <f t="shared" si="220"/>
        <v>Riadok bude skrytý.</v>
      </c>
      <c r="CC1456" s="271" t="s">
        <v>832</v>
      </c>
      <c r="CW1456" s="30">
        <f t="shared" si="225"/>
        <v>0</v>
      </c>
      <c r="CZ1456" s="30">
        <f t="shared" si="223"/>
        <v>1</v>
      </c>
      <c r="DA1456" s="30">
        <f t="shared" si="224"/>
        <v>0</v>
      </c>
      <c r="DB1456" s="2">
        <f t="shared" si="226"/>
        <v>0</v>
      </c>
      <c r="DS1456" s="130">
        <f>SI!BY1456</f>
        <v>144</v>
      </c>
      <c r="DZ1456" s="131">
        <f>SI!BZ1456</f>
        <v>0</v>
      </c>
    </row>
    <row r="1457" spans="1:132" hidden="1" x14ac:dyDescent="0.25">
      <c r="A1457" s="141"/>
      <c r="B1457" s="379"/>
      <c r="C1457" s="379"/>
      <c r="D1457" s="379"/>
      <c r="E1457" s="379"/>
      <c r="F1457" s="379"/>
      <c r="G1457" s="379"/>
      <c r="H1457" s="379"/>
      <c r="I1457" s="379"/>
      <c r="J1457" s="379"/>
      <c r="K1457" s="379"/>
      <c r="L1457" s="379"/>
      <c r="M1457" s="379"/>
      <c r="N1457" s="379"/>
      <c r="O1457" s="379"/>
      <c r="P1457" s="379"/>
      <c r="Q1457" s="379"/>
      <c r="R1457" s="379"/>
      <c r="S1457" s="379"/>
      <c r="T1457" s="379"/>
      <c r="U1457" s="379"/>
      <c r="V1457" s="379"/>
      <c r="W1457" s="379"/>
      <c r="X1457" s="379"/>
      <c r="Y1457" s="379"/>
      <c r="Z1457" s="379"/>
      <c r="AA1457" s="379"/>
      <c r="AB1457" s="379"/>
      <c r="AC1457" s="379"/>
      <c r="AD1457" s="379"/>
      <c r="AE1457" s="379"/>
      <c r="AF1457" s="379"/>
      <c r="AG1457" s="379"/>
      <c r="AH1457" s="379"/>
      <c r="AI1457" s="379"/>
      <c r="AJ1457" s="379"/>
      <c r="AK1457" s="379"/>
      <c r="AL1457" s="379"/>
      <c r="AM1457" s="379"/>
      <c r="AN1457" s="379"/>
      <c r="AO1457" s="379"/>
      <c r="AP1457" s="379"/>
      <c r="AQ1457" s="379"/>
      <c r="AR1457" s="379"/>
      <c r="AS1457" s="379"/>
      <c r="AT1457" s="379"/>
      <c r="AU1457" s="379"/>
      <c r="AV1457" s="379"/>
      <c r="AW1457" s="379"/>
      <c r="AX1457" s="379"/>
      <c r="AY1457" s="379"/>
      <c r="AZ1457" s="379"/>
      <c r="BA1457" s="379"/>
      <c r="BB1457" s="379"/>
      <c r="BC1457" s="379"/>
      <c r="BD1457" s="379"/>
      <c r="BE1457" s="379"/>
      <c r="BF1457" s="379"/>
      <c r="BG1457" s="379"/>
      <c r="BH1457" s="379"/>
      <c r="BI1457" s="379"/>
      <c r="BJ1457" s="379"/>
      <c r="BK1457" s="379"/>
      <c r="BL1457" s="379"/>
      <c r="BM1457" s="379"/>
      <c r="BN1457" s="379"/>
      <c r="BO1457" s="379"/>
      <c r="BP1457" s="379"/>
      <c r="BQ1457" s="379"/>
      <c r="BR1457" s="379"/>
      <c r="BS1457" s="379"/>
      <c r="BT1457" s="379"/>
      <c r="BU1457" s="379"/>
      <c r="BV1457" s="379"/>
      <c r="BW1457" s="379"/>
      <c r="BX1457" s="379"/>
      <c r="BY1457" s="379"/>
      <c r="BZ1457" s="379"/>
      <c r="CA1457" s="281"/>
      <c r="CB1457" s="3" t="str">
        <f t="shared" si="220"/>
        <v>Riadok bude skrytý.</v>
      </c>
      <c r="CC1457" s="271" t="s">
        <v>832</v>
      </c>
      <c r="CW1457" s="30">
        <f t="shared" si="225"/>
        <v>0</v>
      </c>
      <c r="CZ1457" s="30">
        <f t="shared" si="223"/>
        <v>1</v>
      </c>
      <c r="DA1457" s="30">
        <f t="shared" si="224"/>
        <v>0</v>
      </c>
      <c r="DB1457" s="2">
        <f t="shared" si="226"/>
        <v>0</v>
      </c>
      <c r="DS1457" s="130">
        <f>SI!BY1457</f>
        <v>143</v>
      </c>
      <c r="DZ1457" s="131">
        <f>SI!BZ1457</f>
        <v>0</v>
      </c>
    </row>
    <row r="1458" spans="1:132" hidden="1" x14ac:dyDescent="0.25">
      <c r="A1458" s="141"/>
      <c r="B1458" s="379"/>
      <c r="C1458" s="379"/>
      <c r="D1458" s="379"/>
      <c r="E1458" s="379"/>
      <c r="F1458" s="379"/>
      <c r="G1458" s="379"/>
      <c r="H1458" s="379"/>
      <c r="I1458" s="379"/>
      <c r="J1458" s="379"/>
      <c r="K1458" s="379"/>
      <c r="L1458" s="379"/>
      <c r="M1458" s="379"/>
      <c r="N1458" s="379"/>
      <c r="O1458" s="379"/>
      <c r="P1458" s="379"/>
      <c r="Q1458" s="379"/>
      <c r="R1458" s="379"/>
      <c r="S1458" s="379"/>
      <c r="T1458" s="379"/>
      <c r="U1458" s="379"/>
      <c r="V1458" s="379"/>
      <c r="W1458" s="379"/>
      <c r="X1458" s="379"/>
      <c r="Y1458" s="379"/>
      <c r="Z1458" s="379"/>
      <c r="AA1458" s="379"/>
      <c r="AB1458" s="379"/>
      <c r="AC1458" s="379"/>
      <c r="AD1458" s="379"/>
      <c r="AE1458" s="379"/>
      <c r="AF1458" s="379"/>
      <c r="AG1458" s="379"/>
      <c r="AH1458" s="379"/>
      <c r="AI1458" s="379"/>
      <c r="AJ1458" s="379"/>
      <c r="AK1458" s="379"/>
      <c r="AL1458" s="379"/>
      <c r="AM1458" s="379"/>
      <c r="AN1458" s="379"/>
      <c r="AO1458" s="379"/>
      <c r="AP1458" s="379"/>
      <c r="AQ1458" s="379"/>
      <c r="AR1458" s="379"/>
      <c r="AS1458" s="379"/>
      <c r="AT1458" s="379"/>
      <c r="AU1458" s="379"/>
      <c r="AV1458" s="379"/>
      <c r="AW1458" s="379"/>
      <c r="AX1458" s="379"/>
      <c r="AY1458" s="379"/>
      <c r="AZ1458" s="379"/>
      <c r="BA1458" s="379"/>
      <c r="BB1458" s="379"/>
      <c r="BC1458" s="379"/>
      <c r="BD1458" s="379"/>
      <c r="BE1458" s="379"/>
      <c r="BF1458" s="379"/>
      <c r="BG1458" s="379"/>
      <c r="BH1458" s="379"/>
      <c r="BI1458" s="379"/>
      <c r="BJ1458" s="379"/>
      <c r="BK1458" s="379"/>
      <c r="BL1458" s="379"/>
      <c r="BM1458" s="379"/>
      <c r="BN1458" s="379"/>
      <c r="BO1458" s="379"/>
      <c r="BP1458" s="379"/>
      <c r="BQ1458" s="379"/>
      <c r="BR1458" s="379"/>
      <c r="BS1458" s="379"/>
      <c r="BT1458" s="379"/>
      <c r="BU1458" s="379"/>
      <c r="BV1458" s="379"/>
      <c r="BW1458" s="379"/>
      <c r="BX1458" s="379"/>
      <c r="BY1458" s="379"/>
      <c r="BZ1458" s="379"/>
      <c r="CA1458" s="281"/>
      <c r="CB1458" s="3" t="str">
        <f t="shared" si="220"/>
        <v>Riadok bude skrytý.</v>
      </c>
      <c r="CC1458" s="271" t="s">
        <v>832</v>
      </c>
      <c r="CW1458" s="30">
        <f t="shared" si="225"/>
        <v>0</v>
      </c>
      <c r="CZ1458" s="30">
        <f t="shared" si="223"/>
        <v>1</v>
      </c>
      <c r="DA1458" s="30">
        <f t="shared" si="224"/>
        <v>0</v>
      </c>
      <c r="DB1458" s="2">
        <f t="shared" si="226"/>
        <v>0</v>
      </c>
      <c r="DS1458" s="130">
        <f>SI!BY1458</f>
        <v>1103</v>
      </c>
      <c r="DZ1458" s="131">
        <f>SI!BZ1458</f>
        <v>0</v>
      </c>
    </row>
    <row r="1459" spans="1:132" hidden="1" x14ac:dyDescent="0.25">
      <c r="A1459" s="141"/>
      <c r="B1459" s="379"/>
      <c r="C1459" s="379"/>
      <c r="D1459" s="379"/>
      <c r="E1459" s="379"/>
      <c r="F1459" s="379"/>
      <c r="G1459" s="379"/>
      <c r="H1459" s="379"/>
      <c r="I1459" s="379"/>
      <c r="J1459" s="379"/>
      <c r="K1459" s="379"/>
      <c r="L1459" s="379"/>
      <c r="M1459" s="379"/>
      <c r="N1459" s="379"/>
      <c r="O1459" s="379"/>
      <c r="P1459" s="379"/>
      <c r="Q1459" s="379"/>
      <c r="R1459" s="379"/>
      <c r="S1459" s="379"/>
      <c r="T1459" s="379"/>
      <c r="U1459" s="379"/>
      <c r="V1459" s="379"/>
      <c r="W1459" s="379"/>
      <c r="X1459" s="379"/>
      <c r="Y1459" s="379"/>
      <c r="Z1459" s="379"/>
      <c r="AA1459" s="379"/>
      <c r="AB1459" s="379"/>
      <c r="AC1459" s="379"/>
      <c r="AD1459" s="379"/>
      <c r="AE1459" s="379"/>
      <c r="AF1459" s="379"/>
      <c r="AG1459" s="379"/>
      <c r="AH1459" s="379"/>
      <c r="AI1459" s="379"/>
      <c r="AJ1459" s="379"/>
      <c r="AK1459" s="379"/>
      <c r="AL1459" s="379"/>
      <c r="AM1459" s="379"/>
      <c r="AN1459" s="379"/>
      <c r="AO1459" s="379"/>
      <c r="AP1459" s="379"/>
      <c r="AQ1459" s="379"/>
      <c r="AR1459" s="379"/>
      <c r="AS1459" s="379"/>
      <c r="AT1459" s="379"/>
      <c r="AU1459" s="379"/>
      <c r="AV1459" s="379"/>
      <c r="AW1459" s="379"/>
      <c r="AX1459" s="379"/>
      <c r="AY1459" s="379"/>
      <c r="AZ1459" s="379"/>
      <c r="BA1459" s="379"/>
      <c r="BB1459" s="379"/>
      <c r="BC1459" s="379"/>
      <c r="BD1459" s="379"/>
      <c r="BE1459" s="379"/>
      <c r="BF1459" s="379"/>
      <c r="BG1459" s="379"/>
      <c r="BH1459" s="379"/>
      <c r="BI1459" s="379"/>
      <c r="BJ1459" s="379"/>
      <c r="BK1459" s="379"/>
      <c r="BL1459" s="379"/>
      <c r="BM1459" s="379"/>
      <c r="BN1459" s="379"/>
      <c r="BO1459" s="379"/>
      <c r="BP1459" s="379"/>
      <c r="BQ1459" s="379"/>
      <c r="BR1459" s="379"/>
      <c r="BS1459" s="379"/>
      <c r="BT1459" s="379"/>
      <c r="BU1459" s="379"/>
      <c r="BV1459" s="379"/>
      <c r="BW1459" s="379"/>
      <c r="BX1459" s="379"/>
      <c r="BY1459" s="379"/>
      <c r="BZ1459" s="379"/>
      <c r="CA1459" s="281"/>
      <c r="CB1459" s="3" t="str">
        <f t="shared" ref="CB1459:CB1522" si="227">+IF(DB1459=0,"Riadok bude skrytý.","Riadok bude vidieť.")</f>
        <v>Riadok bude skrytý.</v>
      </c>
      <c r="CC1459" s="271" t="s">
        <v>832</v>
      </c>
      <c r="CW1459" s="30">
        <f t="shared" si="225"/>
        <v>0</v>
      </c>
      <c r="CZ1459" s="30">
        <f t="shared" si="223"/>
        <v>1</v>
      </c>
      <c r="DA1459" s="30">
        <f t="shared" si="224"/>
        <v>0</v>
      </c>
      <c r="DB1459" s="2">
        <f t="shared" si="226"/>
        <v>0</v>
      </c>
      <c r="DS1459" s="130">
        <f>SI!BY1459</f>
        <v>174</v>
      </c>
      <c r="DZ1459" s="131">
        <f>SI!BZ1459</f>
        <v>0</v>
      </c>
    </row>
    <row r="1460" spans="1:132" hidden="1" x14ac:dyDescent="0.25">
      <c r="A1460" s="141"/>
      <c r="B1460" s="379"/>
      <c r="C1460" s="379"/>
      <c r="D1460" s="379"/>
      <c r="E1460" s="379"/>
      <c r="F1460" s="379"/>
      <c r="G1460" s="379"/>
      <c r="H1460" s="379"/>
      <c r="I1460" s="379"/>
      <c r="J1460" s="379"/>
      <c r="K1460" s="379"/>
      <c r="L1460" s="379"/>
      <c r="M1460" s="379"/>
      <c r="N1460" s="379"/>
      <c r="O1460" s="379"/>
      <c r="P1460" s="379"/>
      <c r="Q1460" s="379"/>
      <c r="R1460" s="379"/>
      <c r="S1460" s="379"/>
      <c r="T1460" s="379"/>
      <c r="U1460" s="379"/>
      <c r="V1460" s="379"/>
      <c r="W1460" s="379"/>
      <c r="X1460" s="379"/>
      <c r="Y1460" s="379"/>
      <c r="Z1460" s="379"/>
      <c r="AA1460" s="379"/>
      <c r="AB1460" s="379"/>
      <c r="AC1460" s="379"/>
      <c r="AD1460" s="379"/>
      <c r="AE1460" s="379"/>
      <c r="AF1460" s="379"/>
      <c r="AG1460" s="379"/>
      <c r="AH1460" s="379"/>
      <c r="AI1460" s="379"/>
      <c r="AJ1460" s="379"/>
      <c r="AK1460" s="379"/>
      <c r="AL1460" s="379"/>
      <c r="AM1460" s="379"/>
      <c r="AN1460" s="379"/>
      <c r="AO1460" s="379"/>
      <c r="AP1460" s="379"/>
      <c r="AQ1460" s="379"/>
      <c r="AR1460" s="379"/>
      <c r="AS1460" s="379"/>
      <c r="AT1460" s="379"/>
      <c r="AU1460" s="379"/>
      <c r="AV1460" s="379"/>
      <c r="AW1460" s="379"/>
      <c r="AX1460" s="379"/>
      <c r="AY1460" s="379"/>
      <c r="AZ1460" s="379"/>
      <c r="BA1460" s="379"/>
      <c r="BB1460" s="379"/>
      <c r="BC1460" s="379"/>
      <c r="BD1460" s="379"/>
      <c r="BE1460" s="379"/>
      <c r="BF1460" s="379"/>
      <c r="BG1460" s="379"/>
      <c r="BH1460" s="379"/>
      <c r="BI1460" s="379"/>
      <c r="BJ1460" s="379"/>
      <c r="BK1460" s="379"/>
      <c r="BL1460" s="379"/>
      <c r="BM1460" s="379"/>
      <c r="BN1460" s="379"/>
      <c r="BO1460" s="379"/>
      <c r="BP1460" s="379"/>
      <c r="BQ1460" s="379"/>
      <c r="BR1460" s="379"/>
      <c r="BS1460" s="379"/>
      <c r="BT1460" s="379"/>
      <c r="BU1460" s="379"/>
      <c r="BV1460" s="379"/>
      <c r="BW1460" s="379"/>
      <c r="BX1460" s="379"/>
      <c r="BY1460" s="379"/>
      <c r="BZ1460" s="379"/>
      <c r="CA1460" s="281"/>
      <c r="CB1460" s="3" t="str">
        <f t="shared" si="227"/>
        <v>Riadok bude skrytý.</v>
      </c>
      <c r="CC1460" s="271" t="s">
        <v>832</v>
      </c>
      <c r="CW1460" s="30">
        <f t="shared" si="225"/>
        <v>0</v>
      </c>
      <c r="CZ1460" s="30">
        <f t="shared" si="223"/>
        <v>1</v>
      </c>
      <c r="DA1460" s="30">
        <f t="shared" si="224"/>
        <v>0</v>
      </c>
      <c r="DB1460" s="2">
        <f t="shared" si="226"/>
        <v>0</v>
      </c>
      <c r="DS1460" s="130">
        <f>SI!BY1460</f>
        <v>265</v>
      </c>
      <c r="DZ1460" s="131">
        <f>SI!BZ1460</f>
        <v>0</v>
      </c>
    </row>
    <row r="1461" spans="1:132" hidden="1" x14ac:dyDescent="0.25">
      <c r="A1461" s="141"/>
      <c r="B1461" s="379"/>
      <c r="C1461" s="379"/>
      <c r="D1461" s="379"/>
      <c r="E1461" s="379"/>
      <c r="F1461" s="379"/>
      <c r="G1461" s="379"/>
      <c r="H1461" s="379"/>
      <c r="I1461" s="379"/>
      <c r="J1461" s="379"/>
      <c r="K1461" s="379"/>
      <c r="L1461" s="379"/>
      <c r="M1461" s="379"/>
      <c r="N1461" s="379"/>
      <c r="O1461" s="379"/>
      <c r="P1461" s="379"/>
      <c r="Q1461" s="379"/>
      <c r="R1461" s="379"/>
      <c r="S1461" s="379"/>
      <c r="T1461" s="379"/>
      <c r="U1461" s="379"/>
      <c r="V1461" s="379"/>
      <c r="W1461" s="379"/>
      <c r="X1461" s="379"/>
      <c r="Y1461" s="379"/>
      <c r="Z1461" s="379"/>
      <c r="AA1461" s="379"/>
      <c r="AB1461" s="379"/>
      <c r="AC1461" s="379"/>
      <c r="AD1461" s="379"/>
      <c r="AE1461" s="379"/>
      <c r="AF1461" s="379"/>
      <c r="AG1461" s="379"/>
      <c r="AH1461" s="379"/>
      <c r="AI1461" s="379"/>
      <c r="AJ1461" s="379"/>
      <c r="AK1461" s="379"/>
      <c r="AL1461" s="379"/>
      <c r="AM1461" s="379"/>
      <c r="AN1461" s="379"/>
      <c r="AO1461" s="379"/>
      <c r="AP1461" s="379"/>
      <c r="AQ1461" s="379"/>
      <c r="AR1461" s="379"/>
      <c r="AS1461" s="379"/>
      <c r="AT1461" s="379"/>
      <c r="AU1461" s="379"/>
      <c r="AV1461" s="379"/>
      <c r="AW1461" s="379"/>
      <c r="AX1461" s="379"/>
      <c r="AY1461" s="379"/>
      <c r="AZ1461" s="379"/>
      <c r="BA1461" s="379"/>
      <c r="BB1461" s="379"/>
      <c r="BC1461" s="379"/>
      <c r="BD1461" s="379"/>
      <c r="BE1461" s="379"/>
      <c r="BF1461" s="379"/>
      <c r="BG1461" s="379"/>
      <c r="BH1461" s="379"/>
      <c r="BI1461" s="379"/>
      <c r="BJ1461" s="379"/>
      <c r="BK1461" s="379"/>
      <c r="BL1461" s="379"/>
      <c r="BM1461" s="379"/>
      <c r="BN1461" s="379"/>
      <c r="BO1461" s="379"/>
      <c r="BP1461" s="379"/>
      <c r="BQ1461" s="379"/>
      <c r="BR1461" s="379"/>
      <c r="BS1461" s="379"/>
      <c r="BT1461" s="379"/>
      <c r="BU1461" s="379"/>
      <c r="BV1461" s="379"/>
      <c r="BW1461" s="379"/>
      <c r="BX1461" s="379"/>
      <c r="BY1461" s="379"/>
      <c r="BZ1461" s="379"/>
      <c r="CA1461" s="281"/>
      <c r="CB1461" s="3" t="str">
        <f t="shared" si="227"/>
        <v>Riadok bude skrytý.</v>
      </c>
      <c r="CC1461" s="271" t="s">
        <v>832</v>
      </c>
      <c r="CW1461" s="30">
        <f t="shared" si="225"/>
        <v>0</v>
      </c>
      <c r="CZ1461" s="30">
        <f t="shared" si="223"/>
        <v>1</v>
      </c>
      <c r="DA1461" s="30">
        <f t="shared" si="224"/>
        <v>0</v>
      </c>
      <c r="DB1461" s="2">
        <f t="shared" si="226"/>
        <v>0</v>
      </c>
      <c r="DS1461" s="130">
        <f>SI!BY1461</f>
        <v>1</v>
      </c>
      <c r="DZ1461" s="131">
        <f>SI!BZ1461</f>
        <v>0</v>
      </c>
    </row>
    <row r="1462" spans="1:132" hidden="1" x14ac:dyDescent="0.25">
      <c r="A1462" s="141"/>
      <c r="B1462" s="379"/>
      <c r="C1462" s="379"/>
      <c r="D1462" s="379"/>
      <c r="E1462" s="379"/>
      <c r="F1462" s="379"/>
      <c r="G1462" s="379"/>
      <c r="H1462" s="379"/>
      <c r="I1462" s="379"/>
      <c r="J1462" s="379"/>
      <c r="K1462" s="379"/>
      <c r="L1462" s="379"/>
      <c r="M1462" s="379"/>
      <c r="N1462" s="379"/>
      <c r="O1462" s="379"/>
      <c r="P1462" s="379"/>
      <c r="Q1462" s="379"/>
      <c r="R1462" s="379"/>
      <c r="S1462" s="379"/>
      <c r="T1462" s="379"/>
      <c r="U1462" s="379"/>
      <c r="V1462" s="379"/>
      <c r="W1462" s="379"/>
      <c r="X1462" s="379"/>
      <c r="Y1462" s="379"/>
      <c r="Z1462" s="379"/>
      <c r="AA1462" s="379"/>
      <c r="AB1462" s="379"/>
      <c r="AC1462" s="379"/>
      <c r="AD1462" s="379"/>
      <c r="AE1462" s="379"/>
      <c r="AF1462" s="379"/>
      <c r="AG1462" s="379"/>
      <c r="AH1462" s="379"/>
      <c r="AI1462" s="379"/>
      <c r="AJ1462" s="379"/>
      <c r="AK1462" s="379"/>
      <c r="AL1462" s="379"/>
      <c r="AM1462" s="379"/>
      <c r="AN1462" s="379"/>
      <c r="AO1462" s="379"/>
      <c r="AP1462" s="379"/>
      <c r="AQ1462" s="379"/>
      <c r="AR1462" s="379"/>
      <c r="AS1462" s="379"/>
      <c r="AT1462" s="379"/>
      <c r="AU1462" s="379"/>
      <c r="AV1462" s="379"/>
      <c r="AW1462" s="379"/>
      <c r="AX1462" s="379"/>
      <c r="AY1462" s="379"/>
      <c r="AZ1462" s="379"/>
      <c r="BA1462" s="379"/>
      <c r="BB1462" s="379"/>
      <c r="BC1462" s="379"/>
      <c r="BD1462" s="379"/>
      <c r="BE1462" s="379"/>
      <c r="BF1462" s="379"/>
      <c r="BG1462" s="379"/>
      <c r="BH1462" s="379"/>
      <c r="BI1462" s="379"/>
      <c r="BJ1462" s="379"/>
      <c r="BK1462" s="379"/>
      <c r="BL1462" s="379"/>
      <c r="BM1462" s="379"/>
      <c r="BN1462" s="379"/>
      <c r="BO1462" s="379"/>
      <c r="BP1462" s="379"/>
      <c r="BQ1462" s="379"/>
      <c r="BR1462" s="379"/>
      <c r="BS1462" s="379"/>
      <c r="BT1462" s="379"/>
      <c r="BU1462" s="379"/>
      <c r="BV1462" s="379"/>
      <c r="BW1462" s="379"/>
      <c r="BX1462" s="379"/>
      <c r="BY1462" s="379"/>
      <c r="BZ1462" s="379"/>
      <c r="CA1462" s="281"/>
      <c r="CB1462" s="3" t="str">
        <f t="shared" si="227"/>
        <v>Riadok bude skrytý.</v>
      </c>
      <c r="CC1462" s="271" t="s">
        <v>832</v>
      </c>
      <c r="CW1462" s="30">
        <f t="shared" si="225"/>
        <v>0</v>
      </c>
      <c r="CZ1462" s="30">
        <f t="shared" si="223"/>
        <v>1</v>
      </c>
      <c r="DA1462" s="30">
        <f t="shared" si="224"/>
        <v>0</v>
      </c>
      <c r="DB1462" s="2">
        <f t="shared" si="226"/>
        <v>0</v>
      </c>
      <c r="DS1462" s="130">
        <f>SI!BY1462</f>
        <v>424</v>
      </c>
      <c r="DZ1462" s="131">
        <f>SI!BZ1462</f>
        <v>0</v>
      </c>
    </row>
    <row r="1463" spans="1:132" hidden="1" x14ac:dyDescent="0.25">
      <c r="A1463" s="141"/>
      <c r="CA1463" s="281"/>
      <c r="CB1463" s="3" t="str">
        <f t="shared" si="227"/>
        <v>Riadok bude skrytý.</v>
      </c>
      <c r="CC1463" s="271" t="s">
        <v>832</v>
      </c>
      <c r="CW1463" s="30">
        <f t="shared" ref="CW1463:CW1477" si="228">+IF($J$1441="nerealizuje",0,1)</f>
        <v>1</v>
      </c>
      <c r="CZ1463" s="30">
        <f t="shared" si="223"/>
        <v>1</v>
      </c>
      <c r="DA1463" s="30">
        <f t="shared" si="224"/>
        <v>1</v>
      </c>
      <c r="DB1463" s="2">
        <f t="shared" si="226"/>
        <v>0</v>
      </c>
      <c r="DS1463" s="130">
        <f>SI!BY1463</f>
        <v>13</v>
      </c>
      <c r="DZ1463" s="131">
        <f>SI!BZ1463</f>
        <v>0</v>
      </c>
    </row>
    <row r="1464" spans="1:132" ht="18.7" hidden="1" customHeight="1" x14ac:dyDescent="0.25">
      <c r="A1464" s="141"/>
      <c r="B1464" s="564" t="s">
        <v>171</v>
      </c>
      <c r="C1464" s="565"/>
      <c r="D1464" s="565"/>
      <c r="E1464" s="565"/>
      <c r="F1464" s="565"/>
      <c r="G1464" s="565"/>
      <c r="H1464" s="565"/>
      <c r="I1464" s="565"/>
      <c r="J1464" s="565"/>
      <c r="K1464" s="565"/>
      <c r="L1464" s="565"/>
      <c r="M1464" s="565"/>
      <c r="N1464" s="565"/>
      <c r="O1464" s="565"/>
      <c r="P1464" s="565"/>
      <c r="Q1464" s="565"/>
      <c r="R1464" s="565"/>
      <c r="S1464" s="565"/>
      <c r="T1464" s="565"/>
      <c r="U1464" s="565"/>
      <c r="V1464" s="565"/>
      <c r="W1464" s="565"/>
      <c r="X1464" s="1627" t="s">
        <v>433</v>
      </c>
      <c r="Y1464" s="1628"/>
      <c r="Z1464" s="1628"/>
      <c r="AA1464" s="1628"/>
      <c r="AB1464" s="1628"/>
      <c r="AC1464" s="1628"/>
      <c r="AD1464" s="1628"/>
      <c r="AE1464" s="1628"/>
      <c r="AF1464" s="1628"/>
      <c r="AG1464" s="1628"/>
      <c r="AH1464" s="1628"/>
      <c r="AI1464" s="1628"/>
      <c r="AJ1464" s="1628"/>
      <c r="AK1464" s="1628"/>
      <c r="AL1464" s="1628"/>
      <c r="AM1464" s="1628"/>
      <c r="AN1464" s="1628"/>
      <c r="AO1464" s="1629"/>
      <c r="AP1464" s="1511" t="s">
        <v>434</v>
      </c>
      <c r="AQ1464" s="1512"/>
      <c r="AR1464" s="1512"/>
      <c r="AS1464" s="1512"/>
      <c r="AT1464" s="1512"/>
      <c r="AU1464" s="1512"/>
      <c r="AV1464" s="1512"/>
      <c r="AW1464" s="1512"/>
      <c r="AX1464" s="1512"/>
      <c r="AY1464" s="1512"/>
      <c r="AZ1464" s="1512"/>
      <c r="BA1464" s="1512"/>
      <c r="BB1464" s="1512"/>
      <c r="BC1464" s="1512"/>
      <c r="BD1464" s="1512"/>
      <c r="BE1464" s="1512"/>
      <c r="BF1464" s="1512"/>
      <c r="BG1464" s="1512"/>
      <c r="BH1464" s="1340" t="s">
        <v>173</v>
      </c>
      <c r="BI1464" s="1341"/>
      <c r="BJ1464" s="1341"/>
      <c r="BK1464" s="1341"/>
      <c r="BL1464" s="1341"/>
      <c r="BM1464" s="1341"/>
      <c r="BN1464" s="1341"/>
      <c r="BO1464" s="1341"/>
      <c r="BP1464" s="1341"/>
      <c r="BQ1464" s="1341"/>
      <c r="BR1464" s="1341"/>
      <c r="BS1464" s="1341"/>
      <c r="BT1464" s="1341"/>
      <c r="BU1464" s="1341"/>
      <c r="BV1464" s="1341"/>
      <c r="BW1464" s="1341"/>
      <c r="BX1464" s="1341"/>
      <c r="BY1464" s="1341"/>
      <c r="BZ1464" s="1342"/>
      <c r="CA1464" s="265" t="s">
        <v>773</v>
      </c>
      <c r="CB1464" s="3" t="str">
        <f t="shared" si="227"/>
        <v>Riadok bude skrytý.</v>
      </c>
      <c r="CC1464" s="271" t="s">
        <v>832</v>
      </c>
      <c r="CD1464" s="4"/>
      <c r="CW1464" s="30">
        <f t="shared" si="228"/>
        <v>1</v>
      </c>
      <c r="CZ1464" s="30">
        <f t="shared" si="223"/>
        <v>1</v>
      </c>
      <c r="DA1464" s="30">
        <f t="shared" si="224"/>
        <v>1</v>
      </c>
      <c r="DB1464" s="2">
        <f t="shared" si="226"/>
        <v>0</v>
      </c>
      <c r="DS1464" s="130">
        <f>SI!BY1464</f>
        <v>1109</v>
      </c>
      <c r="DZ1464" s="131">
        <f>SI!BZ1464</f>
        <v>0</v>
      </c>
    </row>
    <row r="1465" spans="1:132" ht="18.7" hidden="1" customHeight="1" x14ac:dyDescent="0.25">
      <c r="A1465" s="141"/>
      <c r="B1465" s="567"/>
      <c r="C1465" s="568"/>
      <c r="D1465" s="568"/>
      <c r="E1465" s="568"/>
      <c r="F1465" s="568"/>
      <c r="G1465" s="568"/>
      <c r="H1465" s="568"/>
      <c r="I1465" s="568"/>
      <c r="J1465" s="568"/>
      <c r="K1465" s="568"/>
      <c r="L1465" s="568"/>
      <c r="M1465" s="568"/>
      <c r="N1465" s="568"/>
      <c r="O1465" s="568"/>
      <c r="P1465" s="568"/>
      <c r="Q1465" s="568"/>
      <c r="R1465" s="568"/>
      <c r="S1465" s="568"/>
      <c r="T1465" s="568"/>
      <c r="U1465" s="568"/>
      <c r="V1465" s="568"/>
      <c r="W1465" s="568"/>
      <c r="X1465" s="495">
        <f>+AJ141</f>
        <v>2021</v>
      </c>
      <c r="Y1465" s="496"/>
      <c r="Z1465" s="496"/>
      <c r="AA1465" s="496"/>
      <c r="AB1465" s="496"/>
      <c r="AC1465" s="496"/>
      <c r="AD1465" s="496"/>
      <c r="AE1465" s="496"/>
      <c r="AF1465" s="496"/>
      <c r="AG1465" s="496"/>
      <c r="AH1465" s="496"/>
      <c r="AI1465" s="496"/>
      <c r="AJ1465" s="496"/>
      <c r="AK1465" s="496"/>
      <c r="AL1465" s="496"/>
      <c r="AM1465" s="496"/>
      <c r="AN1465" s="496"/>
      <c r="AO1465" s="497"/>
      <c r="AP1465" s="495">
        <f>+BE141</f>
        <v>2020</v>
      </c>
      <c r="AQ1465" s="496"/>
      <c r="AR1465" s="496"/>
      <c r="AS1465" s="496"/>
      <c r="AT1465" s="496"/>
      <c r="AU1465" s="496"/>
      <c r="AV1465" s="496"/>
      <c r="AW1465" s="496"/>
      <c r="AX1465" s="496"/>
      <c r="AY1465" s="496"/>
      <c r="AZ1465" s="496"/>
      <c r="BA1465" s="496"/>
      <c r="BB1465" s="496"/>
      <c r="BC1465" s="496"/>
      <c r="BD1465" s="496"/>
      <c r="BE1465" s="496"/>
      <c r="BF1465" s="496"/>
      <c r="BG1465" s="496"/>
      <c r="BH1465" s="1826"/>
      <c r="BI1465" s="1827"/>
      <c r="BJ1465" s="1827"/>
      <c r="BK1465" s="1827"/>
      <c r="BL1465" s="1827"/>
      <c r="BM1465" s="1827"/>
      <c r="BN1465" s="1827"/>
      <c r="BO1465" s="1827"/>
      <c r="BP1465" s="1827"/>
      <c r="BQ1465" s="1827"/>
      <c r="BR1465" s="1827"/>
      <c r="BS1465" s="1827"/>
      <c r="BT1465" s="1827"/>
      <c r="BU1465" s="1827"/>
      <c r="BV1465" s="1827"/>
      <c r="BW1465" s="1827"/>
      <c r="BX1465" s="1827"/>
      <c r="BY1465" s="1827"/>
      <c r="BZ1465" s="1828"/>
      <c r="CA1465" s="270"/>
      <c r="CB1465" s="3" t="str">
        <f t="shared" si="227"/>
        <v>Riadok bude skrytý.</v>
      </c>
      <c r="CC1465" s="271" t="s">
        <v>832</v>
      </c>
      <c r="CW1465" s="30">
        <f t="shared" si="228"/>
        <v>1</v>
      </c>
      <c r="CZ1465" s="30">
        <f t="shared" si="223"/>
        <v>1</v>
      </c>
      <c r="DA1465" s="30">
        <f t="shared" si="224"/>
        <v>1</v>
      </c>
      <c r="DB1465" s="2">
        <f t="shared" si="226"/>
        <v>0</v>
      </c>
      <c r="DS1465" s="130">
        <f>SI!BY1465</f>
        <v>208</v>
      </c>
      <c r="DZ1465" s="131">
        <f>SI!BZ1465</f>
        <v>0</v>
      </c>
    </row>
    <row r="1466" spans="1:132" s="6" customFormat="1" hidden="1" x14ac:dyDescent="0.25">
      <c r="A1466" s="226"/>
      <c r="B1466" s="524" t="s">
        <v>0</v>
      </c>
      <c r="C1466" s="525"/>
      <c r="D1466" s="525"/>
      <c r="E1466" s="525"/>
      <c r="F1466" s="525"/>
      <c r="G1466" s="525"/>
      <c r="H1466" s="525"/>
      <c r="I1466" s="525"/>
      <c r="J1466" s="525"/>
      <c r="K1466" s="525"/>
      <c r="L1466" s="525"/>
      <c r="M1466" s="525"/>
      <c r="N1466" s="525"/>
      <c r="O1466" s="525"/>
      <c r="P1466" s="525"/>
      <c r="Q1466" s="525"/>
      <c r="R1466" s="525"/>
      <c r="S1466" s="525"/>
      <c r="T1466" s="525"/>
      <c r="U1466" s="525"/>
      <c r="V1466" s="525"/>
      <c r="W1466" s="525"/>
      <c r="X1466" s="524" t="s">
        <v>1</v>
      </c>
      <c r="Y1466" s="525"/>
      <c r="Z1466" s="525"/>
      <c r="AA1466" s="525"/>
      <c r="AB1466" s="525"/>
      <c r="AC1466" s="525"/>
      <c r="AD1466" s="525"/>
      <c r="AE1466" s="525"/>
      <c r="AF1466" s="525"/>
      <c r="AG1466" s="525"/>
      <c r="AH1466" s="525"/>
      <c r="AI1466" s="525"/>
      <c r="AJ1466" s="525"/>
      <c r="AK1466" s="525"/>
      <c r="AL1466" s="525"/>
      <c r="AM1466" s="525"/>
      <c r="AN1466" s="525"/>
      <c r="AO1466" s="723"/>
      <c r="AP1466" s="524" t="s">
        <v>2</v>
      </c>
      <c r="AQ1466" s="525"/>
      <c r="AR1466" s="525"/>
      <c r="AS1466" s="525"/>
      <c r="AT1466" s="525"/>
      <c r="AU1466" s="525"/>
      <c r="AV1466" s="525"/>
      <c r="AW1466" s="525"/>
      <c r="AX1466" s="525"/>
      <c r="AY1466" s="525"/>
      <c r="AZ1466" s="525"/>
      <c r="BA1466" s="525"/>
      <c r="BB1466" s="525"/>
      <c r="BC1466" s="525"/>
      <c r="BD1466" s="525"/>
      <c r="BE1466" s="525"/>
      <c r="BF1466" s="525"/>
      <c r="BG1466" s="525"/>
      <c r="BH1466" s="524" t="s">
        <v>28</v>
      </c>
      <c r="BI1466" s="525"/>
      <c r="BJ1466" s="525"/>
      <c r="BK1466" s="525"/>
      <c r="BL1466" s="525"/>
      <c r="BM1466" s="525"/>
      <c r="BN1466" s="525"/>
      <c r="BO1466" s="525"/>
      <c r="BP1466" s="525"/>
      <c r="BQ1466" s="525"/>
      <c r="BR1466" s="525"/>
      <c r="BS1466" s="525"/>
      <c r="BT1466" s="525"/>
      <c r="BU1466" s="525"/>
      <c r="BV1466" s="525"/>
      <c r="BW1466" s="525"/>
      <c r="BX1466" s="525"/>
      <c r="BY1466" s="525"/>
      <c r="BZ1466" s="723"/>
      <c r="CA1466" s="270"/>
      <c r="CB1466" s="3" t="str">
        <f t="shared" si="227"/>
        <v>Riadok bude skrytý.</v>
      </c>
      <c r="CC1466" s="271" t="s">
        <v>832</v>
      </c>
      <c r="CW1466" s="30">
        <f t="shared" si="228"/>
        <v>1</v>
      </c>
      <c r="CZ1466" s="30">
        <f t="shared" si="223"/>
        <v>1</v>
      </c>
      <c r="DA1466" s="30">
        <f t="shared" si="224"/>
        <v>1</v>
      </c>
      <c r="DB1466" s="2">
        <f t="shared" si="226"/>
        <v>0</v>
      </c>
      <c r="DR1466" s="82"/>
      <c r="DS1466" s="130">
        <f>SI!BY1466</f>
        <v>172</v>
      </c>
      <c r="DT1466" s="130"/>
      <c r="DU1466" s="130"/>
      <c r="DV1466" s="130"/>
      <c r="DW1466" s="130"/>
      <c r="DX1466" s="130"/>
      <c r="DY1466" s="130"/>
      <c r="DZ1466" s="131">
        <f>SI!BZ1466</f>
        <v>0</v>
      </c>
      <c r="EA1466" s="82"/>
      <c r="EB1466" s="82"/>
    </row>
    <row r="1467" spans="1:132" hidden="1" x14ac:dyDescent="0.25">
      <c r="A1467" s="141"/>
      <c r="B1467" s="672" t="s">
        <v>174</v>
      </c>
      <c r="C1467" s="673"/>
      <c r="D1467" s="673"/>
      <c r="E1467" s="673"/>
      <c r="F1467" s="673"/>
      <c r="G1467" s="673"/>
      <c r="H1467" s="673"/>
      <c r="I1467" s="673"/>
      <c r="J1467" s="673"/>
      <c r="K1467" s="673"/>
      <c r="L1467" s="673"/>
      <c r="M1467" s="673"/>
      <c r="N1467" s="673"/>
      <c r="O1467" s="673"/>
      <c r="P1467" s="673"/>
      <c r="Q1467" s="673"/>
      <c r="R1467" s="673"/>
      <c r="S1467" s="673"/>
      <c r="T1467" s="673"/>
      <c r="U1467" s="673"/>
      <c r="V1467" s="673"/>
      <c r="W1467" s="673"/>
      <c r="X1467" s="417"/>
      <c r="Y1467" s="418"/>
      <c r="Z1467" s="418"/>
      <c r="AA1467" s="418"/>
      <c r="AB1467" s="418"/>
      <c r="AC1467" s="418"/>
      <c r="AD1467" s="418"/>
      <c r="AE1467" s="418"/>
      <c r="AF1467" s="418"/>
      <c r="AG1467" s="418"/>
      <c r="AH1467" s="418"/>
      <c r="AI1467" s="418"/>
      <c r="AJ1467" s="418"/>
      <c r="AK1467" s="418"/>
      <c r="AL1467" s="418"/>
      <c r="AM1467" s="418"/>
      <c r="AN1467" s="418"/>
      <c r="AO1467" s="419"/>
      <c r="AP1467" s="417"/>
      <c r="AQ1467" s="418"/>
      <c r="AR1467" s="418"/>
      <c r="AS1467" s="418"/>
      <c r="AT1467" s="418"/>
      <c r="AU1467" s="418"/>
      <c r="AV1467" s="418"/>
      <c r="AW1467" s="418"/>
      <c r="AX1467" s="418"/>
      <c r="AY1467" s="418"/>
      <c r="AZ1467" s="418"/>
      <c r="BA1467" s="418"/>
      <c r="BB1467" s="418"/>
      <c r="BC1467" s="418"/>
      <c r="BD1467" s="418"/>
      <c r="BE1467" s="418"/>
      <c r="BF1467" s="418"/>
      <c r="BG1467" s="418"/>
      <c r="BH1467" s="417"/>
      <c r="BI1467" s="418"/>
      <c r="BJ1467" s="418"/>
      <c r="BK1467" s="418"/>
      <c r="BL1467" s="418"/>
      <c r="BM1467" s="418"/>
      <c r="BN1467" s="418"/>
      <c r="BO1467" s="418"/>
      <c r="BP1467" s="418"/>
      <c r="BQ1467" s="418"/>
      <c r="BR1467" s="418"/>
      <c r="BS1467" s="418"/>
      <c r="BT1467" s="418"/>
      <c r="BU1467" s="418"/>
      <c r="BV1467" s="418"/>
      <c r="BW1467" s="418"/>
      <c r="BX1467" s="418"/>
      <c r="BY1467" s="418"/>
      <c r="BZ1467" s="419"/>
      <c r="CA1467" s="270"/>
      <c r="CB1467" s="3" t="str">
        <f t="shared" si="227"/>
        <v>Riadok bude skrytý.</v>
      </c>
      <c r="CC1467" s="271" t="s">
        <v>832</v>
      </c>
      <c r="CW1467" s="30">
        <f t="shared" si="228"/>
        <v>1</v>
      </c>
      <c r="CZ1467" s="30">
        <f t="shared" si="223"/>
        <v>1</v>
      </c>
      <c r="DA1467" s="30">
        <f t="shared" si="224"/>
        <v>1</v>
      </c>
      <c r="DB1467" s="2">
        <f t="shared" si="226"/>
        <v>0</v>
      </c>
      <c r="DS1467" s="130">
        <f>SI!BY1467</f>
        <v>523</v>
      </c>
      <c r="DZ1467" s="131">
        <f>SI!BZ1467</f>
        <v>0</v>
      </c>
    </row>
    <row r="1468" spans="1:132" hidden="1" x14ac:dyDescent="0.25">
      <c r="A1468" s="141"/>
      <c r="B1468" s="2074" t="s">
        <v>175</v>
      </c>
      <c r="C1468" s="2075"/>
      <c r="D1468" s="2075"/>
      <c r="E1468" s="2075"/>
      <c r="F1468" s="2075"/>
      <c r="G1468" s="2075"/>
      <c r="H1468" s="2075"/>
      <c r="I1468" s="2075"/>
      <c r="J1468" s="2075"/>
      <c r="K1468" s="2075"/>
      <c r="L1468" s="2075"/>
      <c r="M1468" s="2075"/>
      <c r="N1468" s="2075"/>
      <c r="O1468" s="2075"/>
      <c r="P1468" s="2075"/>
      <c r="Q1468" s="2075"/>
      <c r="R1468" s="2075"/>
      <c r="S1468" s="2075"/>
      <c r="T1468" s="2075"/>
      <c r="U1468" s="2075"/>
      <c r="V1468" s="2075"/>
      <c r="W1468" s="2075"/>
      <c r="X1468" s="454"/>
      <c r="Y1468" s="455"/>
      <c r="Z1468" s="455"/>
      <c r="AA1468" s="455"/>
      <c r="AB1468" s="455"/>
      <c r="AC1468" s="455"/>
      <c r="AD1468" s="455"/>
      <c r="AE1468" s="455"/>
      <c r="AF1468" s="455"/>
      <c r="AG1468" s="455"/>
      <c r="AH1468" s="455"/>
      <c r="AI1468" s="455"/>
      <c r="AJ1468" s="455"/>
      <c r="AK1468" s="455"/>
      <c r="AL1468" s="455"/>
      <c r="AM1468" s="455"/>
      <c r="AN1468" s="455"/>
      <c r="AO1468" s="456"/>
      <c r="AP1468" s="454"/>
      <c r="AQ1468" s="455"/>
      <c r="AR1468" s="455"/>
      <c r="AS1468" s="455"/>
      <c r="AT1468" s="455"/>
      <c r="AU1468" s="455"/>
      <c r="AV1468" s="455"/>
      <c r="AW1468" s="455"/>
      <c r="AX1468" s="455"/>
      <c r="AY1468" s="455"/>
      <c r="AZ1468" s="455"/>
      <c r="BA1468" s="455"/>
      <c r="BB1468" s="455"/>
      <c r="BC1468" s="455"/>
      <c r="BD1468" s="455"/>
      <c r="BE1468" s="455"/>
      <c r="BF1468" s="455"/>
      <c r="BG1468" s="455"/>
      <c r="BH1468" s="420"/>
      <c r="BI1468" s="421"/>
      <c r="BJ1468" s="421"/>
      <c r="BK1468" s="421"/>
      <c r="BL1468" s="421"/>
      <c r="BM1468" s="421"/>
      <c r="BN1468" s="421"/>
      <c r="BO1468" s="421"/>
      <c r="BP1468" s="421"/>
      <c r="BQ1468" s="421"/>
      <c r="BR1468" s="421"/>
      <c r="BS1468" s="421"/>
      <c r="BT1468" s="421"/>
      <c r="BU1468" s="421"/>
      <c r="BV1468" s="421"/>
      <c r="BW1468" s="421"/>
      <c r="BX1468" s="421"/>
      <c r="BY1468" s="421"/>
      <c r="BZ1468" s="422"/>
      <c r="CA1468" s="270"/>
      <c r="CB1468" s="3" t="str">
        <f t="shared" si="227"/>
        <v>Riadok bude skrytý.</v>
      </c>
      <c r="CC1468" s="271" t="s">
        <v>832</v>
      </c>
      <c r="CW1468" s="30">
        <f t="shared" si="228"/>
        <v>1</v>
      </c>
      <c r="CZ1468" s="30">
        <f t="shared" si="223"/>
        <v>1</v>
      </c>
      <c r="DA1468" s="30">
        <f t="shared" si="224"/>
        <v>1</v>
      </c>
      <c r="DB1468" s="2">
        <f t="shared" si="226"/>
        <v>0</v>
      </c>
      <c r="DS1468" s="130">
        <f>SI!BY1468</f>
        <v>108</v>
      </c>
      <c r="DZ1468" s="131">
        <f>SI!BZ1468</f>
        <v>0</v>
      </c>
    </row>
    <row r="1469" spans="1:132" hidden="1" x14ac:dyDescent="0.25">
      <c r="A1469" s="141"/>
      <c r="B1469" s="401" t="s">
        <v>176</v>
      </c>
      <c r="C1469" s="402"/>
      <c r="D1469" s="402"/>
      <c r="E1469" s="402"/>
      <c r="F1469" s="402"/>
      <c r="G1469" s="402"/>
      <c r="H1469" s="402"/>
      <c r="I1469" s="402"/>
      <c r="J1469" s="402"/>
      <c r="K1469" s="402"/>
      <c r="L1469" s="402"/>
      <c r="M1469" s="402"/>
      <c r="N1469" s="402"/>
      <c r="O1469" s="402"/>
      <c r="P1469" s="402"/>
      <c r="Q1469" s="402"/>
      <c r="R1469" s="402"/>
      <c r="S1469" s="402"/>
      <c r="T1469" s="402"/>
      <c r="U1469" s="402"/>
      <c r="V1469" s="402"/>
      <c r="W1469" s="402"/>
      <c r="X1469" s="423">
        <f>+X1467-X1468</f>
        <v>0</v>
      </c>
      <c r="Y1469" s="424"/>
      <c r="Z1469" s="424"/>
      <c r="AA1469" s="424"/>
      <c r="AB1469" s="424"/>
      <c r="AC1469" s="424"/>
      <c r="AD1469" s="424"/>
      <c r="AE1469" s="424"/>
      <c r="AF1469" s="424"/>
      <c r="AG1469" s="424"/>
      <c r="AH1469" s="424"/>
      <c r="AI1469" s="424"/>
      <c r="AJ1469" s="424"/>
      <c r="AK1469" s="424"/>
      <c r="AL1469" s="424"/>
      <c r="AM1469" s="424"/>
      <c r="AN1469" s="424"/>
      <c r="AO1469" s="425"/>
      <c r="AP1469" s="423">
        <f>+AP1467-AP1468</f>
        <v>0</v>
      </c>
      <c r="AQ1469" s="424"/>
      <c r="AR1469" s="424"/>
      <c r="AS1469" s="424"/>
      <c r="AT1469" s="424"/>
      <c r="AU1469" s="424"/>
      <c r="AV1469" s="424"/>
      <c r="AW1469" s="424"/>
      <c r="AX1469" s="424"/>
      <c r="AY1469" s="424"/>
      <c r="AZ1469" s="424"/>
      <c r="BA1469" s="424"/>
      <c r="BB1469" s="424"/>
      <c r="BC1469" s="424"/>
      <c r="BD1469" s="424"/>
      <c r="BE1469" s="424"/>
      <c r="BF1469" s="424"/>
      <c r="BG1469" s="424"/>
      <c r="BH1469" s="423">
        <f>+BH1467-BH1468</f>
        <v>0</v>
      </c>
      <c r="BI1469" s="424"/>
      <c r="BJ1469" s="424"/>
      <c r="BK1469" s="424"/>
      <c r="BL1469" s="424"/>
      <c r="BM1469" s="424"/>
      <c r="BN1469" s="424"/>
      <c r="BO1469" s="424"/>
      <c r="BP1469" s="424"/>
      <c r="BQ1469" s="424"/>
      <c r="BR1469" s="424"/>
      <c r="BS1469" s="424"/>
      <c r="BT1469" s="424"/>
      <c r="BU1469" s="424"/>
      <c r="BV1469" s="424"/>
      <c r="BW1469" s="424"/>
      <c r="BX1469" s="424"/>
      <c r="BY1469" s="424"/>
      <c r="BZ1469" s="425"/>
      <c r="CA1469" s="270"/>
      <c r="CB1469" s="3" t="str">
        <f t="shared" si="227"/>
        <v>Riadok bude skrytý.</v>
      </c>
      <c r="CC1469" s="271" t="s">
        <v>832</v>
      </c>
      <c r="CW1469" s="30">
        <f t="shared" si="228"/>
        <v>1</v>
      </c>
      <c r="CZ1469" s="30">
        <f t="shared" si="223"/>
        <v>1</v>
      </c>
      <c r="DA1469" s="30">
        <f t="shared" si="224"/>
        <v>1</v>
      </c>
      <c r="DB1469" s="2">
        <f t="shared" si="226"/>
        <v>0</v>
      </c>
      <c r="DS1469" s="130">
        <f>SI!BY1469</f>
        <v>719</v>
      </c>
      <c r="DZ1469" s="131">
        <f>SI!BZ1469</f>
        <v>0</v>
      </c>
    </row>
    <row r="1470" spans="1:132" hidden="1" x14ac:dyDescent="0.25">
      <c r="A1470" s="141"/>
      <c r="B1470" s="58"/>
      <c r="C1470" s="58"/>
      <c r="D1470" s="58"/>
      <c r="E1470" s="58"/>
      <c r="F1470" s="58"/>
      <c r="G1470" s="58"/>
      <c r="H1470" s="58"/>
      <c r="I1470" s="58"/>
      <c r="J1470" s="58"/>
      <c r="K1470" s="58"/>
      <c r="L1470" s="58"/>
      <c r="M1470" s="58"/>
      <c r="N1470" s="58"/>
      <c r="O1470" s="58"/>
      <c r="P1470" s="58"/>
      <c r="Q1470" s="58"/>
      <c r="R1470" s="58"/>
      <c r="S1470" s="58"/>
      <c r="T1470" s="58"/>
      <c r="U1470" s="58"/>
      <c r="V1470" s="58"/>
      <c r="W1470" s="58"/>
      <c r="X1470" s="58"/>
      <c r="Y1470" s="58"/>
      <c r="Z1470" s="58"/>
      <c r="AA1470" s="58"/>
      <c r="AB1470" s="58"/>
      <c r="AC1470" s="58"/>
      <c r="AD1470" s="58"/>
      <c r="AE1470" s="58"/>
      <c r="AF1470" s="58"/>
      <c r="AG1470" s="58"/>
      <c r="AH1470" s="58"/>
      <c r="AI1470" s="58"/>
      <c r="AJ1470" s="58"/>
      <c r="AK1470" s="58"/>
      <c r="AL1470" s="58"/>
      <c r="AM1470" s="58"/>
      <c r="AN1470" s="58"/>
      <c r="AO1470" s="58"/>
      <c r="AP1470" s="58"/>
      <c r="AQ1470" s="58"/>
      <c r="AR1470" s="58"/>
      <c r="AS1470" s="58"/>
      <c r="AT1470" s="58"/>
      <c r="AU1470" s="58"/>
      <c r="AV1470" s="58"/>
      <c r="AW1470" s="58"/>
      <c r="AX1470" s="58"/>
      <c r="AY1470" s="58"/>
      <c r="AZ1470" s="58"/>
      <c r="BA1470" s="58"/>
      <c r="BB1470" s="58"/>
      <c r="BC1470" s="58"/>
      <c r="BD1470" s="58"/>
      <c r="BE1470" s="58"/>
      <c r="BF1470" s="58"/>
      <c r="BG1470" s="58"/>
      <c r="BH1470" s="58"/>
      <c r="BI1470" s="58"/>
      <c r="BJ1470" s="58"/>
      <c r="BK1470" s="58"/>
      <c r="BL1470" s="58"/>
      <c r="BM1470" s="58"/>
      <c r="BN1470" s="58"/>
      <c r="BO1470" s="58"/>
      <c r="BP1470" s="58"/>
      <c r="BQ1470" s="58"/>
      <c r="BR1470" s="58"/>
      <c r="BS1470" s="58"/>
      <c r="BT1470" s="58"/>
      <c r="BU1470" s="58"/>
      <c r="BV1470" s="58"/>
      <c r="BW1470" s="58"/>
      <c r="BX1470" s="58"/>
      <c r="BY1470" s="58"/>
      <c r="BZ1470" s="58"/>
      <c r="CA1470" s="270"/>
      <c r="CB1470" s="3" t="str">
        <f t="shared" si="227"/>
        <v>Riadok bude skrytý.</v>
      </c>
      <c r="CC1470" s="271" t="s">
        <v>832</v>
      </c>
      <c r="CW1470" s="30">
        <f t="shared" si="228"/>
        <v>1</v>
      </c>
      <c r="CZ1470" s="30">
        <f t="shared" si="223"/>
        <v>1</v>
      </c>
      <c r="DA1470" s="30">
        <f t="shared" si="224"/>
        <v>1</v>
      </c>
      <c r="DB1470" s="2">
        <f t="shared" si="226"/>
        <v>0</v>
      </c>
      <c r="DS1470" s="130">
        <f>SI!BY1470</f>
        <v>158</v>
      </c>
      <c r="DZ1470" s="131">
        <f>SI!BZ1470</f>
        <v>0</v>
      </c>
    </row>
    <row r="1471" spans="1:132" ht="14.95" hidden="1" customHeight="1" x14ac:dyDescent="0.25">
      <c r="A1471" s="141"/>
      <c r="B1471" s="659" t="s">
        <v>177</v>
      </c>
      <c r="C1471" s="660"/>
      <c r="D1471" s="660"/>
      <c r="E1471" s="660"/>
      <c r="F1471" s="660"/>
      <c r="G1471" s="660"/>
      <c r="H1471" s="660"/>
      <c r="I1471" s="660"/>
      <c r="J1471" s="660"/>
      <c r="K1471" s="660"/>
      <c r="L1471" s="660"/>
      <c r="M1471" s="660"/>
      <c r="N1471" s="660"/>
      <c r="O1471" s="660"/>
      <c r="P1471" s="660"/>
      <c r="Q1471" s="660"/>
      <c r="R1471" s="660"/>
      <c r="S1471" s="660"/>
      <c r="T1471" s="660"/>
      <c r="U1471" s="660"/>
      <c r="V1471" s="660"/>
      <c r="W1471" s="660"/>
      <c r="X1471" s="660"/>
      <c r="Y1471" s="660"/>
      <c r="Z1471" s="660"/>
      <c r="AA1471" s="1914"/>
      <c r="AB1471" s="659" t="s">
        <v>172</v>
      </c>
      <c r="AC1471" s="660"/>
      <c r="AD1471" s="660"/>
      <c r="AE1471" s="660"/>
      <c r="AF1471" s="660"/>
      <c r="AG1471" s="660"/>
      <c r="AH1471" s="660"/>
      <c r="AI1471" s="660"/>
      <c r="AJ1471" s="660"/>
      <c r="AK1471" s="660"/>
      <c r="AL1471" s="660"/>
      <c r="AM1471" s="660"/>
      <c r="AN1471" s="660"/>
      <c r="AO1471" s="660"/>
      <c r="AP1471" s="660"/>
      <c r="AQ1471" s="660"/>
      <c r="AR1471" s="660"/>
      <c r="AS1471" s="660"/>
      <c r="AT1471" s="660"/>
      <c r="AU1471" s="660"/>
      <c r="AV1471" s="660"/>
      <c r="AW1471" s="660"/>
      <c r="AX1471" s="660"/>
      <c r="AY1471" s="660"/>
      <c r="AZ1471" s="660"/>
      <c r="BA1471" s="660"/>
      <c r="BB1471" s="660"/>
      <c r="BC1471" s="1914"/>
      <c r="BD1471" s="1340" t="s">
        <v>173</v>
      </c>
      <c r="BE1471" s="1341"/>
      <c r="BF1471" s="1341"/>
      <c r="BG1471" s="1341"/>
      <c r="BH1471" s="1341"/>
      <c r="BI1471" s="1341"/>
      <c r="BJ1471" s="1341"/>
      <c r="BK1471" s="1341"/>
      <c r="BL1471" s="1341"/>
      <c r="BM1471" s="1341"/>
      <c r="BN1471" s="1341"/>
      <c r="BO1471" s="1341"/>
      <c r="BP1471" s="1341"/>
      <c r="BQ1471" s="1341"/>
      <c r="BR1471" s="1341"/>
      <c r="BS1471" s="1341"/>
      <c r="BT1471" s="1341"/>
      <c r="BU1471" s="1341"/>
      <c r="BV1471" s="1341"/>
      <c r="BW1471" s="1341"/>
      <c r="BX1471" s="1341"/>
      <c r="BY1471" s="1341"/>
      <c r="BZ1471" s="1342"/>
      <c r="CA1471" s="265" t="s">
        <v>773</v>
      </c>
      <c r="CB1471" s="3" t="str">
        <f t="shared" si="227"/>
        <v>Riadok bude skrytý.</v>
      </c>
      <c r="CC1471" s="271" t="s">
        <v>832</v>
      </c>
      <c r="CD1471" s="4"/>
      <c r="CW1471" s="30">
        <f t="shared" si="228"/>
        <v>1</v>
      </c>
      <c r="CZ1471" s="30">
        <f t="shared" si="223"/>
        <v>1</v>
      </c>
      <c r="DA1471" s="30">
        <f t="shared" si="224"/>
        <v>1</v>
      </c>
      <c r="DB1471" s="2">
        <f t="shared" si="226"/>
        <v>0</v>
      </c>
      <c r="DS1471" s="130">
        <f>SI!BY1471</f>
        <v>1132</v>
      </c>
      <c r="DZ1471" s="131">
        <f>SI!BZ1471</f>
        <v>0</v>
      </c>
    </row>
    <row r="1472" spans="1:132" hidden="1" x14ac:dyDescent="0.25">
      <c r="A1472" s="141"/>
      <c r="B1472" s="661"/>
      <c r="C1472" s="662"/>
      <c r="D1472" s="662"/>
      <c r="E1472" s="662"/>
      <c r="F1472" s="662"/>
      <c r="G1472" s="662"/>
      <c r="H1472" s="662"/>
      <c r="I1472" s="662"/>
      <c r="J1472" s="662"/>
      <c r="K1472" s="662"/>
      <c r="L1472" s="662"/>
      <c r="M1472" s="662"/>
      <c r="N1472" s="662"/>
      <c r="O1472" s="662"/>
      <c r="P1472" s="662"/>
      <c r="Q1472" s="662"/>
      <c r="R1472" s="662"/>
      <c r="S1472" s="662"/>
      <c r="T1472" s="662"/>
      <c r="U1472" s="662"/>
      <c r="V1472" s="662"/>
      <c r="W1472" s="662"/>
      <c r="X1472" s="662"/>
      <c r="Y1472" s="662"/>
      <c r="Z1472" s="662"/>
      <c r="AA1472" s="1924"/>
      <c r="AB1472" s="639">
        <f>+AJ141</f>
        <v>2021</v>
      </c>
      <c r="AC1472" s="640"/>
      <c r="AD1472" s="640"/>
      <c r="AE1472" s="640"/>
      <c r="AF1472" s="640"/>
      <c r="AG1472" s="640"/>
      <c r="AH1472" s="640"/>
      <c r="AI1472" s="640"/>
      <c r="AJ1472" s="640"/>
      <c r="AK1472" s="640"/>
      <c r="AL1472" s="640"/>
      <c r="AM1472" s="640"/>
      <c r="AN1472" s="640"/>
      <c r="AO1472" s="640"/>
      <c r="AP1472" s="640"/>
      <c r="AQ1472" s="640"/>
      <c r="AR1472" s="640"/>
      <c r="AS1472" s="640"/>
      <c r="AT1472" s="640"/>
      <c r="AU1472" s="640"/>
      <c r="AV1472" s="640"/>
      <c r="AW1472" s="640"/>
      <c r="AX1472" s="640"/>
      <c r="AY1472" s="640"/>
      <c r="AZ1472" s="640"/>
      <c r="BA1472" s="640"/>
      <c r="BB1472" s="640"/>
      <c r="BC1472" s="641"/>
      <c r="BD1472" s="1826"/>
      <c r="BE1472" s="1827"/>
      <c r="BF1472" s="1827"/>
      <c r="BG1472" s="1827"/>
      <c r="BH1472" s="1827"/>
      <c r="BI1472" s="1827"/>
      <c r="BJ1472" s="1827"/>
      <c r="BK1472" s="1827"/>
      <c r="BL1472" s="1827"/>
      <c r="BM1472" s="1827"/>
      <c r="BN1472" s="1827"/>
      <c r="BO1472" s="1827"/>
      <c r="BP1472" s="1827"/>
      <c r="BQ1472" s="1827"/>
      <c r="BR1472" s="1827"/>
      <c r="BS1472" s="1827"/>
      <c r="BT1472" s="1827"/>
      <c r="BU1472" s="1827"/>
      <c r="BV1472" s="1827"/>
      <c r="BW1472" s="1827"/>
      <c r="BX1472" s="1827"/>
      <c r="BY1472" s="1827"/>
      <c r="BZ1472" s="1828"/>
      <c r="CA1472" s="270"/>
      <c r="CB1472" s="3" t="str">
        <f t="shared" si="227"/>
        <v>Riadok bude skrytý.</v>
      </c>
      <c r="CC1472" s="271" t="s">
        <v>832</v>
      </c>
      <c r="CW1472" s="30">
        <f t="shared" si="228"/>
        <v>1</v>
      </c>
      <c r="CZ1472" s="30">
        <f t="shared" si="223"/>
        <v>1</v>
      </c>
      <c r="DA1472" s="30">
        <f t="shared" si="224"/>
        <v>1</v>
      </c>
      <c r="DB1472" s="2">
        <f t="shared" si="226"/>
        <v>0</v>
      </c>
      <c r="DS1472" s="130">
        <f>SI!BY1472</f>
        <v>135</v>
      </c>
      <c r="DZ1472" s="131">
        <f>SI!BZ1472</f>
        <v>0</v>
      </c>
    </row>
    <row r="1473" spans="1:132" s="6" customFormat="1" hidden="1" x14ac:dyDescent="0.25">
      <c r="A1473" s="226"/>
      <c r="B1473" s="70"/>
      <c r="C1473" s="71"/>
      <c r="D1473" s="71"/>
      <c r="E1473" s="71"/>
      <c r="F1473" s="71"/>
      <c r="G1473" s="71"/>
      <c r="H1473" s="71"/>
      <c r="I1473" s="71"/>
      <c r="J1473" s="71"/>
      <c r="K1473" s="71"/>
      <c r="L1473" s="71"/>
      <c r="M1473" s="71"/>
      <c r="N1473" s="71"/>
      <c r="O1473" s="71" t="s">
        <v>0</v>
      </c>
      <c r="P1473" s="71"/>
      <c r="Q1473" s="71"/>
      <c r="R1473" s="71"/>
      <c r="S1473" s="71"/>
      <c r="T1473" s="71"/>
      <c r="U1473" s="71"/>
      <c r="V1473" s="71"/>
      <c r="W1473" s="71"/>
      <c r="X1473" s="71"/>
      <c r="Y1473" s="71"/>
      <c r="Z1473" s="71"/>
      <c r="AA1473" s="72"/>
      <c r="AB1473" s="1921" t="s">
        <v>1</v>
      </c>
      <c r="AC1473" s="1922"/>
      <c r="AD1473" s="1922"/>
      <c r="AE1473" s="1922"/>
      <c r="AF1473" s="1922"/>
      <c r="AG1473" s="1922"/>
      <c r="AH1473" s="1922"/>
      <c r="AI1473" s="1922"/>
      <c r="AJ1473" s="1922"/>
      <c r="AK1473" s="1922"/>
      <c r="AL1473" s="1922"/>
      <c r="AM1473" s="1922"/>
      <c r="AN1473" s="1922"/>
      <c r="AO1473" s="1922"/>
      <c r="AP1473" s="1922"/>
      <c r="AQ1473" s="1922"/>
      <c r="AR1473" s="1922"/>
      <c r="AS1473" s="1922"/>
      <c r="AT1473" s="1922"/>
      <c r="AU1473" s="1922"/>
      <c r="AV1473" s="1922"/>
      <c r="AW1473" s="1922"/>
      <c r="AX1473" s="1922"/>
      <c r="AY1473" s="1922"/>
      <c r="AZ1473" s="1922"/>
      <c r="BA1473" s="1922"/>
      <c r="BB1473" s="1922"/>
      <c r="BC1473" s="1923"/>
      <c r="BD1473" s="1921" t="s">
        <v>2</v>
      </c>
      <c r="BE1473" s="1922"/>
      <c r="BF1473" s="1922"/>
      <c r="BG1473" s="1922"/>
      <c r="BH1473" s="1922"/>
      <c r="BI1473" s="1922"/>
      <c r="BJ1473" s="1922"/>
      <c r="BK1473" s="1922"/>
      <c r="BL1473" s="1922"/>
      <c r="BM1473" s="1922"/>
      <c r="BN1473" s="1922"/>
      <c r="BO1473" s="1922"/>
      <c r="BP1473" s="1922"/>
      <c r="BQ1473" s="1922"/>
      <c r="BR1473" s="1922"/>
      <c r="BS1473" s="1922"/>
      <c r="BT1473" s="1922"/>
      <c r="BU1473" s="1922"/>
      <c r="BV1473" s="1922"/>
      <c r="BW1473" s="1922"/>
      <c r="BX1473" s="1922"/>
      <c r="BY1473" s="1922"/>
      <c r="BZ1473" s="1923"/>
      <c r="CA1473" s="270"/>
      <c r="CB1473" s="3" t="str">
        <f t="shared" si="227"/>
        <v>Riadok bude skrytý.</v>
      </c>
      <c r="CC1473" s="271" t="s">
        <v>832</v>
      </c>
      <c r="CW1473" s="30">
        <f t="shared" si="228"/>
        <v>1</v>
      </c>
      <c r="CZ1473" s="30">
        <f t="shared" si="223"/>
        <v>1</v>
      </c>
      <c r="DA1473" s="30">
        <f t="shared" si="224"/>
        <v>1</v>
      </c>
      <c r="DB1473" s="2">
        <f t="shared" si="226"/>
        <v>0</v>
      </c>
      <c r="DR1473" s="82"/>
      <c r="DS1473" s="130">
        <f>SI!BY1473</f>
        <v>472</v>
      </c>
      <c r="DT1473" s="130"/>
      <c r="DU1473" s="130"/>
      <c r="DV1473" s="130"/>
      <c r="DW1473" s="130"/>
      <c r="DX1473" s="130"/>
      <c r="DY1473" s="130"/>
      <c r="DZ1473" s="131">
        <f>SI!BZ1473</f>
        <v>0</v>
      </c>
      <c r="EA1473" s="82"/>
      <c r="EB1473" s="82"/>
    </row>
    <row r="1474" spans="1:132" ht="24.8" hidden="1" customHeight="1" x14ac:dyDescent="0.25">
      <c r="A1474" s="141"/>
      <c r="B1474" s="1598" t="s">
        <v>178</v>
      </c>
      <c r="C1474" s="1599"/>
      <c r="D1474" s="1599"/>
      <c r="E1474" s="1599"/>
      <c r="F1474" s="1599"/>
      <c r="G1474" s="1599"/>
      <c r="H1474" s="1599"/>
      <c r="I1474" s="1599"/>
      <c r="J1474" s="1599"/>
      <c r="K1474" s="1599"/>
      <c r="L1474" s="1599"/>
      <c r="M1474" s="1599"/>
      <c r="N1474" s="1599"/>
      <c r="O1474" s="1599"/>
      <c r="P1474" s="1599"/>
      <c r="Q1474" s="1599"/>
      <c r="R1474" s="1599"/>
      <c r="S1474" s="1599"/>
      <c r="T1474" s="1599"/>
      <c r="U1474" s="1599"/>
      <c r="V1474" s="1599"/>
      <c r="W1474" s="1599"/>
      <c r="X1474" s="1599"/>
      <c r="Y1474" s="1599"/>
      <c r="Z1474" s="1599"/>
      <c r="AA1474" s="1600"/>
      <c r="AB1474" s="417"/>
      <c r="AC1474" s="418"/>
      <c r="AD1474" s="418"/>
      <c r="AE1474" s="418"/>
      <c r="AF1474" s="418"/>
      <c r="AG1474" s="418"/>
      <c r="AH1474" s="418"/>
      <c r="AI1474" s="418"/>
      <c r="AJ1474" s="418"/>
      <c r="AK1474" s="418"/>
      <c r="AL1474" s="418"/>
      <c r="AM1474" s="418"/>
      <c r="AN1474" s="418"/>
      <c r="AO1474" s="418"/>
      <c r="AP1474" s="418"/>
      <c r="AQ1474" s="418"/>
      <c r="AR1474" s="418"/>
      <c r="AS1474" s="418"/>
      <c r="AT1474" s="418"/>
      <c r="AU1474" s="418"/>
      <c r="AV1474" s="418"/>
      <c r="AW1474" s="418"/>
      <c r="AX1474" s="418"/>
      <c r="AY1474" s="418"/>
      <c r="AZ1474" s="418"/>
      <c r="BA1474" s="418"/>
      <c r="BB1474" s="418"/>
      <c r="BC1474" s="419"/>
      <c r="BD1474" s="1228"/>
      <c r="BE1474" s="503"/>
      <c r="BF1474" s="503"/>
      <c r="BG1474" s="503"/>
      <c r="BH1474" s="503"/>
      <c r="BI1474" s="503"/>
      <c r="BJ1474" s="503"/>
      <c r="BK1474" s="503"/>
      <c r="BL1474" s="503"/>
      <c r="BM1474" s="503"/>
      <c r="BN1474" s="503"/>
      <c r="BO1474" s="503"/>
      <c r="BP1474" s="503"/>
      <c r="BQ1474" s="503"/>
      <c r="BR1474" s="503"/>
      <c r="BS1474" s="503"/>
      <c r="BT1474" s="503"/>
      <c r="BU1474" s="503"/>
      <c r="BV1474" s="503"/>
      <c r="BW1474" s="503"/>
      <c r="BX1474" s="503"/>
      <c r="BY1474" s="503"/>
      <c r="BZ1474" s="504"/>
      <c r="CA1474" s="270"/>
      <c r="CB1474" s="3" t="str">
        <f t="shared" si="227"/>
        <v>Riadok bude skrytý.</v>
      </c>
      <c r="CC1474" s="271" t="s">
        <v>832</v>
      </c>
      <c r="CW1474" s="30">
        <f t="shared" si="228"/>
        <v>1</v>
      </c>
      <c r="CZ1474" s="30">
        <f t="shared" si="223"/>
        <v>1</v>
      </c>
      <c r="DA1474" s="30">
        <f t="shared" si="224"/>
        <v>1</v>
      </c>
      <c r="DB1474" s="2">
        <f t="shared" si="226"/>
        <v>0</v>
      </c>
      <c r="DS1474" s="130">
        <f>SI!BY1474</f>
        <v>200</v>
      </c>
      <c r="DZ1474" s="131">
        <f>SI!BZ1474</f>
        <v>0</v>
      </c>
    </row>
    <row r="1475" spans="1:132" ht="26.35" hidden="1" customHeight="1" x14ac:dyDescent="0.25">
      <c r="A1475" s="141"/>
      <c r="B1475" s="1915" t="s">
        <v>179</v>
      </c>
      <c r="C1475" s="1916"/>
      <c r="D1475" s="1916"/>
      <c r="E1475" s="1916"/>
      <c r="F1475" s="1916"/>
      <c r="G1475" s="1916"/>
      <c r="H1475" s="1916"/>
      <c r="I1475" s="1916"/>
      <c r="J1475" s="1916"/>
      <c r="K1475" s="1916"/>
      <c r="L1475" s="1916"/>
      <c r="M1475" s="1916"/>
      <c r="N1475" s="1916"/>
      <c r="O1475" s="1916"/>
      <c r="P1475" s="1916"/>
      <c r="Q1475" s="1916"/>
      <c r="R1475" s="1916"/>
      <c r="S1475" s="1916"/>
      <c r="T1475" s="1916"/>
      <c r="U1475" s="1916"/>
      <c r="V1475" s="1916"/>
      <c r="W1475" s="1916"/>
      <c r="X1475" s="1916"/>
      <c r="Y1475" s="1916"/>
      <c r="Z1475" s="1916"/>
      <c r="AA1475" s="1917"/>
      <c r="AB1475" s="511"/>
      <c r="AC1475" s="482"/>
      <c r="AD1475" s="482"/>
      <c r="AE1475" s="482"/>
      <c r="AF1475" s="482"/>
      <c r="AG1475" s="482"/>
      <c r="AH1475" s="482"/>
      <c r="AI1475" s="482"/>
      <c r="AJ1475" s="482"/>
      <c r="AK1475" s="482"/>
      <c r="AL1475" s="482"/>
      <c r="AM1475" s="482"/>
      <c r="AN1475" s="482"/>
      <c r="AO1475" s="482"/>
      <c r="AP1475" s="482"/>
      <c r="AQ1475" s="482"/>
      <c r="AR1475" s="482"/>
      <c r="AS1475" s="482"/>
      <c r="AT1475" s="482"/>
      <c r="AU1475" s="482"/>
      <c r="AV1475" s="482"/>
      <c r="AW1475" s="482"/>
      <c r="AX1475" s="482"/>
      <c r="AY1475" s="482"/>
      <c r="AZ1475" s="482"/>
      <c r="BA1475" s="482"/>
      <c r="BB1475" s="482"/>
      <c r="BC1475" s="483"/>
      <c r="BD1475" s="511"/>
      <c r="BE1475" s="482"/>
      <c r="BF1475" s="482"/>
      <c r="BG1475" s="482"/>
      <c r="BH1475" s="482"/>
      <c r="BI1475" s="482"/>
      <c r="BJ1475" s="482"/>
      <c r="BK1475" s="482"/>
      <c r="BL1475" s="482"/>
      <c r="BM1475" s="482"/>
      <c r="BN1475" s="482"/>
      <c r="BO1475" s="482"/>
      <c r="BP1475" s="482"/>
      <c r="BQ1475" s="482"/>
      <c r="BR1475" s="482"/>
      <c r="BS1475" s="482"/>
      <c r="BT1475" s="482"/>
      <c r="BU1475" s="482"/>
      <c r="BV1475" s="482"/>
      <c r="BW1475" s="482"/>
      <c r="BX1475" s="482"/>
      <c r="BY1475" s="482"/>
      <c r="BZ1475" s="483"/>
      <c r="CA1475" s="270"/>
      <c r="CB1475" s="3" t="str">
        <f t="shared" si="227"/>
        <v>Riadok bude skrytý.</v>
      </c>
      <c r="CC1475" s="271" t="s">
        <v>832</v>
      </c>
      <c r="CW1475" s="30">
        <f t="shared" si="228"/>
        <v>1</v>
      </c>
      <c r="CZ1475" s="30">
        <f t="shared" si="223"/>
        <v>1</v>
      </c>
      <c r="DA1475" s="30">
        <f t="shared" si="224"/>
        <v>1</v>
      </c>
      <c r="DB1475" s="2">
        <f t="shared" si="226"/>
        <v>0</v>
      </c>
      <c r="DS1475" s="130">
        <f>SI!BY1475</f>
        <v>1026</v>
      </c>
      <c r="DZ1475" s="131">
        <f>SI!BZ1475</f>
        <v>0</v>
      </c>
    </row>
    <row r="1476" spans="1:132" ht="14.95" hidden="1" customHeight="1" x14ac:dyDescent="0.25">
      <c r="A1476" s="141"/>
      <c r="B1476" s="1918" t="s">
        <v>180</v>
      </c>
      <c r="C1476" s="1919"/>
      <c r="D1476" s="1919"/>
      <c r="E1476" s="1919"/>
      <c r="F1476" s="1919"/>
      <c r="G1476" s="1919"/>
      <c r="H1476" s="1919"/>
      <c r="I1476" s="1919"/>
      <c r="J1476" s="1919"/>
      <c r="K1476" s="1919"/>
      <c r="L1476" s="1919"/>
      <c r="M1476" s="1919"/>
      <c r="N1476" s="1919"/>
      <c r="O1476" s="1919"/>
      <c r="P1476" s="1919"/>
      <c r="Q1476" s="1919"/>
      <c r="R1476" s="1919"/>
      <c r="S1476" s="1919"/>
      <c r="T1476" s="1919"/>
      <c r="U1476" s="1919"/>
      <c r="V1476" s="1919"/>
      <c r="W1476" s="1919"/>
      <c r="X1476" s="1919"/>
      <c r="Y1476" s="1919"/>
      <c r="Z1476" s="1919"/>
      <c r="AA1476" s="1920"/>
      <c r="AB1476" s="511"/>
      <c r="AC1476" s="482"/>
      <c r="AD1476" s="482"/>
      <c r="AE1476" s="482"/>
      <c r="AF1476" s="482"/>
      <c r="AG1476" s="482"/>
      <c r="AH1476" s="482"/>
      <c r="AI1476" s="482"/>
      <c r="AJ1476" s="482"/>
      <c r="AK1476" s="482"/>
      <c r="AL1476" s="482"/>
      <c r="AM1476" s="482"/>
      <c r="AN1476" s="482"/>
      <c r="AO1476" s="482"/>
      <c r="AP1476" s="482"/>
      <c r="AQ1476" s="482"/>
      <c r="AR1476" s="482"/>
      <c r="AS1476" s="482"/>
      <c r="AT1476" s="482"/>
      <c r="AU1476" s="482"/>
      <c r="AV1476" s="482"/>
      <c r="AW1476" s="482"/>
      <c r="AX1476" s="482"/>
      <c r="AY1476" s="482"/>
      <c r="AZ1476" s="482"/>
      <c r="BA1476" s="482"/>
      <c r="BB1476" s="482"/>
      <c r="BC1476" s="483"/>
      <c r="BD1476" s="511"/>
      <c r="BE1476" s="482"/>
      <c r="BF1476" s="482"/>
      <c r="BG1476" s="482"/>
      <c r="BH1476" s="482"/>
      <c r="BI1476" s="482"/>
      <c r="BJ1476" s="482"/>
      <c r="BK1476" s="482"/>
      <c r="BL1476" s="482"/>
      <c r="BM1476" s="482"/>
      <c r="BN1476" s="482"/>
      <c r="BO1476" s="482"/>
      <c r="BP1476" s="482"/>
      <c r="BQ1476" s="482"/>
      <c r="BR1476" s="482"/>
      <c r="BS1476" s="482"/>
      <c r="BT1476" s="482"/>
      <c r="BU1476" s="482"/>
      <c r="BV1476" s="482"/>
      <c r="BW1476" s="482"/>
      <c r="BX1476" s="482"/>
      <c r="BY1476" s="482"/>
      <c r="BZ1476" s="483"/>
      <c r="CA1476" s="270"/>
      <c r="CB1476" s="3" t="str">
        <f t="shared" si="227"/>
        <v>Riadok bude skrytý.</v>
      </c>
      <c r="CC1476" s="271" t="s">
        <v>832</v>
      </c>
      <c r="CW1476" s="30">
        <f t="shared" si="228"/>
        <v>1</v>
      </c>
      <c r="CZ1476" s="30">
        <f t="shared" si="223"/>
        <v>1</v>
      </c>
      <c r="DA1476" s="30">
        <f t="shared" si="224"/>
        <v>1</v>
      </c>
      <c r="DB1476" s="2">
        <f t="shared" si="226"/>
        <v>0</v>
      </c>
      <c r="DS1476" s="130">
        <f>SI!BY1476</f>
        <v>147</v>
      </c>
      <c r="DZ1476" s="131">
        <f>SI!BZ1476</f>
        <v>0</v>
      </c>
    </row>
    <row r="1477" spans="1:132" ht="14.95" hidden="1" customHeight="1" x14ac:dyDescent="0.25">
      <c r="A1477" s="141"/>
      <c r="B1477" s="624" t="s">
        <v>181</v>
      </c>
      <c r="C1477" s="625"/>
      <c r="D1477" s="625"/>
      <c r="E1477" s="625"/>
      <c r="F1477" s="625"/>
      <c r="G1477" s="625"/>
      <c r="H1477" s="625"/>
      <c r="I1477" s="625"/>
      <c r="J1477" s="625"/>
      <c r="K1477" s="625"/>
      <c r="L1477" s="625"/>
      <c r="M1477" s="625"/>
      <c r="N1477" s="625"/>
      <c r="O1477" s="625"/>
      <c r="P1477" s="625"/>
      <c r="Q1477" s="625"/>
      <c r="R1477" s="625"/>
      <c r="S1477" s="625"/>
      <c r="T1477" s="625"/>
      <c r="U1477" s="625"/>
      <c r="V1477" s="625"/>
      <c r="W1477" s="625"/>
      <c r="X1477" s="625"/>
      <c r="Y1477" s="625"/>
      <c r="Z1477" s="625"/>
      <c r="AA1477" s="626"/>
      <c r="AB1477" s="454"/>
      <c r="AC1477" s="455"/>
      <c r="AD1477" s="455"/>
      <c r="AE1477" s="455"/>
      <c r="AF1477" s="455"/>
      <c r="AG1477" s="455"/>
      <c r="AH1477" s="455"/>
      <c r="AI1477" s="455"/>
      <c r="AJ1477" s="455"/>
      <c r="AK1477" s="455"/>
      <c r="AL1477" s="455"/>
      <c r="AM1477" s="455"/>
      <c r="AN1477" s="455"/>
      <c r="AO1477" s="455"/>
      <c r="AP1477" s="455"/>
      <c r="AQ1477" s="455"/>
      <c r="AR1477" s="455"/>
      <c r="AS1477" s="455"/>
      <c r="AT1477" s="455"/>
      <c r="AU1477" s="455"/>
      <c r="AV1477" s="455"/>
      <c r="AW1477" s="455"/>
      <c r="AX1477" s="455"/>
      <c r="AY1477" s="455"/>
      <c r="AZ1477" s="455"/>
      <c r="BA1477" s="455"/>
      <c r="BB1477" s="455"/>
      <c r="BC1477" s="456"/>
      <c r="BD1477" s="454"/>
      <c r="BE1477" s="455"/>
      <c r="BF1477" s="455"/>
      <c r="BG1477" s="455"/>
      <c r="BH1477" s="455"/>
      <c r="BI1477" s="455"/>
      <c r="BJ1477" s="455"/>
      <c r="BK1477" s="455"/>
      <c r="BL1477" s="455"/>
      <c r="BM1477" s="455"/>
      <c r="BN1477" s="455"/>
      <c r="BO1477" s="455"/>
      <c r="BP1477" s="455"/>
      <c r="BQ1477" s="455"/>
      <c r="BR1477" s="455"/>
      <c r="BS1477" s="455"/>
      <c r="BT1477" s="455"/>
      <c r="BU1477" s="455"/>
      <c r="BV1477" s="455"/>
      <c r="BW1477" s="455"/>
      <c r="BX1477" s="455"/>
      <c r="BY1477" s="455"/>
      <c r="BZ1477" s="456"/>
      <c r="CA1477" s="270"/>
      <c r="CB1477" s="3" t="str">
        <f t="shared" si="227"/>
        <v>Riadok bude skrytý.</v>
      </c>
      <c r="CC1477" s="271" t="s">
        <v>832</v>
      </c>
      <c r="CW1477" s="30">
        <f t="shared" si="228"/>
        <v>1</v>
      </c>
      <c r="CZ1477" s="30">
        <f t="shared" si="223"/>
        <v>1</v>
      </c>
      <c r="DA1477" s="30">
        <f t="shared" si="224"/>
        <v>1</v>
      </c>
      <c r="DB1477" s="2">
        <f t="shared" si="226"/>
        <v>0</v>
      </c>
      <c r="DS1477" s="130">
        <f>SI!BY1477</f>
        <v>400</v>
      </c>
      <c r="DZ1477" s="131">
        <f>SI!BZ1477</f>
        <v>0</v>
      </c>
    </row>
    <row r="1478" spans="1:132" hidden="1" x14ac:dyDescent="0.25">
      <c r="A1478" s="141"/>
      <c r="CA1478" s="270"/>
      <c r="CB1478" s="3" t="str">
        <f t="shared" si="227"/>
        <v>Riadok bude skrytý.</v>
      </c>
      <c r="CC1478" s="271" t="s">
        <v>832</v>
      </c>
      <c r="CW1478" s="48">
        <v>1</v>
      </c>
      <c r="CZ1478" s="30">
        <f t="shared" si="223"/>
        <v>1</v>
      </c>
      <c r="DA1478" s="30">
        <f t="shared" si="224"/>
        <v>1</v>
      </c>
      <c r="DB1478" s="2">
        <f t="shared" si="226"/>
        <v>0</v>
      </c>
      <c r="DS1478" s="130">
        <f>SI!BY1478</f>
        <v>182</v>
      </c>
      <c r="DZ1478" s="131">
        <f>SI!BZ1478</f>
        <v>0</v>
      </c>
    </row>
    <row r="1479" spans="1:132" hidden="1" x14ac:dyDescent="0.25">
      <c r="A1479" s="141"/>
      <c r="B1479" s="14" t="s">
        <v>96</v>
      </c>
      <c r="C1479" s="14"/>
      <c r="D1479" s="14"/>
      <c r="E1479" s="14"/>
      <c r="F1479" s="14"/>
      <c r="G1479" s="14"/>
      <c r="H1479" s="14"/>
      <c r="I1479" s="14"/>
      <c r="J1479" s="378" t="s">
        <v>838</v>
      </c>
      <c r="K1479" s="378"/>
      <c r="L1479" s="378"/>
      <c r="M1479" s="378"/>
      <c r="N1479" s="378"/>
      <c r="O1479" s="378"/>
      <c r="P1479" s="378"/>
      <c r="Q1479" s="378"/>
      <c r="R1479" s="378"/>
      <c r="S1479" s="137" t="str">
        <f>+IF($K$52&lt;&gt;"",IF(INT(SQRT((CODE(MID($K$52,1,1)))))*(IF(SI!EE1479="",1,SI!EE1479-2))+LEN(SI!J5)=DS1479,"zákazkovú výstavbu nehnuteľnosti.","NEPOVOLENÉ POUŽITIE!"),"NEPOVOLENÉ POUŽITIE!")</f>
        <v>zákazkovú výstavbu nehnuteľnosti.</v>
      </c>
      <c r="T1479" s="38"/>
      <c r="CA1479" s="265" t="s">
        <v>773</v>
      </c>
      <c r="CB1479" s="3" t="str">
        <f t="shared" si="227"/>
        <v>Riadok bude skrytý.</v>
      </c>
      <c r="CC1479" s="271" t="s">
        <v>832</v>
      </c>
      <c r="CF1479" s="13"/>
      <c r="CW1479" s="30">
        <f>+IF($J$1479="nerealizuje",1,1)</f>
        <v>1</v>
      </c>
      <c r="CY1479" s="43"/>
      <c r="CZ1479" s="30">
        <f t="shared" si="223"/>
        <v>1</v>
      </c>
      <c r="DA1479" s="30">
        <f t="shared" si="224"/>
        <v>1</v>
      </c>
      <c r="DB1479" s="2">
        <f t="shared" si="226"/>
        <v>0</v>
      </c>
      <c r="DS1479" s="130">
        <f>SI!BY1479</f>
        <v>15</v>
      </c>
      <c r="DZ1479" s="131">
        <f>SI!BZ1479</f>
        <v>0</v>
      </c>
    </row>
    <row r="1480" spans="1:132" hidden="1" x14ac:dyDescent="0.25">
      <c r="A1480" s="141"/>
      <c r="B1480" s="137" t="str">
        <f>+IF($I$52&lt;&gt;"",IF((ROUNDDOWN(CODE(MID($I$52,1,1))*3,0)+DAY(36167))*(IF(SI!EE1480="",1,SI!EE1480-2))+(2*LEN(SI!J3))=DS1480,IF(J1479="realizuje","Určenie výnosov zo zákazkovej výstavby je uvedené v texte a hodnoty viažujúce k zákazke sú v tabuľkách.","Spoločnosť nemá pre túto časť poznámok obsahovú náplň."),"NEPOVOLENÉ POUŽITIE!"),"NEPOVOLENÉ POUŽITIE!")</f>
        <v>Určenie výnosov zo zákazkovej výstavby je uvedené v texte a hodnoty viažujúce k zákazke sú v tabuľkách.</v>
      </c>
      <c r="C1480" s="14"/>
      <c r="D1480" s="14"/>
      <c r="E1480" s="14"/>
      <c r="F1480" s="14"/>
      <c r="G1480" s="14"/>
      <c r="H1480" s="14"/>
      <c r="CA1480" s="270"/>
      <c r="CB1480" s="3" t="str">
        <f t="shared" si="227"/>
        <v>Riadok bude skrytý.</v>
      </c>
      <c r="CC1480" s="271" t="s">
        <v>832</v>
      </c>
      <c r="CF1480" s="13"/>
      <c r="CW1480" s="48">
        <v>1</v>
      </c>
      <c r="CY1480" s="43"/>
      <c r="CZ1480" s="30">
        <f t="shared" si="223"/>
        <v>1</v>
      </c>
      <c r="DA1480" s="30">
        <f t="shared" si="224"/>
        <v>1</v>
      </c>
      <c r="DB1480" s="2">
        <f t="shared" si="226"/>
        <v>0</v>
      </c>
      <c r="DS1480" s="130">
        <f>SI!BY1480</f>
        <v>10</v>
      </c>
      <c r="DZ1480" s="131">
        <f>SI!BZ1480</f>
        <v>0</v>
      </c>
    </row>
    <row r="1481" spans="1:132" hidden="1" x14ac:dyDescent="0.25">
      <c r="A1481" s="141"/>
      <c r="B1481" s="379"/>
      <c r="C1481" s="379"/>
      <c r="D1481" s="379"/>
      <c r="E1481" s="379"/>
      <c r="F1481" s="379"/>
      <c r="G1481" s="379"/>
      <c r="H1481" s="379"/>
      <c r="I1481" s="379"/>
      <c r="J1481" s="379"/>
      <c r="K1481" s="379"/>
      <c r="L1481" s="379"/>
      <c r="M1481" s="379"/>
      <c r="N1481" s="379"/>
      <c r="O1481" s="379"/>
      <c r="P1481" s="379"/>
      <c r="Q1481" s="379"/>
      <c r="R1481" s="379"/>
      <c r="S1481" s="379"/>
      <c r="T1481" s="379"/>
      <c r="U1481" s="379"/>
      <c r="V1481" s="379"/>
      <c r="W1481" s="379"/>
      <c r="X1481" s="379"/>
      <c r="Y1481" s="379"/>
      <c r="Z1481" s="379"/>
      <c r="AA1481" s="379"/>
      <c r="AB1481" s="379"/>
      <c r="AC1481" s="379"/>
      <c r="AD1481" s="379"/>
      <c r="AE1481" s="379"/>
      <c r="AF1481" s="379"/>
      <c r="AG1481" s="379"/>
      <c r="AH1481" s="379"/>
      <c r="AI1481" s="379"/>
      <c r="AJ1481" s="379"/>
      <c r="AK1481" s="379"/>
      <c r="AL1481" s="379"/>
      <c r="AM1481" s="379"/>
      <c r="AN1481" s="379"/>
      <c r="AO1481" s="379"/>
      <c r="AP1481" s="379"/>
      <c r="AQ1481" s="379"/>
      <c r="AR1481" s="379"/>
      <c r="AS1481" s="379"/>
      <c r="AT1481" s="379"/>
      <c r="AU1481" s="379"/>
      <c r="AV1481" s="379"/>
      <c r="AW1481" s="379"/>
      <c r="AX1481" s="379"/>
      <c r="AY1481" s="379"/>
      <c r="AZ1481" s="379"/>
      <c r="BA1481" s="379"/>
      <c r="BB1481" s="379"/>
      <c r="BC1481" s="379"/>
      <c r="BD1481" s="379"/>
      <c r="BE1481" s="379"/>
      <c r="BF1481" s="379"/>
      <c r="BG1481" s="379"/>
      <c r="BH1481" s="379"/>
      <c r="BI1481" s="379"/>
      <c r="BJ1481" s="379"/>
      <c r="BK1481" s="379"/>
      <c r="BL1481" s="379"/>
      <c r="BM1481" s="379"/>
      <c r="BN1481" s="379"/>
      <c r="BO1481" s="379"/>
      <c r="BP1481" s="379"/>
      <c r="BQ1481" s="379"/>
      <c r="BR1481" s="379"/>
      <c r="BS1481" s="379"/>
      <c r="BT1481" s="379"/>
      <c r="BU1481" s="379"/>
      <c r="BV1481" s="379"/>
      <c r="BW1481" s="379"/>
      <c r="BX1481" s="379"/>
      <c r="BY1481" s="379"/>
      <c r="BZ1481" s="379"/>
      <c r="CA1481" s="281"/>
      <c r="CB1481" s="3" t="str">
        <f t="shared" si="227"/>
        <v>Riadok bude skrytý.</v>
      </c>
      <c r="CC1481" s="271" t="s">
        <v>832</v>
      </c>
      <c r="CF1481" s="13"/>
      <c r="CW1481" s="30">
        <f t="shared" ref="CW1481:CW1500" si="229">+IF(B1481="",0,1)</f>
        <v>0</v>
      </c>
      <c r="CY1481" s="43"/>
      <c r="CZ1481" s="30">
        <f t="shared" si="223"/>
        <v>1</v>
      </c>
      <c r="DA1481" s="30">
        <f t="shared" si="224"/>
        <v>0</v>
      </c>
      <c r="DB1481" s="2">
        <f t="shared" si="226"/>
        <v>0</v>
      </c>
      <c r="DS1481" s="130">
        <f>SI!BY1481</f>
        <v>195</v>
      </c>
      <c r="DZ1481" s="131">
        <f>SI!BZ1481</f>
        <v>0</v>
      </c>
    </row>
    <row r="1482" spans="1:132" hidden="1" x14ac:dyDescent="0.25">
      <c r="A1482" s="141"/>
      <c r="B1482" s="379"/>
      <c r="C1482" s="379"/>
      <c r="D1482" s="379"/>
      <c r="E1482" s="379"/>
      <c r="F1482" s="379"/>
      <c r="G1482" s="379"/>
      <c r="H1482" s="379"/>
      <c r="I1482" s="379"/>
      <c r="J1482" s="379"/>
      <c r="K1482" s="379"/>
      <c r="L1482" s="379"/>
      <c r="M1482" s="379"/>
      <c r="N1482" s="379"/>
      <c r="O1482" s="379"/>
      <c r="P1482" s="379"/>
      <c r="Q1482" s="379"/>
      <c r="R1482" s="379"/>
      <c r="S1482" s="379"/>
      <c r="T1482" s="379"/>
      <c r="U1482" s="379"/>
      <c r="V1482" s="379"/>
      <c r="W1482" s="379"/>
      <c r="X1482" s="379"/>
      <c r="Y1482" s="379"/>
      <c r="Z1482" s="379"/>
      <c r="AA1482" s="379"/>
      <c r="AB1482" s="379"/>
      <c r="AC1482" s="379"/>
      <c r="AD1482" s="379"/>
      <c r="AE1482" s="379"/>
      <c r="AF1482" s="379"/>
      <c r="AG1482" s="379"/>
      <c r="AH1482" s="379"/>
      <c r="AI1482" s="379"/>
      <c r="AJ1482" s="379"/>
      <c r="AK1482" s="379"/>
      <c r="AL1482" s="379"/>
      <c r="AM1482" s="379"/>
      <c r="AN1482" s="379"/>
      <c r="AO1482" s="379"/>
      <c r="AP1482" s="379"/>
      <c r="AQ1482" s="379"/>
      <c r="AR1482" s="379"/>
      <c r="AS1482" s="379"/>
      <c r="AT1482" s="379"/>
      <c r="AU1482" s="379"/>
      <c r="AV1482" s="379"/>
      <c r="AW1482" s="379"/>
      <c r="AX1482" s="379"/>
      <c r="AY1482" s="379"/>
      <c r="AZ1482" s="379"/>
      <c r="BA1482" s="379"/>
      <c r="BB1482" s="379"/>
      <c r="BC1482" s="379"/>
      <c r="BD1482" s="379"/>
      <c r="BE1482" s="379"/>
      <c r="BF1482" s="379"/>
      <c r="BG1482" s="379"/>
      <c r="BH1482" s="379"/>
      <c r="BI1482" s="379"/>
      <c r="BJ1482" s="379"/>
      <c r="BK1482" s="379"/>
      <c r="BL1482" s="379"/>
      <c r="BM1482" s="379"/>
      <c r="BN1482" s="379"/>
      <c r="BO1482" s="379"/>
      <c r="BP1482" s="379"/>
      <c r="BQ1482" s="379"/>
      <c r="BR1482" s="379"/>
      <c r="BS1482" s="379"/>
      <c r="BT1482" s="379"/>
      <c r="BU1482" s="379"/>
      <c r="BV1482" s="379"/>
      <c r="BW1482" s="379"/>
      <c r="BX1482" s="379"/>
      <c r="BY1482" s="379"/>
      <c r="BZ1482" s="379"/>
      <c r="CA1482" s="281"/>
      <c r="CB1482" s="3" t="str">
        <f t="shared" si="227"/>
        <v>Riadok bude skrytý.</v>
      </c>
      <c r="CC1482" s="271" t="s">
        <v>832</v>
      </c>
      <c r="CF1482" s="13"/>
      <c r="CW1482" s="30">
        <f t="shared" si="229"/>
        <v>0</v>
      </c>
      <c r="CY1482" s="43"/>
      <c r="CZ1482" s="30">
        <f t="shared" si="223"/>
        <v>1</v>
      </c>
      <c r="DA1482" s="30">
        <f t="shared" si="224"/>
        <v>0</v>
      </c>
      <c r="DB1482" s="2">
        <f t="shared" si="226"/>
        <v>0</v>
      </c>
      <c r="DS1482" s="130">
        <f>SI!BY1482</f>
        <v>159</v>
      </c>
      <c r="DZ1482" s="131">
        <f>SI!BZ1482</f>
        <v>0</v>
      </c>
    </row>
    <row r="1483" spans="1:132" hidden="1" x14ac:dyDescent="0.25">
      <c r="A1483" s="141"/>
      <c r="B1483" s="406"/>
      <c r="C1483" s="406"/>
      <c r="D1483" s="406"/>
      <c r="E1483" s="406"/>
      <c r="F1483" s="406"/>
      <c r="G1483" s="406"/>
      <c r="H1483" s="406"/>
      <c r="I1483" s="406"/>
      <c r="J1483" s="406"/>
      <c r="K1483" s="406"/>
      <c r="L1483" s="406"/>
      <c r="M1483" s="406"/>
      <c r="N1483" s="406"/>
      <c r="O1483" s="406"/>
      <c r="P1483" s="406"/>
      <c r="Q1483" s="406"/>
      <c r="R1483" s="406"/>
      <c r="S1483" s="406"/>
      <c r="T1483" s="406"/>
      <c r="U1483" s="406"/>
      <c r="V1483" s="406"/>
      <c r="W1483" s="406"/>
      <c r="X1483" s="406"/>
      <c r="Y1483" s="406"/>
      <c r="Z1483" s="406"/>
      <c r="AA1483" s="406"/>
      <c r="AB1483" s="406"/>
      <c r="AC1483" s="406"/>
      <c r="AD1483" s="406"/>
      <c r="AE1483" s="406"/>
      <c r="AF1483" s="406"/>
      <c r="AG1483" s="406"/>
      <c r="AH1483" s="406"/>
      <c r="AI1483" s="406"/>
      <c r="AJ1483" s="406"/>
      <c r="AK1483" s="406"/>
      <c r="AL1483" s="406"/>
      <c r="AM1483" s="406"/>
      <c r="AN1483" s="406"/>
      <c r="AO1483" s="406"/>
      <c r="AP1483" s="406"/>
      <c r="AQ1483" s="406"/>
      <c r="AR1483" s="406"/>
      <c r="AS1483" s="406"/>
      <c r="AT1483" s="406"/>
      <c r="AU1483" s="406"/>
      <c r="AV1483" s="406"/>
      <c r="AW1483" s="406"/>
      <c r="AX1483" s="406"/>
      <c r="AY1483" s="406"/>
      <c r="AZ1483" s="406"/>
      <c r="BA1483" s="406"/>
      <c r="BB1483" s="406"/>
      <c r="BC1483" s="406"/>
      <c r="BD1483" s="406"/>
      <c r="BE1483" s="406"/>
      <c r="BF1483" s="406"/>
      <c r="BG1483" s="406"/>
      <c r="BH1483" s="406"/>
      <c r="BI1483" s="406"/>
      <c r="BJ1483" s="406"/>
      <c r="BK1483" s="406"/>
      <c r="BL1483" s="406"/>
      <c r="BM1483" s="406"/>
      <c r="BN1483" s="406"/>
      <c r="BO1483" s="406"/>
      <c r="BP1483" s="406"/>
      <c r="BQ1483" s="406"/>
      <c r="BR1483" s="406"/>
      <c r="BS1483" s="406"/>
      <c r="BT1483" s="406"/>
      <c r="BU1483" s="406"/>
      <c r="BV1483" s="406"/>
      <c r="BW1483" s="406"/>
      <c r="BX1483" s="406"/>
      <c r="BY1483" s="406"/>
      <c r="BZ1483" s="406"/>
      <c r="CA1483" s="281"/>
      <c r="CB1483" s="3" t="str">
        <f t="shared" si="227"/>
        <v>Riadok bude skrytý.</v>
      </c>
      <c r="CC1483" s="271" t="s">
        <v>832</v>
      </c>
      <c r="CF1483" s="13"/>
      <c r="CW1483" s="30">
        <f t="shared" si="229"/>
        <v>0</v>
      </c>
      <c r="CY1483" s="43"/>
      <c r="CZ1483" s="30">
        <f t="shared" si="223"/>
        <v>1</v>
      </c>
      <c r="DA1483" s="30">
        <f t="shared" si="224"/>
        <v>0</v>
      </c>
      <c r="DB1483" s="2">
        <f t="shared" si="226"/>
        <v>0</v>
      </c>
      <c r="DS1483" s="130">
        <f>SI!BY1483</f>
        <v>131</v>
      </c>
      <c r="DZ1483" s="131">
        <f>SI!BZ1483</f>
        <v>0</v>
      </c>
    </row>
    <row r="1484" spans="1:132" hidden="1" x14ac:dyDescent="0.25">
      <c r="A1484" s="141"/>
      <c r="B1484" s="406"/>
      <c r="C1484" s="406"/>
      <c r="D1484" s="406"/>
      <c r="E1484" s="406"/>
      <c r="F1484" s="406"/>
      <c r="G1484" s="406"/>
      <c r="H1484" s="406"/>
      <c r="I1484" s="406"/>
      <c r="J1484" s="406"/>
      <c r="K1484" s="406"/>
      <c r="L1484" s="406"/>
      <c r="M1484" s="406"/>
      <c r="N1484" s="406"/>
      <c r="O1484" s="406"/>
      <c r="P1484" s="406"/>
      <c r="Q1484" s="406"/>
      <c r="R1484" s="406"/>
      <c r="S1484" s="406"/>
      <c r="T1484" s="406"/>
      <c r="U1484" s="406"/>
      <c r="V1484" s="406"/>
      <c r="W1484" s="406"/>
      <c r="X1484" s="406"/>
      <c r="Y1484" s="406"/>
      <c r="Z1484" s="406"/>
      <c r="AA1484" s="406"/>
      <c r="AB1484" s="406"/>
      <c r="AC1484" s="406"/>
      <c r="AD1484" s="406"/>
      <c r="AE1484" s="406"/>
      <c r="AF1484" s="406"/>
      <c r="AG1484" s="406"/>
      <c r="AH1484" s="406"/>
      <c r="AI1484" s="406"/>
      <c r="AJ1484" s="406"/>
      <c r="AK1484" s="406"/>
      <c r="AL1484" s="406"/>
      <c r="AM1484" s="406"/>
      <c r="AN1484" s="406"/>
      <c r="AO1484" s="406"/>
      <c r="AP1484" s="406"/>
      <c r="AQ1484" s="406"/>
      <c r="AR1484" s="406"/>
      <c r="AS1484" s="406"/>
      <c r="AT1484" s="406"/>
      <c r="AU1484" s="406"/>
      <c r="AV1484" s="406"/>
      <c r="AW1484" s="406"/>
      <c r="AX1484" s="406"/>
      <c r="AY1484" s="406"/>
      <c r="AZ1484" s="406"/>
      <c r="BA1484" s="406"/>
      <c r="BB1484" s="406"/>
      <c r="BC1484" s="406"/>
      <c r="BD1484" s="406"/>
      <c r="BE1484" s="406"/>
      <c r="BF1484" s="406"/>
      <c r="BG1484" s="406"/>
      <c r="BH1484" s="406"/>
      <c r="BI1484" s="406"/>
      <c r="BJ1484" s="406"/>
      <c r="BK1484" s="406"/>
      <c r="BL1484" s="406"/>
      <c r="BM1484" s="406"/>
      <c r="BN1484" s="406"/>
      <c r="BO1484" s="406"/>
      <c r="BP1484" s="406"/>
      <c r="BQ1484" s="406"/>
      <c r="BR1484" s="406"/>
      <c r="BS1484" s="406"/>
      <c r="BT1484" s="406"/>
      <c r="BU1484" s="406"/>
      <c r="BV1484" s="406"/>
      <c r="BW1484" s="406"/>
      <c r="BX1484" s="406"/>
      <c r="BY1484" s="406"/>
      <c r="BZ1484" s="406"/>
      <c r="CA1484" s="281"/>
      <c r="CB1484" s="3" t="str">
        <f t="shared" si="227"/>
        <v>Riadok bude skrytý.</v>
      </c>
      <c r="CC1484" s="271" t="s">
        <v>832</v>
      </c>
      <c r="CF1484" s="13"/>
      <c r="CW1484" s="30">
        <f t="shared" si="229"/>
        <v>0</v>
      </c>
      <c r="CY1484" s="43"/>
      <c r="CZ1484" s="30">
        <f t="shared" si="223"/>
        <v>1</v>
      </c>
      <c r="DA1484" s="30">
        <f t="shared" si="224"/>
        <v>0</v>
      </c>
      <c r="DB1484" s="2">
        <f t="shared" si="226"/>
        <v>0</v>
      </c>
      <c r="DS1484" s="130">
        <f>SI!BY1484</f>
        <v>437</v>
      </c>
      <c r="DZ1484" s="131">
        <f>SI!BZ1484</f>
        <v>0</v>
      </c>
    </row>
    <row r="1485" spans="1:132" hidden="1" x14ac:dyDescent="0.25">
      <c r="A1485" s="141"/>
      <c r="B1485" s="406"/>
      <c r="C1485" s="406"/>
      <c r="D1485" s="406"/>
      <c r="E1485" s="406"/>
      <c r="F1485" s="406"/>
      <c r="G1485" s="406"/>
      <c r="H1485" s="406"/>
      <c r="I1485" s="406"/>
      <c r="J1485" s="406"/>
      <c r="K1485" s="406"/>
      <c r="L1485" s="406"/>
      <c r="M1485" s="406"/>
      <c r="N1485" s="406"/>
      <c r="O1485" s="406"/>
      <c r="P1485" s="406"/>
      <c r="Q1485" s="406"/>
      <c r="R1485" s="406"/>
      <c r="S1485" s="406"/>
      <c r="T1485" s="406"/>
      <c r="U1485" s="406"/>
      <c r="V1485" s="406"/>
      <c r="W1485" s="406"/>
      <c r="X1485" s="406"/>
      <c r="Y1485" s="406"/>
      <c r="Z1485" s="406"/>
      <c r="AA1485" s="406"/>
      <c r="AB1485" s="406"/>
      <c r="AC1485" s="406"/>
      <c r="AD1485" s="406"/>
      <c r="AE1485" s="406"/>
      <c r="AF1485" s="406"/>
      <c r="AG1485" s="406"/>
      <c r="AH1485" s="406"/>
      <c r="AI1485" s="406"/>
      <c r="AJ1485" s="406"/>
      <c r="AK1485" s="406"/>
      <c r="AL1485" s="406"/>
      <c r="AM1485" s="406"/>
      <c r="AN1485" s="406"/>
      <c r="AO1485" s="406"/>
      <c r="AP1485" s="406"/>
      <c r="AQ1485" s="406"/>
      <c r="AR1485" s="406"/>
      <c r="AS1485" s="406"/>
      <c r="AT1485" s="406"/>
      <c r="AU1485" s="406"/>
      <c r="AV1485" s="406"/>
      <c r="AW1485" s="406"/>
      <c r="AX1485" s="406"/>
      <c r="AY1485" s="406"/>
      <c r="AZ1485" s="406"/>
      <c r="BA1485" s="406"/>
      <c r="BB1485" s="406"/>
      <c r="BC1485" s="406"/>
      <c r="BD1485" s="406"/>
      <c r="BE1485" s="406"/>
      <c r="BF1485" s="406"/>
      <c r="BG1485" s="406"/>
      <c r="BH1485" s="406"/>
      <c r="BI1485" s="406"/>
      <c r="BJ1485" s="406"/>
      <c r="BK1485" s="406"/>
      <c r="BL1485" s="406"/>
      <c r="BM1485" s="406"/>
      <c r="BN1485" s="406"/>
      <c r="BO1485" s="406"/>
      <c r="BP1485" s="406"/>
      <c r="BQ1485" s="406"/>
      <c r="BR1485" s="406"/>
      <c r="BS1485" s="406"/>
      <c r="BT1485" s="406"/>
      <c r="BU1485" s="406"/>
      <c r="BV1485" s="406"/>
      <c r="BW1485" s="406"/>
      <c r="BX1485" s="406"/>
      <c r="BY1485" s="406"/>
      <c r="BZ1485" s="406"/>
      <c r="CA1485" s="281"/>
      <c r="CB1485" s="3" t="str">
        <f t="shared" si="227"/>
        <v>Riadok bude skrytý.</v>
      </c>
      <c r="CC1485" s="271" t="s">
        <v>832</v>
      </c>
      <c r="CF1485" s="13"/>
      <c r="CW1485" s="30">
        <f t="shared" si="229"/>
        <v>0</v>
      </c>
      <c r="CY1485" s="43"/>
      <c r="CZ1485" s="30">
        <f t="shared" si="223"/>
        <v>1</v>
      </c>
      <c r="DA1485" s="30">
        <f t="shared" si="224"/>
        <v>0</v>
      </c>
      <c r="DB1485" s="2">
        <f t="shared" si="226"/>
        <v>0</v>
      </c>
      <c r="DS1485" s="130">
        <f>SI!BY1485</f>
        <v>131</v>
      </c>
      <c r="DZ1485" s="131">
        <f>SI!BZ1485</f>
        <v>0</v>
      </c>
    </row>
    <row r="1486" spans="1:132" hidden="1" x14ac:dyDescent="0.25">
      <c r="A1486" s="141"/>
      <c r="B1486" s="406"/>
      <c r="C1486" s="406"/>
      <c r="D1486" s="406"/>
      <c r="E1486" s="406"/>
      <c r="F1486" s="406"/>
      <c r="G1486" s="406"/>
      <c r="H1486" s="406"/>
      <c r="I1486" s="406"/>
      <c r="J1486" s="406"/>
      <c r="K1486" s="406"/>
      <c r="L1486" s="406"/>
      <c r="M1486" s="406"/>
      <c r="N1486" s="406"/>
      <c r="O1486" s="406"/>
      <c r="P1486" s="406"/>
      <c r="Q1486" s="406"/>
      <c r="R1486" s="406"/>
      <c r="S1486" s="406"/>
      <c r="T1486" s="406"/>
      <c r="U1486" s="406"/>
      <c r="V1486" s="406"/>
      <c r="W1486" s="406"/>
      <c r="X1486" s="406"/>
      <c r="Y1486" s="406"/>
      <c r="Z1486" s="406"/>
      <c r="AA1486" s="406"/>
      <c r="AB1486" s="406"/>
      <c r="AC1486" s="406"/>
      <c r="AD1486" s="406"/>
      <c r="AE1486" s="406"/>
      <c r="AF1486" s="406"/>
      <c r="AG1486" s="406"/>
      <c r="AH1486" s="406"/>
      <c r="AI1486" s="406"/>
      <c r="AJ1486" s="406"/>
      <c r="AK1486" s="406"/>
      <c r="AL1486" s="406"/>
      <c r="AM1486" s="406"/>
      <c r="AN1486" s="406"/>
      <c r="AO1486" s="406"/>
      <c r="AP1486" s="406"/>
      <c r="AQ1486" s="406"/>
      <c r="AR1486" s="406"/>
      <c r="AS1486" s="406"/>
      <c r="AT1486" s="406"/>
      <c r="AU1486" s="406"/>
      <c r="AV1486" s="406"/>
      <c r="AW1486" s="406"/>
      <c r="AX1486" s="406"/>
      <c r="AY1486" s="406"/>
      <c r="AZ1486" s="406"/>
      <c r="BA1486" s="406"/>
      <c r="BB1486" s="406"/>
      <c r="BC1486" s="406"/>
      <c r="BD1486" s="406"/>
      <c r="BE1486" s="406"/>
      <c r="BF1486" s="406"/>
      <c r="BG1486" s="406"/>
      <c r="BH1486" s="406"/>
      <c r="BI1486" s="406"/>
      <c r="BJ1486" s="406"/>
      <c r="BK1486" s="406"/>
      <c r="BL1486" s="406"/>
      <c r="BM1486" s="406"/>
      <c r="BN1486" s="406"/>
      <c r="BO1486" s="406"/>
      <c r="BP1486" s="406"/>
      <c r="BQ1486" s="406"/>
      <c r="BR1486" s="406"/>
      <c r="BS1486" s="406"/>
      <c r="BT1486" s="406"/>
      <c r="BU1486" s="406"/>
      <c r="BV1486" s="406"/>
      <c r="BW1486" s="406"/>
      <c r="BX1486" s="406"/>
      <c r="BY1486" s="406"/>
      <c r="BZ1486" s="406"/>
      <c r="CA1486" s="281"/>
      <c r="CB1486" s="3" t="str">
        <f t="shared" si="227"/>
        <v>Riadok bude skrytý.</v>
      </c>
      <c r="CC1486" s="271" t="s">
        <v>832</v>
      </c>
      <c r="CF1486" s="13"/>
      <c r="CW1486" s="30">
        <f t="shared" si="229"/>
        <v>0</v>
      </c>
      <c r="CY1486" s="43"/>
      <c r="CZ1486" s="30">
        <f t="shared" si="223"/>
        <v>1</v>
      </c>
      <c r="DA1486" s="30">
        <f t="shared" ref="DA1486:DA1542" si="230">+IF(CW1486+CX1486+CY1486=0,0,IF(CZ1486=0,0,1))</f>
        <v>0</v>
      </c>
      <c r="DB1486" s="2">
        <f t="shared" si="226"/>
        <v>0</v>
      </c>
      <c r="DS1486" s="130">
        <f>SI!BY1486</f>
        <v>156</v>
      </c>
      <c r="DZ1486" s="131">
        <f>SI!BZ1486</f>
        <v>0</v>
      </c>
    </row>
    <row r="1487" spans="1:132" hidden="1" x14ac:dyDescent="0.25">
      <c r="A1487" s="141"/>
      <c r="B1487" s="406"/>
      <c r="C1487" s="406"/>
      <c r="D1487" s="406"/>
      <c r="E1487" s="406"/>
      <c r="F1487" s="406"/>
      <c r="G1487" s="406"/>
      <c r="H1487" s="406"/>
      <c r="I1487" s="406"/>
      <c r="J1487" s="406"/>
      <c r="K1487" s="406"/>
      <c r="L1487" s="406"/>
      <c r="M1487" s="406"/>
      <c r="N1487" s="406"/>
      <c r="O1487" s="406"/>
      <c r="P1487" s="406"/>
      <c r="Q1487" s="406"/>
      <c r="R1487" s="406"/>
      <c r="S1487" s="406"/>
      <c r="T1487" s="406"/>
      <c r="U1487" s="406"/>
      <c r="V1487" s="406"/>
      <c r="W1487" s="406"/>
      <c r="X1487" s="406"/>
      <c r="Y1487" s="406"/>
      <c r="Z1487" s="406"/>
      <c r="AA1487" s="406"/>
      <c r="AB1487" s="406"/>
      <c r="AC1487" s="406"/>
      <c r="AD1487" s="406"/>
      <c r="AE1487" s="406"/>
      <c r="AF1487" s="406"/>
      <c r="AG1487" s="406"/>
      <c r="AH1487" s="406"/>
      <c r="AI1487" s="406"/>
      <c r="AJ1487" s="406"/>
      <c r="AK1487" s="406"/>
      <c r="AL1487" s="406"/>
      <c r="AM1487" s="406"/>
      <c r="AN1487" s="406"/>
      <c r="AO1487" s="406"/>
      <c r="AP1487" s="406"/>
      <c r="AQ1487" s="406"/>
      <c r="AR1487" s="406"/>
      <c r="AS1487" s="406"/>
      <c r="AT1487" s="406"/>
      <c r="AU1487" s="406"/>
      <c r="AV1487" s="406"/>
      <c r="AW1487" s="406"/>
      <c r="AX1487" s="406"/>
      <c r="AY1487" s="406"/>
      <c r="AZ1487" s="406"/>
      <c r="BA1487" s="406"/>
      <c r="BB1487" s="406"/>
      <c r="BC1487" s="406"/>
      <c r="BD1487" s="406"/>
      <c r="BE1487" s="406"/>
      <c r="BF1487" s="406"/>
      <c r="BG1487" s="406"/>
      <c r="BH1487" s="406"/>
      <c r="BI1487" s="406"/>
      <c r="BJ1487" s="406"/>
      <c r="BK1487" s="406"/>
      <c r="BL1487" s="406"/>
      <c r="BM1487" s="406"/>
      <c r="BN1487" s="406"/>
      <c r="BO1487" s="406"/>
      <c r="BP1487" s="406"/>
      <c r="BQ1487" s="406"/>
      <c r="BR1487" s="406"/>
      <c r="BS1487" s="406"/>
      <c r="BT1487" s="406"/>
      <c r="BU1487" s="406"/>
      <c r="BV1487" s="406"/>
      <c r="BW1487" s="406"/>
      <c r="BX1487" s="406"/>
      <c r="BY1487" s="406"/>
      <c r="BZ1487" s="406"/>
      <c r="CA1487" s="281"/>
      <c r="CB1487" s="3" t="str">
        <f t="shared" si="227"/>
        <v>Riadok bude skrytý.</v>
      </c>
      <c r="CC1487" s="271" t="s">
        <v>832</v>
      </c>
      <c r="CF1487" s="13"/>
      <c r="CW1487" s="30">
        <f t="shared" si="229"/>
        <v>0</v>
      </c>
      <c r="CY1487" s="43"/>
      <c r="CZ1487" s="30">
        <f t="shared" si="223"/>
        <v>1</v>
      </c>
      <c r="DA1487" s="30">
        <f t="shared" si="230"/>
        <v>0</v>
      </c>
      <c r="DB1487" s="2">
        <f t="shared" si="226"/>
        <v>0</v>
      </c>
      <c r="DS1487" s="130">
        <f>SI!BY1487</f>
        <v>161</v>
      </c>
      <c r="DZ1487" s="131">
        <f>SI!BZ1487</f>
        <v>0</v>
      </c>
    </row>
    <row r="1488" spans="1:132" hidden="1" x14ac:dyDescent="0.25">
      <c r="A1488" s="141"/>
      <c r="B1488" s="406"/>
      <c r="C1488" s="406"/>
      <c r="D1488" s="406"/>
      <c r="E1488" s="406"/>
      <c r="F1488" s="406"/>
      <c r="G1488" s="406"/>
      <c r="H1488" s="406"/>
      <c r="I1488" s="406"/>
      <c r="J1488" s="406"/>
      <c r="K1488" s="406"/>
      <c r="L1488" s="406"/>
      <c r="M1488" s="406"/>
      <c r="N1488" s="406"/>
      <c r="O1488" s="406"/>
      <c r="P1488" s="406"/>
      <c r="Q1488" s="406"/>
      <c r="R1488" s="406"/>
      <c r="S1488" s="406"/>
      <c r="T1488" s="406"/>
      <c r="U1488" s="406"/>
      <c r="V1488" s="406"/>
      <c r="W1488" s="406"/>
      <c r="X1488" s="406"/>
      <c r="Y1488" s="406"/>
      <c r="Z1488" s="406"/>
      <c r="AA1488" s="406"/>
      <c r="AB1488" s="406"/>
      <c r="AC1488" s="406"/>
      <c r="AD1488" s="406"/>
      <c r="AE1488" s="406"/>
      <c r="AF1488" s="406"/>
      <c r="AG1488" s="406"/>
      <c r="AH1488" s="406"/>
      <c r="AI1488" s="406"/>
      <c r="AJ1488" s="406"/>
      <c r="AK1488" s="406"/>
      <c r="AL1488" s="406"/>
      <c r="AM1488" s="406"/>
      <c r="AN1488" s="406"/>
      <c r="AO1488" s="406"/>
      <c r="AP1488" s="406"/>
      <c r="AQ1488" s="406"/>
      <c r="AR1488" s="406"/>
      <c r="AS1488" s="406"/>
      <c r="AT1488" s="406"/>
      <c r="AU1488" s="406"/>
      <c r="AV1488" s="406"/>
      <c r="AW1488" s="406"/>
      <c r="AX1488" s="406"/>
      <c r="AY1488" s="406"/>
      <c r="AZ1488" s="406"/>
      <c r="BA1488" s="406"/>
      <c r="BB1488" s="406"/>
      <c r="BC1488" s="406"/>
      <c r="BD1488" s="406"/>
      <c r="BE1488" s="406"/>
      <c r="BF1488" s="406"/>
      <c r="BG1488" s="406"/>
      <c r="BH1488" s="406"/>
      <c r="BI1488" s="406"/>
      <c r="BJ1488" s="406"/>
      <c r="BK1488" s="406"/>
      <c r="BL1488" s="406"/>
      <c r="BM1488" s="406"/>
      <c r="BN1488" s="406"/>
      <c r="BO1488" s="406"/>
      <c r="BP1488" s="406"/>
      <c r="BQ1488" s="406"/>
      <c r="BR1488" s="406"/>
      <c r="BS1488" s="406"/>
      <c r="BT1488" s="406"/>
      <c r="BU1488" s="406"/>
      <c r="BV1488" s="406"/>
      <c r="BW1488" s="406"/>
      <c r="BX1488" s="406"/>
      <c r="BY1488" s="406"/>
      <c r="BZ1488" s="406"/>
      <c r="CA1488" s="281"/>
      <c r="CB1488" s="3" t="str">
        <f t="shared" si="227"/>
        <v>Riadok bude skrytý.</v>
      </c>
      <c r="CC1488" s="271" t="s">
        <v>832</v>
      </c>
      <c r="CF1488" s="13"/>
      <c r="CW1488" s="30">
        <f t="shared" si="229"/>
        <v>0</v>
      </c>
      <c r="CY1488" s="43"/>
      <c r="CZ1488" s="30">
        <f t="shared" si="223"/>
        <v>1</v>
      </c>
      <c r="DA1488" s="30">
        <f t="shared" si="230"/>
        <v>0</v>
      </c>
      <c r="DB1488" s="2">
        <f t="shared" si="226"/>
        <v>0</v>
      </c>
      <c r="DS1488" s="130">
        <f>SI!BY1488</f>
        <v>577</v>
      </c>
      <c r="DZ1488" s="131">
        <f>SI!BZ1488</f>
        <v>0</v>
      </c>
    </row>
    <row r="1489" spans="1:130" hidden="1" x14ac:dyDescent="0.25">
      <c r="A1489" s="141"/>
      <c r="B1489" s="406"/>
      <c r="C1489" s="406"/>
      <c r="D1489" s="406"/>
      <c r="E1489" s="406"/>
      <c r="F1489" s="406"/>
      <c r="G1489" s="406"/>
      <c r="H1489" s="406"/>
      <c r="I1489" s="406"/>
      <c r="J1489" s="406"/>
      <c r="K1489" s="406"/>
      <c r="L1489" s="406"/>
      <c r="M1489" s="406"/>
      <c r="N1489" s="406"/>
      <c r="O1489" s="406"/>
      <c r="P1489" s="406"/>
      <c r="Q1489" s="406"/>
      <c r="R1489" s="406"/>
      <c r="S1489" s="406"/>
      <c r="T1489" s="406"/>
      <c r="U1489" s="406"/>
      <c r="V1489" s="406"/>
      <c r="W1489" s="406"/>
      <c r="X1489" s="406"/>
      <c r="Y1489" s="406"/>
      <c r="Z1489" s="406"/>
      <c r="AA1489" s="406"/>
      <c r="AB1489" s="406"/>
      <c r="AC1489" s="406"/>
      <c r="AD1489" s="406"/>
      <c r="AE1489" s="406"/>
      <c r="AF1489" s="406"/>
      <c r="AG1489" s="406"/>
      <c r="AH1489" s="406"/>
      <c r="AI1489" s="406"/>
      <c r="AJ1489" s="406"/>
      <c r="AK1489" s="406"/>
      <c r="AL1489" s="406"/>
      <c r="AM1489" s="406"/>
      <c r="AN1489" s="406"/>
      <c r="AO1489" s="406"/>
      <c r="AP1489" s="406"/>
      <c r="AQ1489" s="406"/>
      <c r="AR1489" s="406"/>
      <c r="AS1489" s="406"/>
      <c r="AT1489" s="406"/>
      <c r="AU1489" s="406"/>
      <c r="AV1489" s="406"/>
      <c r="AW1489" s="406"/>
      <c r="AX1489" s="406"/>
      <c r="AY1489" s="406"/>
      <c r="AZ1489" s="406"/>
      <c r="BA1489" s="406"/>
      <c r="BB1489" s="406"/>
      <c r="BC1489" s="406"/>
      <c r="BD1489" s="406"/>
      <c r="BE1489" s="406"/>
      <c r="BF1489" s="406"/>
      <c r="BG1489" s="406"/>
      <c r="BH1489" s="406"/>
      <c r="BI1489" s="406"/>
      <c r="BJ1489" s="406"/>
      <c r="BK1489" s="406"/>
      <c r="BL1489" s="406"/>
      <c r="BM1489" s="406"/>
      <c r="BN1489" s="406"/>
      <c r="BO1489" s="406"/>
      <c r="BP1489" s="406"/>
      <c r="BQ1489" s="406"/>
      <c r="BR1489" s="406"/>
      <c r="BS1489" s="406"/>
      <c r="BT1489" s="406"/>
      <c r="BU1489" s="406"/>
      <c r="BV1489" s="406"/>
      <c r="BW1489" s="406"/>
      <c r="BX1489" s="406"/>
      <c r="BY1489" s="406"/>
      <c r="BZ1489" s="406"/>
      <c r="CA1489" s="281"/>
      <c r="CB1489" s="3" t="str">
        <f t="shared" si="227"/>
        <v>Riadok bude skrytý.</v>
      </c>
      <c r="CC1489" s="271" t="s">
        <v>832</v>
      </c>
      <c r="CF1489" s="13"/>
      <c r="CW1489" s="30">
        <f t="shared" si="229"/>
        <v>0</v>
      </c>
      <c r="CY1489" s="43"/>
      <c r="CZ1489" s="30">
        <f t="shared" si="223"/>
        <v>1</v>
      </c>
      <c r="DA1489" s="30">
        <f t="shared" si="230"/>
        <v>0</v>
      </c>
      <c r="DB1489" s="2">
        <f t="shared" si="226"/>
        <v>0</v>
      </c>
      <c r="DS1489" s="130">
        <f>SI!BY1489</f>
        <v>143</v>
      </c>
      <c r="DZ1489" s="131">
        <f>SI!BZ1489</f>
        <v>0</v>
      </c>
    </row>
    <row r="1490" spans="1:130" hidden="1" x14ac:dyDescent="0.25">
      <c r="A1490" s="141"/>
      <c r="B1490" s="406"/>
      <c r="C1490" s="406"/>
      <c r="D1490" s="406"/>
      <c r="E1490" s="406"/>
      <c r="F1490" s="406"/>
      <c r="G1490" s="406"/>
      <c r="H1490" s="406"/>
      <c r="I1490" s="406"/>
      <c r="J1490" s="406"/>
      <c r="K1490" s="406"/>
      <c r="L1490" s="406"/>
      <c r="M1490" s="406"/>
      <c r="N1490" s="406"/>
      <c r="O1490" s="406"/>
      <c r="P1490" s="406"/>
      <c r="Q1490" s="406"/>
      <c r="R1490" s="406"/>
      <c r="S1490" s="406"/>
      <c r="T1490" s="406"/>
      <c r="U1490" s="406"/>
      <c r="V1490" s="406"/>
      <c r="W1490" s="406"/>
      <c r="X1490" s="406"/>
      <c r="Y1490" s="406"/>
      <c r="Z1490" s="406"/>
      <c r="AA1490" s="406"/>
      <c r="AB1490" s="406"/>
      <c r="AC1490" s="406"/>
      <c r="AD1490" s="406"/>
      <c r="AE1490" s="406"/>
      <c r="AF1490" s="406"/>
      <c r="AG1490" s="406"/>
      <c r="AH1490" s="406"/>
      <c r="AI1490" s="406"/>
      <c r="AJ1490" s="406"/>
      <c r="AK1490" s="406"/>
      <c r="AL1490" s="406"/>
      <c r="AM1490" s="406"/>
      <c r="AN1490" s="406"/>
      <c r="AO1490" s="406"/>
      <c r="AP1490" s="406"/>
      <c r="AQ1490" s="406"/>
      <c r="AR1490" s="406"/>
      <c r="AS1490" s="406"/>
      <c r="AT1490" s="406"/>
      <c r="AU1490" s="406"/>
      <c r="AV1490" s="406"/>
      <c r="AW1490" s="406"/>
      <c r="AX1490" s="406"/>
      <c r="AY1490" s="406"/>
      <c r="AZ1490" s="406"/>
      <c r="BA1490" s="406"/>
      <c r="BB1490" s="406"/>
      <c r="BC1490" s="406"/>
      <c r="BD1490" s="406"/>
      <c r="BE1490" s="406"/>
      <c r="BF1490" s="406"/>
      <c r="BG1490" s="406"/>
      <c r="BH1490" s="406"/>
      <c r="BI1490" s="406"/>
      <c r="BJ1490" s="406"/>
      <c r="BK1490" s="406"/>
      <c r="BL1490" s="406"/>
      <c r="BM1490" s="406"/>
      <c r="BN1490" s="406"/>
      <c r="BO1490" s="406"/>
      <c r="BP1490" s="406"/>
      <c r="BQ1490" s="406"/>
      <c r="BR1490" s="406"/>
      <c r="BS1490" s="406"/>
      <c r="BT1490" s="406"/>
      <c r="BU1490" s="406"/>
      <c r="BV1490" s="406"/>
      <c r="BW1490" s="406"/>
      <c r="BX1490" s="406"/>
      <c r="BY1490" s="406"/>
      <c r="BZ1490" s="406"/>
      <c r="CA1490" s="281"/>
      <c r="CB1490" s="3" t="str">
        <f t="shared" si="227"/>
        <v>Riadok bude skrytý.</v>
      </c>
      <c r="CC1490" s="271" t="s">
        <v>832</v>
      </c>
      <c r="CF1490" s="13"/>
      <c r="CW1490" s="30">
        <f t="shared" si="229"/>
        <v>0</v>
      </c>
      <c r="CY1490" s="43"/>
      <c r="CZ1490" s="30">
        <f t="shared" si="223"/>
        <v>1</v>
      </c>
      <c r="DA1490" s="30">
        <f t="shared" si="230"/>
        <v>0</v>
      </c>
      <c r="DB1490" s="2">
        <f t="shared" si="226"/>
        <v>0</v>
      </c>
      <c r="DS1490" s="130">
        <f>SI!BY1490</f>
        <v>408</v>
      </c>
      <c r="DZ1490" s="131">
        <f>SI!BZ1490</f>
        <v>0</v>
      </c>
    </row>
    <row r="1491" spans="1:130" hidden="1" x14ac:dyDescent="0.25">
      <c r="A1491" s="141"/>
      <c r="B1491" s="406"/>
      <c r="C1491" s="406"/>
      <c r="D1491" s="406"/>
      <c r="E1491" s="406"/>
      <c r="F1491" s="406"/>
      <c r="G1491" s="406"/>
      <c r="H1491" s="406"/>
      <c r="I1491" s="406"/>
      <c r="J1491" s="406"/>
      <c r="K1491" s="406"/>
      <c r="L1491" s="406"/>
      <c r="M1491" s="406"/>
      <c r="N1491" s="406"/>
      <c r="O1491" s="406"/>
      <c r="P1491" s="406"/>
      <c r="Q1491" s="406"/>
      <c r="R1491" s="406"/>
      <c r="S1491" s="406"/>
      <c r="T1491" s="406"/>
      <c r="U1491" s="406"/>
      <c r="V1491" s="406"/>
      <c r="W1491" s="406"/>
      <c r="X1491" s="406"/>
      <c r="Y1491" s="406"/>
      <c r="Z1491" s="406"/>
      <c r="AA1491" s="406"/>
      <c r="AB1491" s="406"/>
      <c r="AC1491" s="406"/>
      <c r="AD1491" s="406"/>
      <c r="AE1491" s="406"/>
      <c r="AF1491" s="406"/>
      <c r="AG1491" s="406"/>
      <c r="AH1491" s="406"/>
      <c r="AI1491" s="406"/>
      <c r="AJ1491" s="406"/>
      <c r="AK1491" s="406"/>
      <c r="AL1491" s="406"/>
      <c r="AM1491" s="406"/>
      <c r="AN1491" s="406"/>
      <c r="AO1491" s="406"/>
      <c r="AP1491" s="406"/>
      <c r="AQ1491" s="406"/>
      <c r="AR1491" s="406"/>
      <c r="AS1491" s="406"/>
      <c r="AT1491" s="406"/>
      <c r="AU1491" s="406"/>
      <c r="AV1491" s="406"/>
      <c r="AW1491" s="406"/>
      <c r="AX1491" s="406"/>
      <c r="AY1491" s="406"/>
      <c r="AZ1491" s="406"/>
      <c r="BA1491" s="406"/>
      <c r="BB1491" s="406"/>
      <c r="BC1491" s="406"/>
      <c r="BD1491" s="406"/>
      <c r="BE1491" s="406"/>
      <c r="BF1491" s="406"/>
      <c r="BG1491" s="406"/>
      <c r="BH1491" s="406"/>
      <c r="BI1491" s="406"/>
      <c r="BJ1491" s="406"/>
      <c r="BK1491" s="406"/>
      <c r="BL1491" s="406"/>
      <c r="BM1491" s="406"/>
      <c r="BN1491" s="406"/>
      <c r="BO1491" s="406"/>
      <c r="BP1491" s="406"/>
      <c r="BQ1491" s="406"/>
      <c r="BR1491" s="406"/>
      <c r="BS1491" s="406"/>
      <c r="BT1491" s="406"/>
      <c r="BU1491" s="406"/>
      <c r="BV1491" s="406"/>
      <c r="BW1491" s="406"/>
      <c r="BX1491" s="406"/>
      <c r="BY1491" s="406"/>
      <c r="BZ1491" s="406"/>
      <c r="CA1491" s="281"/>
      <c r="CB1491" s="3" t="str">
        <f t="shared" si="227"/>
        <v>Riadok bude skrytý.</v>
      </c>
      <c r="CC1491" s="271" t="s">
        <v>832</v>
      </c>
      <c r="CF1491" s="13"/>
      <c r="CW1491" s="30">
        <f t="shared" si="229"/>
        <v>0</v>
      </c>
      <c r="CY1491" s="43"/>
      <c r="CZ1491" s="30">
        <f t="shared" si="223"/>
        <v>1</v>
      </c>
      <c r="DA1491" s="30">
        <f t="shared" si="230"/>
        <v>0</v>
      </c>
      <c r="DB1491" s="2">
        <f t="shared" si="226"/>
        <v>0</v>
      </c>
      <c r="DS1491" s="130">
        <f>SI!BY1491</f>
        <v>164</v>
      </c>
      <c r="DZ1491" s="131">
        <f>SI!BZ1491</f>
        <v>0</v>
      </c>
    </row>
    <row r="1492" spans="1:130" hidden="1" x14ac:dyDescent="0.25">
      <c r="A1492" s="141"/>
      <c r="B1492" s="406"/>
      <c r="C1492" s="406"/>
      <c r="D1492" s="406"/>
      <c r="E1492" s="406"/>
      <c r="F1492" s="406"/>
      <c r="G1492" s="406"/>
      <c r="H1492" s="406"/>
      <c r="I1492" s="406"/>
      <c r="J1492" s="406"/>
      <c r="K1492" s="406"/>
      <c r="L1492" s="406"/>
      <c r="M1492" s="406"/>
      <c r="N1492" s="406"/>
      <c r="O1492" s="406"/>
      <c r="P1492" s="406"/>
      <c r="Q1492" s="406"/>
      <c r="R1492" s="406"/>
      <c r="S1492" s="406"/>
      <c r="T1492" s="406"/>
      <c r="U1492" s="406"/>
      <c r="V1492" s="406"/>
      <c r="W1492" s="406"/>
      <c r="X1492" s="406"/>
      <c r="Y1492" s="406"/>
      <c r="Z1492" s="406"/>
      <c r="AA1492" s="406"/>
      <c r="AB1492" s="406"/>
      <c r="AC1492" s="406"/>
      <c r="AD1492" s="406"/>
      <c r="AE1492" s="406"/>
      <c r="AF1492" s="406"/>
      <c r="AG1492" s="406"/>
      <c r="AH1492" s="406"/>
      <c r="AI1492" s="406"/>
      <c r="AJ1492" s="406"/>
      <c r="AK1492" s="406"/>
      <c r="AL1492" s="406"/>
      <c r="AM1492" s="406"/>
      <c r="AN1492" s="406"/>
      <c r="AO1492" s="406"/>
      <c r="AP1492" s="406"/>
      <c r="AQ1492" s="406"/>
      <c r="AR1492" s="406"/>
      <c r="AS1492" s="406"/>
      <c r="AT1492" s="406"/>
      <c r="AU1492" s="406"/>
      <c r="AV1492" s="406"/>
      <c r="AW1492" s="406"/>
      <c r="AX1492" s="406"/>
      <c r="AY1492" s="406"/>
      <c r="AZ1492" s="406"/>
      <c r="BA1492" s="406"/>
      <c r="BB1492" s="406"/>
      <c r="BC1492" s="406"/>
      <c r="BD1492" s="406"/>
      <c r="BE1492" s="406"/>
      <c r="BF1492" s="406"/>
      <c r="BG1492" s="406"/>
      <c r="BH1492" s="406"/>
      <c r="BI1492" s="406"/>
      <c r="BJ1492" s="406"/>
      <c r="BK1492" s="406"/>
      <c r="BL1492" s="406"/>
      <c r="BM1492" s="406"/>
      <c r="BN1492" s="406"/>
      <c r="BO1492" s="406"/>
      <c r="BP1492" s="406"/>
      <c r="BQ1492" s="406"/>
      <c r="BR1492" s="406"/>
      <c r="BS1492" s="406"/>
      <c r="BT1492" s="406"/>
      <c r="BU1492" s="406"/>
      <c r="BV1492" s="406"/>
      <c r="BW1492" s="406"/>
      <c r="BX1492" s="406"/>
      <c r="BY1492" s="406"/>
      <c r="BZ1492" s="406"/>
      <c r="CA1492" s="281"/>
      <c r="CB1492" s="3" t="str">
        <f t="shared" si="227"/>
        <v>Riadok bude skrytý.</v>
      </c>
      <c r="CC1492" s="271" t="s">
        <v>832</v>
      </c>
      <c r="CF1492" s="13"/>
      <c r="CW1492" s="30">
        <f t="shared" si="229"/>
        <v>0</v>
      </c>
      <c r="CY1492" s="43"/>
      <c r="CZ1492" s="30">
        <f t="shared" si="223"/>
        <v>1</v>
      </c>
      <c r="DA1492" s="30">
        <f t="shared" si="230"/>
        <v>0</v>
      </c>
      <c r="DB1492" s="2">
        <f t="shared" si="226"/>
        <v>0</v>
      </c>
      <c r="DS1492" s="130">
        <f>SI!BY1492</f>
        <v>184</v>
      </c>
      <c r="DZ1492" s="131">
        <f>SI!BZ1492</f>
        <v>0</v>
      </c>
    </row>
    <row r="1493" spans="1:130" hidden="1" x14ac:dyDescent="0.25">
      <c r="A1493" s="141"/>
      <c r="B1493" s="406"/>
      <c r="C1493" s="406"/>
      <c r="D1493" s="406"/>
      <c r="E1493" s="406"/>
      <c r="F1493" s="406"/>
      <c r="G1493" s="406"/>
      <c r="H1493" s="406"/>
      <c r="I1493" s="406"/>
      <c r="J1493" s="406"/>
      <c r="K1493" s="406"/>
      <c r="L1493" s="406"/>
      <c r="M1493" s="406"/>
      <c r="N1493" s="406"/>
      <c r="O1493" s="406"/>
      <c r="P1493" s="406"/>
      <c r="Q1493" s="406"/>
      <c r="R1493" s="406"/>
      <c r="S1493" s="406"/>
      <c r="T1493" s="406"/>
      <c r="U1493" s="406"/>
      <c r="V1493" s="406"/>
      <c r="W1493" s="406"/>
      <c r="X1493" s="406"/>
      <c r="Y1493" s="406"/>
      <c r="Z1493" s="406"/>
      <c r="AA1493" s="406"/>
      <c r="AB1493" s="406"/>
      <c r="AC1493" s="406"/>
      <c r="AD1493" s="406"/>
      <c r="AE1493" s="406"/>
      <c r="AF1493" s="406"/>
      <c r="AG1493" s="406"/>
      <c r="AH1493" s="406"/>
      <c r="AI1493" s="406"/>
      <c r="AJ1493" s="406"/>
      <c r="AK1493" s="406"/>
      <c r="AL1493" s="406"/>
      <c r="AM1493" s="406"/>
      <c r="AN1493" s="406"/>
      <c r="AO1493" s="406"/>
      <c r="AP1493" s="406"/>
      <c r="AQ1493" s="406"/>
      <c r="AR1493" s="406"/>
      <c r="AS1493" s="406"/>
      <c r="AT1493" s="406"/>
      <c r="AU1493" s="406"/>
      <c r="AV1493" s="406"/>
      <c r="AW1493" s="406"/>
      <c r="AX1493" s="406"/>
      <c r="AY1493" s="406"/>
      <c r="AZ1493" s="406"/>
      <c r="BA1493" s="406"/>
      <c r="BB1493" s="406"/>
      <c r="BC1493" s="406"/>
      <c r="BD1493" s="406"/>
      <c r="BE1493" s="406"/>
      <c r="BF1493" s="406"/>
      <c r="BG1493" s="406"/>
      <c r="BH1493" s="406"/>
      <c r="BI1493" s="406"/>
      <c r="BJ1493" s="406"/>
      <c r="BK1493" s="406"/>
      <c r="BL1493" s="406"/>
      <c r="BM1493" s="406"/>
      <c r="BN1493" s="406"/>
      <c r="BO1493" s="406"/>
      <c r="BP1493" s="406"/>
      <c r="BQ1493" s="406"/>
      <c r="BR1493" s="406"/>
      <c r="BS1493" s="406"/>
      <c r="BT1493" s="406"/>
      <c r="BU1493" s="406"/>
      <c r="BV1493" s="406"/>
      <c r="BW1493" s="406"/>
      <c r="BX1493" s="406"/>
      <c r="BY1493" s="406"/>
      <c r="BZ1493" s="406"/>
      <c r="CA1493" s="281"/>
      <c r="CB1493" s="3" t="str">
        <f t="shared" si="227"/>
        <v>Riadok bude skrytý.</v>
      </c>
      <c r="CC1493" s="271" t="s">
        <v>832</v>
      </c>
      <c r="CF1493" s="13"/>
      <c r="CW1493" s="30">
        <f t="shared" si="229"/>
        <v>0</v>
      </c>
      <c r="CY1493" s="43"/>
      <c r="CZ1493" s="30">
        <f t="shared" si="223"/>
        <v>1</v>
      </c>
      <c r="DA1493" s="30">
        <f t="shared" si="230"/>
        <v>0</v>
      </c>
      <c r="DB1493" s="2">
        <f t="shared" si="226"/>
        <v>0</v>
      </c>
      <c r="DS1493" s="130">
        <f>SI!BY1493</f>
        <v>161</v>
      </c>
      <c r="DZ1493" s="131">
        <f>SI!BZ1493</f>
        <v>0</v>
      </c>
    </row>
    <row r="1494" spans="1:130" hidden="1" x14ac:dyDescent="0.25">
      <c r="A1494" s="141"/>
      <c r="B1494" s="406"/>
      <c r="C1494" s="406"/>
      <c r="D1494" s="406"/>
      <c r="E1494" s="406"/>
      <c r="F1494" s="406"/>
      <c r="G1494" s="406"/>
      <c r="H1494" s="406"/>
      <c r="I1494" s="406"/>
      <c r="J1494" s="406"/>
      <c r="K1494" s="406"/>
      <c r="L1494" s="406"/>
      <c r="M1494" s="406"/>
      <c r="N1494" s="406"/>
      <c r="O1494" s="406"/>
      <c r="P1494" s="406"/>
      <c r="Q1494" s="406"/>
      <c r="R1494" s="406"/>
      <c r="S1494" s="406"/>
      <c r="T1494" s="406"/>
      <c r="U1494" s="406"/>
      <c r="V1494" s="406"/>
      <c r="W1494" s="406"/>
      <c r="X1494" s="406"/>
      <c r="Y1494" s="406"/>
      <c r="Z1494" s="406"/>
      <c r="AA1494" s="406"/>
      <c r="AB1494" s="406"/>
      <c r="AC1494" s="406"/>
      <c r="AD1494" s="406"/>
      <c r="AE1494" s="406"/>
      <c r="AF1494" s="406"/>
      <c r="AG1494" s="406"/>
      <c r="AH1494" s="406"/>
      <c r="AI1494" s="406"/>
      <c r="AJ1494" s="406"/>
      <c r="AK1494" s="406"/>
      <c r="AL1494" s="406"/>
      <c r="AM1494" s="406"/>
      <c r="AN1494" s="406"/>
      <c r="AO1494" s="406"/>
      <c r="AP1494" s="406"/>
      <c r="AQ1494" s="406"/>
      <c r="AR1494" s="406"/>
      <c r="AS1494" s="406"/>
      <c r="AT1494" s="406"/>
      <c r="AU1494" s="406"/>
      <c r="AV1494" s="406"/>
      <c r="AW1494" s="406"/>
      <c r="AX1494" s="406"/>
      <c r="AY1494" s="406"/>
      <c r="AZ1494" s="406"/>
      <c r="BA1494" s="406"/>
      <c r="BB1494" s="406"/>
      <c r="BC1494" s="406"/>
      <c r="BD1494" s="406"/>
      <c r="BE1494" s="406"/>
      <c r="BF1494" s="406"/>
      <c r="BG1494" s="406"/>
      <c r="BH1494" s="406"/>
      <c r="BI1494" s="406"/>
      <c r="BJ1494" s="406"/>
      <c r="BK1494" s="406"/>
      <c r="BL1494" s="406"/>
      <c r="BM1494" s="406"/>
      <c r="BN1494" s="406"/>
      <c r="BO1494" s="406"/>
      <c r="BP1494" s="406"/>
      <c r="BQ1494" s="406"/>
      <c r="BR1494" s="406"/>
      <c r="BS1494" s="406"/>
      <c r="BT1494" s="406"/>
      <c r="BU1494" s="406"/>
      <c r="BV1494" s="406"/>
      <c r="BW1494" s="406"/>
      <c r="BX1494" s="406"/>
      <c r="BY1494" s="406"/>
      <c r="BZ1494" s="406"/>
      <c r="CA1494" s="281"/>
      <c r="CB1494" s="3" t="str">
        <f t="shared" si="227"/>
        <v>Riadok bude skrytý.</v>
      </c>
      <c r="CC1494" s="271" t="s">
        <v>832</v>
      </c>
      <c r="CF1494" s="13"/>
      <c r="CW1494" s="30">
        <f t="shared" si="229"/>
        <v>0</v>
      </c>
      <c r="CY1494" s="43"/>
      <c r="CZ1494" s="30">
        <f t="shared" si="223"/>
        <v>1</v>
      </c>
      <c r="DA1494" s="30">
        <f t="shared" si="230"/>
        <v>0</v>
      </c>
      <c r="DB1494" s="2">
        <f t="shared" si="226"/>
        <v>0</v>
      </c>
      <c r="DS1494" s="130">
        <f>SI!BY1494</f>
        <v>320</v>
      </c>
      <c r="DZ1494" s="131">
        <f>SI!BZ1494</f>
        <v>0</v>
      </c>
    </row>
    <row r="1495" spans="1:130" hidden="1" x14ac:dyDescent="0.25">
      <c r="A1495" s="141"/>
      <c r="B1495" s="406"/>
      <c r="C1495" s="406"/>
      <c r="D1495" s="406"/>
      <c r="E1495" s="406"/>
      <c r="F1495" s="406"/>
      <c r="G1495" s="406"/>
      <c r="H1495" s="406"/>
      <c r="I1495" s="406"/>
      <c r="J1495" s="406"/>
      <c r="K1495" s="406"/>
      <c r="L1495" s="406"/>
      <c r="M1495" s="406"/>
      <c r="N1495" s="406"/>
      <c r="O1495" s="406"/>
      <c r="P1495" s="406"/>
      <c r="Q1495" s="406"/>
      <c r="R1495" s="406"/>
      <c r="S1495" s="406"/>
      <c r="T1495" s="406"/>
      <c r="U1495" s="406"/>
      <c r="V1495" s="406"/>
      <c r="W1495" s="406"/>
      <c r="X1495" s="406"/>
      <c r="Y1495" s="406"/>
      <c r="Z1495" s="406"/>
      <c r="AA1495" s="406"/>
      <c r="AB1495" s="406"/>
      <c r="AC1495" s="406"/>
      <c r="AD1495" s="406"/>
      <c r="AE1495" s="406"/>
      <c r="AF1495" s="406"/>
      <c r="AG1495" s="406"/>
      <c r="AH1495" s="406"/>
      <c r="AI1495" s="406"/>
      <c r="AJ1495" s="406"/>
      <c r="AK1495" s="406"/>
      <c r="AL1495" s="406"/>
      <c r="AM1495" s="406"/>
      <c r="AN1495" s="406"/>
      <c r="AO1495" s="406"/>
      <c r="AP1495" s="406"/>
      <c r="AQ1495" s="406"/>
      <c r="AR1495" s="406"/>
      <c r="AS1495" s="406"/>
      <c r="AT1495" s="406"/>
      <c r="AU1495" s="406"/>
      <c r="AV1495" s="406"/>
      <c r="AW1495" s="406"/>
      <c r="AX1495" s="406"/>
      <c r="AY1495" s="406"/>
      <c r="AZ1495" s="406"/>
      <c r="BA1495" s="406"/>
      <c r="BB1495" s="406"/>
      <c r="BC1495" s="406"/>
      <c r="BD1495" s="406"/>
      <c r="BE1495" s="406"/>
      <c r="BF1495" s="406"/>
      <c r="BG1495" s="406"/>
      <c r="BH1495" s="406"/>
      <c r="BI1495" s="406"/>
      <c r="BJ1495" s="406"/>
      <c r="BK1495" s="406"/>
      <c r="BL1495" s="406"/>
      <c r="BM1495" s="406"/>
      <c r="BN1495" s="406"/>
      <c r="BO1495" s="406"/>
      <c r="BP1495" s="406"/>
      <c r="BQ1495" s="406"/>
      <c r="BR1495" s="406"/>
      <c r="BS1495" s="406"/>
      <c r="BT1495" s="406"/>
      <c r="BU1495" s="406"/>
      <c r="BV1495" s="406"/>
      <c r="BW1495" s="406"/>
      <c r="BX1495" s="406"/>
      <c r="BY1495" s="406"/>
      <c r="BZ1495" s="406"/>
      <c r="CA1495" s="281"/>
      <c r="CB1495" s="3" t="str">
        <f t="shared" si="227"/>
        <v>Riadok bude skrytý.</v>
      </c>
      <c r="CC1495" s="271" t="s">
        <v>832</v>
      </c>
      <c r="CF1495" s="13"/>
      <c r="CW1495" s="30">
        <f t="shared" si="229"/>
        <v>0</v>
      </c>
      <c r="CY1495" s="43"/>
      <c r="CZ1495" s="30">
        <f t="shared" si="223"/>
        <v>1</v>
      </c>
      <c r="DA1495" s="30">
        <f t="shared" si="230"/>
        <v>0</v>
      </c>
      <c r="DB1495" s="2">
        <f t="shared" si="226"/>
        <v>0</v>
      </c>
      <c r="DS1495" s="130">
        <f>SI!BY1495</f>
        <v>178</v>
      </c>
      <c r="DZ1495" s="131">
        <f>SI!BZ1495</f>
        <v>0</v>
      </c>
    </row>
    <row r="1496" spans="1:130" hidden="1" x14ac:dyDescent="0.25">
      <c r="A1496" s="141"/>
      <c r="B1496" s="406"/>
      <c r="C1496" s="406"/>
      <c r="D1496" s="406"/>
      <c r="E1496" s="406"/>
      <c r="F1496" s="406"/>
      <c r="G1496" s="406"/>
      <c r="H1496" s="406"/>
      <c r="I1496" s="406"/>
      <c r="J1496" s="406"/>
      <c r="K1496" s="406"/>
      <c r="L1496" s="406"/>
      <c r="M1496" s="406"/>
      <c r="N1496" s="406"/>
      <c r="O1496" s="406"/>
      <c r="P1496" s="406"/>
      <c r="Q1496" s="406"/>
      <c r="R1496" s="406"/>
      <c r="S1496" s="406"/>
      <c r="T1496" s="406"/>
      <c r="U1496" s="406"/>
      <c r="V1496" s="406"/>
      <c r="W1496" s="406"/>
      <c r="X1496" s="406"/>
      <c r="Y1496" s="406"/>
      <c r="Z1496" s="406"/>
      <c r="AA1496" s="406"/>
      <c r="AB1496" s="406"/>
      <c r="AC1496" s="406"/>
      <c r="AD1496" s="406"/>
      <c r="AE1496" s="406"/>
      <c r="AF1496" s="406"/>
      <c r="AG1496" s="406"/>
      <c r="AH1496" s="406"/>
      <c r="AI1496" s="406"/>
      <c r="AJ1496" s="406"/>
      <c r="AK1496" s="406"/>
      <c r="AL1496" s="406"/>
      <c r="AM1496" s="406"/>
      <c r="AN1496" s="406"/>
      <c r="AO1496" s="406"/>
      <c r="AP1496" s="406"/>
      <c r="AQ1496" s="406"/>
      <c r="AR1496" s="406"/>
      <c r="AS1496" s="406"/>
      <c r="AT1496" s="406"/>
      <c r="AU1496" s="406"/>
      <c r="AV1496" s="406"/>
      <c r="AW1496" s="406"/>
      <c r="AX1496" s="406"/>
      <c r="AY1496" s="406"/>
      <c r="AZ1496" s="406"/>
      <c r="BA1496" s="406"/>
      <c r="BB1496" s="406"/>
      <c r="BC1496" s="406"/>
      <c r="BD1496" s="406"/>
      <c r="BE1496" s="406"/>
      <c r="BF1496" s="406"/>
      <c r="BG1496" s="406"/>
      <c r="BH1496" s="406"/>
      <c r="BI1496" s="406"/>
      <c r="BJ1496" s="406"/>
      <c r="BK1496" s="406"/>
      <c r="BL1496" s="406"/>
      <c r="BM1496" s="406"/>
      <c r="BN1496" s="406"/>
      <c r="BO1496" s="406"/>
      <c r="BP1496" s="406"/>
      <c r="BQ1496" s="406"/>
      <c r="BR1496" s="406"/>
      <c r="BS1496" s="406"/>
      <c r="BT1496" s="406"/>
      <c r="BU1496" s="406"/>
      <c r="BV1496" s="406"/>
      <c r="BW1496" s="406"/>
      <c r="BX1496" s="406"/>
      <c r="BY1496" s="406"/>
      <c r="BZ1496" s="406"/>
      <c r="CA1496" s="281"/>
      <c r="CB1496" s="3" t="str">
        <f t="shared" si="227"/>
        <v>Riadok bude skrytý.</v>
      </c>
      <c r="CC1496" s="271" t="s">
        <v>832</v>
      </c>
      <c r="CF1496" s="13"/>
      <c r="CW1496" s="30">
        <f t="shared" si="229"/>
        <v>0</v>
      </c>
      <c r="CY1496" s="43"/>
      <c r="CZ1496" s="30">
        <f t="shared" si="223"/>
        <v>1</v>
      </c>
      <c r="DA1496" s="30">
        <f t="shared" si="230"/>
        <v>0</v>
      </c>
      <c r="DB1496" s="2">
        <f t="shared" si="226"/>
        <v>0</v>
      </c>
      <c r="DS1496" s="130">
        <f>SI!BY1496</f>
        <v>301</v>
      </c>
      <c r="DZ1496" s="131">
        <f>SI!BZ1496</f>
        <v>0</v>
      </c>
    </row>
    <row r="1497" spans="1:130" hidden="1" x14ac:dyDescent="0.25">
      <c r="A1497" s="141"/>
      <c r="B1497" s="406"/>
      <c r="C1497" s="406"/>
      <c r="D1497" s="406"/>
      <c r="E1497" s="406"/>
      <c r="F1497" s="406"/>
      <c r="G1497" s="406"/>
      <c r="H1497" s="406"/>
      <c r="I1497" s="406"/>
      <c r="J1497" s="406"/>
      <c r="K1497" s="406"/>
      <c r="L1497" s="406"/>
      <c r="M1497" s="406"/>
      <c r="N1497" s="406"/>
      <c r="O1497" s="406"/>
      <c r="P1497" s="406"/>
      <c r="Q1497" s="406"/>
      <c r="R1497" s="406"/>
      <c r="S1497" s="406"/>
      <c r="T1497" s="406"/>
      <c r="U1497" s="406"/>
      <c r="V1497" s="406"/>
      <c r="W1497" s="406"/>
      <c r="X1497" s="406"/>
      <c r="Y1497" s="406"/>
      <c r="Z1497" s="406"/>
      <c r="AA1497" s="406"/>
      <c r="AB1497" s="406"/>
      <c r="AC1497" s="406"/>
      <c r="AD1497" s="406"/>
      <c r="AE1497" s="406"/>
      <c r="AF1497" s="406"/>
      <c r="AG1497" s="406"/>
      <c r="AH1497" s="406"/>
      <c r="AI1497" s="406"/>
      <c r="AJ1497" s="406"/>
      <c r="AK1497" s="406"/>
      <c r="AL1497" s="406"/>
      <c r="AM1497" s="406"/>
      <c r="AN1497" s="406"/>
      <c r="AO1497" s="406"/>
      <c r="AP1497" s="406"/>
      <c r="AQ1497" s="406"/>
      <c r="AR1497" s="406"/>
      <c r="AS1497" s="406"/>
      <c r="AT1497" s="406"/>
      <c r="AU1497" s="406"/>
      <c r="AV1497" s="406"/>
      <c r="AW1497" s="406"/>
      <c r="AX1497" s="406"/>
      <c r="AY1497" s="406"/>
      <c r="AZ1497" s="406"/>
      <c r="BA1497" s="406"/>
      <c r="BB1497" s="406"/>
      <c r="BC1497" s="406"/>
      <c r="BD1497" s="406"/>
      <c r="BE1497" s="406"/>
      <c r="BF1497" s="406"/>
      <c r="BG1497" s="406"/>
      <c r="BH1497" s="406"/>
      <c r="BI1497" s="406"/>
      <c r="BJ1497" s="406"/>
      <c r="BK1497" s="406"/>
      <c r="BL1497" s="406"/>
      <c r="BM1497" s="406"/>
      <c r="BN1497" s="406"/>
      <c r="BO1497" s="406"/>
      <c r="BP1497" s="406"/>
      <c r="BQ1497" s="406"/>
      <c r="BR1497" s="406"/>
      <c r="BS1497" s="406"/>
      <c r="BT1497" s="406"/>
      <c r="BU1497" s="406"/>
      <c r="BV1497" s="406"/>
      <c r="BW1497" s="406"/>
      <c r="BX1497" s="406"/>
      <c r="BY1497" s="406"/>
      <c r="BZ1497" s="406"/>
      <c r="CA1497" s="281"/>
      <c r="CB1497" s="3" t="str">
        <f t="shared" si="227"/>
        <v>Riadok bude skrytý.</v>
      </c>
      <c r="CC1497" s="271" t="s">
        <v>832</v>
      </c>
      <c r="CF1497" s="13"/>
      <c r="CW1497" s="30">
        <f t="shared" si="229"/>
        <v>0</v>
      </c>
      <c r="CY1497" s="43"/>
      <c r="CZ1497" s="30">
        <f t="shared" si="223"/>
        <v>1</v>
      </c>
      <c r="DA1497" s="30">
        <f t="shared" si="230"/>
        <v>0</v>
      </c>
      <c r="DB1497" s="2">
        <f t="shared" si="226"/>
        <v>0</v>
      </c>
      <c r="DS1497" s="130">
        <f>SI!BY1497</f>
        <v>173</v>
      </c>
      <c r="DZ1497" s="131">
        <f>SI!BZ1497</f>
        <v>0</v>
      </c>
    </row>
    <row r="1498" spans="1:130" hidden="1" x14ac:dyDescent="0.25">
      <c r="A1498" s="141"/>
      <c r="B1498" s="406"/>
      <c r="C1498" s="406"/>
      <c r="D1498" s="406"/>
      <c r="E1498" s="406"/>
      <c r="F1498" s="406"/>
      <c r="G1498" s="406"/>
      <c r="H1498" s="406"/>
      <c r="I1498" s="406"/>
      <c r="J1498" s="406"/>
      <c r="K1498" s="406"/>
      <c r="L1498" s="406"/>
      <c r="M1498" s="406"/>
      <c r="N1498" s="406"/>
      <c r="O1498" s="406"/>
      <c r="P1498" s="406"/>
      <c r="Q1498" s="406"/>
      <c r="R1498" s="406"/>
      <c r="S1498" s="406"/>
      <c r="T1498" s="406"/>
      <c r="U1498" s="406"/>
      <c r="V1498" s="406"/>
      <c r="W1498" s="406"/>
      <c r="X1498" s="406"/>
      <c r="Y1498" s="406"/>
      <c r="Z1498" s="406"/>
      <c r="AA1498" s="406"/>
      <c r="AB1498" s="406"/>
      <c r="AC1498" s="406"/>
      <c r="AD1498" s="406"/>
      <c r="AE1498" s="406"/>
      <c r="AF1498" s="406"/>
      <c r="AG1498" s="406"/>
      <c r="AH1498" s="406"/>
      <c r="AI1498" s="406"/>
      <c r="AJ1498" s="406"/>
      <c r="AK1498" s="406"/>
      <c r="AL1498" s="406"/>
      <c r="AM1498" s="406"/>
      <c r="AN1498" s="406"/>
      <c r="AO1498" s="406"/>
      <c r="AP1498" s="406"/>
      <c r="AQ1498" s="406"/>
      <c r="AR1498" s="406"/>
      <c r="AS1498" s="406"/>
      <c r="AT1498" s="406"/>
      <c r="AU1498" s="406"/>
      <c r="AV1498" s="406"/>
      <c r="AW1498" s="406"/>
      <c r="AX1498" s="406"/>
      <c r="AY1498" s="406"/>
      <c r="AZ1498" s="406"/>
      <c r="BA1498" s="406"/>
      <c r="BB1498" s="406"/>
      <c r="BC1498" s="406"/>
      <c r="BD1498" s="406"/>
      <c r="BE1498" s="406"/>
      <c r="BF1498" s="406"/>
      <c r="BG1498" s="406"/>
      <c r="BH1498" s="406"/>
      <c r="BI1498" s="406"/>
      <c r="BJ1498" s="406"/>
      <c r="BK1498" s="406"/>
      <c r="BL1498" s="406"/>
      <c r="BM1498" s="406"/>
      <c r="BN1498" s="406"/>
      <c r="BO1498" s="406"/>
      <c r="BP1498" s="406"/>
      <c r="BQ1498" s="406"/>
      <c r="BR1498" s="406"/>
      <c r="BS1498" s="406"/>
      <c r="BT1498" s="406"/>
      <c r="BU1498" s="406"/>
      <c r="BV1498" s="406"/>
      <c r="BW1498" s="406"/>
      <c r="BX1498" s="406"/>
      <c r="BY1498" s="406"/>
      <c r="BZ1498" s="406"/>
      <c r="CA1498" s="281"/>
      <c r="CB1498" s="3" t="str">
        <f t="shared" si="227"/>
        <v>Riadok bude skrytý.</v>
      </c>
      <c r="CC1498" s="271" t="s">
        <v>832</v>
      </c>
      <c r="CF1498" s="13"/>
      <c r="CW1498" s="30">
        <f t="shared" si="229"/>
        <v>0</v>
      </c>
      <c r="CY1498" s="43"/>
      <c r="CZ1498" s="30">
        <f t="shared" si="223"/>
        <v>1</v>
      </c>
      <c r="DA1498" s="30">
        <f t="shared" si="230"/>
        <v>0</v>
      </c>
      <c r="DB1498" s="2">
        <f t="shared" si="226"/>
        <v>0</v>
      </c>
      <c r="DS1498" s="130">
        <f>SI!BY1498</f>
        <v>2</v>
      </c>
      <c r="DZ1498" s="131">
        <f>SI!BZ1498</f>
        <v>0</v>
      </c>
    </row>
    <row r="1499" spans="1:130" hidden="1" x14ac:dyDescent="0.25">
      <c r="A1499" s="141"/>
      <c r="B1499" s="406"/>
      <c r="C1499" s="406"/>
      <c r="D1499" s="406"/>
      <c r="E1499" s="406"/>
      <c r="F1499" s="406"/>
      <c r="G1499" s="406"/>
      <c r="H1499" s="406"/>
      <c r="I1499" s="406"/>
      <c r="J1499" s="406"/>
      <c r="K1499" s="406"/>
      <c r="L1499" s="406"/>
      <c r="M1499" s="406"/>
      <c r="N1499" s="406"/>
      <c r="O1499" s="406"/>
      <c r="P1499" s="406"/>
      <c r="Q1499" s="406"/>
      <c r="R1499" s="406"/>
      <c r="S1499" s="406"/>
      <c r="T1499" s="406"/>
      <c r="U1499" s="406"/>
      <c r="V1499" s="406"/>
      <c r="W1499" s="406"/>
      <c r="X1499" s="406"/>
      <c r="Y1499" s="406"/>
      <c r="Z1499" s="406"/>
      <c r="AA1499" s="406"/>
      <c r="AB1499" s="406"/>
      <c r="AC1499" s="406"/>
      <c r="AD1499" s="406"/>
      <c r="AE1499" s="406"/>
      <c r="AF1499" s="406"/>
      <c r="AG1499" s="406"/>
      <c r="AH1499" s="406"/>
      <c r="AI1499" s="406"/>
      <c r="AJ1499" s="406"/>
      <c r="AK1499" s="406"/>
      <c r="AL1499" s="406"/>
      <c r="AM1499" s="406"/>
      <c r="AN1499" s="406"/>
      <c r="AO1499" s="406"/>
      <c r="AP1499" s="406"/>
      <c r="AQ1499" s="406"/>
      <c r="AR1499" s="406"/>
      <c r="AS1499" s="406"/>
      <c r="AT1499" s="406"/>
      <c r="AU1499" s="406"/>
      <c r="AV1499" s="406"/>
      <c r="AW1499" s="406"/>
      <c r="AX1499" s="406"/>
      <c r="AY1499" s="406"/>
      <c r="AZ1499" s="406"/>
      <c r="BA1499" s="406"/>
      <c r="BB1499" s="406"/>
      <c r="BC1499" s="406"/>
      <c r="BD1499" s="406"/>
      <c r="BE1499" s="406"/>
      <c r="BF1499" s="406"/>
      <c r="BG1499" s="406"/>
      <c r="BH1499" s="406"/>
      <c r="BI1499" s="406"/>
      <c r="BJ1499" s="406"/>
      <c r="BK1499" s="406"/>
      <c r="BL1499" s="406"/>
      <c r="BM1499" s="406"/>
      <c r="BN1499" s="406"/>
      <c r="BO1499" s="406"/>
      <c r="BP1499" s="406"/>
      <c r="BQ1499" s="406"/>
      <c r="BR1499" s="406"/>
      <c r="BS1499" s="406"/>
      <c r="BT1499" s="406"/>
      <c r="BU1499" s="406"/>
      <c r="BV1499" s="406"/>
      <c r="BW1499" s="406"/>
      <c r="BX1499" s="406"/>
      <c r="BY1499" s="406"/>
      <c r="BZ1499" s="406"/>
      <c r="CA1499" s="281"/>
      <c r="CB1499" s="3" t="str">
        <f t="shared" si="227"/>
        <v>Riadok bude skrytý.</v>
      </c>
      <c r="CC1499" s="271" t="s">
        <v>832</v>
      </c>
      <c r="CF1499" s="13"/>
      <c r="CW1499" s="30">
        <f t="shared" si="229"/>
        <v>0</v>
      </c>
      <c r="CY1499" s="43"/>
      <c r="CZ1499" s="30">
        <f t="shared" si="223"/>
        <v>1</v>
      </c>
      <c r="DA1499" s="30">
        <f t="shared" si="230"/>
        <v>0</v>
      </c>
      <c r="DB1499" s="2">
        <f t="shared" si="226"/>
        <v>0</v>
      </c>
      <c r="DS1499" s="130">
        <f>SI!BY1499</f>
        <v>127</v>
      </c>
      <c r="DZ1499" s="131">
        <f>SI!BZ1499</f>
        <v>0</v>
      </c>
    </row>
    <row r="1500" spans="1:130" hidden="1" x14ac:dyDescent="0.25">
      <c r="A1500" s="141"/>
      <c r="B1500" s="406"/>
      <c r="C1500" s="406"/>
      <c r="D1500" s="406"/>
      <c r="E1500" s="406"/>
      <c r="F1500" s="406"/>
      <c r="G1500" s="406"/>
      <c r="H1500" s="406"/>
      <c r="I1500" s="406"/>
      <c r="J1500" s="406"/>
      <c r="K1500" s="406"/>
      <c r="L1500" s="406"/>
      <c r="M1500" s="406"/>
      <c r="N1500" s="406"/>
      <c r="O1500" s="406"/>
      <c r="P1500" s="406"/>
      <c r="Q1500" s="406"/>
      <c r="R1500" s="406"/>
      <c r="S1500" s="406"/>
      <c r="T1500" s="406"/>
      <c r="U1500" s="406"/>
      <c r="V1500" s="406"/>
      <c r="W1500" s="406"/>
      <c r="X1500" s="406"/>
      <c r="Y1500" s="406"/>
      <c r="Z1500" s="406"/>
      <c r="AA1500" s="406"/>
      <c r="AB1500" s="406"/>
      <c r="AC1500" s="406"/>
      <c r="AD1500" s="406"/>
      <c r="AE1500" s="406"/>
      <c r="AF1500" s="406"/>
      <c r="AG1500" s="406"/>
      <c r="AH1500" s="406"/>
      <c r="AI1500" s="406"/>
      <c r="AJ1500" s="406"/>
      <c r="AK1500" s="406"/>
      <c r="AL1500" s="406"/>
      <c r="AM1500" s="406"/>
      <c r="AN1500" s="406"/>
      <c r="AO1500" s="406"/>
      <c r="AP1500" s="406"/>
      <c r="AQ1500" s="406"/>
      <c r="AR1500" s="406"/>
      <c r="AS1500" s="406"/>
      <c r="AT1500" s="406"/>
      <c r="AU1500" s="406"/>
      <c r="AV1500" s="406"/>
      <c r="AW1500" s="406"/>
      <c r="AX1500" s="406"/>
      <c r="AY1500" s="406"/>
      <c r="AZ1500" s="406"/>
      <c r="BA1500" s="406"/>
      <c r="BB1500" s="406"/>
      <c r="BC1500" s="406"/>
      <c r="BD1500" s="406"/>
      <c r="BE1500" s="406"/>
      <c r="BF1500" s="406"/>
      <c r="BG1500" s="406"/>
      <c r="BH1500" s="406"/>
      <c r="BI1500" s="406"/>
      <c r="BJ1500" s="406"/>
      <c r="BK1500" s="406"/>
      <c r="BL1500" s="406"/>
      <c r="BM1500" s="406"/>
      <c r="BN1500" s="406"/>
      <c r="BO1500" s="406"/>
      <c r="BP1500" s="406"/>
      <c r="BQ1500" s="406"/>
      <c r="BR1500" s="406"/>
      <c r="BS1500" s="406"/>
      <c r="BT1500" s="406"/>
      <c r="BU1500" s="406"/>
      <c r="BV1500" s="406"/>
      <c r="BW1500" s="406"/>
      <c r="BX1500" s="406"/>
      <c r="BY1500" s="406"/>
      <c r="BZ1500" s="406"/>
      <c r="CA1500" s="281"/>
      <c r="CB1500" s="3" t="str">
        <f t="shared" si="227"/>
        <v>Riadok bude skrytý.</v>
      </c>
      <c r="CC1500" s="271" t="s">
        <v>832</v>
      </c>
      <c r="CF1500" s="13"/>
      <c r="CW1500" s="30">
        <f t="shared" si="229"/>
        <v>0</v>
      </c>
      <c r="CY1500" s="43"/>
      <c r="CZ1500" s="30">
        <f t="shared" si="223"/>
        <v>1</v>
      </c>
      <c r="DA1500" s="30">
        <f t="shared" si="230"/>
        <v>0</v>
      </c>
      <c r="DB1500" s="2">
        <f t="shared" si="226"/>
        <v>0</v>
      </c>
      <c r="DS1500" s="130">
        <f>SI!BY1500</f>
        <v>1087</v>
      </c>
      <c r="DZ1500" s="131">
        <f>SI!BZ1500</f>
        <v>0</v>
      </c>
    </row>
    <row r="1501" spans="1:130" hidden="1" x14ac:dyDescent="0.25">
      <c r="A1501" s="141"/>
      <c r="CA1501" s="281"/>
      <c r="CB1501" s="3" t="str">
        <f t="shared" si="227"/>
        <v>Riadok bude skrytý.</v>
      </c>
      <c r="CC1501" s="271" t="s">
        <v>832</v>
      </c>
      <c r="CW1501" s="30">
        <f t="shared" ref="CW1501:CW1515" si="231">+IF($J$1479="nerealizuje",0,1)</f>
        <v>1</v>
      </c>
      <c r="CZ1501" s="30">
        <f t="shared" si="223"/>
        <v>1</v>
      </c>
      <c r="DA1501" s="30">
        <f t="shared" si="230"/>
        <v>1</v>
      </c>
      <c r="DB1501" s="2">
        <f t="shared" si="226"/>
        <v>0</v>
      </c>
      <c r="DS1501" s="130">
        <f>SI!BY1501</f>
        <v>149</v>
      </c>
      <c r="DZ1501" s="131">
        <f>SI!BZ1501</f>
        <v>0</v>
      </c>
    </row>
    <row r="1502" spans="1:130" ht="23.3" hidden="1" customHeight="1" x14ac:dyDescent="0.25">
      <c r="A1502" s="141"/>
      <c r="B1502" s="439" t="s">
        <v>171</v>
      </c>
      <c r="C1502" s="440"/>
      <c r="D1502" s="440"/>
      <c r="E1502" s="440"/>
      <c r="F1502" s="440"/>
      <c r="G1502" s="440"/>
      <c r="H1502" s="440"/>
      <c r="I1502" s="440"/>
      <c r="J1502" s="440"/>
      <c r="K1502" s="440"/>
      <c r="L1502" s="440"/>
      <c r="M1502" s="440"/>
      <c r="N1502" s="440"/>
      <c r="O1502" s="440"/>
      <c r="P1502" s="440"/>
      <c r="Q1502" s="440"/>
      <c r="R1502" s="440"/>
      <c r="S1502" s="440"/>
      <c r="T1502" s="440"/>
      <c r="U1502" s="441"/>
      <c r="V1502" s="1627" t="s">
        <v>433</v>
      </c>
      <c r="W1502" s="1628"/>
      <c r="X1502" s="1628"/>
      <c r="Y1502" s="1628"/>
      <c r="Z1502" s="1628"/>
      <c r="AA1502" s="1628"/>
      <c r="AB1502" s="1628"/>
      <c r="AC1502" s="1628"/>
      <c r="AD1502" s="1628"/>
      <c r="AE1502" s="1628"/>
      <c r="AF1502" s="1628"/>
      <c r="AG1502" s="1628"/>
      <c r="AH1502" s="1628"/>
      <c r="AI1502" s="1628"/>
      <c r="AJ1502" s="1628"/>
      <c r="AK1502" s="1628"/>
      <c r="AL1502" s="1628"/>
      <c r="AM1502" s="1629"/>
      <c r="AN1502" s="1511" t="s">
        <v>435</v>
      </c>
      <c r="AO1502" s="1512"/>
      <c r="AP1502" s="1512"/>
      <c r="AQ1502" s="1512"/>
      <c r="AR1502" s="1512"/>
      <c r="AS1502" s="1512"/>
      <c r="AT1502" s="1512"/>
      <c r="AU1502" s="1512"/>
      <c r="AV1502" s="1512"/>
      <c r="AW1502" s="1512"/>
      <c r="AX1502" s="1512"/>
      <c r="AY1502" s="1512"/>
      <c r="AZ1502" s="1512"/>
      <c r="BA1502" s="1512"/>
      <c r="BB1502" s="1512"/>
      <c r="BC1502" s="1512"/>
      <c r="BD1502" s="1512"/>
      <c r="BE1502" s="1513"/>
      <c r="BF1502" s="1340" t="s">
        <v>185</v>
      </c>
      <c r="BG1502" s="1341"/>
      <c r="BH1502" s="1341"/>
      <c r="BI1502" s="1341"/>
      <c r="BJ1502" s="1341"/>
      <c r="BK1502" s="1341"/>
      <c r="BL1502" s="1341"/>
      <c r="BM1502" s="1341"/>
      <c r="BN1502" s="1341"/>
      <c r="BO1502" s="1341"/>
      <c r="BP1502" s="1341"/>
      <c r="BQ1502" s="1341"/>
      <c r="BR1502" s="1341"/>
      <c r="BS1502" s="1341"/>
      <c r="BT1502" s="1341"/>
      <c r="BU1502" s="1341"/>
      <c r="BV1502" s="1341"/>
      <c r="BW1502" s="1341"/>
      <c r="BX1502" s="1341"/>
      <c r="BY1502" s="1341"/>
      <c r="BZ1502" s="1342"/>
      <c r="CA1502" s="265" t="s">
        <v>773</v>
      </c>
      <c r="CB1502" s="3" t="str">
        <f t="shared" si="227"/>
        <v>Riadok bude skrytý.</v>
      </c>
      <c r="CC1502" s="271" t="s">
        <v>832</v>
      </c>
      <c r="CD1502" s="4"/>
      <c r="CW1502" s="32">
        <f t="shared" si="231"/>
        <v>1</v>
      </c>
      <c r="CZ1502" s="30">
        <f t="shared" ref="CZ1502:CZ1565" si="232">IF(CC1502="",1,IF(CC1502="Chcem skryť riadok.",0,1))</f>
        <v>1</v>
      </c>
      <c r="DA1502" s="30">
        <f t="shared" si="230"/>
        <v>1</v>
      </c>
      <c r="DB1502" s="2">
        <f t="shared" si="226"/>
        <v>0</v>
      </c>
      <c r="DS1502" s="130">
        <f>SI!BY1502</f>
        <v>150</v>
      </c>
      <c r="DZ1502" s="131">
        <f>SI!BZ1502</f>
        <v>0</v>
      </c>
    </row>
    <row r="1503" spans="1:130" ht="23.3" hidden="1" customHeight="1" x14ac:dyDescent="0.25">
      <c r="A1503" s="141"/>
      <c r="B1503" s="442"/>
      <c r="C1503" s="443"/>
      <c r="D1503" s="443"/>
      <c r="E1503" s="443"/>
      <c r="F1503" s="443"/>
      <c r="G1503" s="443"/>
      <c r="H1503" s="443"/>
      <c r="I1503" s="443"/>
      <c r="J1503" s="443"/>
      <c r="K1503" s="443"/>
      <c r="L1503" s="443"/>
      <c r="M1503" s="443"/>
      <c r="N1503" s="443"/>
      <c r="O1503" s="443"/>
      <c r="P1503" s="443"/>
      <c r="Q1503" s="443"/>
      <c r="R1503" s="443"/>
      <c r="S1503" s="443"/>
      <c r="T1503" s="443"/>
      <c r="U1503" s="444"/>
      <c r="V1503" s="495">
        <f>+AJ141</f>
        <v>2021</v>
      </c>
      <c r="W1503" s="496"/>
      <c r="X1503" s="496"/>
      <c r="Y1503" s="496"/>
      <c r="Z1503" s="496"/>
      <c r="AA1503" s="496"/>
      <c r="AB1503" s="496"/>
      <c r="AC1503" s="496"/>
      <c r="AD1503" s="496"/>
      <c r="AE1503" s="496"/>
      <c r="AF1503" s="496"/>
      <c r="AG1503" s="496"/>
      <c r="AH1503" s="496"/>
      <c r="AI1503" s="496"/>
      <c r="AJ1503" s="496"/>
      <c r="AK1503" s="496"/>
      <c r="AL1503" s="496"/>
      <c r="AM1503" s="497"/>
      <c r="AN1503" s="495">
        <f>+BE141</f>
        <v>2020</v>
      </c>
      <c r="AO1503" s="496"/>
      <c r="AP1503" s="496"/>
      <c r="AQ1503" s="496"/>
      <c r="AR1503" s="496"/>
      <c r="AS1503" s="496"/>
      <c r="AT1503" s="496"/>
      <c r="AU1503" s="496"/>
      <c r="AV1503" s="496"/>
      <c r="AW1503" s="496"/>
      <c r="AX1503" s="496"/>
      <c r="AY1503" s="496"/>
      <c r="AZ1503" s="496"/>
      <c r="BA1503" s="496"/>
      <c r="BB1503" s="496"/>
      <c r="BC1503" s="496"/>
      <c r="BD1503" s="496"/>
      <c r="BE1503" s="497"/>
      <c r="BF1503" s="1904"/>
      <c r="BG1503" s="1905"/>
      <c r="BH1503" s="1905"/>
      <c r="BI1503" s="1905"/>
      <c r="BJ1503" s="1905"/>
      <c r="BK1503" s="1905"/>
      <c r="BL1503" s="1905"/>
      <c r="BM1503" s="1905"/>
      <c r="BN1503" s="1905"/>
      <c r="BO1503" s="1905"/>
      <c r="BP1503" s="1905"/>
      <c r="BQ1503" s="1905"/>
      <c r="BR1503" s="1905"/>
      <c r="BS1503" s="1905"/>
      <c r="BT1503" s="1905"/>
      <c r="BU1503" s="1905"/>
      <c r="BV1503" s="1905"/>
      <c r="BW1503" s="1905"/>
      <c r="BX1503" s="1905"/>
      <c r="BY1503" s="1905"/>
      <c r="BZ1503" s="1906"/>
      <c r="CA1503" s="270"/>
      <c r="CB1503" s="3" t="str">
        <f t="shared" si="227"/>
        <v>Riadok bude skrytý.</v>
      </c>
      <c r="CC1503" s="271" t="s">
        <v>832</v>
      </c>
      <c r="CW1503" s="32">
        <f t="shared" si="231"/>
        <v>1</v>
      </c>
      <c r="CZ1503" s="30">
        <f t="shared" si="232"/>
        <v>1</v>
      </c>
      <c r="DA1503" s="30">
        <f t="shared" si="230"/>
        <v>1</v>
      </c>
      <c r="DB1503" s="2">
        <f t="shared" si="226"/>
        <v>0</v>
      </c>
      <c r="DS1503" s="130">
        <f>SI!BY1503</f>
        <v>137</v>
      </c>
      <c r="DZ1503" s="131">
        <f>SI!BZ1503</f>
        <v>0</v>
      </c>
    </row>
    <row r="1504" spans="1:130" hidden="1" x14ac:dyDescent="0.25">
      <c r="A1504" s="141"/>
      <c r="B1504" s="524" t="s">
        <v>0</v>
      </c>
      <c r="C1504" s="525"/>
      <c r="D1504" s="525"/>
      <c r="E1504" s="525"/>
      <c r="F1504" s="525"/>
      <c r="G1504" s="525"/>
      <c r="H1504" s="525"/>
      <c r="I1504" s="525"/>
      <c r="J1504" s="525"/>
      <c r="K1504" s="525"/>
      <c r="L1504" s="525"/>
      <c r="M1504" s="525"/>
      <c r="N1504" s="525"/>
      <c r="O1504" s="525"/>
      <c r="P1504" s="525"/>
      <c r="Q1504" s="525"/>
      <c r="R1504" s="525"/>
      <c r="S1504" s="525"/>
      <c r="T1504" s="525"/>
      <c r="U1504" s="723"/>
      <c r="V1504" s="524" t="s">
        <v>1</v>
      </c>
      <c r="W1504" s="525"/>
      <c r="X1504" s="525"/>
      <c r="Y1504" s="525"/>
      <c r="Z1504" s="525"/>
      <c r="AA1504" s="525"/>
      <c r="AB1504" s="525"/>
      <c r="AC1504" s="525"/>
      <c r="AD1504" s="525"/>
      <c r="AE1504" s="525"/>
      <c r="AF1504" s="525"/>
      <c r="AG1504" s="525"/>
      <c r="AH1504" s="525"/>
      <c r="AI1504" s="525"/>
      <c r="AJ1504" s="525"/>
      <c r="AK1504" s="525"/>
      <c r="AL1504" s="525"/>
      <c r="AM1504" s="723"/>
      <c r="AN1504" s="524" t="s">
        <v>2</v>
      </c>
      <c r="AO1504" s="525"/>
      <c r="AP1504" s="525"/>
      <c r="AQ1504" s="525"/>
      <c r="AR1504" s="525"/>
      <c r="AS1504" s="525"/>
      <c r="AT1504" s="525"/>
      <c r="AU1504" s="525"/>
      <c r="AV1504" s="525"/>
      <c r="AW1504" s="525"/>
      <c r="AX1504" s="525"/>
      <c r="AY1504" s="525"/>
      <c r="AZ1504" s="525"/>
      <c r="BA1504" s="525"/>
      <c r="BB1504" s="525"/>
      <c r="BC1504" s="525"/>
      <c r="BD1504" s="525"/>
      <c r="BE1504" s="723"/>
      <c r="BF1504" s="524" t="s">
        <v>28</v>
      </c>
      <c r="BG1504" s="525"/>
      <c r="BH1504" s="525"/>
      <c r="BI1504" s="525"/>
      <c r="BJ1504" s="525"/>
      <c r="BK1504" s="525"/>
      <c r="BL1504" s="525"/>
      <c r="BM1504" s="525"/>
      <c r="BN1504" s="525"/>
      <c r="BO1504" s="525"/>
      <c r="BP1504" s="525"/>
      <c r="BQ1504" s="525"/>
      <c r="BR1504" s="525"/>
      <c r="BS1504" s="525"/>
      <c r="BT1504" s="525"/>
      <c r="BU1504" s="525"/>
      <c r="BV1504" s="525"/>
      <c r="BW1504" s="525"/>
      <c r="BX1504" s="525"/>
      <c r="BY1504" s="525"/>
      <c r="BZ1504" s="723"/>
      <c r="CA1504" s="270"/>
      <c r="CB1504" s="3" t="str">
        <f t="shared" si="227"/>
        <v>Riadok bude skrytý.</v>
      </c>
      <c r="CC1504" s="271" t="s">
        <v>832</v>
      </c>
      <c r="CW1504" s="32">
        <f t="shared" si="231"/>
        <v>1</v>
      </c>
      <c r="CZ1504" s="30">
        <f t="shared" si="232"/>
        <v>1</v>
      </c>
      <c r="DA1504" s="30">
        <f t="shared" si="230"/>
        <v>1</v>
      </c>
      <c r="DB1504" s="2">
        <f t="shared" si="226"/>
        <v>0</v>
      </c>
      <c r="DS1504" s="130">
        <f>SI!BY1504</f>
        <v>135</v>
      </c>
      <c r="DZ1504" s="131">
        <f>SI!BZ1504</f>
        <v>0</v>
      </c>
    </row>
    <row r="1505" spans="1:132" ht="36.700000000000003" hidden="1" customHeight="1" x14ac:dyDescent="0.25">
      <c r="A1505" s="141"/>
      <c r="B1505" s="1925" t="s">
        <v>183</v>
      </c>
      <c r="C1505" s="1926"/>
      <c r="D1505" s="1926"/>
      <c r="E1505" s="1926"/>
      <c r="F1505" s="1926"/>
      <c r="G1505" s="1926"/>
      <c r="H1505" s="1926"/>
      <c r="I1505" s="1926"/>
      <c r="J1505" s="1926"/>
      <c r="K1505" s="1926"/>
      <c r="L1505" s="1926"/>
      <c r="M1505" s="1926"/>
      <c r="N1505" s="1926"/>
      <c r="O1505" s="1926"/>
      <c r="P1505" s="1926"/>
      <c r="Q1505" s="1926"/>
      <c r="R1505" s="1926"/>
      <c r="S1505" s="1926"/>
      <c r="T1505" s="1926"/>
      <c r="U1505" s="1926"/>
      <c r="V1505" s="417"/>
      <c r="W1505" s="418"/>
      <c r="X1505" s="418"/>
      <c r="Y1505" s="418"/>
      <c r="Z1505" s="418"/>
      <c r="AA1505" s="418"/>
      <c r="AB1505" s="418"/>
      <c r="AC1505" s="418"/>
      <c r="AD1505" s="418"/>
      <c r="AE1505" s="418"/>
      <c r="AF1505" s="418"/>
      <c r="AG1505" s="418"/>
      <c r="AH1505" s="418"/>
      <c r="AI1505" s="418"/>
      <c r="AJ1505" s="418"/>
      <c r="AK1505" s="418"/>
      <c r="AL1505" s="418"/>
      <c r="AM1505" s="419"/>
      <c r="AN1505" s="417"/>
      <c r="AO1505" s="418"/>
      <c r="AP1505" s="418"/>
      <c r="AQ1505" s="418"/>
      <c r="AR1505" s="418"/>
      <c r="AS1505" s="418"/>
      <c r="AT1505" s="418"/>
      <c r="AU1505" s="418"/>
      <c r="AV1505" s="418"/>
      <c r="AW1505" s="418"/>
      <c r="AX1505" s="418"/>
      <c r="AY1505" s="418"/>
      <c r="AZ1505" s="418"/>
      <c r="BA1505" s="418"/>
      <c r="BB1505" s="418"/>
      <c r="BC1505" s="418"/>
      <c r="BD1505" s="418"/>
      <c r="BE1505" s="419"/>
      <c r="BF1505" s="1228"/>
      <c r="BG1505" s="503"/>
      <c r="BH1505" s="503"/>
      <c r="BI1505" s="503"/>
      <c r="BJ1505" s="503"/>
      <c r="BK1505" s="503"/>
      <c r="BL1505" s="503"/>
      <c r="BM1505" s="503"/>
      <c r="BN1505" s="503"/>
      <c r="BO1505" s="503"/>
      <c r="BP1505" s="503"/>
      <c r="BQ1505" s="503"/>
      <c r="BR1505" s="503"/>
      <c r="BS1505" s="503"/>
      <c r="BT1505" s="503"/>
      <c r="BU1505" s="503"/>
      <c r="BV1505" s="503"/>
      <c r="BW1505" s="503"/>
      <c r="BX1505" s="503"/>
      <c r="BY1505" s="503"/>
      <c r="BZ1505" s="504"/>
      <c r="CA1505" s="270"/>
      <c r="CB1505" s="3" t="str">
        <f t="shared" si="227"/>
        <v>Riadok bude skrytý.</v>
      </c>
      <c r="CC1505" s="271" t="s">
        <v>832</v>
      </c>
      <c r="CW1505" s="32">
        <f t="shared" si="231"/>
        <v>1</v>
      </c>
      <c r="CZ1505" s="30">
        <f t="shared" si="232"/>
        <v>1</v>
      </c>
      <c r="DA1505" s="30">
        <f t="shared" si="230"/>
        <v>1</v>
      </c>
      <c r="DB1505" s="2">
        <f t="shared" si="226"/>
        <v>0</v>
      </c>
      <c r="DS1505" s="130">
        <f>SI!BY1505</f>
        <v>140</v>
      </c>
      <c r="DZ1505" s="131">
        <f>SI!BZ1505</f>
        <v>0</v>
      </c>
    </row>
    <row r="1506" spans="1:132" ht="36.700000000000003" hidden="1" customHeight="1" x14ac:dyDescent="0.25">
      <c r="A1506" s="141"/>
      <c r="B1506" s="624" t="s">
        <v>184</v>
      </c>
      <c r="C1506" s="625"/>
      <c r="D1506" s="625"/>
      <c r="E1506" s="625"/>
      <c r="F1506" s="625"/>
      <c r="G1506" s="625"/>
      <c r="H1506" s="625"/>
      <c r="I1506" s="625"/>
      <c r="J1506" s="625"/>
      <c r="K1506" s="625"/>
      <c r="L1506" s="625"/>
      <c r="M1506" s="625"/>
      <c r="N1506" s="625"/>
      <c r="O1506" s="625"/>
      <c r="P1506" s="625"/>
      <c r="Q1506" s="625"/>
      <c r="R1506" s="625"/>
      <c r="S1506" s="625"/>
      <c r="T1506" s="625"/>
      <c r="U1506" s="625"/>
      <c r="V1506" s="1164"/>
      <c r="W1506" s="1165"/>
      <c r="X1506" s="1165"/>
      <c r="Y1506" s="1165"/>
      <c r="Z1506" s="1165"/>
      <c r="AA1506" s="1165"/>
      <c r="AB1506" s="1165"/>
      <c r="AC1506" s="1165"/>
      <c r="AD1506" s="1165"/>
      <c r="AE1506" s="1165"/>
      <c r="AF1506" s="1165"/>
      <c r="AG1506" s="1165"/>
      <c r="AH1506" s="1165"/>
      <c r="AI1506" s="1165"/>
      <c r="AJ1506" s="1165"/>
      <c r="AK1506" s="1165"/>
      <c r="AL1506" s="1165"/>
      <c r="AM1506" s="1166"/>
      <c r="AN1506" s="1164"/>
      <c r="AO1506" s="1165"/>
      <c r="AP1506" s="1165"/>
      <c r="AQ1506" s="1165"/>
      <c r="AR1506" s="1165"/>
      <c r="AS1506" s="1165"/>
      <c r="AT1506" s="1165"/>
      <c r="AU1506" s="1165"/>
      <c r="AV1506" s="1165"/>
      <c r="AW1506" s="1165"/>
      <c r="AX1506" s="1165"/>
      <c r="AY1506" s="1165"/>
      <c r="AZ1506" s="1165"/>
      <c r="BA1506" s="1165"/>
      <c r="BB1506" s="1165"/>
      <c r="BC1506" s="1165"/>
      <c r="BD1506" s="1165"/>
      <c r="BE1506" s="1166"/>
      <c r="BF1506" s="1911"/>
      <c r="BG1506" s="1912"/>
      <c r="BH1506" s="1912"/>
      <c r="BI1506" s="1912"/>
      <c r="BJ1506" s="1912"/>
      <c r="BK1506" s="1912"/>
      <c r="BL1506" s="1912"/>
      <c r="BM1506" s="1912"/>
      <c r="BN1506" s="1912"/>
      <c r="BO1506" s="1912"/>
      <c r="BP1506" s="1912"/>
      <c r="BQ1506" s="1912"/>
      <c r="BR1506" s="1912"/>
      <c r="BS1506" s="1912"/>
      <c r="BT1506" s="1912"/>
      <c r="BU1506" s="1912"/>
      <c r="BV1506" s="1912"/>
      <c r="BW1506" s="1912"/>
      <c r="BX1506" s="1912"/>
      <c r="BY1506" s="1912"/>
      <c r="BZ1506" s="1913"/>
      <c r="CA1506" s="270"/>
      <c r="CB1506" s="3" t="str">
        <f t="shared" si="227"/>
        <v>Riadok bude skrytý.</v>
      </c>
      <c r="CC1506" s="271" t="s">
        <v>832</v>
      </c>
      <c r="CW1506" s="32">
        <f t="shared" si="231"/>
        <v>1</v>
      </c>
      <c r="CZ1506" s="30">
        <f t="shared" si="232"/>
        <v>1</v>
      </c>
      <c r="DA1506" s="30">
        <f t="shared" si="230"/>
        <v>1</v>
      </c>
      <c r="DB1506" s="2">
        <f t="shared" si="226"/>
        <v>0</v>
      </c>
      <c r="DS1506" s="130">
        <f>SI!BY1506</f>
        <v>132</v>
      </c>
      <c r="DZ1506" s="131">
        <f>SI!BZ1506</f>
        <v>0</v>
      </c>
    </row>
    <row r="1507" spans="1:132" hidden="1" x14ac:dyDescent="0.25">
      <c r="A1507" s="141"/>
      <c r="B1507" s="401" t="s">
        <v>176</v>
      </c>
      <c r="C1507" s="402"/>
      <c r="D1507" s="402"/>
      <c r="E1507" s="402"/>
      <c r="F1507" s="402"/>
      <c r="G1507" s="402"/>
      <c r="H1507" s="402"/>
      <c r="I1507" s="402"/>
      <c r="J1507" s="402"/>
      <c r="K1507" s="402"/>
      <c r="L1507" s="402"/>
      <c r="M1507" s="402"/>
      <c r="N1507" s="402"/>
      <c r="O1507" s="402"/>
      <c r="P1507" s="402"/>
      <c r="Q1507" s="402"/>
      <c r="R1507" s="402"/>
      <c r="S1507" s="402"/>
      <c r="T1507" s="402"/>
      <c r="U1507" s="776"/>
      <c r="V1507" s="1152">
        <f>+V1505-V1506</f>
        <v>0</v>
      </c>
      <c r="W1507" s="1153"/>
      <c r="X1507" s="1153"/>
      <c r="Y1507" s="1153"/>
      <c r="Z1507" s="1153"/>
      <c r="AA1507" s="1153"/>
      <c r="AB1507" s="1153"/>
      <c r="AC1507" s="1153"/>
      <c r="AD1507" s="1153"/>
      <c r="AE1507" s="1153"/>
      <c r="AF1507" s="1153"/>
      <c r="AG1507" s="1153"/>
      <c r="AH1507" s="1153"/>
      <c r="AI1507" s="1153"/>
      <c r="AJ1507" s="1153"/>
      <c r="AK1507" s="1153"/>
      <c r="AL1507" s="1153"/>
      <c r="AM1507" s="1154"/>
      <c r="AN1507" s="1152">
        <f>+AN1505-AN1506</f>
        <v>0</v>
      </c>
      <c r="AO1507" s="1153"/>
      <c r="AP1507" s="1153"/>
      <c r="AQ1507" s="1153"/>
      <c r="AR1507" s="1153"/>
      <c r="AS1507" s="1153"/>
      <c r="AT1507" s="1153"/>
      <c r="AU1507" s="1153"/>
      <c r="AV1507" s="1153"/>
      <c r="AW1507" s="1153"/>
      <c r="AX1507" s="1153"/>
      <c r="AY1507" s="1153"/>
      <c r="AZ1507" s="1153"/>
      <c r="BA1507" s="1153"/>
      <c r="BB1507" s="1153"/>
      <c r="BC1507" s="1153"/>
      <c r="BD1507" s="1153"/>
      <c r="BE1507" s="1154"/>
      <c r="BF1507" s="1152">
        <f>+BF1505-BF1506</f>
        <v>0</v>
      </c>
      <c r="BG1507" s="1153"/>
      <c r="BH1507" s="1153"/>
      <c r="BI1507" s="1153"/>
      <c r="BJ1507" s="1153"/>
      <c r="BK1507" s="1153"/>
      <c r="BL1507" s="1153"/>
      <c r="BM1507" s="1153"/>
      <c r="BN1507" s="1153"/>
      <c r="BO1507" s="1153"/>
      <c r="BP1507" s="1153"/>
      <c r="BQ1507" s="1153"/>
      <c r="BR1507" s="1153"/>
      <c r="BS1507" s="1153"/>
      <c r="BT1507" s="1153"/>
      <c r="BU1507" s="1153"/>
      <c r="BV1507" s="1153"/>
      <c r="BW1507" s="1153"/>
      <c r="BX1507" s="1153"/>
      <c r="BY1507" s="1153"/>
      <c r="BZ1507" s="1154"/>
      <c r="CA1507" s="270"/>
      <c r="CB1507" s="3" t="str">
        <f t="shared" si="227"/>
        <v>Riadok bude skrytý.</v>
      </c>
      <c r="CC1507" s="271" t="s">
        <v>832</v>
      </c>
      <c r="CW1507" s="32">
        <f t="shared" si="231"/>
        <v>1</v>
      </c>
      <c r="CZ1507" s="30">
        <f t="shared" si="232"/>
        <v>1</v>
      </c>
      <c r="DA1507" s="30">
        <f t="shared" si="230"/>
        <v>1</v>
      </c>
      <c r="DB1507" s="2">
        <f t="shared" si="226"/>
        <v>0</v>
      </c>
      <c r="DS1507" s="130">
        <f>SI!BY1507</f>
        <v>123</v>
      </c>
      <c r="DZ1507" s="131">
        <f>SI!BZ1507</f>
        <v>0</v>
      </c>
    </row>
    <row r="1508" spans="1:132" hidden="1" x14ac:dyDescent="0.25">
      <c r="A1508" s="141"/>
      <c r="CA1508" s="270"/>
      <c r="CB1508" s="3" t="str">
        <f t="shared" si="227"/>
        <v>Riadok bude skrytý.</v>
      </c>
      <c r="CC1508" s="271" t="s">
        <v>832</v>
      </c>
      <c r="CW1508" s="32">
        <f t="shared" si="231"/>
        <v>1</v>
      </c>
      <c r="CZ1508" s="30">
        <f t="shared" si="232"/>
        <v>1</v>
      </c>
      <c r="DA1508" s="30">
        <f t="shared" si="230"/>
        <v>1</v>
      </c>
      <c r="DB1508" s="2">
        <f t="shared" si="226"/>
        <v>0</v>
      </c>
      <c r="DS1508" s="130">
        <f>SI!BY1508</f>
        <v>135</v>
      </c>
      <c r="DZ1508" s="131">
        <f>SI!BZ1508</f>
        <v>0</v>
      </c>
    </row>
    <row r="1509" spans="1:132" ht="20.25" hidden="1" customHeight="1" x14ac:dyDescent="0.25">
      <c r="A1509" s="141"/>
      <c r="B1509" s="439" t="s">
        <v>186</v>
      </c>
      <c r="C1509" s="440"/>
      <c r="D1509" s="440"/>
      <c r="E1509" s="440"/>
      <c r="F1509" s="440"/>
      <c r="G1509" s="440"/>
      <c r="H1509" s="440"/>
      <c r="I1509" s="440"/>
      <c r="J1509" s="440"/>
      <c r="K1509" s="440"/>
      <c r="L1509" s="440"/>
      <c r="M1509" s="440"/>
      <c r="N1509" s="440"/>
      <c r="O1509" s="440"/>
      <c r="P1509" s="440"/>
      <c r="Q1509" s="440"/>
      <c r="R1509" s="440"/>
      <c r="S1509" s="440"/>
      <c r="T1509" s="440"/>
      <c r="U1509" s="440"/>
      <c r="V1509" s="440"/>
      <c r="W1509" s="440"/>
      <c r="X1509" s="440"/>
      <c r="Y1509" s="440"/>
      <c r="Z1509" s="440"/>
      <c r="AA1509" s="441"/>
      <c r="AB1509" s="659" t="s">
        <v>172</v>
      </c>
      <c r="AC1509" s="660"/>
      <c r="AD1509" s="660"/>
      <c r="AE1509" s="660"/>
      <c r="AF1509" s="660"/>
      <c r="AG1509" s="660"/>
      <c r="AH1509" s="660"/>
      <c r="AI1509" s="660"/>
      <c r="AJ1509" s="660"/>
      <c r="AK1509" s="660"/>
      <c r="AL1509" s="660"/>
      <c r="AM1509" s="660"/>
      <c r="AN1509" s="660"/>
      <c r="AO1509" s="660"/>
      <c r="AP1509" s="660"/>
      <c r="AQ1509" s="660"/>
      <c r="AR1509" s="660"/>
      <c r="AS1509" s="660"/>
      <c r="AT1509" s="660"/>
      <c r="AU1509" s="660"/>
      <c r="AV1509" s="660"/>
      <c r="AW1509" s="660"/>
      <c r="AX1509" s="660"/>
      <c r="AY1509" s="660"/>
      <c r="AZ1509" s="1914"/>
      <c r="BA1509" s="605" t="s">
        <v>185</v>
      </c>
      <c r="BB1509" s="606"/>
      <c r="BC1509" s="606"/>
      <c r="BD1509" s="606"/>
      <c r="BE1509" s="606"/>
      <c r="BF1509" s="606"/>
      <c r="BG1509" s="606"/>
      <c r="BH1509" s="606"/>
      <c r="BI1509" s="606"/>
      <c r="BJ1509" s="606"/>
      <c r="BK1509" s="606"/>
      <c r="BL1509" s="606"/>
      <c r="BM1509" s="606"/>
      <c r="BN1509" s="606"/>
      <c r="BO1509" s="606"/>
      <c r="BP1509" s="606"/>
      <c r="BQ1509" s="606"/>
      <c r="BR1509" s="606"/>
      <c r="BS1509" s="606"/>
      <c r="BT1509" s="606"/>
      <c r="BU1509" s="606"/>
      <c r="BV1509" s="606"/>
      <c r="BW1509" s="606"/>
      <c r="BX1509" s="606"/>
      <c r="BY1509" s="606"/>
      <c r="BZ1509" s="607"/>
      <c r="CA1509" s="265" t="s">
        <v>773</v>
      </c>
      <c r="CB1509" s="3" t="str">
        <f t="shared" si="227"/>
        <v>Riadok bude skrytý.</v>
      </c>
      <c r="CC1509" s="271" t="s">
        <v>832</v>
      </c>
      <c r="CD1509" s="4"/>
      <c r="CW1509" s="32">
        <f t="shared" si="231"/>
        <v>1</v>
      </c>
      <c r="CZ1509" s="30">
        <f t="shared" si="232"/>
        <v>1</v>
      </c>
      <c r="DA1509" s="30">
        <f t="shared" si="230"/>
        <v>1</v>
      </c>
      <c r="DB1509" s="2">
        <f t="shared" si="226"/>
        <v>0</v>
      </c>
      <c r="DS1509" s="130">
        <f>SI!BY1509</f>
        <v>123</v>
      </c>
      <c r="DZ1509" s="131">
        <f>SI!BZ1509</f>
        <v>0</v>
      </c>
    </row>
    <row r="1510" spans="1:132" ht="20.25" hidden="1" customHeight="1" x14ac:dyDescent="0.25">
      <c r="A1510" s="141"/>
      <c r="B1510" s="442"/>
      <c r="C1510" s="443"/>
      <c r="D1510" s="443"/>
      <c r="E1510" s="443"/>
      <c r="F1510" s="443"/>
      <c r="G1510" s="443"/>
      <c r="H1510" s="443"/>
      <c r="I1510" s="443"/>
      <c r="J1510" s="443"/>
      <c r="K1510" s="443"/>
      <c r="L1510" s="443"/>
      <c r="M1510" s="443"/>
      <c r="N1510" s="443"/>
      <c r="O1510" s="443"/>
      <c r="P1510" s="443"/>
      <c r="Q1510" s="443"/>
      <c r="R1510" s="443"/>
      <c r="S1510" s="443"/>
      <c r="T1510" s="443"/>
      <c r="U1510" s="443"/>
      <c r="V1510" s="443"/>
      <c r="W1510" s="443"/>
      <c r="X1510" s="443"/>
      <c r="Y1510" s="443"/>
      <c r="Z1510" s="443"/>
      <c r="AA1510" s="444"/>
      <c r="AB1510" s="639">
        <f>+AJ141</f>
        <v>2021</v>
      </c>
      <c r="AC1510" s="640"/>
      <c r="AD1510" s="640"/>
      <c r="AE1510" s="640"/>
      <c r="AF1510" s="640"/>
      <c r="AG1510" s="640"/>
      <c r="AH1510" s="640"/>
      <c r="AI1510" s="640"/>
      <c r="AJ1510" s="640"/>
      <c r="AK1510" s="640"/>
      <c r="AL1510" s="640"/>
      <c r="AM1510" s="640"/>
      <c r="AN1510" s="640"/>
      <c r="AO1510" s="640"/>
      <c r="AP1510" s="640"/>
      <c r="AQ1510" s="640"/>
      <c r="AR1510" s="640"/>
      <c r="AS1510" s="640"/>
      <c r="AT1510" s="640"/>
      <c r="AU1510" s="640"/>
      <c r="AV1510" s="640"/>
      <c r="AW1510" s="640"/>
      <c r="AX1510" s="640"/>
      <c r="AY1510" s="640"/>
      <c r="AZ1510" s="641"/>
      <c r="BA1510" s="608"/>
      <c r="BB1510" s="609"/>
      <c r="BC1510" s="609"/>
      <c r="BD1510" s="609"/>
      <c r="BE1510" s="609"/>
      <c r="BF1510" s="609"/>
      <c r="BG1510" s="609"/>
      <c r="BH1510" s="609"/>
      <c r="BI1510" s="609"/>
      <c r="BJ1510" s="609"/>
      <c r="BK1510" s="609"/>
      <c r="BL1510" s="609"/>
      <c r="BM1510" s="609"/>
      <c r="BN1510" s="609"/>
      <c r="BO1510" s="609"/>
      <c r="BP1510" s="609"/>
      <c r="BQ1510" s="609"/>
      <c r="BR1510" s="609"/>
      <c r="BS1510" s="609"/>
      <c r="BT1510" s="609"/>
      <c r="BU1510" s="609"/>
      <c r="BV1510" s="609"/>
      <c r="BW1510" s="609"/>
      <c r="BX1510" s="609"/>
      <c r="BY1510" s="609"/>
      <c r="BZ1510" s="610"/>
      <c r="CA1510" s="270"/>
      <c r="CB1510" s="3" t="str">
        <f t="shared" si="227"/>
        <v>Riadok bude skrytý.</v>
      </c>
      <c r="CC1510" s="271" t="s">
        <v>832</v>
      </c>
      <c r="CW1510" s="32">
        <f t="shared" si="231"/>
        <v>1</v>
      </c>
      <c r="CZ1510" s="30">
        <f t="shared" si="232"/>
        <v>1</v>
      </c>
      <c r="DA1510" s="30">
        <f t="shared" si="230"/>
        <v>1</v>
      </c>
      <c r="DB1510" s="2">
        <f t="shared" si="226"/>
        <v>0</v>
      </c>
      <c r="DS1510" s="130">
        <f>SI!BY1510</f>
        <v>170</v>
      </c>
      <c r="DZ1510" s="131">
        <f>SI!BZ1510</f>
        <v>0</v>
      </c>
    </row>
    <row r="1511" spans="1:132" s="6" customFormat="1" hidden="1" x14ac:dyDescent="0.25">
      <c r="A1511" s="226"/>
      <c r="B1511" s="524" t="s">
        <v>0</v>
      </c>
      <c r="C1511" s="525"/>
      <c r="D1511" s="525"/>
      <c r="E1511" s="525"/>
      <c r="F1511" s="525"/>
      <c r="G1511" s="525"/>
      <c r="H1511" s="525"/>
      <c r="I1511" s="525"/>
      <c r="J1511" s="525"/>
      <c r="K1511" s="525"/>
      <c r="L1511" s="525"/>
      <c r="M1511" s="525"/>
      <c r="N1511" s="525"/>
      <c r="O1511" s="525"/>
      <c r="P1511" s="525"/>
      <c r="Q1511" s="525"/>
      <c r="R1511" s="525"/>
      <c r="S1511" s="525"/>
      <c r="T1511" s="525"/>
      <c r="U1511" s="525"/>
      <c r="V1511" s="525"/>
      <c r="W1511" s="525"/>
      <c r="X1511" s="525"/>
      <c r="Y1511" s="525"/>
      <c r="Z1511" s="525"/>
      <c r="AA1511" s="723"/>
      <c r="AB1511" s="524" t="s">
        <v>1</v>
      </c>
      <c r="AC1511" s="525"/>
      <c r="AD1511" s="525"/>
      <c r="AE1511" s="525"/>
      <c r="AF1511" s="525"/>
      <c r="AG1511" s="525"/>
      <c r="AH1511" s="525"/>
      <c r="AI1511" s="525"/>
      <c r="AJ1511" s="525"/>
      <c r="AK1511" s="525"/>
      <c r="AL1511" s="525"/>
      <c r="AM1511" s="525"/>
      <c r="AN1511" s="525"/>
      <c r="AO1511" s="525"/>
      <c r="AP1511" s="525"/>
      <c r="AQ1511" s="525"/>
      <c r="AR1511" s="525"/>
      <c r="AS1511" s="525"/>
      <c r="AT1511" s="525"/>
      <c r="AU1511" s="525"/>
      <c r="AV1511" s="525"/>
      <c r="AW1511" s="525"/>
      <c r="AX1511" s="525"/>
      <c r="AY1511" s="525"/>
      <c r="AZ1511" s="723"/>
      <c r="BA1511" s="524" t="s">
        <v>2</v>
      </c>
      <c r="BB1511" s="525"/>
      <c r="BC1511" s="525"/>
      <c r="BD1511" s="525"/>
      <c r="BE1511" s="525"/>
      <c r="BF1511" s="525"/>
      <c r="BG1511" s="525"/>
      <c r="BH1511" s="525"/>
      <c r="BI1511" s="525"/>
      <c r="BJ1511" s="525"/>
      <c r="BK1511" s="525"/>
      <c r="BL1511" s="525"/>
      <c r="BM1511" s="525"/>
      <c r="BN1511" s="525"/>
      <c r="BO1511" s="525"/>
      <c r="BP1511" s="525"/>
      <c r="BQ1511" s="525"/>
      <c r="BR1511" s="525"/>
      <c r="BS1511" s="525"/>
      <c r="BT1511" s="525"/>
      <c r="BU1511" s="525"/>
      <c r="BV1511" s="525"/>
      <c r="BW1511" s="525"/>
      <c r="BX1511" s="525"/>
      <c r="BY1511" s="525"/>
      <c r="BZ1511" s="723"/>
      <c r="CA1511" s="270"/>
      <c r="CB1511" s="3" t="str">
        <f t="shared" si="227"/>
        <v>Riadok bude skrytý.</v>
      </c>
      <c r="CC1511" s="271" t="s">
        <v>832</v>
      </c>
      <c r="CW1511" s="32">
        <f t="shared" si="231"/>
        <v>1</v>
      </c>
      <c r="CZ1511" s="30">
        <f t="shared" si="232"/>
        <v>1</v>
      </c>
      <c r="DA1511" s="30">
        <f t="shared" si="230"/>
        <v>1</v>
      </c>
      <c r="DB1511" s="2">
        <f t="shared" si="226"/>
        <v>0</v>
      </c>
      <c r="DR1511" s="82"/>
      <c r="DS1511" s="130">
        <f>SI!BY1511</f>
        <v>118</v>
      </c>
      <c r="DT1511" s="130"/>
      <c r="DU1511" s="130"/>
      <c r="DV1511" s="130"/>
      <c r="DW1511" s="130"/>
      <c r="DX1511" s="130"/>
      <c r="DY1511" s="130"/>
      <c r="DZ1511" s="131">
        <f>SI!BZ1511</f>
        <v>0</v>
      </c>
      <c r="EA1511" s="82"/>
      <c r="EB1511" s="82"/>
    </row>
    <row r="1512" spans="1:132" ht="36.700000000000003" hidden="1" customHeight="1" x14ac:dyDescent="0.25">
      <c r="A1512" s="141"/>
      <c r="B1512" s="1598" t="s">
        <v>187</v>
      </c>
      <c r="C1512" s="1599"/>
      <c r="D1512" s="1599"/>
      <c r="E1512" s="1599"/>
      <c r="F1512" s="1599"/>
      <c r="G1512" s="1599"/>
      <c r="H1512" s="1599"/>
      <c r="I1512" s="1599"/>
      <c r="J1512" s="1599"/>
      <c r="K1512" s="1599"/>
      <c r="L1512" s="1599"/>
      <c r="M1512" s="1599"/>
      <c r="N1512" s="1599"/>
      <c r="O1512" s="1599"/>
      <c r="P1512" s="1599"/>
      <c r="Q1512" s="1599"/>
      <c r="R1512" s="1599"/>
      <c r="S1512" s="1599"/>
      <c r="T1512" s="1599"/>
      <c r="U1512" s="1599"/>
      <c r="V1512" s="1599"/>
      <c r="W1512" s="1599"/>
      <c r="X1512" s="1599"/>
      <c r="Y1512" s="1599"/>
      <c r="Z1512" s="1599"/>
      <c r="AA1512" s="1600"/>
      <c r="AB1512" s="417"/>
      <c r="AC1512" s="418"/>
      <c r="AD1512" s="418"/>
      <c r="AE1512" s="418"/>
      <c r="AF1512" s="418"/>
      <c r="AG1512" s="418"/>
      <c r="AH1512" s="418"/>
      <c r="AI1512" s="418"/>
      <c r="AJ1512" s="418"/>
      <c r="AK1512" s="418"/>
      <c r="AL1512" s="418"/>
      <c r="AM1512" s="418"/>
      <c r="AN1512" s="418"/>
      <c r="AO1512" s="418"/>
      <c r="AP1512" s="418"/>
      <c r="AQ1512" s="418"/>
      <c r="AR1512" s="418"/>
      <c r="AS1512" s="418"/>
      <c r="AT1512" s="418"/>
      <c r="AU1512" s="418"/>
      <c r="AV1512" s="418"/>
      <c r="AW1512" s="418"/>
      <c r="AX1512" s="418"/>
      <c r="AY1512" s="418"/>
      <c r="AZ1512" s="419"/>
      <c r="BA1512" s="417"/>
      <c r="BB1512" s="418"/>
      <c r="BC1512" s="418"/>
      <c r="BD1512" s="418"/>
      <c r="BE1512" s="418"/>
      <c r="BF1512" s="418"/>
      <c r="BG1512" s="418"/>
      <c r="BH1512" s="418"/>
      <c r="BI1512" s="418"/>
      <c r="BJ1512" s="418"/>
      <c r="BK1512" s="418"/>
      <c r="BL1512" s="418"/>
      <c r="BM1512" s="418"/>
      <c r="BN1512" s="418"/>
      <c r="BO1512" s="418"/>
      <c r="BP1512" s="418"/>
      <c r="BQ1512" s="418"/>
      <c r="BR1512" s="418"/>
      <c r="BS1512" s="418"/>
      <c r="BT1512" s="418"/>
      <c r="BU1512" s="418"/>
      <c r="BV1512" s="418"/>
      <c r="BW1512" s="418"/>
      <c r="BX1512" s="418"/>
      <c r="BY1512" s="418"/>
      <c r="BZ1512" s="419"/>
      <c r="CA1512" s="270"/>
      <c r="CB1512" s="3" t="str">
        <f t="shared" si="227"/>
        <v>Riadok bude skrytý.</v>
      </c>
      <c r="CC1512" s="271" t="s">
        <v>832</v>
      </c>
      <c r="CW1512" s="32">
        <f t="shared" si="231"/>
        <v>1</v>
      </c>
      <c r="CZ1512" s="30">
        <f t="shared" si="232"/>
        <v>1</v>
      </c>
      <c r="DA1512" s="30">
        <f t="shared" si="230"/>
        <v>1</v>
      </c>
      <c r="DB1512" s="2">
        <f t="shared" ref="DB1512:DB1575" si="233">+IF($CD$1="malé",0,DA1512)</f>
        <v>0</v>
      </c>
      <c r="DS1512" s="130">
        <f>SI!BY1512</f>
        <v>160</v>
      </c>
      <c r="DZ1512" s="131">
        <f>SI!BZ1512</f>
        <v>0</v>
      </c>
    </row>
    <row r="1513" spans="1:132" ht="36.700000000000003" hidden="1" customHeight="1" x14ac:dyDescent="0.25">
      <c r="A1513" s="141"/>
      <c r="B1513" s="717" t="s">
        <v>179</v>
      </c>
      <c r="C1513" s="718"/>
      <c r="D1513" s="718"/>
      <c r="E1513" s="718"/>
      <c r="F1513" s="718"/>
      <c r="G1513" s="718"/>
      <c r="H1513" s="718"/>
      <c r="I1513" s="718"/>
      <c r="J1513" s="718"/>
      <c r="K1513" s="718"/>
      <c r="L1513" s="718"/>
      <c r="M1513" s="718"/>
      <c r="N1513" s="718"/>
      <c r="O1513" s="718"/>
      <c r="P1513" s="718"/>
      <c r="Q1513" s="718"/>
      <c r="R1513" s="718"/>
      <c r="S1513" s="718"/>
      <c r="T1513" s="718"/>
      <c r="U1513" s="718"/>
      <c r="V1513" s="718"/>
      <c r="W1513" s="718"/>
      <c r="X1513" s="718"/>
      <c r="Y1513" s="718"/>
      <c r="Z1513" s="718"/>
      <c r="AA1513" s="719"/>
      <c r="AB1513" s="511"/>
      <c r="AC1513" s="482"/>
      <c r="AD1513" s="482"/>
      <c r="AE1513" s="482"/>
      <c r="AF1513" s="482"/>
      <c r="AG1513" s="482"/>
      <c r="AH1513" s="482"/>
      <c r="AI1513" s="482"/>
      <c r="AJ1513" s="482"/>
      <c r="AK1513" s="482"/>
      <c r="AL1513" s="482"/>
      <c r="AM1513" s="482"/>
      <c r="AN1513" s="482"/>
      <c r="AO1513" s="482"/>
      <c r="AP1513" s="482"/>
      <c r="AQ1513" s="482"/>
      <c r="AR1513" s="482"/>
      <c r="AS1513" s="482"/>
      <c r="AT1513" s="482"/>
      <c r="AU1513" s="482"/>
      <c r="AV1513" s="482"/>
      <c r="AW1513" s="482"/>
      <c r="AX1513" s="482"/>
      <c r="AY1513" s="482"/>
      <c r="AZ1513" s="483"/>
      <c r="BA1513" s="511"/>
      <c r="BB1513" s="482"/>
      <c r="BC1513" s="482"/>
      <c r="BD1513" s="482"/>
      <c r="BE1513" s="482"/>
      <c r="BF1513" s="482"/>
      <c r="BG1513" s="482"/>
      <c r="BH1513" s="482"/>
      <c r="BI1513" s="482"/>
      <c r="BJ1513" s="482"/>
      <c r="BK1513" s="482"/>
      <c r="BL1513" s="482"/>
      <c r="BM1513" s="482"/>
      <c r="BN1513" s="482"/>
      <c r="BO1513" s="482"/>
      <c r="BP1513" s="482"/>
      <c r="BQ1513" s="482"/>
      <c r="BR1513" s="482"/>
      <c r="BS1513" s="482"/>
      <c r="BT1513" s="482"/>
      <c r="BU1513" s="482"/>
      <c r="BV1513" s="482"/>
      <c r="BW1513" s="482"/>
      <c r="BX1513" s="482"/>
      <c r="BY1513" s="482"/>
      <c r="BZ1513" s="483"/>
      <c r="CA1513" s="270"/>
      <c r="CB1513" s="3" t="str">
        <f t="shared" si="227"/>
        <v>Riadok bude skrytý.</v>
      </c>
      <c r="CC1513" s="271" t="s">
        <v>832</v>
      </c>
      <c r="CW1513" s="32">
        <f t="shared" si="231"/>
        <v>1</v>
      </c>
      <c r="CZ1513" s="30">
        <f t="shared" si="232"/>
        <v>1</v>
      </c>
      <c r="DA1513" s="30">
        <f t="shared" si="230"/>
        <v>1</v>
      </c>
      <c r="DB1513" s="2">
        <f t="shared" si="233"/>
        <v>0</v>
      </c>
      <c r="DS1513" s="130">
        <f>SI!BY1513</f>
        <v>108</v>
      </c>
      <c r="DZ1513" s="131">
        <f>SI!BZ1513</f>
        <v>0</v>
      </c>
    </row>
    <row r="1514" spans="1:132" ht="14.95" hidden="1" customHeight="1" x14ac:dyDescent="0.25">
      <c r="A1514" s="141"/>
      <c r="B1514" s="717" t="s">
        <v>180</v>
      </c>
      <c r="C1514" s="718"/>
      <c r="D1514" s="718"/>
      <c r="E1514" s="718"/>
      <c r="F1514" s="718"/>
      <c r="G1514" s="718"/>
      <c r="H1514" s="718"/>
      <c r="I1514" s="718"/>
      <c r="J1514" s="718"/>
      <c r="K1514" s="718"/>
      <c r="L1514" s="718"/>
      <c r="M1514" s="718"/>
      <c r="N1514" s="718"/>
      <c r="O1514" s="718"/>
      <c r="P1514" s="718"/>
      <c r="Q1514" s="718"/>
      <c r="R1514" s="718"/>
      <c r="S1514" s="718"/>
      <c r="T1514" s="718"/>
      <c r="U1514" s="718"/>
      <c r="V1514" s="718"/>
      <c r="W1514" s="718"/>
      <c r="X1514" s="718"/>
      <c r="Y1514" s="718"/>
      <c r="Z1514" s="718"/>
      <c r="AA1514" s="719"/>
      <c r="AB1514" s="511"/>
      <c r="AC1514" s="482"/>
      <c r="AD1514" s="482"/>
      <c r="AE1514" s="482"/>
      <c r="AF1514" s="482"/>
      <c r="AG1514" s="482"/>
      <c r="AH1514" s="482"/>
      <c r="AI1514" s="482"/>
      <c r="AJ1514" s="482"/>
      <c r="AK1514" s="482"/>
      <c r="AL1514" s="482"/>
      <c r="AM1514" s="482"/>
      <c r="AN1514" s="482"/>
      <c r="AO1514" s="482"/>
      <c r="AP1514" s="482"/>
      <c r="AQ1514" s="482"/>
      <c r="AR1514" s="482"/>
      <c r="AS1514" s="482"/>
      <c r="AT1514" s="482"/>
      <c r="AU1514" s="482"/>
      <c r="AV1514" s="482"/>
      <c r="AW1514" s="482"/>
      <c r="AX1514" s="482"/>
      <c r="AY1514" s="482"/>
      <c r="AZ1514" s="483"/>
      <c r="BA1514" s="511"/>
      <c r="BB1514" s="482"/>
      <c r="BC1514" s="482"/>
      <c r="BD1514" s="482"/>
      <c r="BE1514" s="482"/>
      <c r="BF1514" s="482"/>
      <c r="BG1514" s="482"/>
      <c r="BH1514" s="482"/>
      <c r="BI1514" s="482"/>
      <c r="BJ1514" s="482"/>
      <c r="BK1514" s="482"/>
      <c r="BL1514" s="482"/>
      <c r="BM1514" s="482"/>
      <c r="BN1514" s="482"/>
      <c r="BO1514" s="482"/>
      <c r="BP1514" s="482"/>
      <c r="BQ1514" s="482"/>
      <c r="BR1514" s="482"/>
      <c r="BS1514" s="482"/>
      <c r="BT1514" s="482"/>
      <c r="BU1514" s="482"/>
      <c r="BV1514" s="482"/>
      <c r="BW1514" s="482"/>
      <c r="BX1514" s="482"/>
      <c r="BY1514" s="482"/>
      <c r="BZ1514" s="483"/>
      <c r="CA1514" s="270"/>
      <c r="CB1514" s="3" t="str">
        <f t="shared" si="227"/>
        <v>Riadok bude skrytý.</v>
      </c>
      <c r="CC1514" s="271" t="s">
        <v>832</v>
      </c>
      <c r="CW1514" s="32">
        <f t="shared" si="231"/>
        <v>1</v>
      </c>
      <c r="CZ1514" s="30">
        <f t="shared" si="232"/>
        <v>1</v>
      </c>
      <c r="DA1514" s="30">
        <f t="shared" si="230"/>
        <v>1</v>
      </c>
      <c r="DB1514" s="2">
        <f t="shared" si="233"/>
        <v>0</v>
      </c>
      <c r="DS1514" s="130">
        <f>SI!BY1514</f>
        <v>123</v>
      </c>
      <c r="DZ1514" s="131">
        <f>SI!BZ1514</f>
        <v>0</v>
      </c>
    </row>
    <row r="1515" spans="1:132" ht="14.95" hidden="1" customHeight="1" x14ac:dyDescent="0.25">
      <c r="A1515" s="141"/>
      <c r="B1515" s="624" t="s">
        <v>181</v>
      </c>
      <c r="C1515" s="625"/>
      <c r="D1515" s="625"/>
      <c r="E1515" s="625"/>
      <c r="F1515" s="625"/>
      <c r="G1515" s="625"/>
      <c r="H1515" s="625"/>
      <c r="I1515" s="625"/>
      <c r="J1515" s="625"/>
      <c r="K1515" s="625"/>
      <c r="L1515" s="625"/>
      <c r="M1515" s="625"/>
      <c r="N1515" s="625"/>
      <c r="O1515" s="625"/>
      <c r="P1515" s="625"/>
      <c r="Q1515" s="625"/>
      <c r="R1515" s="625"/>
      <c r="S1515" s="625"/>
      <c r="T1515" s="625"/>
      <c r="U1515" s="625"/>
      <c r="V1515" s="625"/>
      <c r="W1515" s="625"/>
      <c r="X1515" s="625"/>
      <c r="Y1515" s="625"/>
      <c r="Z1515" s="625"/>
      <c r="AA1515" s="626"/>
      <c r="AB1515" s="454"/>
      <c r="AC1515" s="455"/>
      <c r="AD1515" s="455"/>
      <c r="AE1515" s="455"/>
      <c r="AF1515" s="455"/>
      <c r="AG1515" s="455"/>
      <c r="AH1515" s="455"/>
      <c r="AI1515" s="455"/>
      <c r="AJ1515" s="455"/>
      <c r="AK1515" s="455"/>
      <c r="AL1515" s="455"/>
      <c r="AM1515" s="455"/>
      <c r="AN1515" s="455"/>
      <c r="AO1515" s="455"/>
      <c r="AP1515" s="455"/>
      <c r="AQ1515" s="455"/>
      <c r="AR1515" s="455"/>
      <c r="AS1515" s="455"/>
      <c r="AT1515" s="455"/>
      <c r="AU1515" s="455"/>
      <c r="AV1515" s="455"/>
      <c r="AW1515" s="455"/>
      <c r="AX1515" s="455"/>
      <c r="AY1515" s="455"/>
      <c r="AZ1515" s="456"/>
      <c r="BA1515" s="454"/>
      <c r="BB1515" s="455"/>
      <c r="BC1515" s="455"/>
      <c r="BD1515" s="455"/>
      <c r="BE1515" s="455"/>
      <c r="BF1515" s="455"/>
      <c r="BG1515" s="455"/>
      <c r="BH1515" s="455"/>
      <c r="BI1515" s="455"/>
      <c r="BJ1515" s="455"/>
      <c r="BK1515" s="455"/>
      <c r="BL1515" s="455"/>
      <c r="BM1515" s="455"/>
      <c r="BN1515" s="455"/>
      <c r="BO1515" s="455"/>
      <c r="BP1515" s="455"/>
      <c r="BQ1515" s="455"/>
      <c r="BR1515" s="455"/>
      <c r="BS1515" s="455"/>
      <c r="BT1515" s="455"/>
      <c r="BU1515" s="455"/>
      <c r="BV1515" s="455"/>
      <c r="BW1515" s="455"/>
      <c r="BX1515" s="455"/>
      <c r="BY1515" s="455"/>
      <c r="BZ1515" s="456"/>
      <c r="CA1515" s="270"/>
      <c r="CB1515" s="3" t="str">
        <f t="shared" si="227"/>
        <v>Riadok bude skrytý.</v>
      </c>
      <c r="CC1515" s="271" t="s">
        <v>832</v>
      </c>
      <c r="CW1515" s="32">
        <f t="shared" si="231"/>
        <v>1</v>
      </c>
      <c r="CZ1515" s="30">
        <f t="shared" si="232"/>
        <v>1</v>
      </c>
      <c r="DA1515" s="30">
        <f t="shared" si="230"/>
        <v>1</v>
      </c>
      <c r="DB1515" s="2">
        <f t="shared" si="233"/>
        <v>0</v>
      </c>
      <c r="DS1515" s="130">
        <f>SI!BY1515</f>
        <v>132</v>
      </c>
      <c r="DZ1515" s="131">
        <f>SI!BZ1515</f>
        <v>0</v>
      </c>
    </row>
    <row r="1516" spans="1:132" hidden="1" x14ac:dyDescent="0.25">
      <c r="A1516" s="141"/>
      <c r="CA1516" s="270"/>
      <c r="CB1516" s="3" t="str">
        <f t="shared" si="227"/>
        <v>Riadok bude skrytý.</v>
      </c>
      <c r="CW1516" s="49">
        <v>1</v>
      </c>
      <c r="CZ1516" s="30">
        <f t="shared" si="232"/>
        <v>1</v>
      </c>
      <c r="DA1516" s="30">
        <f t="shared" si="230"/>
        <v>1</v>
      </c>
      <c r="DB1516" s="2">
        <f t="shared" si="233"/>
        <v>0</v>
      </c>
      <c r="DS1516" s="130">
        <f>SI!BY1516</f>
        <v>167</v>
      </c>
      <c r="DZ1516" s="131">
        <f>SI!BZ1516</f>
        <v>0</v>
      </c>
    </row>
    <row r="1517" spans="1:132" hidden="1" x14ac:dyDescent="0.25">
      <c r="A1517" s="141"/>
      <c r="B1517" s="289" t="s">
        <v>214</v>
      </c>
      <c r="C1517" s="288"/>
      <c r="D1517" s="288"/>
      <c r="E1517" s="288"/>
      <c r="F1517" s="288"/>
      <c r="G1517" s="289" t="str">
        <f>+IF($S$52&lt;&gt;"",IF((CODE(MID($S$52,1,1))/100)&lt;10,IF(COMBIN(LEN(SI!J3),2)=DS1517,"Pohľadávky","NEPOVOLENÉ POUŽITIE !"),"NEPOVOLENÉ POUŽITIE !"),"NEPOVOLENÉ POUŽITIE !")</f>
        <v>Pohľadávky</v>
      </c>
      <c r="H1517" s="289"/>
      <c r="I1517" s="288"/>
      <c r="J1517" s="288"/>
      <c r="K1517" s="288"/>
      <c r="L1517" s="288"/>
      <c r="M1517" s="288"/>
      <c r="N1517" s="288"/>
      <c r="O1517" s="288"/>
      <c r="P1517" s="288"/>
      <c r="Q1517" s="288"/>
      <c r="R1517" s="288"/>
      <c r="S1517" s="288"/>
      <c r="T1517" s="288"/>
      <c r="U1517" s="288"/>
      <c r="V1517" s="288"/>
      <c r="W1517" s="288"/>
      <c r="X1517" s="288"/>
      <c r="Y1517" s="288"/>
      <c r="Z1517" s="288"/>
      <c r="AA1517" s="288"/>
      <c r="AB1517" s="288"/>
      <c r="AC1517" s="288"/>
      <c r="AD1517" s="288"/>
      <c r="AE1517" s="288"/>
      <c r="AF1517" s="288"/>
      <c r="AG1517" s="288"/>
      <c r="AH1517" s="288"/>
      <c r="AI1517" s="288"/>
      <c r="AJ1517" s="288"/>
      <c r="AK1517" s="288"/>
      <c r="AL1517" s="288"/>
      <c r="AM1517" s="288"/>
      <c r="AN1517" s="288"/>
      <c r="AO1517" s="288"/>
      <c r="AP1517" s="288"/>
      <c r="AQ1517" s="288"/>
      <c r="AR1517" s="288"/>
      <c r="AS1517" s="288"/>
      <c r="AT1517" s="288"/>
      <c r="AU1517" s="288"/>
      <c r="AV1517" s="288"/>
      <c r="AW1517" s="288"/>
      <c r="AX1517" s="288"/>
      <c r="AY1517" s="288"/>
      <c r="AZ1517" s="288"/>
      <c r="BA1517" s="288"/>
      <c r="BB1517" s="288"/>
      <c r="BC1517" s="288"/>
      <c r="BD1517" s="288"/>
      <c r="BE1517" s="288"/>
      <c r="BF1517" s="288"/>
      <c r="BG1517" s="288"/>
      <c r="BH1517" s="288"/>
      <c r="BI1517" s="288"/>
      <c r="BJ1517" s="288"/>
      <c r="BK1517" s="288"/>
      <c r="BL1517" s="288"/>
      <c r="BM1517" s="288"/>
      <c r="BN1517" s="288"/>
      <c r="BO1517" s="288"/>
      <c r="BP1517" s="288"/>
      <c r="BQ1517" s="288"/>
      <c r="BR1517" s="288"/>
      <c r="BS1517" s="288"/>
      <c r="BT1517" s="288"/>
      <c r="BU1517" s="288"/>
      <c r="BV1517" s="288"/>
      <c r="BW1517" s="288"/>
      <c r="BX1517" s="288"/>
      <c r="BY1517" s="288"/>
      <c r="BZ1517" s="288"/>
      <c r="CA1517" s="265" t="s">
        <v>773</v>
      </c>
      <c r="CB1517" s="3" t="str">
        <f t="shared" si="227"/>
        <v>Riadok bude skrytý.</v>
      </c>
      <c r="CW1517" s="49">
        <v>1</v>
      </c>
      <c r="CZ1517" s="30">
        <f t="shared" si="232"/>
        <v>1</v>
      </c>
      <c r="DA1517" s="30">
        <f t="shared" si="230"/>
        <v>1</v>
      </c>
      <c r="DB1517" s="2">
        <f t="shared" si="233"/>
        <v>0</v>
      </c>
      <c r="DS1517" s="130">
        <f>SI!BY1517</f>
        <v>10</v>
      </c>
      <c r="DZ1517" s="131">
        <f>SI!BZ1517</f>
        <v>0</v>
      </c>
    </row>
    <row r="1518" spans="1:132" hidden="1" x14ac:dyDescent="0.25">
      <c r="A1518" s="141"/>
      <c r="CA1518" s="142"/>
      <c r="CB1518" s="3" t="str">
        <f t="shared" si="227"/>
        <v>Riadok bude skrytý.</v>
      </c>
      <c r="CW1518" s="49">
        <v>1</v>
      </c>
      <c r="CZ1518" s="30">
        <f t="shared" si="232"/>
        <v>1</v>
      </c>
      <c r="DA1518" s="30">
        <f t="shared" si="230"/>
        <v>1</v>
      </c>
      <c r="DB1518" s="2">
        <f t="shared" si="233"/>
        <v>0</v>
      </c>
      <c r="DS1518" s="130">
        <f>SI!BY1518</f>
        <v>202</v>
      </c>
      <c r="DZ1518" s="131">
        <f>SI!BZ1518</f>
        <v>0</v>
      </c>
    </row>
    <row r="1519" spans="1:132" hidden="1" x14ac:dyDescent="0.25">
      <c r="A1519" s="141"/>
      <c r="B1519" s="14" t="s">
        <v>96</v>
      </c>
      <c r="C1519" s="14"/>
      <c r="D1519" s="14"/>
      <c r="E1519" s="14"/>
      <c r="F1519" s="14"/>
      <c r="G1519" s="14"/>
      <c r="H1519" s="14"/>
      <c r="I1519" s="14"/>
      <c r="J1519" s="378" t="s">
        <v>152</v>
      </c>
      <c r="K1519" s="378"/>
      <c r="L1519" s="378"/>
      <c r="M1519" s="378"/>
      <c r="N1519" s="378"/>
      <c r="O1519" s="378"/>
      <c r="P1519" s="378"/>
      <c r="Q1519" s="378"/>
      <c r="R1519" s="378"/>
      <c r="S1519" s="137" t="str">
        <f>+IF($O$52&lt;&gt;"",IF(CODE(MID($O$52,1,1))*(IF(SI!EE1519="",1,SI!EE1519-2))+ROUNDDOWN(LEN(SI!J5)/2,0)=DS1519,"pohľadávky.","NEPOVOLENÉ POUŽITIE!"),"NEPOVOLENÉ POUŽITIE!")</f>
        <v>pohľadávky.</v>
      </c>
      <c r="T1519" s="38"/>
      <c r="CA1519" s="142"/>
      <c r="CB1519" s="3" t="str">
        <f t="shared" si="227"/>
        <v>Riadok bude skrytý.</v>
      </c>
      <c r="CC1519" s="271" t="s">
        <v>832</v>
      </c>
      <c r="CF1519" s="13"/>
      <c r="CW1519" s="49">
        <v>1</v>
      </c>
      <c r="CY1519" s="43"/>
      <c r="CZ1519" s="30">
        <f t="shared" si="232"/>
        <v>1</v>
      </c>
      <c r="DA1519" s="30">
        <f t="shared" si="230"/>
        <v>1</v>
      </c>
      <c r="DB1519" s="2">
        <f t="shared" si="233"/>
        <v>0</v>
      </c>
      <c r="DS1519" s="130">
        <f>SI!BY1519</f>
        <v>7</v>
      </c>
      <c r="DZ1519" s="131">
        <f>SI!BZ1519</f>
        <v>0</v>
      </c>
    </row>
    <row r="1520" spans="1:132" hidden="1" x14ac:dyDescent="0.25">
      <c r="A1520" s="141"/>
      <c r="B1520" s="137" t="str">
        <f>+IF($I$52&lt;&gt;"",IF((ROUNDDOWN(CODE(MID($I$52,1,1))*3,0)+DAY(36167))*(IF(SI!EE1520="",1,SI!EE1520-2))+(2*LEN(SI!J3))=DS1520,IF(J1519="neeviduje","Spoločnosť nemá pre túto časť poznámok obsahovú náplň.","K pohľadávkám Spoločnosť uvádza nasledujúce informácie:"),"NEPOVOLENÉ POUŽITIE!"),"NEPOVOLENÉ POUŽITIE!")</f>
        <v>K pohľadávkám Spoločnosť uvádza nasledujúce informácie:</v>
      </c>
      <c r="CA1520" s="142"/>
      <c r="CB1520" s="3" t="str">
        <f t="shared" si="227"/>
        <v>Riadok bude skrytý.</v>
      </c>
      <c r="CC1520" s="271" t="s">
        <v>832</v>
      </c>
      <c r="CW1520" s="30">
        <f>+IF($J$1519="neeviduje",1,1)</f>
        <v>1</v>
      </c>
      <c r="CZ1520" s="30">
        <f t="shared" si="232"/>
        <v>1</v>
      </c>
      <c r="DA1520" s="30">
        <f t="shared" si="230"/>
        <v>1</v>
      </c>
      <c r="DB1520" s="2">
        <f t="shared" si="233"/>
        <v>0</v>
      </c>
      <c r="DS1520" s="130">
        <f>SI!BY1520</f>
        <v>10</v>
      </c>
      <c r="DZ1520" s="131">
        <f>SI!BZ1520</f>
        <v>0</v>
      </c>
    </row>
    <row r="1521" spans="1:130" hidden="1" x14ac:dyDescent="0.25">
      <c r="A1521" s="141"/>
      <c r="B1521" s="379"/>
      <c r="C1521" s="379"/>
      <c r="D1521" s="379"/>
      <c r="E1521" s="379"/>
      <c r="F1521" s="379"/>
      <c r="G1521" s="379"/>
      <c r="H1521" s="379"/>
      <c r="I1521" s="379"/>
      <c r="J1521" s="379"/>
      <c r="K1521" s="379"/>
      <c r="L1521" s="379"/>
      <c r="M1521" s="379"/>
      <c r="N1521" s="379"/>
      <c r="O1521" s="379"/>
      <c r="P1521" s="379"/>
      <c r="Q1521" s="379"/>
      <c r="R1521" s="379"/>
      <c r="S1521" s="379"/>
      <c r="T1521" s="379"/>
      <c r="U1521" s="379"/>
      <c r="V1521" s="379"/>
      <c r="W1521" s="379"/>
      <c r="X1521" s="379"/>
      <c r="Y1521" s="379"/>
      <c r="Z1521" s="379"/>
      <c r="AA1521" s="379"/>
      <c r="AB1521" s="379"/>
      <c r="AC1521" s="379"/>
      <c r="AD1521" s="379"/>
      <c r="AE1521" s="379"/>
      <c r="AF1521" s="379"/>
      <c r="AG1521" s="379"/>
      <c r="AH1521" s="379"/>
      <c r="AI1521" s="379"/>
      <c r="AJ1521" s="379"/>
      <c r="AK1521" s="379"/>
      <c r="AL1521" s="379"/>
      <c r="AM1521" s="379"/>
      <c r="AN1521" s="379"/>
      <c r="AO1521" s="379"/>
      <c r="AP1521" s="379"/>
      <c r="AQ1521" s="379"/>
      <c r="AR1521" s="379"/>
      <c r="AS1521" s="379"/>
      <c r="AT1521" s="379"/>
      <c r="AU1521" s="379"/>
      <c r="AV1521" s="379"/>
      <c r="AW1521" s="379"/>
      <c r="AX1521" s="379"/>
      <c r="AY1521" s="379"/>
      <c r="AZ1521" s="379"/>
      <c r="BA1521" s="379"/>
      <c r="BB1521" s="379"/>
      <c r="BC1521" s="379"/>
      <c r="BD1521" s="379"/>
      <c r="BE1521" s="379"/>
      <c r="BF1521" s="379"/>
      <c r="BG1521" s="379"/>
      <c r="BH1521" s="379"/>
      <c r="BI1521" s="379"/>
      <c r="BJ1521" s="379"/>
      <c r="BK1521" s="379"/>
      <c r="BL1521" s="379"/>
      <c r="BM1521" s="379"/>
      <c r="BN1521" s="379"/>
      <c r="BO1521" s="379"/>
      <c r="BP1521" s="379"/>
      <c r="BQ1521" s="379"/>
      <c r="BR1521" s="379"/>
      <c r="BS1521" s="379"/>
      <c r="BT1521" s="379"/>
      <c r="BU1521" s="379"/>
      <c r="BV1521" s="379"/>
      <c r="BW1521" s="379"/>
      <c r="BX1521" s="379"/>
      <c r="BY1521" s="379"/>
      <c r="BZ1521" s="379"/>
      <c r="CA1521" s="281"/>
      <c r="CB1521" s="3" t="str">
        <f t="shared" si="227"/>
        <v>Riadok bude skrytý.</v>
      </c>
      <c r="CC1521" s="271" t="s">
        <v>832</v>
      </c>
      <c r="CW1521" s="30">
        <f t="shared" ref="CW1521:CW1552" si="234">+IF($J$1519="neeviduje",0,1)</f>
        <v>1</v>
      </c>
      <c r="CX1521" s="30">
        <f t="shared" ref="CX1521:CX1540" si="235">+IF(B1521="",0,1)</f>
        <v>0</v>
      </c>
      <c r="CZ1521" s="30">
        <f t="shared" si="232"/>
        <v>1</v>
      </c>
      <c r="DA1521" s="52">
        <f t="shared" ref="DA1521:DA1540" si="236">+IF(CW1521*CX1521=0,0,IF(CZ1521=0,0,1))</f>
        <v>0</v>
      </c>
      <c r="DB1521" s="2">
        <f t="shared" si="233"/>
        <v>0</v>
      </c>
      <c r="DS1521" s="130">
        <f>SI!BY1521</f>
        <v>138</v>
      </c>
      <c r="DZ1521" s="131">
        <f>SI!BZ1521</f>
        <v>0</v>
      </c>
    </row>
    <row r="1522" spans="1:130" hidden="1" x14ac:dyDescent="0.25">
      <c r="A1522" s="141"/>
      <c r="B1522" s="379"/>
      <c r="C1522" s="379"/>
      <c r="D1522" s="379"/>
      <c r="E1522" s="379"/>
      <c r="F1522" s="379"/>
      <c r="G1522" s="379"/>
      <c r="H1522" s="379"/>
      <c r="I1522" s="379"/>
      <c r="J1522" s="379"/>
      <c r="K1522" s="379"/>
      <c r="L1522" s="379"/>
      <c r="M1522" s="379"/>
      <c r="N1522" s="379"/>
      <c r="O1522" s="379"/>
      <c r="P1522" s="379"/>
      <c r="Q1522" s="379"/>
      <c r="R1522" s="379"/>
      <c r="S1522" s="379"/>
      <c r="T1522" s="379"/>
      <c r="U1522" s="379"/>
      <c r="V1522" s="379"/>
      <c r="W1522" s="379"/>
      <c r="X1522" s="379"/>
      <c r="Y1522" s="379"/>
      <c r="Z1522" s="379"/>
      <c r="AA1522" s="379"/>
      <c r="AB1522" s="379"/>
      <c r="AC1522" s="379"/>
      <c r="AD1522" s="379"/>
      <c r="AE1522" s="379"/>
      <c r="AF1522" s="379"/>
      <c r="AG1522" s="379"/>
      <c r="AH1522" s="379"/>
      <c r="AI1522" s="379"/>
      <c r="AJ1522" s="379"/>
      <c r="AK1522" s="379"/>
      <c r="AL1522" s="379"/>
      <c r="AM1522" s="379"/>
      <c r="AN1522" s="379"/>
      <c r="AO1522" s="379"/>
      <c r="AP1522" s="379"/>
      <c r="AQ1522" s="379"/>
      <c r="AR1522" s="379"/>
      <c r="AS1522" s="379"/>
      <c r="AT1522" s="379"/>
      <c r="AU1522" s="379"/>
      <c r="AV1522" s="379"/>
      <c r="AW1522" s="379"/>
      <c r="AX1522" s="379"/>
      <c r="AY1522" s="379"/>
      <c r="AZ1522" s="379"/>
      <c r="BA1522" s="379"/>
      <c r="BB1522" s="379"/>
      <c r="BC1522" s="379"/>
      <c r="BD1522" s="379"/>
      <c r="BE1522" s="379"/>
      <c r="BF1522" s="379"/>
      <c r="BG1522" s="379"/>
      <c r="BH1522" s="379"/>
      <c r="BI1522" s="379"/>
      <c r="BJ1522" s="379"/>
      <c r="BK1522" s="379"/>
      <c r="BL1522" s="379"/>
      <c r="BM1522" s="379"/>
      <c r="BN1522" s="379"/>
      <c r="BO1522" s="379"/>
      <c r="BP1522" s="379"/>
      <c r="BQ1522" s="379"/>
      <c r="BR1522" s="379"/>
      <c r="BS1522" s="379"/>
      <c r="BT1522" s="379"/>
      <c r="BU1522" s="379"/>
      <c r="BV1522" s="379"/>
      <c r="BW1522" s="379"/>
      <c r="BX1522" s="379"/>
      <c r="BY1522" s="379"/>
      <c r="BZ1522" s="379"/>
      <c r="CA1522" s="281"/>
      <c r="CB1522" s="3" t="str">
        <f t="shared" si="227"/>
        <v>Riadok bude skrytý.</v>
      </c>
      <c r="CC1522" s="271" t="s">
        <v>832</v>
      </c>
      <c r="CW1522" s="30">
        <f t="shared" si="234"/>
        <v>1</v>
      </c>
      <c r="CX1522" s="30">
        <f t="shared" si="235"/>
        <v>0</v>
      </c>
      <c r="CZ1522" s="30">
        <f t="shared" si="232"/>
        <v>1</v>
      </c>
      <c r="DA1522" s="52">
        <f t="shared" si="236"/>
        <v>0</v>
      </c>
      <c r="DB1522" s="2">
        <f t="shared" si="233"/>
        <v>0</v>
      </c>
      <c r="DS1522" s="130">
        <f>SI!BY1522</f>
        <v>122</v>
      </c>
      <c r="DZ1522" s="131">
        <f>SI!BZ1522</f>
        <v>0</v>
      </c>
    </row>
    <row r="1523" spans="1:130" hidden="1" x14ac:dyDescent="0.25">
      <c r="A1523" s="141"/>
      <c r="B1523" s="379"/>
      <c r="C1523" s="379"/>
      <c r="D1523" s="379"/>
      <c r="E1523" s="379"/>
      <c r="F1523" s="379"/>
      <c r="G1523" s="379"/>
      <c r="H1523" s="379"/>
      <c r="I1523" s="379"/>
      <c r="J1523" s="379"/>
      <c r="K1523" s="379"/>
      <c r="L1523" s="379"/>
      <c r="M1523" s="379"/>
      <c r="N1523" s="379"/>
      <c r="O1523" s="379"/>
      <c r="P1523" s="379"/>
      <c r="Q1523" s="379"/>
      <c r="R1523" s="379"/>
      <c r="S1523" s="379"/>
      <c r="T1523" s="379"/>
      <c r="U1523" s="379"/>
      <c r="V1523" s="379"/>
      <c r="W1523" s="379"/>
      <c r="X1523" s="379"/>
      <c r="Y1523" s="379"/>
      <c r="Z1523" s="379"/>
      <c r="AA1523" s="379"/>
      <c r="AB1523" s="379"/>
      <c r="AC1523" s="379"/>
      <c r="AD1523" s="379"/>
      <c r="AE1523" s="379"/>
      <c r="AF1523" s="379"/>
      <c r="AG1523" s="379"/>
      <c r="AH1523" s="379"/>
      <c r="AI1523" s="379"/>
      <c r="AJ1523" s="379"/>
      <c r="AK1523" s="379"/>
      <c r="AL1523" s="379"/>
      <c r="AM1523" s="379"/>
      <c r="AN1523" s="379"/>
      <c r="AO1523" s="379"/>
      <c r="AP1523" s="379"/>
      <c r="AQ1523" s="379"/>
      <c r="AR1523" s="379"/>
      <c r="AS1523" s="379"/>
      <c r="AT1523" s="379"/>
      <c r="AU1523" s="379"/>
      <c r="AV1523" s="379"/>
      <c r="AW1523" s="379"/>
      <c r="AX1523" s="379"/>
      <c r="AY1523" s="379"/>
      <c r="AZ1523" s="379"/>
      <c r="BA1523" s="379"/>
      <c r="BB1523" s="379"/>
      <c r="BC1523" s="379"/>
      <c r="BD1523" s="379"/>
      <c r="BE1523" s="379"/>
      <c r="BF1523" s="379"/>
      <c r="BG1523" s="379"/>
      <c r="BH1523" s="379"/>
      <c r="BI1523" s="379"/>
      <c r="BJ1523" s="379"/>
      <c r="BK1523" s="379"/>
      <c r="BL1523" s="379"/>
      <c r="BM1523" s="379"/>
      <c r="BN1523" s="379"/>
      <c r="BO1523" s="379"/>
      <c r="BP1523" s="379"/>
      <c r="BQ1523" s="379"/>
      <c r="BR1523" s="379"/>
      <c r="BS1523" s="379"/>
      <c r="BT1523" s="379"/>
      <c r="BU1523" s="379"/>
      <c r="BV1523" s="379"/>
      <c r="BW1523" s="379"/>
      <c r="BX1523" s="379"/>
      <c r="BY1523" s="379"/>
      <c r="BZ1523" s="379"/>
      <c r="CA1523" s="281"/>
      <c r="CB1523" s="3" t="str">
        <f t="shared" ref="CB1523:CB1586" si="237">+IF(DB1523=0,"Riadok bude skrytý.","Riadok bude vidieť.")</f>
        <v>Riadok bude skrytý.</v>
      </c>
      <c r="CC1523" s="271" t="s">
        <v>832</v>
      </c>
      <c r="CW1523" s="30">
        <f t="shared" si="234"/>
        <v>1</v>
      </c>
      <c r="CX1523" s="30">
        <f t="shared" si="235"/>
        <v>0</v>
      </c>
      <c r="CZ1523" s="30">
        <f t="shared" si="232"/>
        <v>1</v>
      </c>
      <c r="DA1523" s="52">
        <f t="shared" si="236"/>
        <v>0</v>
      </c>
      <c r="DB1523" s="2">
        <f t="shared" si="233"/>
        <v>0</v>
      </c>
      <c r="DS1523" s="130">
        <f>SI!BY1523</f>
        <v>180</v>
      </c>
      <c r="DZ1523" s="131">
        <f>SI!BZ1523</f>
        <v>0</v>
      </c>
    </row>
    <row r="1524" spans="1:130" hidden="1" x14ac:dyDescent="0.25">
      <c r="A1524" s="141"/>
      <c r="B1524" s="379"/>
      <c r="C1524" s="379"/>
      <c r="D1524" s="379"/>
      <c r="E1524" s="379"/>
      <c r="F1524" s="379"/>
      <c r="G1524" s="379"/>
      <c r="H1524" s="379"/>
      <c r="I1524" s="379"/>
      <c r="J1524" s="379"/>
      <c r="K1524" s="379"/>
      <c r="L1524" s="379"/>
      <c r="M1524" s="379"/>
      <c r="N1524" s="379"/>
      <c r="O1524" s="379"/>
      <c r="P1524" s="379"/>
      <c r="Q1524" s="379"/>
      <c r="R1524" s="379"/>
      <c r="S1524" s="379"/>
      <c r="T1524" s="379"/>
      <c r="U1524" s="379"/>
      <c r="V1524" s="379"/>
      <c r="W1524" s="379"/>
      <c r="X1524" s="379"/>
      <c r="Y1524" s="379"/>
      <c r="Z1524" s="379"/>
      <c r="AA1524" s="379"/>
      <c r="AB1524" s="379"/>
      <c r="AC1524" s="379"/>
      <c r="AD1524" s="379"/>
      <c r="AE1524" s="379"/>
      <c r="AF1524" s="379"/>
      <c r="AG1524" s="379"/>
      <c r="AH1524" s="379"/>
      <c r="AI1524" s="379"/>
      <c r="AJ1524" s="379"/>
      <c r="AK1524" s="379"/>
      <c r="AL1524" s="379"/>
      <c r="AM1524" s="379"/>
      <c r="AN1524" s="379"/>
      <c r="AO1524" s="379"/>
      <c r="AP1524" s="379"/>
      <c r="AQ1524" s="379"/>
      <c r="AR1524" s="379"/>
      <c r="AS1524" s="379"/>
      <c r="AT1524" s="379"/>
      <c r="AU1524" s="379"/>
      <c r="AV1524" s="379"/>
      <c r="AW1524" s="379"/>
      <c r="AX1524" s="379"/>
      <c r="AY1524" s="379"/>
      <c r="AZ1524" s="379"/>
      <c r="BA1524" s="379"/>
      <c r="BB1524" s="379"/>
      <c r="BC1524" s="379"/>
      <c r="BD1524" s="379"/>
      <c r="BE1524" s="379"/>
      <c r="BF1524" s="379"/>
      <c r="BG1524" s="379"/>
      <c r="BH1524" s="379"/>
      <c r="BI1524" s="379"/>
      <c r="BJ1524" s="379"/>
      <c r="BK1524" s="379"/>
      <c r="BL1524" s="379"/>
      <c r="BM1524" s="379"/>
      <c r="BN1524" s="379"/>
      <c r="BO1524" s="379"/>
      <c r="BP1524" s="379"/>
      <c r="BQ1524" s="379"/>
      <c r="BR1524" s="379"/>
      <c r="BS1524" s="379"/>
      <c r="BT1524" s="379"/>
      <c r="BU1524" s="379"/>
      <c r="BV1524" s="379"/>
      <c r="BW1524" s="379"/>
      <c r="BX1524" s="379"/>
      <c r="BY1524" s="379"/>
      <c r="BZ1524" s="379"/>
      <c r="CA1524" s="281"/>
      <c r="CB1524" s="3" t="str">
        <f t="shared" si="237"/>
        <v>Riadok bude skrytý.</v>
      </c>
      <c r="CC1524" s="271" t="s">
        <v>832</v>
      </c>
      <c r="CW1524" s="30">
        <f t="shared" si="234"/>
        <v>1</v>
      </c>
      <c r="CX1524" s="30">
        <f t="shared" si="235"/>
        <v>0</v>
      </c>
      <c r="CZ1524" s="30">
        <f t="shared" si="232"/>
        <v>1</v>
      </c>
      <c r="DA1524" s="52">
        <f t="shared" si="236"/>
        <v>0</v>
      </c>
      <c r="DB1524" s="2">
        <f t="shared" si="233"/>
        <v>0</v>
      </c>
      <c r="DS1524" s="130">
        <f>SI!BY1524</f>
        <v>182</v>
      </c>
      <c r="DZ1524" s="131">
        <f>SI!BZ1524</f>
        <v>0</v>
      </c>
    </row>
    <row r="1525" spans="1:130" hidden="1" x14ac:dyDescent="0.25">
      <c r="A1525" s="141"/>
      <c r="B1525" s="379"/>
      <c r="C1525" s="379"/>
      <c r="D1525" s="379"/>
      <c r="E1525" s="379"/>
      <c r="F1525" s="379"/>
      <c r="G1525" s="379"/>
      <c r="H1525" s="379"/>
      <c r="I1525" s="379"/>
      <c r="J1525" s="379"/>
      <c r="K1525" s="379"/>
      <c r="L1525" s="379"/>
      <c r="M1525" s="379"/>
      <c r="N1525" s="379"/>
      <c r="O1525" s="379"/>
      <c r="P1525" s="379"/>
      <c r="Q1525" s="379"/>
      <c r="R1525" s="379"/>
      <c r="S1525" s="379"/>
      <c r="T1525" s="379"/>
      <c r="U1525" s="379"/>
      <c r="V1525" s="379"/>
      <c r="W1525" s="379"/>
      <c r="X1525" s="379"/>
      <c r="Y1525" s="379"/>
      <c r="Z1525" s="379"/>
      <c r="AA1525" s="379"/>
      <c r="AB1525" s="379"/>
      <c r="AC1525" s="379"/>
      <c r="AD1525" s="379"/>
      <c r="AE1525" s="379"/>
      <c r="AF1525" s="379"/>
      <c r="AG1525" s="379"/>
      <c r="AH1525" s="379"/>
      <c r="AI1525" s="379"/>
      <c r="AJ1525" s="379"/>
      <c r="AK1525" s="379"/>
      <c r="AL1525" s="379"/>
      <c r="AM1525" s="379"/>
      <c r="AN1525" s="379"/>
      <c r="AO1525" s="379"/>
      <c r="AP1525" s="379"/>
      <c r="AQ1525" s="379"/>
      <c r="AR1525" s="379"/>
      <c r="AS1525" s="379"/>
      <c r="AT1525" s="379"/>
      <c r="AU1525" s="379"/>
      <c r="AV1525" s="379"/>
      <c r="AW1525" s="379"/>
      <c r="AX1525" s="379"/>
      <c r="AY1525" s="379"/>
      <c r="AZ1525" s="379"/>
      <c r="BA1525" s="379"/>
      <c r="BB1525" s="379"/>
      <c r="BC1525" s="379"/>
      <c r="BD1525" s="379"/>
      <c r="BE1525" s="379"/>
      <c r="BF1525" s="379"/>
      <c r="BG1525" s="379"/>
      <c r="BH1525" s="379"/>
      <c r="BI1525" s="379"/>
      <c r="BJ1525" s="379"/>
      <c r="BK1525" s="379"/>
      <c r="BL1525" s="379"/>
      <c r="BM1525" s="379"/>
      <c r="BN1525" s="379"/>
      <c r="BO1525" s="379"/>
      <c r="BP1525" s="379"/>
      <c r="BQ1525" s="379"/>
      <c r="BR1525" s="379"/>
      <c r="BS1525" s="379"/>
      <c r="BT1525" s="379"/>
      <c r="BU1525" s="379"/>
      <c r="BV1525" s="379"/>
      <c r="BW1525" s="379"/>
      <c r="BX1525" s="379"/>
      <c r="BY1525" s="379"/>
      <c r="BZ1525" s="379"/>
      <c r="CA1525" s="281"/>
      <c r="CB1525" s="3" t="str">
        <f t="shared" si="237"/>
        <v>Riadok bude skrytý.</v>
      </c>
      <c r="CC1525" s="271" t="s">
        <v>832</v>
      </c>
      <c r="CW1525" s="30">
        <f t="shared" si="234"/>
        <v>1</v>
      </c>
      <c r="CX1525" s="30">
        <f t="shared" si="235"/>
        <v>0</v>
      </c>
      <c r="CZ1525" s="30">
        <f t="shared" si="232"/>
        <v>1</v>
      </c>
      <c r="DA1525" s="52">
        <f t="shared" si="236"/>
        <v>0</v>
      </c>
      <c r="DB1525" s="2">
        <f t="shared" si="233"/>
        <v>0</v>
      </c>
      <c r="DS1525" s="130">
        <f>SI!BY1525</f>
        <v>128</v>
      </c>
      <c r="DZ1525" s="131">
        <f>SI!BZ1525</f>
        <v>0</v>
      </c>
    </row>
    <row r="1526" spans="1:130" hidden="1" x14ac:dyDescent="0.25">
      <c r="A1526" s="141"/>
      <c r="B1526" s="379"/>
      <c r="C1526" s="379"/>
      <c r="D1526" s="379"/>
      <c r="E1526" s="379"/>
      <c r="F1526" s="379"/>
      <c r="G1526" s="379"/>
      <c r="H1526" s="379"/>
      <c r="I1526" s="379"/>
      <c r="J1526" s="379"/>
      <c r="K1526" s="379"/>
      <c r="L1526" s="379"/>
      <c r="M1526" s="379"/>
      <c r="N1526" s="379"/>
      <c r="O1526" s="379"/>
      <c r="P1526" s="379"/>
      <c r="Q1526" s="379"/>
      <c r="R1526" s="379"/>
      <c r="S1526" s="379"/>
      <c r="T1526" s="379"/>
      <c r="U1526" s="379"/>
      <c r="V1526" s="379"/>
      <c r="W1526" s="379"/>
      <c r="X1526" s="379"/>
      <c r="Y1526" s="379"/>
      <c r="Z1526" s="379"/>
      <c r="AA1526" s="379"/>
      <c r="AB1526" s="379"/>
      <c r="AC1526" s="379"/>
      <c r="AD1526" s="379"/>
      <c r="AE1526" s="379"/>
      <c r="AF1526" s="379"/>
      <c r="AG1526" s="379"/>
      <c r="AH1526" s="379"/>
      <c r="AI1526" s="379"/>
      <c r="AJ1526" s="379"/>
      <c r="AK1526" s="379"/>
      <c r="AL1526" s="379"/>
      <c r="AM1526" s="379"/>
      <c r="AN1526" s="379"/>
      <c r="AO1526" s="379"/>
      <c r="AP1526" s="379"/>
      <c r="AQ1526" s="379"/>
      <c r="AR1526" s="379"/>
      <c r="AS1526" s="379"/>
      <c r="AT1526" s="379"/>
      <c r="AU1526" s="379"/>
      <c r="AV1526" s="379"/>
      <c r="AW1526" s="379"/>
      <c r="AX1526" s="379"/>
      <c r="AY1526" s="379"/>
      <c r="AZ1526" s="379"/>
      <c r="BA1526" s="379"/>
      <c r="BB1526" s="379"/>
      <c r="BC1526" s="379"/>
      <c r="BD1526" s="379"/>
      <c r="BE1526" s="379"/>
      <c r="BF1526" s="379"/>
      <c r="BG1526" s="379"/>
      <c r="BH1526" s="379"/>
      <c r="BI1526" s="379"/>
      <c r="BJ1526" s="379"/>
      <c r="BK1526" s="379"/>
      <c r="BL1526" s="379"/>
      <c r="BM1526" s="379"/>
      <c r="BN1526" s="379"/>
      <c r="BO1526" s="379"/>
      <c r="BP1526" s="379"/>
      <c r="BQ1526" s="379"/>
      <c r="BR1526" s="379"/>
      <c r="BS1526" s="379"/>
      <c r="BT1526" s="379"/>
      <c r="BU1526" s="379"/>
      <c r="BV1526" s="379"/>
      <c r="BW1526" s="379"/>
      <c r="BX1526" s="379"/>
      <c r="BY1526" s="379"/>
      <c r="BZ1526" s="379"/>
      <c r="CA1526" s="281"/>
      <c r="CB1526" s="3" t="str">
        <f t="shared" si="237"/>
        <v>Riadok bude skrytý.</v>
      </c>
      <c r="CC1526" s="271" t="s">
        <v>832</v>
      </c>
      <c r="CW1526" s="30">
        <f t="shared" si="234"/>
        <v>1</v>
      </c>
      <c r="CX1526" s="30">
        <f t="shared" si="235"/>
        <v>0</v>
      </c>
      <c r="CZ1526" s="30">
        <f t="shared" si="232"/>
        <v>1</v>
      </c>
      <c r="DA1526" s="52">
        <f t="shared" si="236"/>
        <v>0</v>
      </c>
      <c r="DB1526" s="2">
        <f t="shared" si="233"/>
        <v>0</v>
      </c>
      <c r="DS1526" s="130">
        <f>SI!BY1526</f>
        <v>190</v>
      </c>
      <c r="DZ1526" s="131">
        <f>SI!BZ1526</f>
        <v>0</v>
      </c>
    </row>
    <row r="1527" spans="1:130" hidden="1" x14ac:dyDescent="0.25">
      <c r="A1527" s="141"/>
      <c r="B1527" s="379"/>
      <c r="C1527" s="379"/>
      <c r="D1527" s="379"/>
      <c r="E1527" s="379"/>
      <c r="F1527" s="379"/>
      <c r="G1527" s="379"/>
      <c r="H1527" s="379"/>
      <c r="I1527" s="379"/>
      <c r="J1527" s="379"/>
      <c r="K1527" s="379"/>
      <c r="L1527" s="379"/>
      <c r="M1527" s="379"/>
      <c r="N1527" s="379"/>
      <c r="O1527" s="379"/>
      <c r="P1527" s="379"/>
      <c r="Q1527" s="379"/>
      <c r="R1527" s="379"/>
      <c r="S1527" s="379"/>
      <c r="T1527" s="379"/>
      <c r="U1527" s="379"/>
      <c r="V1527" s="379"/>
      <c r="W1527" s="379"/>
      <c r="X1527" s="379"/>
      <c r="Y1527" s="379"/>
      <c r="Z1527" s="379"/>
      <c r="AA1527" s="379"/>
      <c r="AB1527" s="379"/>
      <c r="AC1527" s="379"/>
      <c r="AD1527" s="379"/>
      <c r="AE1527" s="379"/>
      <c r="AF1527" s="379"/>
      <c r="AG1527" s="379"/>
      <c r="AH1527" s="379"/>
      <c r="AI1527" s="379"/>
      <c r="AJ1527" s="379"/>
      <c r="AK1527" s="379"/>
      <c r="AL1527" s="379"/>
      <c r="AM1527" s="379"/>
      <c r="AN1527" s="379"/>
      <c r="AO1527" s="379"/>
      <c r="AP1527" s="379"/>
      <c r="AQ1527" s="379"/>
      <c r="AR1527" s="379"/>
      <c r="AS1527" s="379"/>
      <c r="AT1527" s="379"/>
      <c r="AU1527" s="379"/>
      <c r="AV1527" s="379"/>
      <c r="AW1527" s="379"/>
      <c r="AX1527" s="379"/>
      <c r="AY1527" s="379"/>
      <c r="AZ1527" s="379"/>
      <c r="BA1527" s="379"/>
      <c r="BB1527" s="379"/>
      <c r="BC1527" s="379"/>
      <c r="BD1527" s="379"/>
      <c r="BE1527" s="379"/>
      <c r="BF1527" s="379"/>
      <c r="BG1527" s="379"/>
      <c r="BH1527" s="379"/>
      <c r="BI1527" s="379"/>
      <c r="BJ1527" s="379"/>
      <c r="BK1527" s="379"/>
      <c r="BL1527" s="379"/>
      <c r="BM1527" s="379"/>
      <c r="BN1527" s="379"/>
      <c r="BO1527" s="379"/>
      <c r="BP1527" s="379"/>
      <c r="BQ1527" s="379"/>
      <c r="BR1527" s="379"/>
      <c r="BS1527" s="379"/>
      <c r="BT1527" s="379"/>
      <c r="BU1527" s="379"/>
      <c r="BV1527" s="379"/>
      <c r="BW1527" s="379"/>
      <c r="BX1527" s="379"/>
      <c r="BY1527" s="379"/>
      <c r="BZ1527" s="379"/>
      <c r="CA1527" s="281"/>
      <c r="CB1527" s="3" t="str">
        <f t="shared" si="237"/>
        <v>Riadok bude skrytý.</v>
      </c>
      <c r="CC1527" s="271" t="s">
        <v>832</v>
      </c>
      <c r="CW1527" s="30">
        <f t="shared" si="234"/>
        <v>1</v>
      </c>
      <c r="CX1527" s="30">
        <f t="shared" si="235"/>
        <v>0</v>
      </c>
      <c r="CZ1527" s="30">
        <f t="shared" si="232"/>
        <v>1</v>
      </c>
      <c r="DA1527" s="52">
        <f t="shared" si="236"/>
        <v>0</v>
      </c>
      <c r="DB1527" s="2">
        <f t="shared" si="233"/>
        <v>0</v>
      </c>
      <c r="DS1527" s="130">
        <f>SI!BY1527</f>
        <v>194</v>
      </c>
      <c r="DZ1527" s="131">
        <f>SI!BZ1527</f>
        <v>0</v>
      </c>
    </row>
    <row r="1528" spans="1:130" hidden="1" x14ac:dyDescent="0.25">
      <c r="A1528" s="141"/>
      <c r="B1528" s="379"/>
      <c r="C1528" s="379"/>
      <c r="D1528" s="379"/>
      <c r="E1528" s="379"/>
      <c r="F1528" s="379"/>
      <c r="G1528" s="379"/>
      <c r="H1528" s="379"/>
      <c r="I1528" s="379"/>
      <c r="J1528" s="379"/>
      <c r="K1528" s="379"/>
      <c r="L1528" s="379"/>
      <c r="M1528" s="379"/>
      <c r="N1528" s="379"/>
      <c r="O1528" s="379"/>
      <c r="P1528" s="379"/>
      <c r="Q1528" s="379"/>
      <c r="R1528" s="379"/>
      <c r="S1528" s="379"/>
      <c r="T1528" s="379"/>
      <c r="U1528" s="379"/>
      <c r="V1528" s="379"/>
      <c r="W1528" s="379"/>
      <c r="X1528" s="379"/>
      <c r="Y1528" s="379"/>
      <c r="Z1528" s="379"/>
      <c r="AA1528" s="379"/>
      <c r="AB1528" s="379"/>
      <c r="AC1528" s="379"/>
      <c r="AD1528" s="379"/>
      <c r="AE1528" s="379"/>
      <c r="AF1528" s="379"/>
      <c r="AG1528" s="379"/>
      <c r="AH1528" s="379"/>
      <c r="AI1528" s="379"/>
      <c r="AJ1528" s="379"/>
      <c r="AK1528" s="379"/>
      <c r="AL1528" s="379"/>
      <c r="AM1528" s="379"/>
      <c r="AN1528" s="379"/>
      <c r="AO1528" s="379"/>
      <c r="AP1528" s="379"/>
      <c r="AQ1528" s="379"/>
      <c r="AR1528" s="379"/>
      <c r="AS1528" s="379"/>
      <c r="AT1528" s="379"/>
      <c r="AU1528" s="379"/>
      <c r="AV1528" s="379"/>
      <c r="AW1528" s="379"/>
      <c r="AX1528" s="379"/>
      <c r="AY1528" s="379"/>
      <c r="AZ1528" s="379"/>
      <c r="BA1528" s="379"/>
      <c r="BB1528" s="379"/>
      <c r="BC1528" s="379"/>
      <c r="BD1528" s="379"/>
      <c r="BE1528" s="379"/>
      <c r="BF1528" s="379"/>
      <c r="BG1528" s="379"/>
      <c r="BH1528" s="379"/>
      <c r="BI1528" s="379"/>
      <c r="BJ1528" s="379"/>
      <c r="BK1528" s="379"/>
      <c r="BL1528" s="379"/>
      <c r="BM1528" s="379"/>
      <c r="BN1528" s="379"/>
      <c r="BO1528" s="379"/>
      <c r="BP1528" s="379"/>
      <c r="BQ1528" s="379"/>
      <c r="BR1528" s="379"/>
      <c r="BS1528" s="379"/>
      <c r="BT1528" s="379"/>
      <c r="BU1528" s="379"/>
      <c r="BV1528" s="379"/>
      <c r="BW1528" s="379"/>
      <c r="BX1528" s="379"/>
      <c r="BY1528" s="379"/>
      <c r="BZ1528" s="379"/>
      <c r="CA1528" s="281"/>
      <c r="CB1528" s="3" t="str">
        <f t="shared" si="237"/>
        <v>Riadok bude skrytý.</v>
      </c>
      <c r="CC1528" s="271" t="s">
        <v>832</v>
      </c>
      <c r="CW1528" s="30">
        <f t="shared" si="234"/>
        <v>1</v>
      </c>
      <c r="CX1528" s="30">
        <f t="shared" si="235"/>
        <v>0</v>
      </c>
      <c r="CZ1528" s="30">
        <f t="shared" si="232"/>
        <v>1</v>
      </c>
      <c r="DA1528" s="52">
        <f t="shared" si="236"/>
        <v>0</v>
      </c>
      <c r="DB1528" s="2">
        <f t="shared" si="233"/>
        <v>0</v>
      </c>
      <c r="DS1528" s="130">
        <f>SI!BY1528</f>
        <v>167</v>
      </c>
      <c r="DZ1528" s="131">
        <f>SI!BZ1528</f>
        <v>0</v>
      </c>
    </row>
    <row r="1529" spans="1:130" hidden="1" x14ac:dyDescent="0.25">
      <c r="A1529" s="141"/>
      <c r="B1529" s="379"/>
      <c r="C1529" s="379"/>
      <c r="D1529" s="379"/>
      <c r="E1529" s="379"/>
      <c r="F1529" s="379"/>
      <c r="G1529" s="379"/>
      <c r="H1529" s="379"/>
      <c r="I1529" s="379"/>
      <c r="J1529" s="379"/>
      <c r="K1529" s="379"/>
      <c r="L1529" s="379"/>
      <c r="M1529" s="379"/>
      <c r="N1529" s="379"/>
      <c r="O1529" s="379"/>
      <c r="P1529" s="379"/>
      <c r="Q1529" s="379"/>
      <c r="R1529" s="379"/>
      <c r="S1529" s="379"/>
      <c r="T1529" s="379"/>
      <c r="U1529" s="379"/>
      <c r="V1529" s="379"/>
      <c r="W1529" s="379"/>
      <c r="X1529" s="379"/>
      <c r="Y1529" s="379"/>
      <c r="Z1529" s="379"/>
      <c r="AA1529" s="379"/>
      <c r="AB1529" s="379"/>
      <c r="AC1529" s="379"/>
      <c r="AD1529" s="379"/>
      <c r="AE1529" s="379"/>
      <c r="AF1529" s="379"/>
      <c r="AG1529" s="379"/>
      <c r="AH1529" s="379"/>
      <c r="AI1529" s="379"/>
      <c r="AJ1529" s="379"/>
      <c r="AK1529" s="379"/>
      <c r="AL1529" s="379"/>
      <c r="AM1529" s="379"/>
      <c r="AN1529" s="379"/>
      <c r="AO1529" s="379"/>
      <c r="AP1529" s="379"/>
      <c r="AQ1529" s="379"/>
      <c r="AR1529" s="379"/>
      <c r="AS1529" s="379"/>
      <c r="AT1529" s="379"/>
      <c r="AU1529" s="379"/>
      <c r="AV1529" s="379"/>
      <c r="AW1529" s="379"/>
      <c r="AX1529" s="379"/>
      <c r="AY1529" s="379"/>
      <c r="AZ1529" s="379"/>
      <c r="BA1529" s="379"/>
      <c r="BB1529" s="379"/>
      <c r="BC1529" s="379"/>
      <c r="BD1529" s="379"/>
      <c r="BE1529" s="379"/>
      <c r="BF1529" s="379"/>
      <c r="BG1529" s="379"/>
      <c r="BH1529" s="379"/>
      <c r="BI1529" s="379"/>
      <c r="BJ1529" s="379"/>
      <c r="BK1529" s="379"/>
      <c r="BL1529" s="379"/>
      <c r="BM1529" s="379"/>
      <c r="BN1529" s="379"/>
      <c r="BO1529" s="379"/>
      <c r="BP1529" s="379"/>
      <c r="BQ1529" s="379"/>
      <c r="BR1529" s="379"/>
      <c r="BS1529" s="379"/>
      <c r="BT1529" s="379"/>
      <c r="BU1529" s="379"/>
      <c r="BV1529" s="379"/>
      <c r="BW1529" s="379"/>
      <c r="BX1529" s="379"/>
      <c r="BY1529" s="379"/>
      <c r="BZ1529" s="379"/>
      <c r="CA1529" s="281"/>
      <c r="CB1529" s="3" t="str">
        <f t="shared" si="237"/>
        <v>Riadok bude skrytý.</v>
      </c>
      <c r="CC1529" s="271" t="s">
        <v>832</v>
      </c>
      <c r="CW1529" s="30">
        <f t="shared" si="234"/>
        <v>1</v>
      </c>
      <c r="CX1529" s="30">
        <f t="shared" si="235"/>
        <v>0</v>
      </c>
      <c r="CZ1529" s="30">
        <f t="shared" si="232"/>
        <v>1</v>
      </c>
      <c r="DA1529" s="52">
        <f t="shared" si="236"/>
        <v>0</v>
      </c>
      <c r="DB1529" s="2">
        <f t="shared" si="233"/>
        <v>0</v>
      </c>
      <c r="DS1529" s="130">
        <f>SI!BY1529</f>
        <v>129</v>
      </c>
      <c r="DZ1529" s="131">
        <f>SI!BZ1529</f>
        <v>0</v>
      </c>
    </row>
    <row r="1530" spans="1:130" hidden="1" x14ac:dyDescent="0.25">
      <c r="A1530" s="141"/>
      <c r="B1530" s="379"/>
      <c r="C1530" s="379"/>
      <c r="D1530" s="379"/>
      <c r="E1530" s="379"/>
      <c r="F1530" s="379"/>
      <c r="G1530" s="379"/>
      <c r="H1530" s="379"/>
      <c r="I1530" s="379"/>
      <c r="J1530" s="379"/>
      <c r="K1530" s="379"/>
      <c r="L1530" s="379"/>
      <c r="M1530" s="379"/>
      <c r="N1530" s="379"/>
      <c r="O1530" s="379"/>
      <c r="P1530" s="379"/>
      <c r="Q1530" s="379"/>
      <c r="R1530" s="379"/>
      <c r="S1530" s="379"/>
      <c r="T1530" s="379"/>
      <c r="U1530" s="379"/>
      <c r="V1530" s="379"/>
      <c r="W1530" s="379"/>
      <c r="X1530" s="379"/>
      <c r="Y1530" s="379"/>
      <c r="Z1530" s="379"/>
      <c r="AA1530" s="379"/>
      <c r="AB1530" s="379"/>
      <c r="AC1530" s="379"/>
      <c r="AD1530" s="379"/>
      <c r="AE1530" s="379"/>
      <c r="AF1530" s="379"/>
      <c r="AG1530" s="379"/>
      <c r="AH1530" s="379"/>
      <c r="AI1530" s="379"/>
      <c r="AJ1530" s="379"/>
      <c r="AK1530" s="379"/>
      <c r="AL1530" s="379"/>
      <c r="AM1530" s="379"/>
      <c r="AN1530" s="379"/>
      <c r="AO1530" s="379"/>
      <c r="AP1530" s="379"/>
      <c r="AQ1530" s="379"/>
      <c r="AR1530" s="379"/>
      <c r="AS1530" s="379"/>
      <c r="AT1530" s="379"/>
      <c r="AU1530" s="379"/>
      <c r="AV1530" s="379"/>
      <c r="AW1530" s="379"/>
      <c r="AX1530" s="379"/>
      <c r="AY1530" s="379"/>
      <c r="AZ1530" s="379"/>
      <c r="BA1530" s="379"/>
      <c r="BB1530" s="379"/>
      <c r="BC1530" s="379"/>
      <c r="BD1530" s="379"/>
      <c r="BE1530" s="379"/>
      <c r="BF1530" s="379"/>
      <c r="BG1530" s="379"/>
      <c r="BH1530" s="379"/>
      <c r="BI1530" s="379"/>
      <c r="BJ1530" s="379"/>
      <c r="BK1530" s="379"/>
      <c r="BL1530" s="379"/>
      <c r="BM1530" s="379"/>
      <c r="BN1530" s="379"/>
      <c r="BO1530" s="379"/>
      <c r="BP1530" s="379"/>
      <c r="BQ1530" s="379"/>
      <c r="BR1530" s="379"/>
      <c r="BS1530" s="379"/>
      <c r="BT1530" s="379"/>
      <c r="BU1530" s="379"/>
      <c r="BV1530" s="379"/>
      <c r="BW1530" s="379"/>
      <c r="BX1530" s="379"/>
      <c r="BY1530" s="379"/>
      <c r="BZ1530" s="379"/>
      <c r="CA1530" s="281"/>
      <c r="CB1530" s="3" t="str">
        <f t="shared" si="237"/>
        <v>Riadok bude skrytý.</v>
      </c>
      <c r="CC1530" s="271" t="s">
        <v>832</v>
      </c>
      <c r="CW1530" s="30">
        <f t="shared" si="234"/>
        <v>1</v>
      </c>
      <c r="CX1530" s="30">
        <f t="shared" si="235"/>
        <v>0</v>
      </c>
      <c r="CZ1530" s="30">
        <f t="shared" si="232"/>
        <v>1</v>
      </c>
      <c r="DA1530" s="52">
        <f t="shared" si="236"/>
        <v>0</v>
      </c>
      <c r="DB1530" s="2">
        <f t="shared" si="233"/>
        <v>0</v>
      </c>
      <c r="DS1530" s="130">
        <f>SI!BY1530</f>
        <v>136</v>
      </c>
      <c r="DZ1530" s="131">
        <f>SI!BZ1530</f>
        <v>0</v>
      </c>
    </row>
    <row r="1531" spans="1:130" hidden="1" x14ac:dyDescent="0.25">
      <c r="A1531" s="141"/>
      <c r="B1531" s="379"/>
      <c r="C1531" s="379"/>
      <c r="D1531" s="379"/>
      <c r="E1531" s="379"/>
      <c r="F1531" s="379"/>
      <c r="G1531" s="379"/>
      <c r="H1531" s="379"/>
      <c r="I1531" s="379"/>
      <c r="J1531" s="379"/>
      <c r="K1531" s="379"/>
      <c r="L1531" s="379"/>
      <c r="M1531" s="379"/>
      <c r="N1531" s="379"/>
      <c r="O1531" s="379"/>
      <c r="P1531" s="379"/>
      <c r="Q1531" s="379"/>
      <c r="R1531" s="379"/>
      <c r="S1531" s="379"/>
      <c r="T1531" s="379"/>
      <c r="U1531" s="379"/>
      <c r="V1531" s="379"/>
      <c r="W1531" s="379"/>
      <c r="X1531" s="379"/>
      <c r="Y1531" s="379"/>
      <c r="Z1531" s="379"/>
      <c r="AA1531" s="379"/>
      <c r="AB1531" s="379"/>
      <c r="AC1531" s="379"/>
      <c r="AD1531" s="379"/>
      <c r="AE1531" s="379"/>
      <c r="AF1531" s="379"/>
      <c r="AG1531" s="379"/>
      <c r="AH1531" s="379"/>
      <c r="AI1531" s="379"/>
      <c r="AJ1531" s="379"/>
      <c r="AK1531" s="379"/>
      <c r="AL1531" s="379"/>
      <c r="AM1531" s="379"/>
      <c r="AN1531" s="379"/>
      <c r="AO1531" s="379"/>
      <c r="AP1531" s="379"/>
      <c r="AQ1531" s="379"/>
      <c r="AR1531" s="379"/>
      <c r="AS1531" s="379"/>
      <c r="AT1531" s="379"/>
      <c r="AU1531" s="379"/>
      <c r="AV1531" s="379"/>
      <c r="AW1531" s="379"/>
      <c r="AX1531" s="379"/>
      <c r="AY1531" s="379"/>
      <c r="AZ1531" s="379"/>
      <c r="BA1531" s="379"/>
      <c r="BB1531" s="379"/>
      <c r="BC1531" s="379"/>
      <c r="BD1531" s="379"/>
      <c r="BE1531" s="379"/>
      <c r="BF1531" s="379"/>
      <c r="BG1531" s="379"/>
      <c r="BH1531" s="379"/>
      <c r="BI1531" s="379"/>
      <c r="BJ1531" s="379"/>
      <c r="BK1531" s="379"/>
      <c r="BL1531" s="379"/>
      <c r="BM1531" s="379"/>
      <c r="BN1531" s="379"/>
      <c r="BO1531" s="379"/>
      <c r="BP1531" s="379"/>
      <c r="BQ1531" s="379"/>
      <c r="BR1531" s="379"/>
      <c r="BS1531" s="379"/>
      <c r="BT1531" s="379"/>
      <c r="BU1531" s="379"/>
      <c r="BV1531" s="379"/>
      <c r="BW1531" s="379"/>
      <c r="BX1531" s="379"/>
      <c r="BY1531" s="379"/>
      <c r="BZ1531" s="379"/>
      <c r="CA1531" s="281"/>
      <c r="CB1531" s="3" t="str">
        <f t="shared" si="237"/>
        <v>Riadok bude skrytý.</v>
      </c>
      <c r="CC1531" s="271" t="s">
        <v>832</v>
      </c>
      <c r="CW1531" s="30">
        <f t="shared" si="234"/>
        <v>1</v>
      </c>
      <c r="CX1531" s="30">
        <f t="shared" si="235"/>
        <v>0</v>
      </c>
      <c r="CZ1531" s="30">
        <f t="shared" si="232"/>
        <v>1</v>
      </c>
      <c r="DA1531" s="52">
        <f t="shared" si="236"/>
        <v>0</v>
      </c>
      <c r="DB1531" s="2">
        <f t="shared" si="233"/>
        <v>0</v>
      </c>
      <c r="DS1531" s="130">
        <f>SI!BY1531</f>
        <v>167</v>
      </c>
      <c r="DZ1531" s="131">
        <f>SI!BZ1531</f>
        <v>0</v>
      </c>
    </row>
    <row r="1532" spans="1:130" hidden="1" x14ac:dyDescent="0.25">
      <c r="A1532" s="141"/>
      <c r="B1532" s="379"/>
      <c r="C1532" s="379"/>
      <c r="D1532" s="379"/>
      <c r="E1532" s="379"/>
      <c r="F1532" s="379"/>
      <c r="G1532" s="379"/>
      <c r="H1532" s="379"/>
      <c r="I1532" s="379"/>
      <c r="J1532" s="379"/>
      <c r="K1532" s="379"/>
      <c r="L1532" s="379"/>
      <c r="M1532" s="379"/>
      <c r="N1532" s="379"/>
      <c r="O1532" s="379"/>
      <c r="P1532" s="379"/>
      <c r="Q1532" s="379"/>
      <c r="R1532" s="379"/>
      <c r="S1532" s="379"/>
      <c r="T1532" s="379"/>
      <c r="U1532" s="379"/>
      <c r="V1532" s="379"/>
      <c r="W1532" s="379"/>
      <c r="X1532" s="379"/>
      <c r="Y1532" s="379"/>
      <c r="Z1532" s="379"/>
      <c r="AA1532" s="379"/>
      <c r="AB1532" s="379"/>
      <c r="AC1532" s="379"/>
      <c r="AD1532" s="379"/>
      <c r="AE1532" s="379"/>
      <c r="AF1532" s="379"/>
      <c r="AG1532" s="379"/>
      <c r="AH1532" s="379"/>
      <c r="AI1532" s="379"/>
      <c r="AJ1532" s="379"/>
      <c r="AK1532" s="379"/>
      <c r="AL1532" s="379"/>
      <c r="AM1532" s="379"/>
      <c r="AN1532" s="379"/>
      <c r="AO1532" s="379"/>
      <c r="AP1532" s="379"/>
      <c r="AQ1532" s="379"/>
      <c r="AR1532" s="379"/>
      <c r="AS1532" s="379"/>
      <c r="AT1532" s="379"/>
      <c r="AU1532" s="379"/>
      <c r="AV1532" s="379"/>
      <c r="AW1532" s="379"/>
      <c r="AX1532" s="379"/>
      <c r="AY1532" s="379"/>
      <c r="AZ1532" s="379"/>
      <c r="BA1532" s="379"/>
      <c r="BB1532" s="379"/>
      <c r="BC1532" s="379"/>
      <c r="BD1532" s="379"/>
      <c r="BE1532" s="379"/>
      <c r="BF1532" s="379"/>
      <c r="BG1532" s="379"/>
      <c r="BH1532" s="379"/>
      <c r="BI1532" s="379"/>
      <c r="BJ1532" s="379"/>
      <c r="BK1532" s="379"/>
      <c r="BL1532" s="379"/>
      <c r="BM1532" s="379"/>
      <c r="BN1532" s="379"/>
      <c r="BO1532" s="379"/>
      <c r="BP1532" s="379"/>
      <c r="BQ1532" s="379"/>
      <c r="BR1532" s="379"/>
      <c r="BS1532" s="379"/>
      <c r="BT1532" s="379"/>
      <c r="BU1532" s="379"/>
      <c r="BV1532" s="379"/>
      <c r="BW1532" s="379"/>
      <c r="BX1532" s="379"/>
      <c r="BY1532" s="379"/>
      <c r="BZ1532" s="379"/>
      <c r="CA1532" s="281"/>
      <c r="CB1532" s="3" t="str">
        <f t="shared" si="237"/>
        <v>Riadok bude skrytý.</v>
      </c>
      <c r="CC1532" s="271" t="s">
        <v>832</v>
      </c>
      <c r="CW1532" s="30">
        <f t="shared" si="234"/>
        <v>1</v>
      </c>
      <c r="CX1532" s="30">
        <f t="shared" si="235"/>
        <v>0</v>
      </c>
      <c r="CZ1532" s="30">
        <f t="shared" si="232"/>
        <v>1</v>
      </c>
      <c r="DA1532" s="52">
        <f t="shared" si="236"/>
        <v>0</v>
      </c>
      <c r="DB1532" s="2">
        <f t="shared" si="233"/>
        <v>0</v>
      </c>
      <c r="DS1532" s="130">
        <f>SI!BY1532</f>
        <v>125</v>
      </c>
      <c r="DZ1532" s="131">
        <f>SI!BZ1532</f>
        <v>0</v>
      </c>
    </row>
    <row r="1533" spans="1:130" hidden="1" x14ac:dyDescent="0.25">
      <c r="A1533" s="141"/>
      <c r="B1533" s="379"/>
      <c r="C1533" s="379"/>
      <c r="D1533" s="379"/>
      <c r="E1533" s="379"/>
      <c r="F1533" s="379"/>
      <c r="G1533" s="379"/>
      <c r="H1533" s="379"/>
      <c r="I1533" s="379"/>
      <c r="J1533" s="379"/>
      <c r="K1533" s="379"/>
      <c r="L1533" s="379"/>
      <c r="M1533" s="379"/>
      <c r="N1533" s="379"/>
      <c r="O1533" s="379"/>
      <c r="P1533" s="379"/>
      <c r="Q1533" s="379"/>
      <c r="R1533" s="379"/>
      <c r="S1533" s="379"/>
      <c r="T1533" s="379"/>
      <c r="U1533" s="379"/>
      <c r="V1533" s="379"/>
      <c r="W1533" s="379"/>
      <c r="X1533" s="379"/>
      <c r="Y1533" s="379"/>
      <c r="Z1533" s="379"/>
      <c r="AA1533" s="379"/>
      <c r="AB1533" s="379"/>
      <c r="AC1533" s="379"/>
      <c r="AD1533" s="379"/>
      <c r="AE1533" s="379"/>
      <c r="AF1533" s="379"/>
      <c r="AG1533" s="379"/>
      <c r="AH1533" s="379"/>
      <c r="AI1533" s="379"/>
      <c r="AJ1533" s="379"/>
      <c r="AK1533" s="379"/>
      <c r="AL1533" s="379"/>
      <c r="AM1533" s="379"/>
      <c r="AN1533" s="379"/>
      <c r="AO1533" s="379"/>
      <c r="AP1533" s="379"/>
      <c r="AQ1533" s="379"/>
      <c r="AR1533" s="379"/>
      <c r="AS1533" s="379"/>
      <c r="AT1533" s="379"/>
      <c r="AU1533" s="379"/>
      <c r="AV1533" s="379"/>
      <c r="AW1533" s="379"/>
      <c r="AX1533" s="379"/>
      <c r="AY1533" s="379"/>
      <c r="AZ1533" s="379"/>
      <c r="BA1533" s="379"/>
      <c r="BB1533" s="379"/>
      <c r="BC1533" s="379"/>
      <c r="BD1533" s="379"/>
      <c r="BE1533" s="379"/>
      <c r="BF1533" s="379"/>
      <c r="BG1533" s="379"/>
      <c r="BH1533" s="379"/>
      <c r="BI1533" s="379"/>
      <c r="BJ1533" s="379"/>
      <c r="BK1533" s="379"/>
      <c r="BL1533" s="379"/>
      <c r="BM1533" s="379"/>
      <c r="BN1533" s="379"/>
      <c r="BO1533" s="379"/>
      <c r="BP1533" s="379"/>
      <c r="BQ1533" s="379"/>
      <c r="BR1533" s="379"/>
      <c r="BS1533" s="379"/>
      <c r="BT1533" s="379"/>
      <c r="BU1533" s="379"/>
      <c r="BV1533" s="379"/>
      <c r="BW1533" s="379"/>
      <c r="BX1533" s="379"/>
      <c r="BY1533" s="379"/>
      <c r="BZ1533" s="379"/>
      <c r="CA1533" s="281"/>
      <c r="CB1533" s="3" t="str">
        <f t="shared" si="237"/>
        <v>Riadok bude skrytý.</v>
      </c>
      <c r="CC1533" s="271" t="s">
        <v>832</v>
      </c>
      <c r="CW1533" s="30">
        <f t="shared" si="234"/>
        <v>1</v>
      </c>
      <c r="CX1533" s="30">
        <f t="shared" si="235"/>
        <v>0</v>
      </c>
      <c r="CZ1533" s="30">
        <f t="shared" si="232"/>
        <v>1</v>
      </c>
      <c r="DA1533" s="52">
        <f t="shared" si="236"/>
        <v>0</v>
      </c>
      <c r="DB1533" s="2">
        <f t="shared" si="233"/>
        <v>0</v>
      </c>
      <c r="DS1533" s="130">
        <f>SI!BY1533</f>
        <v>130</v>
      </c>
      <c r="DZ1533" s="131">
        <f>SI!BZ1533</f>
        <v>0</v>
      </c>
    </row>
    <row r="1534" spans="1:130" hidden="1" x14ac:dyDescent="0.25">
      <c r="A1534" s="141"/>
      <c r="B1534" s="379"/>
      <c r="C1534" s="379"/>
      <c r="D1534" s="379"/>
      <c r="E1534" s="379"/>
      <c r="F1534" s="379"/>
      <c r="G1534" s="379"/>
      <c r="H1534" s="379"/>
      <c r="I1534" s="379"/>
      <c r="J1534" s="379"/>
      <c r="K1534" s="379"/>
      <c r="L1534" s="379"/>
      <c r="M1534" s="379"/>
      <c r="N1534" s="379"/>
      <c r="O1534" s="379"/>
      <c r="P1534" s="379"/>
      <c r="Q1534" s="379"/>
      <c r="R1534" s="379"/>
      <c r="S1534" s="379"/>
      <c r="T1534" s="379"/>
      <c r="U1534" s="379"/>
      <c r="V1534" s="379"/>
      <c r="W1534" s="379"/>
      <c r="X1534" s="379"/>
      <c r="Y1534" s="379"/>
      <c r="Z1534" s="379"/>
      <c r="AA1534" s="379"/>
      <c r="AB1534" s="379"/>
      <c r="AC1534" s="379"/>
      <c r="AD1534" s="379"/>
      <c r="AE1534" s="379"/>
      <c r="AF1534" s="379"/>
      <c r="AG1534" s="379"/>
      <c r="AH1534" s="379"/>
      <c r="AI1534" s="379"/>
      <c r="AJ1534" s="379"/>
      <c r="AK1534" s="379"/>
      <c r="AL1534" s="379"/>
      <c r="AM1534" s="379"/>
      <c r="AN1534" s="379"/>
      <c r="AO1534" s="379"/>
      <c r="AP1534" s="379"/>
      <c r="AQ1534" s="379"/>
      <c r="AR1534" s="379"/>
      <c r="AS1534" s="379"/>
      <c r="AT1534" s="379"/>
      <c r="AU1534" s="379"/>
      <c r="AV1534" s="379"/>
      <c r="AW1534" s="379"/>
      <c r="AX1534" s="379"/>
      <c r="AY1534" s="379"/>
      <c r="AZ1534" s="379"/>
      <c r="BA1534" s="379"/>
      <c r="BB1534" s="379"/>
      <c r="BC1534" s="379"/>
      <c r="BD1534" s="379"/>
      <c r="BE1534" s="379"/>
      <c r="BF1534" s="379"/>
      <c r="BG1534" s="379"/>
      <c r="BH1534" s="379"/>
      <c r="BI1534" s="379"/>
      <c r="BJ1534" s="379"/>
      <c r="BK1534" s="379"/>
      <c r="BL1534" s="379"/>
      <c r="BM1534" s="379"/>
      <c r="BN1534" s="379"/>
      <c r="BO1534" s="379"/>
      <c r="BP1534" s="379"/>
      <c r="BQ1534" s="379"/>
      <c r="BR1534" s="379"/>
      <c r="BS1534" s="379"/>
      <c r="BT1534" s="379"/>
      <c r="BU1534" s="379"/>
      <c r="BV1534" s="379"/>
      <c r="BW1534" s="379"/>
      <c r="BX1534" s="379"/>
      <c r="BY1534" s="379"/>
      <c r="BZ1534" s="379"/>
      <c r="CA1534" s="281"/>
      <c r="CB1534" s="3" t="str">
        <f t="shared" si="237"/>
        <v>Riadok bude skrytý.</v>
      </c>
      <c r="CC1534" s="271" t="s">
        <v>832</v>
      </c>
      <c r="CW1534" s="30">
        <f t="shared" si="234"/>
        <v>1</v>
      </c>
      <c r="CX1534" s="30">
        <f t="shared" si="235"/>
        <v>0</v>
      </c>
      <c r="CZ1534" s="30">
        <f t="shared" si="232"/>
        <v>1</v>
      </c>
      <c r="DA1534" s="52">
        <f t="shared" si="236"/>
        <v>0</v>
      </c>
      <c r="DB1534" s="2">
        <f t="shared" si="233"/>
        <v>0</v>
      </c>
      <c r="DS1534" s="130">
        <f>SI!BY1534</f>
        <v>149</v>
      </c>
      <c r="DZ1534" s="131">
        <f>SI!BZ1534</f>
        <v>0</v>
      </c>
    </row>
    <row r="1535" spans="1:130" hidden="1" x14ac:dyDescent="0.25">
      <c r="A1535" s="141"/>
      <c r="B1535" s="379"/>
      <c r="C1535" s="379"/>
      <c r="D1535" s="379"/>
      <c r="E1535" s="379"/>
      <c r="F1535" s="379"/>
      <c r="G1535" s="379"/>
      <c r="H1535" s="379"/>
      <c r="I1535" s="379"/>
      <c r="J1535" s="379"/>
      <c r="K1535" s="379"/>
      <c r="L1535" s="379"/>
      <c r="M1535" s="379"/>
      <c r="N1535" s="379"/>
      <c r="O1535" s="379"/>
      <c r="P1535" s="379"/>
      <c r="Q1535" s="379"/>
      <c r="R1535" s="379"/>
      <c r="S1535" s="379"/>
      <c r="T1535" s="379"/>
      <c r="U1535" s="379"/>
      <c r="V1535" s="379"/>
      <c r="W1535" s="379"/>
      <c r="X1535" s="379"/>
      <c r="Y1535" s="379"/>
      <c r="Z1535" s="379"/>
      <c r="AA1535" s="379"/>
      <c r="AB1535" s="379"/>
      <c r="AC1535" s="379"/>
      <c r="AD1535" s="379"/>
      <c r="AE1535" s="379"/>
      <c r="AF1535" s="379"/>
      <c r="AG1535" s="379"/>
      <c r="AH1535" s="379"/>
      <c r="AI1535" s="379"/>
      <c r="AJ1535" s="379"/>
      <c r="AK1535" s="379"/>
      <c r="AL1535" s="379"/>
      <c r="AM1535" s="379"/>
      <c r="AN1535" s="379"/>
      <c r="AO1535" s="379"/>
      <c r="AP1535" s="379"/>
      <c r="AQ1535" s="379"/>
      <c r="AR1535" s="379"/>
      <c r="AS1535" s="379"/>
      <c r="AT1535" s="379"/>
      <c r="AU1535" s="379"/>
      <c r="AV1535" s="379"/>
      <c r="AW1535" s="379"/>
      <c r="AX1535" s="379"/>
      <c r="AY1535" s="379"/>
      <c r="AZ1535" s="379"/>
      <c r="BA1535" s="379"/>
      <c r="BB1535" s="379"/>
      <c r="BC1535" s="379"/>
      <c r="BD1535" s="379"/>
      <c r="BE1535" s="379"/>
      <c r="BF1535" s="379"/>
      <c r="BG1535" s="379"/>
      <c r="BH1535" s="379"/>
      <c r="BI1535" s="379"/>
      <c r="BJ1535" s="379"/>
      <c r="BK1535" s="379"/>
      <c r="BL1535" s="379"/>
      <c r="BM1535" s="379"/>
      <c r="BN1535" s="379"/>
      <c r="BO1535" s="379"/>
      <c r="BP1535" s="379"/>
      <c r="BQ1535" s="379"/>
      <c r="BR1535" s="379"/>
      <c r="BS1535" s="379"/>
      <c r="BT1535" s="379"/>
      <c r="BU1535" s="379"/>
      <c r="BV1535" s="379"/>
      <c r="BW1535" s="379"/>
      <c r="BX1535" s="379"/>
      <c r="BY1535" s="379"/>
      <c r="BZ1535" s="379"/>
      <c r="CA1535" s="281"/>
      <c r="CB1535" s="3" t="str">
        <f t="shared" si="237"/>
        <v>Riadok bude skrytý.</v>
      </c>
      <c r="CC1535" s="271" t="s">
        <v>832</v>
      </c>
      <c r="CW1535" s="30">
        <f t="shared" si="234"/>
        <v>1</v>
      </c>
      <c r="CX1535" s="30">
        <f t="shared" si="235"/>
        <v>0</v>
      </c>
      <c r="CZ1535" s="30">
        <f t="shared" si="232"/>
        <v>1</v>
      </c>
      <c r="DA1535" s="52">
        <f t="shared" si="236"/>
        <v>0</v>
      </c>
      <c r="DB1535" s="2">
        <f t="shared" si="233"/>
        <v>0</v>
      </c>
      <c r="DS1535" s="130">
        <f>SI!BY1535</f>
        <v>134</v>
      </c>
      <c r="DZ1535" s="131">
        <f>SI!BZ1535</f>
        <v>0</v>
      </c>
    </row>
    <row r="1536" spans="1:130" hidden="1" x14ac:dyDescent="0.25">
      <c r="A1536" s="141"/>
      <c r="B1536" s="379"/>
      <c r="C1536" s="379"/>
      <c r="D1536" s="379"/>
      <c r="E1536" s="379"/>
      <c r="F1536" s="379"/>
      <c r="G1536" s="379"/>
      <c r="H1536" s="379"/>
      <c r="I1536" s="379"/>
      <c r="J1536" s="379"/>
      <c r="K1536" s="379"/>
      <c r="L1536" s="379"/>
      <c r="M1536" s="379"/>
      <c r="N1536" s="379"/>
      <c r="O1536" s="379"/>
      <c r="P1536" s="379"/>
      <c r="Q1536" s="379"/>
      <c r="R1536" s="379"/>
      <c r="S1536" s="379"/>
      <c r="T1536" s="379"/>
      <c r="U1536" s="379"/>
      <c r="V1536" s="379"/>
      <c r="W1536" s="379"/>
      <c r="X1536" s="379"/>
      <c r="Y1536" s="379"/>
      <c r="Z1536" s="379"/>
      <c r="AA1536" s="379"/>
      <c r="AB1536" s="379"/>
      <c r="AC1536" s="379"/>
      <c r="AD1536" s="379"/>
      <c r="AE1536" s="379"/>
      <c r="AF1536" s="379"/>
      <c r="AG1536" s="379"/>
      <c r="AH1536" s="379"/>
      <c r="AI1536" s="379"/>
      <c r="AJ1536" s="379"/>
      <c r="AK1536" s="379"/>
      <c r="AL1536" s="379"/>
      <c r="AM1536" s="379"/>
      <c r="AN1536" s="379"/>
      <c r="AO1536" s="379"/>
      <c r="AP1536" s="379"/>
      <c r="AQ1536" s="379"/>
      <c r="AR1536" s="379"/>
      <c r="AS1536" s="379"/>
      <c r="AT1536" s="379"/>
      <c r="AU1536" s="379"/>
      <c r="AV1536" s="379"/>
      <c r="AW1536" s="379"/>
      <c r="AX1536" s="379"/>
      <c r="AY1536" s="379"/>
      <c r="AZ1536" s="379"/>
      <c r="BA1536" s="379"/>
      <c r="BB1536" s="379"/>
      <c r="BC1536" s="379"/>
      <c r="BD1536" s="379"/>
      <c r="BE1536" s="379"/>
      <c r="BF1536" s="379"/>
      <c r="BG1536" s="379"/>
      <c r="BH1536" s="379"/>
      <c r="BI1536" s="379"/>
      <c r="BJ1536" s="379"/>
      <c r="BK1536" s="379"/>
      <c r="BL1536" s="379"/>
      <c r="BM1536" s="379"/>
      <c r="BN1536" s="379"/>
      <c r="BO1536" s="379"/>
      <c r="BP1536" s="379"/>
      <c r="BQ1536" s="379"/>
      <c r="BR1536" s="379"/>
      <c r="BS1536" s="379"/>
      <c r="BT1536" s="379"/>
      <c r="BU1536" s="379"/>
      <c r="BV1536" s="379"/>
      <c r="BW1536" s="379"/>
      <c r="BX1536" s="379"/>
      <c r="BY1536" s="379"/>
      <c r="BZ1536" s="379"/>
      <c r="CA1536" s="281"/>
      <c r="CB1536" s="3" t="str">
        <f t="shared" si="237"/>
        <v>Riadok bude skrytý.</v>
      </c>
      <c r="CC1536" s="271" t="s">
        <v>832</v>
      </c>
      <c r="CW1536" s="30">
        <f t="shared" si="234"/>
        <v>1</v>
      </c>
      <c r="CX1536" s="30">
        <f t="shared" si="235"/>
        <v>0</v>
      </c>
      <c r="CZ1536" s="30">
        <f t="shared" si="232"/>
        <v>1</v>
      </c>
      <c r="DA1536" s="52">
        <f t="shared" si="236"/>
        <v>0</v>
      </c>
      <c r="DB1536" s="2">
        <f t="shared" si="233"/>
        <v>0</v>
      </c>
      <c r="DS1536" s="130">
        <f>SI!BY1536</f>
        <v>187</v>
      </c>
      <c r="DZ1536" s="131">
        <f>SI!BZ1536</f>
        <v>0</v>
      </c>
    </row>
    <row r="1537" spans="1:130" hidden="1" x14ac:dyDescent="0.25">
      <c r="A1537" s="141"/>
      <c r="B1537" s="379"/>
      <c r="C1537" s="379"/>
      <c r="D1537" s="379"/>
      <c r="E1537" s="379"/>
      <c r="F1537" s="379"/>
      <c r="G1537" s="379"/>
      <c r="H1537" s="379"/>
      <c r="I1537" s="379"/>
      <c r="J1537" s="379"/>
      <c r="K1537" s="379"/>
      <c r="L1537" s="379"/>
      <c r="M1537" s="379"/>
      <c r="N1537" s="379"/>
      <c r="O1537" s="379"/>
      <c r="P1537" s="379"/>
      <c r="Q1537" s="379"/>
      <c r="R1537" s="379"/>
      <c r="S1537" s="379"/>
      <c r="T1537" s="379"/>
      <c r="U1537" s="379"/>
      <c r="V1537" s="379"/>
      <c r="W1537" s="379"/>
      <c r="X1537" s="379"/>
      <c r="Y1537" s="379"/>
      <c r="Z1537" s="379"/>
      <c r="AA1537" s="379"/>
      <c r="AB1537" s="379"/>
      <c r="AC1537" s="379"/>
      <c r="AD1537" s="379"/>
      <c r="AE1537" s="379"/>
      <c r="AF1537" s="379"/>
      <c r="AG1537" s="379"/>
      <c r="AH1537" s="379"/>
      <c r="AI1537" s="379"/>
      <c r="AJ1537" s="379"/>
      <c r="AK1537" s="379"/>
      <c r="AL1537" s="379"/>
      <c r="AM1537" s="379"/>
      <c r="AN1537" s="379"/>
      <c r="AO1537" s="379"/>
      <c r="AP1537" s="379"/>
      <c r="AQ1537" s="379"/>
      <c r="AR1537" s="379"/>
      <c r="AS1537" s="379"/>
      <c r="AT1537" s="379"/>
      <c r="AU1537" s="379"/>
      <c r="AV1537" s="379"/>
      <c r="AW1537" s="379"/>
      <c r="AX1537" s="379"/>
      <c r="AY1537" s="379"/>
      <c r="AZ1537" s="379"/>
      <c r="BA1537" s="379"/>
      <c r="BB1537" s="379"/>
      <c r="BC1537" s="379"/>
      <c r="BD1537" s="379"/>
      <c r="BE1537" s="379"/>
      <c r="BF1537" s="379"/>
      <c r="BG1537" s="379"/>
      <c r="BH1537" s="379"/>
      <c r="BI1537" s="379"/>
      <c r="BJ1537" s="379"/>
      <c r="BK1537" s="379"/>
      <c r="BL1537" s="379"/>
      <c r="BM1537" s="379"/>
      <c r="BN1537" s="379"/>
      <c r="BO1537" s="379"/>
      <c r="BP1537" s="379"/>
      <c r="BQ1537" s="379"/>
      <c r="BR1537" s="379"/>
      <c r="BS1537" s="379"/>
      <c r="BT1537" s="379"/>
      <c r="BU1537" s="379"/>
      <c r="BV1537" s="379"/>
      <c r="BW1537" s="379"/>
      <c r="BX1537" s="379"/>
      <c r="BY1537" s="379"/>
      <c r="BZ1537" s="379"/>
      <c r="CA1537" s="281"/>
      <c r="CB1537" s="3" t="str">
        <f t="shared" si="237"/>
        <v>Riadok bude skrytý.</v>
      </c>
      <c r="CC1537" s="271" t="s">
        <v>832</v>
      </c>
      <c r="CW1537" s="30">
        <f t="shared" si="234"/>
        <v>1</v>
      </c>
      <c r="CX1537" s="30">
        <f t="shared" si="235"/>
        <v>0</v>
      </c>
      <c r="CZ1537" s="30">
        <f t="shared" si="232"/>
        <v>1</v>
      </c>
      <c r="DA1537" s="52">
        <f t="shared" si="236"/>
        <v>0</v>
      </c>
      <c r="DB1537" s="2">
        <f t="shared" si="233"/>
        <v>0</v>
      </c>
      <c r="DS1537" s="130">
        <f>SI!BY1537</f>
        <v>144</v>
      </c>
      <c r="DZ1537" s="131">
        <f>SI!BZ1537</f>
        <v>0</v>
      </c>
    </row>
    <row r="1538" spans="1:130" hidden="1" x14ac:dyDescent="0.25">
      <c r="A1538" s="141"/>
      <c r="B1538" s="379"/>
      <c r="C1538" s="379"/>
      <c r="D1538" s="379"/>
      <c r="E1538" s="379"/>
      <c r="F1538" s="379"/>
      <c r="G1538" s="379"/>
      <c r="H1538" s="379"/>
      <c r="I1538" s="379"/>
      <c r="J1538" s="379"/>
      <c r="K1538" s="379"/>
      <c r="L1538" s="379"/>
      <c r="M1538" s="379"/>
      <c r="N1538" s="379"/>
      <c r="O1538" s="379"/>
      <c r="P1538" s="379"/>
      <c r="Q1538" s="379"/>
      <c r="R1538" s="379"/>
      <c r="S1538" s="379"/>
      <c r="T1538" s="379"/>
      <c r="U1538" s="379"/>
      <c r="V1538" s="379"/>
      <c r="W1538" s="379"/>
      <c r="X1538" s="379"/>
      <c r="Y1538" s="379"/>
      <c r="Z1538" s="379"/>
      <c r="AA1538" s="379"/>
      <c r="AB1538" s="379"/>
      <c r="AC1538" s="379"/>
      <c r="AD1538" s="379"/>
      <c r="AE1538" s="379"/>
      <c r="AF1538" s="379"/>
      <c r="AG1538" s="379"/>
      <c r="AH1538" s="379"/>
      <c r="AI1538" s="379"/>
      <c r="AJ1538" s="379"/>
      <c r="AK1538" s="379"/>
      <c r="AL1538" s="379"/>
      <c r="AM1538" s="379"/>
      <c r="AN1538" s="379"/>
      <c r="AO1538" s="379"/>
      <c r="AP1538" s="379"/>
      <c r="AQ1538" s="379"/>
      <c r="AR1538" s="379"/>
      <c r="AS1538" s="379"/>
      <c r="AT1538" s="379"/>
      <c r="AU1538" s="379"/>
      <c r="AV1538" s="379"/>
      <c r="AW1538" s="379"/>
      <c r="AX1538" s="379"/>
      <c r="AY1538" s="379"/>
      <c r="AZ1538" s="379"/>
      <c r="BA1538" s="379"/>
      <c r="BB1538" s="379"/>
      <c r="BC1538" s="379"/>
      <c r="BD1538" s="379"/>
      <c r="BE1538" s="379"/>
      <c r="BF1538" s="379"/>
      <c r="BG1538" s="379"/>
      <c r="BH1538" s="379"/>
      <c r="BI1538" s="379"/>
      <c r="BJ1538" s="379"/>
      <c r="BK1538" s="379"/>
      <c r="BL1538" s="379"/>
      <c r="BM1538" s="379"/>
      <c r="BN1538" s="379"/>
      <c r="BO1538" s="379"/>
      <c r="BP1538" s="379"/>
      <c r="BQ1538" s="379"/>
      <c r="BR1538" s="379"/>
      <c r="BS1538" s="379"/>
      <c r="BT1538" s="379"/>
      <c r="BU1538" s="379"/>
      <c r="BV1538" s="379"/>
      <c r="BW1538" s="379"/>
      <c r="BX1538" s="379"/>
      <c r="BY1538" s="379"/>
      <c r="BZ1538" s="379"/>
      <c r="CA1538" s="281"/>
      <c r="CB1538" s="3" t="str">
        <f t="shared" si="237"/>
        <v>Riadok bude skrytý.</v>
      </c>
      <c r="CC1538" s="271" t="s">
        <v>832</v>
      </c>
      <c r="CW1538" s="30">
        <f t="shared" si="234"/>
        <v>1</v>
      </c>
      <c r="CX1538" s="30">
        <f t="shared" si="235"/>
        <v>0</v>
      </c>
      <c r="CZ1538" s="30">
        <f t="shared" si="232"/>
        <v>1</v>
      </c>
      <c r="DA1538" s="52">
        <f t="shared" si="236"/>
        <v>0</v>
      </c>
      <c r="DB1538" s="2">
        <f t="shared" si="233"/>
        <v>0</v>
      </c>
      <c r="DS1538" s="130">
        <f>SI!BY1538</f>
        <v>177</v>
      </c>
      <c r="DZ1538" s="131">
        <f>SI!BZ1538</f>
        <v>0</v>
      </c>
    </row>
    <row r="1539" spans="1:130" hidden="1" x14ac:dyDescent="0.25">
      <c r="A1539" s="141"/>
      <c r="B1539" s="379"/>
      <c r="C1539" s="379"/>
      <c r="D1539" s="379"/>
      <c r="E1539" s="379"/>
      <c r="F1539" s="379"/>
      <c r="G1539" s="379"/>
      <c r="H1539" s="379"/>
      <c r="I1539" s="379"/>
      <c r="J1539" s="379"/>
      <c r="K1539" s="379"/>
      <c r="L1539" s="379"/>
      <c r="M1539" s="379"/>
      <c r="N1539" s="379"/>
      <c r="O1539" s="379"/>
      <c r="P1539" s="379"/>
      <c r="Q1539" s="379"/>
      <c r="R1539" s="379"/>
      <c r="S1539" s="379"/>
      <c r="T1539" s="379"/>
      <c r="U1539" s="379"/>
      <c r="V1539" s="379"/>
      <c r="W1539" s="379"/>
      <c r="X1539" s="379"/>
      <c r="Y1539" s="379"/>
      <c r="Z1539" s="379"/>
      <c r="AA1539" s="379"/>
      <c r="AB1539" s="379"/>
      <c r="AC1539" s="379"/>
      <c r="AD1539" s="379"/>
      <c r="AE1539" s="379"/>
      <c r="AF1539" s="379"/>
      <c r="AG1539" s="379"/>
      <c r="AH1539" s="379"/>
      <c r="AI1539" s="379"/>
      <c r="AJ1539" s="379"/>
      <c r="AK1539" s="379"/>
      <c r="AL1539" s="379"/>
      <c r="AM1539" s="379"/>
      <c r="AN1539" s="379"/>
      <c r="AO1539" s="379"/>
      <c r="AP1539" s="379"/>
      <c r="AQ1539" s="379"/>
      <c r="AR1539" s="379"/>
      <c r="AS1539" s="379"/>
      <c r="AT1539" s="379"/>
      <c r="AU1539" s="379"/>
      <c r="AV1539" s="379"/>
      <c r="AW1539" s="379"/>
      <c r="AX1539" s="379"/>
      <c r="AY1539" s="379"/>
      <c r="AZ1539" s="379"/>
      <c r="BA1539" s="379"/>
      <c r="BB1539" s="379"/>
      <c r="BC1539" s="379"/>
      <c r="BD1539" s="379"/>
      <c r="BE1539" s="379"/>
      <c r="BF1539" s="379"/>
      <c r="BG1539" s="379"/>
      <c r="BH1539" s="379"/>
      <c r="BI1539" s="379"/>
      <c r="BJ1539" s="379"/>
      <c r="BK1539" s="379"/>
      <c r="BL1539" s="379"/>
      <c r="BM1539" s="379"/>
      <c r="BN1539" s="379"/>
      <c r="BO1539" s="379"/>
      <c r="BP1539" s="379"/>
      <c r="BQ1539" s="379"/>
      <c r="BR1539" s="379"/>
      <c r="BS1539" s="379"/>
      <c r="BT1539" s="379"/>
      <c r="BU1539" s="379"/>
      <c r="BV1539" s="379"/>
      <c r="BW1539" s="379"/>
      <c r="BX1539" s="379"/>
      <c r="BY1539" s="379"/>
      <c r="BZ1539" s="379"/>
      <c r="CA1539" s="281"/>
      <c r="CB1539" s="3" t="str">
        <f t="shared" si="237"/>
        <v>Riadok bude skrytý.</v>
      </c>
      <c r="CC1539" s="271" t="s">
        <v>832</v>
      </c>
      <c r="CW1539" s="30">
        <f t="shared" si="234"/>
        <v>1</v>
      </c>
      <c r="CX1539" s="30">
        <f t="shared" si="235"/>
        <v>0</v>
      </c>
      <c r="CZ1539" s="30">
        <f t="shared" si="232"/>
        <v>1</v>
      </c>
      <c r="DA1539" s="52">
        <f t="shared" si="236"/>
        <v>0</v>
      </c>
      <c r="DB1539" s="2">
        <f t="shared" si="233"/>
        <v>0</v>
      </c>
      <c r="DS1539" s="130">
        <f>SI!BY1539</f>
        <v>164</v>
      </c>
      <c r="DZ1539" s="131">
        <f>SI!BZ1539</f>
        <v>0</v>
      </c>
    </row>
    <row r="1540" spans="1:130" hidden="1" x14ac:dyDescent="0.25">
      <c r="A1540" s="141"/>
      <c r="B1540" s="379"/>
      <c r="C1540" s="379"/>
      <c r="D1540" s="379"/>
      <c r="E1540" s="379"/>
      <c r="F1540" s="379"/>
      <c r="G1540" s="379"/>
      <c r="H1540" s="379"/>
      <c r="I1540" s="379"/>
      <c r="J1540" s="379"/>
      <c r="K1540" s="379"/>
      <c r="L1540" s="379"/>
      <c r="M1540" s="379"/>
      <c r="N1540" s="379"/>
      <c r="O1540" s="379"/>
      <c r="P1540" s="379"/>
      <c r="Q1540" s="379"/>
      <c r="R1540" s="379"/>
      <c r="S1540" s="379"/>
      <c r="T1540" s="379"/>
      <c r="U1540" s="379"/>
      <c r="V1540" s="379"/>
      <c r="W1540" s="379"/>
      <c r="X1540" s="379"/>
      <c r="Y1540" s="379"/>
      <c r="Z1540" s="379"/>
      <c r="AA1540" s="379"/>
      <c r="AB1540" s="379"/>
      <c r="AC1540" s="379"/>
      <c r="AD1540" s="379"/>
      <c r="AE1540" s="379"/>
      <c r="AF1540" s="379"/>
      <c r="AG1540" s="379"/>
      <c r="AH1540" s="379"/>
      <c r="AI1540" s="379"/>
      <c r="AJ1540" s="379"/>
      <c r="AK1540" s="379"/>
      <c r="AL1540" s="379"/>
      <c r="AM1540" s="379"/>
      <c r="AN1540" s="379"/>
      <c r="AO1540" s="379"/>
      <c r="AP1540" s="379"/>
      <c r="AQ1540" s="379"/>
      <c r="AR1540" s="379"/>
      <c r="AS1540" s="379"/>
      <c r="AT1540" s="379"/>
      <c r="AU1540" s="379"/>
      <c r="AV1540" s="379"/>
      <c r="AW1540" s="379"/>
      <c r="AX1540" s="379"/>
      <c r="AY1540" s="379"/>
      <c r="AZ1540" s="379"/>
      <c r="BA1540" s="379"/>
      <c r="BB1540" s="379"/>
      <c r="BC1540" s="379"/>
      <c r="BD1540" s="379"/>
      <c r="BE1540" s="379"/>
      <c r="BF1540" s="379"/>
      <c r="BG1540" s="379"/>
      <c r="BH1540" s="379"/>
      <c r="BI1540" s="379"/>
      <c r="BJ1540" s="379"/>
      <c r="BK1540" s="379"/>
      <c r="BL1540" s="379"/>
      <c r="BM1540" s="379"/>
      <c r="BN1540" s="379"/>
      <c r="BO1540" s="379"/>
      <c r="BP1540" s="379"/>
      <c r="BQ1540" s="379"/>
      <c r="BR1540" s="379"/>
      <c r="BS1540" s="379"/>
      <c r="BT1540" s="379"/>
      <c r="BU1540" s="379"/>
      <c r="BV1540" s="379"/>
      <c r="BW1540" s="379"/>
      <c r="BX1540" s="379"/>
      <c r="BY1540" s="379"/>
      <c r="BZ1540" s="379"/>
      <c r="CA1540" s="281"/>
      <c r="CB1540" s="3" t="str">
        <f t="shared" si="237"/>
        <v>Riadok bude skrytý.</v>
      </c>
      <c r="CC1540" s="271" t="s">
        <v>832</v>
      </c>
      <c r="CW1540" s="30">
        <f t="shared" si="234"/>
        <v>1</v>
      </c>
      <c r="CX1540" s="30">
        <f t="shared" si="235"/>
        <v>0</v>
      </c>
      <c r="CZ1540" s="30">
        <f t="shared" si="232"/>
        <v>1</v>
      </c>
      <c r="DA1540" s="52">
        <f t="shared" si="236"/>
        <v>0</v>
      </c>
      <c r="DB1540" s="2">
        <f t="shared" si="233"/>
        <v>0</v>
      </c>
      <c r="DS1540" s="130">
        <f>SI!BY1540</f>
        <v>168</v>
      </c>
      <c r="DZ1540" s="131">
        <f>SI!BZ1540</f>
        <v>0</v>
      </c>
    </row>
    <row r="1541" spans="1:130" hidden="1" x14ac:dyDescent="0.25">
      <c r="A1541" s="141"/>
      <c r="CA1541" s="270"/>
      <c r="CB1541" s="3" t="str">
        <f t="shared" si="237"/>
        <v>Riadok bude skrytý.</v>
      </c>
      <c r="CC1541" s="271" t="s">
        <v>832</v>
      </c>
      <c r="CW1541" s="30">
        <f t="shared" si="234"/>
        <v>1</v>
      </c>
      <c r="CX1541" s="45"/>
      <c r="CZ1541" s="30">
        <f t="shared" si="232"/>
        <v>1</v>
      </c>
      <c r="DA1541" s="30">
        <f t="shared" si="230"/>
        <v>1</v>
      </c>
      <c r="DB1541" s="2">
        <f t="shared" si="233"/>
        <v>0</v>
      </c>
      <c r="DS1541" s="130">
        <f>SI!BY1541</f>
        <v>169</v>
      </c>
      <c r="DZ1541" s="131">
        <f>SI!BZ1541</f>
        <v>0</v>
      </c>
    </row>
    <row r="1542" spans="1:130" hidden="1" x14ac:dyDescent="0.25">
      <c r="A1542" s="141"/>
      <c r="B1542" s="14" t="s">
        <v>96</v>
      </c>
      <c r="C1542" s="14"/>
      <c r="D1542" s="14"/>
      <c r="E1542" s="14"/>
      <c r="F1542" s="14"/>
      <c r="G1542" s="14"/>
      <c r="H1542" s="14"/>
      <c r="I1542" s="14"/>
      <c r="J1542" s="378" t="s">
        <v>1016</v>
      </c>
      <c r="K1542" s="378"/>
      <c r="L1542" s="378"/>
      <c r="M1542" s="378"/>
      <c r="N1542" s="378"/>
      <c r="O1542" s="378"/>
      <c r="P1542" s="378"/>
      <c r="Q1542" s="378"/>
      <c r="R1542" s="378"/>
      <c r="S1542" s="137" t="str">
        <f>+IF($Q$52&lt;&gt;"",IF((CODE(MID($Q$52,1,1)))*(GCD(121,132))*(IF(SI!EE1542="",1,SI!EE1542))+(LEN(SI!J5)+LEN(SI!J6))=DS1542,"opravné položky k pohľadávkam.","NEPOVOLENÉ POUŽITIE!"),"NEPOVOLENÉ POUŽITIE!")</f>
        <v>opravné položky k pohľadávkam.</v>
      </c>
      <c r="T1542" s="38"/>
      <c r="CA1542" s="142"/>
      <c r="CB1542" s="3" t="str">
        <f t="shared" si="237"/>
        <v>Riadok bude skrytý.</v>
      </c>
      <c r="CC1542" s="271" t="s">
        <v>832</v>
      </c>
      <c r="CF1542" s="13"/>
      <c r="CW1542" s="30">
        <f t="shared" si="234"/>
        <v>1</v>
      </c>
      <c r="CY1542" s="43"/>
      <c r="CZ1542" s="30">
        <f t="shared" si="232"/>
        <v>1</v>
      </c>
      <c r="DA1542" s="30">
        <f t="shared" si="230"/>
        <v>1</v>
      </c>
      <c r="DB1542" s="2">
        <f t="shared" si="233"/>
        <v>0</v>
      </c>
      <c r="DS1542" s="130">
        <f>SI!BY1542</f>
        <v>20</v>
      </c>
      <c r="DZ1542" s="131">
        <f>SI!BZ1542</f>
        <v>0</v>
      </c>
    </row>
    <row r="1543" spans="1:130" hidden="1" x14ac:dyDescent="0.25">
      <c r="A1543" s="141"/>
      <c r="B1543" s="137" t="str">
        <f>+IF(J1542="tvorila","Vývoj opravnej položky v priebehu účtovného obdobia je zobrazený v tabuľke:","")</f>
        <v/>
      </c>
      <c r="CA1543" s="270"/>
      <c r="CB1543" s="3" t="str">
        <f t="shared" si="237"/>
        <v>Riadok bude skrytý.</v>
      </c>
      <c r="CC1543" s="271" t="s">
        <v>832</v>
      </c>
      <c r="CW1543" s="30">
        <f t="shared" si="234"/>
        <v>1</v>
      </c>
      <c r="CX1543" s="30">
        <f t="shared" ref="CX1543:CX1565" si="238">+IF($J$1542="netvorila",0,1)</f>
        <v>0</v>
      </c>
      <c r="CZ1543" s="30">
        <f t="shared" si="232"/>
        <v>1</v>
      </c>
      <c r="DA1543" s="52">
        <f t="shared" ref="DA1543:DA1554" si="239">+IF(CW1543*CX1543=0,0,IF(CZ1543=0,0,1))</f>
        <v>0</v>
      </c>
      <c r="DB1543" s="2">
        <f t="shared" si="233"/>
        <v>0</v>
      </c>
      <c r="DS1543" s="130">
        <f>SI!BY1543</f>
        <v>194</v>
      </c>
      <c r="DZ1543" s="131">
        <f>SI!BZ1543</f>
        <v>0</v>
      </c>
    </row>
    <row r="1544" spans="1:130" hidden="1" x14ac:dyDescent="0.25">
      <c r="A1544" s="141"/>
      <c r="CA1544" s="270"/>
      <c r="CB1544" s="3" t="str">
        <f t="shared" si="237"/>
        <v>Riadok bude skrytý.</v>
      </c>
      <c r="CC1544" s="271" t="s">
        <v>832</v>
      </c>
      <c r="CW1544" s="30">
        <f t="shared" si="234"/>
        <v>1</v>
      </c>
      <c r="CX1544" s="30">
        <f t="shared" si="238"/>
        <v>0</v>
      </c>
      <c r="CZ1544" s="30">
        <f t="shared" si="232"/>
        <v>1</v>
      </c>
      <c r="DA1544" s="52">
        <f t="shared" si="239"/>
        <v>0</v>
      </c>
      <c r="DB1544" s="2">
        <f t="shared" si="233"/>
        <v>0</v>
      </c>
      <c r="DS1544" s="130">
        <f>SI!BY1544</f>
        <v>511</v>
      </c>
      <c r="DZ1544" s="131">
        <f>SI!BZ1544</f>
        <v>0</v>
      </c>
    </row>
    <row r="1545" spans="1:130" ht="14.95" hidden="1" customHeight="1" x14ac:dyDescent="0.25">
      <c r="A1545" s="141"/>
      <c r="B1545" s="439" t="s">
        <v>66</v>
      </c>
      <c r="C1545" s="440"/>
      <c r="D1545" s="440"/>
      <c r="E1545" s="440"/>
      <c r="F1545" s="440"/>
      <c r="G1545" s="440"/>
      <c r="H1545" s="440"/>
      <c r="I1545" s="440"/>
      <c r="J1545" s="440"/>
      <c r="K1545" s="440"/>
      <c r="L1545" s="440"/>
      <c r="M1545" s="440"/>
      <c r="N1545" s="440"/>
      <c r="O1545" s="440"/>
      <c r="P1545" s="440"/>
      <c r="Q1545" s="440"/>
      <c r="R1545" s="440"/>
      <c r="S1545" s="441"/>
      <c r="T1545" s="445">
        <f>+AJ141</f>
        <v>2021</v>
      </c>
      <c r="U1545" s="446"/>
      <c r="V1545" s="446"/>
      <c r="W1545" s="446"/>
      <c r="X1545" s="446"/>
      <c r="Y1545" s="446"/>
      <c r="Z1545" s="446"/>
      <c r="AA1545" s="446"/>
      <c r="AB1545" s="446"/>
      <c r="AC1545" s="446"/>
      <c r="AD1545" s="446"/>
      <c r="AE1545" s="446"/>
      <c r="AF1545" s="446"/>
      <c r="AG1545" s="446"/>
      <c r="AH1545" s="446"/>
      <c r="AI1545" s="446"/>
      <c r="AJ1545" s="446"/>
      <c r="AK1545" s="446"/>
      <c r="AL1545" s="446"/>
      <c r="AM1545" s="446"/>
      <c r="AN1545" s="446"/>
      <c r="AO1545" s="446"/>
      <c r="AP1545" s="446"/>
      <c r="AQ1545" s="446"/>
      <c r="AR1545" s="446"/>
      <c r="AS1545" s="446"/>
      <c r="AT1545" s="446"/>
      <c r="AU1545" s="446"/>
      <c r="AV1545" s="446"/>
      <c r="AW1545" s="446"/>
      <c r="AX1545" s="446"/>
      <c r="AY1545" s="446"/>
      <c r="AZ1545" s="446"/>
      <c r="BA1545" s="446"/>
      <c r="BB1545" s="446"/>
      <c r="BC1545" s="446"/>
      <c r="BD1545" s="446"/>
      <c r="BE1545" s="446"/>
      <c r="BF1545" s="446"/>
      <c r="BG1545" s="446"/>
      <c r="BH1545" s="446"/>
      <c r="BI1545" s="446"/>
      <c r="BJ1545" s="446"/>
      <c r="BK1545" s="446"/>
      <c r="BL1545" s="446"/>
      <c r="BM1545" s="446"/>
      <c r="BN1545" s="446"/>
      <c r="BO1545" s="446"/>
      <c r="BP1545" s="446"/>
      <c r="BQ1545" s="446"/>
      <c r="BR1545" s="446"/>
      <c r="BS1545" s="446"/>
      <c r="BT1545" s="446"/>
      <c r="BU1545" s="446"/>
      <c r="BV1545" s="446"/>
      <c r="BW1545" s="446"/>
      <c r="BX1545" s="446"/>
      <c r="BY1545" s="446"/>
      <c r="BZ1545" s="447"/>
      <c r="CA1545" s="265" t="s">
        <v>773</v>
      </c>
      <c r="CB1545" s="3" t="str">
        <f t="shared" si="237"/>
        <v>Riadok bude skrytý.</v>
      </c>
      <c r="CC1545" s="271" t="s">
        <v>832</v>
      </c>
      <c r="CD1545" s="4"/>
      <c r="CW1545" s="30">
        <f t="shared" si="234"/>
        <v>1</v>
      </c>
      <c r="CX1545" s="30">
        <f t="shared" si="238"/>
        <v>0</v>
      </c>
      <c r="CZ1545" s="30">
        <f t="shared" si="232"/>
        <v>1</v>
      </c>
      <c r="DA1545" s="52">
        <f t="shared" si="239"/>
        <v>0</v>
      </c>
      <c r="DB1545" s="2">
        <f t="shared" si="233"/>
        <v>0</v>
      </c>
      <c r="DS1545" s="130">
        <f>SI!BY1545</f>
        <v>149</v>
      </c>
      <c r="DZ1545" s="131">
        <f>SI!BZ1545</f>
        <v>0</v>
      </c>
    </row>
    <row r="1546" spans="1:130" ht="14.95" hidden="1" customHeight="1" x14ac:dyDescent="0.25">
      <c r="A1546" s="141"/>
      <c r="B1546" s="1019"/>
      <c r="C1546" s="1020"/>
      <c r="D1546" s="1020"/>
      <c r="E1546" s="1020"/>
      <c r="F1546" s="1020"/>
      <c r="G1546" s="1020"/>
      <c r="H1546" s="1020"/>
      <c r="I1546" s="1020"/>
      <c r="J1546" s="1020"/>
      <c r="K1546" s="1020"/>
      <c r="L1546" s="1020"/>
      <c r="M1546" s="1020"/>
      <c r="N1546" s="1020"/>
      <c r="O1546" s="1020"/>
      <c r="P1546" s="1020"/>
      <c r="Q1546" s="1020"/>
      <c r="R1546" s="1020"/>
      <c r="S1546" s="1232"/>
      <c r="T1546" s="543" t="s">
        <v>153</v>
      </c>
      <c r="U1546" s="544"/>
      <c r="V1546" s="544"/>
      <c r="W1546" s="544"/>
      <c r="X1546" s="544"/>
      <c r="Y1546" s="544"/>
      <c r="Z1546" s="544"/>
      <c r="AA1546" s="544"/>
      <c r="AB1546" s="544"/>
      <c r="AC1546" s="544"/>
      <c r="AD1546" s="544"/>
      <c r="AE1546" s="544"/>
      <c r="AF1546" s="545"/>
      <c r="AG1546" s="543" t="s">
        <v>159</v>
      </c>
      <c r="AH1546" s="544"/>
      <c r="AI1546" s="544"/>
      <c r="AJ1546" s="544"/>
      <c r="AK1546" s="544"/>
      <c r="AL1546" s="544"/>
      <c r="AM1546" s="544"/>
      <c r="AN1546" s="544"/>
      <c r="AO1546" s="544"/>
      <c r="AP1546" s="544"/>
      <c r="AQ1546" s="544"/>
      <c r="AR1546" s="545"/>
      <c r="AS1546" s="1233" t="s">
        <v>154</v>
      </c>
      <c r="AT1546" s="1234"/>
      <c r="AU1546" s="1234"/>
      <c r="AV1546" s="1234"/>
      <c r="AW1546" s="1234"/>
      <c r="AX1546" s="1234"/>
      <c r="AY1546" s="1234"/>
      <c r="AZ1546" s="1234"/>
      <c r="BA1546" s="1234"/>
      <c r="BB1546" s="1234"/>
      <c r="BC1546" s="1235"/>
      <c r="BD1546" s="1233" t="s">
        <v>155</v>
      </c>
      <c r="BE1546" s="1234"/>
      <c r="BF1546" s="1234"/>
      <c r="BG1546" s="1234"/>
      <c r="BH1546" s="1234"/>
      <c r="BI1546" s="1234"/>
      <c r="BJ1546" s="1234"/>
      <c r="BK1546" s="1234"/>
      <c r="BL1546" s="1234"/>
      <c r="BM1546" s="1234"/>
      <c r="BN1546" s="1234"/>
      <c r="BO1546" s="1235"/>
      <c r="BP1546" s="543" t="s">
        <v>156</v>
      </c>
      <c r="BQ1546" s="544"/>
      <c r="BR1546" s="544"/>
      <c r="BS1546" s="544"/>
      <c r="BT1546" s="544"/>
      <c r="BU1546" s="544"/>
      <c r="BV1546" s="544"/>
      <c r="BW1546" s="544"/>
      <c r="BX1546" s="544"/>
      <c r="BY1546" s="544"/>
      <c r="BZ1546" s="545"/>
      <c r="CA1546" s="270"/>
      <c r="CB1546" s="3" t="str">
        <f t="shared" si="237"/>
        <v>Riadok bude skrytý.</v>
      </c>
      <c r="CC1546" s="271" t="s">
        <v>832</v>
      </c>
      <c r="CD1546" s="4" t="s">
        <v>764</v>
      </c>
      <c r="CW1546" s="30">
        <f t="shared" si="234"/>
        <v>1</v>
      </c>
      <c r="CX1546" s="30">
        <f t="shared" si="238"/>
        <v>0</v>
      </c>
      <c r="CZ1546" s="30">
        <f t="shared" si="232"/>
        <v>1</v>
      </c>
      <c r="DA1546" s="52">
        <f t="shared" si="239"/>
        <v>0</v>
      </c>
      <c r="DB1546" s="2">
        <f t="shared" si="233"/>
        <v>0</v>
      </c>
      <c r="DS1546" s="130">
        <f>SI!BY1546</f>
        <v>296</v>
      </c>
      <c r="DZ1546" s="131">
        <f>SI!BZ1546</f>
        <v>0</v>
      </c>
    </row>
    <row r="1547" spans="1:130" hidden="1" x14ac:dyDescent="0.25">
      <c r="A1547" s="141"/>
      <c r="B1547" s="442"/>
      <c r="C1547" s="443"/>
      <c r="D1547" s="443"/>
      <c r="E1547" s="443"/>
      <c r="F1547" s="443"/>
      <c r="G1547" s="443"/>
      <c r="H1547" s="443"/>
      <c r="I1547" s="443"/>
      <c r="J1547" s="443"/>
      <c r="K1547" s="443"/>
      <c r="L1547" s="443"/>
      <c r="M1547" s="443"/>
      <c r="N1547" s="443"/>
      <c r="O1547" s="443"/>
      <c r="P1547" s="443"/>
      <c r="Q1547" s="443"/>
      <c r="R1547" s="443"/>
      <c r="S1547" s="444"/>
      <c r="T1547" s="546"/>
      <c r="U1547" s="547"/>
      <c r="V1547" s="547"/>
      <c r="W1547" s="547"/>
      <c r="X1547" s="547"/>
      <c r="Y1547" s="547"/>
      <c r="Z1547" s="547"/>
      <c r="AA1547" s="547"/>
      <c r="AB1547" s="547"/>
      <c r="AC1547" s="547"/>
      <c r="AD1547" s="547"/>
      <c r="AE1547" s="547"/>
      <c r="AF1547" s="548"/>
      <c r="AG1547" s="546"/>
      <c r="AH1547" s="547"/>
      <c r="AI1547" s="547"/>
      <c r="AJ1547" s="547"/>
      <c r="AK1547" s="547"/>
      <c r="AL1547" s="547"/>
      <c r="AM1547" s="547"/>
      <c r="AN1547" s="547"/>
      <c r="AO1547" s="547"/>
      <c r="AP1547" s="547"/>
      <c r="AQ1547" s="547"/>
      <c r="AR1547" s="548"/>
      <c r="AS1547" s="1236"/>
      <c r="AT1547" s="1237"/>
      <c r="AU1547" s="1237"/>
      <c r="AV1547" s="1237"/>
      <c r="AW1547" s="1237"/>
      <c r="AX1547" s="1237"/>
      <c r="AY1547" s="1237"/>
      <c r="AZ1547" s="1237"/>
      <c r="BA1547" s="1237"/>
      <c r="BB1547" s="1237"/>
      <c r="BC1547" s="1238"/>
      <c r="BD1547" s="1664"/>
      <c r="BE1547" s="1665"/>
      <c r="BF1547" s="1665"/>
      <c r="BG1547" s="1665"/>
      <c r="BH1547" s="1665"/>
      <c r="BI1547" s="1665"/>
      <c r="BJ1547" s="1665"/>
      <c r="BK1547" s="1665"/>
      <c r="BL1547" s="1665"/>
      <c r="BM1547" s="1665"/>
      <c r="BN1547" s="1665"/>
      <c r="BO1547" s="1666"/>
      <c r="BP1547" s="546"/>
      <c r="BQ1547" s="547"/>
      <c r="BR1547" s="547"/>
      <c r="BS1547" s="547"/>
      <c r="BT1547" s="547"/>
      <c r="BU1547" s="547"/>
      <c r="BV1547" s="547"/>
      <c r="BW1547" s="547"/>
      <c r="BX1547" s="547"/>
      <c r="BY1547" s="547"/>
      <c r="BZ1547" s="548"/>
      <c r="CA1547" s="270"/>
      <c r="CB1547" s="3" t="str">
        <f t="shared" si="237"/>
        <v>Riadok bude skrytý.</v>
      </c>
      <c r="CC1547" s="271" t="s">
        <v>832</v>
      </c>
      <c r="CW1547" s="30">
        <f t="shared" si="234"/>
        <v>1</v>
      </c>
      <c r="CX1547" s="30">
        <f t="shared" si="238"/>
        <v>0</v>
      </c>
      <c r="CZ1547" s="30">
        <f t="shared" si="232"/>
        <v>1</v>
      </c>
      <c r="DA1547" s="52">
        <f t="shared" si="239"/>
        <v>0</v>
      </c>
      <c r="DB1547" s="2">
        <f t="shared" si="233"/>
        <v>0</v>
      </c>
      <c r="DS1547" s="130">
        <f>SI!BY1547</f>
        <v>178</v>
      </c>
      <c r="DZ1547" s="131">
        <f>SI!BZ1547</f>
        <v>0</v>
      </c>
    </row>
    <row r="1548" spans="1:130" hidden="1" x14ac:dyDescent="0.25">
      <c r="A1548" s="141"/>
      <c r="B1548" s="524" t="s">
        <v>0</v>
      </c>
      <c r="C1548" s="525"/>
      <c r="D1548" s="525"/>
      <c r="E1548" s="525"/>
      <c r="F1548" s="525"/>
      <c r="G1548" s="525"/>
      <c r="H1548" s="525"/>
      <c r="I1548" s="525"/>
      <c r="J1548" s="525"/>
      <c r="K1548" s="525"/>
      <c r="L1548" s="525"/>
      <c r="M1548" s="525"/>
      <c r="N1548" s="525"/>
      <c r="O1548" s="525"/>
      <c r="P1548" s="525"/>
      <c r="Q1548" s="525"/>
      <c r="R1548" s="525"/>
      <c r="S1548" s="723"/>
      <c r="T1548" s="524" t="s">
        <v>1</v>
      </c>
      <c r="U1548" s="525"/>
      <c r="V1548" s="525"/>
      <c r="W1548" s="525"/>
      <c r="X1548" s="525"/>
      <c r="Y1548" s="525"/>
      <c r="Z1548" s="525"/>
      <c r="AA1548" s="525"/>
      <c r="AB1548" s="525"/>
      <c r="AC1548" s="525"/>
      <c r="AD1548" s="525"/>
      <c r="AE1548" s="525"/>
      <c r="AF1548" s="723"/>
      <c r="AG1548" s="524" t="s">
        <v>2</v>
      </c>
      <c r="AH1548" s="525"/>
      <c r="AI1548" s="525"/>
      <c r="AJ1548" s="525"/>
      <c r="AK1548" s="525"/>
      <c r="AL1548" s="525"/>
      <c r="AM1548" s="525"/>
      <c r="AN1548" s="525"/>
      <c r="AO1548" s="525"/>
      <c r="AP1548" s="525"/>
      <c r="AQ1548" s="525"/>
      <c r="AR1548" s="723"/>
      <c r="AS1548" s="524" t="s">
        <v>28</v>
      </c>
      <c r="AT1548" s="525"/>
      <c r="AU1548" s="525"/>
      <c r="AV1548" s="525"/>
      <c r="AW1548" s="525"/>
      <c r="AX1548" s="525"/>
      <c r="AY1548" s="525"/>
      <c r="AZ1548" s="525"/>
      <c r="BA1548" s="525"/>
      <c r="BB1548" s="525"/>
      <c r="BC1548" s="723"/>
      <c r="BD1548" s="524" t="s">
        <v>29</v>
      </c>
      <c r="BE1548" s="525"/>
      <c r="BF1548" s="525"/>
      <c r="BG1548" s="525"/>
      <c r="BH1548" s="525"/>
      <c r="BI1548" s="525"/>
      <c r="BJ1548" s="525"/>
      <c r="BK1548" s="525"/>
      <c r="BL1548" s="525"/>
      <c r="BM1548" s="525"/>
      <c r="BN1548" s="525"/>
      <c r="BO1548" s="723"/>
      <c r="BP1548" s="524" t="s">
        <v>103</v>
      </c>
      <c r="BQ1548" s="525"/>
      <c r="BR1548" s="525"/>
      <c r="BS1548" s="525"/>
      <c r="BT1548" s="525"/>
      <c r="BU1548" s="525"/>
      <c r="BV1548" s="525"/>
      <c r="BW1548" s="525"/>
      <c r="BX1548" s="525"/>
      <c r="BY1548" s="525"/>
      <c r="BZ1548" s="723"/>
      <c r="CA1548" s="270"/>
      <c r="CB1548" s="3" t="str">
        <f t="shared" si="237"/>
        <v>Riadok bude skrytý.</v>
      </c>
      <c r="CC1548" s="271" t="s">
        <v>832</v>
      </c>
      <c r="CW1548" s="30">
        <f t="shared" si="234"/>
        <v>1</v>
      </c>
      <c r="CX1548" s="30">
        <f t="shared" si="238"/>
        <v>0</v>
      </c>
      <c r="CZ1548" s="30">
        <f t="shared" si="232"/>
        <v>1</v>
      </c>
      <c r="DA1548" s="52">
        <f t="shared" si="239"/>
        <v>0</v>
      </c>
      <c r="DB1548" s="2">
        <f t="shared" si="233"/>
        <v>0</v>
      </c>
      <c r="DS1548" s="130">
        <f>SI!BY1548</f>
        <v>403</v>
      </c>
      <c r="DZ1548" s="131">
        <f>SI!BZ1548</f>
        <v>0</v>
      </c>
    </row>
    <row r="1549" spans="1:130" ht="14.95" hidden="1" customHeight="1" x14ac:dyDescent="0.25">
      <c r="A1549" s="141"/>
      <c r="B1549" s="1239" t="s">
        <v>189</v>
      </c>
      <c r="C1549" s="1240"/>
      <c r="D1549" s="1240"/>
      <c r="E1549" s="1240"/>
      <c r="F1549" s="1240"/>
      <c r="G1549" s="1240"/>
      <c r="H1549" s="1240"/>
      <c r="I1549" s="1240"/>
      <c r="J1549" s="1240"/>
      <c r="K1549" s="1240"/>
      <c r="L1549" s="1240"/>
      <c r="M1549" s="1240"/>
      <c r="N1549" s="1240"/>
      <c r="O1549" s="1240"/>
      <c r="P1549" s="1240"/>
      <c r="Q1549" s="1240"/>
      <c r="R1549" s="1240"/>
      <c r="S1549" s="1241"/>
      <c r="T1549" s="417"/>
      <c r="U1549" s="418"/>
      <c r="V1549" s="418"/>
      <c r="W1549" s="418"/>
      <c r="X1549" s="418"/>
      <c r="Y1549" s="418"/>
      <c r="Z1549" s="418"/>
      <c r="AA1549" s="418"/>
      <c r="AB1549" s="418"/>
      <c r="AC1549" s="418"/>
      <c r="AD1549" s="418"/>
      <c r="AE1549" s="418"/>
      <c r="AF1549" s="419"/>
      <c r="AG1549" s="417"/>
      <c r="AH1549" s="418"/>
      <c r="AI1549" s="418"/>
      <c r="AJ1549" s="418"/>
      <c r="AK1549" s="418"/>
      <c r="AL1549" s="418"/>
      <c r="AM1549" s="418"/>
      <c r="AN1549" s="418"/>
      <c r="AO1549" s="418"/>
      <c r="AP1549" s="418"/>
      <c r="AQ1549" s="418"/>
      <c r="AR1549" s="419"/>
      <c r="AS1549" s="417"/>
      <c r="AT1549" s="418"/>
      <c r="AU1549" s="418"/>
      <c r="AV1549" s="418"/>
      <c r="AW1549" s="418"/>
      <c r="AX1549" s="418"/>
      <c r="AY1549" s="418"/>
      <c r="AZ1549" s="418"/>
      <c r="BA1549" s="418"/>
      <c r="BB1549" s="418"/>
      <c r="BC1549" s="419"/>
      <c r="BD1549" s="417"/>
      <c r="BE1549" s="418"/>
      <c r="BF1549" s="418"/>
      <c r="BG1549" s="418"/>
      <c r="BH1549" s="418"/>
      <c r="BI1549" s="418"/>
      <c r="BJ1549" s="418"/>
      <c r="BK1549" s="418"/>
      <c r="BL1549" s="418"/>
      <c r="BM1549" s="418"/>
      <c r="BN1549" s="418"/>
      <c r="BO1549" s="419"/>
      <c r="BP1549" s="1222">
        <f t="shared" ref="BP1549:BP1554" si="240">+SUM(T1549:BO1549)</f>
        <v>0</v>
      </c>
      <c r="BQ1549" s="1223"/>
      <c r="BR1549" s="1223"/>
      <c r="BS1549" s="1223"/>
      <c r="BT1549" s="1223"/>
      <c r="BU1549" s="1223"/>
      <c r="BV1549" s="1223"/>
      <c r="BW1549" s="1223"/>
      <c r="BX1549" s="1223"/>
      <c r="BY1549" s="1223"/>
      <c r="BZ1549" s="1224"/>
      <c r="CA1549" s="270"/>
      <c r="CB1549" s="3" t="str">
        <f t="shared" si="237"/>
        <v>Riadok bude skrytý.</v>
      </c>
      <c r="CC1549" s="271" t="s">
        <v>832</v>
      </c>
      <c r="CW1549" s="30">
        <f t="shared" si="234"/>
        <v>1</v>
      </c>
      <c r="CX1549" s="30">
        <f t="shared" si="238"/>
        <v>0</v>
      </c>
      <c r="CZ1549" s="30">
        <f t="shared" si="232"/>
        <v>1</v>
      </c>
      <c r="DA1549" s="52">
        <f t="shared" si="239"/>
        <v>0</v>
      </c>
      <c r="DB1549" s="2">
        <f t="shared" si="233"/>
        <v>0</v>
      </c>
      <c r="DS1549" s="130">
        <f>SI!BY1549</f>
        <v>185</v>
      </c>
      <c r="DZ1549" s="131">
        <f>SI!BZ1549</f>
        <v>0</v>
      </c>
    </row>
    <row r="1550" spans="1:130" ht="23.95" hidden="1" customHeight="1" x14ac:dyDescent="0.25">
      <c r="A1550" s="141"/>
      <c r="B1550" s="714" t="s">
        <v>947</v>
      </c>
      <c r="C1550" s="715"/>
      <c r="D1550" s="715"/>
      <c r="E1550" s="715"/>
      <c r="F1550" s="715"/>
      <c r="G1550" s="715"/>
      <c r="H1550" s="715"/>
      <c r="I1550" s="715"/>
      <c r="J1550" s="715"/>
      <c r="K1550" s="715"/>
      <c r="L1550" s="715"/>
      <c r="M1550" s="715"/>
      <c r="N1550" s="715"/>
      <c r="O1550" s="715"/>
      <c r="P1550" s="715"/>
      <c r="Q1550" s="715"/>
      <c r="R1550" s="715"/>
      <c r="S1550" s="716"/>
      <c r="T1550" s="511"/>
      <c r="U1550" s="482"/>
      <c r="V1550" s="482"/>
      <c r="W1550" s="482"/>
      <c r="X1550" s="482"/>
      <c r="Y1550" s="482"/>
      <c r="Z1550" s="482"/>
      <c r="AA1550" s="482"/>
      <c r="AB1550" s="482"/>
      <c r="AC1550" s="482"/>
      <c r="AD1550" s="482"/>
      <c r="AE1550" s="482"/>
      <c r="AF1550" s="483"/>
      <c r="AG1550" s="511"/>
      <c r="AH1550" s="482"/>
      <c r="AI1550" s="482"/>
      <c r="AJ1550" s="482"/>
      <c r="AK1550" s="482"/>
      <c r="AL1550" s="482"/>
      <c r="AM1550" s="482"/>
      <c r="AN1550" s="482"/>
      <c r="AO1550" s="482"/>
      <c r="AP1550" s="482"/>
      <c r="AQ1550" s="482"/>
      <c r="AR1550" s="483"/>
      <c r="AS1550" s="511"/>
      <c r="AT1550" s="482"/>
      <c r="AU1550" s="482"/>
      <c r="AV1550" s="482"/>
      <c r="AW1550" s="482"/>
      <c r="AX1550" s="482"/>
      <c r="AY1550" s="482"/>
      <c r="AZ1550" s="482"/>
      <c r="BA1550" s="482"/>
      <c r="BB1550" s="482"/>
      <c r="BC1550" s="483"/>
      <c r="BD1550" s="511"/>
      <c r="BE1550" s="482"/>
      <c r="BF1550" s="482"/>
      <c r="BG1550" s="482"/>
      <c r="BH1550" s="482"/>
      <c r="BI1550" s="482"/>
      <c r="BJ1550" s="482"/>
      <c r="BK1550" s="482"/>
      <c r="BL1550" s="482"/>
      <c r="BM1550" s="482"/>
      <c r="BN1550" s="482"/>
      <c r="BO1550" s="483"/>
      <c r="BP1550" s="398">
        <f t="shared" si="240"/>
        <v>0</v>
      </c>
      <c r="BQ1550" s="399"/>
      <c r="BR1550" s="399"/>
      <c r="BS1550" s="399"/>
      <c r="BT1550" s="399"/>
      <c r="BU1550" s="399"/>
      <c r="BV1550" s="399"/>
      <c r="BW1550" s="399"/>
      <c r="BX1550" s="399"/>
      <c r="BY1550" s="399"/>
      <c r="BZ1550" s="400"/>
      <c r="CA1550" s="270"/>
      <c r="CB1550" s="3" t="str">
        <f t="shared" si="237"/>
        <v>Riadok bude skrytý.</v>
      </c>
      <c r="CC1550" s="271" t="s">
        <v>832</v>
      </c>
      <c r="CW1550" s="30">
        <f t="shared" si="234"/>
        <v>1</v>
      </c>
      <c r="CX1550" s="30">
        <f t="shared" si="238"/>
        <v>0</v>
      </c>
      <c r="CZ1550" s="30">
        <f t="shared" si="232"/>
        <v>1</v>
      </c>
      <c r="DA1550" s="52">
        <f t="shared" si="239"/>
        <v>0</v>
      </c>
      <c r="DB1550" s="2">
        <f t="shared" si="233"/>
        <v>0</v>
      </c>
      <c r="DS1550" s="130">
        <f>SI!BY1550</f>
        <v>1164</v>
      </c>
      <c r="DZ1550" s="131">
        <f>SI!BZ1550</f>
        <v>0</v>
      </c>
    </row>
    <row r="1551" spans="1:130" ht="23.95" hidden="1" customHeight="1" x14ac:dyDescent="0.25">
      <c r="A1551" s="141"/>
      <c r="B1551" s="714" t="s">
        <v>190</v>
      </c>
      <c r="C1551" s="715"/>
      <c r="D1551" s="715"/>
      <c r="E1551" s="715"/>
      <c r="F1551" s="715"/>
      <c r="G1551" s="715"/>
      <c r="H1551" s="715"/>
      <c r="I1551" s="715"/>
      <c r="J1551" s="715"/>
      <c r="K1551" s="715"/>
      <c r="L1551" s="715"/>
      <c r="M1551" s="715"/>
      <c r="N1551" s="715"/>
      <c r="O1551" s="715"/>
      <c r="P1551" s="715"/>
      <c r="Q1551" s="715"/>
      <c r="R1551" s="715"/>
      <c r="S1551" s="716"/>
      <c r="T1551" s="511"/>
      <c r="U1551" s="482"/>
      <c r="V1551" s="482"/>
      <c r="W1551" s="482"/>
      <c r="X1551" s="482"/>
      <c r="Y1551" s="482"/>
      <c r="Z1551" s="482"/>
      <c r="AA1551" s="482"/>
      <c r="AB1551" s="482"/>
      <c r="AC1551" s="482"/>
      <c r="AD1551" s="482"/>
      <c r="AE1551" s="482"/>
      <c r="AF1551" s="483"/>
      <c r="AG1551" s="511"/>
      <c r="AH1551" s="482"/>
      <c r="AI1551" s="482"/>
      <c r="AJ1551" s="482"/>
      <c r="AK1551" s="482"/>
      <c r="AL1551" s="482"/>
      <c r="AM1551" s="482"/>
      <c r="AN1551" s="482"/>
      <c r="AO1551" s="482"/>
      <c r="AP1551" s="482"/>
      <c r="AQ1551" s="482"/>
      <c r="AR1551" s="483"/>
      <c r="AS1551" s="511"/>
      <c r="AT1551" s="482"/>
      <c r="AU1551" s="482"/>
      <c r="AV1551" s="482"/>
      <c r="AW1551" s="482"/>
      <c r="AX1551" s="482"/>
      <c r="AY1551" s="482"/>
      <c r="AZ1551" s="482"/>
      <c r="BA1551" s="482"/>
      <c r="BB1551" s="482"/>
      <c r="BC1551" s="483"/>
      <c r="BD1551" s="511"/>
      <c r="BE1551" s="482"/>
      <c r="BF1551" s="482"/>
      <c r="BG1551" s="482"/>
      <c r="BH1551" s="482"/>
      <c r="BI1551" s="482"/>
      <c r="BJ1551" s="482"/>
      <c r="BK1551" s="482"/>
      <c r="BL1551" s="482"/>
      <c r="BM1551" s="482"/>
      <c r="BN1551" s="482"/>
      <c r="BO1551" s="483"/>
      <c r="BP1551" s="398">
        <f t="shared" si="240"/>
        <v>0</v>
      </c>
      <c r="BQ1551" s="399"/>
      <c r="BR1551" s="399"/>
      <c r="BS1551" s="399"/>
      <c r="BT1551" s="399"/>
      <c r="BU1551" s="399"/>
      <c r="BV1551" s="399"/>
      <c r="BW1551" s="399"/>
      <c r="BX1551" s="399"/>
      <c r="BY1551" s="399"/>
      <c r="BZ1551" s="400"/>
      <c r="CA1551" s="270"/>
      <c r="CB1551" s="3" t="str">
        <f t="shared" si="237"/>
        <v>Riadok bude skrytý.</v>
      </c>
      <c r="CC1551" s="271" t="s">
        <v>832</v>
      </c>
      <c r="CW1551" s="30">
        <f t="shared" si="234"/>
        <v>1</v>
      </c>
      <c r="CX1551" s="30">
        <f t="shared" si="238"/>
        <v>0</v>
      </c>
      <c r="CZ1551" s="30">
        <f t="shared" si="232"/>
        <v>1</v>
      </c>
      <c r="DA1551" s="52">
        <f t="shared" si="239"/>
        <v>0</v>
      </c>
      <c r="DB1551" s="2">
        <f t="shared" si="233"/>
        <v>0</v>
      </c>
      <c r="DS1551" s="130">
        <f>SI!BY1551</f>
        <v>860</v>
      </c>
      <c r="DZ1551" s="131">
        <f>SI!BZ1551</f>
        <v>0</v>
      </c>
    </row>
    <row r="1552" spans="1:130" ht="23.95" hidden="1" customHeight="1" x14ac:dyDescent="0.25">
      <c r="A1552" s="141"/>
      <c r="B1552" s="714" t="s">
        <v>191</v>
      </c>
      <c r="C1552" s="715"/>
      <c r="D1552" s="715"/>
      <c r="E1552" s="715"/>
      <c r="F1552" s="715"/>
      <c r="G1552" s="715"/>
      <c r="H1552" s="715"/>
      <c r="I1552" s="715"/>
      <c r="J1552" s="715"/>
      <c r="K1552" s="715"/>
      <c r="L1552" s="715"/>
      <c r="M1552" s="715"/>
      <c r="N1552" s="715"/>
      <c r="O1552" s="715"/>
      <c r="P1552" s="715"/>
      <c r="Q1552" s="715"/>
      <c r="R1552" s="715"/>
      <c r="S1552" s="716"/>
      <c r="T1552" s="511"/>
      <c r="U1552" s="482"/>
      <c r="V1552" s="482"/>
      <c r="W1552" s="482"/>
      <c r="X1552" s="482"/>
      <c r="Y1552" s="482"/>
      <c r="Z1552" s="482"/>
      <c r="AA1552" s="482"/>
      <c r="AB1552" s="482"/>
      <c r="AC1552" s="482"/>
      <c r="AD1552" s="482"/>
      <c r="AE1552" s="482"/>
      <c r="AF1552" s="483"/>
      <c r="AG1552" s="511"/>
      <c r="AH1552" s="482"/>
      <c r="AI1552" s="482"/>
      <c r="AJ1552" s="482"/>
      <c r="AK1552" s="482"/>
      <c r="AL1552" s="482"/>
      <c r="AM1552" s="482"/>
      <c r="AN1552" s="482"/>
      <c r="AO1552" s="482"/>
      <c r="AP1552" s="482"/>
      <c r="AQ1552" s="482"/>
      <c r="AR1552" s="483"/>
      <c r="AS1552" s="511"/>
      <c r="AT1552" s="482"/>
      <c r="AU1552" s="482"/>
      <c r="AV1552" s="482"/>
      <c r="AW1552" s="482"/>
      <c r="AX1552" s="482"/>
      <c r="AY1552" s="482"/>
      <c r="AZ1552" s="482"/>
      <c r="BA1552" s="482"/>
      <c r="BB1552" s="482"/>
      <c r="BC1552" s="483"/>
      <c r="BD1552" s="511"/>
      <c r="BE1552" s="482"/>
      <c r="BF1552" s="482"/>
      <c r="BG1552" s="482"/>
      <c r="BH1552" s="482"/>
      <c r="BI1552" s="482"/>
      <c r="BJ1552" s="482"/>
      <c r="BK1552" s="482"/>
      <c r="BL1552" s="482"/>
      <c r="BM1552" s="482"/>
      <c r="BN1552" s="482"/>
      <c r="BO1552" s="483"/>
      <c r="BP1552" s="398">
        <f t="shared" si="240"/>
        <v>0</v>
      </c>
      <c r="BQ1552" s="399"/>
      <c r="BR1552" s="399"/>
      <c r="BS1552" s="399"/>
      <c r="BT1552" s="399"/>
      <c r="BU1552" s="399"/>
      <c r="BV1552" s="399"/>
      <c r="BW1552" s="399"/>
      <c r="BX1552" s="399"/>
      <c r="BY1552" s="399"/>
      <c r="BZ1552" s="400"/>
      <c r="CA1552" s="270"/>
      <c r="CB1552" s="3" t="str">
        <f t="shared" si="237"/>
        <v>Riadok bude skrytý.</v>
      </c>
      <c r="CC1552" s="271" t="s">
        <v>832</v>
      </c>
      <c r="CW1552" s="30">
        <f t="shared" si="234"/>
        <v>1</v>
      </c>
      <c r="CX1552" s="30">
        <f t="shared" si="238"/>
        <v>0</v>
      </c>
      <c r="CZ1552" s="30">
        <f t="shared" si="232"/>
        <v>1</v>
      </c>
      <c r="DA1552" s="52">
        <f t="shared" si="239"/>
        <v>0</v>
      </c>
      <c r="DB1552" s="2">
        <f t="shared" si="233"/>
        <v>0</v>
      </c>
      <c r="DS1552" s="130">
        <f>SI!BY1552</f>
        <v>127</v>
      </c>
      <c r="DZ1552" s="131">
        <f>SI!BZ1552</f>
        <v>0</v>
      </c>
    </row>
    <row r="1553" spans="1:130" ht="14.95" hidden="1" customHeight="1" x14ac:dyDescent="0.25">
      <c r="A1553" s="141"/>
      <c r="B1553" s="720" t="s">
        <v>192</v>
      </c>
      <c r="C1553" s="721"/>
      <c r="D1553" s="721"/>
      <c r="E1553" s="721"/>
      <c r="F1553" s="721"/>
      <c r="G1553" s="721"/>
      <c r="H1553" s="721"/>
      <c r="I1553" s="721"/>
      <c r="J1553" s="721"/>
      <c r="K1553" s="721"/>
      <c r="L1553" s="721"/>
      <c r="M1553" s="721"/>
      <c r="N1553" s="721"/>
      <c r="O1553" s="721"/>
      <c r="P1553" s="721"/>
      <c r="Q1553" s="721"/>
      <c r="R1553" s="721"/>
      <c r="S1553" s="722"/>
      <c r="T1553" s="454"/>
      <c r="U1553" s="455"/>
      <c r="V1553" s="455"/>
      <c r="W1553" s="455"/>
      <c r="X1553" s="455"/>
      <c r="Y1553" s="455"/>
      <c r="Z1553" s="455"/>
      <c r="AA1553" s="455"/>
      <c r="AB1553" s="455"/>
      <c r="AC1553" s="455"/>
      <c r="AD1553" s="455"/>
      <c r="AE1553" s="455"/>
      <c r="AF1553" s="456"/>
      <c r="AG1553" s="454"/>
      <c r="AH1553" s="455"/>
      <c r="AI1553" s="455"/>
      <c r="AJ1553" s="455"/>
      <c r="AK1553" s="455"/>
      <c r="AL1553" s="455"/>
      <c r="AM1553" s="455"/>
      <c r="AN1553" s="455"/>
      <c r="AO1553" s="455"/>
      <c r="AP1553" s="455"/>
      <c r="AQ1553" s="455"/>
      <c r="AR1553" s="456"/>
      <c r="AS1553" s="454"/>
      <c r="AT1553" s="455"/>
      <c r="AU1553" s="455"/>
      <c r="AV1553" s="455"/>
      <c r="AW1553" s="455"/>
      <c r="AX1553" s="455"/>
      <c r="AY1553" s="455"/>
      <c r="AZ1553" s="455"/>
      <c r="BA1553" s="455"/>
      <c r="BB1553" s="455"/>
      <c r="BC1553" s="456"/>
      <c r="BD1553" s="454"/>
      <c r="BE1553" s="455"/>
      <c r="BF1553" s="455"/>
      <c r="BG1553" s="455"/>
      <c r="BH1553" s="455"/>
      <c r="BI1553" s="455"/>
      <c r="BJ1553" s="455"/>
      <c r="BK1553" s="455"/>
      <c r="BL1553" s="455"/>
      <c r="BM1553" s="455"/>
      <c r="BN1553" s="455"/>
      <c r="BO1553" s="456"/>
      <c r="BP1553" s="1266">
        <f t="shared" si="240"/>
        <v>0</v>
      </c>
      <c r="BQ1553" s="1267"/>
      <c r="BR1553" s="1267"/>
      <c r="BS1553" s="1267"/>
      <c r="BT1553" s="1267"/>
      <c r="BU1553" s="1267"/>
      <c r="BV1553" s="1267"/>
      <c r="BW1553" s="1267"/>
      <c r="BX1553" s="1267"/>
      <c r="BY1553" s="1267"/>
      <c r="BZ1553" s="1268"/>
      <c r="CA1553" s="270"/>
      <c r="CB1553" s="3" t="str">
        <f t="shared" si="237"/>
        <v>Riadok bude skrytý.</v>
      </c>
      <c r="CC1553" s="271" t="s">
        <v>832</v>
      </c>
      <c r="CW1553" s="30">
        <f t="shared" ref="CW1553:CW1584" si="241">+IF($J$1519="neeviduje",0,1)</f>
        <v>1</v>
      </c>
      <c r="CX1553" s="30">
        <f t="shared" si="238"/>
        <v>0</v>
      </c>
      <c r="CZ1553" s="30">
        <f t="shared" si="232"/>
        <v>1</v>
      </c>
      <c r="DA1553" s="52">
        <f t="shared" si="239"/>
        <v>0</v>
      </c>
      <c r="DB1553" s="2">
        <f t="shared" si="233"/>
        <v>0</v>
      </c>
      <c r="DS1553" s="130">
        <f>SI!BY1553</f>
        <v>567</v>
      </c>
      <c r="DZ1553" s="131">
        <f>SI!BZ1553</f>
        <v>0</v>
      </c>
    </row>
    <row r="1554" spans="1:130" ht="14.95" hidden="1" customHeight="1" x14ac:dyDescent="0.25">
      <c r="A1554" s="141"/>
      <c r="B1554" s="1671" t="s">
        <v>193</v>
      </c>
      <c r="C1554" s="1672"/>
      <c r="D1554" s="1672"/>
      <c r="E1554" s="1672"/>
      <c r="F1554" s="1672"/>
      <c r="G1554" s="1672"/>
      <c r="H1554" s="1672"/>
      <c r="I1554" s="1672"/>
      <c r="J1554" s="1672"/>
      <c r="K1554" s="1672"/>
      <c r="L1554" s="1672"/>
      <c r="M1554" s="1672"/>
      <c r="N1554" s="1672"/>
      <c r="O1554" s="1672"/>
      <c r="P1554" s="1672"/>
      <c r="Q1554" s="1672"/>
      <c r="R1554" s="1672"/>
      <c r="S1554" s="1673"/>
      <c r="T1554" s="423">
        <f>+SUM(T1549:AF1553)</f>
        <v>0</v>
      </c>
      <c r="U1554" s="424"/>
      <c r="V1554" s="424"/>
      <c r="W1554" s="424"/>
      <c r="X1554" s="424"/>
      <c r="Y1554" s="424"/>
      <c r="Z1554" s="424"/>
      <c r="AA1554" s="424"/>
      <c r="AB1554" s="424"/>
      <c r="AC1554" s="424"/>
      <c r="AD1554" s="424"/>
      <c r="AE1554" s="424"/>
      <c r="AF1554" s="425"/>
      <c r="AG1554" s="423">
        <f>+SUM(AG1549:AR1553)</f>
        <v>0</v>
      </c>
      <c r="AH1554" s="424"/>
      <c r="AI1554" s="424"/>
      <c r="AJ1554" s="424"/>
      <c r="AK1554" s="424"/>
      <c r="AL1554" s="424"/>
      <c r="AM1554" s="424"/>
      <c r="AN1554" s="424"/>
      <c r="AO1554" s="424"/>
      <c r="AP1554" s="424"/>
      <c r="AQ1554" s="424"/>
      <c r="AR1554" s="425"/>
      <c r="AS1554" s="423">
        <f>+SUM(AS1549:BC1553)</f>
        <v>0</v>
      </c>
      <c r="AT1554" s="424"/>
      <c r="AU1554" s="424"/>
      <c r="AV1554" s="424"/>
      <c r="AW1554" s="424"/>
      <c r="AX1554" s="424"/>
      <c r="AY1554" s="424"/>
      <c r="AZ1554" s="424"/>
      <c r="BA1554" s="424"/>
      <c r="BB1554" s="424"/>
      <c r="BC1554" s="425"/>
      <c r="BD1554" s="423">
        <f>+SUM(BD1549:BO1552)</f>
        <v>0</v>
      </c>
      <c r="BE1554" s="424"/>
      <c r="BF1554" s="424"/>
      <c r="BG1554" s="424"/>
      <c r="BH1554" s="424"/>
      <c r="BI1554" s="424"/>
      <c r="BJ1554" s="424"/>
      <c r="BK1554" s="424"/>
      <c r="BL1554" s="424"/>
      <c r="BM1554" s="424"/>
      <c r="BN1554" s="424"/>
      <c r="BO1554" s="425"/>
      <c r="BP1554" s="423">
        <f t="shared" si="240"/>
        <v>0</v>
      </c>
      <c r="BQ1554" s="424"/>
      <c r="BR1554" s="424"/>
      <c r="BS1554" s="424"/>
      <c r="BT1554" s="424"/>
      <c r="BU1554" s="424"/>
      <c r="BV1554" s="424"/>
      <c r="BW1554" s="424"/>
      <c r="BX1554" s="424"/>
      <c r="BY1554" s="424"/>
      <c r="BZ1554" s="425"/>
      <c r="CA1554" s="270"/>
      <c r="CB1554" s="3" t="str">
        <f t="shared" si="237"/>
        <v>Riadok bude skrytý.</v>
      </c>
      <c r="CC1554" s="271" t="s">
        <v>832</v>
      </c>
      <c r="CW1554" s="30">
        <f t="shared" si="241"/>
        <v>1</v>
      </c>
      <c r="CX1554" s="30">
        <f t="shared" si="238"/>
        <v>0</v>
      </c>
      <c r="CZ1554" s="30">
        <f t="shared" si="232"/>
        <v>1</v>
      </c>
      <c r="DA1554" s="52">
        <f t="shared" si="239"/>
        <v>0</v>
      </c>
      <c r="DB1554" s="2">
        <f t="shared" si="233"/>
        <v>0</v>
      </c>
      <c r="DS1554" s="130">
        <f>SI!BY1554</f>
        <v>151</v>
      </c>
      <c r="DZ1554" s="131">
        <f>SI!BZ1554</f>
        <v>0</v>
      </c>
    </row>
    <row r="1555" spans="1:130" hidden="1" x14ac:dyDescent="0.25">
      <c r="A1555" s="141"/>
      <c r="CA1555" s="270"/>
      <c r="CB1555" s="3" t="str">
        <f t="shared" si="237"/>
        <v>Riadok bude skrytý.</v>
      </c>
      <c r="CC1555" s="271" t="s">
        <v>832</v>
      </c>
      <c r="CW1555" s="30">
        <f t="shared" si="241"/>
        <v>1</v>
      </c>
      <c r="CX1555" s="30">
        <f t="shared" si="238"/>
        <v>0</v>
      </c>
      <c r="CY1555" s="30">
        <f t="shared" ref="CY1555:CY1565" si="242">+IF(YEAR($AW$123)=YEAR($DC$4),0,1)</f>
        <v>1</v>
      </c>
      <c r="CZ1555" s="30">
        <f t="shared" si="232"/>
        <v>1</v>
      </c>
      <c r="DA1555" s="53">
        <f>+IF(CW1555*CX1555*CY1555=0,0,IF(CZ1555=0,0,1))</f>
        <v>0</v>
      </c>
      <c r="DB1555" s="2">
        <f t="shared" si="233"/>
        <v>0</v>
      </c>
      <c r="DS1555" s="130">
        <f>SI!BY1555</f>
        <v>198</v>
      </c>
      <c r="DZ1555" s="131">
        <f>SI!BZ1555</f>
        <v>0</v>
      </c>
    </row>
    <row r="1556" spans="1:130" ht="14.95" hidden="1" customHeight="1" x14ac:dyDescent="0.25">
      <c r="A1556" s="141"/>
      <c r="B1556" s="439" t="s">
        <v>66</v>
      </c>
      <c r="C1556" s="440"/>
      <c r="D1556" s="440"/>
      <c r="E1556" s="440"/>
      <c r="F1556" s="440"/>
      <c r="G1556" s="440"/>
      <c r="H1556" s="440"/>
      <c r="I1556" s="440"/>
      <c r="J1556" s="440"/>
      <c r="K1556" s="440"/>
      <c r="L1556" s="440"/>
      <c r="M1556" s="440"/>
      <c r="N1556" s="440"/>
      <c r="O1556" s="440"/>
      <c r="P1556" s="440"/>
      <c r="Q1556" s="440"/>
      <c r="R1556" s="440"/>
      <c r="S1556" s="441"/>
      <c r="T1556" s="445">
        <f>+BE141</f>
        <v>2020</v>
      </c>
      <c r="U1556" s="446"/>
      <c r="V1556" s="446"/>
      <c r="W1556" s="446"/>
      <c r="X1556" s="446"/>
      <c r="Y1556" s="446"/>
      <c r="Z1556" s="446"/>
      <c r="AA1556" s="446"/>
      <c r="AB1556" s="446"/>
      <c r="AC1556" s="446"/>
      <c r="AD1556" s="446"/>
      <c r="AE1556" s="446"/>
      <c r="AF1556" s="446"/>
      <c r="AG1556" s="446"/>
      <c r="AH1556" s="446"/>
      <c r="AI1556" s="446"/>
      <c r="AJ1556" s="446"/>
      <c r="AK1556" s="446"/>
      <c r="AL1556" s="446"/>
      <c r="AM1556" s="446"/>
      <c r="AN1556" s="446"/>
      <c r="AO1556" s="446"/>
      <c r="AP1556" s="446"/>
      <c r="AQ1556" s="446"/>
      <c r="AR1556" s="446"/>
      <c r="AS1556" s="446"/>
      <c r="AT1556" s="446"/>
      <c r="AU1556" s="446"/>
      <c r="AV1556" s="446"/>
      <c r="AW1556" s="446"/>
      <c r="AX1556" s="446"/>
      <c r="AY1556" s="446"/>
      <c r="AZ1556" s="446"/>
      <c r="BA1556" s="446"/>
      <c r="BB1556" s="446"/>
      <c r="BC1556" s="446"/>
      <c r="BD1556" s="446"/>
      <c r="BE1556" s="446"/>
      <c r="BF1556" s="446"/>
      <c r="BG1556" s="446"/>
      <c r="BH1556" s="446"/>
      <c r="BI1556" s="446"/>
      <c r="BJ1556" s="446"/>
      <c r="BK1556" s="446"/>
      <c r="BL1556" s="446"/>
      <c r="BM1556" s="446"/>
      <c r="BN1556" s="446"/>
      <c r="BO1556" s="446"/>
      <c r="BP1556" s="446"/>
      <c r="BQ1556" s="446"/>
      <c r="BR1556" s="446"/>
      <c r="BS1556" s="446"/>
      <c r="BT1556" s="446"/>
      <c r="BU1556" s="446"/>
      <c r="BV1556" s="446"/>
      <c r="BW1556" s="446"/>
      <c r="BX1556" s="446"/>
      <c r="BY1556" s="446"/>
      <c r="BZ1556" s="447"/>
      <c r="CA1556" s="265" t="s">
        <v>773</v>
      </c>
      <c r="CB1556" s="3" t="str">
        <f t="shared" si="237"/>
        <v>Riadok bude skrytý.</v>
      </c>
      <c r="CC1556" s="271" t="s">
        <v>937</v>
      </c>
      <c r="CD1556" s="105" t="s">
        <v>946</v>
      </c>
      <c r="CE1556" s="100"/>
      <c r="CW1556" s="30">
        <f t="shared" si="241"/>
        <v>1</v>
      </c>
      <c r="CX1556" s="30">
        <f t="shared" si="238"/>
        <v>0</v>
      </c>
      <c r="CY1556" s="30">
        <f t="shared" si="242"/>
        <v>1</v>
      </c>
      <c r="CZ1556" s="30">
        <f t="shared" si="232"/>
        <v>0</v>
      </c>
      <c r="DA1556" s="53">
        <f t="shared" ref="DA1556:DA1565" si="243">+IF(CW1556*CX1556*CY1556=0,0,IF(CZ1556=0,0,1))</f>
        <v>0</v>
      </c>
      <c r="DB1556" s="2">
        <f t="shared" si="233"/>
        <v>0</v>
      </c>
      <c r="DS1556" s="130">
        <f>SI!BY1556</f>
        <v>116</v>
      </c>
      <c r="DZ1556" s="131">
        <f>SI!BZ1556</f>
        <v>0</v>
      </c>
    </row>
    <row r="1557" spans="1:130" ht="14.95" hidden="1" customHeight="1" x14ac:dyDescent="0.25">
      <c r="A1557" s="141"/>
      <c r="B1557" s="1019"/>
      <c r="C1557" s="1020"/>
      <c r="D1557" s="1020"/>
      <c r="E1557" s="1020"/>
      <c r="F1557" s="1020"/>
      <c r="G1557" s="1020"/>
      <c r="H1557" s="1020"/>
      <c r="I1557" s="1020"/>
      <c r="J1557" s="1020"/>
      <c r="K1557" s="1020"/>
      <c r="L1557" s="1020"/>
      <c r="M1557" s="1020"/>
      <c r="N1557" s="1020"/>
      <c r="O1557" s="1020"/>
      <c r="P1557" s="1020"/>
      <c r="Q1557" s="1020"/>
      <c r="R1557" s="1020"/>
      <c r="S1557" s="1232"/>
      <c r="T1557" s="543" t="s">
        <v>153</v>
      </c>
      <c r="U1557" s="544"/>
      <c r="V1557" s="544"/>
      <c r="W1557" s="544"/>
      <c r="X1557" s="544"/>
      <c r="Y1557" s="544"/>
      <c r="Z1557" s="544"/>
      <c r="AA1557" s="544"/>
      <c r="AB1557" s="544"/>
      <c r="AC1557" s="544"/>
      <c r="AD1557" s="544"/>
      <c r="AE1557" s="544"/>
      <c r="AF1557" s="545"/>
      <c r="AG1557" s="543" t="s">
        <v>159</v>
      </c>
      <c r="AH1557" s="544"/>
      <c r="AI1557" s="544"/>
      <c r="AJ1557" s="544"/>
      <c r="AK1557" s="544"/>
      <c r="AL1557" s="544"/>
      <c r="AM1557" s="544"/>
      <c r="AN1557" s="544"/>
      <c r="AO1557" s="544"/>
      <c r="AP1557" s="544"/>
      <c r="AQ1557" s="544"/>
      <c r="AR1557" s="545"/>
      <c r="AS1557" s="1233" t="s">
        <v>154</v>
      </c>
      <c r="AT1557" s="1234"/>
      <c r="AU1557" s="1234"/>
      <c r="AV1557" s="1234"/>
      <c r="AW1557" s="1234"/>
      <c r="AX1557" s="1234"/>
      <c r="AY1557" s="1234"/>
      <c r="AZ1557" s="1234"/>
      <c r="BA1557" s="1234"/>
      <c r="BB1557" s="1234"/>
      <c r="BC1557" s="1235"/>
      <c r="BD1557" s="1233" t="s">
        <v>155</v>
      </c>
      <c r="BE1557" s="1234"/>
      <c r="BF1557" s="1234"/>
      <c r="BG1557" s="1234"/>
      <c r="BH1557" s="1234"/>
      <c r="BI1557" s="1234"/>
      <c r="BJ1557" s="1234"/>
      <c r="BK1557" s="1234"/>
      <c r="BL1557" s="1234"/>
      <c r="BM1557" s="1234"/>
      <c r="BN1557" s="1234"/>
      <c r="BO1557" s="1235"/>
      <c r="BP1557" s="543" t="s">
        <v>156</v>
      </c>
      <c r="BQ1557" s="544"/>
      <c r="BR1557" s="544"/>
      <c r="BS1557" s="544"/>
      <c r="BT1557" s="544"/>
      <c r="BU1557" s="544"/>
      <c r="BV1557" s="544"/>
      <c r="BW1557" s="544"/>
      <c r="BX1557" s="544"/>
      <c r="BY1557" s="544"/>
      <c r="BZ1557" s="545"/>
      <c r="CA1557" s="270"/>
      <c r="CB1557" s="3" t="str">
        <f t="shared" si="237"/>
        <v>Riadok bude skrytý.</v>
      </c>
      <c r="CC1557" s="271" t="s">
        <v>937</v>
      </c>
      <c r="CD1557" s="137"/>
      <c r="CE1557" s="137"/>
      <c r="CF1557" s="137"/>
      <c r="CG1557" s="137"/>
      <c r="CH1557" s="137"/>
      <c r="CI1557" s="137"/>
      <c r="CJ1557" s="137"/>
      <c r="CW1557" s="30">
        <f t="shared" si="241"/>
        <v>1</v>
      </c>
      <c r="CX1557" s="30">
        <f t="shared" si="238"/>
        <v>0</v>
      </c>
      <c r="CY1557" s="30">
        <f t="shared" si="242"/>
        <v>1</v>
      </c>
      <c r="CZ1557" s="30">
        <f t="shared" si="232"/>
        <v>0</v>
      </c>
      <c r="DA1557" s="53">
        <f t="shared" si="243"/>
        <v>0</v>
      </c>
      <c r="DB1557" s="2">
        <f t="shared" si="233"/>
        <v>0</v>
      </c>
      <c r="DS1557" s="130">
        <f>SI!BY1557</f>
        <v>702</v>
      </c>
      <c r="DZ1557" s="131">
        <f>SI!BZ1557</f>
        <v>0</v>
      </c>
    </row>
    <row r="1558" spans="1:130" hidden="1" x14ac:dyDescent="0.25">
      <c r="A1558" s="141"/>
      <c r="B1558" s="442"/>
      <c r="C1558" s="443"/>
      <c r="D1558" s="443"/>
      <c r="E1558" s="443"/>
      <c r="F1558" s="443"/>
      <c r="G1558" s="443"/>
      <c r="H1558" s="443"/>
      <c r="I1558" s="443"/>
      <c r="J1558" s="443"/>
      <c r="K1558" s="443"/>
      <c r="L1558" s="443"/>
      <c r="M1558" s="443"/>
      <c r="N1558" s="443"/>
      <c r="O1558" s="443"/>
      <c r="P1558" s="443"/>
      <c r="Q1558" s="443"/>
      <c r="R1558" s="443"/>
      <c r="S1558" s="444"/>
      <c r="T1558" s="546"/>
      <c r="U1558" s="547"/>
      <c r="V1558" s="547"/>
      <c r="W1558" s="547"/>
      <c r="X1558" s="547"/>
      <c r="Y1558" s="547"/>
      <c r="Z1558" s="547"/>
      <c r="AA1558" s="547"/>
      <c r="AB1558" s="547"/>
      <c r="AC1558" s="547"/>
      <c r="AD1558" s="547"/>
      <c r="AE1558" s="547"/>
      <c r="AF1558" s="548"/>
      <c r="AG1558" s="546"/>
      <c r="AH1558" s="547"/>
      <c r="AI1558" s="547"/>
      <c r="AJ1558" s="547"/>
      <c r="AK1558" s="547"/>
      <c r="AL1558" s="547"/>
      <c r="AM1558" s="547"/>
      <c r="AN1558" s="547"/>
      <c r="AO1558" s="547"/>
      <c r="AP1558" s="547"/>
      <c r="AQ1558" s="547"/>
      <c r="AR1558" s="548"/>
      <c r="AS1558" s="1236"/>
      <c r="AT1558" s="1237"/>
      <c r="AU1558" s="1237"/>
      <c r="AV1558" s="1237"/>
      <c r="AW1558" s="1237"/>
      <c r="AX1558" s="1237"/>
      <c r="AY1558" s="1237"/>
      <c r="AZ1558" s="1237"/>
      <c r="BA1558" s="1237"/>
      <c r="BB1558" s="1237"/>
      <c r="BC1558" s="1238"/>
      <c r="BD1558" s="1664"/>
      <c r="BE1558" s="1665"/>
      <c r="BF1558" s="1665"/>
      <c r="BG1558" s="1665"/>
      <c r="BH1558" s="1665"/>
      <c r="BI1558" s="1665"/>
      <c r="BJ1558" s="1665"/>
      <c r="BK1558" s="1665"/>
      <c r="BL1558" s="1665"/>
      <c r="BM1558" s="1665"/>
      <c r="BN1558" s="1665"/>
      <c r="BO1558" s="1666"/>
      <c r="BP1558" s="546"/>
      <c r="BQ1558" s="547"/>
      <c r="BR1558" s="547"/>
      <c r="BS1558" s="547"/>
      <c r="BT1558" s="547"/>
      <c r="BU1558" s="547"/>
      <c r="BV1558" s="547"/>
      <c r="BW1558" s="547"/>
      <c r="BX1558" s="547"/>
      <c r="BY1558" s="547"/>
      <c r="BZ1558" s="548"/>
      <c r="CA1558" s="270"/>
      <c r="CB1558" s="3" t="str">
        <f t="shared" si="237"/>
        <v>Riadok bude skrytý.</v>
      </c>
      <c r="CC1558" s="271" t="s">
        <v>937</v>
      </c>
      <c r="CD1558" s="4" t="s">
        <v>764</v>
      </c>
      <c r="CW1558" s="30">
        <f t="shared" si="241"/>
        <v>1</v>
      </c>
      <c r="CX1558" s="30">
        <f t="shared" si="238"/>
        <v>0</v>
      </c>
      <c r="CY1558" s="30">
        <f t="shared" si="242"/>
        <v>1</v>
      </c>
      <c r="CZ1558" s="30">
        <f t="shared" si="232"/>
        <v>0</v>
      </c>
      <c r="DA1558" s="53">
        <f t="shared" si="243"/>
        <v>0</v>
      </c>
      <c r="DB1558" s="2">
        <f t="shared" si="233"/>
        <v>0</v>
      </c>
      <c r="DS1558" s="130">
        <f>SI!BY1558</f>
        <v>123</v>
      </c>
      <c r="DZ1558" s="131">
        <f>SI!BZ1558</f>
        <v>0</v>
      </c>
    </row>
    <row r="1559" spans="1:130" hidden="1" x14ac:dyDescent="0.25">
      <c r="A1559" s="141"/>
      <c r="B1559" s="524" t="s">
        <v>0</v>
      </c>
      <c r="C1559" s="525"/>
      <c r="D1559" s="525"/>
      <c r="E1559" s="525"/>
      <c r="F1559" s="525"/>
      <c r="G1559" s="525"/>
      <c r="H1559" s="525"/>
      <c r="I1559" s="525"/>
      <c r="J1559" s="525"/>
      <c r="K1559" s="525"/>
      <c r="L1559" s="525"/>
      <c r="M1559" s="525"/>
      <c r="N1559" s="525"/>
      <c r="O1559" s="525"/>
      <c r="P1559" s="525"/>
      <c r="Q1559" s="525"/>
      <c r="R1559" s="525"/>
      <c r="S1559" s="723"/>
      <c r="T1559" s="524" t="s">
        <v>1</v>
      </c>
      <c r="U1559" s="525"/>
      <c r="V1559" s="525"/>
      <c r="W1559" s="525"/>
      <c r="X1559" s="525"/>
      <c r="Y1559" s="525"/>
      <c r="Z1559" s="525"/>
      <c r="AA1559" s="525"/>
      <c r="AB1559" s="525"/>
      <c r="AC1559" s="525"/>
      <c r="AD1559" s="525"/>
      <c r="AE1559" s="525"/>
      <c r="AF1559" s="723"/>
      <c r="AG1559" s="524" t="s">
        <v>2</v>
      </c>
      <c r="AH1559" s="525"/>
      <c r="AI1559" s="525"/>
      <c r="AJ1559" s="525"/>
      <c r="AK1559" s="525"/>
      <c r="AL1559" s="525"/>
      <c r="AM1559" s="525"/>
      <c r="AN1559" s="525"/>
      <c r="AO1559" s="525"/>
      <c r="AP1559" s="525"/>
      <c r="AQ1559" s="525"/>
      <c r="AR1559" s="723"/>
      <c r="AS1559" s="524" t="s">
        <v>28</v>
      </c>
      <c r="AT1559" s="525"/>
      <c r="AU1559" s="525"/>
      <c r="AV1559" s="525"/>
      <c r="AW1559" s="525"/>
      <c r="AX1559" s="525"/>
      <c r="AY1559" s="525"/>
      <c r="AZ1559" s="525"/>
      <c r="BA1559" s="525"/>
      <c r="BB1559" s="525"/>
      <c r="BC1559" s="723"/>
      <c r="BD1559" s="524" t="s">
        <v>29</v>
      </c>
      <c r="BE1559" s="525"/>
      <c r="BF1559" s="525"/>
      <c r="BG1559" s="525"/>
      <c r="BH1559" s="525"/>
      <c r="BI1559" s="525"/>
      <c r="BJ1559" s="525"/>
      <c r="BK1559" s="525"/>
      <c r="BL1559" s="525"/>
      <c r="BM1559" s="525"/>
      <c r="BN1559" s="525"/>
      <c r="BO1559" s="723"/>
      <c r="BP1559" s="524" t="s">
        <v>103</v>
      </c>
      <c r="BQ1559" s="525"/>
      <c r="BR1559" s="525"/>
      <c r="BS1559" s="525"/>
      <c r="BT1559" s="525"/>
      <c r="BU1559" s="525"/>
      <c r="BV1559" s="525"/>
      <c r="BW1559" s="525"/>
      <c r="BX1559" s="525"/>
      <c r="BY1559" s="525"/>
      <c r="BZ1559" s="723"/>
      <c r="CA1559" s="270"/>
      <c r="CB1559" s="3" t="str">
        <f t="shared" si="237"/>
        <v>Riadok bude skrytý.</v>
      </c>
      <c r="CC1559" s="271" t="s">
        <v>937</v>
      </c>
      <c r="CW1559" s="30">
        <f t="shared" si="241"/>
        <v>1</v>
      </c>
      <c r="CX1559" s="30">
        <f t="shared" si="238"/>
        <v>0</v>
      </c>
      <c r="CY1559" s="30">
        <f t="shared" si="242"/>
        <v>1</v>
      </c>
      <c r="CZ1559" s="30">
        <f t="shared" si="232"/>
        <v>0</v>
      </c>
      <c r="DA1559" s="53">
        <f t="shared" si="243"/>
        <v>0</v>
      </c>
      <c r="DB1559" s="2">
        <f t="shared" si="233"/>
        <v>0</v>
      </c>
      <c r="DS1559" s="130">
        <f>SI!BY1559</f>
        <v>932</v>
      </c>
      <c r="DZ1559" s="131">
        <f>SI!BZ1559</f>
        <v>0</v>
      </c>
    </row>
    <row r="1560" spans="1:130" ht="14.95" hidden="1" customHeight="1" x14ac:dyDescent="0.25">
      <c r="A1560" s="141"/>
      <c r="B1560" s="1239" t="s">
        <v>189</v>
      </c>
      <c r="C1560" s="1240"/>
      <c r="D1560" s="1240"/>
      <c r="E1560" s="1240"/>
      <c r="F1560" s="1240"/>
      <c r="G1560" s="1240"/>
      <c r="H1560" s="1240"/>
      <c r="I1560" s="1240"/>
      <c r="J1560" s="1240"/>
      <c r="K1560" s="1240"/>
      <c r="L1560" s="1240"/>
      <c r="M1560" s="1240"/>
      <c r="N1560" s="1240"/>
      <c r="O1560" s="1240"/>
      <c r="P1560" s="1240"/>
      <c r="Q1560" s="1240"/>
      <c r="R1560" s="1240"/>
      <c r="S1560" s="1241"/>
      <c r="T1560" s="417"/>
      <c r="U1560" s="418"/>
      <c r="V1560" s="418"/>
      <c r="W1560" s="418"/>
      <c r="X1560" s="418"/>
      <c r="Y1560" s="418"/>
      <c r="Z1560" s="418"/>
      <c r="AA1560" s="418"/>
      <c r="AB1560" s="418"/>
      <c r="AC1560" s="418"/>
      <c r="AD1560" s="418"/>
      <c r="AE1560" s="418"/>
      <c r="AF1560" s="419"/>
      <c r="AG1560" s="417"/>
      <c r="AH1560" s="418"/>
      <c r="AI1560" s="418"/>
      <c r="AJ1560" s="418"/>
      <c r="AK1560" s="418"/>
      <c r="AL1560" s="418"/>
      <c r="AM1560" s="418"/>
      <c r="AN1560" s="418"/>
      <c r="AO1560" s="418"/>
      <c r="AP1560" s="418"/>
      <c r="AQ1560" s="418"/>
      <c r="AR1560" s="419"/>
      <c r="AS1560" s="417"/>
      <c r="AT1560" s="418"/>
      <c r="AU1560" s="418"/>
      <c r="AV1560" s="418"/>
      <c r="AW1560" s="418"/>
      <c r="AX1560" s="418"/>
      <c r="AY1560" s="418"/>
      <c r="AZ1560" s="418"/>
      <c r="BA1560" s="418"/>
      <c r="BB1560" s="418"/>
      <c r="BC1560" s="419"/>
      <c r="BD1560" s="417"/>
      <c r="BE1560" s="418"/>
      <c r="BF1560" s="418"/>
      <c r="BG1560" s="418"/>
      <c r="BH1560" s="418"/>
      <c r="BI1560" s="418"/>
      <c r="BJ1560" s="418"/>
      <c r="BK1560" s="418"/>
      <c r="BL1560" s="418"/>
      <c r="BM1560" s="418"/>
      <c r="BN1560" s="418"/>
      <c r="BO1560" s="419"/>
      <c r="BP1560" s="1222">
        <f t="shared" ref="BP1560:BP1565" si="244">+SUM(T1560:BO1560)</f>
        <v>0</v>
      </c>
      <c r="BQ1560" s="1223"/>
      <c r="BR1560" s="1223"/>
      <c r="BS1560" s="1223"/>
      <c r="BT1560" s="1223"/>
      <c r="BU1560" s="1223"/>
      <c r="BV1560" s="1223"/>
      <c r="BW1560" s="1223"/>
      <c r="BX1560" s="1223"/>
      <c r="BY1560" s="1223"/>
      <c r="BZ1560" s="1224"/>
      <c r="CA1560" s="270"/>
      <c r="CB1560" s="3" t="str">
        <f t="shared" si="237"/>
        <v>Riadok bude skrytý.</v>
      </c>
      <c r="CC1560" s="271" t="s">
        <v>937</v>
      </c>
      <c r="CW1560" s="30">
        <f t="shared" si="241"/>
        <v>1</v>
      </c>
      <c r="CX1560" s="30">
        <f t="shared" si="238"/>
        <v>0</v>
      </c>
      <c r="CY1560" s="30">
        <f t="shared" si="242"/>
        <v>1</v>
      </c>
      <c r="CZ1560" s="30">
        <f t="shared" si="232"/>
        <v>0</v>
      </c>
      <c r="DA1560" s="53">
        <f t="shared" si="243"/>
        <v>0</v>
      </c>
      <c r="DB1560" s="2">
        <f t="shared" si="233"/>
        <v>0</v>
      </c>
      <c r="DS1560" s="130">
        <f>SI!BY1560</f>
        <v>155</v>
      </c>
      <c r="DZ1560" s="131">
        <f>SI!BZ1560</f>
        <v>0</v>
      </c>
    </row>
    <row r="1561" spans="1:130" ht="23.95" hidden="1" customHeight="1" x14ac:dyDescent="0.25">
      <c r="A1561" s="141"/>
      <c r="B1561" s="714" t="s">
        <v>947</v>
      </c>
      <c r="C1561" s="715"/>
      <c r="D1561" s="715"/>
      <c r="E1561" s="715"/>
      <c r="F1561" s="715"/>
      <c r="G1561" s="715"/>
      <c r="H1561" s="715"/>
      <c r="I1561" s="715"/>
      <c r="J1561" s="715"/>
      <c r="K1561" s="715"/>
      <c r="L1561" s="715"/>
      <c r="M1561" s="715"/>
      <c r="N1561" s="715"/>
      <c r="O1561" s="715"/>
      <c r="P1561" s="715"/>
      <c r="Q1561" s="715"/>
      <c r="R1561" s="715"/>
      <c r="S1561" s="716"/>
      <c r="T1561" s="511"/>
      <c r="U1561" s="482"/>
      <c r="V1561" s="482"/>
      <c r="W1561" s="482"/>
      <c r="X1561" s="482"/>
      <c r="Y1561" s="482"/>
      <c r="Z1561" s="482"/>
      <c r="AA1561" s="482"/>
      <c r="AB1561" s="482"/>
      <c r="AC1561" s="482"/>
      <c r="AD1561" s="482"/>
      <c r="AE1561" s="482"/>
      <c r="AF1561" s="483"/>
      <c r="AG1561" s="511"/>
      <c r="AH1561" s="482"/>
      <c r="AI1561" s="482"/>
      <c r="AJ1561" s="482"/>
      <c r="AK1561" s="482"/>
      <c r="AL1561" s="482"/>
      <c r="AM1561" s="482"/>
      <c r="AN1561" s="482"/>
      <c r="AO1561" s="482"/>
      <c r="AP1561" s="482"/>
      <c r="AQ1561" s="482"/>
      <c r="AR1561" s="483"/>
      <c r="AS1561" s="511"/>
      <c r="AT1561" s="482"/>
      <c r="AU1561" s="482"/>
      <c r="AV1561" s="482"/>
      <c r="AW1561" s="482"/>
      <c r="AX1561" s="482"/>
      <c r="AY1561" s="482"/>
      <c r="AZ1561" s="482"/>
      <c r="BA1561" s="482"/>
      <c r="BB1561" s="482"/>
      <c r="BC1561" s="483"/>
      <c r="BD1561" s="511"/>
      <c r="BE1561" s="482"/>
      <c r="BF1561" s="482"/>
      <c r="BG1561" s="482"/>
      <c r="BH1561" s="482"/>
      <c r="BI1561" s="482"/>
      <c r="BJ1561" s="482"/>
      <c r="BK1561" s="482"/>
      <c r="BL1561" s="482"/>
      <c r="BM1561" s="482"/>
      <c r="BN1561" s="482"/>
      <c r="BO1561" s="483"/>
      <c r="BP1561" s="398">
        <f t="shared" si="244"/>
        <v>0</v>
      </c>
      <c r="BQ1561" s="399"/>
      <c r="BR1561" s="399"/>
      <c r="BS1561" s="399"/>
      <c r="BT1561" s="399"/>
      <c r="BU1561" s="399"/>
      <c r="BV1561" s="399"/>
      <c r="BW1561" s="399"/>
      <c r="BX1561" s="399"/>
      <c r="BY1561" s="399"/>
      <c r="BZ1561" s="400"/>
      <c r="CA1561" s="270"/>
      <c r="CB1561" s="3" t="str">
        <f t="shared" si="237"/>
        <v>Riadok bude skrytý.</v>
      </c>
      <c r="CC1561" s="271" t="s">
        <v>937</v>
      </c>
      <c r="CW1561" s="30">
        <f t="shared" si="241"/>
        <v>1</v>
      </c>
      <c r="CX1561" s="30">
        <f t="shared" si="238"/>
        <v>0</v>
      </c>
      <c r="CY1561" s="30">
        <f t="shared" si="242"/>
        <v>1</v>
      </c>
      <c r="CZ1561" s="30">
        <f t="shared" si="232"/>
        <v>0</v>
      </c>
      <c r="DA1561" s="53">
        <f t="shared" si="243"/>
        <v>0</v>
      </c>
      <c r="DB1561" s="2">
        <f t="shared" si="233"/>
        <v>0</v>
      </c>
      <c r="DS1561" s="130">
        <f>SI!BY1561</f>
        <v>1014</v>
      </c>
      <c r="DZ1561" s="131">
        <f>SI!BZ1561</f>
        <v>0</v>
      </c>
    </row>
    <row r="1562" spans="1:130" ht="23.95" hidden="1" customHeight="1" x14ac:dyDescent="0.25">
      <c r="A1562" s="141"/>
      <c r="B1562" s="714" t="s">
        <v>190</v>
      </c>
      <c r="C1562" s="715"/>
      <c r="D1562" s="715"/>
      <c r="E1562" s="715"/>
      <c r="F1562" s="715"/>
      <c r="G1562" s="715"/>
      <c r="H1562" s="715"/>
      <c r="I1562" s="715"/>
      <c r="J1562" s="715"/>
      <c r="K1562" s="715"/>
      <c r="L1562" s="715"/>
      <c r="M1562" s="715"/>
      <c r="N1562" s="715"/>
      <c r="O1562" s="715"/>
      <c r="P1562" s="715"/>
      <c r="Q1562" s="715"/>
      <c r="R1562" s="715"/>
      <c r="S1562" s="716"/>
      <c r="T1562" s="511"/>
      <c r="U1562" s="482"/>
      <c r="V1562" s="482"/>
      <c r="W1562" s="482"/>
      <c r="X1562" s="482"/>
      <c r="Y1562" s="482"/>
      <c r="Z1562" s="482"/>
      <c r="AA1562" s="482"/>
      <c r="AB1562" s="482"/>
      <c r="AC1562" s="482"/>
      <c r="AD1562" s="482"/>
      <c r="AE1562" s="482"/>
      <c r="AF1562" s="483"/>
      <c r="AG1562" s="511"/>
      <c r="AH1562" s="482"/>
      <c r="AI1562" s="482"/>
      <c r="AJ1562" s="482"/>
      <c r="AK1562" s="482"/>
      <c r="AL1562" s="482"/>
      <c r="AM1562" s="482"/>
      <c r="AN1562" s="482"/>
      <c r="AO1562" s="482"/>
      <c r="AP1562" s="482"/>
      <c r="AQ1562" s="482"/>
      <c r="AR1562" s="483"/>
      <c r="AS1562" s="511"/>
      <c r="AT1562" s="482"/>
      <c r="AU1562" s="482"/>
      <c r="AV1562" s="482"/>
      <c r="AW1562" s="482"/>
      <c r="AX1562" s="482"/>
      <c r="AY1562" s="482"/>
      <c r="AZ1562" s="482"/>
      <c r="BA1562" s="482"/>
      <c r="BB1562" s="482"/>
      <c r="BC1562" s="483"/>
      <c r="BD1562" s="511"/>
      <c r="BE1562" s="482"/>
      <c r="BF1562" s="482"/>
      <c r="BG1562" s="482"/>
      <c r="BH1562" s="482"/>
      <c r="BI1562" s="482"/>
      <c r="BJ1562" s="482"/>
      <c r="BK1562" s="482"/>
      <c r="BL1562" s="482"/>
      <c r="BM1562" s="482"/>
      <c r="BN1562" s="482"/>
      <c r="BO1562" s="483"/>
      <c r="BP1562" s="398">
        <f t="shared" si="244"/>
        <v>0</v>
      </c>
      <c r="BQ1562" s="399"/>
      <c r="BR1562" s="399"/>
      <c r="BS1562" s="399"/>
      <c r="BT1562" s="399"/>
      <c r="BU1562" s="399"/>
      <c r="BV1562" s="399"/>
      <c r="BW1562" s="399"/>
      <c r="BX1562" s="399"/>
      <c r="BY1562" s="399"/>
      <c r="BZ1562" s="400"/>
      <c r="CA1562" s="270"/>
      <c r="CB1562" s="3" t="str">
        <f t="shared" si="237"/>
        <v>Riadok bude skrytý.</v>
      </c>
      <c r="CC1562" s="271" t="s">
        <v>937</v>
      </c>
      <c r="CW1562" s="30">
        <f t="shared" si="241"/>
        <v>1</v>
      </c>
      <c r="CX1562" s="30">
        <f t="shared" si="238"/>
        <v>0</v>
      </c>
      <c r="CY1562" s="30">
        <f t="shared" si="242"/>
        <v>1</v>
      </c>
      <c r="CZ1562" s="30">
        <f t="shared" si="232"/>
        <v>0</v>
      </c>
      <c r="DA1562" s="53">
        <f t="shared" si="243"/>
        <v>0</v>
      </c>
      <c r="DB1562" s="2">
        <f t="shared" si="233"/>
        <v>0</v>
      </c>
      <c r="DS1562" s="130">
        <f>SI!BY1562</f>
        <v>148</v>
      </c>
      <c r="DZ1562" s="131">
        <f>SI!BZ1562</f>
        <v>0</v>
      </c>
    </row>
    <row r="1563" spans="1:130" ht="24.8" hidden="1" customHeight="1" x14ac:dyDescent="0.25">
      <c r="A1563" s="141"/>
      <c r="B1563" s="714" t="s">
        <v>191</v>
      </c>
      <c r="C1563" s="715"/>
      <c r="D1563" s="715"/>
      <c r="E1563" s="715"/>
      <c r="F1563" s="715"/>
      <c r="G1563" s="715"/>
      <c r="H1563" s="715"/>
      <c r="I1563" s="715"/>
      <c r="J1563" s="715"/>
      <c r="K1563" s="715"/>
      <c r="L1563" s="715"/>
      <c r="M1563" s="715"/>
      <c r="N1563" s="715"/>
      <c r="O1563" s="715"/>
      <c r="P1563" s="715"/>
      <c r="Q1563" s="715"/>
      <c r="R1563" s="715"/>
      <c r="S1563" s="716"/>
      <c r="T1563" s="511"/>
      <c r="U1563" s="482"/>
      <c r="V1563" s="482"/>
      <c r="W1563" s="482"/>
      <c r="X1563" s="482"/>
      <c r="Y1563" s="482"/>
      <c r="Z1563" s="482"/>
      <c r="AA1563" s="482"/>
      <c r="AB1563" s="482"/>
      <c r="AC1563" s="482"/>
      <c r="AD1563" s="482"/>
      <c r="AE1563" s="482"/>
      <c r="AF1563" s="483"/>
      <c r="AG1563" s="511"/>
      <c r="AH1563" s="482"/>
      <c r="AI1563" s="482"/>
      <c r="AJ1563" s="482"/>
      <c r="AK1563" s="482"/>
      <c r="AL1563" s="482"/>
      <c r="AM1563" s="482"/>
      <c r="AN1563" s="482"/>
      <c r="AO1563" s="482"/>
      <c r="AP1563" s="482"/>
      <c r="AQ1563" s="482"/>
      <c r="AR1563" s="483"/>
      <c r="AS1563" s="511"/>
      <c r="AT1563" s="482"/>
      <c r="AU1563" s="482"/>
      <c r="AV1563" s="482"/>
      <c r="AW1563" s="482"/>
      <c r="AX1563" s="482"/>
      <c r="AY1563" s="482"/>
      <c r="AZ1563" s="482"/>
      <c r="BA1563" s="482"/>
      <c r="BB1563" s="482"/>
      <c r="BC1563" s="483"/>
      <c r="BD1563" s="511"/>
      <c r="BE1563" s="482"/>
      <c r="BF1563" s="482"/>
      <c r="BG1563" s="482"/>
      <c r="BH1563" s="482"/>
      <c r="BI1563" s="482"/>
      <c r="BJ1563" s="482"/>
      <c r="BK1563" s="482"/>
      <c r="BL1563" s="482"/>
      <c r="BM1563" s="482"/>
      <c r="BN1563" s="482"/>
      <c r="BO1563" s="483"/>
      <c r="BP1563" s="398">
        <f t="shared" si="244"/>
        <v>0</v>
      </c>
      <c r="BQ1563" s="399"/>
      <c r="BR1563" s="399"/>
      <c r="BS1563" s="399"/>
      <c r="BT1563" s="399"/>
      <c r="BU1563" s="399"/>
      <c r="BV1563" s="399"/>
      <c r="BW1563" s="399"/>
      <c r="BX1563" s="399"/>
      <c r="BY1563" s="399"/>
      <c r="BZ1563" s="400"/>
      <c r="CA1563" s="270"/>
      <c r="CB1563" s="3" t="str">
        <f t="shared" si="237"/>
        <v>Riadok bude skrytý.</v>
      </c>
      <c r="CC1563" s="271" t="s">
        <v>937</v>
      </c>
      <c r="CW1563" s="30">
        <f t="shared" si="241"/>
        <v>1</v>
      </c>
      <c r="CX1563" s="30">
        <f t="shared" si="238"/>
        <v>0</v>
      </c>
      <c r="CY1563" s="30">
        <f t="shared" si="242"/>
        <v>1</v>
      </c>
      <c r="CZ1563" s="30">
        <f t="shared" si="232"/>
        <v>0</v>
      </c>
      <c r="DA1563" s="53">
        <f t="shared" si="243"/>
        <v>0</v>
      </c>
      <c r="DB1563" s="2">
        <f t="shared" si="233"/>
        <v>0</v>
      </c>
      <c r="DS1563" s="130">
        <f>SI!BY1563</f>
        <v>150</v>
      </c>
      <c r="DZ1563" s="131">
        <f>SI!BZ1563</f>
        <v>0</v>
      </c>
    </row>
    <row r="1564" spans="1:130" ht="14.95" hidden="1" customHeight="1" x14ac:dyDescent="0.25">
      <c r="A1564" s="141"/>
      <c r="B1564" s="720" t="s">
        <v>192</v>
      </c>
      <c r="C1564" s="721"/>
      <c r="D1564" s="721"/>
      <c r="E1564" s="721"/>
      <c r="F1564" s="721"/>
      <c r="G1564" s="721"/>
      <c r="H1564" s="721"/>
      <c r="I1564" s="721"/>
      <c r="J1564" s="721"/>
      <c r="K1564" s="721"/>
      <c r="L1564" s="721"/>
      <c r="M1564" s="721"/>
      <c r="N1564" s="721"/>
      <c r="O1564" s="721"/>
      <c r="P1564" s="721"/>
      <c r="Q1564" s="721"/>
      <c r="R1564" s="721"/>
      <c r="S1564" s="722"/>
      <c r="T1564" s="454"/>
      <c r="U1564" s="455"/>
      <c r="V1564" s="455"/>
      <c r="W1564" s="455"/>
      <c r="X1564" s="455"/>
      <c r="Y1564" s="455"/>
      <c r="Z1564" s="455"/>
      <c r="AA1564" s="455"/>
      <c r="AB1564" s="455"/>
      <c r="AC1564" s="455"/>
      <c r="AD1564" s="455"/>
      <c r="AE1564" s="455"/>
      <c r="AF1564" s="456"/>
      <c r="AG1564" s="454"/>
      <c r="AH1564" s="455"/>
      <c r="AI1564" s="455"/>
      <c r="AJ1564" s="455"/>
      <c r="AK1564" s="455"/>
      <c r="AL1564" s="455"/>
      <c r="AM1564" s="455"/>
      <c r="AN1564" s="455"/>
      <c r="AO1564" s="455"/>
      <c r="AP1564" s="455"/>
      <c r="AQ1564" s="455"/>
      <c r="AR1564" s="456"/>
      <c r="AS1564" s="454"/>
      <c r="AT1564" s="455"/>
      <c r="AU1564" s="455"/>
      <c r="AV1564" s="455"/>
      <c r="AW1564" s="455"/>
      <c r="AX1564" s="455"/>
      <c r="AY1564" s="455"/>
      <c r="AZ1564" s="455"/>
      <c r="BA1564" s="455"/>
      <c r="BB1564" s="455"/>
      <c r="BC1564" s="456"/>
      <c r="BD1564" s="454"/>
      <c r="BE1564" s="455"/>
      <c r="BF1564" s="455"/>
      <c r="BG1564" s="455"/>
      <c r="BH1564" s="455"/>
      <c r="BI1564" s="455"/>
      <c r="BJ1564" s="455"/>
      <c r="BK1564" s="455"/>
      <c r="BL1564" s="455"/>
      <c r="BM1564" s="455"/>
      <c r="BN1564" s="455"/>
      <c r="BO1564" s="456"/>
      <c r="BP1564" s="1266">
        <f t="shared" si="244"/>
        <v>0</v>
      </c>
      <c r="BQ1564" s="1267"/>
      <c r="BR1564" s="1267"/>
      <c r="BS1564" s="1267"/>
      <c r="BT1564" s="1267"/>
      <c r="BU1564" s="1267"/>
      <c r="BV1564" s="1267"/>
      <c r="BW1564" s="1267"/>
      <c r="BX1564" s="1267"/>
      <c r="BY1564" s="1267"/>
      <c r="BZ1564" s="1268"/>
      <c r="CA1564" s="270"/>
      <c r="CB1564" s="3" t="str">
        <f t="shared" si="237"/>
        <v>Riadok bude skrytý.</v>
      </c>
      <c r="CC1564" s="271" t="s">
        <v>937</v>
      </c>
      <c r="CW1564" s="30">
        <f t="shared" si="241"/>
        <v>1</v>
      </c>
      <c r="CX1564" s="30">
        <f t="shared" si="238"/>
        <v>0</v>
      </c>
      <c r="CY1564" s="30">
        <f t="shared" si="242"/>
        <v>1</v>
      </c>
      <c r="CZ1564" s="30">
        <f t="shared" si="232"/>
        <v>0</v>
      </c>
      <c r="DA1564" s="53">
        <f t="shared" si="243"/>
        <v>0</v>
      </c>
      <c r="DB1564" s="2">
        <f t="shared" si="233"/>
        <v>0</v>
      </c>
      <c r="DS1564" s="130">
        <f>SI!BY1564</f>
        <v>152</v>
      </c>
      <c r="DZ1564" s="131">
        <f>SI!BZ1564</f>
        <v>0</v>
      </c>
    </row>
    <row r="1565" spans="1:130" ht="14.95" hidden="1" customHeight="1" x14ac:dyDescent="0.25">
      <c r="A1565" s="141"/>
      <c r="B1565" s="1671" t="s">
        <v>193</v>
      </c>
      <c r="C1565" s="1672"/>
      <c r="D1565" s="1672"/>
      <c r="E1565" s="1672"/>
      <c r="F1565" s="1672"/>
      <c r="G1565" s="1672"/>
      <c r="H1565" s="1672"/>
      <c r="I1565" s="1672"/>
      <c r="J1565" s="1672"/>
      <c r="K1565" s="1672"/>
      <c r="L1565" s="1672"/>
      <c r="M1565" s="1672"/>
      <c r="N1565" s="1672"/>
      <c r="O1565" s="1672"/>
      <c r="P1565" s="1672"/>
      <c r="Q1565" s="1672"/>
      <c r="R1565" s="1672"/>
      <c r="S1565" s="1673"/>
      <c r="T1565" s="423">
        <f>+SUM(T1560:AF1564)</f>
        <v>0</v>
      </c>
      <c r="U1565" s="424"/>
      <c r="V1565" s="424"/>
      <c r="W1565" s="424"/>
      <c r="X1565" s="424"/>
      <c r="Y1565" s="424"/>
      <c r="Z1565" s="424"/>
      <c r="AA1565" s="424"/>
      <c r="AB1565" s="424"/>
      <c r="AC1565" s="424"/>
      <c r="AD1565" s="424"/>
      <c r="AE1565" s="424"/>
      <c r="AF1565" s="425"/>
      <c r="AG1565" s="423">
        <f>+SUM(AG1560:AR1564)</f>
        <v>0</v>
      </c>
      <c r="AH1565" s="424"/>
      <c r="AI1565" s="424"/>
      <c r="AJ1565" s="424"/>
      <c r="AK1565" s="424"/>
      <c r="AL1565" s="424"/>
      <c r="AM1565" s="424"/>
      <c r="AN1565" s="424"/>
      <c r="AO1565" s="424"/>
      <c r="AP1565" s="424"/>
      <c r="AQ1565" s="424"/>
      <c r="AR1565" s="425"/>
      <c r="AS1565" s="423">
        <f>+SUM(AS1560:BC1564)</f>
        <v>0</v>
      </c>
      <c r="AT1565" s="424"/>
      <c r="AU1565" s="424"/>
      <c r="AV1565" s="424"/>
      <c r="AW1565" s="424"/>
      <c r="AX1565" s="424"/>
      <c r="AY1565" s="424"/>
      <c r="AZ1565" s="424"/>
      <c r="BA1565" s="424"/>
      <c r="BB1565" s="424"/>
      <c r="BC1565" s="425"/>
      <c r="BD1565" s="423">
        <f>+SUM(BD1560:BO1563)</f>
        <v>0</v>
      </c>
      <c r="BE1565" s="424"/>
      <c r="BF1565" s="424"/>
      <c r="BG1565" s="424"/>
      <c r="BH1565" s="424"/>
      <c r="BI1565" s="424"/>
      <c r="BJ1565" s="424"/>
      <c r="BK1565" s="424"/>
      <c r="BL1565" s="424"/>
      <c r="BM1565" s="424"/>
      <c r="BN1565" s="424"/>
      <c r="BO1565" s="425"/>
      <c r="BP1565" s="423">
        <f t="shared" si="244"/>
        <v>0</v>
      </c>
      <c r="BQ1565" s="424"/>
      <c r="BR1565" s="424"/>
      <c r="BS1565" s="424"/>
      <c r="BT1565" s="424"/>
      <c r="BU1565" s="424"/>
      <c r="BV1565" s="424"/>
      <c r="BW1565" s="424"/>
      <c r="BX1565" s="424"/>
      <c r="BY1565" s="424"/>
      <c r="BZ1565" s="425"/>
      <c r="CA1565" s="270"/>
      <c r="CB1565" s="3" t="str">
        <f t="shared" si="237"/>
        <v>Riadok bude skrytý.</v>
      </c>
      <c r="CC1565" s="271" t="s">
        <v>937</v>
      </c>
      <c r="CW1565" s="30">
        <f t="shared" si="241"/>
        <v>1</v>
      </c>
      <c r="CX1565" s="30">
        <f t="shared" si="238"/>
        <v>0</v>
      </c>
      <c r="CY1565" s="30">
        <f t="shared" si="242"/>
        <v>1</v>
      </c>
      <c r="CZ1565" s="30">
        <f t="shared" si="232"/>
        <v>0</v>
      </c>
      <c r="DA1565" s="53">
        <f t="shared" si="243"/>
        <v>0</v>
      </c>
      <c r="DB1565" s="2">
        <f t="shared" si="233"/>
        <v>0</v>
      </c>
      <c r="DS1565" s="130">
        <f>SI!BY1565</f>
        <v>270</v>
      </c>
      <c r="DZ1565" s="131">
        <f>SI!BZ1565</f>
        <v>0</v>
      </c>
    </row>
    <row r="1566" spans="1:130" hidden="1" x14ac:dyDescent="0.25">
      <c r="A1566" s="141"/>
      <c r="CA1566" s="142"/>
      <c r="CB1566" s="3" t="str">
        <f t="shared" si="237"/>
        <v>Riadok bude skrytý.</v>
      </c>
      <c r="CC1566" s="271" t="s">
        <v>832</v>
      </c>
      <c r="CW1566" s="30">
        <f t="shared" si="241"/>
        <v>1</v>
      </c>
      <c r="CZ1566" s="30">
        <f t="shared" ref="CZ1566:CZ1629" si="245">IF(CC1566="",1,IF(CC1566="Chcem skryť riadok.",0,1))</f>
        <v>1</v>
      </c>
      <c r="DA1566" s="30">
        <f t="shared" ref="DA1566:DA1613" si="246">+IF(CW1566+CX1566+CY1566=0,0,IF(CZ1566=0,0,1))</f>
        <v>1</v>
      </c>
      <c r="DB1566" s="2">
        <f t="shared" si="233"/>
        <v>0</v>
      </c>
      <c r="DS1566" s="130">
        <f>SI!BY1566</f>
        <v>112</v>
      </c>
      <c r="DZ1566" s="131">
        <f>SI!BZ1566</f>
        <v>0</v>
      </c>
    </row>
    <row r="1567" spans="1:130" hidden="1" x14ac:dyDescent="0.25">
      <c r="A1567" s="141"/>
      <c r="B1567" s="7" t="str">
        <f>+IF($O$52&lt;&gt;"",IF(CODE(MID($O$52,1,1))*(IF(SI!EE1567="",1,SI!EE1567-1))+ROUNDDOWN(LEN(SI!J5)/2,0)=DS1567,"Veková štruktúra pohľadávok za bežné účtovné obdobie je uvedená v tabuľke:","NEPOVOLENÉ POUŽITIE!"),"NEPOVOLENÉ POUŽITIE!")</f>
        <v>Veková štruktúra pohľadávok za bežné účtovné obdobie je uvedená v tabuľke:</v>
      </c>
      <c r="BM1567" s="137" t="s">
        <v>436</v>
      </c>
      <c r="BU1567" s="1670">
        <f>+AJ141</f>
        <v>2021</v>
      </c>
      <c r="BV1567" s="1670"/>
      <c r="BW1567" s="1670"/>
      <c r="BX1567" s="1670"/>
      <c r="BY1567" s="1670"/>
      <c r="BZ1567" s="1670"/>
      <c r="CA1567" s="265" t="s">
        <v>773</v>
      </c>
      <c r="CB1567" s="3" t="str">
        <f t="shared" si="237"/>
        <v>Riadok bude skrytý.</v>
      </c>
      <c r="CC1567" s="271" t="s">
        <v>832</v>
      </c>
      <c r="CW1567" s="30">
        <f t="shared" si="241"/>
        <v>1</v>
      </c>
      <c r="CZ1567" s="30">
        <f t="shared" si="245"/>
        <v>1</v>
      </c>
      <c r="DA1567" s="30">
        <f t="shared" si="246"/>
        <v>1</v>
      </c>
      <c r="DB1567" s="2">
        <f t="shared" si="233"/>
        <v>0</v>
      </c>
      <c r="DS1567" s="130">
        <f>SI!BY1567</f>
        <v>7</v>
      </c>
      <c r="DZ1567" s="131">
        <f>SI!BZ1567</f>
        <v>0</v>
      </c>
    </row>
    <row r="1568" spans="1:130" hidden="1" x14ac:dyDescent="0.25">
      <c r="A1568" s="141"/>
      <c r="CA1568" s="142"/>
      <c r="CB1568" s="3" t="str">
        <f t="shared" si="237"/>
        <v>Riadok bude skrytý.</v>
      </c>
      <c r="CC1568" s="271" t="s">
        <v>832</v>
      </c>
      <c r="CW1568" s="30">
        <f t="shared" si="241"/>
        <v>1</v>
      </c>
      <c r="CZ1568" s="30">
        <f t="shared" si="245"/>
        <v>1</v>
      </c>
      <c r="DA1568" s="30">
        <f t="shared" si="246"/>
        <v>1</v>
      </c>
      <c r="DB1568" s="2">
        <f t="shared" si="233"/>
        <v>0</v>
      </c>
      <c r="DS1568" s="130">
        <f>SI!BY1568</f>
        <v>171</v>
      </c>
      <c r="DZ1568" s="131">
        <f>SI!BZ1568</f>
        <v>0</v>
      </c>
    </row>
    <row r="1569" spans="1:130" ht="10.55" hidden="1" customHeight="1" x14ac:dyDescent="0.25">
      <c r="A1569" s="141"/>
      <c r="B1569" s="439" t="s">
        <v>171</v>
      </c>
      <c r="C1569" s="440"/>
      <c r="D1569" s="440"/>
      <c r="E1569" s="440"/>
      <c r="F1569" s="440"/>
      <c r="G1569" s="440"/>
      <c r="H1569" s="440"/>
      <c r="I1569" s="440"/>
      <c r="J1569" s="440"/>
      <c r="K1569" s="440"/>
      <c r="L1569" s="440"/>
      <c r="M1569" s="440"/>
      <c r="N1569" s="440"/>
      <c r="O1569" s="440"/>
      <c r="P1569" s="440"/>
      <c r="Q1569" s="440"/>
      <c r="R1569" s="440"/>
      <c r="S1569" s="440"/>
      <c r="T1569" s="440"/>
      <c r="U1569" s="440"/>
      <c r="V1569" s="440"/>
      <c r="W1569" s="440"/>
      <c r="X1569" s="441"/>
      <c r="Y1569" s="1627" t="s">
        <v>194</v>
      </c>
      <c r="Z1569" s="1628"/>
      <c r="AA1569" s="1628"/>
      <c r="AB1569" s="1628"/>
      <c r="AC1569" s="1628"/>
      <c r="AD1569" s="1628"/>
      <c r="AE1569" s="1628"/>
      <c r="AF1569" s="1628"/>
      <c r="AG1569" s="1628"/>
      <c r="AH1569" s="1628"/>
      <c r="AI1569" s="1628"/>
      <c r="AJ1569" s="1628"/>
      <c r="AK1569" s="1628"/>
      <c r="AL1569" s="1628"/>
      <c r="AM1569" s="1628"/>
      <c r="AN1569" s="1628"/>
      <c r="AO1569" s="1628"/>
      <c r="AP1569" s="1628"/>
      <c r="AQ1569" s="1628"/>
      <c r="AR1569" s="1628"/>
      <c r="AS1569" s="1629"/>
      <c r="AT1569" s="1627" t="s">
        <v>195</v>
      </c>
      <c r="AU1569" s="1628"/>
      <c r="AV1569" s="1628"/>
      <c r="AW1569" s="1628"/>
      <c r="AX1569" s="1628"/>
      <c r="AY1569" s="1628"/>
      <c r="AZ1569" s="1628"/>
      <c r="BA1569" s="1628"/>
      <c r="BB1569" s="1628"/>
      <c r="BC1569" s="1628"/>
      <c r="BD1569" s="1628"/>
      <c r="BE1569" s="1628"/>
      <c r="BF1569" s="1628"/>
      <c r="BG1569" s="1628"/>
      <c r="BH1569" s="1628"/>
      <c r="BI1569" s="1628"/>
      <c r="BJ1569" s="1628"/>
      <c r="BK1569" s="1628"/>
      <c r="BL1569" s="1629"/>
      <c r="BM1569" s="1627" t="s">
        <v>193</v>
      </c>
      <c r="BN1569" s="1628"/>
      <c r="BO1569" s="1628"/>
      <c r="BP1569" s="1628"/>
      <c r="BQ1569" s="1628"/>
      <c r="BR1569" s="1628"/>
      <c r="BS1569" s="1628"/>
      <c r="BT1569" s="1628"/>
      <c r="BU1569" s="1628"/>
      <c r="BV1569" s="1628"/>
      <c r="BW1569" s="1628"/>
      <c r="BX1569" s="1628"/>
      <c r="BY1569" s="1628"/>
      <c r="BZ1569" s="1629"/>
      <c r="CA1569" s="142"/>
      <c r="CB1569" s="3" t="str">
        <f t="shared" si="237"/>
        <v>Riadok bude skrytý.</v>
      </c>
      <c r="CC1569" s="271" t="s">
        <v>832</v>
      </c>
      <c r="CD1569" s="4"/>
      <c r="CW1569" s="30">
        <f t="shared" si="241"/>
        <v>1</v>
      </c>
      <c r="CZ1569" s="30">
        <f t="shared" si="245"/>
        <v>1</v>
      </c>
      <c r="DA1569" s="30">
        <f t="shared" si="246"/>
        <v>1</v>
      </c>
      <c r="DB1569" s="2">
        <f t="shared" si="233"/>
        <v>0</v>
      </c>
      <c r="DS1569" s="130">
        <f>SI!BY1569</f>
        <v>304</v>
      </c>
      <c r="DZ1569" s="131">
        <f>SI!BZ1569</f>
        <v>0</v>
      </c>
    </row>
    <row r="1570" spans="1:130" ht="10.55" hidden="1" customHeight="1" x14ac:dyDescent="0.25">
      <c r="A1570" s="141"/>
      <c r="B1570" s="442"/>
      <c r="C1570" s="443"/>
      <c r="D1570" s="443"/>
      <c r="E1570" s="443"/>
      <c r="F1570" s="443"/>
      <c r="G1570" s="443"/>
      <c r="H1570" s="443"/>
      <c r="I1570" s="443"/>
      <c r="J1570" s="443"/>
      <c r="K1570" s="443"/>
      <c r="L1570" s="443"/>
      <c r="M1570" s="443"/>
      <c r="N1570" s="443"/>
      <c r="O1570" s="443"/>
      <c r="P1570" s="443"/>
      <c r="Q1570" s="443"/>
      <c r="R1570" s="443"/>
      <c r="S1570" s="443"/>
      <c r="T1570" s="443"/>
      <c r="U1570" s="443"/>
      <c r="V1570" s="443"/>
      <c r="W1570" s="443"/>
      <c r="X1570" s="444"/>
      <c r="Y1570" s="1630"/>
      <c r="Z1570" s="1631"/>
      <c r="AA1570" s="1631"/>
      <c r="AB1570" s="1631"/>
      <c r="AC1570" s="1631"/>
      <c r="AD1570" s="1631"/>
      <c r="AE1570" s="1631"/>
      <c r="AF1570" s="1631"/>
      <c r="AG1570" s="1631"/>
      <c r="AH1570" s="1631"/>
      <c r="AI1570" s="1631"/>
      <c r="AJ1570" s="1631"/>
      <c r="AK1570" s="1631"/>
      <c r="AL1570" s="1631"/>
      <c r="AM1570" s="1631"/>
      <c r="AN1570" s="1631"/>
      <c r="AO1570" s="1631"/>
      <c r="AP1570" s="1631"/>
      <c r="AQ1570" s="1631"/>
      <c r="AR1570" s="1631"/>
      <c r="AS1570" s="1632"/>
      <c r="AT1570" s="1630"/>
      <c r="AU1570" s="1631"/>
      <c r="AV1570" s="1631"/>
      <c r="AW1570" s="1631"/>
      <c r="AX1570" s="1631"/>
      <c r="AY1570" s="1631"/>
      <c r="AZ1570" s="1631"/>
      <c r="BA1570" s="1631"/>
      <c r="BB1570" s="1631"/>
      <c r="BC1570" s="1631"/>
      <c r="BD1570" s="1631"/>
      <c r="BE1570" s="1631"/>
      <c r="BF1570" s="1631"/>
      <c r="BG1570" s="1631"/>
      <c r="BH1570" s="1631"/>
      <c r="BI1570" s="1631"/>
      <c r="BJ1570" s="1631"/>
      <c r="BK1570" s="1631"/>
      <c r="BL1570" s="1632"/>
      <c r="BM1570" s="1630"/>
      <c r="BN1570" s="1631"/>
      <c r="BO1570" s="1631"/>
      <c r="BP1570" s="1631"/>
      <c r="BQ1570" s="1631"/>
      <c r="BR1570" s="1631"/>
      <c r="BS1570" s="1631"/>
      <c r="BT1570" s="1631"/>
      <c r="BU1570" s="1631"/>
      <c r="BV1570" s="1631"/>
      <c r="BW1570" s="1631"/>
      <c r="BX1570" s="1631"/>
      <c r="BY1570" s="1631"/>
      <c r="BZ1570" s="1632"/>
      <c r="CA1570" s="142"/>
      <c r="CB1570" s="3" t="str">
        <f t="shared" si="237"/>
        <v>Riadok bude skrytý.</v>
      </c>
      <c r="CC1570" s="271" t="s">
        <v>832</v>
      </c>
      <c r="CW1570" s="30">
        <f t="shared" si="241"/>
        <v>1</v>
      </c>
      <c r="CZ1570" s="30">
        <f t="shared" si="245"/>
        <v>1</v>
      </c>
      <c r="DA1570" s="30">
        <f t="shared" si="246"/>
        <v>1</v>
      </c>
      <c r="DB1570" s="2">
        <f t="shared" si="233"/>
        <v>0</v>
      </c>
      <c r="DS1570" s="130">
        <f>SI!BY1570</f>
        <v>193</v>
      </c>
      <c r="DZ1570" s="131">
        <f>SI!BZ1570</f>
        <v>0</v>
      </c>
    </row>
    <row r="1571" spans="1:130" hidden="1" x14ac:dyDescent="0.25">
      <c r="A1571" s="141"/>
      <c r="B1571" s="524" t="s">
        <v>0</v>
      </c>
      <c r="C1571" s="525"/>
      <c r="D1571" s="525"/>
      <c r="E1571" s="525"/>
      <c r="F1571" s="525"/>
      <c r="G1571" s="525"/>
      <c r="H1571" s="525"/>
      <c r="I1571" s="525"/>
      <c r="J1571" s="525"/>
      <c r="K1571" s="525"/>
      <c r="L1571" s="525"/>
      <c r="M1571" s="525"/>
      <c r="N1571" s="525"/>
      <c r="O1571" s="525"/>
      <c r="P1571" s="525"/>
      <c r="Q1571" s="525"/>
      <c r="R1571" s="525"/>
      <c r="S1571" s="525"/>
      <c r="T1571" s="525"/>
      <c r="U1571" s="525"/>
      <c r="V1571" s="525"/>
      <c r="W1571" s="525"/>
      <c r="X1571" s="723"/>
      <c r="Y1571" s="524" t="s">
        <v>1</v>
      </c>
      <c r="Z1571" s="525"/>
      <c r="AA1571" s="525"/>
      <c r="AB1571" s="525"/>
      <c r="AC1571" s="525"/>
      <c r="AD1571" s="525"/>
      <c r="AE1571" s="525"/>
      <c r="AF1571" s="525"/>
      <c r="AG1571" s="525"/>
      <c r="AH1571" s="525"/>
      <c r="AI1571" s="525"/>
      <c r="AJ1571" s="525"/>
      <c r="AK1571" s="525"/>
      <c r="AL1571" s="525"/>
      <c r="AM1571" s="525"/>
      <c r="AN1571" s="525"/>
      <c r="AO1571" s="525"/>
      <c r="AP1571" s="525"/>
      <c r="AQ1571" s="525"/>
      <c r="AR1571" s="525"/>
      <c r="AS1571" s="723"/>
      <c r="AT1571" s="524" t="s">
        <v>2</v>
      </c>
      <c r="AU1571" s="525"/>
      <c r="AV1571" s="525"/>
      <c r="AW1571" s="525"/>
      <c r="AX1571" s="525"/>
      <c r="AY1571" s="525"/>
      <c r="AZ1571" s="525"/>
      <c r="BA1571" s="525"/>
      <c r="BB1571" s="525"/>
      <c r="BC1571" s="525"/>
      <c r="BD1571" s="525"/>
      <c r="BE1571" s="525"/>
      <c r="BF1571" s="525"/>
      <c r="BG1571" s="525"/>
      <c r="BH1571" s="525"/>
      <c r="BI1571" s="525"/>
      <c r="BJ1571" s="525"/>
      <c r="BK1571" s="525"/>
      <c r="BL1571" s="723"/>
      <c r="BM1571" s="524" t="s">
        <v>28</v>
      </c>
      <c r="BN1571" s="525"/>
      <c r="BO1571" s="525"/>
      <c r="BP1571" s="525"/>
      <c r="BQ1571" s="525"/>
      <c r="BR1571" s="525"/>
      <c r="BS1571" s="525"/>
      <c r="BT1571" s="525"/>
      <c r="BU1571" s="525"/>
      <c r="BV1571" s="525"/>
      <c r="BW1571" s="525"/>
      <c r="BX1571" s="525"/>
      <c r="BY1571" s="525"/>
      <c r="BZ1571" s="723"/>
      <c r="CA1571" s="142"/>
      <c r="CB1571" s="3" t="str">
        <f t="shared" si="237"/>
        <v>Riadok bude skrytý.</v>
      </c>
      <c r="CC1571" s="271" t="s">
        <v>832</v>
      </c>
      <c r="CW1571" s="30">
        <f t="shared" si="241"/>
        <v>1</v>
      </c>
      <c r="CZ1571" s="30">
        <f t="shared" si="245"/>
        <v>1</v>
      </c>
      <c r="DA1571" s="30">
        <f t="shared" si="246"/>
        <v>1</v>
      </c>
      <c r="DB1571" s="2">
        <f t="shared" si="233"/>
        <v>0</v>
      </c>
      <c r="DS1571" s="130">
        <f>SI!BY1571</f>
        <v>625</v>
      </c>
      <c r="DZ1571" s="131">
        <f>SI!BZ1571</f>
        <v>0</v>
      </c>
    </row>
    <row r="1572" spans="1:130" hidden="1" x14ac:dyDescent="0.25">
      <c r="A1572" s="141"/>
      <c r="B1572" s="579" t="s">
        <v>196</v>
      </c>
      <c r="C1572" s="580"/>
      <c r="D1572" s="580"/>
      <c r="E1572" s="580"/>
      <c r="F1572" s="580"/>
      <c r="G1572" s="580"/>
      <c r="H1572" s="580"/>
      <c r="I1572" s="580"/>
      <c r="J1572" s="580"/>
      <c r="K1572" s="580"/>
      <c r="L1572" s="580"/>
      <c r="M1572" s="580"/>
      <c r="N1572" s="580"/>
      <c r="O1572" s="580"/>
      <c r="P1572" s="580"/>
      <c r="Q1572" s="580"/>
      <c r="R1572" s="580"/>
      <c r="S1572" s="580"/>
      <c r="T1572" s="580"/>
      <c r="U1572" s="580"/>
      <c r="V1572" s="580"/>
      <c r="W1572" s="580"/>
      <c r="X1572" s="580"/>
      <c r="Y1572" s="580"/>
      <c r="Z1572" s="580"/>
      <c r="AA1572" s="580"/>
      <c r="AB1572" s="580"/>
      <c r="AC1572" s="580"/>
      <c r="AD1572" s="580"/>
      <c r="AE1572" s="580"/>
      <c r="AF1572" s="580"/>
      <c r="AG1572" s="580"/>
      <c r="AH1572" s="580"/>
      <c r="AI1572" s="580"/>
      <c r="AJ1572" s="580"/>
      <c r="AK1572" s="580"/>
      <c r="AL1572" s="580"/>
      <c r="AM1572" s="580"/>
      <c r="AN1572" s="580"/>
      <c r="AO1572" s="580"/>
      <c r="AP1572" s="580"/>
      <c r="AQ1572" s="580"/>
      <c r="AR1572" s="580"/>
      <c r="AS1572" s="580"/>
      <c r="AT1572" s="580"/>
      <c r="AU1572" s="580"/>
      <c r="AV1572" s="580"/>
      <c r="AW1572" s="580"/>
      <c r="AX1572" s="580"/>
      <c r="AY1572" s="580"/>
      <c r="AZ1572" s="580"/>
      <c r="BA1572" s="580"/>
      <c r="BB1572" s="580"/>
      <c r="BC1572" s="580"/>
      <c r="BD1572" s="580"/>
      <c r="BE1572" s="580"/>
      <c r="BF1572" s="580"/>
      <c r="BG1572" s="580"/>
      <c r="BH1572" s="580"/>
      <c r="BI1572" s="580"/>
      <c r="BJ1572" s="580"/>
      <c r="BK1572" s="580"/>
      <c r="BL1572" s="580"/>
      <c r="BM1572" s="580"/>
      <c r="BN1572" s="580"/>
      <c r="BO1572" s="580"/>
      <c r="BP1572" s="580"/>
      <c r="BQ1572" s="580"/>
      <c r="BR1572" s="580"/>
      <c r="BS1572" s="580"/>
      <c r="BT1572" s="580"/>
      <c r="BU1572" s="580"/>
      <c r="BV1572" s="580"/>
      <c r="BW1572" s="580"/>
      <c r="BX1572" s="580"/>
      <c r="BY1572" s="580"/>
      <c r="BZ1572" s="581"/>
      <c r="CA1572" s="142"/>
      <c r="CB1572" s="3" t="str">
        <f t="shared" si="237"/>
        <v>Riadok bude skrytý.</v>
      </c>
      <c r="CC1572" s="271" t="s">
        <v>832</v>
      </c>
      <c r="CW1572" s="30">
        <f t="shared" si="241"/>
        <v>1</v>
      </c>
      <c r="CZ1572" s="30">
        <f t="shared" si="245"/>
        <v>1</v>
      </c>
      <c r="DA1572" s="30">
        <f t="shared" si="246"/>
        <v>1</v>
      </c>
      <c r="DB1572" s="2">
        <f t="shared" si="233"/>
        <v>0</v>
      </c>
      <c r="DS1572" s="130">
        <f>SI!BY1572</f>
        <v>6</v>
      </c>
      <c r="DZ1572" s="131">
        <f>SI!BZ1572</f>
        <v>0</v>
      </c>
    </row>
    <row r="1573" spans="1:130" hidden="1" x14ac:dyDescent="0.25">
      <c r="A1573" s="141"/>
      <c r="B1573" s="814" t="s">
        <v>189</v>
      </c>
      <c r="C1573" s="815"/>
      <c r="D1573" s="815"/>
      <c r="E1573" s="815"/>
      <c r="F1573" s="815"/>
      <c r="G1573" s="815"/>
      <c r="H1573" s="815"/>
      <c r="I1573" s="815"/>
      <c r="J1573" s="815"/>
      <c r="K1573" s="815"/>
      <c r="L1573" s="815"/>
      <c r="M1573" s="815"/>
      <c r="N1573" s="815"/>
      <c r="O1573" s="815"/>
      <c r="P1573" s="815"/>
      <c r="Q1573" s="815"/>
      <c r="R1573" s="815"/>
      <c r="S1573" s="815"/>
      <c r="T1573" s="815"/>
      <c r="U1573" s="815"/>
      <c r="V1573" s="815"/>
      <c r="W1573" s="815"/>
      <c r="X1573" s="1661"/>
      <c r="Y1573" s="417"/>
      <c r="Z1573" s="418"/>
      <c r="AA1573" s="418"/>
      <c r="AB1573" s="418"/>
      <c r="AC1573" s="418"/>
      <c r="AD1573" s="418"/>
      <c r="AE1573" s="418"/>
      <c r="AF1573" s="418"/>
      <c r="AG1573" s="418"/>
      <c r="AH1573" s="418"/>
      <c r="AI1573" s="418"/>
      <c r="AJ1573" s="418"/>
      <c r="AK1573" s="418"/>
      <c r="AL1573" s="418"/>
      <c r="AM1573" s="418"/>
      <c r="AN1573" s="418"/>
      <c r="AO1573" s="418"/>
      <c r="AP1573" s="418"/>
      <c r="AQ1573" s="418"/>
      <c r="AR1573" s="418"/>
      <c r="AS1573" s="419"/>
      <c r="AT1573" s="417"/>
      <c r="AU1573" s="418"/>
      <c r="AV1573" s="418"/>
      <c r="AW1573" s="418"/>
      <c r="AX1573" s="418"/>
      <c r="AY1573" s="418"/>
      <c r="AZ1573" s="418"/>
      <c r="BA1573" s="418"/>
      <c r="BB1573" s="418"/>
      <c r="BC1573" s="418"/>
      <c r="BD1573" s="418"/>
      <c r="BE1573" s="418"/>
      <c r="BF1573" s="418"/>
      <c r="BG1573" s="418"/>
      <c r="BH1573" s="418"/>
      <c r="BI1573" s="418"/>
      <c r="BJ1573" s="418"/>
      <c r="BK1573" s="418"/>
      <c r="BL1573" s="419"/>
      <c r="BM1573" s="1633">
        <f>+Y1573+AT1573</f>
        <v>0</v>
      </c>
      <c r="BN1573" s="1634"/>
      <c r="BO1573" s="1634"/>
      <c r="BP1573" s="1634"/>
      <c r="BQ1573" s="1634"/>
      <c r="BR1573" s="1634"/>
      <c r="BS1573" s="1634"/>
      <c r="BT1573" s="1634"/>
      <c r="BU1573" s="1634"/>
      <c r="BV1573" s="1634"/>
      <c r="BW1573" s="1634"/>
      <c r="BX1573" s="1634"/>
      <c r="BY1573" s="1634"/>
      <c r="BZ1573" s="1635"/>
      <c r="CA1573" s="142"/>
      <c r="CB1573" s="3" t="str">
        <f t="shared" si="237"/>
        <v>Riadok bude skrytý.</v>
      </c>
      <c r="CC1573" s="271" t="s">
        <v>832</v>
      </c>
      <c r="CW1573" s="30">
        <f t="shared" si="241"/>
        <v>1</v>
      </c>
      <c r="CZ1573" s="30">
        <f t="shared" si="245"/>
        <v>1</v>
      </c>
      <c r="DA1573" s="30">
        <f t="shared" si="246"/>
        <v>1</v>
      </c>
      <c r="DB1573" s="2">
        <f t="shared" si="233"/>
        <v>0</v>
      </c>
      <c r="DS1573" s="130">
        <f>SI!BY1573</f>
        <v>166</v>
      </c>
      <c r="DZ1573" s="131">
        <f>SI!BZ1573</f>
        <v>0</v>
      </c>
    </row>
    <row r="1574" spans="1:130" ht="27" hidden="1" customHeight="1" x14ac:dyDescent="0.25">
      <c r="A1574" s="141"/>
      <c r="B1574" s="1624" t="s">
        <v>197</v>
      </c>
      <c r="C1574" s="1625"/>
      <c r="D1574" s="1625"/>
      <c r="E1574" s="1625"/>
      <c r="F1574" s="1625"/>
      <c r="G1574" s="1625"/>
      <c r="H1574" s="1625"/>
      <c r="I1574" s="1625"/>
      <c r="J1574" s="1625"/>
      <c r="K1574" s="1625"/>
      <c r="L1574" s="1625"/>
      <c r="M1574" s="1625"/>
      <c r="N1574" s="1625"/>
      <c r="O1574" s="1625"/>
      <c r="P1574" s="1625"/>
      <c r="Q1574" s="1625"/>
      <c r="R1574" s="1625"/>
      <c r="S1574" s="1625"/>
      <c r="T1574" s="1625"/>
      <c r="U1574" s="1625"/>
      <c r="V1574" s="1625"/>
      <c r="W1574" s="1625"/>
      <c r="X1574" s="1626"/>
      <c r="Y1574" s="511"/>
      <c r="Z1574" s="482"/>
      <c r="AA1574" s="482"/>
      <c r="AB1574" s="482"/>
      <c r="AC1574" s="482"/>
      <c r="AD1574" s="482"/>
      <c r="AE1574" s="482"/>
      <c r="AF1574" s="482"/>
      <c r="AG1574" s="482"/>
      <c r="AH1574" s="482"/>
      <c r="AI1574" s="482"/>
      <c r="AJ1574" s="482"/>
      <c r="AK1574" s="482"/>
      <c r="AL1574" s="482"/>
      <c r="AM1574" s="482"/>
      <c r="AN1574" s="482"/>
      <c r="AO1574" s="482"/>
      <c r="AP1574" s="482"/>
      <c r="AQ1574" s="482"/>
      <c r="AR1574" s="482"/>
      <c r="AS1574" s="483"/>
      <c r="AT1574" s="511"/>
      <c r="AU1574" s="482"/>
      <c r="AV1574" s="482"/>
      <c r="AW1574" s="482"/>
      <c r="AX1574" s="482"/>
      <c r="AY1574" s="482"/>
      <c r="AZ1574" s="482"/>
      <c r="BA1574" s="482"/>
      <c r="BB1574" s="482"/>
      <c r="BC1574" s="482"/>
      <c r="BD1574" s="482"/>
      <c r="BE1574" s="482"/>
      <c r="BF1574" s="482"/>
      <c r="BG1574" s="482"/>
      <c r="BH1574" s="482"/>
      <c r="BI1574" s="482"/>
      <c r="BJ1574" s="482"/>
      <c r="BK1574" s="482"/>
      <c r="BL1574" s="483"/>
      <c r="BM1574" s="398">
        <f>+Y1574+AT1574</f>
        <v>0</v>
      </c>
      <c r="BN1574" s="399"/>
      <c r="BO1574" s="399"/>
      <c r="BP1574" s="399"/>
      <c r="BQ1574" s="399"/>
      <c r="BR1574" s="399"/>
      <c r="BS1574" s="399"/>
      <c r="BT1574" s="399"/>
      <c r="BU1574" s="399"/>
      <c r="BV1574" s="399"/>
      <c r="BW1574" s="399"/>
      <c r="BX1574" s="399"/>
      <c r="BY1574" s="399"/>
      <c r="BZ1574" s="400"/>
      <c r="CA1574" s="142"/>
      <c r="CB1574" s="3" t="str">
        <f t="shared" si="237"/>
        <v>Riadok bude skrytý.</v>
      </c>
      <c r="CC1574" s="271" t="s">
        <v>832</v>
      </c>
      <c r="CW1574" s="30">
        <f t="shared" si="241"/>
        <v>1</v>
      </c>
      <c r="CZ1574" s="30">
        <f t="shared" si="245"/>
        <v>1</v>
      </c>
      <c r="DA1574" s="30">
        <f t="shared" si="246"/>
        <v>1</v>
      </c>
      <c r="DB1574" s="2">
        <f t="shared" si="233"/>
        <v>0</v>
      </c>
      <c r="DS1574" s="130">
        <f>SI!BY1574</f>
        <v>142</v>
      </c>
      <c r="DZ1574" s="131">
        <f>SI!BZ1574</f>
        <v>0</v>
      </c>
    </row>
    <row r="1575" spans="1:130" ht="23.3" hidden="1" customHeight="1" x14ac:dyDescent="0.25">
      <c r="A1575" s="141"/>
      <c r="B1575" s="1624" t="s">
        <v>190</v>
      </c>
      <c r="C1575" s="1625"/>
      <c r="D1575" s="1625"/>
      <c r="E1575" s="1625"/>
      <c r="F1575" s="1625"/>
      <c r="G1575" s="1625"/>
      <c r="H1575" s="1625"/>
      <c r="I1575" s="1625"/>
      <c r="J1575" s="1625"/>
      <c r="K1575" s="1625"/>
      <c r="L1575" s="1625"/>
      <c r="M1575" s="1625"/>
      <c r="N1575" s="1625"/>
      <c r="O1575" s="1625"/>
      <c r="P1575" s="1625"/>
      <c r="Q1575" s="1625"/>
      <c r="R1575" s="1625"/>
      <c r="S1575" s="1625"/>
      <c r="T1575" s="1625"/>
      <c r="U1575" s="1625"/>
      <c r="V1575" s="1625"/>
      <c r="W1575" s="1625"/>
      <c r="X1575" s="1626"/>
      <c r="Y1575" s="511"/>
      <c r="Z1575" s="482"/>
      <c r="AA1575" s="482"/>
      <c r="AB1575" s="482"/>
      <c r="AC1575" s="482"/>
      <c r="AD1575" s="482"/>
      <c r="AE1575" s="482"/>
      <c r="AF1575" s="482"/>
      <c r="AG1575" s="482"/>
      <c r="AH1575" s="482"/>
      <c r="AI1575" s="482"/>
      <c r="AJ1575" s="482"/>
      <c r="AK1575" s="482"/>
      <c r="AL1575" s="482"/>
      <c r="AM1575" s="482"/>
      <c r="AN1575" s="482"/>
      <c r="AO1575" s="482"/>
      <c r="AP1575" s="482"/>
      <c r="AQ1575" s="482"/>
      <c r="AR1575" s="482"/>
      <c r="AS1575" s="483"/>
      <c r="AT1575" s="511"/>
      <c r="AU1575" s="482"/>
      <c r="AV1575" s="482"/>
      <c r="AW1575" s="482"/>
      <c r="AX1575" s="482"/>
      <c r="AY1575" s="482"/>
      <c r="AZ1575" s="482"/>
      <c r="BA1575" s="482"/>
      <c r="BB1575" s="482"/>
      <c r="BC1575" s="482"/>
      <c r="BD1575" s="482"/>
      <c r="BE1575" s="482"/>
      <c r="BF1575" s="482"/>
      <c r="BG1575" s="482"/>
      <c r="BH1575" s="482"/>
      <c r="BI1575" s="482"/>
      <c r="BJ1575" s="482"/>
      <c r="BK1575" s="482"/>
      <c r="BL1575" s="483"/>
      <c r="BM1575" s="398">
        <f>+Y1575+AT1575</f>
        <v>0</v>
      </c>
      <c r="BN1575" s="399"/>
      <c r="BO1575" s="399"/>
      <c r="BP1575" s="399"/>
      <c r="BQ1575" s="399"/>
      <c r="BR1575" s="399"/>
      <c r="BS1575" s="399"/>
      <c r="BT1575" s="399"/>
      <c r="BU1575" s="399"/>
      <c r="BV1575" s="399"/>
      <c r="BW1575" s="399"/>
      <c r="BX1575" s="399"/>
      <c r="BY1575" s="399"/>
      <c r="BZ1575" s="400"/>
      <c r="CA1575" s="142"/>
      <c r="CB1575" s="3" t="str">
        <f t="shared" si="237"/>
        <v>Riadok bude skrytý.</v>
      </c>
      <c r="CC1575" s="271" t="s">
        <v>832</v>
      </c>
      <c r="CW1575" s="30">
        <f t="shared" si="241"/>
        <v>1</v>
      </c>
      <c r="CZ1575" s="30">
        <f t="shared" si="245"/>
        <v>1</v>
      </c>
      <c r="DA1575" s="30">
        <f t="shared" si="246"/>
        <v>1</v>
      </c>
      <c r="DB1575" s="2">
        <f t="shared" si="233"/>
        <v>0</v>
      </c>
      <c r="DS1575" s="130">
        <f>SI!BY1575</f>
        <v>115</v>
      </c>
      <c r="DZ1575" s="131">
        <f>SI!BZ1575</f>
        <v>0</v>
      </c>
    </row>
    <row r="1576" spans="1:130" ht="23.3" hidden="1" customHeight="1" x14ac:dyDescent="0.25">
      <c r="A1576" s="141"/>
      <c r="B1576" s="1624" t="s">
        <v>191</v>
      </c>
      <c r="C1576" s="1625"/>
      <c r="D1576" s="1625"/>
      <c r="E1576" s="1625"/>
      <c r="F1576" s="1625"/>
      <c r="G1576" s="1625"/>
      <c r="H1576" s="1625"/>
      <c r="I1576" s="1625"/>
      <c r="J1576" s="1625"/>
      <c r="K1576" s="1625"/>
      <c r="L1576" s="1625"/>
      <c r="M1576" s="1625"/>
      <c r="N1576" s="1625"/>
      <c r="O1576" s="1625"/>
      <c r="P1576" s="1625"/>
      <c r="Q1576" s="1625"/>
      <c r="R1576" s="1625"/>
      <c r="S1576" s="1625"/>
      <c r="T1576" s="1625"/>
      <c r="U1576" s="1625"/>
      <c r="V1576" s="1625"/>
      <c r="W1576" s="1625"/>
      <c r="X1576" s="1626"/>
      <c r="Y1576" s="511"/>
      <c r="Z1576" s="482"/>
      <c r="AA1576" s="482"/>
      <c r="AB1576" s="482"/>
      <c r="AC1576" s="482"/>
      <c r="AD1576" s="482"/>
      <c r="AE1576" s="482"/>
      <c r="AF1576" s="482"/>
      <c r="AG1576" s="482"/>
      <c r="AH1576" s="482"/>
      <c r="AI1576" s="482"/>
      <c r="AJ1576" s="482"/>
      <c r="AK1576" s="482"/>
      <c r="AL1576" s="482"/>
      <c r="AM1576" s="482"/>
      <c r="AN1576" s="482"/>
      <c r="AO1576" s="482"/>
      <c r="AP1576" s="482"/>
      <c r="AQ1576" s="482"/>
      <c r="AR1576" s="482"/>
      <c r="AS1576" s="483"/>
      <c r="AT1576" s="511"/>
      <c r="AU1576" s="482"/>
      <c r="AV1576" s="482"/>
      <c r="AW1576" s="482"/>
      <c r="AX1576" s="482"/>
      <c r="AY1576" s="482"/>
      <c r="AZ1576" s="482"/>
      <c r="BA1576" s="482"/>
      <c r="BB1576" s="482"/>
      <c r="BC1576" s="482"/>
      <c r="BD1576" s="482"/>
      <c r="BE1576" s="482"/>
      <c r="BF1576" s="482"/>
      <c r="BG1576" s="482"/>
      <c r="BH1576" s="482"/>
      <c r="BI1576" s="482"/>
      <c r="BJ1576" s="482"/>
      <c r="BK1576" s="482"/>
      <c r="BL1576" s="483"/>
      <c r="BM1576" s="398">
        <f>+Y1576+AT1576</f>
        <v>0</v>
      </c>
      <c r="BN1576" s="399"/>
      <c r="BO1576" s="399"/>
      <c r="BP1576" s="399"/>
      <c r="BQ1576" s="399"/>
      <c r="BR1576" s="399"/>
      <c r="BS1576" s="399"/>
      <c r="BT1576" s="399"/>
      <c r="BU1576" s="399"/>
      <c r="BV1576" s="399"/>
      <c r="BW1576" s="399"/>
      <c r="BX1576" s="399"/>
      <c r="BY1576" s="399"/>
      <c r="BZ1576" s="400"/>
      <c r="CA1576" s="142"/>
      <c r="CB1576" s="3" t="str">
        <f t="shared" si="237"/>
        <v>Riadok bude skrytý.</v>
      </c>
      <c r="CC1576" s="271" t="s">
        <v>832</v>
      </c>
      <c r="CW1576" s="30">
        <f t="shared" si="241"/>
        <v>1</v>
      </c>
      <c r="CZ1576" s="30">
        <f t="shared" si="245"/>
        <v>1</v>
      </c>
      <c r="DA1576" s="30">
        <f t="shared" si="246"/>
        <v>1</v>
      </c>
      <c r="DB1576" s="2">
        <f t="shared" ref="DB1576:DB1639" si="247">+IF($CD$1="malé",0,DA1576)</f>
        <v>0</v>
      </c>
      <c r="DS1576" s="130">
        <f>SI!BY1576</f>
        <v>178</v>
      </c>
      <c r="DZ1576" s="131">
        <f>SI!BZ1576</f>
        <v>0</v>
      </c>
    </row>
    <row r="1577" spans="1:130" ht="14.95" hidden="1" customHeight="1" x14ac:dyDescent="0.25">
      <c r="A1577" s="141"/>
      <c r="B1577" s="1667" t="s">
        <v>192</v>
      </c>
      <c r="C1577" s="1668"/>
      <c r="D1577" s="1668"/>
      <c r="E1577" s="1668"/>
      <c r="F1577" s="1668"/>
      <c r="G1577" s="1668"/>
      <c r="H1577" s="1668"/>
      <c r="I1577" s="1668"/>
      <c r="J1577" s="1668"/>
      <c r="K1577" s="1668"/>
      <c r="L1577" s="1668"/>
      <c r="M1577" s="1668"/>
      <c r="N1577" s="1668"/>
      <c r="O1577" s="1668"/>
      <c r="P1577" s="1668"/>
      <c r="Q1577" s="1668"/>
      <c r="R1577" s="1668"/>
      <c r="S1577" s="1668"/>
      <c r="T1577" s="1668"/>
      <c r="U1577" s="1668"/>
      <c r="V1577" s="1668"/>
      <c r="W1577" s="1668"/>
      <c r="X1577" s="1669"/>
      <c r="Y1577" s="454"/>
      <c r="Z1577" s="455"/>
      <c r="AA1577" s="455"/>
      <c r="AB1577" s="455"/>
      <c r="AC1577" s="455"/>
      <c r="AD1577" s="455"/>
      <c r="AE1577" s="455"/>
      <c r="AF1577" s="455"/>
      <c r="AG1577" s="455"/>
      <c r="AH1577" s="455"/>
      <c r="AI1577" s="455"/>
      <c r="AJ1577" s="455"/>
      <c r="AK1577" s="455"/>
      <c r="AL1577" s="455"/>
      <c r="AM1577" s="455"/>
      <c r="AN1577" s="455"/>
      <c r="AO1577" s="455"/>
      <c r="AP1577" s="455"/>
      <c r="AQ1577" s="455"/>
      <c r="AR1577" s="455"/>
      <c r="AS1577" s="456"/>
      <c r="AT1577" s="511"/>
      <c r="AU1577" s="482"/>
      <c r="AV1577" s="482"/>
      <c r="AW1577" s="482"/>
      <c r="AX1577" s="482"/>
      <c r="AY1577" s="482"/>
      <c r="AZ1577" s="482"/>
      <c r="BA1577" s="482"/>
      <c r="BB1577" s="482"/>
      <c r="BC1577" s="482"/>
      <c r="BD1577" s="482"/>
      <c r="BE1577" s="482"/>
      <c r="BF1577" s="482"/>
      <c r="BG1577" s="482"/>
      <c r="BH1577" s="482"/>
      <c r="BI1577" s="482"/>
      <c r="BJ1577" s="482"/>
      <c r="BK1577" s="482"/>
      <c r="BL1577" s="483"/>
      <c r="BM1577" s="1647">
        <f>+Y1577+AT1577</f>
        <v>0</v>
      </c>
      <c r="BN1577" s="1648"/>
      <c r="BO1577" s="1648"/>
      <c r="BP1577" s="1648"/>
      <c r="BQ1577" s="1648"/>
      <c r="BR1577" s="1648"/>
      <c r="BS1577" s="1648"/>
      <c r="BT1577" s="1648"/>
      <c r="BU1577" s="1648"/>
      <c r="BV1577" s="1648"/>
      <c r="BW1577" s="1648"/>
      <c r="BX1577" s="1648"/>
      <c r="BY1577" s="1648"/>
      <c r="BZ1577" s="1649"/>
      <c r="CA1577" s="142"/>
      <c r="CB1577" s="3" t="str">
        <f t="shared" si="237"/>
        <v>Riadok bude skrytý.</v>
      </c>
      <c r="CC1577" s="271" t="s">
        <v>832</v>
      </c>
      <c r="CW1577" s="30">
        <f t="shared" si="241"/>
        <v>1</v>
      </c>
      <c r="CZ1577" s="30">
        <f t="shared" si="245"/>
        <v>1</v>
      </c>
      <c r="DA1577" s="30">
        <f t="shared" si="246"/>
        <v>1</v>
      </c>
      <c r="DB1577" s="2">
        <f t="shared" si="247"/>
        <v>0</v>
      </c>
      <c r="DS1577" s="130">
        <f>SI!BY1577</f>
        <v>136</v>
      </c>
      <c r="DZ1577" s="131">
        <f>SI!BZ1577</f>
        <v>0</v>
      </c>
    </row>
    <row r="1578" spans="1:130" hidden="1" x14ac:dyDescent="0.25">
      <c r="A1578" s="141"/>
      <c r="B1578" s="1641" t="s">
        <v>198</v>
      </c>
      <c r="C1578" s="1642"/>
      <c r="D1578" s="1642"/>
      <c r="E1578" s="1642"/>
      <c r="F1578" s="1642"/>
      <c r="G1578" s="1642"/>
      <c r="H1578" s="1642"/>
      <c r="I1578" s="1642"/>
      <c r="J1578" s="1642"/>
      <c r="K1578" s="1642"/>
      <c r="L1578" s="1642"/>
      <c r="M1578" s="1642"/>
      <c r="N1578" s="1642"/>
      <c r="O1578" s="1642"/>
      <c r="P1578" s="1642"/>
      <c r="Q1578" s="1642"/>
      <c r="R1578" s="1642"/>
      <c r="S1578" s="1642"/>
      <c r="T1578" s="1642"/>
      <c r="U1578" s="1642"/>
      <c r="V1578" s="1642"/>
      <c r="W1578" s="1642"/>
      <c r="X1578" s="1643"/>
      <c r="Y1578" s="423">
        <f>+SUM(Y1573:AS1577)</f>
        <v>0</v>
      </c>
      <c r="Z1578" s="424"/>
      <c r="AA1578" s="424"/>
      <c r="AB1578" s="424"/>
      <c r="AC1578" s="424"/>
      <c r="AD1578" s="424"/>
      <c r="AE1578" s="424"/>
      <c r="AF1578" s="424"/>
      <c r="AG1578" s="424"/>
      <c r="AH1578" s="424"/>
      <c r="AI1578" s="424"/>
      <c r="AJ1578" s="424"/>
      <c r="AK1578" s="424"/>
      <c r="AL1578" s="424"/>
      <c r="AM1578" s="424"/>
      <c r="AN1578" s="424"/>
      <c r="AO1578" s="424"/>
      <c r="AP1578" s="424"/>
      <c r="AQ1578" s="424"/>
      <c r="AR1578" s="424"/>
      <c r="AS1578" s="425"/>
      <c r="AT1578" s="423">
        <f>+SUM(AT1573:BL1577)</f>
        <v>0</v>
      </c>
      <c r="AU1578" s="424"/>
      <c r="AV1578" s="424"/>
      <c r="AW1578" s="424"/>
      <c r="AX1578" s="424"/>
      <c r="AY1578" s="424"/>
      <c r="AZ1578" s="424"/>
      <c r="BA1578" s="424"/>
      <c r="BB1578" s="424"/>
      <c r="BC1578" s="424"/>
      <c r="BD1578" s="424"/>
      <c r="BE1578" s="424"/>
      <c r="BF1578" s="424"/>
      <c r="BG1578" s="424"/>
      <c r="BH1578" s="424"/>
      <c r="BI1578" s="424"/>
      <c r="BJ1578" s="424"/>
      <c r="BK1578" s="424"/>
      <c r="BL1578" s="425"/>
      <c r="BM1578" s="423">
        <f>+SUM(BM1573:BZ1577)</f>
        <v>0</v>
      </c>
      <c r="BN1578" s="424"/>
      <c r="BO1578" s="424"/>
      <c r="BP1578" s="424"/>
      <c r="BQ1578" s="424"/>
      <c r="BR1578" s="424"/>
      <c r="BS1578" s="424"/>
      <c r="BT1578" s="424"/>
      <c r="BU1578" s="424"/>
      <c r="BV1578" s="424"/>
      <c r="BW1578" s="424"/>
      <c r="BX1578" s="424"/>
      <c r="BY1578" s="424"/>
      <c r="BZ1578" s="425"/>
      <c r="CA1578" s="142"/>
      <c r="CB1578" s="3" t="str">
        <f t="shared" si="237"/>
        <v>Riadok bude skrytý.</v>
      </c>
      <c r="CC1578" s="271" t="s">
        <v>832</v>
      </c>
      <c r="CW1578" s="30">
        <f t="shared" si="241"/>
        <v>1</v>
      </c>
      <c r="CZ1578" s="30">
        <f t="shared" si="245"/>
        <v>1</v>
      </c>
      <c r="DA1578" s="30">
        <f t="shared" si="246"/>
        <v>1</v>
      </c>
      <c r="DB1578" s="2">
        <f t="shared" si="247"/>
        <v>0</v>
      </c>
      <c r="DS1578" s="130">
        <f>SI!BY1578</f>
        <v>446</v>
      </c>
      <c r="DZ1578" s="131">
        <f>SI!BZ1578</f>
        <v>0</v>
      </c>
    </row>
    <row r="1579" spans="1:130" hidden="1" x14ac:dyDescent="0.25">
      <c r="A1579" s="141"/>
      <c r="B1579" s="579" t="s">
        <v>199</v>
      </c>
      <c r="C1579" s="580"/>
      <c r="D1579" s="580"/>
      <c r="E1579" s="580"/>
      <c r="F1579" s="580"/>
      <c r="G1579" s="580"/>
      <c r="H1579" s="580"/>
      <c r="I1579" s="580"/>
      <c r="J1579" s="580"/>
      <c r="K1579" s="580"/>
      <c r="L1579" s="580"/>
      <c r="M1579" s="580"/>
      <c r="N1579" s="580"/>
      <c r="O1579" s="580"/>
      <c r="P1579" s="580"/>
      <c r="Q1579" s="580"/>
      <c r="R1579" s="580"/>
      <c r="S1579" s="580"/>
      <c r="T1579" s="580"/>
      <c r="U1579" s="580"/>
      <c r="V1579" s="580"/>
      <c r="W1579" s="580"/>
      <c r="X1579" s="580"/>
      <c r="Y1579" s="580"/>
      <c r="Z1579" s="580"/>
      <c r="AA1579" s="580"/>
      <c r="AB1579" s="580"/>
      <c r="AC1579" s="580"/>
      <c r="AD1579" s="580"/>
      <c r="AE1579" s="580"/>
      <c r="AF1579" s="580"/>
      <c r="AG1579" s="580"/>
      <c r="AH1579" s="580"/>
      <c r="AI1579" s="580"/>
      <c r="AJ1579" s="580"/>
      <c r="AK1579" s="580"/>
      <c r="AL1579" s="580"/>
      <c r="AM1579" s="580"/>
      <c r="AN1579" s="580"/>
      <c r="AO1579" s="580"/>
      <c r="AP1579" s="580"/>
      <c r="AQ1579" s="580"/>
      <c r="AR1579" s="580"/>
      <c r="AS1579" s="580"/>
      <c r="AT1579" s="580"/>
      <c r="AU1579" s="580"/>
      <c r="AV1579" s="580"/>
      <c r="AW1579" s="580"/>
      <c r="AX1579" s="580"/>
      <c r="AY1579" s="580"/>
      <c r="AZ1579" s="580"/>
      <c r="BA1579" s="580"/>
      <c r="BB1579" s="580"/>
      <c r="BC1579" s="580"/>
      <c r="BD1579" s="580"/>
      <c r="BE1579" s="580"/>
      <c r="BF1579" s="580"/>
      <c r="BG1579" s="580"/>
      <c r="BH1579" s="580"/>
      <c r="BI1579" s="580"/>
      <c r="BJ1579" s="580"/>
      <c r="BK1579" s="580"/>
      <c r="BL1579" s="580"/>
      <c r="BM1579" s="580"/>
      <c r="BN1579" s="580"/>
      <c r="BO1579" s="580"/>
      <c r="BP1579" s="580"/>
      <c r="BQ1579" s="580"/>
      <c r="BR1579" s="580"/>
      <c r="BS1579" s="580"/>
      <c r="BT1579" s="580"/>
      <c r="BU1579" s="580"/>
      <c r="BV1579" s="580"/>
      <c r="BW1579" s="580"/>
      <c r="BX1579" s="580"/>
      <c r="BY1579" s="580"/>
      <c r="BZ1579" s="581"/>
      <c r="CA1579" s="142"/>
      <c r="CB1579" s="3" t="str">
        <f t="shared" si="237"/>
        <v>Riadok bude skrytý.</v>
      </c>
      <c r="CC1579" s="271" t="s">
        <v>832</v>
      </c>
      <c r="CW1579" s="30">
        <f t="shared" si="241"/>
        <v>1</v>
      </c>
      <c r="CZ1579" s="30">
        <f t="shared" si="245"/>
        <v>1</v>
      </c>
      <c r="DA1579" s="30">
        <f t="shared" si="246"/>
        <v>1</v>
      </c>
      <c r="DB1579" s="2">
        <f t="shared" si="247"/>
        <v>0</v>
      </c>
      <c r="DS1579" s="130">
        <f>SI!BY1579</f>
        <v>189</v>
      </c>
      <c r="DZ1579" s="131">
        <f>SI!BZ1579</f>
        <v>0</v>
      </c>
    </row>
    <row r="1580" spans="1:130" hidden="1" x14ac:dyDescent="0.25">
      <c r="A1580" s="141"/>
      <c r="B1580" s="814" t="s">
        <v>189</v>
      </c>
      <c r="C1580" s="815"/>
      <c r="D1580" s="815"/>
      <c r="E1580" s="815"/>
      <c r="F1580" s="815"/>
      <c r="G1580" s="815"/>
      <c r="H1580" s="815"/>
      <c r="I1580" s="815"/>
      <c r="J1580" s="815"/>
      <c r="K1580" s="815"/>
      <c r="L1580" s="815"/>
      <c r="M1580" s="815"/>
      <c r="N1580" s="815"/>
      <c r="O1580" s="815"/>
      <c r="P1580" s="815"/>
      <c r="Q1580" s="815"/>
      <c r="R1580" s="815"/>
      <c r="S1580" s="815"/>
      <c r="T1580" s="815"/>
      <c r="U1580" s="815"/>
      <c r="V1580" s="815"/>
      <c r="W1580" s="815"/>
      <c r="X1580" s="1661"/>
      <c r="Y1580" s="417"/>
      <c r="Z1580" s="418"/>
      <c r="AA1580" s="418"/>
      <c r="AB1580" s="418"/>
      <c r="AC1580" s="418"/>
      <c r="AD1580" s="418"/>
      <c r="AE1580" s="418"/>
      <c r="AF1580" s="418"/>
      <c r="AG1580" s="418"/>
      <c r="AH1580" s="418"/>
      <c r="AI1580" s="418"/>
      <c r="AJ1580" s="418"/>
      <c r="AK1580" s="418"/>
      <c r="AL1580" s="418"/>
      <c r="AM1580" s="418"/>
      <c r="AN1580" s="418"/>
      <c r="AO1580" s="418"/>
      <c r="AP1580" s="418"/>
      <c r="AQ1580" s="418"/>
      <c r="AR1580" s="418"/>
      <c r="AS1580" s="419"/>
      <c r="AT1580" s="417"/>
      <c r="AU1580" s="418"/>
      <c r="AV1580" s="418"/>
      <c r="AW1580" s="418"/>
      <c r="AX1580" s="418"/>
      <c r="AY1580" s="418"/>
      <c r="AZ1580" s="418"/>
      <c r="BA1580" s="418"/>
      <c r="BB1580" s="418"/>
      <c r="BC1580" s="418"/>
      <c r="BD1580" s="418"/>
      <c r="BE1580" s="418"/>
      <c r="BF1580" s="418"/>
      <c r="BG1580" s="418"/>
      <c r="BH1580" s="418"/>
      <c r="BI1580" s="418"/>
      <c r="BJ1580" s="418"/>
      <c r="BK1580" s="418"/>
      <c r="BL1580" s="419"/>
      <c r="BM1580" s="1633">
        <f t="shared" ref="BM1580:BM1586" si="248">+Y1580+AT1580</f>
        <v>0</v>
      </c>
      <c r="BN1580" s="1634"/>
      <c r="BO1580" s="1634"/>
      <c r="BP1580" s="1634"/>
      <c r="BQ1580" s="1634"/>
      <c r="BR1580" s="1634"/>
      <c r="BS1580" s="1634"/>
      <c r="BT1580" s="1634"/>
      <c r="BU1580" s="1634"/>
      <c r="BV1580" s="1634"/>
      <c r="BW1580" s="1634"/>
      <c r="BX1580" s="1634"/>
      <c r="BY1580" s="1634"/>
      <c r="BZ1580" s="1635"/>
      <c r="CA1580" s="142"/>
      <c r="CB1580" s="3" t="str">
        <f t="shared" si="237"/>
        <v>Riadok bude skrytý.</v>
      </c>
      <c r="CC1580" s="271" t="s">
        <v>832</v>
      </c>
      <c r="CW1580" s="30">
        <f t="shared" si="241"/>
        <v>1</v>
      </c>
      <c r="CZ1580" s="30">
        <f t="shared" si="245"/>
        <v>1</v>
      </c>
      <c r="DA1580" s="30">
        <f t="shared" si="246"/>
        <v>1</v>
      </c>
      <c r="DB1580" s="2">
        <f t="shared" si="247"/>
        <v>0</v>
      </c>
      <c r="DS1580" s="130">
        <f>SI!BY1580</f>
        <v>674</v>
      </c>
      <c r="DZ1580" s="131">
        <f>SI!BZ1580</f>
        <v>0</v>
      </c>
    </row>
    <row r="1581" spans="1:130" ht="27" hidden="1" customHeight="1" x14ac:dyDescent="0.25">
      <c r="A1581" s="141"/>
      <c r="B1581" s="1624" t="s">
        <v>197</v>
      </c>
      <c r="C1581" s="1625"/>
      <c r="D1581" s="1625"/>
      <c r="E1581" s="1625"/>
      <c r="F1581" s="1625"/>
      <c r="G1581" s="1625"/>
      <c r="H1581" s="1625"/>
      <c r="I1581" s="1625"/>
      <c r="J1581" s="1625"/>
      <c r="K1581" s="1625"/>
      <c r="L1581" s="1625"/>
      <c r="M1581" s="1625"/>
      <c r="N1581" s="1625"/>
      <c r="O1581" s="1625"/>
      <c r="P1581" s="1625"/>
      <c r="Q1581" s="1625"/>
      <c r="R1581" s="1625"/>
      <c r="S1581" s="1625"/>
      <c r="T1581" s="1625"/>
      <c r="U1581" s="1625"/>
      <c r="V1581" s="1625"/>
      <c r="W1581" s="1625"/>
      <c r="X1581" s="1626"/>
      <c r="Y1581" s="511"/>
      <c r="Z1581" s="482"/>
      <c r="AA1581" s="482"/>
      <c r="AB1581" s="482"/>
      <c r="AC1581" s="482"/>
      <c r="AD1581" s="482"/>
      <c r="AE1581" s="482"/>
      <c r="AF1581" s="482"/>
      <c r="AG1581" s="482"/>
      <c r="AH1581" s="482"/>
      <c r="AI1581" s="482"/>
      <c r="AJ1581" s="482"/>
      <c r="AK1581" s="482"/>
      <c r="AL1581" s="482"/>
      <c r="AM1581" s="482"/>
      <c r="AN1581" s="482"/>
      <c r="AO1581" s="482"/>
      <c r="AP1581" s="482"/>
      <c r="AQ1581" s="482"/>
      <c r="AR1581" s="482"/>
      <c r="AS1581" s="483"/>
      <c r="AT1581" s="511"/>
      <c r="AU1581" s="482"/>
      <c r="AV1581" s="482"/>
      <c r="AW1581" s="482"/>
      <c r="AX1581" s="482"/>
      <c r="AY1581" s="482"/>
      <c r="AZ1581" s="482"/>
      <c r="BA1581" s="482"/>
      <c r="BB1581" s="482"/>
      <c r="BC1581" s="482"/>
      <c r="BD1581" s="482"/>
      <c r="BE1581" s="482"/>
      <c r="BF1581" s="482"/>
      <c r="BG1581" s="482"/>
      <c r="BH1581" s="482"/>
      <c r="BI1581" s="482"/>
      <c r="BJ1581" s="482"/>
      <c r="BK1581" s="482"/>
      <c r="BL1581" s="483"/>
      <c r="BM1581" s="398">
        <f t="shared" si="248"/>
        <v>0</v>
      </c>
      <c r="BN1581" s="399"/>
      <c r="BO1581" s="399"/>
      <c r="BP1581" s="399"/>
      <c r="BQ1581" s="399"/>
      <c r="BR1581" s="399"/>
      <c r="BS1581" s="399"/>
      <c r="BT1581" s="399"/>
      <c r="BU1581" s="399"/>
      <c r="BV1581" s="399"/>
      <c r="BW1581" s="399"/>
      <c r="BX1581" s="399"/>
      <c r="BY1581" s="399"/>
      <c r="BZ1581" s="400"/>
      <c r="CA1581" s="142"/>
      <c r="CB1581" s="3" t="str">
        <f t="shared" si="237"/>
        <v>Riadok bude skrytý.</v>
      </c>
      <c r="CC1581" s="271" t="s">
        <v>832</v>
      </c>
      <c r="CW1581" s="30">
        <f t="shared" si="241"/>
        <v>1</v>
      </c>
      <c r="CZ1581" s="30">
        <f t="shared" si="245"/>
        <v>1</v>
      </c>
      <c r="DA1581" s="30">
        <f t="shared" si="246"/>
        <v>1</v>
      </c>
      <c r="DB1581" s="2">
        <f t="shared" si="247"/>
        <v>0</v>
      </c>
      <c r="DS1581" s="130">
        <f>SI!BY1581</f>
        <v>206</v>
      </c>
      <c r="DZ1581" s="131">
        <f>SI!BZ1581</f>
        <v>0</v>
      </c>
    </row>
    <row r="1582" spans="1:130" ht="23.3" hidden="1" customHeight="1" x14ac:dyDescent="0.25">
      <c r="A1582" s="141"/>
      <c r="B1582" s="1624" t="s">
        <v>190</v>
      </c>
      <c r="C1582" s="1625"/>
      <c r="D1582" s="1625"/>
      <c r="E1582" s="1625"/>
      <c r="F1582" s="1625"/>
      <c r="G1582" s="1625"/>
      <c r="H1582" s="1625"/>
      <c r="I1582" s="1625"/>
      <c r="J1582" s="1625"/>
      <c r="K1582" s="1625"/>
      <c r="L1582" s="1625"/>
      <c r="M1582" s="1625"/>
      <c r="N1582" s="1625"/>
      <c r="O1582" s="1625"/>
      <c r="P1582" s="1625"/>
      <c r="Q1582" s="1625"/>
      <c r="R1582" s="1625"/>
      <c r="S1582" s="1625"/>
      <c r="T1582" s="1625"/>
      <c r="U1582" s="1625"/>
      <c r="V1582" s="1625"/>
      <c r="W1582" s="1625"/>
      <c r="X1582" s="1626"/>
      <c r="Y1582" s="511"/>
      <c r="Z1582" s="482"/>
      <c r="AA1582" s="482"/>
      <c r="AB1582" s="482"/>
      <c r="AC1582" s="482"/>
      <c r="AD1582" s="482"/>
      <c r="AE1582" s="482"/>
      <c r="AF1582" s="482"/>
      <c r="AG1582" s="482"/>
      <c r="AH1582" s="482"/>
      <c r="AI1582" s="482"/>
      <c r="AJ1582" s="482"/>
      <c r="AK1582" s="482"/>
      <c r="AL1582" s="482"/>
      <c r="AM1582" s="482"/>
      <c r="AN1582" s="482"/>
      <c r="AO1582" s="482"/>
      <c r="AP1582" s="482"/>
      <c r="AQ1582" s="482"/>
      <c r="AR1582" s="482"/>
      <c r="AS1582" s="483"/>
      <c r="AT1582" s="511"/>
      <c r="AU1582" s="482"/>
      <c r="AV1582" s="482"/>
      <c r="AW1582" s="482"/>
      <c r="AX1582" s="482"/>
      <c r="AY1582" s="482"/>
      <c r="AZ1582" s="482"/>
      <c r="BA1582" s="482"/>
      <c r="BB1582" s="482"/>
      <c r="BC1582" s="482"/>
      <c r="BD1582" s="482"/>
      <c r="BE1582" s="482"/>
      <c r="BF1582" s="482"/>
      <c r="BG1582" s="482"/>
      <c r="BH1582" s="482"/>
      <c r="BI1582" s="482"/>
      <c r="BJ1582" s="482"/>
      <c r="BK1582" s="482"/>
      <c r="BL1582" s="483"/>
      <c r="BM1582" s="398">
        <f t="shared" si="248"/>
        <v>0</v>
      </c>
      <c r="BN1582" s="399"/>
      <c r="BO1582" s="399"/>
      <c r="BP1582" s="399"/>
      <c r="BQ1582" s="399"/>
      <c r="BR1582" s="399"/>
      <c r="BS1582" s="399"/>
      <c r="BT1582" s="399"/>
      <c r="BU1582" s="399"/>
      <c r="BV1582" s="399"/>
      <c r="BW1582" s="399"/>
      <c r="BX1582" s="399"/>
      <c r="BY1582" s="399"/>
      <c r="BZ1582" s="400"/>
      <c r="CA1582" s="142"/>
      <c r="CB1582" s="3" t="str">
        <f t="shared" si="237"/>
        <v>Riadok bude skrytý.</v>
      </c>
      <c r="CC1582" s="271" t="s">
        <v>832</v>
      </c>
      <c r="CW1582" s="30">
        <f t="shared" si="241"/>
        <v>1</v>
      </c>
      <c r="CZ1582" s="30">
        <f t="shared" si="245"/>
        <v>1</v>
      </c>
      <c r="DA1582" s="30">
        <f t="shared" si="246"/>
        <v>1</v>
      </c>
      <c r="DB1582" s="2">
        <f t="shared" si="247"/>
        <v>0</v>
      </c>
      <c r="DS1582" s="130">
        <f>SI!BY1582</f>
        <v>557</v>
      </c>
      <c r="DZ1582" s="131">
        <f>SI!BZ1582</f>
        <v>0</v>
      </c>
    </row>
    <row r="1583" spans="1:130" ht="23.3" hidden="1" customHeight="1" x14ac:dyDescent="0.25">
      <c r="A1583" s="141"/>
      <c r="B1583" s="1624" t="s">
        <v>191</v>
      </c>
      <c r="C1583" s="1625"/>
      <c r="D1583" s="1625"/>
      <c r="E1583" s="1625"/>
      <c r="F1583" s="1625"/>
      <c r="G1583" s="1625"/>
      <c r="H1583" s="1625"/>
      <c r="I1583" s="1625"/>
      <c r="J1583" s="1625"/>
      <c r="K1583" s="1625"/>
      <c r="L1583" s="1625"/>
      <c r="M1583" s="1625"/>
      <c r="N1583" s="1625"/>
      <c r="O1583" s="1625"/>
      <c r="P1583" s="1625"/>
      <c r="Q1583" s="1625"/>
      <c r="R1583" s="1625"/>
      <c r="S1583" s="1625"/>
      <c r="T1583" s="1625"/>
      <c r="U1583" s="1625"/>
      <c r="V1583" s="1625"/>
      <c r="W1583" s="1625"/>
      <c r="X1583" s="1626"/>
      <c r="Y1583" s="511"/>
      <c r="Z1583" s="482"/>
      <c r="AA1583" s="482"/>
      <c r="AB1583" s="482"/>
      <c r="AC1583" s="482"/>
      <c r="AD1583" s="482"/>
      <c r="AE1583" s="482"/>
      <c r="AF1583" s="482"/>
      <c r="AG1583" s="482"/>
      <c r="AH1583" s="482"/>
      <c r="AI1583" s="482"/>
      <c r="AJ1583" s="482"/>
      <c r="AK1583" s="482"/>
      <c r="AL1583" s="482"/>
      <c r="AM1583" s="482"/>
      <c r="AN1583" s="482"/>
      <c r="AO1583" s="482"/>
      <c r="AP1583" s="482"/>
      <c r="AQ1583" s="482"/>
      <c r="AR1583" s="482"/>
      <c r="AS1583" s="483"/>
      <c r="AT1583" s="511"/>
      <c r="AU1583" s="482"/>
      <c r="AV1583" s="482"/>
      <c r="AW1583" s="482"/>
      <c r="AX1583" s="482"/>
      <c r="AY1583" s="482"/>
      <c r="AZ1583" s="482"/>
      <c r="BA1583" s="482"/>
      <c r="BB1583" s="482"/>
      <c r="BC1583" s="482"/>
      <c r="BD1583" s="482"/>
      <c r="BE1583" s="482"/>
      <c r="BF1583" s="482"/>
      <c r="BG1583" s="482"/>
      <c r="BH1583" s="482"/>
      <c r="BI1583" s="482"/>
      <c r="BJ1583" s="482"/>
      <c r="BK1583" s="482"/>
      <c r="BL1583" s="483"/>
      <c r="BM1583" s="398">
        <f t="shared" si="248"/>
        <v>0</v>
      </c>
      <c r="BN1583" s="399"/>
      <c r="BO1583" s="399"/>
      <c r="BP1583" s="399"/>
      <c r="BQ1583" s="399"/>
      <c r="BR1583" s="399"/>
      <c r="BS1583" s="399"/>
      <c r="BT1583" s="399"/>
      <c r="BU1583" s="399"/>
      <c r="BV1583" s="399"/>
      <c r="BW1583" s="399"/>
      <c r="BX1583" s="399"/>
      <c r="BY1583" s="399"/>
      <c r="BZ1583" s="400"/>
      <c r="CA1583" s="142"/>
      <c r="CB1583" s="3" t="str">
        <f t="shared" si="237"/>
        <v>Riadok bude skrytý.</v>
      </c>
      <c r="CC1583" s="271" t="s">
        <v>832</v>
      </c>
      <c r="CW1583" s="30">
        <f t="shared" si="241"/>
        <v>1</v>
      </c>
      <c r="CZ1583" s="30">
        <f t="shared" si="245"/>
        <v>1</v>
      </c>
      <c r="DA1583" s="30">
        <f t="shared" si="246"/>
        <v>1</v>
      </c>
      <c r="DB1583" s="2">
        <f t="shared" si="247"/>
        <v>0</v>
      </c>
      <c r="DS1583" s="130">
        <f>SI!BY1583</f>
        <v>183</v>
      </c>
      <c r="DZ1583" s="131">
        <f>SI!BZ1583</f>
        <v>0</v>
      </c>
    </row>
    <row r="1584" spans="1:130" ht="14.95" hidden="1" customHeight="1" x14ac:dyDescent="0.25">
      <c r="A1584" s="141"/>
      <c r="B1584" s="717" t="s">
        <v>200</v>
      </c>
      <c r="C1584" s="718"/>
      <c r="D1584" s="718"/>
      <c r="E1584" s="718"/>
      <c r="F1584" s="718"/>
      <c r="G1584" s="718"/>
      <c r="H1584" s="718"/>
      <c r="I1584" s="718"/>
      <c r="J1584" s="718"/>
      <c r="K1584" s="718"/>
      <c r="L1584" s="718"/>
      <c r="M1584" s="718"/>
      <c r="N1584" s="718"/>
      <c r="O1584" s="718"/>
      <c r="P1584" s="718"/>
      <c r="Q1584" s="718"/>
      <c r="R1584" s="718"/>
      <c r="S1584" s="718"/>
      <c r="T1584" s="718"/>
      <c r="U1584" s="718"/>
      <c r="V1584" s="718"/>
      <c r="W1584" s="718"/>
      <c r="X1584" s="719"/>
      <c r="Y1584" s="511"/>
      <c r="Z1584" s="482"/>
      <c r="AA1584" s="482"/>
      <c r="AB1584" s="482"/>
      <c r="AC1584" s="482"/>
      <c r="AD1584" s="482"/>
      <c r="AE1584" s="482"/>
      <c r="AF1584" s="482"/>
      <c r="AG1584" s="482"/>
      <c r="AH1584" s="482"/>
      <c r="AI1584" s="482"/>
      <c r="AJ1584" s="482"/>
      <c r="AK1584" s="482"/>
      <c r="AL1584" s="482"/>
      <c r="AM1584" s="482"/>
      <c r="AN1584" s="482"/>
      <c r="AO1584" s="482"/>
      <c r="AP1584" s="482"/>
      <c r="AQ1584" s="482"/>
      <c r="AR1584" s="482"/>
      <c r="AS1584" s="483"/>
      <c r="AT1584" s="511"/>
      <c r="AU1584" s="482"/>
      <c r="AV1584" s="482"/>
      <c r="AW1584" s="482"/>
      <c r="AX1584" s="482"/>
      <c r="AY1584" s="482"/>
      <c r="AZ1584" s="482"/>
      <c r="BA1584" s="482"/>
      <c r="BB1584" s="482"/>
      <c r="BC1584" s="482"/>
      <c r="BD1584" s="482"/>
      <c r="BE1584" s="482"/>
      <c r="BF1584" s="482"/>
      <c r="BG1584" s="482"/>
      <c r="BH1584" s="482"/>
      <c r="BI1584" s="482"/>
      <c r="BJ1584" s="482"/>
      <c r="BK1584" s="482"/>
      <c r="BL1584" s="483"/>
      <c r="BM1584" s="398">
        <f t="shared" si="248"/>
        <v>0</v>
      </c>
      <c r="BN1584" s="399"/>
      <c r="BO1584" s="399"/>
      <c r="BP1584" s="399"/>
      <c r="BQ1584" s="399"/>
      <c r="BR1584" s="399"/>
      <c r="BS1584" s="399"/>
      <c r="BT1584" s="399"/>
      <c r="BU1584" s="399"/>
      <c r="BV1584" s="399"/>
      <c r="BW1584" s="399"/>
      <c r="BX1584" s="399"/>
      <c r="BY1584" s="399"/>
      <c r="BZ1584" s="400"/>
      <c r="CA1584" s="142"/>
      <c r="CB1584" s="3" t="str">
        <f t="shared" si="237"/>
        <v>Riadok bude skrytý.</v>
      </c>
      <c r="CC1584" s="271" t="s">
        <v>832</v>
      </c>
      <c r="CW1584" s="30">
        <f t="shared" si="241"/>
        <v>1</v>
      </c>
      <c r="CZ1584" s="30">
        <f t="shared" si="245"/>
        <v>1</v>
      </c>
      <c r="DA1584" s="30">
        <f t="shared" si="246"/>
        <v>1</v>
      </c>
      <c r="DB1584" s="2">
        <f t="shared" si="247"/>
        <v>0</v>
      </c>
      <c r="DS1584" s="130">
        <f>SI!BY1584</f>
        <v>233</v>
      </c>
      <c r="DZ1584" s="131">
        <f>SI!BZ1584</f>
        <v>0</v>
      </c>
    </row>
    <row r="1585" spans="1:130" ht="14.95" hidden="1" customHeight="1" x14ac:dyDescent="0.25">
      <c r="A1585" s="141"/>
      <c r="B1585" s="717" t="s">
        <v>201</v>
      </c>
      <c r="C1585" s="718"/>
      <c r="D1585" s="718"/>
      <c r="E1585" s="718"/>
      <c r="F1585" s="718"/>
      <c r="G1585" s="718"/>
      <c r="H1585" s="718"/>
      <c r="I1585" s="718"/>
      <c r="J1585" s="718"/>
      <c r="K1585" s="718"/>
      <c r="L1585" s="718"/>
      <c r="M1585" s="718"/>
      <c r="N1585" s="718"/>
      <c r="O1585" s="718"/>
      <c r="P1585" s="718"/>
      <c r="Q1585" s="718"/>
      <c r="R1585" s="718"/>
      <c r="S1585" s="718"/>
      <c r="T1585" s="718"/>
      <c r="U1585" s="718"/>
      <c r="V1585" s="718"/>
      <c r="W1585" s="718"/>
      <c r="X1585" s="719"/>
      <c r="Y1585" s="511"/>
      <c r="Z1585" s="482"/>
      <c r="AA1585" s="482"/>
      <c r="AB1585" s="482"/>
      <c r="AC1585" s="482"/>
      <c r="AD1585" s="482"/>
      <c r="AE1585" s="482"/>
      <c r="AF1585" s="482"/>
      <c r="AG1585" s="482"/>
      <c r="AH1585" s="482"/>
      <c r="AI1585" s="482"/>
      <c r="AJ1585" s="482"/>
      <c r="AK1585" s="482"/>
      <c r="AL1585" s="482"/>
      <c r="AM1585" s="482"/>
      <c r="AN1585" s="482"/>
      <c r="AO1585" s="482"/>
      <c r="AP1585" s="482"/>
      <c r="AQ1585" s="482"/>
      <c r="AR1585" s="482"/>
      <c r="AS1585" s="483"/>
      <c r="AT1585" s="511"/>
      <c r="AU1585" s="482"/>
      <c r="AV1585" s="482"/>
      <c r="AW1585" s="482"/>
      <c r="AX1585" s="482"/>
      <c r="AY1585" s="482"/>
      <c r="AZ1585" s="482"/>
      <c r="BA1585" s="482"/>
      <c r="BB1585" s="482"/>
      <c r="BC1585" s="482"/>
      <c r="BD1585" s="482"/>
      <c r="BE1585" s="482"/>
      <c r="BF1585" s="482"/>
      <c r="BG1585" s="482"/>
      <c r="BH1585" s="482"/>
      <c r="BI1585" s="482"/>
      <c r="BJ1585" s="482"/>
      <c r="BK1585" s="482"/>
      <c r="BL1585" s="483"/>
      <c r="BM1585" s="398">
        <f t="shared" si="248"/>
        <v>0</v>
      </c>
      <c r="BN1585" s="399"/>
      <c r="BO1585" s="399"/>
      <c r="BP1585" s="399"/>
      <c r="BQ1585" s="399"/>
      <c r="BR1585" s="399"/>
      <c r="BS1585" s="399"/>
      <c r="BT1585" s="399"/>
      <c r="BU1585" s="399"/>
      <c r="BV1585" s="399"/>
      <c r="BW1585" s="399"/>
      <c r="BX1585" s="399"/>
      <c r="BY1585" s="399"/>
      <c r="BZ1585" s="400"/>
      <c r="CA1585" s="142"/>
      <c r="CB1585" s="3" t="str">
        <f t="shared" si="237"/>
        <v>Riadok bude skrytý.</v>
      </c>
      <c r="CC1585" s="271" t="s">
        <v>832</v>
      </c>
      <c r="CW1585" s="30">
        <f t="shared" ref="CW1585:CW1616" si="249">+IF($J$1519="neeviduje",0,1)</f>
        <v>1</v>
      </c>
      <c r="CZ1585" s="30">
        <f t="shared" si="245"/>
        <v>1</v>
      </c>
      <c r="DA1585" s="30">
        <f t="shared" si="246"/>
        <v>1</v>
      </c>
      <c r="DB1585" s="2">
        <f t="shared" si="247"/>
        <v>0</v>
      </c>
      <c r="DS1585" s="130">
        <f>SI!BY1585</f>
        <v>192</v>
      </c>
      <c r="DZ1585" s="131">
        <f>SI!BZ1585</f>
        <v>0</v>
      </c>
    </row>
    <row r="1586" spans="1:130" ht="14.95" hidden="1" customHeight="1" x14ac:dyDescent="0.25">
      <c r="A1586" s="141"/>
      <c r="B1586" s="717" t="s">
        <v>192</v>
      </c>
      <c r="C1586" s="718"/>
      <c r="D1586" s="718"/>
      <c r="E1586" s="718"/>
      <c r="F1586" s="718"/>
      <c r="G1586" s="718"/>
      <c r="H1586" s="718"/>
      <c r="I1586" s="718"/>
      <c r="J1586" s="718"/>
      <c r="K1586" s="718"/>
      <c r="L1586" s="718"/>
      <c r="M1586" s="718"/>
      <c r="N1586" s="718"/>
      <c r="O1586" s="718"/>
      <c r="P1586" s="718"/>
      <c r="Q1586" s="718"/>
      <c r="R1586" s="718"/>
      <c r="S1586" s="718"/>
      <c r="T1586" s="718"/>
      <c r="U1586" s="718"/>
      <c r="V1586" s="718"/>
      <c r="W1586" s="718"/>
      <c r="X1586" s="719"/>
      <c r="Y1586" s="511"/>
      <c r="Z1586" s="482"/>
      <c r="AA1586" s="482"/>
      <c r="AB1586" s="482"/>
      <c r="AC1586" s="482"/>
      <c r="AD1586" s="482"/>
      <c r="AE1586" s="482"/>
      <c r="AF1586" s="482"/>
      <c r="AG1586" s="482"/>
      <c r="AH1586" s="482"/>
      <c r="AI1586" s="482"/>
      <c r="AJ1586" s="482"/>
      <c r="AK1586" s="482"/>
      <c r="AL1586" s="482"/>
      <c r="AM1586" s="482"/>
      <c r="AN1586" s="482"/>
      <c r="AO1586" s="482"/>
      <c r="AP1586" s="482"/>
      <c r="AQ1586" s="482"/>
      <c r="AR1586" s="482"/>
      <c r="AS1586" s="483"/>
      <c r="AT1586" s="511"/>
      <c r="AU1586" s="482"/>
      <c r="AV1586" s="482"/>
      <c r="AW1586" s="482"/>
      <c r="AX1586" s="482"/>
      <c r="AY1586" s="482"/>
      <c r="AZ1586" s="482"/>
      <c r="BA1586" s="482"/>
      <c r="BB1586" s="482"/>
      <c r="BC1586" s="482"/>
      <c r="BD1586" s="482"/>
      <c r="BE1586" s="482"/>
      <c r="BF1586" s="482"/>
      <c r="BG1586" s="482"/>
      <c r="BH1586" s="482"/>
      <c r="BI1586" s="482"/>
      <c r="BJ1586" s="482"/>
      <c r="BK1586" s="482"/>
      <c r="BL1586" s="483"/>
      <c r="BM1586" s="398">
        <f t="shared" si="248"/>
        <v>0</v>
      </c>
      <c r="BN1586" s="399"/>
      <c r="BO1586" s="399"/>
      <c r="BP1586" s="399"/>
      <c r="BQ1586" s="399"/>
      <c r="BR1586" s="399"/>
      <c r="BS1586" s="399"/>
      <c r="BT1586" s="399"/>
      <c r="BU1586" s="399"/>
      <c r="BV1586" s="399"/>
      <c r="BW1586" s="399"/>
      <c r="BX1586" s="399"/>
      <c r="BY1586" s="399"/>
      <c r="BZ1586" s="400"/>
      <c r="CA1586" s="142"/>
      <c r="CB1586" s="3" t="str">
        <f t="shared" si="237"/>
        <v>Riadok bude skrytý.</v>
      </c>
      <c r="CC1586" s="271" t="s">
        <v>832</v>
      </c>
      <c r="CW1586" s="30">
        <f t="shared" si="249"/>
        <v>1</v>
      </c>
      <c r="CZ1586" s="30">
        <f t="shared" si="245"/>
        <v>1</v>
      </c>
      <c r="DA1586" s="30">
        <f t="shared" si="246"/>
        <v>1</v>
      </c>
      <c r="DB1586" s="2">
        <f t="shared" si="247"/>
        <v>0</v>
      </c>
      <c r="DS1586" s="130">
        <f>SI!BY1586</f>
        <v>959</v>
      </c>
      <c r="DZ1586" s="131">
        <f>SI!BZ1586</f>
        <v>0</v>
      </c>
    </row>
    <row r="1587" spans="1:130" hidden="1" x14ac:dyDescent="0.25">
      <c r="A1587" s="141"/>
      <c r="B1587" s="1641" t="s">
        <v>202</v>
      </c>
      <c r="C1587" s="1642"/>
      <c r="D1587" s="1642"/>
      <c r="E1587" s="1642"/>
      <c r="F1587" s="1642"/>
      <c r="G1587" s="1642"/>
      <c r="H1587" s="1642"/>
      <c r="I1587" s="1642"/>
      <c r="J1587" s="1642"/>
      <c r="K1587" s="1642"/>
      <c r="L1587" s="1642"/>
      <c r="M1587" s="1642"/>
      <c r="N1587" s="1642"/>
      <c r="O1587" s="1642"/>
      <c r="P1587" s="1642"/>
      <c r="Q1587" s="1642"/>
      <c r="R1587" s="1642"/>
      <c r="S1587" s="1642"/>
      <c r="T1587" s="1642"/>
      <c r="U1587" s="1642"/>
      <c r="V1587" s="1642"/>
      <c r="W1587" s="1642"/>
      <c r="X1587" s="1643"/>
      <c r="Y1587" s="423">
        <f>+SUM(Y1580:AS1586)</f>
        <v>0</v>
      </c>
      <c r="Z1587" s="424"/>
      <c r="AA1587" s="424"/>
      <c r="AB1587" s="424"/>
      <c r="AC1587" s="424"/>
      <c r="AD1587" s="424"/>
      <c r="AE1587" s="424"/>
      <c r="AF1587" s="424"/>
      <c r="AG1587" s="424"/>
      <c r="AH1587" s="424"/>
      <c r="AI1587" s="424"/>
      <c r="AJ1587" s="424"/>
      <c r="AK1587" s="424"/>
      <c r="AL1587" s="424"/>
      <c r="AM1587" s="424"/>
      <c r="AN1587" s="424"/>
      <c r="AO1587" s="424"/>
      <c r="AP1587" s="424"/>
      <c r="AQ1587" s="424"/>
      <c r="AR1587" s="424"/>
      <c r="AS1587" s="425"/>
      <c r="AT1587" s="423">
        <f>+SUM(AT1580:BL1586)</f>
        <v>0</v>
      </c>
      <c r="AU1587" s="424"/>
      <c r="AV1587" s="424"/>
      <c r="AW1587" s="424"/>
      <c r="AX1587" s="424"/>
      <c r="AY1587" s="424"/>
      <c r="AZ1587" s="424"/>
      <c r="BA1587" s="424"/>
      <c r="BB1587" s="424"/>
      <c r="BC1587" s="424"/>
      <c r="BD1587" s="424"/>
      <c r="BE1587" s="424"/>
      <c r="BF1587" s="424"/>
      <c r="BG1587" s="424"/>
      <c r="BH1587" s="424"/>
      <c r="BI1587" s="424"/>
      <c r="BJ1587" s="424"/>
      <c r="BK1587" s="424"/>
      <c r="BL1587" s="425"/>
      <c r="BM1587" s="423">
        <f>+SUM(BM1580:BZ1586)</f>
        <v>0</v>
      </c>
      <c r="BN1587" s="424"/>
      <c r="BO1587" s="424"/>
      <c r="BP1587" s="424"/>
      <c r="BQ1587" s="424"/>
      <c r="BR1587" s="424"/>
      <c r="BS1587" s="424"/>
      <c r="BT1587" s="424"/>
      <c r="BU1587" s="424"/>
      <c r="BV1587" s="424"/>
      <c r="BW1587" s="424"/>
      <c r="BX1587" s="424"/>
      <c r="BY1587" s="424"/>
      <c r="BZ1587" s="425"/>
      <c r="CA1587" s="142"/>
      <c r="CB1587" s="3" t="str">
        <f t="shared" ref="CB1587:CB1650" si="250">+IF(DB1587=0,"Riadok bude skrytý.","Riadok bude vidieť.")</f>
        <v>Riadok bude skrytý.</v>
      </c>
      <c r="CC1587" s="271" t="s">
        <v>832</v>
      </c>
      <c r="CW1587" s="30">
        <f t="shared" si="249"/>
        <v>1</v>
      </c>
      <c r="CZ1587" s="30">
        <f t="shared" si="245"/>
        <v>1</v>
      </c>
      <c r="DA1587" s="30">
        <f t="shared" si="246"/>
        <v>1</v>
      </c>
      <c r="DB1587" s="2">
        <f t="shared" si="247"/>
        <v>0</v>
      </c>
      <c r="DS1587" s="130">
        <f>SI!BY1587</f>
        <v>155</v>
      </c>
      <c r="DZ1587" s="131">
        <f>SI!BZ1587</f>
        <v>0</v>
      </c>
    </row>
    <row r="1588" spans="1:130" hidden="1" x14ac:dyDescent="0.25">
      <c r="A1588" s="141"/>
      <c r="CA1588" s="142"/>
      <c r="CB1588" s="3" t="str">
        <f t="shared" si="250"/>
        <v>Riadok bude skrytý.</v>
      </c>
      <c r="CC1588" s="271" t="s">
        <v>832</v>
      </c>
      <c r="CW1588" s="30">
        <f t="shared" si="249"/>
        <v>1</v>
      </c>
      <c r="CZ1588" s="30">
        <f t="shared" si="245"/>
        <v>1</v>
      </c>
      <c r="DA1588" s="30">
        <f t="shared" si="246"/>
        <v>1</v>
      </c>
      <c r="DB1588" s="2">
        <f t="shared" si="247"/>
        <v>0</v>
      </c>
      <c r="DS1588" s="130">
        <f>SI!BY1588</f>
        <v>798</v>
      </c>
      <c r="DZ1588" s="131">
        <f>SI!BZ1588</f>
        <v>0</v>
      </c>
    </row>
    <row r="1589" spans="1:130" hidden="1" x14ac:dyDescent="0.25">
      <c r="A1589" s="141"/>
      <c r="B1589" s="7" t="str">
        <f>+IF($M$52&lt;&gt;"",IF(SQRT(INT(FACT(DAY(24324))*FACT(DAY(24385))/576))=DS1589,"Veková štruktúra pohľadávok za predchádzajúce účtovné obdobie je uvedená v tabuľke:","NEPOVOLENÉ POUŽITIE!"),"NEPOVOLENÉ POUŽITIE!")</f>
        <v>Veková štruktúra pohľadávok za predchádzajúce účtovné obdobie je uvedená v tabuľke:</v>
      </c>
      <c r="BU1589" s="1660">
        <f>+BE141</f>
        <v>2020</v>
      </c>
      <c r="BV1589" s="1660"/>
      <c r="BW1589" s="1660"/>
      <c r="BX1589" s="1660"/>
      <c r="BY1589" s="1660"/>
      <c r="BZ1589" s="1660"/>
      <c r="CA1589" s="265" t="s">
        <v>773</v>
      </c>
      <c r="CB1589" s="3" t="str">
        <f t="shared" si="250"/>
        <v>Riadok bude skrytý.</v>
      </c>
      <c r="CC1589" s="271" t="s">
        <v>937</v>
      </c>
      <c r="CD1589" s="105" t="s">
        <v>946</v>
      </c>
      <c r="CE1589" s="100"/>
      <c r="CW1589" s="30">
        <f t="shared" si="249"/>
        <v>1</v>
      </c>
      <c r="CX1589" s="30">
        <f t="shared" ref="CX1589:CX1610" si="251">+IF(YEAR($AW$123)=YEAR($DC$4),0,1)</f>
        <v>1</v>
      </c>
      <c r="CZ1589" s="30">
        <f t="shared" si="245"/>
        <v>0</v>
      </c>
      <c r="DA1589" s="52">
        <f t="shared" ref="DA1589:DA1610" si="252">+IF(CW1589*CX1589=0,0,IF(CZ1589=0,0,1))</f>
        <v>0</v>
      </c>
      <c r="DB1589" s="2">
        <f t="shared" si="247"/>
        <v>0</v>
      </c>
      <c r="DS1589" s="130">
        <f>SI!BY1589</f>
        <v>5</v>
      </c>
      <c r="DZ1589" s="131">
        <f>SI!BZ1589</f>
        <v>0</v>
      </c>
    </row>
    <row r="1590" spans="1:130" hidden="1" x14ac:dyDescent="0.25">
      <c r="A1590" s="141"/>
      <c r="CA1590" s="270"/>
      <c r="CB1590" s="3" t="str">
        <f t="shared" si="250"/>
        <v>Riadok bude skrytý.</v>
      </c>
      <c r="CC1590" s="271" t="s">
        <v>937</v>
      </c>
      <c r="CD1590" s="137"/>
      <c r="CE1590" s="137"/>
      <c r="CF1590" s="137"/>
      <c r="CG1590" s="137"/>
      <c r="CH1590" s="137"/>
      <c r="CI1590" s="137"/>
      <c r="CJ1590" s="137"/>
      <c r="CW1590" s="30">
        <f t="shared" si="249"/>
        <v>1</v>
      </c>
      <c r="CX1590" s="30">
        <f t="shared" si="251"/>
        <v>1</v>
      </c>
      <c r="CZ1590" s="30">
        <f t="shared" si="245"/>
        <v>0</v>
      </c>
      <c r="DA1590" s="52">
        <f t="shared" si="252"/>
        <v>0</v>
      </c>
      <c r="DB1590" s="2">
        <f t="shared" si="247"/>
        <v>0</v>
      </c>
      <c r="DS1590" s="130">
        <f>SI!BY1590</f>
        <v>718</v>
      </c>
      <c r="DZ1590" s="131">
        <f>SI!BZ1590</f>
        <v>0</v>
      </c>
    </row>
    <row r="1591" spans="1:130" ht="10.55" hidden="1" customHeight="1" x14ac:dyDescent="0.25">
      <c r="A1591" s="141"/>
      <c r="B1591" s="439" t="s">
        <v>171</v>
      </c>
      <c r="C1591" s="440"/>
      <c r="D1591" s="440"/>
      <c r="E1591" s="440"/>
      <c r="F1591" s="440"/>
      <c r="G1591" s="440"/>
      <c r="H1591" s="440"/>
      <c r="I1591" s="440"/>
      <c r="J1591" s="440"/>
      <c r="K1591" s="440"/>
      <c r="L1591" s="440"/>
      <c r="M1591" s="440"/>
      <c r="N1591" s="440"/>
      <c r="O1591" s="440"/>
      <c r="P1591" s="440"/>
      <c r="Q1591" s="440"/>
      <c r="R1591" s="440"/>
      <c r="S1591" s="440"/>
      <c r="T1591" s="440"/>
      <c r="U1591" s="440"/>
      <c r="V1591" s="440"/>
      <c r="W1591" s="440"/>
      <c r="X1591" s="441"/>
      <c r="Y1591" s="1627" t="s">
        <v>194</v>
      </c>
      <c r="Z1591" s="1628"/>
      <c r="AA1591" s="1628"/>
      <c r="AB1591" s="1628"/>
      <c r="AC1591" s="1628"/>
      <c r="AD1591" s="1628"/>
      <c r="AE1591" s="1628"/>
      <c r="AF1591" s="1628"/>
      <c r="AG1591" s="1628"/>
      <c r="AH1591" s="1628"/>
      <c r="AI1591" s="1628"/>
      <c r="AJ1591" s="1628"/>
      <c r="AK1591" s="1628"/>
      <c r="AL1591" s="1628"/>
      <c r="AM1591" s="1628"/>
      <c r="AN1591" s="1628"/>
      <c r="AO1591" s="1628"/>
      <c r="AP1591" s="1628"/>
      <c r="AQ1591" s="1628"/>
      <c r="AR1591" s="1628"/>
      <c r="AS1591" s="1629"/>
      <c r="AT1591" s="1627" t="s">
        <v>195</v>
      </c>
      <c r="AU1591" s="1628"/>
      <c r="AV1591" s="1628"/>
      <c r="AW1591" s="1628"/>
      <c r="AX1591" s="1628"/>
      <c r="AY1591" s="1628"/>
      <c r="AZ1591" s="1628"/>
      <c r="BA1591" s="1628"/>
      <c r="BB1591" s="1628"/>
      <c r="BC1591" s="1628"/>
      <c r="BD1591" s="1628"/>
      <c r="BE1591" s="1628"/>
      <c r="BF1591" s="1628"/>
      <c r="BG1591" s="1628"/>
      <c r="BH1591" s="1628"/>
      <c r="BI1591" s="1628"/>
      <c r="BJ1591" s="1628"/>
      <c r="BK1591" s="1628"/>
      <c r="BL1591" s="1629"/>
      <c r="BM1591" s="1627" t="s">
        <v>193</v>
      </c>
      <c r="BN1591" s="1628"/>
      <c r="BO1591" s="1628"/>
      <c r="BP1591" s="1628"/>
      <c r="BQ1591" s="1628"/>
      <c r="BR1591" s="1628"/>
      <c r="BS1591" s="1628"/>
      <c r="BT1591" s="1628"/>
      <c r="BU1591" s="1628"/>
      <c r="BV1591" s="1628"/>
      <c r="BW1591" s="1628"/>
      <c r="BX1591" s="1628"/>
      <c r="BY1591" s="1628"/>
      <c r="BZ1591" s="1629"/>
      <c r="CA1591" s="270"/>
      <c r="CB1591" s="3" t="str">
        <f t="shared" si="250"/>
        <v>Riadok bude skrytý.</v>
      </c>
      <c r="CC1591" s="271" t="s">
        <v>937</v>
      </c>
      <c r="CD1591" s="4"/>
      <c r="CW1591" s="30">
        <f t="shared" si="249"/>
        <v>1</v>
      </c>
      <c r="CX1591" s="30">
        <f t="shared" si="251"/>
        <v>1</v>
      </c>
      <c r="CZ1591" s="30">
        <f t="shared" si="245"/>
        <v>0</v>
      </c>
      <c r="DA1591" s="52">
        <f t="shared" si="252"/>
        <v>0</v>
      </c>
      <c r="DB1591" s="2">
        <f t="shared" si="247"/>
        <v>0</v>
      </c>
      <c r="DS1591" s="130">
        <f>SI!BY1591</f>
        <v>306</v>
      </c>
      <c r="DZ1591" s="131">
        <f>SI!BZ1591</f>
        <v>0</v>
      </c>
    </row>
    <row r="1592" spans="1:130" ht="10.55" hidden="1" customHeight="1" x14ac:dyDescent="0.25">
      <c r="A1592" s="141"/>
      <c r="B1592" s="442"/>
      <c r="C1592" s="443"/>
      <c r="D1592" s="443"/>
      <c r="E1592" s="443"/>
      <c r="F1592" s="443"/>
      <c r="G1592" s="443"/>
      <c r="H1592" s="443"/>
      <c r="I1592" s="443"/>
      <c r="J1592" s="443"/>
      <c r="K1592" s="443"/>
      <c r="L1592" s="443"/>
      <c r="M1592" s="443"/>
      <c r="N1592" s="443"/>
      <c r="O1592" s="443"/>
      <c r="P1592" s="443"/>
      <c r="Q1592" s="443"/>
      <c r="R1592" s="443"/>
      <c r="S1592" s="443"/>
      <c r="T1592" s="443"/>
      <c r="U1592" s="443"/>
      <c r="V1592" s="443"/>
      <c r="W1592" s="443"/>
      <c r="X1592" s="444"/>
      <c r="Y1592" s="1630"/>
      <c r="Z1592" s="1631"/>
      <c r="AA1592" s="1631"/>
      <c r="AB1592" s="1631"/>
      <c r="AC1592" s="1631"/>
      <c r="AD1592" s="1631"/>
      <c r="AE1592" s="1631"/>
      <c r="AF1592" s="1631"/>
      <c r="AG1592" s="1631"/>
      <c r="AH1592" s="1631"/>
      <c r="AI1592" s="1631"/>
      <c r="AJ1592" s="1631"/>
      <c r="AK1592" s="1631"/>
      <c r="AL1592" s="1631"/>
      <c r="AM1592" s="1631"/>
      <c r="AN1592" s="1631"/>
      <c r="AO1592" s="1631"/>
      <c r="AP1592" s="1631"/>
      <c r="AQ1592" s="1631"/>
      <c r="AR1592" s="1631"/>
      <c r="AS1592" s="1632"/>
      <c r="AT1592" s="1630"/>
      <c r="AU1592" s="1631"/>
      <c r="AV1592" s="1631"/>
      <c r="AW1592" s="1631"/>
      <c r="AX1592" s="1631"/>
      <c r="AY1592" s="1631"/>
      <c r="AZ1592" s="1631"/>
      <c r="BA1592" s="1631"/>
      <c r="BB1592" s="1631"/>
      <c r="BC1592" s="1631"/>
      <c r="BD1592" s="1631"/>
      <c r="BE1592" s="1631"/>
      <c r="BF1592" s="1631"/>
      <c r="BG1592" s="1631"/>
      <c r="BH1592" s="1631"/>
      <c r="BI1592" s="1631"/>
      <c r="BJ1592" s="1631"/>
      <c r="BK1592" s="1631"/>
      <c r="BL1592" s="1632"/>
      <c r="BM1592" s="1630"/>
      <c r="BN1592" s="1631"/>
      <c r="BO1592" s="1631"/>
      <c r="BP1592" s="1631"/>
      <c r="BQ1592" s="1631"/>
      <c r="BR1592" s="1631"/>
      <c r="BS1592" s="1631"/>
      <c r="BT1592" s="1631"/>
      <c r="BU1592" s="1631"/>
      <c r="BV1592" s="1631"/>
      <c r="BW1592" s="1631"/>
      <c r="BX1592" s="1631"/>
      <c r="BY1592" s="1631"/>
      <c r="BZ1592" s="1632"/>
      <c r="CA1592" s="270"/>
      <c r="CB1592" s="3" t="str">
        <f t="shared" si="250"/>
        <v>Riadok bude skrytý.</v>
      </c>
      <c r="CC1592" s="271" t="s">
        <v>937</v>
      </c>
      <c r="CW1592" s="30">
        <f t="shared" si="249"/>
        <v>1</v>
      </c>
      <c r="CX1592" s="30">
        <f t="shared" si="251"/>
        <v>1</v>
      </c>
      <c r="CZ1592" s="30">
        <f t="shared" si="245"/>
        <v>0</v>
      </c>
      <c r="DA1592" s="52">
        <f t="shared" si="252"/>
        <v>0</v>
      </c>
      <c r="DB1592" s="2">
        <f t="shared" si="247"/>
        <v>0</v>
      </c>
      <c r="DS1592" s="130">
        <f>SI!BY1592</f>
        <v>166</v>
      </c>
      <c r="DZ1592" s="131">
        <f>SI!BZ1592</f>
        <v>0</v>
      </c>
    </row>
    <row r="1593" spans="1:130" hidden="1" x14ac:dyDescent="0.25">
      <c r="A1593" s="141"/>
      <c r="B1593" s="524" t="s">
        <v>0</v>
      </c>
      <c r="C1593" s="525"/>
      <c r="D1593" s="525"/>
      <c r="E1593" s="525"/>
      <c r="F1593" s="525"/>
      <c r="G1593" s="525"/>
      <c r="H1593" s="525"/>
      <c r="I1593" s="525"/>
      <c r="J1593" s="525"/>
      <c r="K1593" s="525"/>
      <c r="L1593" s="525"/>
      <c r="M1593" s="525"/>
      <c r="N1593" s="525"/>
      <c r="O1593" s="525"/>
      <c r="P1593" s="525"/>
      <c r="Q1593" s="525"/>
      <c r="R1593" s="525"/>
      <c r="S1593" s="525"/>
      <c r="T1593" s="525"/>
      <c r="U1593" s="525"/>
      <c r="V1593" s="525"/>
      <c r="W1593" s="525"/>
      <c r="X1593" s="723"/>
      <c r="Y1593" s="524" t="s">
        <v>1</v>
      </c>
      <c r="Z1593" s="525"/>
      <c r="AA1593" s="525"/>
      <c r="AB1593" s="525"/>
      <c r="AC1593" s="525"/>
      <c r="AD1593" s="525"/>
      <c r="AE1593" s="525"/>
      <c r="AF1593" s="525"/>
      <c r="AG1593" s="525"/>
      <c r="AH1593" s="525"/>
      <c r="AI1593" s="525"/>
      <c r="AJ1593" s="525"/>
      <c r="AK1593" s="525"/>
      <c r="AL1593" s="525"/>
      <c r="AM1593" s="525"/>
      <c r="AN1593" s="525"/>
      <c r="AO1593" s="525"/>
      <c r="AP1593" s="525"/>
      <c r="AQ1593" s="525"/>
      <c r="AR1593" s="525"/>
      <c r="AS1593" s="723"/>
      <c r="AT1593" s="524" t="s">
        <v>2</v>
      </c>
      <c r="AU1593" s="525"/>
      <c r="AV1593" s="525"/>
      <c r="AW1593" s="525"/>
      <c r="AX1593" s="525"/>
      <c r="AY1593" s="525"/>
      <c r="AZ1593" s="525"/>
      <c r="BA1593" s="525"/>
      <c r="BB1593" s="525"/>
      <c r="BC1593" s="525"/>
      <c r="BD1593" s="525"/>
      <c r="BE1593" s="525"/>
      <c r="BF1593" s="525"/>
      <c r="BG1593" s="525"/>
      <c r="BH1593" s="525"/>
      <c r="BI1593" s="525"/>
      <c r="BJ1593" s="525"/>
      <c r="BK1593" s="525"/>
      <c r="BL1593" s="723"/>
      <c r="BM1593" s="524" t="s">
        <v>28</v>
      </c>
      <c r="BN1593" s="525"/>
      <c r="BO1593" s="525"/>
      <c r="BP1593" s="525"/>
      <c r="BQ1593" s="525"/>
      <c r="BR1593" s="525"/>
      <c r="BS1593" s="525"/>
      <c r="BT1593" s="525"/>
      <c r="BU1593" s="525"/>
      <c r="BV1593" s="525"/>
      <c r="BW1593" s="525"/>
      <c r="BX1593" s="525"/>
      <c r="BY1593" s="525"/>
      <c r="BZ1593" s="723"/>
      <c r="CA1593" s="270"/>
      <c r="CB1593" s="3" t="str">
        <f t="shared" si="250"/>
        <v>Riadok bude skrytý.</v>
      </c>
      <c r="CC1593" s="271" t="s">
        <v>937</v>
      </c>
      <c r="CW1593" s="30">
        <f t="shared" si="249"/>
        <v>1</v>
      </c>
      <c r="CX1593" s="30">
        <f t="shared" si="251"/>
        <v>1</v>
      </c>
      <c r="CZ1593" s="30">
        <f t="shared" si="245"/>
        <v>0</v>
      </c>
      <c r="DA1593" s="52">
        <f t="shared" si="252"/>
        <v>0</v>
      </c>
      <c r="DB1593" s="2">
        <f t="shared" si="247"/>
        <v>0</v>
      </c>
      <c r="DS1593" s="130">
        <f>SI!BY1593</f>
        <v>762</v>
      </c>
      <c r="DZ1593" s="131">
        <f>SI!BZ1593</f>
        <v>0</v>
      </c>
    </row>
    <row r="1594" spans="1:130" hidden="1" x14ac:dyDescent="0.25">
      <c r="A1594" s="141"/>
      <c r="B1594" s="579" t="s">
        <v>196</v>
      </c>
      <c r="C1594" s="580"/>
      <c r="D1594" s="580"/>
      <c r="E1594" s="580"/>
      <c r="F1594" s="580"/>
      <c r="G1594" s="580"/>
      <c r="H1594" s="580"/>
      <c r="I1594" s="580"/>
      <c r="J1594" s="580"/>
      <c r="K1594" s="580"/>
      <c r="L1594" s="580"/>
      <c r="M1594" s="580"/>
      <c r="N1594" s="580"/>
      <c r="O1594" s="580"/>
      <c r="P1594" s="580"/>
      <c r="Q1594" s="580"/>
      <c r="R1594" s="580"/>
      <c r="S1594" s="580"/>
      <c r="T1594" s="580"/>
      <c r="U1594" s="580"/>
      <c r="V1594" s="580"/>
      <c r="W1594" s="580"/>
      <c r="X1594" s="580"/>
      <c r="Y1594" s="580"/>
      <c r="Z1594" s="580"/>
      <c r="AA1594" s="580"/>
      <c r="AB1594" s="580"/>
      <c r="AC1594" s="580"/>
      <c r="AD1594" s="580"/>
      <c r="AE1594" s="580"/>
      <c r="AF1594" s="580"/>
      <c r="AG1594" s="580"/>
      <c r="AH1594" s="580"/>
      <c r="AI1594" s="580"/>
      <c r="AJ1594" s="580"/>
      <c r="AK1594" s="580"/>
      <c r="AL1594" s="580"/>
      <c r="AM1594" s="580"/>
      <c r="AN1594" s="580"/>
      <c r="AO1594" s="580"/>
      <c r="AP1594" s="580"/>
      <c r="AQ1594" s="580"/>
      <c r="AR1594" s="580"/>
      <c r="AS1594" s="580"/>
      <c r="AT1594" s="580"/>
      <c r="AU1594" s="580"/>
      <c r="AV1594" s="580"/>
      <c r="AW1594" s="580"/>
      <c r="AX1594" s="580"/>
      <c r="AY1594" s="580"/>
      <c r="AZ1594" s="580"/>
      <c r="BA1594" s="580"/>
      <c r="BB1594" s="580"/>
      <c r="BC1594" s="580"/>
      <c r="BD1594" s="580"/>
      <c r="BE1594" s="580"/>
      <c r="BF1594" s="580"/>
      <c r="BG1594" s="580"/>
      <c r="BH1594" s="580"/>
      <c r="BI1594" s="580"/>
      <c r="BJ1594" s="580"/>
      <c r="BK1594" s="580"/>
      <c r="BL1594" s="580"/>
      <c r="BM1594" s="580"/>
      <c r="BN1594" s="580"/>
      <c r="BO1594" s="580"/>
      <c r="BP1594" s="580"/>
      <c r="BQ1594" s="580"/>
      <c r="BR1594" s="580"/>
      <c r="BS1594" s="580"/>
      <c r="BT1594" s="580"/>
      <c r="BU1594" s="580"/>
      <c r="BV1594" s="580"/>
      <c r="BW1594" s="580"/>
      <c r="BX1594" s="580"/>
      <c r="BY1594" s="580"/>
      <c r="BZ1594" s="581"/>
      <c r="CA1594" s="270"/>
      <c r="CB1594" s="3" t="str">
        <f t="shared" si="250"/>
        <v>Riadok bude skrytý.</v>
      </c>
      <c r="CC1594" s="271" t="s">
        <v>937</v>
      </c>
      <c r="CW1594" s="30">
        <f t="shared" si="249"/>
        <v>1</v>
      </c>
      <c r="CX1594" s="30">
        <f t="shared" si="251"/>
        <v>1</v>
      </c>
      <c r="CZ1594" s="30">
        <f t="shared" si="245"/>
        <v>0</v>
      </c>
      <c r="DA1594" s="52">
        <f t="shared" si="252"/>
        <v>0</v>
      </c>
      <c r="DB1594" s="2">
        <f t="shared" si="247"/>
        <v>0</v>
      </c>
      <c r="DS1594" s="130">
        <f>SI!BY1594</f>
        <v>184</v>
      </c>
      <c r="DZ1594" s="131">
        <f>SI!BZ1594</f>
        <v>0</v>
      </c>
    </row>
    <row r="1595" spans="1:130" hidden="1" x14ac:dyDescent="0.25">
      <c r="A1595" s="141"/>
      <c r="B1595" s="814" t="s">
        <v>189</v>
      </c>
      <c r="C1595" s="815"/>
      <c r="D1595" s="815"/>
      <c r="E1595" s="815"/>
      <c r="F1595" s="815"/>
      <c r="G1595" s="815"/>
      <c r="H1595" s="815"/>
      <c r="I1595" s="815"/>
      <c r="J1595" s="815"/>
      <c r="K1595" s="815"/>
      <c r="L1595" s="815"/>
      <c r="M1595" s="815"/>
      <c r="N1595" s="815"/>
      <c r="O1595" s="815"/>
      <c r="P1595" s="815"/>
      <c r="Q1595" s="815"/>
      <c r="R1595" s="815"/>
      <c r="S1595" s="815"/>
      <c r="T1595" s="815"/>
      <c r="U1595" s="815"/>
      <c r="V1595" s="815"/>
      <c r="W1595" s="815"/>
      <c r="X1595" s="1661"/>
      <c r="Y1595" s="417"/>
      <c r="Z1595" s="418"/>
      <c r="AA1595" s="418"/>
      <c r="AB1595" s="418"/>
      <c r="AC1595" s="418"/>
      <c r="AD1595" s="418"/>
      <c r="AE1595" s="418"/>
      <c r="AF1595" s="418"/>
      <c r="AG1595" s="418"/>
      <c r="AH1595" s="418"/>
      <c r="AI1595" s="418"/>
      <c r="AJ1595" s="418"/>
      <c r="AK1595" s="418"/>
      <c r="AL1595" s="418"/>
      <c r="AM1595" s="418"/>
      <c r="AN1595" s="418"/>
      <c r="AO1595" s="418"/>
      <c r="AP1595" s="418"/>
      <c r="AQ1595" s="418"/>
      <c r="AR1595" s="418"/>
      <c r="AS1595" s="419"/>
      <c r="AT1595" s="417"/>
      <c r="AU1595" s="418"/>
      <c r="AV1595" s="418"/>
      <c r="AW1595" s="418"/>
      <c r="AX1595" s="418"/>
      <c r="AY1595" s="418"/>
      <c r="AZ1595" s="418"/>
      <c r="BA1595" s="418"/>
      <c r="BB1595" s="418"/>
      <c r="BC1595" s="418"/>
      <c r="BD1595" s="418"/>
      <c r="BE1595" s="418"/>
      <c r="BF1595" s="418"/>
      <c r="BG1595" s="418"/>
      <c r="BH1595" s="418"/>
      <c r="BI1595" s="418"/>
      <c r="BJ1595" s="418"/>
      <c r="BK1595" s="418"/>
      <c r="BL1595" s="419"/>
      <c r="BM1595" s="1633">
        <f>+Y1595+AT1595</f>
        <v>0</v>
      </c>
      <c r="BN1595" s="1634"/>
      <c r="BO1595" s="1634"/>
      <c r="BP1595" s="1634"/>
      <c r="BQ1595" s="1634"/>
      <c r="BR1595" s="1634"/>
      <c r="BS1595" s="1634"/>
      <c r="BT1595" s="1634"/>
      <c r="BU1595" s="1634"/>
      <c r="BV1595" s="1634"/>
      <c r="BW1595" s="1634"/>
      <c r="BX1595" s="1634"/>
      <c r="BY1595" s="1634"/>
      <c r="BZ1595" s="1635"/>
      <c r="CA1595" s="270"/>
      <c r="CB1595" s="3" t="str">
        <f t="shared" si="250"/>
        <v>Riadok bude skrytý.</v>
      </c>
      <c r="CC1595" s="271" t="s">
        <v>937</v>
      </c>
      <c r="CW1595" s="30">
        <f t="shared" si="249"/>
        <v>1</v>
      </c>
      <c r="CX1595" s="30">
        <f t="shared" si="251"/>
        <v>1</v>
      </c>
      <c r="CZ1595" s="30">
        <f t="shared" si="245"/>
        <v>0</v>
      </c>
      <c r="DA1595" s="52">
        <f t="shared" si="252"/>
        <v>0</v>
      </c>
      <c r="DB1595" s="2">
        <f t="shared" si="247"/>
        <v>0</v>
      </c>
      <c r="DS1595" s="130">
        <f>SI!BY1595</f>
        <v>628</v>
      </c>
      <c r="DZ1595" s="131">
        <f>SI!BZ1595</f>
        <v>0</v>
      </c>
    </row>
    <row r="1596" spans="1:130" ht="35.35" hidden="1" customHeight="1" x14ac:dyDescent="0.25">
      <c r="A1596" s="141"/>
      <c r="B1596" s="1624" t="s">
        <v>197</v>
      </c>
      <c r="C1596" s="1625"/>
      <c r="D1596" s="1625"/>
      <c r="E1596" s="1625"/>
      <c r="F1596" s="1625"/>
      <c r="G1596" s="1625"/>
      <c r="H1596" s="1625"/>
      <c r="I1596" s="1625"/>
      <c r="J1596" s="1625"/>
      <c r="K1596" s="1625"/>
      <c r="L1596" s="1625"/>
      <c r="M1596" s="1625"/>
      <c r="N1596" s="1625"/>
      <c r="O1596" s="1625"/>
      <c r="P1596" s="1625"/>
      <c r="Q1596" s="1625"/>
      <c r="R1596" s="1625"/>
      <c r="S1596" s="1625"/>
      <c r="T1596" s="1625"/>
      <c r="U1596" s="1625"/>
      <c r="V1596" s="1625"/>
      <c r="W1596" s="1625"/>
      <c r="X1596" s="1626"/>
      <c r="Y1596" s="511"/>
      <c r="Z1596" s="482"/>
      <c r="AA1596" s="482"/>
      <c r="AB1596" s="482"/>
      <c r="AC1596" s="482"/>
      <c r="AD1596" s="482"/>
      <c r="AE1596" s="482"/>
      <c r="AF1596" s="482"/>
      <c r="AG1596" s="482"/>
      <c r="AH1596" s="482"/>
      <c r="AI1596" s="482"/>
      <c r="AJ1596" s="482"/>
      <c r="AK1596" s="482"/>
      <c r="AL1596" s="482"/>
      <c r="AM1596" s="482"/>
      <c r="AN1596" s="482"/>
      <c r="AO1596" s="482"/>
      <c r="AP1596" s="482"/>
      <c r="AQ1596" s="482"/>
      <c r="AR1596" s="482"/>
      <c r="AS1596" s="483"/>
      <c r="AT1596" s="511"/>
      <c r="AU1596" s="482"/>
      <c r="AV1596" s="482"/>
      <c r="AW1596" s="482"/>
      <c r="AX1596" s="482"/>
      <c r="AY1596" s="482"/>
      <c r="AZ1596" s="482"/>
      <c r="BA1596" s="482"/>
      <c r="BB1596" s="482"/>
      <c r="BC1596" s="482"/>
      <c r="BD1596" s="482"/>
      <c r="BE1596" s="482"/>
      <c r="BF1596" s="482"/>
      <c r="BG1596" s="482"/>
      <c r="BH1596" s="482"/>
      <c r="BI1596" s="482"/>
      <c r="BJ1596" s="482"/>
      <c r="BK1596" s="482"/>
      <c r="BL1596" s="483"/>
      <c r="BM1596" s="398">
        <f>+Y1596+AT1596</f>
        <v>0</v>
      </c>
      <c r="BN1596" s="399"/>
      <c r="BO1596" s="399"/>
      <c r="BP1596" s="399"/>
      <c r="BQ1596" s="399"/>
      <c r="BR1596" s="399"/>
      <c r="BS1596" s="399"/>
      <c r="BT1596" s="399"/>
      <c r="BU1596" s="399"/>
      <c r="BV1596" s="399"/>
      <c r="BW1596" s="399"/>
      <c r="BX1596" s="399"/>
      <c r="BY1596" s="399"/>
      <c r="BZ1596" s="400"/>
      <c r="CA1596" s="270"/>
      <c r="CB1596" s="3" t="str">
        <f t="shared" si="250"/>
        <v>Riadok bude skrytý.</v>
      </c>
      <c r="CC1596" s="271" t="s">
        <v>937</v>
      </c>
      <c r="CW1596" s="30">
        <f t="shared" si="249"/>
        <v>1</v>
      </c>
      <c r="CX1596" s="30">
        <f t="shared" si="251"/>
        <v>1</v>
      </c>
      <c r="CZ1596" s="30">
        <f t="shared" si="245"/>
        <v>0</v>
      </c>
      <c r="DA1596" s="52">
        <f t="shared" si="252"/>
        <v>0</v>
      </c>
      <c r="DB1596" s="2">
        <f t="shared" si="247"/>
        <v>0</v>
      </c>
      <c r="DS1596" s="130">
        <f>SI!BY1596</f>
        <v>180</v>
      </c>
      <c r="DZ1596" s="131">
        <f>SI!BZ1596</f>
        <v>0</v>
      </c>
    </row>
    <row r="1597" spans="1:130" ht="25.5" hidden="1" customHeight="1" x14ac:dyDescent="0.25">
      <c r="A1597" s="141"/>
      <c r="B1597" s="1624" t="s">
        <v>190</v>
      </c>
      <c r="C1597" s="1625"/>
      <c r="D1597" s="1625"/>
      <c r="E1597" s="1625"/>
      <c r="F1597" s="1625"/>
      <c r="G1597" s="1625"/>
      <c r="H1597" s="1625"/>
      <c r="I1597" s="1625"/>
      <c r="J1597" s="1625"/>
      <c r="K1597" s="1625"/>
      <c r="L1597" s="1625"/>
      <c r="M1597" s="1625"/>
      <c r="N1597" s="1625"/>
      <c r="O1597" s="1625"/>
      <c r="P1597" s="1625"/>
      <c r="Q1597" s="1625"/>
      <c r="R1597" s="1625"/>
      <c r="S1597" s="1625"/>
      <c r="T1597" s="1625"/>
      <c r="U1597" s="1625"/>
      <c r="V1597" s="1625"/>
      <c r="W1597" s="1625"/>
      <c r="X1597" s="1626"/>
      <c r="Y1597" s="511"/>
      <c r="Z1597" s="482"/>
      <c r="AA1597" s="482"/>
      <c r="AB1597" s="482"/>
      <c r="AC1597" s="482"/>
      <c r="AD1597" s="482"/>
      <c r="AE1597" s="482"/>
      <c r="AF1597" s="482"/>
      <c r="AG1597" s="482"/>
      <c r="AH1597" s="482"/>
      <c r="AI1597" s="482"/>
      <c r="AJ1597" s="482"/>
      <c r="AK1597" s="482"/>
      <c r="AL1597" s="482"/>
      <c r="AM1597" s="482"/>
      <c r="AN1597" s="482"/>
      <c r="AO1597" s="482"/>
      <c r="AP1597" s="482"/>
      <c r="AQ1597" s="482"/>
      <c r="AR1597" s="482"/>
      <c r="AS1597" s="483"/>
      <c r="AT1597" s="511"/>
      <c r="AU1597" s="482"/>
      <c r="AV1597" s="482"/>
      <c r="AW1597" s="482"/>
      <c r="AX1597" s="482"/>
      <c r="AY1597" s="482"/>
      <c r="AZ1597" s="482"/>
      <c r="BA1597" s="482"/>
      <c r="BB1597" s="482"/>
      <c r="BC1597" s="482"/>
      <c r="BD1597" s="482"/>
      <c r="BE1597" s="482"/>
      <c r="BF1597" s="482"/>
      <c r="BG1597" s="482"/>
      <c r="BH1597" s="482"/>
      <c r="BI1597" s="482"/>
      <c r="BJ1597" s="482"/>
      <c r="BK1597" s="482"/>
      <c r="BL1597" s="483"/>
      <c r="BM1597" s="398">
        <f>+Y1597+AT1597</f>
        <v>0</v>
      </c>
      <c r="BN1597" s="399"/>
      <c r="BO1597" s="399"/>
      <c r="BP1597" s="399"/>
      <c r="BQ1597" s="399"/>
      <c r="BR1597" s="399"/>
      <c r="BS1597" s="399"/>
      <c r="BT1597" s="399"/>
      <c r="BU1597" s="399"/>
      <c r="BV1597" s="399"/>
      <c r="BW1597" s="399"/>
      <c r="BX1597" s="399"/>
      <c r="BY1597" s="399"/>
      <c r="BZ1597" s="400"/>
      <c r="CA1597" s="270"/>
      <c r="CB1597" s="3" t="str">
        <f t="shared" si="250"/>
        <v>Riadok bude skrytý.</v>
      </c>
      <c r="CC1597" s="271" t="s">
        <v>937</v>
      </c>
      <c r="CW1597" s="30">
        <f t="shared" si="249"/>
        <v>1</v>
      </c>
      <c r="CX1597" s="30">
        <f t="shared" si="251"/>
        <v>1</v>
      </c>
      <c r="CZ1597" s="30">
        <f t="shared" si="245"/>
        <v>0</v>
      </c>
      <c r="DA1597" s="52">
        <f t="shared" si="252"/>
        <v>0</v>
      </c>
      <c r="DB1597" s="2">
        <f t="shared" si="247"/>
        <v>0</v>
      </c>
      <c r="DS1597" s="130">
        <f>SI!BY1597</f>
        <v>151</v>
      </c>
      <c r="DZ1597" s="131">
        <f>SI!BZ1597</f>
        <v>0</v>
      </c>
    </row>
    <row r="1598" spans="1:130" ht="23.95" hidden="1" customHeight="1" x14ac:dyDescent="0.25">
      <c r="A1598" s="141"/>
      <c r="B1598" s="1624" t="s">
        <v>191</v>
      </c>
      <c r="C1598" s="1625"/>
      <c r="D1598" s="1625"/>
      <c r="E1598" s="1625"/>
      <c r="F1598" s="1625"/>
      <c r="G1598" s="1625"/>
      <c r="H1598" s="1625"/>
      <c r="I1598" s="1625"/>
      <c r="J1598" s="1625"/>
      <c r="K1598" s="1625"/>
      <c r="L1598" s="1625"/>
      <c r="M1598" s="1625"/>
      <c r="N1598" s="1625"/>
      <c r="O1598" s="1625"/>
      <c r="P1598" s="1625"/>
      <c r="Q1598" s="1625"/>
      <c r="R1598" s="1625"/>
      <c r="S1598" s="1625"/>
      <c r="T1598" s="1625"/>
      <c r="U1598" s="1625"/>
      <c r="V1598" s="1625"/>
      <c r="W1598" s="1625"/>
      <c r="X1598" s="1626"/>
      <c r="Y1598" s="511"/>
      <c r="Z1598" s="482"/>
      <c r="AA1598" s="482"/>
      <c r="AB1598" s="482"/>
      <c r="AC1598" s="482"/>
      <c r="AD1598" s="482"/>
      <c r="AE1598" s="482"/>
      <c r="AF1598" s="482"/>
      <c r="AG1598" s="482"/>
      <c r="AH1598" s="482"/>
      <c r="AI1598" s="482"/>
      <c r="AJ1598" s="482"/>
      <c r="AK1598" s="482"/>
      <c r="AL1598" s="482"/>
      <c r="AM1598" s="482"/>
      <c r="AN1598" s="482"/>
      <c r="AO1598" s="482"/>
      <c r="AP1598" s="482"/>
      <c r="AQ1598" s="482"/>
      <c r="AR1598" s="482"/>
      <c r="AS1598" s="483"/>
      <c r="AT1598" s="511"/>
      <c r="AU1598" s="482"/>
      <c r="AV1598" s="482"/>
      <c r="AW1598" s="482"/>
      <c r="AX1598" s="482"/>
      <c r="AY1598" s="482"/>
      <c r="AZ1598" s="482"/>
      <c r="BA1598" s="482"/>
      <c r="BB1598" s="482"/>
      <c r="BC1598" s="482"/>
      <c r="BD1598" s="482"/>
      <c r="BE1598" s="482"/>
      <c r="BF1598" s="482"/>
      <c r="BG1598" s="482"/>
      <c r="BH1598" s="482"/>
      <c r="BI1598" s="482"/>
      <c r="BJ1598" s="482"/>
      <c r="BK1598" s="482"/>
      <c r="BL1598" s="483"/>
      <c r="BM1598" s="398">
        <f>+Y1598+AT1598</f>
        <v>0</v>
      </c>
      <c r="BN1598" s="399"/>
      <c r="BO1598" s="399"/>
      <c r="BP1598" s="399"/>
      <c r="BQ1598" s="399"/>
      <c r="BR1598" s="399"/>
      <c r="BS1598" s="399"/>
      <c r="BT1598" s="399"/>
      <c r="BU1598" s="399"/>
      <c r="BV1598" s="399"/>
      <c r="BW1598" s="399"/>
      <c r="BX1598" s="399"/>
      <c r="BY1598" s="399"/>
      <c r="BZ1598" s="400"/>
      <c r="CA1598" s="270"/>
      <c r="CB1598" s="3" t="str">
        <f t="shared" si="250"/>
        <v>Riadok bude skrytý.</v>
      </c>
      <c r="CC1598" s="271" t="s">
        <v>937</v>
      </c>
      <c r="CW1598" s="30">
        <f t="shared" si="249"/>
        <v>1</v>
      </c>
      <c r="CX1598" s="30">
        <f t="shared" si="251"/>
        <v>1</v>
      </c>
      <c r="CZ1598" s="30">
        <f t="shared" si="245"/>
        <v>0</v>
      </c>
      <c r="DA1598" s="52">
        <f t="shared" si="252"/>
        <v>0</v>
      </c>
      <c r="DB1598" s="2">
        <f t="shared" si="247"/>
        <v>0</v>
      </c>
      <c r="DS1598" s="130">
        <f>SI!BY1598</f>
        <v>103</v>
      </c>
      <c r="DZ1598" s="131">
        <f>SI!BZ1598</f>
        <v>0</v>
      </c>
    </row>
    <row r="1599" spans="1:130" hidden="1" x14ac:dyDescent="0.25">
      <c r="A1599" s="141"/>
      <c r="B1599" s="1667" t="s">
        <v>192</v>
      </c>
      <c r="C1599" s="1668"/>
      <c r="D1599" s="1668"/>
      <c r="E1599" s="1668"/>
      <c r="F1599" s="1668"/>
      <c r="G1599" s="1668"/>
      <c r="H1599" s="1668"/>
      <c r="I1599" s="1668"/>
      <c r="J1599" s="1668"/>
      <c r="K1599" s="1668"/>
      <c r="L1599" s="1668"/>
      <c r="M1599" s="1668"/>
      <c r="N1599" s="1668"/>
      <c r="O1599" s="1668"/>
      <c r="P1599" s="1668"/>
      <c r="Q1599" s="1668"/>
      <c r="R1599" s="1668"/>
      <c r="S1599" s="1668"/>
      <c r="T1599" s="1668"/>
      <c r="U1599" s="1668"/>
      <c r="V1599" s="1668"/>
      <c r="W1599" s="1668"/>
      <c r="X1599" s="1669"/>
      <c r="Y1599" s="454"/>
      <c r="Z1599" s="455"/>
      <c r="AA1599" s="455"/>
      <c r="AB1599" s="455"/>
      <c r="AC1599" s="455"/>
      <c r="AD1599" s="455"/>
      <c r="AE1599" s="455"/>
      <c r="AF1599" s="455"/>
      <c r="AG1599" s="455"/>
      <c r="AH1599" s="455"/>
      <c r="AI1599" s="455"/>
      <c r="AJ1599" s="455"/>
      <c r="AK1599" s="455"/>
      <c r="AL1599" s="455"/>
      <c r="AM1599" s="455"/>
      <c r="AN1599" s="455"/>
      <c r="AO1599" s="455"/>
      <c r="AP1599" s="455"/>
      <c r="AQ1599" s="455"/>
      <c r="AR1599" s="455"/>
      <c r="AS1599" s="456"/>
      <c r="AT1599" s="511"/>
      <c r="AU1599" s="482"/>
      <c r="AV1599" s="482"/>
      <c r="AW1599" s="482"/>
      <c r="AX1599" s="482"/>
      <c r="AY1599" s="482"/>
      <c r="AZ1599" s="482"/>
      <c r="BA1599" s="482"/>
      <c r="BB1599" s="482"/>
      <c r="BC1599" s="482"/>
      <c r="BD1599" s="482"/>
      <c r="BE1599" s="482"/>
      <c r="BF1599" s="482"/>
      <c r="BG1599" s="482"/>
      <c r="BH1599" s="482"/>
      <c r="BI1599" s="482"/>
      <c r="BJ1599" s="482"/>
      <c r="BK1599" s="482"/>
      <c r="BL1599" s="483"/>
      <c r="BM1599" s="1647">
        <f>+Y1599+AT1599</f>
        <v>0</v>
      </c>
      <c r="BN1599" s="1648"/>
      <c r="BO1599" s="1648"/>
      <c r="BP1599" s="1648"/>
      <c r="BQ1599" s="1648"/>
      <c r="BR1599" s="1648"/>
      <c r="BS1599" s="1648"/>
      <c r="BT1599" s="1648"/>
      <c r="BU1599" s="1648"/>
      <c r="BV1599" s="1648"/>
      <c r="BW1599" s="1648"/>
      <c r="BX1599" s="1648"/>
      <c r="BY1599" s="1648"/>
      <c r="BZ1599" s="1649"/>
      <c r="CA1599" s="270"/>
      <c r="CB1599" s="3" t="str">
        <f t="shared" si="250"/>
        <v>Riadok bude skrytý.</v>
      </c>
      <c r="CC1599" s="271" t="s">
        <v>937</v>
      </c>
      <c r="CW1599" s="30">
        <f t="shared" si="249"/>
        <v>1</v>
      </c>
      <c r="CX1599" s="30">
        <f t="shared" si="251"/>
        <v>1</v>
      </c>
      <c r="CZ1599" s="30">
        <f t="shared" si="245"/>
        <v>0</v>
      </c>
      <c r="DA1599" s="52">
        <f t="shared" si="252"/>
        <v>0</v>
      </c>
      <c r="DB1599" s="2">
        <f t="shared" si="247"/>
        <v>0</v>
      </c>
      <c r="DS1599" s="130">
        <f>SI!BY1599</f>
        <v>157</v>
      </c>
      <c r="DZ1599" s="131">
        <f>SI!BZ1599</f>
        <v>0</v>
      </c>
    </row>
    <row r="1600" spans="1:130" hidden="1" x14ac:dyDescent="0.25">
      <c r="A1600" s="141"/>
      <c r="B1600" s="1641" t="s">
        <v>198</v>
      </c>
      <c r="C1600" s="1642"/>
      <c r="D1600" s="1642"/>
      <c r="E1600" s="1642"/>
      <c r="F1600" s="1642"/>
      <c r="G1600" s="1642"/>
      <c r="H1600" s="1642"/>
      <c r="I1600" s="1642"/>
      <c r="J1600" s="1642"/>
      <c r="K1600" s="1642"/>
      <c r="L1600" s="1642"/>
      <c r="M1600" s="1642"/>
      <c r="N1600" s="1642"/>
      <c r="O1600" s="1642"/>
      <c r="P1600" s="1642"/>
      <c r="Q1600" s="1642"/>
      <c r="R1600" s="1642"/>
      <c r="S1600" s="1642"/>
      <c r="T1600" s="1642"/>
      <c r="U1600" s="1642"/>
      <c r="V1600" s="1642"/>
      <c r="W1600" s="1642"/>
      <c r="X1600" s="1643"/>
      <c r="Y1600" s="423">
        <f>+SUM(Y1595:AS1599)</f>
        <v>0</v>
      </c>
      <c r="Z1600" s="424"/>
      <c r="AA1600" s="424"/>
      <c r="AB1600" s="424"/>
      <c r="AC1600" s="424"/>
      <c r="AD1600" s="424"/>
      <c r="AE1600" s="424"/>
      <c r="AF1600" s="424"/>
      <c r="AG1600" s="424"/>
      <c r="AH1600" s="424"/>
      <c r="AI1600" s="424"/>
      <c r="AJ1600" s="424"/>
      <c r="AK1600" s="424"/>
      <c r="AL1600" s="424"/>
      <c r="AM1600" s="424"/>
      <c r="AN1600" s="424"/>
      <c r="AO1600" s="424"/>
      <c r="AP1600" s="424"/>
      <c r="AQ1600" s="424"/>
      <c r="AR1600" s="424"/>
      <c r="AS1600" s="425"/>
      <c r="AT1600" s="423">
        <f>+SUM(AT1595:BL1599)</f>
        <v>0</v>
      </c>
      <c r="AU1600" s="424"/>
      <c r="AV1600" s="424"/>
      <c r="AW1600" s="424"/>
      <c r="AX1600" s="424"/>
      <c r="AY1600" s="424"/>
      <c r="AZ1600" s="424"/>
      <c r="BA1600" s="424"/>
      <c r="BB1600" s="424"/>
      <c r="BC1600" s="424"/>
      <c r="BD1600" s="424"/>
      <c r="BE1600" s="424"/>
      <c r="BF1600" s="424"/>
      <c r="BG1600" s="424"/>
      <c r="BH1600" s="424"/>
      <c r="BI1600" s="424"/>
      <c r="BJ1600" s="424"/>
      <c r="BK1600" s="424"/>
      <c r="BL1600" s="425"/>
      <c r="BM1600" s="423">
        <f>+SUM(BM1595:BZ1599)</f>
        <v>0</v>
      </c>
      <c r="BN1600" s="424"/>
      <c r="BO1600" s="424"/>
      <c r="BP1600" s="424"/>
      <c r="BQ1600" s="424"/>
      <c r="BR1600" s="424"/>
      <c r="BS1600" s="424"/>
      <c r="BT1600" s="424"/>
      <c r="BU1600" s="424"/>
      <c r="BV1600" s="424"/>
      <c r="BW1600" s="424"/>
      <c r="BX1600" s="424"/>
      <c r="BY1600" s="424"/>
      <c r="BZ1600" s="425"/>
      <c r="CA1600" s="270"/>
      <c r="CB1600" s="3" t="str">
        <f t="shared" si="250"/>
        <v>Riadok bude skrytý.</v>
      </c>
      <c r="CC1600" s="271" t="s">
        <v>937</v>
      </c>
      <c r="CW1600" s="30">
        <f t="shared" si="249"/>
        <v>1</v>
      </c>
      <c r="CX1600" s="30">
        <f t="shared" si="251"/>
        <v>1</v>
      </c>
      <c r="CZ1600" s="30">
        <f t="shared" si="245"/>
        <v>0</v>
      </c>
      <c r="DA1600" s="52">
        <f t="shared" si="252"/>
        <v>0</v>
      </c>
      <c r="DB1600" s="2">
        <f t="shared" si="247"/>
        <v>0</v>
      </c>
      <c r="DS1600" s="130">
        <f>SI!BY1600</f>
        <v>206</v>
      </c>
      <c r="DZ1600" s="131">
        <f>SI!BZ1600</f>
        <v>0</v>
      </c>
    </row>
    <row r="1601" spans="1:130" hidden="1" x14ac:dyDescent="0.25">
      <c r="A1601" s="141"/>
      <c r="B1601" s="579" t="s">
        <v>199</v>
      </c>
      <c r="C1601" s="580"/>
      <c r="D1601" s="580"/>
      <c r="E1601" s="580"/>
      <c r="F1601" s="580"/>
      <c r="G1601" s="580"/>
      <c r="H1601" s="580"/>
      <c r="I1601" s="580"/>
      <c r="J1601" s="580"/>
      <c r="K1601" s="580"/>
      <c r="L1601" s="580"/>
      <c r="M1601" s="580"/>
      <c r="N1601" s="580"/>
      <c r="O1601" s="580"/>
      <c r="P1601" s="580"/>
      <c r="Q1601" s="580"/>
      <c r="R1601" s="580"/>
      <c r="S1601" s="580"/>
      <c r="T1601" s="580"/>
      <c r="U1601" s="580"/>
      <c r="V1601" s="580"/>
      <c r="W1601" s="580"/>
      <c r="X1601" s="580"/>
      <c r="Y1601" s="580"/>
      <c r="Z1601" s="580"/>
      <c r="AA1601" s="580"/>
      <c r="AB1601" s="580"/>
      <c r="AC1601" s="580"/>
      <c r="AD1601" s="580"/>
      <c r="AE1601" s="580"/>
      <c r="AF1601" s="580"/>
      <c r="AG1601" s="580"/>
      <c r="AH1601" s="580"/>
      <c r="AI1601" s="580"/>
      <c r="AJ1601" s="580"/>
      <c r="AK1601" s="580"/>
      <c r="AL1601" s="580"/>
      <c r="AM1601" s="580"/>
      <c r="AN1601" s="580"/>
      <c r="AO1601" s="580"/>
      <c r="AP1601" s="580"/>
      <c r="AQ1601" s="580"/>
      <c r="AR1601" s="580"/>
      <c r="AS1601" s="580"/>
      <c r="AT1601" s="580"/>
      <c r="AU1601" s="580"/>
      <c r="AV1601" s="580"/>
      <c r="AW1601" s="580"/>
      <c r="AX1601" s="580"/>
      <c r="AY1601" s="580"/>
      <c r="AZ1601" s="580"/>
      <c r="BA1601" s="580"/>
      <c r="BB1601" s="580"/>
      <c r="BC1601" s="580"/>
      <c r="BD1601" s="580"/>
      <c r="BE1601" s="580"/>
      <c r="BF1601" s="580"/>
      <c r="BG1601" s="580"/>
      <c r="BH1601" s="580"/>
      <c r="BI1601" s="580"/>
      <c r="BJ1601" s="580"/>
      <c r="BK1601" s="580"/>
      <c r="BL1601" s="580"/>
      <c r="BM1601" s="580"/>
      <c r="BN1601" s="580"/>
      <c r="BO1601" s="580"/>
      <c r="BP1601" s="580"/>
      <c r="BQ1601" s="580"/>
      <c r="BR1601" s="580"/>
      <c r="BS1601" s="580"/>
      <c r="BT1601" s="580"/>
      <c r="BU1601" s="580"/>
      <c r="BV1601" s="580"/>
      <c r="BW1601" s="580"/>
      <c r="BX1601" s="580"/>
      <c r="BY1601" s="580"/>
      <c r="BZ1601" s="581"/>
      <c r="CA1601" s="270"/>
      <c r="CB1601" s="3" t="str">
        <f t="shared" si="250"/>
        <v>Riadok bude skrytý.</v>
      </c>
      <c r="CC1601" s="271" t="s">
        <v>937</v>
      </c>
      <c r="CW1601" s="30">
        <f t="shared" si="249"/>
        <v>1</v>
      </c>
      <c r="CX1601" s="30">
        <f t="shared" si="251"/>
        <v>1</v>
      </c>
      <c r="CZ1601" s="30">
        <f t="shared" si="245"/>
        <v>0</v>
      </c>
      <c r="DA1601" s="52">
        <f t="shared" si="252"/>
        <v>0</v>
      </c>
      <c r="DB1601" s="2">
        <f t="shared" si="247"/>
        <v>0</v>
      </c>
      <c r="DS1601" s="130">
        <f>SI!BY1601</f>
        <v>515</v>
      </c>
      <c r="DZ1601" s="131">
        <f>SI!BZ1601</f>
        <v>0</v>
      </c>
    </row>
    <row r="1602" spans="1:130" hidden="1" x14ac:dyDescent="0.25">
      <c r="A1602" s="141"/>
      <c r="B1602" s="814" t="s">
        <v>189</v>
      </c>
      <c r="C1602" s="815"/>
      <c r="D1602" s="815"/>
      <c r="E1602" s="815"/>
      <c r="F1602" s="815"/>
      <c r="G1602" s="815"/>
      <c r="H1602" s="815"/>
      <c r="I1602" s="815"/>
      <c r="J1602" s="815"/>
      <c r="K1602" s="815"/>
      <c r="L1602" s="815"/>
      <c r="M1602" s="815"/>
      <c r="N1602" s="815"/>
      <c r="O1602" s="815"/>
      <c r="P1602" s="815"/>
      <c r="Q1602" s="815"/>
      <c r="R1602" s="815"/>
      <c r="S1602" s="815"/>
      <c r="T1602" s="815"/>
      <c r="U1602" s="815"/>
      <c r="V1602" s="815"/>
      <c r="W1602" s="815"/>
      <c r="X1602" s="1661"/>
      <c r="Y1602" s="417"/>
      <c r="Z1602" s="418"/>
      <c r="AA1602" s="418"/>
      <c r="AB1602" s="418"/>
      <c r="AC1602" s="418"/>
      <c r="AD1602" s="418"/>
      <c r="AE1602" s="418"/>
      <c r="AF1602" s="418"/>
      <c r="AG1602" s="418"/>
      <c r="AH1602" s="418"/>
      <c r="AI1602" s="418"/>
      <c r="AJ1602" s="418"/>
      <c r="AK1602" s="418"/>
      <c r="AL1602" s="418"/>
      <c r="AM1602" s="418"/>
      <c r="AN1602" s="418"/>
      <c r="AO1602" s="418"/>
      <c r="AP1602" s="418"/>
      <c r="AQ1602" s="418"/>
      <c r="AR1602" s="418"/>
      <c r="AS1602" s="419"/>
      <c r="AT1602" s="417"/>
      <c r="AU1602" s="418"/>
      <c r="AV1602" s="418"/>
      <c r="AW1602" s="418"/>
      <c r="AX1602" s="418"/>
      <c r="AY1602" s="418"/>
      <c r="AZ1602" s="418"/>
      <c r="BA1602" s="418"/>
      <c r="BB1602" s="418"/>
      <c r="BC1602" s="418"/>
      <c r="BD1602" s="418"/>
      <c r="BE1602" s="418"/>
      <c r="BF1602" s="418"/>
      <c r="BG1602" s="418"/>
      <c r="BH1602" s="418"/>
      <c r="BI1602" s="418"/>
      <c r="BJ1602" s="418"/>
      <c r="BK1602" s="418"/>
      <c r="BL1602" s="419"/>
      <c r="BM1602" s="1633">
        <f t="shared" ref="BM1602:BM1608" si="253">+Y1602+AT1602</f>
        <v>0</v>
      </c>
      <c r="BN1602" s="1634"/>
      <c r="BO1602" s="1634"/>
      <c r="BP1602" s="1634"/>
      <c r="BQ1602" s="1634"/>
      <c r="BR1602" s="1634"/>
      <c r="BS1602" s="1634"/>
      <c r="BT1602" s="1634"/>
      <c r="BU1602" s="1634"/>
      <c r="BV1602" s="1634"/>
      <c r="BW1602" s="1634"/>
      <c r="BX1602" s="1634"/>
      <c r="BY1602" s="1634"/>
      <c r="BZ1602" s="1635"/>
      <c r="CA1602" s="270"/>
      <c r="CB1602" s="3" t="str">
        <f t="shared" si="250"/>
        <v>Riadok bude skrytý.</v>
      </c>
      <c r="CC1602" s="271" t="s">
        <v>937</v>
      </c>
      <c r="CW1602" s="30">
        <f t="shared" si="249"/>
        <v>1</v>
      </c>
      <c r="CX1602" s="30">
        <f t="shared" si="251"/>
        <v>1</v>
      </c>
      <c r="CZ1602" s="30">
        <f t="shared" si="245"/>
        <v>0</v>
      </c>
      <c r="DA1602" s="52">
        <f t="shared" si="252"/>
        <v>0</v>
      </c>
      <c r="DB1602" s="2">
        <f t="shared" si="247"/>
        <v>0</v>
      </c>
      <c r="DS1602" s="130">
        <f>SI!BY1602</f>
        <v>178</v>
      </c>
      <c r="DZ1602" s="131">
        <f>SI!BZ1602</f>
        <v>0</v>
      </c>
    </row>
    <row r="1603" spans="1:130" ht="33.799999999999997" hidden="1" customHeight="1" x14ac:dyDescent="0.25">
      <c r="A1603" s="141"/>
      <c r="B1603" s="1624" t="s">
        <v>197</v>
      </c>
      <c r="C1603" s="1625"/>
      <c r="D1603" s="1625"/>
      <c r="E1603" s="1625"/>
      <c r="F1603" s="1625"/>
      <c r="G1603" s="1625"/>
      <c r="H1603" s="1625"/>
      <c r="I1603" s="1625"/>
      <c r="J1603" s="1625"/>
      <c r="K1603" s="1625"/>
      <c r="L1603" s="1625"/>
      <c r="M1603" s="1625"/>
      <c r="N1603" s="1625"/>
      <c r="O1603" s="1625"/>
      <c r="P1603" s="1625"/>
      <c r="Q1603" s="1625"/>
      <c r="R1603" s="1625"/>
      <c r="S1603" s="1625"/>
      <c r="T1603" s="1625"/>
      <c r="U1603" s="1625"/>
      <c r="V1603" s="1625"/>
      <c r="W1603" s="1625"/>
      <c r="X1603" s="1626"/>
      <c r="Y1603" s="511"/>
      <c r="Z1603" s="482"/>
      <c r="AA1603" s="482"/>
      <c r="AB1603" s="482"/>
      <c r="AC1603" s="482"/>
      <c r="AD1603" s="482"/>
      <c r="AE1603" s="482"/>
      <c r="AF1603" s="482"/>
      <c r="AG1603" s="482"/>
      <c r="AH1603" s="482"/>
      <c r="AI1603" s="482"/>
      <c r="AJ1603" s="482"/>
      <c r="AK1603" s="482"/>
      <c r="AL1603" s="482"/>
      <c r="AM1603" s="482"/>
      <c r="AN1603" s="482"/>
      <c r="AO1603" s="482"/>
      <c r="AP1603" s="482"/>
      <c r="AQ1603" s="482"/>
      <c r="AR1603" s="482"/>
      <c r="AS1603" s="483"/>
      <c r="AT1603" s="511"/>
      <c r="AU1603" s="482"/>
      <c r="AV1603" s="482"/>
      <c r="AW1603" s="482"/>
      <c r="AX1603" s="482"/>
      <c r="AY1603" s="482"/>
      <c r="AZ1603" s="482"/>
      <c r="BA1603" s="482"/>
      <c r="BB1603" s="482"/>
      <c r="BC1603" s="482"/>
      <c r="BD1603" s="482"/>
      <c r="BE1603" s="482"/>
      <c r="BF1603" s="482"/>
      <c r="BG1603" s="482"/>
      <c r="BH1603" s="482"/>
      <c r="BI1603" s="482"/>
      <c r="BJ1603" s="482"/>
      <c r="BK1603" s="482"/>
      <c r="BL1603" s="483"/>
      <c r="BM1603" s="398">
        <f t="shared" si="253"/>
        <v>0</v>
      </c>
      <c r="BN1603" s="399"/>
      <c r="BO1603" s="399"/>
      <c r="BP1603" s="399"/>
      <c r="BQ1603" s="399"/>
      <c r="BR1603" s="399"/>
      <c r="BS1603" s="399"/>
      <c r="BT1603" s="399"/>
      <c r="BU1603" s="399"/>
      <c r="BV1603" s="399"/>
      <c r="BW1603" s="399"/>
      <c r="BX1603" s="399"/>
      <c r="BY1603" s="399"/>
      <c r="BZ1603" s="400"/>
      <c r="CA1603" s="270"/>
      <c r="CB1603" s="3" t="str">
        <f t="shared" si="250"/>
        <v>Riadok bude skrytý.</v>
      </c>
      <c r="CC1603" s="271" t="s">
        <v>937</v>
      </c>
      <c r="CW1603" s="30">
        <f t="shared" si="249"/>
        <v>1</v>
      </c>
      <c r="CX1603" s="30">
        <f t="shared" si="251"/>
        <v>1</v>
      </c>
      <c r="CZ1603" s="30">
        <f t="shared" si="245"/>
        <v>0</v>
      </c>
      <c r="DA1603" s="52">
        <f t="shared" si="252"/>
        <v>0</v>
      </c>
      <c r="DB1603" s="2">
        <f t="shared" si="247"/>
        <v>0</v>
      </c>
      <c r="DS1603" s="130">
        <f>SI!BY1603</f>
        <v>124</v>
      </c>
      <c r="DZ1603" s="131">
        <f>SI!BZ1603</f>
        <v>0</v>
      </c>
    </row>
    <row r="1604" spans="1:130" ht="25.5" hidden="1" customHeight="1" x14ac:dyDescent="0.25">
      <c r="A1604" s="141"/>
      <c r="B1604" s="1624" t="s">
        <v>190</v>
      </c>
      <c r="C1604" s="1625"/>
      <c r="D1604" s="1625"/>
      <c r="E1604" s="1625"/>
      <c r="F1604" s="1625"/>
      <c r="G1604" s="1625"/>
      <c r="H1604" s="1625"/>
      <c r="I1604" s="1625"/>
      <c r="J1604" s="1625"/>
      <c r="K1604" s="1625"/>
      <c r="L1604" s="1625"/>
      <c r="M1604" s="1625"/>
      <c r="N1604" s="1625"/>
      <c r="O1604" s="1625"/>
      <c r="P1604" s="1625"/>
      <c r="Q1604" s="1625"/>
      <c r="R1604" s="1625"/>
      <c r="S1604" s="1625"/>
      <c r="T1604" s="1625"/>
      <c r="U1604" s="1625"/>
      <c r="V1604" s="1625"/>
      <c r="W1604" s="1625"/>
      <c r="X1604" s="1626"/>
      <c r="Y1604" s="511"/>
      <c r="Z1604" s="482"/>
      <c r="AA1604" s="482"/>
      <c r="AB1604" s="482"/>
      <c r="AC1604" s="482"/>
      <c r="AD1604" s="482"/>
      <c r="AE1604" s="482"/>
      <c r="AF1604" s="482"/>
      <c r="AG1604" s="482"/>
      <c r="AH1604" s="482"/>
      <c r="AI1604" s="482"/>
      <c r="AJ1604" s="482"/>
      <c r="AK1604" s="482"/>
      <c r="AL1604" s="482"/>
      <c r="AM1604" s="482"/>
      <c r="AN1604" s="482"/>
      <c r="AO1604" s="482"/>
      <c r="AP1604" s="482"/>
      <c r="AQ1604" s="482"/>
      <c r="AR1604" s="482"/>
      <c r="AS1604" s="483"/>
      <c r="AT1604" s="511"/>
      <c r="AU1604" s="482"/>
      <c r="AV1604" s="482"/>
      <c r="AW1604" s="482"/>
      <c r="AX1604" s="482"/>
      <c r="AY1604" s="482"/>
      <c r="AZ1604" s="482"/>
      <c r="BA1604" s="482"/>
      <c r="BB1604" s="482"/>
      <c r="BC1604" s="482"/>
      <c r="BD1604" s="482"/>
      <c r="BE1604" s="482"/>
      <c r="BF1604" s="482"/>
      <c r="BG1604" s="482"/>
      <c r="BH1604" s="482"/>
      <c r="BI1604" s="482"/>
      <c r="BJ1604" s="482"/>
      <c r="BK1604" s="482"/>
      <c r="BL1604" s="483"/>
      <c r="BM1604" s="398">
        <f t="shared" si="253"/>
        <v>0</v>
      </c>
      <c r="BN1604" s="399"/>
      <c r="BO1604" s="399"/>
      <c r="BP1604" s="399"/>
      <c r="BQ1604" s="399"/>
      <c r="BR1604" s="399"/>
      <c r="BS1604" s="399"/>
      <c r="BT1604" s="399"/>
      <c r="BU1604" s="399"/>
      <c r="BV1604" s="399"/>
      <c r="BW1604" s="399"/>
      <c r="BX1604" s="399"/>
      <c r="BY1604" s="399"/>
      <c r="BZ1604" s="400"/>
      <c r="CA1604" s="270"/>
      <c r="CB1604" s="3" t="str">
        <f t="shared" si="250"/>
        <v>Riadok bude skrytý.</v>
      </c>
      <c r="CC1604" s="271" t="s">
        <v>937</v>
      </c>
      <c r="CW1604" s="30">
        <f t="shared" si="249"/>
        <v>1</v>
      </c>
      <c r="CX1604" s="30">
        <f t="shared" si="251"/>
        <v>1</v>
      </c>
      <c r="CZ1604" s="30">
        <f t="shared" si="245"/>
        <v>0</v>
      </c>
      <c r="DA1604" s="52">
        <f t="shared" si="252"/>
        <v>0</v>
      </c>
      <c r="DB1604" s="2">
        <f t="shared" si="247"/>
        <v>0</v>
      </c>
      <c r="DS1604" s="130">
        <f>SI!BY1604</f>
        <v>203</v>
      </c>
      <c r="DZ1604" s="131">
        <f>SI!BZ1604</f>
        <v>0</v>
      </c>
    </row>
    <row r="1605" spans="1:130" ht="23.3" hidden="1" customHeight="1" x14ac:dyDescent="0.25">
      <c r="A1605" s="141"/>
      <c r="B1605" s="1624" t="s">
        <v>191</v>
      </c>
      <c r="C1605" s="1625"/>
      <c r="D1605" s="1625"/>
      <c r="E1605" s="1625"/>
      <c r="F1605" s="1625"/>
      <c r="G1605" s="1625"/>
      <c r="H1605" s="1625"/>
      <c r="I1605" s="1625"/>
      <c r="J1605" s="1625"/>
      <c r="K1605" s="1625"/>
      <c r="L1605" s="1625"/>
      <c r="M1605" s="1625"/>
      <c r="N1605" s="1625"/>
      <c r="O1605" s="1625"/>
      <c r="P1605" s="1625"/>
      <c r="Q1605" s="1625"/>
      <c r="R1605" s="1625"/>
      <c r="S1605" s="1625"/>
      <c r="T1605" s="1625"/>
      <c r="U1605" s="1625"/>
      <c r="V1605" s="1625"/>
      <c r="W1605" s="1625"/>
      <c r="X1605" s="1626"/>
      <c r="Y1605" s="511"/>
      <c r="Z1605" s="482"/>
      <c r="AA1605" s="482"/>
      <c r="AB1605" s="482"/>
      <c r="AC1605" s="482"/>
      <c r="AD1605" s="482"/>
      <c r="AE1605" s="482"/>
      <c r="AF1605" s="482"/>
      <c r="AG1605" s="482"/>
      <c r="AH1605" s="482"/>
      <c r="AI1605" s="482"/>
      <c r="AJ1605" s="482"/>
      <c r="AK1605" s="482"/>
      <c r="AL1605" s="482"/>
      <c r="AM1605" s="482"/>
      <c r="AN1605" s="482"/>
      <c r="AO1605" s="482"/>
      <c r="AP1605" s="482"/>
      <c r="AQ1605" s="482"/>
      <c r="AR1605" s="482"/>
      <c r="AS1605" s="483"/>
      <c r="AT1605" s="511"/>
      <c r="AU1605" s="482"/>
      <c r="AV1605" s="482"/>
      <c r="AW1605" s="482"/>
      <c r="AX1605" s="482"/>
      <c r="AY1605" s="482"/>
      <c r="AZ1605" s="482"/>
      <c r="BA1605" s="482"/>
      <c r="BB1605" s="482"/>
      <c r="BC1605" s="482"/>
      <c r="BD1605" s="482"/>
      <c r="BE1605" s="482"/>
      <c r="BF1605" s="482"/>
      <c r="BG1605" s="482"/>
      <c r="BH1605" s="482"/>
      <c r="BI1605" s="482"/>
      <c r="BJ1605" s="482"/>
      <c r="BK1605" s="482"/>
      <c r="BL1605" s="483"/>
      <c r="BM1605" s="398">
        <f t="shared" si="253"/>
        <v>0</v>
      </c>
      <c r="BN1605" s="399"/>
      <c r="BO1605" s="399"/>
      <c r="BP1605" s="399"/>
      <c r="BQ1605" s="399"/>
      <c r="BR1605" s="399"/>
      <c r="BS1605" s="399"/>
      <c r="BT1605" s="399"/>
      <c r="BU1605" s="399"/>
      <c r="BV1605" s="399"/>
      <c r="BW1605" s="399"/>
      <c r="BX1605" s="399"/>
      <c r="BY1605" s="399"/>
      <c r="BZ1605" s="400"/>
      <c r="CA1605" s="270"/>
      <c r="CB1605" s="3" t="str">
        <f t="shared" si="250"/>
        <v>Riadok bude skrytý.</v>
      </c>
      <c r="CC1605" s="271" t="s">
        <v>937</v>
      </c>
      <c r="CW1605" s="30">
        <f t="shared" si="249"/>
        <v>1</v>
      </c>
      <c r="CX1605" s="30">
        <f t="shared" si="251"/>
        <v>1</v>
      </c>
      <c r="CZ1605" s="30">
        <f t="shared" si="245"/>
        <v>0</v>
      </c>
      <c r="DA1605" s="52">
        <f t="shared" si="252"/>
        <v>0</v>
      </c>
      <c r="DB1605" s="2">
        <f t="shared" si="247"/>
        <v>0</v>
      </c>
      <c r="DS1605" s="130">
        <f>SI!BY1605</f>
        <v>621</v>
      </c>
      <c r="DZ1605" s="131">
        <f>SI!BZ1605</f>
        <v>0</v>
      </c>
    </row>
    <row r="1606" spans="1:130" ht="14.95" hidden="1" customHeight="1" x14ac:dyDescent="0.25">
      <c r="A1606" s="141"/>
      <c r="B1606" s="717" t="s">
        <v>200</v>
      </c>
      <c r="C1606" s="718"/>
      <c r="D1606" s="718"/>
      <c r="E1606" s="718"/>
      <c r="F1606" s="718"/>
      <c r="G1606" s="718"/>
      <c r="H1606" s="718"/>
      <c r="I1606" s="718"/>
      <c r="J1606" s="718"/>
      <c r="K1606" s="718"/>
      <c r="L1606" s="718"/>
      <c r="M1606" s="718"/>
      <c r="N1606" s="718"/>
      <c r="O1606" s="718"/>
      <c r="P1606" s="718"/>
      <c r="Q1606" s="718"/>
      <c r="R1606" s="718"/>
      <c r="S1606" s="718"/>
      <c r="T1606" s="718"/>
      <c r="U1606" s="718"/>
      <c r="V1606" s="718"/>
      <c r="W1606" s="718"/>
      <c r="X1606" s="719"/>
      <c r="Y1606" s="511"/>
      <c r="Z1606" s="482"/>
      <c r="AA1606" s="482"/>
      <c r="AB1606" s="482"/>
      <c r="AC1606" s="482"/>
      <c r="AD1606" s="482"/>
      <c r="AE1606" s="482"/>
      <c r="AF1606" s="482"/>
      <c r="AG1606" s="482"/>
      <c r="AH1606" s="482"/>
      <c r="AI1606" s="482"/>
      <c r="AJ1606" s="482"/>
      <c r="AK1606" s="482"/>
      <c r="AL1606" s="482"/>
      <c r="AM1606" s="482"/>
      <c r="AN1606" s="482"/>
      <c r="AO1606" s="482"/>
      <c r="AP1606" s="482"/>
      <c r="AQ1606" s="482"/>
      <c r="AR1606" s="482"/>
      <c r="AS1606" s="483"/>
      <c r="AT1606" s="511"/>
      <c r="AU1606" s="482"/>
      <c r="AV1606" s="482"/>
      <c r="AW1606" s="482"/>
      <c r="AX1606" s="482"/>
      <c r="AY1606" s="482"/>
      <c r="AZ1606" s="482"/>
      <c r="BA1606" s="482"/>
      <c r="BB1606" s="482"/>
      <c r="BC1606" s="482"/>
      <c r="BD1606" s="482"/>
      <c r="BE1606" s="482"/>
      <c r="BF1606" s="482"/>
      <c r="BG1606" s="482"/>
      <c r="BH1606" s="482"/>
      <c r="BI1606" s="482"/>
      <c r="BJ1606" s="482"/>
      <c r="BK1606" s="482"/>
      <c r="BL1606" s="483"/>
      <c r="BM1606" s="398">
        <f t="shared" si="253"/>
        <v>0</v>
      </c>
      <c r="BN1606" s="399"/>
      <c r="BO1606" s="399"/>
      <c r="BP1606" s="399"/>
      <c r="BQ1606" s="399"/>
      <c r="BR1606" s="399"/>
      <c r="BS1606" s="399"/>
      <c r="BT1606" s="399"/>
      <c r="BU1606" s="399"/>
      <c r="BV1606" s="399"/>
      <c r="BW1606" s="399"/>
      <c r="BX1606" s="399"/>
      <c r="BY1606" s="399"/>
      <c r="BZ1606" s="400"/>
      <c r="CA1606" s="270"/>
      <c r="CB1606" s="3" t="str">
        <f t="shared" si="250"/>
        <v>Riadok bude skrytý.</v>
      </c>
      <c r="CC1606" s="271" t="s">
        <v>937</v>
      </c>
      <c r="CW1606" s="30">
        <f t="shared" si="249"/>
        <v>1</v>
      </c>
      <c r="CX1606" s="30">
        <f t="shared" si="251"/>
        <v>1</v>
      </c>
      <c r="CZ1606" s="30">
        <f t="shared" si="245"/>
        <v>0</v>
      </c>
      <c r="DA1606" s="52">
        <f t="shared" si="252"/>
        <v>0</v>
      </c>
      <c r="DB1606" s="2">
        <f t="shared" si="247"/>
        <v>0</v>
      </c>
      <c r="DS1606" s="130">
        <f>SI!BY1606</f>
        <v>162</v>
      </c>
      <c r="DZ1606" s="131">
        <f>SI!BZ1606</f>
        <v>0</v>
      </c>
    </row>
    <row r="1607" spans="1:130" ht="14.95" hidden="1" customHeight="1" x14ac:dyDescent="0.25">
      <c r="A1607" s="141"/>
      <c r="B1607" s="717" t="s">
        <v>201</v>
      </c>
      <c r="C1607" s="718"/>
      <c r="D1607" s="718"/>
      <c r="E1607" s="718"/>
      <c r="F1607" s="718"/>
      <c r="G1607" s="718"/>
      <c r="H1607" s="718"/>
      <c r="I1607" s="718"/>
      <c r="J1607" s="718"/>
      <c r="K1607" s="718"/>
      <c r="L1607" s="718"/>
      <c r="M1607" s="718"/>
      <c r="N1607" s="718"/>
      <c r="O1607" s="718"/>
      <c r="P1607" s="718"/>
      <c r="Q1607" s="718"/>
      <c r="R1607" s="718"/>
      <c r="S1607" s="718"/>
      <c r="T1607" s="718"/>
      <c r="U1607" s="718"/>
      <c r="V1607" s="718"/>
      <c r="W1607" s="718"/>
      <c r="X1607" s="719"/>
      <c r="Y1607" s="511"/>
      <c r="Z1607" s="482"/>
      <c r="AA1607" s="482"/>
      <c r="AB1607" s="482"/>
      <c r="AC1607" s="482"/>
      <c r="AD1607" s="482"/>
      <c r="AE1607" s="482"/>
      <c r="AF1607" s="482"/>
      <c r="AG1607" s="482"/>
      <c r="AH1607" s="482"/>
      <c r="AI1607" s="482"/>
      <c r="AJ1607" s="482"/>
      <c r="AK1607" s="482"/>
      <c r="AL1607" s="482"/>
      <c r="AM1607" s="482"/>
      <c r="AN1607" s="482"/>
      <c r="AO1607" s="482"/>
      <c r="AP1607" s="482"/>
      <c r="AQ1607" s="482"/>
      <c r="AR1607" s="482"/>
      <c r="AS1607" s="483"/>
      <c r="AT1607" s="511"/>
      <c r="AU1607" s="482"/>
      <c r="AV1607" s="482"/>
      <c r="AW1607" s="482"/>
      <c r="AX1607" s="482"/>
      <c r="AY1607" s="482"/>
      <c r="AZ1607" s="482"/>
      <c r="BA1607" s="482"/>
      <c r="BB1607" s="482"/>
      <c r="BC1607" s="482"/>
      <c r="BD1607" s="482"/>
      <c r="BE1607" s="482"/>
      <c r="BF1607" s="482"/>
      <c r="BG1607" s="482"/>
      <c r="BH1607" s="482"/>
      <c r="BI1607" s="482"/>
      <c r="BJ1607" s="482"/>
      <c r="BK1607" s="482"/>
      <c r="BL1607" s="483"/>
      <c r="BM1607" s="398">
        <f t="shared" si="253"/>
        <v>0</v>
      </c>
      <c r="BN1607" s="399"/>
      <c r="BO1607" s="399"/>
      <c r="BP1607" s="399"/>
      <c r="BQ1607" s="399"/>
      <c r="BR1607" s="399"/>
      <c r="BS1607" s="399"/>
      <c r="BT1607" s="399"/>
      <c r="BU1607" s="399"/>
      <c r="BV1607" s="399"/>
      <c r="BW1607" s="399"/>
      <c r="BX1607" s="399"/>
      <c r="BY1607" s="399"/>
      <c r="BZ1607" s="400"/>
      <c r="CA1607" s="270"/>
      <c r="CB1607" s="3" t="str">
        <f t="shared" si="250"/>
        <v>Riadok bude skrytý.</v>
      </c>
      <c r="CC1607" s="271" t="s">
        <v>937</v>
      </c>
      <c r="CW1607" s="30">
        <f t="shared" si="249"/>
        <v>1</v>
      </c>
      <c r="CX1607" s="30">
        <f t="shared" si="251"/>
        <v>1</v>
      </c>
      <c r="CZ1607" s="30">
        <f t="shared" si="245"/>
        <v>0</v>
      </c>
      <c r="DA1607" s="52">
        <f t="shared" si="252"/>
        <v>0</v>
      </c>
      <c r="DB1607" s="2">
        <f t="shared" si="247"/>
        <v>0</v>
      </c>
      <c r="DS1607" s="130">
        <f>SI!BY1607</f>
        <v>685</v>
      </c>
      <c r="DZ1607" s="131">
        <f>SI!BZ1607</f>
        <v>0</v>
      </c>
    </row>
    <row r="1608" spans="1:130" ht="14.95" hidden="1" customHeight="1" x14ac:dyDescent="0.25">
      <c r="A1608" s="141"/>
      <c r="B1608" s="717" t="s">
        <v>192</v>
      </c>
      <c r="C1608" s="718"/>
      <c r="D1608" s="718"/>
      <c r="E1608" s="718"/>
      <c r="F1608" s="718"/>
      <c r="G1608" s="718"/>
      <c r="H1608" s="718"/>
      <c r="I1608" s="718"/>
      <c r="J1608" s="718"/>
      <c r="K1608" s="718"/>
      <c r="L1608" s="718"/>
      <c r="M1608" s="718"/>
      <c r="N1608" s="718"/>
      <c r="O1608" s="718"/>
      <c r="P1608" s="718"/>
      <c r="Q1608" s="718"/>
      <c r="R1608" s="718"/>
      <c r="S1608" s="718"/>
      <c r="T1608" s="718"/>
      <c r="U1608" s="718"/>
      <c r="V1608" s="718"/>
      <c r="W1608" s="718"/>
      <c r="X1608" s="719"/>
      <c r="Y1608" s="511"/>
      <c r="Z1608" s="482"/>
      <c r="AA1608" s="482"/>
      <c r="AB1608" s="482"/>
      <c r="AC1608" s="482"/>
      <c r="AD1608" s="482"/>
      <c r="AE1608" s="482"/>
      <c r="AF1608" s="482"/>
      <c r="AG1608" s="482"/>
      <c r="AH1608" s="482"/>
      <c r="AI1608" s="482"/>
      <c r="AJ1608" s="482"/>
      <c r="AK1608" s="482"/>
      <c r="AL1608" s="482"/>
      <c r="AM1608" s="482"/>
      <c r="AN1608" s="482"/>
      <c r="AO1608" s="482"/>
      <c r="AP1608" s="482"/>
      <c r="AQ1608" s="482"/>
      <c r="AR1608" s="482"/>
      <c r="AS1608" s="483"/>
      <c r="AT1608" s="511"/>
      <c r="AU1608" s="482"/>
      <c r="AV1608" s="482"/>
      <c r="AW1608" s="482"/>
      <c r="AX1608" s="482"/>
      <c r="AY1608" s="482"/>
      <c r="AZ1608" s="482"/>
      <c r="BA1608" s="482"/>
      <c r="BB1608" s="482"/>
      <c r="BC1608" s="482"/>
      <c r="BD1608" s="482"/>
      <c r="BE1608" s="482"/>
      <c r="BF1608" s="482"/>
      <c r="BG1608" s="482"/>
      <c r="BH1608" s="482"/>
      <c r="BI1608" s="482"/>
      <c r="BJ1608" s="482"/>
      <c r="BK1608" s="482"/>
      <c r="BL1608" s="483"/>
      <c r="BM1608" s="398">
        <f t="shared" si="253"/>
        <v>0</v>
      </c>
      <c r="BN1608" s="399"/>
      <c r="BO1608" s="399"/>
      <c r="BP1608" s="399"/>
      <c r="BQ1608" s="399"/>
      <c r="BR1608" s="399"/>
      <c r="BS1608" s="399"/>
      <c r="BT1608" s="399"/>
      <c r="BU1608" s="399"/>
      <c r="BV1608" s="399"/>
      <c r="BW1608" s="399"/>
      <c r="BX1608" s="399"/>
      <c r="BY1608" s="399"/>
      <c r="BZ1608" s="400"/>
      <c r="CA1608" s="270"/>
      <c r="CB1608" s="3" t="str">
        <f t="shared" si="250"/>
        <v>Riadok bude skrytý.</v>
      </c>
      <c r="CC1608" s="271" t="s">
        <v>937</v>
      </c>
      <c r="CW1608" s="30">
        <f t="shared" si="249"/>
        <v>1</v>
      </c>
      <c r="CX1608" s="30">
        <f t="shared" si="251"/>
        <v>1</v>
      </c>
      <c r="CZ1608" s="30">
        <f t="shared" si="245"/>
        <v>0</v>
      </c>
      <c r="DA1608" s="52">
        <f t="shared" si="252"/>
        <v>0</v>
      </c>
      <c r="DB1608" s="2">
        <f t="shared" si="247"/>
        <v>0</v>
      </c>
      <c r="DS1608" s="130">
        <f>SI!BY1608</f>
        <v>142</v>
      </c>
      <c r="DZ1608" s="131">
        <f>SI!BZ1608</f>
        <v>0</v>
      </c>
    </row>
    <row r="1609" spans="1:130" hidden="1" x14ac:dyDescent="0.25">
      <c r="A1609" s="141"/>
      <c r="B1609" s="1641" t="s">
        <v>202</v>
      </c>
      <c r="C1609" s="1642"/>
      <c r="D1609" s="1642"/>
      <c r="E1609" s="1642"/>
      <c r="F1609" s="1642"/>
      <c r="G1609" s="1642"/>
      <c r="H1609" s="1642"/>
      <c r="I1609" s="1642"/>
      <c r="J1609" s="1642"/>
      <c r="K1609" s="1642"/>
      <c r="L1609" s="1642"/>
      <c r="M1609" s="1642"/>
      <c r="N1609" s="1642"/>
      <c r="O1609" s="1642"/>
      <c r="P1609" s="1642"/>
      <c r="Q1609" s="1642"/>
      <c r="R1609" s="1642"/>
      <c r="S1609" s="1642"/>
      <c r="T1609" s="1642"/>
      <c r="U1609" s="1642"/>
      <c r="V1609" s="1642"/>
      <c r="W1609" s="1642"/>
      <c r="X1609" s="1643"/>
      <c r="Y1609" s="423">
        <f>+SUM(Y1602:AS1608)</f>
        <v>0</v>
      </c>
      <c r="Z1609" s="424"/>
      <c r="AA1609" s="424"/>
      <c r="AB1609" s="424"/>
      <c r="AC1609" s="424"/>
      <c r="AD1609" s="424"/>
      <c r="AE1609" s="424"/>
      <c r="AF1609" s="424"/>
      <c r="AG1609" s="424"/>
      <c r="AH1609" s="424"/>
      <c r="AI1609" s="424"/>
      <c r="AJ1609" s="424"/>
      <c r="AK1609" s="424"/>
      <c r="AL1609" s="424"/>
      <c r="AM1609" s="424"/>
      <c r="AN1609" s="424"/>
      <c r="AO1609" s="424"/>
      <c r="AP1609" s="424"/>
      <c r="AQ1609" s="424"/>
      <c r="AR1609" s="424"/>
      <c r="AS1609" s="425"/>
      <c r="AT1609" s="423">
        <f>+SUM(AT1602:BL1608)</f>
        <v>0</v>
      </c>
      <c r="AU1609" s="424"/>
      <c r="AV1609" s="424"/>
      <c r="AW1609" s="424"/>
      <c r="AX1609" s="424"/>
      <c r="AY1609" s="424"/>
      <c r="AZ1609" s="424"/>
      <c r="BA1609" s="424"/>
      <c r="BB1609" s="424"/>
      <c r="BC1609" s="424"/>
      <c r="BD1609" s="424"/>
      <c r="BE1609" s="424"/>
      <c r="BF1609" s="424"/>
      <c r="BG1609" s="424"/>
      <c r="BH1609" s="424"/>
      <c r="BI1609" s="424"/>
      <c r="BJ1609" s="424"/>
      <c r="BK1609" s="424"/>
      <c r="BL1609" s="425"/>
      <c r="BM1609" s="423">
        <f>+SUM(BM1602:BZ1608)</f>
        <v>0</v>
      </c>
      <c r="BN1609" s="424"/>
      <c r="BO1609" s="424"/>
      <c r="BP1609" s="424"/>
      <c r="BQ1609" s="424"/>
      <c r="BR1609" s="424"/>
      <c r="BS1609" s="424"/>
      <c r="BT1609" s="424"/>
      <c r="BU1609" s="424"/>
      <c r="BV1609" s="424"/>
      <c r="BW1609" s="424"/>
      <c r="BX1609" s="424"/>
      <c r="BY1609" s="424"/>
      <c r="BZ1609" s="425"/>
      <c r="CA1609" s="270"/>
      <c r="CB1609" s="3" t="str">
        <f t="shared" si="250"/>
        <v>Riadok bude skrytý.</v>
      </c>
      <c r="CC1609" s="271" t="s">
        <v>937</v>
      </c>
      <c r="CW1609" s="30">
        <f t="shared" si="249"/>
        <v>1</v>
      </c>
      <c r="CX1609" s="30">
        <f t="shared" si="251"/>
        <v>1</v>
      </c>
      <c r="CZ1609" s="30">
        <f t="shared" si="245"/>
        <v>0</v>
      </c>
      <c r="DA1609" s="52">
        <f t="shared" si="252"/>
        <v>0</v>
      </c>
      <c r="DB1609" s="2">
        <f t="shared" si="247"/>
        <v>0</v>
      </c>
      <c r="DS1609" s="130">
        <f>SI!BY1609</f>
        <v>440</v>
      </c>
      <c r="DZ1609" s="131">
        <f>SI!BZ1609</f>
        <v>0</v>
      </c>
    </row>
    <row r="1610" spans="1:130" hidden="1" x14ac:dyDescent="0.25">
      <c r="A1610" s="141"/>
      <c r="B1610" s="73"/>
      <c r="C1610" s="73"/>
      <c r="D1610" s="73"/>
      <c r="E1610" s="73"/>
      <c r="F1610" s="73"/>
      <c r="G1610" s="73"/>
      <c r="H1610" s="73"/>
      <c r="I1610" s="73"/>
      <c r="J1610" s="73"/>
      <c r="K1610" s="73"/>
      <c r="L1610" s="73"/>
      <c r="M1610" s="73"/>
      <c r="N1610" s="73"/>
      <c r="O1610" s="73"/>
      <c r="P1610" s="73"/>
      <c r="Q1610" s="73"/>
      <c r="R1610" s="73"/>
      <c r="S1610" s="73"/>
      <c r="T1610" s="73"/>
      <c r="U1610" s="73"/>
      <c r="V1610" s="73"/>
      <c r="W1610" s="73"/>
      <c r="X1610" s="73"/>
      <c r="Y1610" s="73"/>
      <c r="Z1610" s="73"/>
      <c r="AA1610" s="73"/>
      <c r="AB1610" s="73"/>
      <c r="AC1610" s="73"/>
      <c r="AD1610" s="73"/>
      <c r="AE1610" s="73"/>
      <c r="AF1610" s="73"/>
      <c r="AG1610" s="73"/>
      <c r="AH1610" s="73"/>
      <c r="AI1610" s="73"/>
      <c r="AJ1610" s="73"/>
      <c r="AK1610" s="73"/>
      <c r="AL1610" s="73"/>
      <c r="AM1610" s="73"/>
      <c r="AN1610" s="73"/>
      <c r="AO1610" s="73"/>
      <c r="AP1610" s="73"/>
      <c r="AQ1610" s="73"/>
      <c r="AR1610" s="73"/>
      <c r="AS1610" s="73"/>
      <c r="AT1610" s="73"/>
      <c r="AU1610" s="73"/>
      <c r="AV1610" s="73"/>
      <c r="AW1610" s="73"/>
      <c r="AX1610" s="73"/>
      <c r="AY1610" s="73"/>
      <c r="AZ1610" s="73"/>
      <c r="BA1610" s="73"/>
      <c r="BB1610" s="73"/>
      <c r="BC1610" s="73"/>
      <c r="BD1610" s="73"/>
      <c r="BE1610" s="73"/>
      <c r="BF1610" s="73"/>
      <c r="BG1610" s="73"/>
      <c r="BH1610" s="73"/>
      <c r="BI1610" s="73"/>
      <c r="BJ1610" s="73"/>
      <c r="BK1610" s="73"/>
      <c r="BL1610" s="73"/>
      <c r="BM1610" s="73"/>
      <c r="BN1610" s="73"/>
      <c r="BO1610" s="73"/>
      <c r="BP1610" s="73"/>
      <c r="BQ1610" s="73"/>
      <c r="BR1610" s="73"/>
      <c r="BS1610" s="73"/>
      <c r="BT1610" s="73"/>
      <c r="BU1610" s="73"/>
      <c r="BV1610" s="73"/>
      <c r="BW1610" s="73"/>
      <c r="BX1610" s="73"/>
      <c r="BY1610" s="73"/>
      <c r="BZ1610" s="73"/>
      <c r="CA1610" s="270"/>
      <c r="CB1610" s="3" t="str">
        <f t="shared" si="250"/>
        <v>Riadok bude skrytý.</v>
      </c>
      <c r="CC1610" s="271" t="s">
        <v>937</v>
      </c>
      <c r="CW1610" s="30">
        <f t="shared" si="249"/>
        <v>1</v>
      </c>
      <c r="CX1610" s="30">
        <f t="shared" si="251"/>
        <v>1</v>
      </c>
      <c r="CZ1610" s="30">
        <f t="shared" si="245"/>
        <v>0</v>
      </c>
      <c r="DA1610" s="52">
        <f t="shared" si="252"/>
        <v>0</v>
      </c>
      <c r="DB1610" s="2">
        <f t="shared" si="247"/>
        <v>0</v>
      </c>
      <c r="DS1610" s="130">
        <f>SI!BY1610</f>
        <v>204</v>
      </c>
      <c r="DZ1610" s="131">
        <f>SI!BZ1610</f>
        <v>0</v>
      </c>
    </row>
    <row r="1611" spans="1:130" hidden="1" x14ac:dyDescent="0.25">
      <c r="A1611" s="141"/>
      <c r="B1611" s="7" t="str">
        <f>+IF($I$52&lt;&gt;"",IF((ROUNDDOWN(CODE(MID($I$52,1,1))*3,0)+DAY(36167))*(IF(SI!EE1611="",1,SI!EE1611-1))+(2*LEN(SI!J3))=DS1611,"Pohľadávky podľa zostatkovej doby splatnosti sú uvedené v nasledujúcom prehľade:","NEPOVOLENÉ POUŽITIE!"),"NEPOVOLENÉ POUŽITIE!")</f>
        <v>Pohľadávky podľa zostatkovej doby splatnosti sú uvedené v nasledujúcom prehľade:</v>
      </c>
      <c r="CA1611" s="265" t="s">
        <v>773</v>
      </c>
      <c r="CB1611" s="3" t="str">
        <f t="shared" si="250"/>
        <v>Riadok bude skrytý.</v>
      </c>
      <c r="CC1611" s="271" t="s">
        <v>937</v>
      </c>
      <c r="CD1611" s="137"/>
      <c r="CE1611" s="137"/>
      <c r="CF1611" s="137"/>
      <c r="CG1611" s="137"/>
      <c r="CH1611" s="137"/>
      <c r="CI1611" s="137"/>
      <c r="CJ1611" s="137"/>
      <c r="CK1611" s="137"/>
      <c r="CW1611" s="30">
        <f t="shared" si="249"/>
        <v>1</v>
      </c>
      <c r="CZ1611" s="30">
        <f t="shared" si="245"/>
        <v>0</v>
      </c>
      <c r="DA1611" s="30">
        <f t="shared" si="246"/>
        <v>0</v>
      </c>
      <c r="DB1611" s="2">
        <f t="shared" si="247"/>
        <v>0</v>
      </c>
      <c r="DS1611" s="130">
        <f>SI!BY1611</f>
        <v>10</v>
      </c>
      <c r="DZ1611" s="131">
        <f>SI!BZ1611</f>
        <v>0</v>
      </c>
    </row>
    <row r="1612" spans="1:130" hidden="1" x14ac:dyDescent="0.25">
      <c r="A1612" s="141"/>
      <c r="CA1612" s="142"/>
      <c r="CB1612" s="3" t="str">
        <f t="shared" si="250"/>
        <v>Riadok bude skrytý.</v>
      </c>
      <c r="CC1612" s="271" t="s">
        <v>937</v>
      </c>
      <c r="CD1612" s="137"/>
      <c r="CE1612" s="137"/>
      <c r="CF1612" s="137"/>
      <c r="CG1612" s="137"/>
      <c r="CH1612" s="137"/>
      <c r="CI1612" s="137"/>
      <c r="CJ1612" s="137"/>
      <c r="CW1612" s="30">
        <f t="shared" si="249"/>
        <v>1</v>
      </c>
      <c r="CZ1612" s="30">
        <f t="shared" si="245"/>
        <v>0</v>
      </c>
      <c r="DA1612" s="30">
        <f t="shared" si="246"/>
        <v>0</v>
      </c>
      <c r="DB1612" s="2">
        <f t="shared" si="247"/>
        <v>0</v>
      </c>
      <c r="DS1612" s="130">
        <f>SI!BY1612</f>
        <v>325</v>
      </c>
      <c r="DZ1612" s="131">
        <f>SI!BZ1612</f>
        <v>0</v>
      </c>
    </row>
    <row r="1613" spans="1:130" ht="14.95" hidden="1" customHeight="1" x14ac:dyDescent="0.25">
      <c r="A1613" s="141"/>
      <c r="B1613" s="439" t="s">
        <v>203</v>
      </c>
      <c r="C1613" s="440"/>
      <c r="D1613" s="440"/>
      <c r="E1613" s="440"/>
      <c r="F1613" s="440"/>
      <c r="G1613" s="440"/>
      <c r="H1613" s="440"/>
      <c r="I1613" s="440"/>
      <c r="J1613" s="440"/>
      <c r="K1613" s="440"/>
      <c r="L1613" s="440"/>
      <c r="M1613" s="440"/>
      <c r="N1613" s="440"/>
      <c r="O1613" s="440"/>
      <c r="P1613" s="440"/>
      <c r="Q1613" s="440"/>
      <c r="R1613" s="440"/>
      <c r="S1613" s="440"/>
      <c r="T1613" s="440"/>
      <c r="U1613" s="440"/>
      <c r="V1613" s="440"/>
      <c r="W1613" s="440"/>
      <c r="X1613" s="440"/>
      <c r="Y1613" s="440"/>
      <c r="Z1613" s="440"/>
      <c r="AA1613" s="440"/>
      <c r="AB1613" s="440"/>
      <c r="AC1613" s="1829">
        <f>+AJ141</f>
        <v>2021</v>
      </c>
      <c r="AD1613" s="1830"/>
      <c r="AE1613" s="1830"/>
      <c r="AF1613" s="1830"/>
      <c r="AG1613" s="1830"/>
      <c r="AH1613" s="1830"/>
      <c r="AI1613" s="1830"/>
      <c r="AJ1613" s="1830"/>
      <c r="AK1613" s="1830"/>
      <c r="AL1613" s="1830"/>
      <c r="AM1613" s="1830"/>
      <c r="AN1613" s="1830"/>
      <c r="AO1613" s="1830"/>
      <c r="AP1613" s="1830"/>
      <c r="AQ1613" s="1830"/>
      <c r="AR1613" s="1830"/>
      <c r="AS1613" s="1830"/>
      <c r="AT1613" s="1830"/>
      <c r="AU1613" s="1830"/>
      <c r="AV1613" s="1830"/>
      <c r="AW1613" s="1830"/>
      <c r="AX1613" s="1830"/>
      <c r="AY1613" s="1830"/>
      <c r="AZ1613" s="1830"/>
      <c r="BA1613" s="1830"/>
      <c r="BB1613" s="1831"/>
      <c r="BC1613" s="1063">
        <f>+BE141</f>
        <v>2020</v>
      </c>
      <c r="BD1613" s="1058"/>
      <c r="BE1613" s="1058"/>
      <c r="BF1613" s="1058"/>
      <c r="BG1613" s="1058"/>
      <c r="BH1613" s="1058"/>
      <c r="BI1613" s="1058"/>
      <c r="BJ1613" s="1058"/>
      <c r="BK1613" s="1058"/>
      <c r="BL1613" s="1058"/>
      <c r="BM1613" s="1058"/>
      <c r="BN1613" s="1058"/>
      <c r="BO1613" s="1058"/>
      <c r="BP1613" s="1058"/>
      <c r="BQ1613" s="1058"/>
      <c r="BR1613" s="1058"/>
      <c r="BS1613" s="1058"/>
      <c r="BT1613" s="1058"/>
      <c r="BU1613" s="1058"/>
      <c r="BV1613" s="1058"/>
      <c r="BW1613" s="1058"/>
      <c r="BX1613" s="1058"/>
      <c r="BY1613" s="1058"/>
      <c r="BZ1613" s="1059"/>
      <c r="CA1613" s="265" t="s">
        <v>773</v>
      </c>
      <c r="CB1613" s="3" t="str">
        <f t="shared" si="250"/>
        <v>Riadok bude skrytý.</v>
      </c>
      <c r="CC1613" s="271" t="s">
        <v>937</v>
      </c>
      <c r="CW1613" s="30">
        <f t="shared" si="249"/>
        <v>1</v>
      </c>
      <c r="CZ1613" s="30">
        <f t="shared" si="245"/>
        <v>0</v>
      </c>
      <c r="DA1613" s="30">
        <f t="shared" si="246"/>
        <v>0</v>
      </c>
      <c r="DB1613" s="2">
        <f t="shared" si="247"/>
        <v>0</v>
      </c>
      <c r="DS1613" s="130">
        <f>SI!BY1613</f>
        <v>153</v>
      </c>
      <c r="DZ1613" s="131">
        <f>SI!BZ1613</f>
        <v>0</v>
      </c>
    </row>
    <row r="1614" spans="1:130" hidden="1" x14ac:dyDescent="0.25">
      <c r="A1614" s="141"/>
      <c r="B1614" s="442"/>
      <c r="C1614" s="443"/>
      <c r="D1614" s="443"/>
      <c r="E1614" s="443"/>
      <c r="F1614" s="443"/>
      <c r="G1614" s="443"/>
      <c r="H1614" s="443"/>
      <c r="I1614" s="443"/>
      <c r="J1614" s="443"/>
      <c r="K1614" s="443"/>
      <c r="L1614" s="443"/>
      <c r="M1614" s="443"/>
      <c r="N1614" s="443"/>
      <c r="O1614" s="443"/>
      <c r="P1614" s="443"/>
      <c r="Q1614" s="443"/>
      <c r="R1614" s="443"/>
      <c r="S1614" s="443"/>
      <c r="T1614" s="443"/>
      <c r="U1614" s="443"/>
      <c r="V1614" s="443"/>
      <c r="W1614" s="443"/>
      <c r="X1614" s="443"/>
      <c r="Y1614" s="443"/>
      <c r="Z1614" s="443"/>
      <c r="AA1614" s="443"/>
      <c r="AB1614" s="443"/>
      <c r="AC1614" s="1832"/>
      <c r="AD1614" s="1833"/>
      <c r="AE1614" s="1833"/>
      <c r="AF1614" s="1833"/>
      <c r="AG1614" s="1833"/>
      <c r="AH1614" s="1833"/>
      <c r="AI1614" s="1833"/>
      <c r="AJ1614" s="1833"/>
      <c r="AK1614" s="1833"/>
      <c r="AL1614" s="1833"/>
      <c r="AM1614" s="1833"/>
      <c r="AN1614" s="1833"/>
      <c r="AO1614" s="1833"/>
      <c r="AP1614" s="1833"/>
      <c r="AQ1614" s="1833"/>
      <c r="AR1614" s="1833"/>
      <c r="AS1614" s="1833"/>
      <c r="AT1614" s="1833"/>
      <c r="AU1614" s="1833"/>
      <c r="AV1614" s="1833"/>
      <c r="AW1614" s="1833"/>
      <c r="AX1614" s="1833"/>
      <c r="AY1614" s="1833"/>
      <c r="AZ1614" s="1833"/>
      <c r="BA1614" s="1833"/>
      <c r="BB1614" s="1834"/>
      <c r="BC1614" s="1064"/>
      <c r="BD1614" s="1061"/>
      <c r="BE1614" s="1061"/>
      <c r="BF1614" s="1061"/>
      <c r="BG1614" s="1061"/>
      <c r="BH1614" s="1061"/>
      <c r="BI1614" s="1061"/>
      <c r="BJ1614" s="1061"/>
      <c r="BK1614" s="1061"/>
      <c r="BL1614" s="1061"/>
      <c r="BM1614" s="1061"/>
      <c r="BN1614" s="1061"/>
      <c r="BO1614" s="1061"/>
      <c r="BP1614" s="1061"/>
      <c r="BQ1614" s="1061"/>
      <c r="BR1614" s="1061"/>
      <c r="BS1614" s="1061"/>
      <c r="BT1614" s="1061"/>
      <c r="BU1614" s="1061"/>
      <c r="BV1614" s="1061"/>
      <c r="BW1614" s="1061"/>
      <c r="BX1614" s="1061"/>
      <c r="BY1614" s="1061"/>
      <c r="BZ1614" s="1062"/>
      <c r="CA1614" s="142"/>
      <c r="CB1614" s="3" t="str">
        <f t="shared" si="250"/>
        <v>Riadok bude skrytý.</v>
      </c>
      <c r="CC1614" s="271" t="s">
        <v>937</v>
      </c>
      <c r="CW1614" s="30">
        <f t="shared" si="249"/>
        <v>1</v>
      </c>
      <c r="CZ1614" s="30">
        <f t="shared" si="245"/>
        <v>0</v>
      </c>
      <c r="DA1614" s="30">
        <f t="shared" ref="DA1614:DA1622" si="254">+IF(CW1614+CX1614+CY1614=0,0,IF(CZ1614=0,0,1))</f>
        <v>0</v>
      </c>
      <c r="DB1614" s="2">
        <f t="shared" si="247"/>
        <v>0</v>
      </c>
      <c r="DS1614" s="130">
        <f>SI!BY1614</f>
        <v>1082</v>
      </c>
      <c r="DZ1614" s="131">
        <f>SI!BZ1614</f>
        <v>0</v>
      </c>
    </row>
    <row r="1615" spans="1:130" hidden="1" x14ac:dyDescent="0.25">
      <c r="A1615" s="141"/>
      <c r="B1615" s="524" t="s">
        <v>0</v>
      </c>
      <c r="C1615" s="525"/>
      <c r="D1615" s="525"/>
      <c r="E1615" s="525"/>
      <c r="F1615" s="525"/>
      <c r="G1615" s="525"/>
      <c r="H1615" s="525"/>
      <c r="I1615" s="525"/>
      <c r="J1615" s="525"/>
      <c r="K1615" s="525"/>
      <c r="L1615" s="525"/>
      <c r="M1615" s="525"/>
      <c r="N1615" s="525"/>
      <c r="O1615" s="525"/>
      <c r="P1615" s="525"/>
      <c r="Q1615" s="525"/>
      <c r="R1615" s="525"/>
      <c r="S1615" s="525"/>
      <c r="T1615" s="525"/>
      <c r="U1615" s="525"/>
      <c r="V1615" s="525"/>
      <c r="W1615" s="525"/>
      <c r="X1615" s="525"/>
      <c r="Y1615" s="525"/>
      <c r="Z1615" s="525"/>
      <c r="AA1615" s="525"/>
      <c r="AB1615" s="525"/>
      <c r="AC1615" s="1114" t="s">
        <v>1</v>
      </c>
      <c r="AD1615" s="1102"/>
      <c r="AE1615" s="1102"/>
      <c r="AF1615" s="1102"/>
      <c r="AG1615" s="1102"/>
      <c r="AH1615" s="1102"/>
      <c r="AI1615" s="1102"/>
      <c r="AJ1615" s="1102"/>
      <c r="AK1615" s="1102"/>
      <c r="AL1615" s="1102"/>
      <c r="AM1615" s="1102"/>
      <c r="AN1615" s="1102"/>
      <c r="AO1615" s="1102"/>
      <c r="AP1615" s="1102"/>
      <c r="AQ1615" s="1102"/>
      <c r="AR1615" s="1102"/>
      <c r="AS1615" s="1102"/>
      <c r="AT1615" s="1102"/>
      <c r="AU1615" s="1102"/>
      <c r="AV1615" s="1102"/>
      <c r="AW1615" s="1102"/>
      <c r="AX1615" s="1102"/>
      <c r="AY1615" s="1102"/>
      <c r="AZ1615" s="1102"/>
      <c r="BA1615" s="1102"/>
      <c r="BB1615" s="1104"/>
      <c r="BC1615" s="1114" t="s">
        <v>2</v>
      </c>
      <c r="BD1615" s="1102"/>
      <c r="BE1615" s="1102"/>
      <c r="BF1615" s="1102"/>
      <c r="BG1615" s="1102"/>
      <c r="BH1615" s="1102"/>
      <c r="BI1615" s="1102"/>
      <c r="BJ1615" s="1102"/>
      <c r="BK1615" s="1102"/>
      <c r="BL1615" s="1102"/>
      <c r="BM1615" s="1102"/>
      <c r="BN1615" s="1102"/>
      <c r="BO1615" s="1102"/>
      <c r="BP1615" s="1102"/>
      <c r="BQ1615" s="1102"/>
      <c r="BR1615" s="1102"/>
      <c r="BS1615" s="1102"/>
      <c r="BT1615" s="1102"/>
      <c r="BU1615" s="1102"/>
      <c r="BV1615" s="1102"/>
      <c r="BW1615" s="1102"/>
      <c r="BX1615" s="1102"/>
      <c r="BY1615" s="1102"/>
      <c r="BZ1615" s="1103"/>
      <c r="CA1615" s="142"/>
      <c r="CB1615" s="3" t="str">
        <f t="shared" si="250"/>
        <v>Riadok bude skrytý.</v>
      </c>
      <c r="CC1615" s="271" t="s">
        <v>937</v>
      </c>
      <c r="CW1615" s="30">
        <f t="shared" si="249"/>
        <v>1</v>
      </c>
      <c r="CZ1615" s="30">
        <f t="shared" si="245"/>
        <v>0</v>
      </c>
      <c r="DA1615" s="30">
        <f t="shared" si="254"/>
        <v>0</v>
      </c>
      <c r="DB1615" s="2">
        <f t="shared" si="247"/>
        <v>0</v>
      </c>
      <c r="DS1615" s="130">
        <f>SI!BY1615</f>
        <v>177</v>
      </c>
      <c r="DZ1615" s="131">
        <f>SI!BZ1615</f>
        <v>0</v>
      </c>
    </row>
    <row r="1616" spans="1:130" hidden="1" x14ac:dyDescent="0.25">
      <c r="A1616" s="141"/>
      <c r="B1616" s="672" t="s">
        <v>204</v>
      </c>
      <c r="C1616" s="673"/>
      <c r="D1616" s="673"/>
      <c r="E1616" s="673"/>
      <c r="F1616" s="673"/>
      <c r="G1616" s="673"/>
      <c r="H1616" s="673"/>
      <c r="I1616" s="673"/>
      <c r="J1616" s="673"/>
      <c r="K1616" s="673"/>
      <c r="L1616" s="673"/>
      <c r="M1616" s="673"/>
      <c r="N1616" s="673"/>
      <c r="O1616" s="673"/>
      <c r="P1616" s="673"/>
      <c r="Q1616" s="673"/>
      <c r="R1616" s="673"/>
      <c r="S1616" s="673"/>
      <c r="T1616" s="673"/>
      <c r="U1616" s="673"/>
      <c r="V1616" s="673"/>
      <c r="W1616" s="673"/>
      <c r="X1616" s="673"/>
      <c r="Y1616" s="673"/>
      <c r="Z1616" s="673"/>
      <c r="AA1616" s="673"/>
      <c r="AB1616" s="673"/>
      <c r="AC1616" s="535"/>
      <c r="AD1616" s="536"/>
      <c r="AE1616" s="536"/>
      <c r="AF1616" s="536"/>
      <c r="AG1616" s="536"/>
      <c r="AH1616" s="536"/>
      <c r="AI1616" s="536"/>
      <c r="AJ1616" s="536"/>
      <c r="AK1616" s="536"/>
      <c r="AL1616" s="536"/>
      <c r="AM1616" s="536"/>
      <c r="AN1616" s="536"/>
      <c r="AO1616" s="536"/>
      <c r="AP1616" s="536"/>
      <c r="AQ1616" s="536"/>
      <c r="AR1616" s="536"/>
      <c r="AS1616" s="536"/>
      <c r="AT1616" s="536"/>
      <c r="AU1616" s="536"/>
      <c r="AV1616" s="536"/>
      <c r="AW1616" s="536"/>
      <c r="AX1616" s="536"/>
      <c r="AY1616" s="536"/>
      <c r="AZ1616" s="536"/>
      <c r="BA1616" s="536"/>
      <c r="BB1616" s="713"/>
      <c r="BC1616" s="535"/>
      <c r="BD1616" s="536"/>
      <c r="BE1616" s="536"/>
      <c r="BF1616" s="536"/>
      <c r="BG1616" s="536"/>
      <c r="BH1616" s="536"/>
      <c r="BI1616" s="536"/>
      <c r="BJ1616" s="536"/>
      <c r="BK1616" s="536"/>
      <c r="BL1616" s="536"/>
      <c r="BM1616" s="536"/>
      <c r="BN1616" s="536"/>
      <c r="BO1616" s="536"/>
      <c r="BP1616" s="536"/>
      <c r="BQ1616" s="536"/>
      <c r="BR1616" s="536"/>
      <c r="BS1616" s="536"/>
      <c r="BT1616" s="536"/>
      <c r="BU1616" s="536"/>
      <c r="BV1616" s="536"/>
      <c r="BW1616" s="536"/>
      <c r="BX1616" s="536"/>
      <c r="BY1616" s="536"/>
      <c r="BZ1616" s="537"/>
      <c r="CA1616" s="142"/>
      <c r="CB1616" s="3" t="str">
        <f t="shared" si="250"/>
        <v>Riadok bude skrytý.</v>
      </c>
      <c r="CC1616" s="271" t="s">
        <v>937</v>
      </c>
      <c r="CW1616" s="30">
        <f t="shared" si="249"/>
        <v>1</v>
      </c>
      <c r="CZ1616" s="30">
        <f t="shared" si="245"/>
        <v>0</v>
      </c>
      <c r="DA1616" s="30">
        <f t="shared" si="254"/>
        <v>0</v>
      </c>
      <c r="DB1616" s="2">
        <f t="shared" si="247"/>
        <v>0</v>
      </c>
      <c r="DS1616" s="130">
        <f>SI!BY1616</f>
        <v>253</v>
      </c>
      <c r="DZ1616" s="131">
        <f>SI!BZ1616</f>
        <v>0</v>
      </c>
    </row>
    <row r="1617" spans="1:130" ht="25.5" hidden="1" customHeight="1" x14ac:dyDescent="0.25">
      <c r="A1617" s="141"/>
      <c r="B1617" s="432" t="s">
        <v>205</v>
      </c>
      <c r="C1617" s="433"/>
      <c r="D1617" s="433"/>
      <c r="E1617" s="433"/>
      <c r="F1617" s="433"/>
      <c r="G1617" s="433"/>
      <c r="H1617" s="433"/>
      <c r="I1617" s="433"/>
      <c r="J1617" s="433"/>
      <c r="K1617" s="433"/>
      <c r="L1617" s="433"/>
      <c r="M1617" s="433"/>
      <c r="N1617" s="433"/>
      <c r="O1617" s="433"/>
      <c r="P1617" s="433"/>
      <c r="Q1617" s="433"/>
      <c r="R1617" s="433"/>
      <c r="S1617" s="433"/>
      <c r="T1617" s="433"/>
      <c r="U1617" s="433"/>
      <c r="V1617" s="433"/>
      <c r="W1617" s="433"/>
      <c r="X1617" s="433"/>
      <c r="Y1617" s="433"/>
      <c r="Z1617" s="433"/>
      <c r="AA1617" s="433"/>
      <c r="AB1617" s="433"/>
      <c r="AC1617" s="459"/>
      <c r="AD1617" s="461"/>
      <c r="AE1617" s="461"/>
      <c r="AF1617" s="461"/>
      <c r="AG1617" s="461"/>
      <c r="AH1617" s="461"/>
      <c r="AI1617" s="461"/>
      <c r="AJ1617" s="461"/>
      <c r="AK1617" s="461"/>
      <c r="AL1617" s="461"/>
      <c r="AM1617" s="461"/>
      <c r="AN1617" s="461"/>
      <c r="AO1617" s="461"/>
      <c r="AP1617" s="461"/>
      <c r="AQ1617" s="461"/>
      <c r="AR1617" s="461"/>
      <c r="AS1617" s="461"/>
      <c r="AT1617" s="461"/>
      <c r="AU1617" s="461"/>
      <c r="AV1617" s="461"/>
      <c r="AW1617" s="461"/>
      <c r="AX1617" s="461"/>
      <c r="AY1617" s="461"/>
      <c r="AZ1617" s="461"/>
      <c r="BA1617" s="461"/>
      <c r="BB1617" s="462"/>
      <c r="BC1617" s="459"/>
      <c r="BD1617" s="461"/>
      <c r="BE1617" s="461"/>
      <c r="BF1617" s="461"/>
      <c r="BG1617" s="461"/>
      <c r="BH1617" s="461"/>
      <c r="BI1617" s="461"/>
      <c r="BJ1617" s="461"/>
      <c r="BK1617" s="461"/>
      <c r="BL1617" s="461"/>
      <c r="BM1617" s="461"/>
      <c r="BN1617" s="461"/>
      <c r="BO1617" s="461"/>
      <c r="BP1617" s="461"/>
      <c r="BQ1617" s="461"/>
      <c r="BR1617" s="461"/>
      <c r="BS1617" s="461"/>
      <c r="BT1617" s="461"/>
      <c r="BU1617" s="461"/>
      <c r="BV1617" s="461"/>
      <c r="BW1617" s="461"/>
      <c r="BX1617" s="461"/>
      <c r="BY1617" s="461"/>
      <c r="BZ1617" s="1610"/>
      <c r="CA1617" s="142"/>
      <c r="CB1617" s="3" t="str">
        <f t="shared" si="250"/>
        <v>Riadok bude skrytý.</v>
      </c>
      <c r="CC1617" s="271" t="s">
        <v>937</v>
      </c>
      <c r="CW1617" s="30">
        <f t="shared" ref="CW1617:CW1648" si="255">+IF($J$1519="neeviduje",0,1)</f>
        <v>1</v>
      </c>
      <c r="CZ1617" s="30">
        <f t="shared" si="245"/>
        <v>0</v>
      </c>
      <c r="DA1617" s="30">
        <f t="shared" si="254"/>
        <v>0</v>
      </c>
      <c r="DB1617" s="2">
        <f t="shared" si="247"/>
        <v>0</v>
      </c>
      <c r="DS1617" s="130">
        <f>SI!BY1617</f>
        <v>192</v>
      </c>
      <c r="DZ1617" s="131">
        <f>SI!BZ1617</f>
        <v>0</v>
      </c>
    </row>
    <row r="1618" spans="1:130" hidden="1" x14ac:dyDescent="0.25">
      <c r="A1618" s="141"/>
      <c r="B1618" s="579" t="s">
        <v>202</v>
      </c>
      <c r="C1618" s="580"/>
      <c r="D1618" s="580"/>
      <c r="E1618" s="580"/>
      <c r="F1618" s="580"/>
      <c r="G1618" s="580"/>
      <c r="H1618" s="580"/>
      <c r="I1618" s="580"/>
      <c r="J1618" s="580"/>
      <c r="K1618" s="580"/>
      <c r="L1618" s="580"/>
      <c r="M1618" s="580"/>
      <c r="N1618" s="580"/>
      <c r="O1618" s="580"/>
      <c r="P1618" s="580"/>
      <c r="Q1618" s="580"/>
      <c r="R1618" s="580"/>
      <c r="S1618" s="580"/>
      <c r="T1618" s="580"/>
      <c r="U1618" s="580"/>
      <c r="V1618" s="580"/>
      <c r="W1618" s="580"/>
      <c r="X1618" s="580"/>
      <c r="Y1618" s="580"/>
      <c r="Z1618" s="580"/>
      <c r="AA1618" s="580"/>
      <c r="AB1618" s="580"/>
      <c r="AC1618" s="411">
        <f>+AC1616+AC1617</f>
        <v>0</v>
      </c>
      <c r="AD1618" s="412"/>
      <c r="AE1618" s="412"/>
      <c r="AF1618" s="412"/>
      <c r="AG1618" s="412"/>
      <c r="AH1618" s="412"/>
      <c r="AI1618" s="412"/>
      <c r="AJ1618" s="412"/>
      <c r="AK1618" s="412"/>
      <c r="AL1618" s="412"/>
      <c r="AM1618" s="412"/>
      <c r="AN1618" s="412"/>
      <c r="AO1618" s="412"/>
      <c r="AP1618" s="412"/>
      <c r="AQ1618" s="412"/>
      <c r="AR1618" s="412"/>
      <c r="AS1618" s="412"/>
      <c r="AT1618" s="412"/>
      <c r="AU1618" s="412"/>
      <c r="AV1618" s="412"/>
      <c r="AW1618" s="412"/>
      <c r="AX1618" s="412"/>
      <c r="AY1618" s="412"/>
      <c r="AZ1618" s="412"/>
      <c r="BA1618" s="412"/>
      <c r="BB1618" s="477"/>
      <c r="BC1618" s="411">
        <f>+BC1616+BC1617</f>
        <v>0</v>
      </c>
      <c r="BD1618" s="412"/>
      <c r="BE1618" s="412"/>
      <c r="BF1618" s="412"/>
      <c r="BG1618" s="412"/>
      <c r="BH1618" s="412"/>
      <c r="BI1618" s="412"/>
      <c r="BJ1618" s="412"/>
      <c r="BK1618" s="412"/>
      <c r="BL1618" s="412"/>
      <c r="BM1618" s="412"/>
      <c r="BN1618" s="412"/>
      <c r="BO1618" s="412"/>
      <c r="BP1618" s="412"/>
      <c r="BQ1618" s="412"/>
      <c r="BR1618" s="412"/>
      <c r="BS1618" s="412"/>
      <c r="BT1618" s="412"/>
      <c r="BU1618" s="412"/>
      <c r="BV1618" s="412"/>
      <c r="BW1618" s="412"/>
      <c r="BX1618" s="412"/>
      <c r="BY1618" s="412"/>
      <c r="BZ1618" s="413"/>
      <c r="CA1618" s="142"/>
      <c r="CB1618" s="3" t="str">
        <f t="shared" si="250"/>
        <v>Riadok bude skrytý.</v>
      </c>
      <c r="CC1618" s="271" t="s">
        <v>937</v>
      </c>
      <c r="CW1618" s="30">
        <f t="shared" si="255"/>
        <v>1</v>
      </c>
      <c r="CZ1618" s="30">
        <f t="shared" si="245"/>
        <v>0</v>
      </c>
      <c r="DA1618" s="30">
        <f t="shared" si="254"/>
        <v>0</v>
      </c>
      <c r="DB1618" s="2">
        <f t="shared" si="247"/>
        <v>0</v>
      </c>
      <c r="DS1618" s="130">
        <f>SI!BY1618</f>
        <v>1116</v>
      </c>
      <c r="DZ1618" s="131">
        <f>SI!BZ1618</f>
        <v>0</v>
      </c>
    </row>
    <row r="1619" spans="1:130" ht="26.35" hidden="1" customHeight="1" x14ac:dyDescent="0.25">
      <c r="A1619" s="141"/>
      <c r="B1619" s="451" t="s">
        <v>206</v>
      </c>
      <c r="C1619" s="452"/>
      <c r="D1619" s="452"/>
      <c r="E1619" s="452"/>
      <c r="F1619" s="452"/>
      <c r="G1619" s="452"/>
      <c r="H1619" s="452"/>
      <c r="I1619" s="452"/>
      <c r="J1619" s="452"/>
      <c r="K1619" s="452"/>
      <c r="L1619" s="452"/>
      <c r="M1619" s="452"/>
      <c r="N1619" s="452"/>
      <c r="O1619" s="452"/>
      <c r="P1619" s="452"/>
      <c r="Q1619" s="452"/>
      <c r="R1619" s="452"/>
      <c r="S1619" s="452"/>
      <c r="T1619" s="452"/>
      <c r="U1619" s="452"/>
      <c r="V1619" s="452"/>
      <c r="W1619" s="452"/>
      <c r="X1619" s="452"/>
      <c r="Y1619" s="452"/>
      <c r="Z1619" s="452"/>
      <c r="AA1619" s="452"/>
      <c r="AB1619" s="452"/>
      <c r="AC1619" s="1054"/>
      <c r="AD1619" s="1055"/>
      <c r="AE1619" s="1055"/>
      <c r="AF1619" s="1055"/>
      <c r="AG1619" s="1055"/>
      <c r="AH1619" s="1055"/>
      <c r="AI1619" s="1055"/>
      <c r="AJ1619" s="1055"/>
      <c r="AK1619" s="1055"/>
      <c r="AL1619" s="1055"/>
      <c r="AM1619" s="1055"/>
      <c r="AN1619" s="1055"/>
      <c r="AO1619" s="1055"/>
      <c r="AP1619" s="1055"/>
      <c r="AQ1619" s="1055"/>
      <c r="AR1619" s="1055"/>
      <c r="AS1619" s="1055"/>
      <c r="AT1619" s="1055"/>
      <c r="AU1619" s="1055"/>
      <c r="AV1619" s="1055"/>
      <c r="AW1619" s="1055"/>
      <c r="AX1619" s="1055"/>
      <c r="AY1619" s="1055"/>
      <c r="AZ1619" s="1055"/>
      <c r="BA1619" s="1055"/>
      <c r="BB1619" s="502"/>
      <c r="BC1619" s="1054"/>
      <c r="BD1619" s="1055"/>
      <c r="BE1619" s="1055"/>
      <c r="BF1619" s="1055"/>
      <c r="BG1619" s="1055"/>
      <c r="BH1619" s="1055"/>
      <c r="BI1619" s="1055"/>
      <c r="BJ1619" s="1055"/>
      <c r="BK1619" s="1055"/>
      <c r="BL1619" s="1055"/>
      <c r="BM1619" s="1055"/>
      <c r="BN1619" s="1055"/>
      <c r="BO1619" s="1055"/>
      <c r="BP1619" s="1055"/>
      <c r="BQ1619" s="1055"/>
      <c r="BR1619" s="1055"/>
      <c r="BS1619" s="1055"/>
      <c r="BT1619" s="1055"/>
      <c r="BU1619" s="1055"/>
      <c r="BV1619" s="1055"/>
      <c r="BW1619" s="1055"/>
      <c r="BX1619" s="1055"/>
      <c r="BY1619" s="1055"/>
      <c r="BZ1619" s="1056"/>
      <c r="CA1619" s="142"/>
      <c r="CB1619" s="3" t="str">
        <f t="shared" si="250"/>
        <v>Riadok bude skrytý.</v>
      </c>
      <c r="CC1619" s="271" t="s">
        <v>937</v>
      </c>
      <c r="CW1619" s="30">
        <f t="shared" si="255"/>
        <v>1</v>
      </c>
      <c r="CZ1619" s="30">
        <f t="shared" si="245"/>
        <v>0</v>
      </c>
      <c r="DA1619" s="30">
        <f t="shared" si="254"/>
        <v>0</v>
      </c>
      <c r="DB1619" s="2">
        <f t="shared" si="247"/>
        <v>0</v>
      </c>
      <c r="DS1619" s="130">
        <f>SI!BY1619</f>
        <v>187</v>
      </c>
      <c r="DZ1619" s="131">
        <f>SI!BZ1619</f>
        <v>0</v>
      </c>
    </row>
    <row r="1620" spans="1:130" ht="27" hidden="1" customHeight="1" x14ac:dyDescent="0.25">
      <c r="A1620" s="141"/>
      <c r="B1620" s="2076" t="s">
        <v>207</v>
      </c>
      <c r="C1620" s="2077"/>
      <c r="D1620" s="2077"/>
      <c r="E1620" s="2077"/>
      <c r="F1620" s="2077"/>
      <c r="G1620" s="2077"/>
      <c r="H1620" s="2077"/>
      <c r="I1620" s="2077"/>
      <c r="J1620" s="2077"/>
      <c r="K1620" s="2077"/>
      <c r="L1620" s="2077"/>
      <c r="M1620" s="2077"/>
      <c r="N1620" s="2077"/>
      <c r="O1620" s="2077"/>
      <c r="P1620" s="2077"/>
      <c r="Q1620" s="2077"/>
      <c r="R1620" s="2077"/>
      <c r="S1620" s="2077"/>
      <c r="T1620" s="2077"/>
      <c r="U1620" s="2077"/>
      <c r="V1620" s="2077"/>
      <c r="W1620" s="2077"/>
      <c r="X1620" s="2077"/>
      <c r="Y1620" s="2077"/>
      <c r="Z1620" s="2077"/>
      <c r="AA1620" s="2077"/>
      <c r="AB1620" s="2077"/>
      <c r="AC1620" s="459"/>
      <c r="AD1620" s="461"/>
      <c r="AE1620" s="461"/>
      <c r="AF1620" s="461"/>
      <c r="AG1620" s="461"/>
      <c r="AH1620" s="461"/>
      <c r="AI1620" s="461"/>
      <c r="AJ1620" s="461"/>
      <c r="AK1620" s="461"/>
      <c r="AL1620" s="461"/>
      <c r="AM1620" s="461"/>
      <c r="AN1620" s="461"/>
      <c r="AO1620" s="461"/>
      <c r="AP1620" s="461"/>
      <c r="AQ1620" s="461"/>
      <c r="AR1620" s="461"/>
      <c r="AS1620" s="461"/>
      <c r="AT1620" s="461"/>
      <c r="AU1620" s="461"/>
      <c r="AV1620" s="461"/>
      <c r="AW1620" s="461"/>
      <c r="AX1620" s="461"/>
      <c r="AY1620" s="461"/>
      <c r="AZ1620" s="461"/>
      <c r="BA1620" s="461"/>
      <c r="BB1620" s="462"/>
      <c r="BC1620" s="459"/>
      <c r="BD1620" s="461"/>
      <c r="BE1620" s="461"/>
      <c r="BF1620" s="461"/>
      <c r="BG1620" s="461"/>
      <c r="BH1620" s="461"/>
      <c r="BI1620" s="461"/>
      <c r="BJ1620" s="461"/>
      <c r="BK1620" s="461"/>
      <c r="BL1620" s="461"/>
      <c r="BM1620" s="461"/>
      <c r="BN1620" s="461"/>
      <c r="BO1620" s="461"/>
      <c r="BP1620" s="461"/>
      <c r="BQ1620" s="461"/>
      <c r="BR1620" s="461"/>
      <c r="BS1620" s="461"/>
      <c r="BT1620" s="461"/>
      <c r="BU1620" s="461"/>
      <c r="BV1620" s="461"/>
      <c r="BW1620" s="461"/>
      <c r="BX1620" s="461"/>
      <c r="BY1620" s="461"/>
      <c r="BZ1620" s="1610"/>
      <c r="CA1620" s="142"/>
      <c r="CB1620" s="3" t="str">
        <f t="shared" si="250"/>
        <v>Riadok bude skrytý.</v>
      </c>
      <c r="CC1620" s="271" t="s">
        <v>937</v>
      </c>
      <c r="CW1620" s="30">
        <f t="shared" si="255"/>
        <v>1</v>
      </c>
      <c r="CZ1620" s="30">
        <f t="shared" si="245"/>
        <v>0</v>
      </c>
      <c r="DA1620" s="30">
        <f t="shared" si="254"/>
        <v>0</v>
      </c>
      <c r="DB1620" s="2">
        <f t="shared" si="247"/>
        <v>0</v>
      </c>
      <c r="DS1620" s="130">
        <f>SI!BY1620</f>
        <v>186</v>
      </c>
      <c r="DZ1620" s="131">
        <f>SI!BZ1620</f>
        <v>0</v>
      </c>
    </row>
    <row r="1621" spans="1:130" hidden="1" x14ac:dyDescent="0.25">
      <c r="A1621" s="141"/>
      <c r="B1621" s="579" t="s">
        <v>198</v>
      </c>
      <c r="C1621" s="580"/>
      <c r="D1621" s="580"/>
      <c r="E1621" s="580"/>
      <c r="F1621" s="580"/>
      <c r="G1621" s="580"/>
      <c r="H1621" s="580"/>
      <c r="I1621" s="580"/>
      <c r="J1621" s="580"/>
      <c r="K1621" s="580"/>
      <c r="L1621" s="580"/>
      <c r="M1621" s="580"/>
      <c r="N1621" s="580"/>
      <c r="O1621" s="580"/>
      <c r="P1621" s="580"/>
      <c r="Q1621" s="580"/>
      <c r="R1621" s="580"/>
      <c r="S1621" s="580"/>
      <c r="T1621" s="580"/>
      <c r="U1621" s="580"/>
      <c r="V1621" s="580"/>
      <c r="W1621" s="580"/>
      <c r="X1621" s="580"/>
      <c r="Y1621" s="580"/>
      <c r="Z1621" s="580"/>
      <c r="AA1621" s="580"/>
      <c r="AB1621" s="580"/>
      <c r="AC1621" s="411">
        <f>+AC1619+AC1620</f>
        <v>0</v>
      </c>
      <c r="AD1621" s="412"/>
      <c r="AE1621" s="412"/>
      <c r="AF1621" s="412"/>
      <c r="AG1621" s="412"/>
      <c r="AH1621" s="412"/>
      <c r="AI1621" s="412"/>
      <c r="AJ1621" s="412"/>
      <c r="AK1621" s="412"/>
      <c r="AL1621" s="412"/>
      <c r="AM1621" s="412"/>
      <c r="AN1621" s="412"/>
      <c r="AO1621" s="412"/>
      <c r="AP1621" s="412"/>
      <c r="AQ1621" s="412"/>
      <c r="AR1621" s="412"/>
      <c r="AS1621" s="412"/>
      <c r="AT1621" s="412"/>
      <c r="AU1621" s="412"/>
      <c r="AV1621" s="412"/>
      <c r="AW1621" s="412"/>
      <c r="AX1621" s="412"/>
      <c r="AY1621" s="412"/>
      <c r="AZ1621" s="412"/>
      <c r="BA1621" s="412"/>
      <c r="BB1621" s="477"/>
      <c r="BC1621" s="411">
        <f>+BC1619+BC1620</f>
        <v>0</v>
      </c>
      <c r="BD1621" s="412"/>
      <c r="BE1621" s="412"/>
      <c r="BF1621" s="412"/>
      <c r="BG1621" s="412"/>
      <c r="BH1621" s="412"/>
      <c r="BI1621" s="412"/>
      <c r="BJ1621" s="412"/>
      <c r="BK1621" s="412"/>
      <c r="BL1621" s="412"/>
      <c r="BM1621" s="412"/>
      <c r="BN1621" s="412"/>
      <c r="BO1621" s="412"/>
      <c r="BP1621" s="412"/>
      <c r="BQ1621" s="412"/>
      <c r="BR1621" s="412"/>
      <c r="BS1621" s="412"/>
      <c r="BT1621" s="412"/>
      <c r="BU1621" s="412"/>
      <c r="BV1621" s="412"/>
      <c r="BW1621" s="412"/>
      <c r="BX1621" s="412"/>
      <c r="BY1621" s="412"/>
      <c r="BZ1621" s="413"/>
      <c r="CA1621" s="142"/>
      <c r="CB1621" s="3" t="str">
        <f t="shared" si="250"/>
        <v>Riadok bude skrytý.</v>
      </c>
      <c r="CC1621" s="271" t="s">
        <v>937</v>
      </c>
      <c r="CW1621" s="30">
        <f t="shared" si="255"/>
        <v>1</v>
      </c>
      <c r="CZ1621" s="30">
        <f t="shared" si="245"/>
        <v>0</v>
      </c>
      <c r="DA1621" s="30">
        <f t="shared" si="254"/>
        <v>0</v>
      </c>
      <c r="DB1621" s="2">
        <f t="shared" si="247"/>
        <v>0</v>
      </c>
      <c r="DS1621" s="130">
        <f>SI!BY1621</f>
        <v>169</v>
      </c>
      <c r="DZ1621" s="131">
        <f>SI!BZ1621</f>
        <v>0</v>
      </c>
    </row>
    <row r="1622" spans="1:130" hidden="1" x14ac:dyDescent="0.25">
      <c r="A1622" s="141"/>
      <c r="CA1622" s="142"/>
      <c r="CB1622" s="3" t="str">
        <f t="shared" si="250"/>
        <v>Riadok bude skrytý.</v>
      </c>
      <c r="CC1622" s="271" t="s">
        <v>937</v>
      </c>
      <c r="CW1622" s="30">
        <f t="shared" si="255"/>
        <v>1</v>
      </c>
      <c r="CZ1622" s="30">
        <f t="shared" si="245"/>
        <v>0</v>
      </c>
      <c r="DA1622" s="30">
        <f t="shared" si="254"/>
        <v>0</v>
      </c>
      <c r="DB1622" s="2">
        <f t="shared" si="247"/>
        <v>0</v>
      </c>
      <c r="DS1622" s="130">
        <f>SI!BY1622</f>
        <v>1044</v>
      </c>
      <c r="DZ1622" s="131">
        <f>SI!BZ1622</f>
        <v>0</v>
      </c>
    </row>
    <row r="1623" spans="1:130" hidden="1" x14ac:dyDescent="0.25">
      <c r="A1623" s="141"/>
      <c r="B1623" s="137" t="s">
        <v>208</v>
      </c>
      <c r="J1623" s="378" t="s">
        <v>97</v>
      </c>
      <c r="K1623" s="378"/>
      <c r="L1623" s="378"/>
      <c r="M1623" s="378"/>
      <c r="N1623" s="378"/>
      <c r="O1623" s="137" t="str">
        <f>+IF($G$52&lt;&gt;"",IF(ROUNDDOWN(CODE(MID($G$52,1,1))*2,0)*(IF(SI!EE1623="",1,SI!EE1623-2))+(LEN(SI!J2)+LEN(SI!J3))=DS1623,"pohľadávky zabezpečené záložným právom alebo inou formou zabezpečenia.","NEPOVOLENÉ POUŽITIE!"),"NEPOVOLENÉ POUŽITIE!")</f>
        <v>pohľadávky zabezpečené záložným právom alebo inou formou zabezpečenia.</v>
      </c>
      <c r="CA1623" s="265" t="s">
        <v>773</v>
      </c>
      <c r="CB1623" s="3" t="str">
        <f t="shared" si="250"/>
        <v>Riadok bude skrytý.</v>
      </c>
      <c r="CC1623" s="271" t="s">
        <v>832</v>
      </c>
      <c r="CF1623" s="13"/>
      <c r="CW1623" s="30">
        <f t="shared" si="255"/>
        <v>1</v>
      </c>
      <c r="CX1623" s="30">
        <f>+IF($J$1623="nemá",1,1)</f>
        <v>1</v>
      </c>
      <c r="CZ1623" s="30">
        <f t="shared" si="245"/>
        <v>1</v>
      </c>
      <c r="DA1623" s="52">
        <f t="shared" ref="DA1623:DA1666" si="256">+IF(CW1623*CX1623=0,0,IF(CZ1623=0,0,1))</f>
        <v>1</v>
      </c>
      <c r="DB1623" s="2">
        <f t="shared" si="247"/>
        <v>0</v>
      </c>
      <c r="DS1623" s="130">
        <f>SI!BY1623</f>
        <v>18</v>
      </c>
      <c r="DZ1623" s="131">
        <f>SI!BZ1623</f>
        <v>0</v>
      </c>
    </row>
    <row r="1624" spans="1:130" hidden="1" x14ac:dyDescent="0.25">
      <c r="A1624" s="141"/>
      <c r="B1624" s="137" t="str">
        <f>+IF(J1623="má","Údaje o hodnote predmetu, ktorým sú pohľadávky zabezpečené sú uvedené v tabuľke:","")</f>
        <v>Údaje o hodnote predmetu, ktorým sú pohľadávky zabezpečené sú uvedené v tabuľke:</v>
      </c>
      <c r="CA1624" s="270"/>
      <c r="CB1624" s="3" t="str">
        <f t="shared" si="250"/>
        <v>Riadok bude skrytý.</v>
      </c>
      <c r="CC1624" s="271" t="s">
        <v>832</v>
      </c>
      <c r="CF1624" s="13"/>
      <c r="CW1624" s="30">
        <f t="shared" si="255"/>
        <v>1</v>
      </c>
      <c r="CX1624" s="30">
        <f t="shared" ref="CX1624:CX1631" si="257">+IF($J$1623="nemá",0,1)</f>
        <v>1</v>
      </c>
      <c r="CZ1624" s="30">
        <f t="shared" si="245"/>
        <v>1</v>
      </c>
      <c r="DA1624" s="52">
        <f t="shared" si="256"/>
        <v>1</v>
      </c>
      <c r="DB1624" s="2">
        <f t="shared" si="247"/>
        <v>0</v>
      </c>
      <c r="DS1624" s="130">
        <f>SI!BY1624</f>
        <v>1059</v>
      </c>
      <c r="DZ1624" s="131">
        <f>SI!BZ1624</f>
        <v>0</v>
      </c>
    </row>
    <row r="1625" spans="1:130" hidden="1" x14ac:dyDescent="0.25">
      <c r="A1625" s="141"/>
      <c r="CA1625" s="270"/>
      <c r="CB1625" s="3" t="str">
        <f t="shared" si="250"/>
        <v>Riadok bude skrytý.</v>
      </c>
      <c r="CC1625" s="271" t="s">
        <v>832</v>
      </c>
      <c r="CW1625" s="30">
        <f t="shared" si="255"/>
        <v>1</v>
      </c>
      <c r="CX1625" s="30">
        <f t="shared" si="257"/>
        <v>1</v>
      </c>
      <c r="CZ1625" s="30">
        <f t="shared" si="245"/>
        <v>1</v>
      </c>
      <c r="DA1625" s="52">
        <f t="shared" si="256"/>
        <v>1</v>
      </c>
      <c r="DB1625" s="2">
        <f t="shared" si="247"/>
        <v>0</v>
      </c>
      <c r="DS1625" s="130">
        <f>SI!BY1625</f>
        <v>516</v>
      </c>
      <c r="DZ1625" s="131">
        <f>SI!BZ1625</f>
        <v>0</v>
      </c>
    </row>
    <row r="1626" spans="1:130" ht="14.95" hidden="1" customHeight="1" x14ac:dyDescent="0.25">
      <c r="A1626" s="141"/>
      <c r="B1626" s="439" t="s">
        <v>209</v>
      </c>
      <c r="C1626" s="440"/>
      <c r="D1626" s="440"/>
      <c r="E1626" s="440"/>
      <c r="F1626" s="440"/>
      <c r="G1626" s="440"/>
      <c r="H1626" s="440"/>
      <c r="I1626" s="440"/>
      <c r="J1626" s="440"/>
      <c r="K1626" s="440"/>
      <c r="L1626" s="440"/>
      <c r="M1626" s="440"/>
      <c r="N1626" s="440"/>
      <c r="O1626" s="440"/>
      <c r="P1626" s="440"/>
      <c r="Q1626" s="440"/>
      <c r="R1626" s="440"/>
      <c r="S1626" s="440"/>
      <c r="T1626" s="440"/>
      <c r="U1626" s="440"/>
      <c r="V1626" s="440"/>
      <c r="W1626" s="440"/>
      <c r="X1626" s="440"/>
      <c r="Y1626" s="440"/>
      <c r="Z1626" s="440"/>
      <c r="AA1626" s="440"/>
      <c r="AB1626" s="441"/>
      <c r="AC1626" s="445">
        <f>+AJ141</f>
        <v>2021</v>
      </c>
      <c r="AD1626" s="446"/>
      <c r="AE1626" s="446"/>
      <c r="AF1626" s="446"/>
      <c r="AG1626" s="446"/>
      <c r="AH1626" s="446"/>
      <c r="AI1626" s="446"/>
      <c r="AJ1626" s="446"/>
      <c r="AK1626" s="446"/>
      <c r="AL1626" s="446"/>
      <c r="AM1626" s="446"/>
      <c r="AN1626" s="446"/>
      <c r="AO1626" s="446"/>
      <c r="AP1626" s="446"/>
      <c r="AQ1626" s="446"/>
      <c r="AR1626" s="446"/>
      <c r="AS1626" s="446"/>
      <c r="AT1626" s="446"/>
      <c r="AU1626" s="446"/>
      <c r="AV1626" s="446"/>
      <c r="AW1626" s="446"/>
      <c r="AX1626" s="446"/>
      <c r="AY1626" s="446"/>
      <c r="AZ1626" s="446"/>
      <c r="BA1626" s="446"/>
      <c r="BB1626" s="446"/>
      <c r="BC1626" s="446"/>
      <c r="BD1626" s="446"/>
      <c r="BE1626" s="446"/>
      <c r="BF1626" s="446"/>
      <c r="BG1626" s="446"/>
      <c r="BH1626" s="446"/>
      <c r="BI1626" s="446"/>
      <c r="BJ1626" s="446"/>
      <c r="BK1626" s="446"/>
      <c r="BL1626" s="446"/>
      <c r="BM1626" s="446"/>
      <c r="BN1626" s="446"/>
      <c r="BO1626" s="446"/>
      <c r="BP1626" s="446"/>
      <c r="BQ1626" s="446"/>
      <c r="BR1626" s="446"/>
      <c r="BS1626" s="446"/>
      <c r="BT1626" s="446"/>
      <c r="BU1626" s="446"/>
      <c r="BV1626" s="446"/>
      <c r="BW1626" s="446"/>
      <c r="BX1626" s="446"/>
      <c r="BY1626" s="446"/>
      <c r="BZ1626" s="447"/>
      <c r="CA1626" s="265" t="s">
        <v>773</v>
      </c>
      <c r="CB1626" s="3" t="str">
        <f t="shared" si="250"/>
        <v>Riadok bude skrytý.</v>
      </c>
      <c r="CC1626" s="271" t="s">
        <v>832</v>
      </c>
      <c r="CD1626" s="4"/>
      <c r="CW1626" s="30">
        <f t="shared" si="255"/>
        <v>1</v>
      </c>
      <c r="CX1626" s="30">
        <f t="shared" si="257"/>
        <v>1</v>
      </c>
      <c r="CZ1626" s="30">
        <f t="shared" si="245"/>
        <v>1</v>
      </c>
      <c r="DA1626" s="52">
        <f t="shared" si="256"/>
        <v>1</v>
      </c>
      <c r="DB1626" s="2">
        <f t="shared" si="247"/>
        <v>0</v>
      </c>
      <c r="DS1626" s="130">
        <f>SI!BY1626</f>
        <v>108</v>
      </c>
      <c r="DZ1626" s="131">
        <f>SI!BZ1626</f>
        <v>0</v>
      </c>
    </row>
    <row r="1627" spans="1:130" hidden="1" x14ac:dyDescent="0.25">
      <c r="A1627" s="141"/>
      <c r="B1627" s="442"/>
      <c r="C1627" s="443"/>
      <c r="D1627" s="443"/>
      <c r="E1627" s="443"/>
      <c r="F1627" s="443"/>
      <c r="G1627" s="443"/>
      <c r="H1627" s="443"/>
      <c r="I1627" s="443"/>
      <c r="J1627" s="443"/>
      <c r="K1627" s="443"/>
      <c r="L1627" s="443"/>
      <c r="M1627" s="443"/>
      <c r="N1627" s="443"/>
      <c r="O1627" s="443"/>
      <c r="P1627" s="443"/>
      <c r="Q1627" s="443"/>
      <c r="R1627" s="443"/>
      <c r="S1627" s="443"/>
      <c r="T1627" s="443"/>
      <c r="U1627" s="443"/>
      <c r="V1627" s="443"/>
      <c r="W1627" s="443"/>
      <c r="X1627" s="443"/>
      <c r="Y1627" s="443"/>
      <c r="Z1627" s="443"/>
      <c r="AA1627" s="443"/>
      <c r="AB1627" s="444"/>
      <c r="AC1627" s="448" t="s">
        <v>928</v>
      </c>
      <c r="AD1627" s="449"/>
      <c r="AE1627" s="449"/>
      <c r="AF1627" s="449"/>
      <c r="AG1627" s="449"/>
      <c r="AH1627" s="449"/>
      <c r="AI1627" s="449"/>
      <c r="AJ1627" s="449"/>
      <c r="AK1627" s="449"/>
      <c r="AL1627" s="449"/>
      <c r="AM1627" s="449"/>
      <c r="AN1627" s="449"/>
      <c r="AO1627" s="449"/>
      <c r="AP1627" s="449"/>
      <c r="AQ1627" s="449"/>
      <c r="AR1627" s="449"/>
      <c r="AS1627" s="449"/>
      <c r="AT1627" s="449"/>
      <c r="AU1627" s="449"/>
      <c r="AV1627" s="449"/>
      <c r="AW1627" s="449"/>
      <c r="AX1627" s="449"/>
      <c r="AY1627" s="449"/>
      <c r="AZ1627" s="449"/>
      <c r="BA1627" s="449"/>
      <c r="BB1627" s="450"/>
      <c r="BC1627" s="435" t="s">
        <v>210</v>
      </c>
      <c r="BD1627" s="436"/>
      <c r="BE1627" s="436"/>
      <c r="BF1627" s="436"/>
      <c r="BG1627" s="436"/>
      <c r="BH1627" s="436"/>
      <c r="BI1627" s="436"/>
      <c r="BJ1627" s="436"/>
      <c r="BK1627" s="436"/>
      <c r="BL1627" s="436"/>
      <c r="BM1627" s="436"/>
      <c r="BN1627" s="436"/>
      <c r="BO1627" s="436"/>
      <c r="BP1627" s="436"/>
      <c r="BQ1627" s="436"/>
      <c r="BR1627" s="436"/>
      <c r="BS1627" s="436"/>
      <c r="BT1627" s="436"/>
      <c r="BU1627" s="436"/>
      <c r="BV1627" s="436"/>
      <c r="BW1627" s="436"/>
      <c r="BX1627" s="436"/>
      <c r="BY1627" s="436"/>
      <c r="BZ1627" s="437"/>
      <c r="CA1627" s="270"/>
      <c r="CB1627" s="3" t="str">
        <f t="shared" si="250"/>
        <v>Riadok bude skrytý.</v>
      </c>
      <c r="CC1627" s="271" t="s">
        <v>832</v>
      </c>
      <c r="CW1627" s="30">
        <f t="shared" si="255"/>
        <v>1</v>
      </c>
      <c r="CX1627" s="30">
        <f t="shared" si="257"/>
        <v>1</v>
      </c>
      <c r="CZ1627" s="30">
        <f t="shared" si="245"/>
        <v>1</v>
      </c>
      <c r="DA1627" s="52">
        <f t="shared" si="256"/>
        <v>1</v>
      </c>
      <c r="DB1627" s="2">
        <f t="shared" si="247"/>
        <v>0</v>
      </c>
      <c r="DS1627" s="130">
        <f>SI!BY1627</f>
        <v>857</v>
      </c>
      <c r="DZ1627" s="131">
        <f>SI!BZ1627</f>
        <v>0</v>
      </c>
    </row>
    <row r="1628" spans="1:130" hidden="1" x14ac:dyDescent="0.25">
      <c r="A1628" s="141"/>
      <c r="B1628" s="524" t="s">
        <v>0</v>
      </c>
      <c r="C1628" s="525"/>
      <c r="D1628" s="525"/>
      <c r="E1628" s="525"/>
      <c r="F1628" s="525"/>
      <c r="G1628" s="525"/>
      <c r="H1628" s="525"/>
      <c r="I1628" s="525"/>
      <c r="J1628" s="525"/>
      <c r="K1628" s="525"/>
      <c r="L1628" s="525"/>
      <c r="M1628" s="525"/>
      <c r="N1628" s="525"/>
      <c r="O1628" s="525"/>
      <c r="P1628" s="525"/>
      <c r="Q1628" s="525"/>
      <c r="R1628" s="525"/>
      <c r="S1628" s="525"/>
      <c r="T1628" s="525"/>
      <c r="U1628" s="525"/>
      <c r="V1628" s="525"/>
      <c r="W1628" s="525"/>
      <c r="X1628" s="525"/>
      <c r="Y1628" s="525"/>
      <c r="Z1628" s="525"/>
      <c r="AA1628" s="525"/>
      <c r="AB1628" s="723"/>
      <c r="AC1628" s="524" t="s">
        <v>1</v>
      </c>
      <c r="AD1628" s="525"/>
      <c r="AE1628" s="525"/>
      <c r="AF1628" s="525"/>
      <c r="AG1628" s="525"/>
      <c r="AH1628" s="525"/>
      <c r="AI1628" s="525"/>
      <c r="AJ1628" s="525"/>
      <c r="AK1628" s="525"/>
      <c r="AL1628" s="525"/>
      <c r="AM1628" s="525"/>
      <c r="AN1628" s="525"/>
      <c r="AO1628" s="525"/>
      <c r="AP1628" s="525"/>
      <c r="AQ1628" s="525"/>
      <c r="AR1628" s="525"/>
      <c r="AS1628" s="525"/>
      <c r="AT1628" s="525"/>
      <c r="AU1628" s="525"/>
      <c r="AV1628" s="525"/>
      <c r="AW1628" s="525"/>
      <c r="AX1628" s="525"/>
      <c r="AY1628" s="525"/>
      <c r="AZ1628" s="525"/>
      <c r="BA1628" s="525"/>
      <c r="BB1628" s="723"/>
      <c r="BC1628" s="524" t="s">
        <v>2</v>
      </c>
      <c r="BD1628" s="525"/>
      <c r="BE1628" s="525"/>
      <c r="BF1628" s="525"/>
      <c r="BG1628" s="525"/>
      <c r="BH1628" s="525"/>
      <c r="BI1628" s="525"/>
      <c r="BJ1628" s="525"/>
      <c r="BK1628" s="525"/>
      <c r="BL1628" s="525"/>
      <c r="BM1628" s="525"/>
      <c r="BN1628" s="525"/>
      <c r="BO1628" s="525"/>
      <c r="BP1628" s="525"/>
      <c r="BQ1628" s="525"/>
      <c r="BR1628" s="525"/>
      <c r="BS1628" s="525"/>
      <c r="BT1628" s="525"/>
      <c r="BU1628" s="525"/>
      <c r="BV1628" s="525"/>
      <c r="BW1628" s="525"/>
      <c r="BX1628" s="525"/>
      <c r="BY1628" s="525"/>
      <c r="BZ1628" s="723"/>
      <c r="CA1628" s="270"/>
      <c r="CB1628" s="3" t="str">
        <f t="shared" si="250"/>
        <v>Riadok bude skrytý.</v>
      </c>
      <c r="CC1628" s="271" t="s">
        <v>832</v>
      </c>
      <c r="CW1628" s="30">
        <f t="shared" si="255"/>
        <v>1</v>
      </c>
      <c r="CX1628" s="30">
        <f t="shared" si="257"/>
        <v>1</v>
      </c>
      <c r="CZ1628" s="30">
        <f t="shared" si="245"/>
        <v>1</v>
      </c>
      <c r="DA1628" s="52">
        <f t="shared" si="256"/>
        <v>1</v>
      </c>
      <c r="DB1628" s="2">
        <f t="shared" si="247"/>
        <v>0</v>
      </c>
      <c r="DS1628" s="130">
        <f>SI!BY1628</f>
        <v>116</v>
      </c>
      <c r="DZ1628" s="131">
        <f>SI!BZ1628</f>
        <v>0</v>
      </c>
    </row>
    <row r="1629" spans="1:130" ht="26.35" hidden="1" customHeight="1" x14ac:dyDescent="0.25">
      <c r="A1629" s="141"/>
      <c r="B1629" s="451" t="s">
        <v>211</v>
      </c>
      <c r="C1629" s="452"/>
      <c r="D1629" s="452"/>
      <c r="E1629" s="452"/>
      <c r="F1629" s="452"/>
      <c r="G1629" s="452"/>
      <c r="H1629" s="452"/>
      <c r="I1629" s="452"/>
      <c r="J1629" s="452"/>
      <c r="K1629" s="452"/>
      <c r="L1629" s="452"/>
      <c r="M1629" s="452"/>
      <c r="N1629" s="452"/>
      <c r="O1629" s="452"/>
      <c r="P1629" s="452"/>
      <c r="Q1629" s="452"/>
      <c r="R1629" s="452"/>
      <c r="S1629" s="452"/>
      <c r="T1629" s="452"/>
      <c r="U1629" s="452"/>
      <c r="V1629" s="452"/>
      <c r="W1629" s="452"/>
      <c r="X1629" s="452"/>
      <c r="Y1629" s="452"/>
      <c r="Z1629" s="452"/>
      <c r="AA1629" s="452"/>
      <c r="AB1629" s="453"/>
      <c r="AC1629" s="417"/>
      <c r="AD1629" s="418"/>
      <c r="AE1629" s="418"/>
      <c r="AF1629" s="418"/>
      <c r="AG1629" s="418"/>
      <c r="AH1629" s="418"/>
      <c r="AI1629" s="418"/>
      <c r="AJ1629" s="418"/>
      <c r="AK1629" s="418"/>
      <c r="AL1629" s="418"/>
      <c r="AM1629" s="418"/>
      <c r="AN1629" s="418"/>
      <c r="AO1629" s="418"/>
      <c r="AP1629" s="418"/>
      <c r="AQ1629" s="418"/>
      <c r="AR1629" s="418"/>
      <c r="AS1629" s="418"/>
      <c r="AT1629" s="418"/>
      <c r="AU1629" s="418"/>
      <c r="AV1629" s="418"/>
      <c r="AW1629" s="418"/>
      <c r="AX1629" s="418"/>
      <c r="AY1629" s="418"/>
      <c r="AZ1629" s="418"/>
      <c r="BA1629" s="418"/>
      <c r="BB1629" s="419"/>
      <c r="BC1629" s="417"/>
      <c r="BD1629" s="418"/>
      <c r="BE1629" s="418"/>
      <c r="BF1629" s="418"/>
      <c r="BG1629" s="418"/>
      <c r="BH1629" s="418"/>
      <c r="BI1629" s="418"/>
      <c r="BJ1629" s="418"/>
      <c r="BK1629" s="418"/>
      <c r="BL1629" s="418"/>
      <c r="BM1629" s="418"/>
      <c r="BN1629" s="418"/>
      <c r="BO1629" s="418"/>
      <c r="BP1629" s="418"/>
      <c r="BQ1629" s="418"/>
      <c r="BR1629" s="418"/>
      <c r="BS1629" s="418"/>
      <c r="BT1629" s="418"/>
      <c r="BU1629" s="418"/>
      <c r="BV1629" s="418"/>
      <c r="BW1629" s="418"/>
      <c r="BX1629" s="418"/>
      <c r="BY1629" s="418"/>
      <c r="BZ1629" s="419"/>
      <c r="CA1629" s="270"/>
      <c r="CB1629" s="3" t="str">
        <f t="shared" si="250"/>
        <v>Riadok bude skrytý.</v>
      </c>
      <c r="CC1629" s="271" t="s">
        <v>832</v>
      </c>
      <c r="CW1629" s="30">
        <f t="shared" si="255"/>
        <v>1</v>
      </c>
      <c r="CX1629" s="30">
        <f t="shared" si="257"/>
        <v>1</v>
      </c>
      <c r="CZ1629" s="30">
        <f t="shared" si="245"/>
        <v>1</v>
      </c>
      <c r="DA1629" s="52">
        <f t="shared" si="256"/>
        <v>1</v>
      </c>
      <c r="DB1629" s="2">
        <f t="shared" si="247"/>
        <v>0</v>
      </c>
      <c r="DS1629" s="130">
        <f>SI!BY1629</f>
        <v>940</v>
      </c>
      <c r="DZ1629" s="131">
        <f>SI!BZ1629</f>
        <v>0</v>
      </c>
    </row>
    <row r="1630" spans="1:130" ht="26.35" hidden="1" customHeight="1" x14ac:dyDescent="0.25">
      <c r="A1630" s="141"/>
      <c r="B1630" s="1036" t="s">
        <v>212</v>
      </c>
      <c r="C1630" s="1037"/>
      <c r="D1630" s="1037"/>
      <c r="E1630" s="1037"/>
      <c r="F1630" s="1037"/>
      <c r="G1630" s="1037"/>
      <c r="H1630" s="1037"/>
      <c r="I1630" s="1037"/>
      <c r="J1630" s="1037"/>
      <c r="K1630" s="1037"/>
      <c r="L1630" s="1037"/>
      <c r="M1630" s="1037"/>
      <c r="N1630" s="1037"/>
      <c r="O1630" s="1037"/>
      <c r="P1630" s="1037"/>
      <c r="Q1630" s="1037"/>
      <c r="R1630" s="1037"/>
      <c r="S1630" s="1037"/>
      <c r="T1630" s="1037"/>
      <c r="U1630" s="1037"/>
      <c r="V1630" s="1037"/>
      <c r="W1630" s="1037"/>
      <c r="X1630" s="1037"/>
      <c r="Y1630" s="1037"/>
      <c r="Z1630" s="1037"/>
      <c r="AA1630" s="1037"/>
      <c r="AB1630" s="1623"/>
      <c r="AC1630" s="2078" t="s">
        <v>26</v>
      </c>
      <c r="AD1630" s="2079"/>
      <c r="AE1630" s="2079"/>
      <c r="AF1630" s="2079"/>
      <c r="AG1630" s="2079"/>
      <c r="AH1630" s="2079"/>
      <c r="AI1630" s="2079"/>
      <c r="AJ1630" s="2079"/>
      <c r="AK1630" s="2079"/>
      <c r="AL1630" s="2079"/>
      <c r="AM1630" s="2079"/>
      <c r="AN1630" s="2079"/>
      <c r="AO1630" s="2079"/>
      <c r="AP1630" s="2079"/>
      <c r="AQ1630" s="2079"/>
      <c r="AR1630" s="2079"/>
      <c r="AS1630" s="2079"/>
      <c r="AT1630" s="2079"/>
      <c r="AU1630" s="2079"/>
      <c r="AV1630" s="2079"/>
      <c r="AW1630" s="2079"/>
      <c r="AX1630" s="2079"/>
      <c r="AY1630" s="2079"/>
      <c r="AZ1630" s="2079"/>
      <c r="BA1630" s="2079"/>
      <c r="BB1630" s="2080"/>
      <c r="BC1630" s="511"/>
      <c r="BD1630" s="482"/>
      <c r="BE1630" s="482"/>
      <c r="BF1630" s="482"/>
      <c r="BG1630" s="482"/>
      <c r="BH1630" s="482"/>
      <c r="BI1630" s="482"/>
      <c r="BJ1630" s="482"/>
      <c r="BK1630" s="482"/>
      <c r="BL1630" s="482"/>
      <c r="BM1630" s="482"/>
      <c r="BN1630" s="482"/>
      <c r="BO1630" s="482"/>
      <c r="BP1630" s="482"/>
      <c r="BQ1630" s="482"/>
      <c r="BR1630" s="482"/>
      <c r="BS1630" s="482"/>
      <c r="BT1630" s="482"/>
      <c r="BU1630" s="482"/>
      <c r="BV1630" s="482"/>
      <c r="BW1630" s="482"/>
      <c r="BX1630" s="482"/>
      <c r="BY1630" s="482"/>
      <c r="BZ1630" s="483"/>
      <c r="CA1630" s="270"/>
      <c r="CB1630" s="3" t="str">
        <f t="shared" si="250"/>
        <v>Riadok bude skrytý.</v>
      </c>
      <c r="CC1630" s="271" t="s">
        <v>832</v>
      </c>
      <c r="CW1630" s="30">
        <f t="shared" si="255"/>
        <v>1</v>
      </c>
      <c r="CX1630" s="30">
        <f t="shared" si="257"/>
        <v>1</v>
      </c>
      <c r="CZ1630" s="30">
        <f t="shared" ref="CZ1630:CZ1693" si="258">IF(CC1630="",1,IF(CC1630="Chcem skryť riadok.",0,1))</f>
        <v>1</v>
      </c>
      <c r="DA1630" s="52">
        <f t="shared" si="256"/>
        <v>1</v>
      </c>
      <c r="DB1630" s="2">
        <f t="shared" si="247"/>
        <v>0</v>
      </c>
      <c r="DS1630" s="130">
        <f>SI!BY1630</f>
        <v>118</v>
      </c>
      <c r="DZ1630" s="131">
        <f>SI!BZ1630</f>
        <v>0</v>
      </c>
    </row>
    <row r="1631" spans="1:130" ht="26.35" hidden="1" customHeight="1" x14ac:dyDescent="0.25">
      <c r="A1631" s="141"/>
      <c r="B1631" s="432" t="s">
        <v>213</v>
      </c>
      <c r="C1631" s="433"/>
      <c r="D1631" s="433"/>
      <c r="E1631" s="433"/>
      <c r="F1631" s="433"/>
      <c r="G1631" s="433"/>
      <c r="H1631" s="433"/>
      <c r="I1631" s="433"/>
      <c r="J1631" s="433"/>
      <c r="K1631" s="433"/>
      <c r="L1631" s="433"/>
      <c r="M1631" s="433"/>
      <c r="N1631" s="433"/>
      <c r="O1631" s="433"/>
      <c r="P1631" s="433"/>
      <c r="Q1631" s="433"/>
      <c r="R1631" s="433"/>
      <c r="S1631" s="433"/>
      <c r="T1631" s="433"/>
      <c r="U1631" s="433"/>
      <c r="V1631" s="433"/>
      <c r="W1631" s="433"/>
      <c r="X1631" s="433"/>
      <c r="Y1631" s="433"/>
      <c r="Z1631" s="433"/>
      <c r="AA1631" s="433"/>
      <c r="AB1631" s="434"/>
      <c r="AC1631" s="414" t="s">
        <v>26</v>
      </c>
      <c r="AD1631" s="415"/>
      <c r="AE1631" s="415"/>
      <c r="AF1631" s="415"/>
      <c r="AG1631" s="415"/>
      <c r="AH1631" s="415"/>
      <c r="AI1631" s="415"/>
      <c r="AJ1631" s="415"/>
      <c r="AK1631" s="415"/>
      <c r="AL1631" s="415"/>
      <c r="AM1631" s="415"/>
      <c r="AN1631" s="415"/>
      <c r="AO1631" s="415"/>
      <c r="AP1631" s="415"/>
      <c r="AQ1631" s="415"/>
      <c r="AR1631" s="415"/>
      <c r="AS1631" s="415"/>
      <c r="AT1631" s="415"/>
      <c r="AU1631" s="415"/>
      <c r="AV1631" s="415"/>
      <c r="AW1631" s="415"/>
      <c r="AX1631" s="415"/>
      <c r="AY1631" s="415"/>
      <c r="AZ1631" s="415"/>
      <c r="BA1631" s="415"/>
      <c r="BB1631" s="416"/>
      <c r="BC1631" s="454"/>
      <c r="BD1631" s="455"/>
      <c r="BE1631" s="455"/>
      <c r="BF1631" s="455"/>
      <c r="BG1631" s="455"/>
      <c r="BH1631" s="455"/>
      <c r="BI1631" s="455"/>
      <c r="BJ1631" s="455"/>
      <c r="BK1631" s="455"/>
      <c r="BL1631" s="455"/>
      <c r="BM1631" s="455"/>
      <c r="BN1631" s="455"/>
      <c r="BO1631" s="455"/>
      <c r="BP1631" s="455"/>
      <c r="BQ1631" s="455"/>
      <c r="BR1631" s="455"/>
      <c r="BS1631" s="455"/>
      <c r="BT1631" s="455"/>
      <c r="BU1631" s="455"/>
      <c r="BV1631" s="455"/>
      <c r="BW1631" s="455"/>
      <c r="BX1631" s="455"/>
      <c r="BY1631" s="455"/>
      <c r="BZ1631" s="456"/>
      <c r="CA1631" s="270"/>
      <c r="CB1631" s="3" t="str">
        <f t="shared" si="250"/>
        <v>Riadok bude skrytý.</v>
      </c>
      <c r="CC1631" s="271" t="s">
        <v>832</v>
      </c>
      <c r="CD1631" s="137"/>
      <c r="CE1631" s="137"/>
      <c r="CF1631" s="137"/>
      <c r="CG1631" s="137"/>
      <c r="CH1631" s="137"/>
      <c r="CI1631" s="137"/>
      <c r="CJ1631" s="137"/>
      <c r="CK1631" s="137"/>
      <c r="CL1631" s="137"/>
      <c r="CM1631" s="137"/>
      <c r="CN1631" s="137"/>
      <c r="CO1631" s="137"/>
      <c r="CP1631" s="137"/>
      <c r="CW1631" s="30">
        <f t="shared" si="255"/>
        <v>1</v>
      </c>
      <c r="CX1631" s="30">
        <f t="shared" si="257"/>
        <v>1</v>
      </c>
      <c r="CZ1631" s="30">
        <f t="shared" si="258"/>
        <v>1</v>
      </c>
      <c r="DA1631" s="52">
        <f t="shared" si="256"/>
        <v>1</v>
      </c>
      <c r="DB1631" s="2">
        <f t="shared" si="247"/>
        <v>0</v>
      </c>
      <c r="DS1631" s="130">
        <f>SI!BY1631</f>
        <v>312</v>
      </c>
      <c r="DZ1631" s="131">
        <f>SI!BZ1631</f>
        <v>0</v>
      </c>
    </row>
    <row r="1632" spans="1:130" hidden="1" x14ac:dyDescent="0.25">
      <c r="A1632" s="141"/>
      <c r="CA1632" s="142"/>
      <c r="CB1632" s="3" t="str">
        <f t="shared" si="250"/>
        <v>Riadok bude skrytý.</v>
      </c>
      <c r="CC1632" s="271" t="s">
        <v>832</v>
      </c>
      <c r="CW1632" s="30">
        <f t="shared" si="255"/>
        <v>1</v>
      </c>
      <c r="CZ1632" s="30">
        <f t="shared" si="258"/>
        <v>1</v>
      </c>
      <c r="DA1632" s="30">
        <f>+IF(CW1632+CX1632+CY1632=0,0,IF(CZ1632=0,0,1))</f>
        <v>1</v>
      </c>
      <c r="DB1632" s="2">
        <f t="shared" si="247"/>
        <v>0</v>
      </c>
      <c r="DS1632" s="130">
        <f>SI!BY1632</f>
        <v>171</v>
      </c>
      <c r="DZ1632" s="131">
        <f>SI!BZ1632</f>
        <v>0</v>
      </c>
    </row>
    <row r="1633" spans="1:130" hidden="1" x14ac:dyDescent="0.25">
      <c r="A1633" s="141"/>
      <c r="B1633" s="137" t="s">
        <v>208</v>
      </c>
      <c r="J1633" s="378" t="s">
        <v>854</v>
      </c>
      <c r="K1633" s="378"/>
      <c r="L1633" s="378"/>
      <c r="M1633" s="378"/>
      <c r="N1633" s="378"/>
      <c r="O1633" s="378"/>
      <c r="P1633" s="378"/>
      <c r="Q1633" s="378"/>
      <c r="R1633" s="378"/>
      <c r="S1633" s="378"/>
      <c r="T1633" s="137" t="str">
        <f>+IF($U$52&lt;&gt;"",IF((ROUNDDOWN(CODE(MID($U$52,1,1)),0)-(BIN2DEC(1010)/10))*(IF(SI!EE1633="",1,SI!EE1633-3))+(LEN(SI!J2)+LEN(SI!J5))=DS1633,"majetok formou finančného leasingu iným subjektom.","NEPOVOLENÉ POUŽITIE!"),"NEPOVOLENÉ POUŽITIE!")</f>
        <v>majetok formou finančného leasingu iným subjektom.</v>
      </c>
      <c r="CA1633" s="265" t="s">
        <v>773</v>
      </c>
      <c r="CB1633" s="3" t="str">
        <f t="shared" si="250"/>
        <v>Riadok bude skrytý.</v>
      </c>
      <c r="CC1633" s="271" t="s">
        <v>832</v>
      </c>
      <c r="CW1633" s="30">
        <f t="shared" si="255"/>
        <v>1</v>
      </c>
      <c r="CX1633" s="30">
        <f>+IF($J$1633="neprenajíma",1,1)</f>
        <v>1</v>
      </c>
      <c r="CZ1633" s="30">
        <f t="shared" si="258"/>
        <v>1</v>
      </c>
      <c r="DA1633" s="52">
        <f t="shared" si="256"/>
        <v>1</v>
      </c>
      <c r="DB1633" s="2">
        <f t="shared" si="247"/>
        <v>0</v>
      </c>
      <c r="DS1633" s="130">
        <f>SI!BY1633</f>
        <v>28</v>
      </c>
      <c r="DZ1633" s="131">
        <f>SI!BZ1633</f>
        <v>0</v>
      </c>
    </row>
    <row r="1634" spans="1:130" hidden="1" x14ac:dyDescent="0.25">
      <c r="A1634" s="141"/>
      <c r="B1634" s="137" t="str">
        <f>+IF(J1633="neprenajíma","","Výška budúcich platieb rozdelená na istinu a finančný výnos podľa doby splatnosti je uvedená v tabuľke:")</f>
        <v>Výška budúcich platieb rozdelená na istinu a finančný výnos podľa doby splatnosti je uvedená v tabuľke:</v>
      </c>
      <c r="CA1634" s="270"/>
      <c r="CB1634" s="3" t="str">
        <f t="shared" si="250"/>
        <v>Riadok bude skrytý.</v>
      </c>
      <c r="CC1634" s="271" t="s">
        <v>832</v>
      </c>
      <c r="CW1634" s="30">
        <f t="shared" si="255"/>
        <v>1</v>
      </c>
      <c r="CX1634" s="30">
        <f t="shared" ref="CX1634:CX1644" si="259">+IF($J$1633="neprenajíma",0,1)</f>
        <v>1</v>
      </c>
      <c r="CZ1634" s="30">
        <f t="shared" si="258"/>
        <v>1</v>
      </c>
      <c r="DA1634" s="52">
        <f t="shared" si="256"/>
        <v>1</v>
      </c>
      <c r="DB1634" s="2">
        <f t="shared" si="247"/>
        <v>0</v>
      </c>
      <c r="DS1634" s="130">
        <f>SI!BY1634</f>
        <v>166</v>
      </c>
      <c r="DZ1634" s="131">
        <f>SI!BZ1634</f>
        <v>0</v>
      </c>
    </row>
    <row r="1635" spans="1:130" hidden="1" x14ac:dyDescent="0.25">
      <c r="A1635" s="141"/>
      <c r="CA1635" s="270"/>
      <c r="CB1635" s="3" t="str">
        <f t="shared" si="250"/>
        <v>Riadok bude skrytý.</v>
      </c>
      <c r="CC1635" s="271" t="s">
        <v>832</v>
      </c>
      <c r="CW1635" s="30">
        <f t="shared" si="255"/>
        <v>1</v>
      </c>
      <c r="CX1635" s="30">
        <f t="shared" si="259"/>
        <v>1</v>
      </c>
      <c r="CZ1635" s="30">
        <f t="shared" si="258"/>
        <v>1</v>
      </c>
      <c r="DA1635" s="52">
        <f t="shared" si="256"/>
        <v>1</v>
      </c>
      <c r="DB1635" s="2">
        <f t="shared" si="247"/>
        <v>0</v>
      </c>
      <c r="DS1635" s="130">
        <f>SI!BY1635</f>
        <v>1084</v>
      </c>
      <c r="DZ1635" s="131">
        <f>SI!BZ1635</f>
        <v>0</v>
      </c>
    </row>
    <row r="1636" spans="1:130" hidden="1" x14ac:dyDescent="0.25">
      <c r="A1636" s="141"/>
      <c r="B1636" s="1073" t="s">
        <v>171</v>
      </c>
      <c r="C1636" s="1074"/>
      <c r="D1636" s="1074"/>
      <c r="E1636" s="1074"/>
      <c r="F1636" s="1074"/>
      <c r="G1636" s="1074"/>
      <c r="H1636" s="1074"/>
      <c r="I1636" s="1074"/>
      <c r="J1636" s="1074"/>
      <c r="K1636" s="1074"/>
      <c r="L1636" s="1074"/>
      <c r="M1636" s="1074"/>
      <c r="N1636" s="1074"/>
      <c r="O1636" s="1074"/>
      <c r="P1636" s="1074"/>
      <c r="Q1636" s="1074"/>
      <c r="R1636" s="1074"/>
      <c r="S1636" s="1074"/>
      <c r="T1636" s="1575"/>
      <c r="U1636" s="650">
        <f>+AJ141</f>
        <v>2021</v>
      </c>
      <c r="V1636" s="391"/>
      <c r="W1636" s="391"/>
      <c r="X1636" s="391"/>
      <c r="Y1636" s="391"/>
      <c r="Z1636" s="391"/>
      <c r="AA1636" s="391"/>
      <c r="AB1636" s="391"/>
      <c r="AC1636" s="391"/>
      <c r="AD1636" s="391"/>
      <c r="AE1636" s="391"/>
      <c r="AF1636" s="391"/>
      <c r="AG1636" s="391"/>
      <c r="AH1636" s="391"/>
      <c r="AI1636" s="391"/>
      <c r="AJ1636" s="391"/>
      <c r="AK1636" s="391"/>
      <c r="AL1636" s="391"/>
      <c r="AM1636" s="391"/>
      <c r="AN1636" s="391"/>
      <c r="AO1636" s="391"/>
      <c r="AP1636" s="391"/>
      <c r="AQ1636" s="391"/>
      <c r="AR1636" s="391"/>
      <c r="AS1636" s="391"/>
      <c r="AT1636" s="391"/>
      <c r="AU1636" s="391"/>
      <c r="AV1636" s="391"/>
      <c r="AW1636" s="392"/>
      <c r="AX1636" s="650">
        <f>+BE141</f>
        <v>2020</v>
      </c>
      <c r="AY1636" s="391"/>
      <c r="AZ1636" s="391"/>
      <c r="BA1636" s="391"/>
      <c r="BB1636" s="391"/>
      <c r="BC1636" s="391"/>
      <c r="BD1636" s="391"/>
      <c r="BE1636" s="391"/>
      <c r="BF1636" s="391"/>
      <c r="BG1636" s="391"/>
      <c r="BH1636" s="391"/>
      <c r="BI1636" s="391"/>
      <c r="BJ1636" s="391"/>
      <c r="BK1636" s="391"/>
      <c r="BL1636" s="391"/>
      <c r="BM1636" s="391"/>
      <c r="BN1636" s="391"/>
      <c r="BO1636" s="391"/>
      <c r="BP1636" s="391"/>
      <c r="BQ1636" s="391"/>
      <c r="BR1636" s="391"/>
      <c r="BS1636" s="391"/>
      <c r="BT1636" s="391"/>
      <c r="BU1636" s="391"/>
      <c r="BV1636" s="391"/>
      <c r="BW1636" s="391"/>
      <c r="BX1636" s="391"/>
      <c r="BY1636" s="391"/>
      <c r="BZ1636" s="392"/>
      <c r="CA1636" s="265" t="s">
        <v>773</v>
      </c>
      <c r="CB1636" s="3" t="str">
        <f t="shared" si="250"/>
        <v>Riadok bude skrytý.</v>
      </c>
      <c r="CC1636" s="271" t="s">
        <v>832</v>
      </c>
      <c r="CD1636" s="4"/>
      <c r="CW1636" s="30">
        <f t="shared" si="255"/>
        <v>1</v>
      </c>
      <c r="CX1636" s="30">
        <f t="shared" si="259"/>
        <v>1</v>
      </c>
      <c r="CZ1636" s="30">
        <f t="shared" si="258"/>
        <v>1</v>
      </c>
      <c r="DA1636" s="52">
        <f t="shared" si="256"/>
        <v>1</v>
      </c>
      <c r="DB1636" s="2">
        <f t="shared" si="247"/>
        <v>0</v>
      </c>
      <c r="DS1636" s="130">
        <f>SI!BY1636</f>
        <v>118</v>
      </c>
      <c r="DZ1636" s="131">
        <f>SI!BZ1636</f>
        <v>0</v>
      </c>
    </row>
    <row r="1637" spans="1:130" hidden="1" x14ac:dyDescent="0.25">
      <c r="A1637" s="141"/>
      <c r="B1637" s="1576"/>
      <c r="C1637" s="1577"/>
      <c r="D1637" s="1577"/>
      <c r="E1637" s="1577"/>
      <c r="F1637" s="1577"/>
      <c r="G1637" s="1577"/>
      <c r="H1637" s="1577"/>
      <c r="I1637" s="1577"/>
      <c r="J1637" s="1577"/>
      <c r="K1637" s="1577"/>
      <c r="L1637" s="1577"/>
      <c r="M1637" s="1577"/>
      <c r="N1637" s="1577"/>
      <c r="O1637" s="1577"/>
      <c r="P1637" s="1577"/>
      <c r="Q1637" s="1577"/>
      <c r="R1637" s="1577"/>
      <c r="S1637" s="1577"/>
      <c r="T1637" s="1578"/>
      <c r="U1637" s="598" t="s">
        <v>236</v>
      </c>
      <c r="V1637" s="645"/>
      <c r="W1637" s="645"/>
      <c r="X1637" s="645"/>
      <c r="Y1637" s="645"/>
      <c r="Z1637" s="645"/>
      <c r="AA1637" s="645"/>
      <c r="AB1637" s="645"/>
      <c r="AC1637" s="645"/>
      <c r="AD1637" s="645"/>
      <c r="AE1637" s="645"/>
      <c r="AF1637" s="645"/>
      <c r="AG1637" s="645"/>
      <c r="AH1637" s="645"/>
      <c r="AI1637" s="645"/>
      <c r="AJ1637" s="645"/>
      <c r="AK1637" s="645"/>
      <c r="AL1637" s="645"/>
      <c r="AM1637" s="645"/>
      <c r="AN1637" s="645"/>
      <c r="AO1637" s="645"/>
      <c r="AP1637" s="645"/>
      <c r="AQ1637" s="645"/>
      <c r="AR1637" s="645"/>
      <c r="AS1637" s="645"/>
      <c r="AT1637" s="645"/>
      <c r="AU1637" s="645"/>
      <c r="AV1637" s="645"/>
      <c r="AW1637" s="646"/>
      <c r="AX1637" s="598" t="s">
        <v>236</v>
      </c>
      <c r="AY1637" s="645"/>
      <c r="AZ1637" s="645"/>
      <c r="BA1637" s="645"/>
      <c r="BB1637" s="645"/>
      <c r="BC1637" s="645"/>
      <c r="BD1637" s="645"/>
      <c r="BE1637" s="645"/>
      <c r="BF1637" s="645"/>
      <c r="BG1637" s="645"/>
      <c r="BH1637" s="645"/>
      <c r="BI1637" s="645"/>
      <c r="BJ1637" s="645"/>
      <c r="BK1637" s="645"/>
      <c r="BL1637" s="645"/>
      <c r="BM1637" s="645"/>
      <c r="BN1637" s="645"/>
      <c r="BO1637" s="645"/>
      <c r="BP1637" s="645"/>
      <c r="BQ1637" s="645"/>
      <c r="BR1637" s="645"/>
      <c r="BS1637" s="645"/>
      <c r="BT1637" s="645"/>
      <c r="BU1637" s="645"/>
      <c r="BV1637" s="645"/>
      <c r="BW1637" s="645"/>
      <c r="BX1637" s="645"/>
      <c r="BY1637" s="645"/>
      <c r="BZ1637" s="646"/>
      <c r="CA1637" s="270"/>
      <c r="CB1637" s="3" t="str">
        <f t="shared" si="250"/>
        <v>Riadok bude skrytý.</v>
      </c>
      <c r="CC1637" s="271" t="s">
        <v>832</v>
      </c>
      <c r="CW1637" s="30">
        <f t="shared" si="255"/>
        <v>1</v>
      </c>
      <c r="CX1637" s="30">
        <f t="shared" si="259"/>
        <v>1</v>
      </c>
      <c r="CZ1637" s="30">
        <f t="shared" si="258"/>
        <v>1</v>
      </c>
      <c r="DA1637" s="52">
        <f t="shared" si="256"/>
        <v>1</v>
      </c>
      <c r="DB1637" s="2">
        <f t="shared" si="247"/>
        <v>0</v>
      </c>
      <c r="DS1637" s="130">
        <f>SI!BY1637</f>
        <v>149</v>
      </c>
      <c r="DZ1637" s="131">
        <f>SI!BZ1637</f>
        <v>0</v>
      </c>
    </row>
    <row r="1638" spans="1:130" ht="14.95" hidden="1" customHeight="1" x14ac:dyDescent="0.25">
      <c r="A1638" s="141"/>
      <c r="B1638" s="1576"/>
      <c r="C1638" s="1577"/>
      <c r="D1638" s="1577"/>
      <c r="E1638" s="1577"/>
      <c r="F1638" s="1577"/>
      <c r="G1638" s="1577"/>
      <c r="H1638" s="1577"/>
      <c r="I1638" s="1577"/>
      <c r="J1638" s="1577"/>
      <c r="K1638" s="1577"/>
      <c r="L1638" s="1577"/>
      <c r="M1638" s="1577"/>
      <c r="N1638" s="1577"/>
      <c r="O1638" s="1577"/>
      <c r="P1638" s="1577"/>
      <c r="Q1638" s="1577"/>
      <c r="R1638" s="1577"/>
      <c r="S1638" s="1577"/>
      <c r="T1638" s="1578"/>
      <c r="U1638" s="543" t="s">
        <v>237</v>
      </c>
      <c r="V1638" s="544"/>
      <c r="W1638" s="544"/>
      <c r="X1638" s="544"/>
      <c r="Y1638" s="544"/>
      <c r="Z1638" s="544"/>
      <c r="AA1638" s="544"/>
      <c r="AB1638" s="544"/>
      <c r="AC1638" s="544"/>
      <c r="AD1638" s="543" t="s">
        <v>238</v>
      </c>
      <c r="AE1638" s="544"/>
      <c r="AF1638" s="544"/>
      <c r="AG1638" s="544"/>
      <c r="AH1638" s="544"/>
      <c r="AI1638" s="544"/>
      <c r="AJ1638" s="544"/>
      <c r="AK1638" s="544"/>
      <c r="AL1638" s="543" t="s">
        <v>239</v>
      </c>
      <c r="AM1638" s="544"/>
      <c r="AN1638" s="544"/>
      <c r="AO1638" s="544"/>
      <c r="AP1638" s="544"/>
      <c r="AQ1638" s="544"/>
      <c r="AR1638" s="544"/>
      <c r="AS1638" s="544"/>
      <c r="AT1638" s="544"/>
      <c r="AU1638" s="544"/>
      <c r="AV1638" s="544"/>
      <c r="AW1638" s="545"/>
      <c r="AX1638" s="543" t="s">
        <v>237</v>
      </c>
      <c r="AY1638" s="544"/>
      <c r="AZ1638" s="544"/>
      <c r="BA1638" s="544"/>
      <c r="BB1638" s="544"/>
      <c r="BC1638" s="544"/>
      <c r="BD1638" s="544"/>
      <c r="BE1638" s="544"/>
      <c r="BF1638" s="545"/>
      <c r="BG1638" s="544" t="s">
        <v>238</v>
      </c>
      <c r="BH1638" s="544"/>
      <c r="BI1638" s="544"/>
      <c r="BJ1638" s="544"/>
      <c r="BK1638" s="544"/>
      <c r="BL1638" s="544"/>
      <c r="BM1638" s="544"/>
      <c r="BN1638" s="544"/>
      <c r="BO1638" s="544"/>
      <c r="BP1638" s="545"/>
      <c r="BQ1638" s="543" t="s">
        <v>239</v>
      </c>
      <c r="BR1638" s="544"/>
      <c r="BS1638" s="544"/>
      <c r="BT1638" s="544"/>
      <c r="BU1638" s="544"/>
      <c r="BV1638" s="544"/>
      <c r="BW1638" s="544"/>
      <c r="BX1638" s="544"/>
      <c r="BY1638" s="544"/>
      <c r="BZ1638" s="545"/>
      <c r="CA1638" s="270"/>
      <c r="CB1638" s="3" t="str">
        <f t="shared" si="250"/>
        <v>Riadok bude skrytý.</v>
      </c>
      <c r="CC1638" s="271" t="s">
        <v>832</v>
      </c>
      <c r="CW1638" s="30">
        <f t="shared" si="255"/>
        <v>1</v>
      </c>
      <c r="CX1638" s="30">
        <f t="shared" si="259"/>
        <v>1</v>
      </c>
      <c r="CZ1638" s="30">
        <f t="shared" si="258"/>
        <v>1</v>
      </c>
      <c r="DA1638" s="52">
        <f t="shared" si="256"/>
        <v>1</v>
      </c>
      <c r="DB1638" s="2">
        <f t="shared" si="247"/>
        <v>0</v>
      </c>
      <c r="DS1638" s="130">
        <f>SI!BY1638</f>
        <v>203</v>
      </c>
      <c r="DZ1638" s="131">
        <f>SI!BZ1638</f>
        <v>0</v>
      </c>
    </row>
    <row r="1639" spans="1:130" hidden="1" x14ac:dyDescent="0.25">
      <c r="A1639" s="141"/>
      <c r="B1639" s="1576"/>
      <c r="C1639" s="1577"/>
      <c r="D1639" s="1577"/>
      <c r="E1639" s="1577"/>
      <c r="F1639" s="1577"/>
      <c r="G1639" s="1577"/>
      <c r="H1639" s="1577"/>
      <c r="I1639" s="1577"/>
      <c r="J1639" s="1577"/>
      <c r="K1639" s="1577"/>
      <c r="L1639" s="1577"/>
      <c r="M1639" s="1577"/>
      <c r="N1639" s="1577"/>
      <c r="O1639" s="1577"/>
      <c r="P1639" s="1577"/>
      <c r="Q1639" s="1577"/>
      <c r="R1639" s="1577"/>
      <c r="S1639" s="1577"/>
      <c r="T1639" s="1578"/>
      <c r="U1639" s="647"/>
      <c r="V1639" s="648"/>
      <c r="W1639" s="648"/>
      <c r="X1639" s="648"/>
      <c r="Y1639" s="648"/>
      <c r="Z1639" s="648"/>
      <c r="AA1639" s="648"/>
      <c r="AB1639" s="648"/>
      <c r="AC1639" s="648"/>
      <c r="AD1639" s="647"/>
      <c r="AE1639" s="648"/>
      <c r="AF1639" s="648"/>
      <c r="AG1639" s="648"/>
      <c r="AH1639" s="648"/>
      <c r="AI1639" s="648"/>
      <c r="AJ1639" s="648"/>
      <c r="AK1639" s="648"/>
      <c r="AL1639" s="647"/>
      <c r="AM1639" s="648"/>
      <c r="AN1639" s="648"/>
      <c r="AO1639" s="648"/>
      <c r="AP1639" s="648"/>
      <c r="AQ1639" s="648"/>
      <c r="AR1639" s="648"/>
      <c r="AS1639" s="648"/>
      <c r="AT1639" s="648"/>
      <c r="AU1639" s="648"/>
      <c r="AV1639" s="648"/>
      <c r="AW1639" s="649"/>
      <c r="AX1639" s="647"/>
      <c r="AY1639" s="648"/>
      <c r="AZ1639" s="648"/>
      <c r="BA1639" s="648"/>
      <c r="BB1639" s="648"/>
      <c r="BC1639" s="648"/>
      <c r="BD1639" s="648"/>
      <c r="BE1639" s="648"/>
      <c r="BF1639" s="649"/>
      <c r="BG1639" s="648"/>
      <c r="BH1639" s="648"/>
      <c r="BI1639" s="648"/>
      <c r="BJ1639" s="648"/>
      <c r="BK1639" s="648"/>
      <c r="BL1639" s="648"/>
      <c r="BM1639" s="648"/>
      <c r="BN1639" s="648"/>
      <c r="BO1639" s="648"/>
      <c r="BP1639" s="649"/>
      <c r="BQ1639" s="647"/>
      <c r="BR1639" s="648"/>
      <c r="BS1639" s="648"/>
      <c r="BT1639" s="648"/>
      <c r="BU1639" s="648"/>
      <c r="BV1639" s="648"/>
      <c r="BW1639" s="648"/>
      <c r="BX1639" s="648"/>
      <c r="BY1639" s="648"/>
      <c r="BZ1639" s="649"/>
      <c r="CA1639" s="270"/>
      <c r="CB1639" s="3" t="str">
        <f t="shared" si="250"/>
        <v>Riadok bude skrytý.</v>
      </c>
      <c r="CC1639" s="271" t="s">
        <v>832</v>
      </c>
      <c r="CW1639" s="30">
        <f t="shared" si="255"/>
        <v>1</v>
      </c>
      <c r="CX1639" s="30">
        <f t="shared" si="259"/>
        <v>1</v>
      </c>
      <c r="CZ1639" s="30">
        <f t="shared" si="258"/>
        <v>1</v>
      </c>
      <c r="DA1639" s="52">
        <f t="shared" si="256"/>
        <v>1</v>
      </c>
      <c r="DB1639" s="2">
        <f t="shared" si="247"/>
        <v>0</v>
      </c>
      <c r="DS1639" s="130">
        <f>SI!BY1639</f>
        <v>497</v>
      </c>
      <c r="DZ1639" s="131">
        <f>SI!BZ1639</f>
        <v>0</v>
      </c>
    </row>
    <row r="1640" spans="1:130" hidden="1" x14ac:dyDescent="0.25">
      <c r="A1640" s="141"/>
      <c r="B1640" s="1075"/>
      <c r="C1640" s="1076"/>
      <c r="D1640" s="1076"/>
      <c r="E1640" s="1076"/>
      <c r="F1640" s="1076"/>
      <c r="G1640" s="1076"/>
      <c r="H1640" s="1076"/>
      <c r="I1640" s="1076"/>
      <c r="J1640" s="1076"/>
      <c r="K1640" s="1076"/>
      <c r="L1640" s="1076"/>
      <c r="M1640" s="1076"/>
      <c r="N1640" s="1076"/>
      <c r="O1640" s="1076"/>
      <c r="P1640" s="1076"/>
      <c r="Q1640" s="1076"/>
      <c r="R1640" s="1076"/>
      <c r="S1640" s="1076"/>
      <c r="T1640" s="1579"/>
      <c r="U1640" s="647"/>
      <c r="V1640" s="648"/>
      <c r="W1640" s="648"/>
      <c r="X1640" s="648"/>
      <c r="Y1640" s="648"/>
      <c r="Z1640" s="648"/>
      <c r="AA1640" s="648"/>
      <c r="AB1640" s="648"/>
      <c r="AC1640" s="648"/>
      <c r="AD1640" s="647"/>
      <c r="AE1640" s="648"/>
      <c r="AF1640" s="648"/>
      <c r="AG1640" s="648"/>
      <c r="AH1640" s="648"/>
      <c r="AI1640" s="648"/>
      <c r="AJ1640" s="648"/>
      <c r="AK1640" s="648"/>
      <c r="AL1640" s="647"/>
      <c r="AM1640" s="648"/>
      <c r="AN1640" s="648"/>
      <c r="AO1640" s="648"/>
      <c r="AP1640" s="648"/>
      <c r="AQ1640" s="648"/>
      <c r="AR1640" s="648"/>
      <c r="AS1640" s="648"/>
      <c r="AT1640" s="648"/>
      <c r="AU1640" s="648"/>
      <c r="AV1640" s="648"/>
      <c r="AW1640" s="649"/>
      <c r="AX1640" s="647"/>
      <c r="AY1640" s="648"/>
      <c r="AZ1640" s="648"/>
      <c r="BA1640" s="648"/>
      <c r="BB1640" s="648"/>
      <c r="BC1640" s="648"/>
      <c r="BD1640" s="648"/>
      <c r="BE1640" s="648"/>
      <c r="BF1640" s="649"/>
      <c r="BG1640" s="648"/>
      <c r="BH1640" s="648"/>
      <c r="BI1640" s="648"/>
      <c r="BJ1640" s="648"/>
      <c r="BK1640" s="648"/>
      <c r="BL1640" s="648"/>
      <c r="BM1640" s="648"/>
      <c r="BN1640" s="648"/>
      <c r="BO1640" s="648"/>
      <c r="BP1640" s="649"/>
      <c r="BQ1640" s="546"/>
      <c r="BR1640" s="547"/>
      <c r="BS1640" s="547"/>
      <c r="BT1640" s="547"/>
      <c r="BU1640" s="547"/>
      <c r="BV1640" s="547"/>
      <c r="BW1640" s="547"/>
      <c r="BX1640" s="547"/>
      <c r="BY1640" s="547"/>
      <c r="BZ1640" s="548"/>
      <c r="CA1640" s="270"/>
      <c r="CB1640" s="3" t="str">
        <f t="shared" si="250"/>
        <v>Riadok bude skrytý.</v>
      </c>
      <c r="CC1640" s="271" t="s">
        <v>832</v>
      </c>
      <c r="CW1640" s="30">
        <f t="shared" si="255"/>
        <v>1</v>
      </c>
      <c r="CX1640" s="30">
        <f t="shared" si="259"/>
        <v>1</v>
      </c>
      <c r="CZ1640" s="30">
        <f t="shared" si="258"/>
        <v>1</v>
      </c>
      <c r="DA1640" s="52">
        <f t="shared" si="256"/>
        <v>1</v>
      </c>
      <c r="DB1640" s="2">
        <f t="shared" ref="DB1640:DB1703" si="260">+IF($CD$1="malé",0,DA1640)</f>
        <v>0</v>
      </c>
      <c r="DS1640" s="130">
        <f>SI!BY1640</f>
        <v>126</v>
      </c>
      <c r="DZ1640" s="131">
        <f>SI!BZ1640</f>
        <v>0</v>
      </c>
    </row>
    <row r="1641" spans="1:130" hidden="1" x14ac:dyDescent="0.25">
      <c r="A1641" s="141"/>
      <c r="B1641" s="524" t="s">
        <v>0</v>
      </c>
      <c r="C1641" s="525"/>
      <c r="D1641" s="525"/>
      <c r="E1641" s="525"/>
      <c r="F1641" s="525"/>
      <c r="G1641" s="525"/>
      <c r="H1641" s="525"/>
      <c r="I1641" s="525"/>
      <c r="J1641" s="525"/>
      <c r="K1641" s="525"/>
      <c r="L1641" s="525"/>
      <c r="M1641" s="525"/>
      <c r="N1641" s="525"/>
      <c r="O1641" s="525"/>
      <c r="P1641" s="525"/>
      <c r="Q1641" s="525"/>
      <c r="R1641" s="525"/>
      <c r="S1641" s="525"/>
      <c r="T1641" s="723"/>
      <c r="U1641" s="524" t="s">
        <v>1</v>
      </c>
      <c r="V1641" s="525"/>
      <c r="W1641" s="525"/>
      <c r="X1641" s="525"/>
      <c r="Y1641" s="525"/>
      <c r="Z1641" s="525"/>
      <c r="AA1641" s="525"/>
      <c r="AB1641" s="525"/>
      <c r="AC1641" s="525"/>
      <c r="AD1641" s="1114" t="s">
        <v>2</v>
      </c>
      <c r="AE1641" s="1102"/>
      <c r="AF1641" s="1102"/>
      <c r="AG1641" s="1102"/>
      <c r="AH1641" s="1102"/>
      <c r="AI1641" s="1102"/>
      <c r="AJ1641" s="1102"/>
      <c r="AK1641" s="1104"/>
      <c r="AL1641" s="1114" t="s">
        <v>28</v>
      </c>
      <c r="AM1641" s="1102"/>
      <c r="AN1641" s="1102"/>
      <c r="AO1641" s="1102"/>
      <c r="AP1641" s="1102"/>
      <c r="AQ1641" s="1102"/>
      <c r="AR1641" s="1102"/>
      <c r="AS1641" s="1102"/>
      <c r="AT1641" s="1102"/>
      <c r="AU1641" s="1102"/>
      <c r="AV1641" s="1102"/>
      <c r="AW1641" s="1103"/>
      <c r="AX1641" s="1114" t="s">
        <v>29</v>
      </c>
      <c r="AY1641" s="1102"/>
      <c r="AZ1641" s="1102"/>
      <c r="BA1641" s="1102"/>
      <c r="BB1641" s="1102"/>
      <c r="BC1641" s="1102"/>
      <c r="BD1641" s="1102"/>
      <c r="BE1641" s="1102"/>
      <c r="BF1641" s="1103"/>
      <c r="BG1641" s="525" t="s">
        <v>103</v>
      </c>
      <c r="BH1641" s="525"/>
      <c r="BI1641" s="525"/>
      <c r="BJ1641" s="525"/>
      <c r="BK1641" s="525"/>
      <c r="BL1641" s="525"/>
      <c r="BM1641" s="525"/>
      <c r="BN1641" s="525"/>
      <c r="BO1641" s="525"/>
      <c r="BP1641" s="723"/>
      <c r="BQ1641" s="524" t="s">
        <v>104</v>
      </c>
      <c r="BR1641" s="525"/>
      <c r="BS1641" s="525"/>
      <c r="BT1641" s="525"/>
      <c r="BU1641" s="525"/>
      <c r="BV1641" s="525"/>
      <c r="BW1641" s="525"/>
      <c r="BX1641" s="525"/>
      <c r="BY1641" s="525"/>
      <c r="BZ1641" s="723"/>
      <c r="CA1641" s="270"/>
      <c r="CB1641" s="3" t="str">
        <f t="shared" si="250"/>
        <v>Riadok bude skrytý.</v>
      </c>
      <c r="CC1641" s="271" t="s">
        <v>832</v>
      </c>
      <c r="CW1641" s="30">
        <f t="shared" si="255"/>
        <v>1</v>
      </c>
      <c r="CX1641" s="30">
        <f t="shared" si="259"/>
        <v>1</v>
      </c>
      <c r="CZ1641" s="30">
        <f t="shared" si="258"/>
        <v>1</v>
      </c>
      <c r="DA1641" s="52">
        <f t="shared" si="256"/>
        <v>1</v>
      </c>
      <c r="DB1641" s="2">
        <f t="shared" si="260"/>
        <v>0</v>
      </c>
      <c r="DS1641" s="130">
        <f>SI!BY1641</f>
        <v>271</v>
      </c>
      <c r="DZ1641" s="131">
        <f>SI!BZ1641</f>
        <v>0</v>
      </c>
    </row>
    <row r="1642" spans="1:130" hidden="1" x14ac:dyDescent="0.25">
      <c r="A1642" s="141"/>
      <c r="B1642" s="672" t="s">
        <v>240</v>
      </c>
      <c r="C1642" s="673"/>
      <c r="D1642" s="673"/>
      <c r="E1642" s="673"/>
      <c r="F1642" s="673"/>
      <c r="G1642" s="673"/>
      <c r="H1642" s="673"/>
      <c r="I1642" s="673"/>
      <c r="J1642" s="673"/>
      <c r="K1642" s="673"/>
      <c r="L1642" s="673"/>
      <c r="M1642" s="673"/>
      <c r="N1642" s="673"/>
      <c r="O1642" s="673"/>
      <c r="P1642" s="673"/>
      <c r="Q1642" s="673"/>
      <c r="R1642" s="673"/>
      <c r="S1642" s="673"/>
      <c r="T1642" s="1580"/>
      <c r="U1642" s="1662"/>
      <c r="V1642" s="1663"/>
      <c r="W1642" s="1663"/>
      <c r="X1642" s="1663"/>
      <c r="Y1642" s="1663"/>
      <c r="Z1642" s="1663"/>
      <c r="AA1642" s="1663"/>
      <c r="AB1642" s="1663"/>
      <c r="AC1642" s="1663"/>
      <c r="AD1642" s="1654"/>
      <c r="AE1642" s="1655"/>
      <c r="AF1642" s="1655"/>
      <c r="AG1642" s="1655"/>
      <c r="AH1642" s="1655"/>
      <c r="AI1642" s="1655"/>
      <c r="AJ1642" s="1655"/>
      <c r="AK1642" s="2081"/>
      <c r="AL1642" s="1654"/>
      <c r="AM1642" s="1655"/>
      <c r="AN1642" s="1655"/>
      <c r="AO1642" s="1655"/>
      <c r="AP1642" s="1655"/>
      <c r="AQ1642" s="1655"/>
      <c r="AR1642" s="1655"/>
      <c r="AS1642" s="1655"/>
      <c r="AT1642" s="1655"/>
      <c r="AU1642" s="1655"/>
      <c r="AV1642" s="1655"/>
      <c r="AW1642" s="1656"/>
      <c r="AX1642" s="1654"/>
      <c r="AY1642" s="1655"/>
      <c r="AZ1642" s="1655"/>
      <c r="BA1642" s="1655"/>
      <c r="BB1642" s="1655"/>
      <c r="BC1642" s="1655"/>
      <c r="BD1642" s="1655"/>
      <c r="BE1642" s="1655"/>
      <c r="BF1642" s="1656"/>
      <c r="BG1642" s="1663"/>
      <c r="BH1642" s="1663"/>
      <c r="BI1642" s="1663"/>
      <c r="BJ1642" s="1663"/>
      <c r="BK1642" s="1663"/>
      <c r="BL1642" s="1663"/>
      <c r="BM1642" s="1663"/>
      <c r="BN1642" s="1663"/>
      <c r="BO1642" s="1663"/>
      <c r="BP1642" s="1802"/>
      <c r="BQ1642" s="630"/>
      <c r="BR1642" s="631"/>
      <c r="BS1642" s="631"/>
      <c r="BT1642" s="631"/>
      <c r="BU1642" s="631"/>
      <c r="BV1642" s="631"/>
      <c r="BW1642" s="631"/>
      <c r="BX1642" s="631"/>
      <c r="BY1642" s="631"/>
      <c r="BZ1642" s="632"/>
      <c r="CA1642" s="270"/>
      <c r="CB1642" s="3" t="str">
        <f t="shared" si="250"/>
        <v>Riadok bude skrytý.</v>
      </c>
      <c r="CC1642" s="271" t="s">
        <v>832</v>
      </c>
      <c r="CW1642" s="30">
        <f t="shared" si="255"/>
        <v>1</v>
      </c>
      <c r="CX1642" s="30">
        <f t="shared" si="259"/>
        <v>1</v>
      </c>
      <c r="CZ1642" s="30">
        <f t="shared" si="258"/>
        <v>1</v>
      </c>
      <c r="DA1642" s="52">
        <f t="shared" si="256"/>
        <v>1</v>
      </c>
      <c r="DB1642" s="2">
        <f t="shared" si="260"/>
        <v>0</v>
      </c>
      <c r="DS1642" s="130">
        <f>SI!BY1642</f>
        <v>153</v>
      </c>
      <c r="DZ1642" s="131">
        <f>SI!BZ1642</f>
        <v>0</v>
      </c>
    </row>
    <row r="1643" spans="1:130" hidden="1" x14ac:dyDescent="0.25">
      <c r="A1643" s="141"/>
      <c r="B1643" s="1214" t="s">
        <v>241</v>
      </c>
      <c r="C1643" s="1215"/>
      <c r="D1643" s="1215"/>
      <c r="E1643" s="1215"/>
      <c r="F1643" s="1215"/>
      <c r="G1643" s="1215"/>
      <c r="H1643" s="1215"/>
      <c r="I1643" s="1215"/>
      <c r="J1643" s="1215"/>
      <c r="K1643" s="1215"/>
      <c r="L1643" s="1215"/>
      <c r="M1643" s="1215"/>
      <c r="N1643" s="1215"/>
      <c r="O1643" s="1215"/>
      <c r="P1643" s="1215"/>
      <c r="Q1643" s="1215"/>
      <c r="R1643" s="1215"/>
      <c r="S1643" s="1215"/>
      <c r="T1643" s="1591"/>
      <c r="U1643" s="1650"/>
      <c r="V1643" s="1651"/>
      <c r="W1643" s="1651"/>
      <c r="X1643" s="1651"/>
      <c r="Y1643" s="1651"/>
      <c r="Z1643" s="1651"/>
      <c r="AA1643" s="1651"/>
      <c r="AB1643" s="1651"/>
      <c r="AC1643" s="1651"/>
      <c r="AD1643" s="1657"/>
      <c r="AE1643" s="1658"/>
      <c r="AF1643" s="1658"/>
      <c r="AG1643" s="1658"/>
      <c r="AH1643" s="1658"/>
      <c r="AI1643" s="1658"/>
      <c r="AJ1643" s="1658"/>
      <c r="AK1643" s="2082"/>
      <c r="AL1643" s="1657"/>
      <c r="AM1643" s="1658"/>
      <c r="AN1643" s="1658"/>
      <c r="AO1643" s="1658"/>
      <c r="AP1643" s="1658"/>
      <c r="AQ1643" s="1658"/>
      <c r="AR1643" s="1658"/>
      <c r="AS1643" s="1658"/>
      <c r="AT1643" s="1658"/>
      <c r="AU1643" s="1658"/>
      <c r="AV1643" s="1658"/>
      <c r="AW1643" s="1659"/>
      <c r="AX1643" s="1657"/>
      <c r="AY1643" s="1658"/>
      <c r="AZ1643" s="1658"/>
      <c r="BA1643" s="1658"/>
      <c r="BB1643" s="1658"/>
      <c r="BC1643" s="1658"/>
      <c r="BD1643" s="1658"/>
      <c r="BE1643" s="1658"/>
      <c r="BF1643" s="1659"/>
      <c r="BG1643" s="1652"/>
      <c r="BH1643" s="1652"/>
      <c r="BI1643" s="1652"/>
      <c r="BJ1643" s="1652"/>
      <c r="BK1643" s="1652"/>
      <c r="BL1643" s="1652"/>
      <c r="BM1643" s="1652"/>
      <c r="BN1643" s="1652"/>
      <c r="BO1643" s="1652"/>
      <c r="BP1643" s="1653"/>
      <c r="BQ1643" s="633"/>
      <c r="BR1643" s="634"/>
      <c r="BS1643" s="634"/>
      <c r="BT1643" s="634"/>
      <c r="BU1643" s="634"/>
      <c r="BV1643" s="634"/>
      <c r="BW1643" s="634"/>
      <c r="BX1643" s="634"/>
      <c r="BY1643" s="634"/>
      <c r="BZ1643" s="635"/>
      <c r="CA1643" s="270"/>
      <c r="CB1643" s="3" t="str">
        <f t="shared" si="250"/>
        <v>Riadok bude skrytý.</v>
      </c>
      <c r="CC1643" s="271" t="s">
        <v>832</v>
      </c>
      <c r="CW1643" s="30">
        <f t="shared" si="255"/>
        <v>1</v>
      </c>
      <c r="CX1643" s="30">
        <f t="shared" si="259"/>
        <v>1</v>
      </c>
      <c r="CZ1643" s="30">
        <f t="shared" si="258"/>
        <v>1</v>
      </c>
      <c r="DA1643" s="52">
        <f t="shared" si="256"/>
        <v>1</v>
      </c>
      <c r="DB1643" s="2">
        <f t="shared" si="260"/>
        <v>0</v>
      </c>
      <c r="DS1643" s="130">
        <f>SI!BY1643</f>
        <v>807</v>
      </c>
      <c r="DZ1643" s="131">
        <f>SI!BZ1643</f>
        <v>0</v>
      </c>
    </row>
    <row r="1644" spans="1:130" hidden="1" x14ac:dyDescent="0.25">
      <c r="A1644" s="141"/>
      <c r="B1644" s="579" t="s">
        <v>45</v>
      </c>
      <c r="C1644" s="580"/>
      <c r="D1644" s="580"/>
      <c r="E1644" s="580"/>
      <c r="F1644" s="580"/>
      <c r="G1644" s="580"/>
      <c r="H1644" s="580"/>
      <c r="I1644" s="580"/>
      <c r="J1644" s="580"/>
      <c r="K1644" s="580"/>
      <c r="L1644" s="580"/>
      <c r="M1644" s="580"/>
      <c r="N1644" s="580"/>
      <c r="O1644" s="580"/>
      <c r="P1644" s="580"/>
      <c r="Q1644" s="580"/>
      <c r="R1644" s="580"/>
      <c r="S1644" s="580"/>
      <c r="T1644" s="581"/>
      <c r="U1644" s="651">
        <f>+U1642+U1643</f>
        <v>0</v>
      </c>
      <c r="V1644" s="652"/>
      <c r="W1644" s="652"/>
      <c r="X1644" s="652"/>
      <c r="Y1644" s="652"/>
      <c r="Z1644" s="652"/>
      <c r="AA1644" s="652"/>
      <c r="AB1644" s="652"/>
      <c r="AC1644" s="652"/>
      <c r="AD1644" s="1644">
        <f>+AD1642+AD1643</f>
        <v>0</v>
      </c>
      <c r="AE1644" s="1645"/>
      <c r="AF1644" s="1645"/>
      <c r="AG1644" s="1645"/>
      <c r="AH1644" s="1645"/>
      <c r="AI1644" s="1645"/>
      <c r="AJ1644" s="1645"/>
      <c r="AK1644" s="2083"/>
      <c r="AL1644" s="1644">
        <f>+AL1642+AL1643</f>
        <v>0</v>
      </c>
      <c r="AM1644" s="1645"/>
      <c r="AN1644" s="1645"/>
      <c r="AO1644" s="1645"/>
      <c r="AP1644" s="1645"/>
      <c r="AQ1644" s="1645"/>
      <c r="AR1644" s="1645"/>
      <c r="AS1644" s="1645"/>
      <c r="AT1644" s="1645"/>
      <c r="AU1644" s="1645"/>
      <c r="AV1644" s="1645"/>
      <c r="AW1644" s="1646"/>
      <c r="AX1644" s="1644">
        <f>+AX1642+AX1643</f>
        <v>0</v>
      </c>
      <c r="AY1644" s="1645"/>
      <c r="AZ1644" s="1645"/>
      <c r="BA1644" s="1645"/>
      <c r="BB1644" s="1645"/>
      <c r="BC1644" s="1645"/>
      <c r="BD1644" s="1645"/>
      <c r="BE1644" s="1645"/>
      <c r="BF1644" s="1646"/>
      <c r="BG1644" s="652">
        <f>+BG1642+BG1643</f>
        <v>0</v>
      </c>
      <c r="BH1644" s="652"/>
      <c r="BI1644" s="652"/>
      <c r="BJ1644" s="652"/>
      <c r="BK1644" s="652"/>
      <c r="BL1644" s="652"/>
      <c r="BM1644" s="652"/>
      <c r="BN1644" s="652"/>
      <c r="BO1644" s="652"/>
      <c r="BP1644" s="653"/>
      <c r="BQ1644" s="651">
        <f>+BQ1642+BQ1643</f>
        <v>0</v>
      </c>
      <c r="BR1644" s="652"/>
      <c r="BS1644" s="652"/>
      <c r="BT1644" s="652"/>
      <c r="BU1644" s="652"/>
      <c r="BV1644" s="652"/>
      <c r="BW1644" s="652"/>
      <c r="BX1644" s="652"/>
      <c r="BY1644" s="652"/>
      <c r="BZ1644" s="653"/>
      <c r="CA1644" s="270"/>
      <c r="CB1644" s="3" t="str">
        <f t="shared" si="250"/>
        <v>Riadok bude skrytý.</v>
      </c>
      <c r="CC1644" s="271" t="s">
        <v>832</v>
      </c>
      <c r="CW1644" s="30">
        <f t="shared" si="255"/>
        <v>1</v>
      </c>
      <c r="CX1644" s="30">
        <f t="shared" si="259"/>
        <v>1</v>
      </c>
      <c r="CZ1644" s="30">
        <f t="shared" si="258"/>
        <v>1</v>
      </c>
      <c r="DA1644" s="52">
        <f t="shared" si="256"/>
        <v>1</v>
      </c>
      <c r="DB1644" s="2">
        <f t="shared" si="260"/>
        <v>0</v>
      </c>
      <c r="DS1644" s="130">
        <f>SI!BY1644</f>
        <v>113</v>
      </c>
      <c r="DZ1644" s="131">
        <f>SI!BZ1644</f>
        <v>0</v>
      </c>
    </row>
    <row r="1645" spans="1:130" hidden="1" x14ac:dyDescent="0.25">
      <c r="A1645" s="141"/>
      <c r="CA1645" s="142"/>
      <c r="CB1645" s="3" t="str">
        <f t="shared" si="250"/>
        <v>Riadok bude skrytý.</v>
      </c>
      <c r="CC1645" s="271" t="s">
        <v>832</v>
      </c>
      <c r="CW1645" s="30">
        <f t="shared" si="255"/>
        <v>1</v>
      </c>
      <c r="CX1645" s="30">
        <f>+IF(B1647="",0,1)</f>
        <v>0</v>
      </c>
      <c r="CZ1645" s="30">
        <f t="shared" si="258"/>
        <v>1</v>
      </c>
      <c r="DA1645" s="52">
        <f t="shared" si="256"/>
        <v>0</v>
      </c>
      <c r="DB1645" s="2">
        <f t="shared" si="260"/>
        <v>0</v>
      </c>
      <c r="DS1645" s="130">
        <f>SI!BY1645</f>
        <v>816</v>
      </c>
      <c r="DZ1645" s="131">
        <f>SI!BZ1645</f>
        <v>0</v>
      </c>
    </row>
    <row r="1646" spans="1:130" hidden="1" x14ac:dyDescent="0.25">
      <c r="A1646" s="141"/>
      <c r="B1646" s="137" t="str">
        <f>+IF($O$52&lt;&gt;"",IF(CODE(MID($O$52,1,1))*(IF(SI!EE1646="",1,SI!EE1646-1))+ROUNDDOWN(LEN(SI!J5)/2,0)=DS1646,"Spoločnosť uvádza k pohľadávkam ďalšie doplňujúce informácie:","NEPOVOLENÉ POUŽITIE!"),"NEPOVOLENÉ POUŽITIE!")</f>
        <v>Spoločnosť uvádza k pohľadávkam ďalšie doplňujúce informácie:</v>
      </c>
      <c r="C1646" s="7"/>
      <c r="D1646" s="7"/>
      <c r="E1646" s="7"/>
      <c r="F1646" s="7"/>
      <c r="CA1646" s="265" t="s">
        <v>773</v>
      </c>
      <c r="CB1646" s="3" t="str">
        <f t="shared" si="250"/>
        <v>Riadok bude skrytý.</v>
      </c>
      <c r="CC1646" s="271" t="s">
        <v>832</v>
      </c>
      <c r="CW1646" s="30">
        <f t="shared" si="255"/>
        <v>1</v>
      </c>
      <c r="CX1646" s="30">
        <f>+IF(B1647="",0,1)</f>
        <v>0</v>
      </c>
      <c r="CZ1646" s="30">
        <f t="shared" si="258"/>
        <v>1</v>
      </c>
      <c r="DA1646" s="52">
        <f t="shared" si="256"/>
        <v>0</v>
      </c>
      <c r="DB1646" s="2">
        <f t="shared" si="260"/>
        <v>0</v>
      </c>
      <c r="DS1646" s="130">
        <f>SI!BY1646</f>
        <v>7</v>
      </c>
      <c r="DZ1646" s="131">
        <f>SI!BZ1646</f>
        <v>0</v>
      </c>
    </row>
    <row r="1647" spans="1:130" hidden="1" x14ac:dyDescent="0.25">
      <c r="A1647" s="141"/>
      <c r="B1647" s="379"/>
      <c r="C1647" s="379"/>
      <c r="D1647" s="379"/>
      <c r="E1647" s="379"/>
      <c r="F1647" s="379"/>
      <c r="G1647" s="379"/>
      <c r="H1647" s="379"/>
      <c r="I1647" s="379"/>
      <c r="J1647" s="379"/>
      <c r="K1647" s="379"/>
      <c r="L1647" s="379"/>
      <c r="M1647" s="379"/>
      <c r="N1647" s="379"/>
      <c r="O1647" s="379"/>
      <c r="P1647" s="379"/>
      <c r="Q1647" s="379"/>
      <c r="R1647" s="379"/>
      <c r="S1647" s="379"/>
      <c r="T1647" s="379"/>
      <c r="U1647" s="379"/>
      <c r="V1647" s="379"/>
      <c r="W1647" s="379"/>
      <c r="X1647" s="379"/>
      <c r="Y1647" s="379"/>
      <c r="Z1647" s="379"/>
      <c r="AA1647" s="379"/>
      <c r="AB1647" s="379"/>
      <c r="AC1647" s="379"/>
      <c r="AD1647" s="379"/>
      <c r="AE1647" s="379"/>
      <c r="AF1647" s="379"/>
      <c r="AG1647" s="379"/>
      <c r="AH1647" s="379"/>
      <c r="AI1647" s="379"/>
      <c r="AJ1647" s="379"/>
      <c r="AK1647" s="379"/>
      <c r="AL1647" s="379"/>
      <c r="AM1647" s="379"/>
      <c r="AN1647" s="379"/>
      <c r="AO1647" s="379"/>
      <c r="AP1647" s="379"/>
      <c r="AQ1647" s="379"/>
      <c r="AR1647" s="379"/>
      <c r="AS1647" s="379"/>
      <c r="AT1647" s="379"/>
      <c r="AU1647" s="379"/>
      <c r="AV1647" s="379"/>
      <c r="AW1647" s="379"/>
      <c r="AX1647" s="379"/>
      <c r="AY1647" s="379"/>
      <c r="AZ1647" s="379"/>
      <c r="BA1647" s="379"/>
      <c r="BB1647" s="379"/>
      <c r="BC1647" s="379"/>
      <c r="BD1647" s="379"/>
      <c r="BE1647" s="379"/>
      <c r="BF1647" s="379"/>
      <c r="BG1647" s="379"/>
      <c r="BH1647" s="379"/>
      <c r="BI1647" s="379"/>
      <c r="BJ1647" s="379"/>
      <c r="BK1647" s="379"/>
      <c r="BL1647" s="379"/>
      <c r="BM1647" s="379"/>
      <c r="BN1647" s="379"/>
      <c r="BO1647" s="379"/>
      <c r="BP1647" s="379"/>
      <c r="BQ1647" s="379"/>
      <c r="BR1647" s="379"/>
      <c r="BS1647" s="379"/>
      <c r="BT1647" s="379"/>
      <c r="BU1647" s="379"/>
      <c r="BV1647" s="379"/>
      <c r="BW1647" s="379"/>
      <c r="BX1647" s="379"/>
      <c r="BY1647" s="379"/>
      <c r="BZ1647" s="379"/>
      <c r="CA1647" s="270"/>
      <c r="CB1647" s="3" t="str">
        <f t="shared" si="250"/>
        <v>Riadok bude skrytý.</v>
      </c>
      <c r="CC1647" s="271" t="s">
        <v>832</v>
      </c>
      <c r="CW1647" s="30">
        <f t="shared" si="255"/>
        <v>1</v>
      </c>
      <c r="CX1647" s="30">
        <f t="shared" ref="CX1647:CX1666" si="261">+IF(B1647="",0,1)</f>
        <v>0</v>
      </c>
      <c r="CZ1647" s="30">
        <f t="shared" si="258"/>
        <v>1</v>
      </c>
      <c r="DA1647" s="52">
        <f t="shared" si="256"/>
        <v>0</v>
      </c>
      <c r="DB1647" s="2">
        <f t="shared" si="260"/>
        <v>0</v>
      </c>
      <c r="DS1647" s="130">
        <f>SI!BY1647</f>
        <v>789</v>
      </c>
      <c r="DZ1647" s="131">
        <f>SI!BZ1647</f>
        <v>0</v>
      </c>
    </row>
    <row r="1648" spans="1:130" hidden="1" x14ac:dyDescent="0.25">
      <c r="A1648" s="141"/>
      <c r="B1648" s="379"/>
      <c r="C1648" s="379"/>
      <c r="D1648" s="379"/>
      <c r="E1648" s="379"/>
      <c r="F1648" s="379"/>
      <c r="G1648" s="379"/>
      <c r="H1648" s="379"/>
      <c r="I1648" s="379"/>
      <c r="J1648" s="379"/>
      <c r="K1648" s="379"/>
      <c r="L1648" s="379"/>
      <c r="M1648" s="379"/>
      <c r="N1648" s="379"/>
      <c r="O1648" s="379"/>
      <c r="P1648" s="379"/>
      <c r="Q1648" s="379"/>
      <c r="R1648" s="379"/>
      <c r="S1648" s="379"/>
      <c r="T1648" s="379"/>
      <c r="U1648" s="379"/>
      <c r="V1648" s="379"/>
      <c r="W1648" s="379"/>
      <c r="X1648" s="379"/>
      <c r="Y1648" s="379"/>
      <c r="Z1648" s="379"/>
      <c r="AA1648" s="379"/>
      <c r="AB1648" s="379"/>
      <c r="AC1648" s="379"/>
      <c r="AD1648" s="379"/>
      <c r="AE1648" s="379"/>
      <c r="AF1648" s="379"/>
      <c r="AG1648" s="379"/>
      <c r="AH1648" s="379"/>
      <c r="AI1648" s="379"/>
      <c r="AJ1648" s="379"/>
      <c r="AK1648" s="379"/>
      <c r="AL1648" s="379"/>
      <c r="AM1648" s="379"/>
      <c r="AN1648" s="379"/>
      <c r="AO1648" s="379"/>
      <c r="AP1648" s="379"/>
      <c r="AQ1648" s="379"/>
      <c r="AR1648" s="379"/>
      <c r="AS1648" s="379"/>
      <c r="AT1648" s="379"/>
      <c r="AU1648" s="379"/>
      <c r="AV1648" s="379"/>
      <c r="AW1648" s="379"/>
      <c r="AX1648" s="379"/>
      <c r="AY1648" s="379"/>
      <c r="AZ1648" s="379"/>
      <c r="BA1648" s="379"/>
      <c r="BB1648" s="379"/>
      <c r="BC1648" s="379"/>
      <c r="BD1648" s="379"/>
      <c r="BE1648" s="379"/>
      <c r="BF1648" s="379"/>
      <c r="BG1648" s="379"/>
      <c r="BH1648" s="379"/>
      <c r="BI1648" s="379"/>
      <c r="BJ1648" s="379"/>
      <c r="BK1648" s="379"/>
      <c r="BL1648" s="379"/>
      <c r="BM1648" s="379"/>
      <c r="BN1648" s="379"/>
      <c r="BO1648" s="379"/>
      <c r="BP1648" s="379"/>
      <c r="BQ1648" s="379"/>
      <c r="BR1648" s="379"/>
      <c r="BS1648" s="379"/>
      <c r="BT1648" s="379"/>
      <c r="BU1648" s="379"/>
      <c r="BV1648" s="379"/>
      <c r="BW1648" s="379"/>
      <c r="BX1648" s="379"/>
      <c r="BY1648" s="379"/>
      <c r="BZ1648" s="379"/>
      <c r="CA1648" s="270"/>
      <c r="CB1648" s="3" t="str">
        <f t="shared" si="250"/>
        <v>Riadok bude skrytý.</v>
      </c>
      <c r="CC1648" s="271" t="s">
        <v>832</v>
      </c>
      <c r="CW1648" s="30">
        <f t="shared" si="255"/>
        <v>1</v>
      </c>
      <c r="CX1648" s="30">
        <f t="shared" si="261"/>
        <v>0</v>
      </c>
      <c r="CZ1648" s="30">
        <f t="shared" si="258"/>
        <v>1</v>
      </c>
      <c r="DA1648" s="52">
        <f t="shared" si="256"/>
        <v>0</v>
      </c>
      <c r="DB1648" s="2">
        <f t="shared" si="260"/>
        <v>0</v>
      </c>
      <c r="DS1648" s="130">
        <f>SI!BY1648</f>
        <v>151</v>
      </c>
      <c r="DZ1648" s="131">
        <f>SI!BZ1648</f>
        <v>0</v>
      </c>
    </row>
    <row r="1649" spans="1:130" hidden="1" x14ac:dyDescent="0.25">
      <c r="A1649" s="141"/>
      <c r="B1649" s="379"/>
      <c r="C1649" s="379"/>
      <c r="D1649" s="379"/>
      <c r="E1649" s="379"/>
      <c r="F1649" s="379"/>
      <c r="G1649" s="379"/>
      <c r="H1649" s="379"/>
      <c r="I1649" s="379"/>
      <c r="J1649" s="379"/>
      <c r="K1649" s="379"/>
      <c r="L1649" s="379"/>
      <c r="M1649" s="379"/>
      <c r="N1649" s="379"/>
      <c r="O1649" s="379"/>
      <c r="P1649" s="379"/>
      <c r="Q1649" s="379"/>
      <c r="R1649" s="379"/>
      <c r="S1649" s="379"/>
      <c r="T1649" s="379"/>
      <c r="U1649" s="379"/>
      <c r="V1649" s="379"/>
      <c r="W1649" s="379"/>
      <c r="X1649" s="379"/>
      <c r="Y1649" s="379"/>
      <c r="Z1649" s="379"/>
      <c r="AA1649" s="379"/>
      <c r="AB1649" s="379"/>
      <c r="AC1649" s="379"/>
      <c r="AD1649" s="379"/>
      <c r="AE1649" s="379"/>
      <c r="AF1649" s="379"/>
      <c r="AG1649" s="379"/>
      <c r="AH1649" s="379"/>
      <c r="AI1649" s="379"/>
      <c r="AJ1649" s="379"/>
      <c r="AK1649" s="379"/>
      <c r="AL1649" s="379"/>
      <c r="AM1649" s="379"/>
      <c r="AN1649" s="379"/>
      <c r="AO1649" s="379"/>
      <c r="AP1649" s="379"/>
      <c r="AQ1649" s="379"/>
      <c r="AR1649" s="379"/>
      <c r="AS1649" s="379"/>
      <c r="AT1649" s="379"/>
      <c r="AU1649" s="379"/>
      <c r="AV1649" s="379"/>
      <c r="AW1649" s="379"/>
      <c r="AX1649" s="379"/>
      <c r="AY1649" s="379"/>
      <c r="AZ1649" s="379"/>
      <c r="BA1649" s="379"/>
      <c r="BB1649" s="379"/>
      <c r="BC1649" s="379"/>
      <c r="BD1649" s="379"/>
      <c r="BE1649" s="379"/>
      <c r="BF1649" s="379"/>
      <c r="BG1649" s="379"/>
      <c r="BH1649" s="379"/>
      <c r="BI1649" s="379"/>
      <c r="BJ1649" s="379"/>
      <c r="BK1649" s="379"/>
      <c r="BL1649" s="379"/>
      <c r="BM1649" s="379"/>
      <c r="BN1649" s="379"/>
      <c r="BO1649" s="379"/>
      <c r="BP1649" s="379"/>
      <c r="BQ1649" s="379"/>
      <c r="BR1649" s="379"/>
      <c r="BS1649" s="379"/>
      <c r="BT1649" s="379"/>
      <c r="BU1649" s="379"/>
      <c r="BV1649" s="379"/>
      <c r="BW1649" s="379"/>
      <c r="BX1649" s="379"/>
      <c r="BY1649" s="379"/>
      <c r="BZ1649" s="379"/>
      <c r="CA1649" s="270"/>
      <c r="CB1649" s="3" t="str">
        <f t="shared" si="250"/>
        <v>Riadok bude skrytý.</v>
      </c>
      <c r="CC1649" s="271" t="s">
        <v>832</v>
      </c>
      <c r="CW1649" s="30">
        <f t="shared" ref="CW1649:CW1666" si="262">+IF($J$1519="neeviduje",0,1)</f>
        <v>1</v>
      </c>
      <c r="CX1649" s="30">
        <f t="shared" si="261"/>
        <v>0</v>
      </c>
      <c r="CZ1649" s="30">
        <f t="shared" si="258"/>
        <v>1</v>
      </c>
      <c r="DA1649" s="52">
        <f t="shared" si="256"/>
        <v>0</v>
      </c>
      <c r="DB1649" s="2">
        <f t="shared" si="260"/>
        <v>0</v>
      </c>
      <c r="DS1649" s="130">
        <f>SI!BY1649</f>
        <v>520</v>
      </c>
      <c r="DZ1649" s="131">
        <f>SI!BZ1649</f>
        <v>0</v>
      </c>
    </row>
    <row r="1650" spans="1:130" hidden="1" x14ac:dyDescent="0.25">
      <c r="A1650" s="141"/>
      <c r="B1650" s="379"/>
      <c r="C1650" s="379"/>
      <c r="D1650" s="379"/>
      <c r="E1650" s="379"/>
      <c r="F1650" s="379"/>
      <c r="G1650" s="379"/>
      <c r="H1650" s="379"/>
      <c r="I1650" s="379"/>
      <c r="J1650" s="379"/>
      <c r="K1650" s="379"/>
      <c r="L1650" s="379"/>
      <c r="M1650" s="379"/>
      <c r="N1650" s="379"/>
      <c r="O1650" s="379"/>
      <c r="P1650" s="379"/>
      <c r="Q1650" s="379"/>
      <c r="R1650" s="379"/>
      <c r="S1650" s="379"/>
      <c r="T1650" s="379"/>
      <c r="U1650" s="379"/>
      <c r="V1650" s="379"/>
      <c r="W1650" s="379"/>
      <c r="X1650" s="379"/>
      <c r="Y1650" s="379"/>
      <c r="Z1650" s="379"/>
      <c r="AA1650" s="379"/>
      <c r="AB1650" s="379"/>
      <c r="AC1650" s="379"/>
      <c r="AD1650" s="379"/>
      <c r="AE1650" s="379"/>
      <c r="AF1650" s="379"/>
      <c r="AG1650" s="379"/>
      <c r="AH1650" s="379"/>
      <c r="AI1650" s="379"/>
      <c r="AJ1650" s="379"/>
      <c r="AK1650" s="379"/>
      <c r="AL1650" s="379"/>
      <c r="AM1650" s="379"/>
      <c r="AN1650" s="379"/>
      <c r="AO1650" s="379"/>
      <c r="AP1650" s="379"/>
      <c r="AQ1650" s="379"/>
      <c r="AR1650" s="379"/>
      <c r="AS1650" s="379"/>
      <c r="AT1650" s="379"/>
      <c r="AU1650" s="379"/>
      <c r="AV1650" s="379"/>
      <c r="AW1650" s="379"/>
      <c r="AX1650" s="379"/>
      <c r="AY1650" s="379"/>
      <c r="AZ1650" s="379"/>
      <c r="BA1650" s="379"/>
      <c r="BB1650" s="379"/>
      <c r="BC1650" s="379"/>
      <c r="BD1650" s="379"/>
      <c r="BE1650" s="379"/>
      <c r="BF1650" s="379"/>
      <c r="BG1650" s="379"/>
      <c r="BH1650" s="379"/>
      <c r="BI1650" s="379"/>
      <c r="BJ1650" s="379"/>
      <c r="BK1650" s="379"/>
      <c r="BL1650" s="379"/>
      <c r="BM1650" s="379"/>
      <c r="BN1650" s="379"/>
      <c r="BO1650" s="379"/>
      <c r="BP1650" s="379"/>
      <c r="BQ1650" s="379"/>
      <c r="BR1650" s="379"/>
      <c r="BS1650" s="379"/>
      <c r="BT1650" s="379"/>
      <c r="BU1650" s="379"/>
      <c r="BV1650" s="379"/>
      <c r="BW1650" s="379"/>
      <c r="BX1650" s="379"/>
      <c r="BY1650" s="379"/>
      <c r="BZ1650" s="379"/>
      <c r="CA1650" s="270"/>
      <c r="CB1650" s="3" t="str">
        <f t="shared" si="250"/>
        <v>Riadok bude skrytý.</v>
      </c>
      <c r="CC1650" s="271" t="s">
        <v>832</v>
      </c>
      <c r="CW1650" s="30">
        <f t="shared" si="262"/>
        <v>1</v>
      </c>
      <c r="CX1650" s="30">
        <f t="shared" si="261"/>
        <v>0</v>
      </c>
      <c r="CZ1650" s="30">
        <f t="shared" si="258"/>
        <v>1</v>
      </c>
      <c r="DA1650" s="52">
        <f t="shared" si="256"/>
        <v>0</v>
      </c>
      <c r="DB1650" s="2">
        <f t="shared" si="260"/>
        <v>0</v>
      </c>
      <c r="DS1650" s="130">
        <f>SI!BY1650</f>
        <v>117</v>
      </c>
      <c r="DZ1650" s="131">
        <f>SI!BZ1650</f>
        <v>0</v>
      </c>
    </row>
    <row r="1651" spans="1:130" hidden="1" x14ac:dyDescent="0.25">
      <c r="A1651" s="141"/>
      <c r="B1651" s="379"/>
      <c r="C1651" s="379"/>
      <c r="D1651" s="379"/>
      <c r="E1651" s="379"/>
      <c r="F1651" s="379"/>
      <c r="G1651" s="379"/>
      <c r="H1651" s="379"/>
      <c r="I1651" s="379"/>
      <c r="J1651" s="379"/>
      <c r="K1651" s="379"/>
      <c r="L1651" s="379"/>
      <c r="M1651" s="379"/>
      <c r="N1651" s="379"/>
      <c r="O1651" s="379"/>
      <c r="P1651" s="379"/>
      <c r="Q1651" s="379"/>
      <c r="R1651" s="379"/>
      <c r="S1651" s="379"/>
      <c r="T1651" s="379"/>
      <c r="U1651" s="379"/>
      <c r="V1651" s="379"/>
      <c r="W1651" s="379"/>
      <c r="X1651" s="379"/>
      <c r="Y1651" s="379"/>
      <c r="Z1651" s="379"/>
      <c r="AA1651" s="379"/>
      <c r="AB1651" s="379"/>
      <c r="AC1651" s="379"/>
      <c r="AD1651" s="379"/>
      <c r="AE1651" s="379"/>
      <c r="AF1651" s="379"/>
      <c r="AG1651" s="379"/>
      <c r="AH1651" s="379"/>
      <c r="AI1651" s="379"/>
      <c r="AJ1651" s="379"/>
      <c r="AK1651" s="379"/>
      <c r="AL1651" s="379"/>
      <c r="AM1651" s="379"/>
      <c r="AN1651" s="379"/>
      <c r="AO1651" s="379"/>
      <c r="AP1651" s="379"/>
      <c r="AQ1651" s="379"/>
      <c r="AR1651" s="379"/>
      <c r="AS1651" s="379"/>
      <c r="AT1651" s="379"/>
      <c r="AU1651" s="379"/>
      <c r="AV1651" s="379"/>
      <c r="AW1651" s="379"/>
      <c r="AX1651" s="379"/>
      <c r="AY1651" s="379"/>
      <c r="AZ1651" s="379"/>
      <c r="BA1651" s="379"/>
      <c r="BB1651" s="379"/>
      <c r="BC1651" s="379"/>
      <c r="BD1651" s="379"/>
      <c r="BE1651" s="379"/>
      <c r="BF1651" s="379"/>
      <c r="BG1651" s="379"/>
      <c r="BH1651" s="379"/>
      <c r="BI1651" s="379"/>
      <c r="BJ1651" s="379"/>
      <c r="BK1651" s="379"/>
      <c r="BL1651" s="379"/>
      <c r="BM1651" s="379"/>
      <c r="BN1651" s="379"/>
      <c r="BO1651" s="379"/>
      <c r="BP1651" s="379"/>
      <c r="BQ1651" s="379"/>
      <c r="BR1651" s="379"/>
      <c r="BS1651" s="379"/>
      <c r="BT1651" s="379"/>
      <c r="BU1651" s="379"/>
      <c r="BV1651" s="379"/>
      <c r="BW1651" s="379"/>
      <c r="BX1651" s="379"/>
      <c r="BY1651" s="379"/>
      <c r="BZ1651" s="379"/>
      <c r="CA1651" s="270"/>
      <c r="CB1651" s="3" t="str">
        <f t="shared" ref="CB1651:CB1714" si="263">+IF(DB1651=0,"Riadok bude skrytý.","Riadok bude vidieť.")</f>
        <v>Riadok bude skrytý.</v>
      </c>
      <c r="CC1651" s="271" t="s">
        <v>832</v>
      </c>
      <c r="CW1651" s="30">
        <f t="shared" si="262"/>
        <v>1</v>
      </c>
      <c r="CX1651" s="30">
        <f t="shared" si="261"/>
        <v>0</v>
      </c>
      <c r="CZ1651" s="30">
        <f t="shared" si="258"/>
        <v>1</v>
      </c>
      <c r="DA1651" s="52">
        <f t="shared" si="256"/>
        <v>0</v>
      </c>
      <c r="DB1651" s="2">
        <f t="shared" si="260"/>
        <v>0</v>
      </c>
      <c r="DS1651" s="130">
        <f>SI!BY1651</f>
        <v>146</v>
      </c>
      <c r="DZ1651" s="131">
        <f>SI!BZ1651</f>
        <v>0</v>
      </c>
    </row>
    <row r="1652" spans="1:130" hidden="1" x14ac:dyDescent="0.25">
      <c r="A1652" s="141"/>
      <c r="B1652" s="379"/>
      <c r="C1652" s="379"/>
      <c r="D1652" s="379"/>
      <c r="E1652" s="379"/>
      <c r="F1652" s="379"/>
      <c r="G1652" s="379"/>
      <c r="H1652" s="379"/>
      <c r="I1652" s="379"/>
      <c r="J1652" s="379"/>
      <c r="K1652" s="379"/>
      <c r="L1652" s="379"/>
      <c r="M1652" s="379"/>
      <c r="N1652" s="379"/>
      <c r="O1652" s="379"/>
      <c r="P1652" s="379"/>
      <c r="Q1652" s="379"/>
      <c r="R1652" s="379"/>
      <c r="S1652" s="379"/>
      <c r="T1652" s="379"/>
      <c r="U1652" s="379"/>
      <c r="V1652" s="379"/>
      <c r="W1652" s="379"/>
      <c r="X1652" s="379"/>
      <c r="Y1652" s="379"/>
      <c r="Z1652" s="379"/>
      <c r="AA1652" s="379"/>
      <c r="AB1652" s="379"/>
      <c r="AC1652" s="379"/>
      <c r="AD1652" s="379"/>
      <c r="AE1652" s="379"/>
      <c r="AF1652" s="379"/>
      <c r="AG1652" s="379"/>
      <c r="AH1652" s="379"/>
      <c r="AI1652" s="379"/>
      <c r="AJ1652" s="379"/>
      <c r="AK1652" s="379"/>
      <c r="AL1652" s="379"/>
      <c r="AM1652" s="379"/>
      <c r="AN1652" s="379"/>
      <c r="AO1652" s="379"/>
      <c r="AP1652" s="379"/>
      <c r="AQ1652" s="379"/>
      <c r="AR1652" s="379"/>
      <c r="AS1652" s="379"/>
      <c r="AT1652" s="379"/>
      <c r="AU1652" s="379"/>
      <c r="AV1652" s="379"/>
      <c r="AW1652" s="379"/>
      <c r="AX1652" s="379"/>
      <c r="AY1652" s="379"/>
      <c r="AZ1652" s="379"/>
      <c r="BA1652" s="379"/>
      <c r="BB1652" s="379"/>
      <c r="BC1652" s="379"/>
      <c r="BD1652" s="379"/>
      <c r="BE1652" s="379"/>
      <c r="BF1652" s="379"/>
      <c r="BG1652" s="379"/>
      <c r="BH1652" s="379"/>
      <c r="BI1652" s="379"/>
      <c r="BJ1652" s="379"/>
      <c r="BK1652" s="379"/>
      <c r="BL1652" s="379"/>
      <c r="BM1652" s="379"/>
      <c r="BN1652" s="379"/>
      <c r="BO1652" s="379"/>
      <c r="BP1652" s="379"/>
      <c r="BQ1652" s="379"/>
      <c r="BR1652" s="379"/>
      <c r="BS1652" s="379"/>
      <c r="BT1652" s="379"/>
      <c r="BU1652" s="379"/>
      <c r="BV1652" s="379"/>
      <c r="BW1652" s="379"/>
      <c r="BX1652" s="379"/>
      <c r="BY1652" s="379"/>
      <c r="BZ1652" s="379"/>
      <c r="CA1652" s="270"/>
      <c r="CB1652" s="3" t="str">
        <f t="shared" si="263"/>
        <v>Riadok bude skrytý.</v>
      </c>
      <c r="CC1652" s="271" t="s">
        <v>832</v>
      </c>
      <c r="CW1652" s="30">
        <f t="shared" si="262"/>
        <v>1</v>
      </c>
      <c r="CX1652" s="30">
        <f t="shared" si="261"/>
        <v>0</v>
      </c>
      <c r="CZ1652" s="30">
        <f t="shared" si="258"/>
        <v>1</v>
      </c>
      <c r="DA1652" s="52">
        <f t="shared" si="256"/>
        <v>0</v>
      </c>
      <c r="DB1652" s="2">
        <f t="shared" si="260"/>
        <v>0</v>
      </c>
      <c r="DS1652" s="130">
        <f>SI!BY1652</f>
        <v>93</v>
      </c>
      <c r="DZ1652" s="131">
        <f>SI!BZ1652</f>
        <v>0</v>
      </c>
    </row>
    <row r="1653" spans="1:130" hidden="1" x14ac:dyDescent="0.25">
      <c r="A1653" s="141"/>
      <c r="B1653" s="379"/>
      <c r="C1653" s="379"/>
      <c r="D1653" s="379"/>
      <c r="E1653" s="379"/>
      <c r="F1653" s="379"/>
      <c r="G1653" s="379"/>
      <c r="H1653" s="379"/>
      <c r="I1653" s="379"/>
      <c r="J1653" s="379"/>
      <c r="K1653" s="379"/>
      <c r="L1653" s="379"/>
      <c r="M1653" s="379"/>
      <c r="N1653" s="379"/>
      <c r="O1653" s="379"/>
      <c r="P1653" s="379"/>
      <c r="Q1653" s="379"/>
      <c r="R1653" s="379"/>
      <c r="S1653" s="379"/>
      <c r="T1653" s="379"/>
      <c r="U1653" s="379"/>
      <c r="V1653" s="379"/>
      <c r="W1653" s="379"/>
      <c r="X1653" s="379"/>
      <c r="Y1653" s="379"/>
      <c r="Z1653" s="379"/>
      <c r="AA1653" s="379"/>
      <c r="AB1653" s="379"/>
      <c r="AC1653" s="379"/>
      <c r="AD1653" s="379"/>
      <c r="AE1653" s="379"/>
      <c r="AF1653" s="379"/>
      <c r="AG1653" s="379"/>
      <c r="AH1653" s="379"/>
      <c r="AI1653" s="379"/>
      <c r="AJ1653" s="379"/>
      <c r="AK1653" s="379"/>
      <c r="AL1653" s="379"/>
      <c r="AM1653" s="379"/>
      <c r="AN1653" s="379"/>
      <c r="AO1653" s="379"/>
      <c r="AP1653" s="379"/>
      <c r="AQ1653" s="379"/>
      <c r="AR1653" s="379"/>
      <c r="AS1653" s="379"/>
      <c r="AT1653" s="379"/>
      <c r="AU1653" s="379"/>
      <c r="AV1653" s="379"/>
      <c r="AW1653" s="379"/>
      <c r="AX1653" s="379"/>
      <c r="AY1653" s="379"/>
      <c r="AZ1653" s="379"/>
      <c r="BA1653" s="379"/>
      <c r="BB1653" s="379"/>
      <c r="BC1653" s="379"/>
      <c r="BD1653" s="379"/>
      <c r="BE1653" s="379"/>
      <c r="BF1653" s="379"/>
      <c r="BG1653" s="379"/>
      <c r="BH1653" s="379"/>
      <c r="BI1653" s="379"/>
      <c r="BJ1653" s="379"/>
      <c r="BK1653" s="379"/>
      <c r="BL1653" s="379"/>
      <c r="BM1653" s="379"/>
      <c r="BN1653" s="379"/>
      <c r="BO1653" s="379"/>
      <c r="BP1653" s="379"/>
      <c r="BQ1653" s="379"/>
      <c r="BR1653" s="379"/>
      <c r="BS1653" s="379"/>
      <c r="BT1653" s="379"/>
      <c r="BU1653" s="379"/>
      <c r="BV1653" s="379"/>
      <c r="BW1653" s="379"/>
      <c r="BX1653" s="379"/>
      <c r="BY1653" s="379"/>
      <c r="BZ1653" s="379"/>
      <c r="CA1653" s="270"/>
      <c r="CB1653" s="3" t="str">
        <f t="shared" si="263"/>
        <v>Riadok bude skrytý.</v>
      </c>
      <c r="CC1653" s="271" t="s">
        <v>832</v>
      </c>
      <c r="CW1653" s="30">
        <f t="shared" si="262"/>
        <v>1</v>
      </c>
      <c r="CX1653" s="30">
        <f t="shared" si="261"/>
        <v>0</v>
      </c>
      <c r="CZ1653" s="30">
        <f t="shared" si="258"/>
        <v>1</v>
      </c>
      <c r="DA1653" s="52">
        <f t="shared" si="256"/>
        <v>0</v>
      </c>
      <c r="DB1653" s="2">
        <f t="shared" si="260"/>
        <v>0</v>
      </c>
      <c r="DS1653" s="130">
        <f>SI!BY1653</f>
        <v>184</v>
      </c>
      <c r="DZ1653" s="131">
        <f>SI!BZ1653</f>
        <v>0</v>
      </c>
    </row>
    <row r="1654" spans="1:130" hidden="1" x14ac:dyDescent="0.25">
      <c r="A1654" s="141"/>
      <c r="B1654" s="379"/>
      <c r="C1654" s="379"/>
      <c r="D1654" s="379"/>
      <c r="E1654" s="379"/>
      <c r="F1654" s="379"/>
      <c r="G1654" s="379"/>
      <c r="H1654" s="379"/>
      <c r="I1654" s="379"/>
      <c r="J1654" s="379"/>
      <c r="K1654" s="379"/>
      <c r="L1654" s="379"/>
      <c r="M1654" s="379"/>
      <c r="N1654" s="379"/>
      <c r="O1654" s="379"/>
      <c r="P1654" s="379"/>
      <c r="Q1654" s="379"/>
      <c r="R1654" s="379"/>
      <c r="S1654" s="379"/>
      <c r="T1654" s="379"/>
      <c r="U1654" s="379"/>
      <c r="V1654" s="379"/>
      <c r="W1654" s="379"/>
      <c r="X1654" s="379"/>
      <c r="Y1654" s="379"/>
      <c r="Z1654" s="379"/>
      <c r="AA1654" s="379"/>
      <c r="AB1654" s="379"/>
      <c r="AC1654" s="379"/>
      <c r="AD1654" s="379"/>
      <c r="AE1654" s="379"/>
      <c r="AF1654" s="379"/>
      <c r="AG1654" s="379"/>
      <c r="AH1654" s="379"/>
      <c r="AI1654" s="379"/>
      <c r="AJ1654" s="379"/>
      <c r="AK1654" s="379"/>
      <c r="AL1654" s="379"/>
      <c r="AM1654" s="379"/>
      <c r="AN1654" s="379"/>
      <c r="AO1654" s="379"/>
      <c r="AP1654" s="379"/>
      <c r="AQ1654" s="379"/>
      <c r="AR1654" s="379"/>
      <c r="AS1654" s="379"/>
      <c r="AT1654" s="379"/>
      <c r="AU1654" s="379"/>
      <c r="AV1654" s="379"/>
      <c r="AW1654" s="379"/>
      <c r="AX1654" s="379"/>
      <c r="AY1654" s="379"/>
      <c r="AZ1654" s="379"/>
      <c r="BA1654" s="379"/>
      <c r="BB1654" s="379"/>
      <c r="BC1654" s="379"/>
      <c r="BD1654" s="379"/>
      <c r="BE1654" s="379"/>
      <c r="BF1654" s="379"/>
      <c r="BG1654" s="379"/>
      <c r="BH1654" s="379"/>
      <c r="BI1654" s="379"/>
      <c r="BJ1654" s="379"/>
      <c r="BK1654" s="379"/>
      <c r="BL1654" s="379"/>
      <c r="BM1654" s="379"/>
      <c r="BN1654" s="379"/>
      <c r="BO1654" s="379"/>
      <c r="BP1654" s="379"/>
      <c r="BQ1654" s="379"/>
      <c r="BR1654" s="379"/>
      <c r="BS1654" s="379"/>
      <c r="BT1654" s="379"/>
      <c r="BU1654" s="379"/>
      <c r="BV1654" s="379"/>
      <c r="BW1654" s="379"/>
      <c r="BX1654" s="379"/>
      <c r="BY1654" s="379"/>
      <c r="BZ1654" s="379"/>
      <c r="CA1654" s="270"/>
      <c r="CB1654" s="3" t="str">
        <f t="shared" si="263"/>
        <v>Riadok bude skrytý.</v>
      </c>
      <c r="CC1654" s="271" t="s">
        <v>832</v>
      </c>
      <c r="CW1654" s="30">
        <f t="shared" si="262"/>
        <v>1</v>
      </c>
      <c r="CX1654" s="30">
        <f t="shared" si="261"/>
        <v>0</v>
      </c>
      <c r="CZ1654" s="30">
        <f t="shared" si="258"/>
        <v>1</v>
      </c>
      <c r="DA1654" s="52">
        <f t="shared" si="256"/>
        <v>0</v>
      </c>
      <c r="DB1654" s="2">
        <f t="shared" si="260"/>
        <v>0</v>
      </c>
      <c r="DS1654" s="130">
        <f>SI!BY1654</f>
        <v>172</v>
      </c>
      <c r="DZ1654" s="131">
        <f>SI!BZ1654</f>
        <v>0</v>
      </c>
    </row>
    <row r="1655" spans="1:130" hidden="1" x14ac:dyDescent="0.25">
      <c r="A1655" s="141"/>
      <c r="B1655" s="379"/>
      <c r="C1655" s="379"/>
      <c r="D1655" s="379"/>
      <c r="E1655" s="379"/>
      <c r="F1655" s="379"/>
      <c r="G1655" s="379"/>
      <c r="H1655" s="379"/>
      <c r="I1655" s="379"/>
      <c r="J1655" s="379"/>
      <c r="K1655" s="379"/>
      <c r="L1655" s="379"/>
      <c r="M1655" s="379"/>
      <c r="N1655" s="379"/>
      <c r="O1655" s="379"/>
      <c r="P1655" s="379"/>
      <c r="Q1655" s="379"/>
      <c r="R1655" s="379"/>
      <c r="S1655" s="379"/>
      <c r="T1655" s="379"/>
      <c r="U1655" s="379"/>
      <c r="V1655" s="379"/>
      <c r="W1655" s="379"/>
      <c r="X1655" s="379"/>
      <c r="Y1655" s="379"/>
      <c r="Z1655" s="379"/>
      <c r="AA1655" s="379"/>
      <c r="AB1655" s="379"/>
      <c r="AC1655" s="379"/>
      <c r="AD1655" s="379"/>
      <c r="AE1655" s="379"/>
      <c r="AF1655" s="379"/>
      <c r="AG1655" s="379"/>
      <c r="AH1655" s="379"/>
      <c r="AI1655" s="379"/>
      <c r="AJ1655" s="379"/>
      <c r="AK1655" s="379"/>
      <c r="AL1655" s="379"/>
      <c r="AM1655" s="379"/>
      <c r="AN1655" s="379"/>
      <c r="AO1655" s="379"/>
      <c r="AP1655" s="379"/>
      <c r="AQ1655" s="379"/>
      <c r="AR1655" s="379"/>
      <c r="AS1655" s="379"/>
      <c r="AT1655" s="379"/>
      <c r="AU1655" s="379"/>
      <c r="AV1655" s="379"/>
      <c r="AW1655" s="379"/>
      <c r="AX1655" s="379"/>
      <c r="AY1655" s="379"/>
      <c r="AZ1655" s="379"/>
      <c r="BA1655" s="379"/>
      <c r="BB1655" s="379"/>
      <c r="BC1655" s="379"/>
      <c r="BD1655" s="379"/>
      <c r="BE1655" s="379"/>
      <c r="BF1655" s="379"/>
      <c r="BG1655" s="379"/>
      <c r="BH1655" s="379"/>
      <c r="BI1655" s="379"/>
      <c r="BJ1655" s="379"/>
      <c r="BK1655" s="379"/>
      <c r="BL1655" s="379"/>
      <c r="BM1655" s="379"/>
      <c r="BN1655" s="379"/>
      <c r="BO1655" s="379"/>
      <c r="BP1655" s="379"/>
      <c r="BQ1655" s="379"/>
      <c r="BR1655" s="379"/>
      <c r="BS1655" s="379"/>
      <c r="BT1655" s="379"/>
      <c r="BU1655" s="379"/>
      <c r="BV1655" s="379"/>
      <c r="BW1655" s="379"/>
      <c r="BX1655" s="379"/>
      <c r="BY1655" s="379"/>
      <c r="BZ1655" s="379"/>
      <c r="CA1655" s="270"/>
      <c r="CB1655" s="3" t="str">
        <f t="shared" si="263"/>
        <v>Riadok bude skrytý.</v>
      </c>
      <c r="CC1655" s="271" t="s">
        <v>832</v>
      </c>
      <c r="CW1655" s="30">
        <f t="shared" si="262"/>
        <v>1</v>
      </c>
      <c r="CX1655" s="30">
        <f t="shared" si="261"/>
        <v>0</v>
      </c>
      <c r="CZ1655" s="30">
        <f t="shared" si="258"/>
        <v>1</v>
      </c>
      <c r="DA1655" s="52">
        <f t="shared" si="256"/>
        <v>0</v>
      </c>
      <c r="DB1655" s="2">
        <f t="shared" si="260"/>
        <v>0</v>
      </c>
      <c r="DS1655" s="130">
        <f>SI!BY1655</f>
        <v>182</v>
      </c>
      <c r="DZ1655" s="131">
        <f>SI!BZ1655</f>
        <v>0</v>
      </c>
    </row>
    <row r="1656" spans="1:130" hidden="1" x14ac:dyDescent="0.25">
      <c r="A1656" s="141"/>
      <c r="B1656" s="379"/>
      <c r="C1656" s="379"/>
      <c r="D1656" s="379"/>
      <c r="E1656" s="379"/>
      <c r="F1656" s="379"/>
      <c r="G1656" s="379"/>
      <c r="H1656" s="379"/>
      <c r="I1656" s="379"/>
      <c r="J1656" s="379"/>
      <c r="K1656" s="379"/>
      <c r="L1656" s="379"/>
      <c r="M1656" s="379"/>
      <c r="N1656" s="379"/>
      <c r="O1656" s="379"/>
      <c r="P1656" s="379"/>
      <c r="Q1656" s="379"/>
      <c r="R1656" s="379"/>
      <c r="S1656" s="379"/>
      <c r="T1656" s="379"/>
      <c r="U1656" s="379"/>
      <c r="V1656" s="379"/>
      <c r="W1656" s="379"/>
      <c r="X1656" s="379"/>
      <c r="Y1656" s="379"/>
      <c r="Z1656" s="379"/>
      <c r="AA1656" s="379"/>
      <c r="AB1656" s="379"/>
      <c r="AC1656" s="379"/>
      <c r="AD1656" s="379"/>
      <c r="AE1656" s="379"/>
      <c r="AF1656" s="379"/>
      <c r="AG1656" s="379"/>
      <c r="AH1656" s="379"/>
      <c r="AI1656" s="379"/>
      <c r="AJ1656" s="379"/>
      <c r="AK1656" s="379"/>
      <c r="AL1656" s="379"/>
      <c r="AM1656" s="379"/>
      <c r="AN1656" s="379"/>
      <c r="AO1656" s="379"/>
      <c r="AP1656" s="379"/>
      <c r="AQ1656" s="379"/>
      <c r="AR1656" s="379"/>
      <c r="AS1656" s="379"/>
      <c r="AT1656" s="379"/>
      <c r="AU1656" s="379"/>
      <c r="AV1656" s="379"/>
      <c r="AW1656" s="379"/>
      <c r="AX1656" s="379"/>
      <c r="AY1656" s="379"/>
      <c r="AZ1656" s="379"/>
      <c r="BA1656" s="379"/>
      <c r="BB1656" s="379"/>
      <c r="BC1656" s="379"/>
      <c r="BD1656" s="379"/>
      <c r="BE1656" s="379"/>
      <c r="BF1656" s="379"/>
      <c r="BG1656" s="379"/>
      <c r="BH1656" s="379"/>
      <c r="BI1656" s="379"/>
      <c r="BJ1656" s="379"/>
      <c r="BK1656" s="379"/>
      <c r="BL1656" s="379"/>
      <c r="BM1656" s="379"/>
      <c r="BN1656" s="379"/>
      <c r="BO1656" s="379"/>
      <c r="BP1656" s="379"/>
      <c r="BQ1656" s="379"/>
      <c r="BR1656" s="379"/>
      <c r="BS1656" s="379"/>
      <c r="BT1656" s="379"/>
      <c r="BU1656" s="379"/>
      <c r="BV1656" s="379"/>
      <c r="BW1656" s="379"/>
      <c r="BX1656" s="379"/>
      <c r="BY1656" s="379"/>
      <c r="BZ1656" s="379"/>
      <c r="CA1656" s="270"/>
      <c r="CB1656" s="3" t="str">
        <f t="shared" si="263"/>
        <v>Riadok bude skrytý.</v>
      </c>
      <c r="CC1656" s="271" t="s">
        <v>832</v>
      </c>
      <c r="CW1656" s="30">
        <f t="shared" si="262"/>
        <v>1</v>
      </c>
      <c r="CX1656" s="30">
        <f t="shared" si="261"/>
        <v>0</v>
      </c>
      <c r="CZ1656" s="30">
        <f t="shared" si="258"/>
        <v>1</v>
      </c>
      <c r="DA1656" s="52">
        <f t="shared" si="256"/>
        <v>0</v>
      </c>
      <c r="DB1656" s="2">
        <f t="shared" si="260"/>
        <v>0</v>
      </c>
      <c r="DS1656" s="130">
        <f>SI!BY1656</f>
        <v>960</v>
      </c>
      <c r="DZ1656" s="131">
        <f>SI!BZ1656</f>
        <v>0</v>
      </c>
    </row>
    <row r="1657" spans="1:130" hidden="1" x14ac:dyDescent="0.25">
      <c r="A1657" s="141"/>
      <c r="B1657" s="379"/>
      <c r="C1657" s="379"/>
      <c r="D1657" s="379"/>
      <c r="E1657" s="379"/>
      <c r="F1657" s="379"/>
      <c r="G1657" s="379"/>
      <c r="H1657" s="379"/>
      <c r="I1657" s="379"/>
      <c r="J1657" s="379"/>
      <c r="K1657" s="379"/>
      <c r="L1657" s="379"/>
      <c r="M1657" s="379"/>
      <c r="N1657" s="379"/>
      <c r="O1657" s="379"/>
      <c r="P1657" s="379"/>
      <c r="Q1657" s="379"/>
      <c r="R1657" s="379"/>
      <c r="S1657" s="379"/>
      <c r="T1657" s="379"/>
      <c r="U1657" s="379"/>
      <c r="V1657" s="379"/>
      <c r="W1657" s="379"/>
      <c r="X1657" s="379"/>
      <c r="Y1657" s="379"/>
      <c r="Z1657" s="379"/>
      <c r="AA1657" s="379"/>
      <c r="AB1657" s="379"/>
      <c r="AC1657" s="379"/>
      <c r="AD1657" s="379"/>
      <c r="AE1657" s="379"/>
      <c r="AF1657" s="379"/>
      <c r="AG1657" s="379"/>
      <c r="AH1657" s="379"/>
      <c r="AI1657" s="379"/>
      <c r="AJ1657" s="379"/>
      <c r="AK1657" s="379"/>
      <c r="AL1657" s="379"/>
      <c r="AM1657" s="379"/>
      <c r="AN1657" s="379"/>
      <c r="AO1657" s="379"/>
      <c r="AP1657" s="379"/>
      <c r="AQ1657" s="379"/>
      <c r="AR1657" s="379"/>
      <c r="AS1657" s="379"/>
      <c r="AT1657" s="379"/>
      <c r="AU1657" s="379"/>
      <c r="AV1657" s="379"/>
      <c r="AW1657" s="379"/>
      <c r="AX1657" s="379"/>
      <c r="AY1657" s="379"/>
      <c r="AZ1657" s="379"/>
      <c r="BA1657" s="379"/>
      <c r="BB1657" s="379"/>
      <c r="BC1657" s="379"/>
      <c r="BD1657" s="379"/>
      <c r="BE1657" s="379"/>
      <c r="BF1657" s="379"/>
      <c r="BG1657" s="379"/>
      <c r="BH1657" s="379"/>
      <c r="BI1657" s="379"/>
      <c r="BJ1657" s="379"/>
      <c r="BK1657" s="379"/>
      <c r="BL1657" s="379"/>
      <c r="BM1657" s="379"/>
      <c r="BN1657" s="379"/>
      <c r="BO1657" s="379"/>
      <c r="BP1657" s="379"/>
      <c r="BQ1657" s="379"/>
      <c r="BR1657" s="379"/>
      <c r="BS1657" s="379"/>
      <c r="BT1657" s="379"/>
      <c r="BU1657" s="379"/>
      <c r="BV1657" s="379"/>
      <c r="BW1657" s="379"/>
      <c r="BX1657" s="379"/>
      <c r="BY1657" s="379"/>
      <c r="BZ1657" s="379"/>
      <c r="CA1657" s="270"/>
      <c r="CB1657" s="3" t="str">
        <f t="shared" si="263"/>
        <v>Riadok bude skrytý.</v>
      </c>
      <c r="CC1657" s="271" t="s">
        <v>832</v>
      </c>
      <c r="CW1657" s="30">
        <f t="shared" si="262"/>
        <v>1</v>
      </c>
      <c r="CX1657" s="30">
        <f t="shared" si="261"/>
        <v>0</v>
      </c>
      <c r="CZ1657" s="30">
        <f t="shared" si="258"/>
        <v>1</v>
      </c>
      <c r="DA1657" s="52">
        <f t="shared" si="256"/>
        <v>0</v>
      </c>
      <c r="DB1657" s="2">
        <f t="shared" si="260"/>
        <v>0</v>
      </c>
      <c r="DS1657" s="130">
        <f>SI!BY1657</f>
        <v>163</v>
      </c>
      <c r="DZ1657" s="131">
        <f>SI!BZ1657</f>
        <v>0</v>
      </c>
    </row>
    <row r="1658" spans="1:130" hidden="1" x14ac:dyDescent="0.25">
      <c r="A1658" s="141"/>
      <c r="B1658" s="379"/>
      <c r="C1658" s="379"/>
      <c r="D1658" s="379"/>
      <c r="E1658" s="379"/>
      <c r="F1658" s="379"/>
      <c r="G1658" s="379"/>
      <c r="H1658" s="379"/>
      <c r="I1658" s="379"/>
      <c r="J1658" s="379"/>
      <c r="K1658" s="379"/>
      <c r="L1658" s="379"/>
      <c r="M1658" s="379"/>
      <c r="N1658" s="379"/>
      <c r="O1658" s="379"/>
      <c r="P1658" s="379"/>
      <c r="Q1658" s="379"/>
      <c r="R1658" s="379"/>
      <c r="S1658" s="379"/>
      <c r="T1658" s="379"/>
      <c r="U1658" s="379"/>
      <c r="V1658" s="379"/>
      <c r="W1658" s="379"/>
      <c r="X1658" s="379"/>
      <c r="Y1658" s="379"/>
      <c r="Z1658" s="379"/>
      <c r="AA1658" s="379"/>
      <c r="AB1658" s="379"/>
      <c r="AC1658" s="379"/>
      <c r="AD1658" s="379"/>
      <c r="AE1658" s="379"/>
      <c r="AF1658" s="379"/>
      <c r="AG1658" s="379"/>
      <c r="AH1658" s="379"/>
      <c r="AI1658" s="379"/>
      <c r="AJ1658" s="379"/>
      <c r="AK1658" s="379"/>
      <c r="AL1658" s="379"/>
      <c r="AM1658" s="379"/>
      <c r="AN1658" s="379"/>
      <c r="AO1658" s="379"/>
      <c r="AP1658" s="379"/>
      <c r="AQ1658" s="379"/>
      <c r="AR1658" s="379"/>
      <c r="AS1658" s="379"/>
      <c r="AT1658" s="379"/>
      <c r="AU1658" s="379"/>
      <c r="AV1658" s="379"/>
      <c r="AW1658" s="379"/>
      <c r="AX1658" s="379"/>
      <c r="AY1658" s="379"/>
      <c r="AZ1658" s="379"/>
      <c r="BA1658" s="379"/>
      <c r="BB1658" s="379"/>
      <c r="BC1658" s="379"/>
      <c r="BD1658" s="379"/>
      <c r="BE1658" s="379"/>
      <c r="BF1658" s="379"/>
      <c r="BG1658" s="379"/>
      <c r="BH1658" s="379"/>
      <c r="BI1658" s="379"/>
      <c r="BJ1658" s="379"/>
      <c r="BK1658" s="379"/>
      <c r="BL1658" s="379"/>
      <c r="BM1658" s="379"/>
      <c r="BN1658" s="379"/>
      <c r="BO1658" s="379"/>
      <c r="BP1658" s="379"/>
      <c r="BQ1658" s="379"/>
      <c r="BR1658" s="379"/>
      <c r="BS1658" s="379"/>
      <c r="BT1658" s="379"/>
      <c r="BU1658" s="379"/>
      <c r="BV1658" s="379"/>
      <c r="BW1658" s="379"/>
      <c r="BX1658" s="379"/>
      <c r="BY1658" s="379"/>
      <c r="BZ1658" s="379"/>
      <c r="CA1658" s="270"/>
      <c r="CB1658" s="3" t="str">
        <f t="shared" si="263"/>
        <v>Riadok bude skrytý.</v>
      </c>
      <c r="CC1658" s="271" t="s">
        <v>832</v>
      </c>
      <c r="CW1658" s="30">
        <f t="shared" si="262"/>
        <v>1</v>
      </c>
      <c r="CX1658" s="30">
        <f t="shared" si="261"/>
        <v>0</v>
      </c>
      <c r="CZ1658" s="30">
        <f t="shared" si="258"/>
        <v>1</v>
      </c>
      <c r="DA1658" s="52">
        <f t="shared" si="256"/>
        <v>0</v>
      </c>
      <c r="DB1658" s="2">
        <f t="shared" si="260"/>
        <v>0</v>
      </c>
      <c r="DS1658" s="130">
        <f>SI!BY1658</f>
        <v>785</v>
      </c>
      <c r="DZ1658" s="131">
        <f>SI!BZ1658</f>
        <v>0</v>
      </c>
    </row>
    <row r="1659" spans="1:130" hidden="1" x14ac:dyDescent="0.25">
      <c r="A1659" s="141"/>
      <c r="B1659" s="379"/>
      <c r="C1659" s="379"/>
      <c r="D1659" s="379"/>
      <c r="E1659" s="379"/>
      <c r="F1659" s="379"/>
      <c r="G1659" s="379"/>
      <c r="H1659" s="379"/>
      <c r="I1659" s="379"/>
      <c r="J1659" s="379"/>
      <c r="K1659" s="379"/>
      <c r="L1659" s="379"/>
      <c r="M1659" s="379"/>
      <c r="N1659" s="379"/>
      <c r="O1659" s="379"/>
      <c r="P1659" s="379"/>
      <c r="Q1659" s="379"/>
      <c r="R1659" s="379"/>
      <c r="S1659" s="379"/>
      <c r="T1659" s="379"/>
      <c r="U1659" s="379"/>
      <c r="V1659" s="379"/>
      <c r="W1659" s="379"/>
      <c r="X1659" s="379"/>
      <c r="Y1659" s="379"/>
      <c r="Z1659" s="379"/>
      <c r="AA1659" s="379"/>
      <c r="AB1659" s="379"/>
      <c r="AC1659" s="379"/>
      <c r="AD1659" s="379"/>
      <c r="AE1659" s="379"/>
      <c r="AF1659" s="379"/>
      <c r="AG1659" s="379"/>
      <c r="AH1659" s="379"/>
      <c r="AI1659" s="379"/>
      <c r="AJ1659" s="379"/>
      <c r="AK1659" s="379"/>
      <c r="AL1659" s="379"/>
      <c r="AM1659" s="379"/>
      <c r="AN1659" s="379"/>
      <c r="AO1659" s="379"/>
      <c r="AP1659" s="379"/>
      <c r="AQ1659" s="379"/>
      <c r="AR1659" s="379"/>
      <c r="AS1659" s="379"/>
      <c r="AT1659" s="379"/>
      <c r="AU1659" s="379"/>
      <c r="AV1659" s="379"/>
      <c r="AW1659" s="379"/>
      <c r="AX1659" s="379"/>
      <c r="AY1659" s="379"/>
      <c r="AZ1659" s="379"/>
      <c r="BA1659" s="379"/>
      <c r="BB1659" s="379"/>
      <c r="BC1659" s="379"/>
      <c r="BD1659" s="379"/>
      <c r="BE1659" s="379"/>
      <c r="BF1659" s="379"/>
      <c r="BG1659" s="379"/>
      <c r="BH1659" s="379"/>
      <c r="BI1659" s="379"/>
      <c r="BJ1659" s="379"/>
      <c r="BK1659" s="379"/>
      <c r="BL1659" s="379"/>
      <c r="BM1659" s="379"/>
      <c r="BN1659" s="379"/>
      <c r="BO1659" s="379"/>
      <c r="BP1659" s="379"/>
      <c r="BQ1659" s="379"/>
      <c r="BR1659" s="379"/>
      <c r="BS1659" s="379"/>
      <c r="BT1659" s="379"/>
      <c r="BU1659" s="379"/>
      <c r="BV1659" s="379"/>
      <c r="BW1659" s="379"/>
      <c r="BX1659" s="379"/>
      <c r="BY1659" s="379"/>
      <c r="BZ1659" s="379"/>
      <c r="CA1659" s="270"/>
      <c r="CB1659" s="3" t="str">
        <f t="shared" si="263"/>
        <v>Riadok bude skrytý.</v>
      </c>
      <c r="CC1659" s="271" t="s">
        <v>832</v>
      </c>
      <c r="CW1659" s="30">
        <f t="shared" si="262"/>
        <v>1</v>
      </c>
      <c r="CX1659" s="30">
        <f t="shared" si="261"/>
        <v>0</v>
      </c>
      <c r="CZ1659" s="30">
        <f t="shared" si="258"/>
        <v>1</v>
      </c>
      <c r="DA1659" s="52">
        <f t="shared" si="256"/>
        <v>0</v>
      </c>
      <c r="DB1659" s="2">
        <f t="shared" si="260"/>
        <v>0</v>
      </c>
      <c r="DS1659" s="130">
        <f>SI!BY1659</f>
        <v>175</v>
      </c>
      <c r="DZ1659" s="131">
        <f>SI!BZ1659</f>
        <v>0</v>
      </c>
    </row>
    <row r="1660" spans="1:130" hidden="1" x14ac:dyDescent="0.25">
      <c r="A1660" s="141"/>
      <c r="B1660" s="379"/>
      <c r="C1660" s="379"/>
      <c r="D1660" s="379"/>
      <c r="E1660" s="379"/>
      <c r="F1660" s="379"/>
      <c r="G1660" s="379"/>
      <c r="H1660" s="379"/>
      <c r="I1660" s="379"/>
      <c r="J1660" s="379"/>
      <c r="K1660" s="379"/>
      <c r="L1660" s="379"/>
      <c r="M1660" s="379"/>
      <c r="N1660" s="379"/>
      <c r="O1660" s="379"/>
      <c r="P1660" s="379"/>
      <c r="Q1660" s="379"/>
      <c r="R1660" s="379"/>
      <c r="S1660" s="379"/>
      <c r="T1660" s="379"/>
      <c r="U1660" s="379"/>
      <c r="V1660" s="379"/>
      <c r="W1660" s="379"/>
      <c r="X1660" s="379"/>
      <c r="Y1660" s="379"/>
      <c r="Z1660" s="379"/>
      <c r="AA1660" s="379"/>
      <c r="AB1660" s="379"/>
      <c r="AC1660" s="379"/>
      <c r="AD1660" s="379"/>
      <c r="AE1660" s="379"/>
      <c r="AF1660" s="379"/>
      <c r="AG1660" s="379"/>
      <c r="AH1660" s="379"/>
      <c r="AI1660" s="379"/>
      <c r="AJ1660" s="379"/>
      <c r="AK1660" s="379"/>
      <c r="AL1660" s="379"/>
      <c r="AM1660" s="379"/>
      <c r="AN1660" s="379"/>
      <c r="AO1660" s="379"/>
      <c r="AP1660" s="379"/>
      <c r="AQ1660" s="379"/>
      <c r="AR1660" s="379"/>
      <c r="AS1660" s="379"/>
      <c r="AT1660" s="379"/>
      <c r="AU1660" s="379"/>
      <c r="AV1660" s="379"/>
      <c r="AW1660" s="379"/>
      <c r="AX1660" s="379"/>
      <c r="AY1660" s="379"/>
      <c r="AZ1660" s="379"/>
      <c r="BA1660" s="379"/>
      <c r="BB1660" s="379"/>
      <c r="BC1660" s="379"/>
      <c r="BD1660" s="379"/>
      <c r="BE1660" s="379"/>
      <c r="BF1660" s="379"/>
      <c r="BG1660" s="379"/>
      <c r="BH1660" s="379"/>
      <c r="BI1660" s="379"/>
      <c r="BJ1660" s="379"/>
      <c r="BK1660" s="379"/>
      <c r="BL1660" s="379"/>
      <c r="BM1660" s="379"/>
      <c r="BN1660" s="379"/>
      <c r="BO1660" s="379"/>
      <c r="BP1660" s="379"/>
      <c r="BQ1660" s="379"/>
      <c r="BR1660" s="379"/>
      <c r="BS1660" s="379"/>
      <c r="BT1660" s="379"/>
      <c r="BU1660" s="379"/>
      <c r="BV1660" s="379"/>
      <c r="BW1660" s="379"/>
      <c r="BX1660" s="379"/>
      <c r="BY1660" s="379"/>
      <c r="BZ1660" s="379"/>
      <c r="CA1660" s="270"/>
      <c r="CB1660" s="3" t="str">
        <f t="shared" si="263"/>
        <v>Riadok bude skrytý.</v>
      </c>
      <c r="CC1660" s="271" t="s">
        <v>832</v>
      </c>
      <c r="CW1660" s="30">
        <f t="shared" si="262"/>
        <v>1</v>
      </c>
      <c r="CX1660" s="30">
        <f t="shared" si="261"/>
        <v>0</v>
      </c>
      <c r="CZ1660" s="30">
        <f t="shared" si="258"/>
        <v>1</v>
      </c>
      <c r="DA1660" s="52">
        <f t="shared" si="256"/>
        <v>0</v>
      </c>
      <c r="DB1660" s="2">
        <f t="shared" si="260"/>
        <v>0</v>
      </c>
      <c r="DS1660" s="130">
        <f>SI!BY1660</f>
        <v>540</v>
      </c>
      <c r="DZ1660" s="131">
        <f>SI!BZ1660</f>
        <v>0</v>
      </c>
    </row>
    <row r="1661" spans="1:130" hidden="1" x14ac:dyDescent="0.25">
      <c r="A1661" s="141"/>
      <c r="B1661" s="379"/>
      <c r="C1661" s="379"/>
      <c r="D1661" s="379"/>
      <c r="E1661" s="379"/>
      <c r="F1661" s="379"/>
      <c r="G1661" s="379"/>
      <c r="H1661" s="379"/>
      <c r="I1661" s="379"/>
      <c r="J1661" s="379"/>
      <c r="K1661" s="379"/>
      <c r="L1661" s="379"/>
      <c r="M1661" s="379"/>
      <c r="N1661" s="379"/>
      <c r="O1661" s="379"/>
      <c r="P1661" s="379"/>
      <c r="Q1661" s="379"/>
      <c r="R1661" s="379"/>
      <c r="S1661" s="379"/>
      <c r="T1661" s="379"/>
      <c r="U1661" s="379"/>
      <c r="V1661" s="379"/>
      <c r="W1661" s="379"/>
      <c r="X1661" s="379"/>
      <c r="Y1661" s="379"/>
      <c r="Z1661" s="379"/>
      <c r="AA1661" s="379"/>
      <c r="AB1661" s="379"/>
      <c r="AC1661" s="379"/>
      <c r="AD1661" s="379"/>
      <c r="AE1661" s="379"/>
      <c r="AF1661" s="379"/>
      <c r="AG1661" s="379"/>
      <c r="AH1661" s="379"/>
      <c r="AI1661" s="379"/>
      <c r="AJ1661" s="379"/>
      <c r="AK1661" s="379"/>
      <c r="AL1661" s="379"/>
      <c r="AM1661" s="379"/>
      <c r="AN1661" s="379"/>
      <c r="AO1661" s="379"/>
      <c r="AP1661" s="379"/>
      <c r="AQ1661" s="379"/>
      <c r="AR1661" s="379"/>
      <c r="AS1661" s="379"/>
      <c r="AT1661" s="379"/>
      <c r="AU1661" s="379"/>
      <c r="AV1661" s="379"/>
      <c r="AW1661" s="379"/>
      <c r="AX1661" s="379"/>
      <c r="AY1661" s="379"/>
      <c r="AZ1661" s="379"/>
      <c r="BA1661" s="379"/>
      <c r="BB1661" s="379"/>
      <c r="BC1661" s="379"/>
      <c r="BD1661" s="379"/>
      <c r="BE1661" s="379"/>
      <c r="BF1661" s="379"/>
      <c r="BG1661" s="379"/>
      <c r="BH1661" s="379"/>
      <c r="BI1661" s="379"/>
      <c r="BJ1661" s="379"/>
      <c r="BK1661" s="379"/>
      <c r="BL1661" s="379"/>
      <c r="BM1661" s="379"/>
      <c r="BN1661" s="379"/>
      <c r="BO1661" s="379"/>
      <c r="BP1661" s="379"/>
      <c r="BQ1661" s="379"/>
      <c r="BR1661" s="379"/>
      <c r="BS1661" s="379"/>
      <c r="BT1661" s="379"/>
      <c r="BU1661" s="379"/>
      <c r="BV1661" s="379"/>
      <c r="BW1661" s="379"/>
      <c r="BX1661" s="379"/>
      <c r="BY1661" s="379"/>
      <c r="BZ1661" s="379"/>
      <c r="CA1661" s="270"/>
      <c r="CB1661" s="3" t="str">
        <f t="shared" si="263"/>
        <v>Riadok bude skrytý.</v>
      </c>
      <c r="CC1661" s="271" t="s">
        <v>832</v>
      </c>
      <c r="CW1661" s="30">
        <f t="shared" si="262"/>
        <v>1</v>
      </c>
      <c r="CX1661" s="30">
        <f t="shared" si="261"/>
        <v>0</v>
      </c>
      <c r="CZ1661" s="30">
        <f t="shared" si="258"/>
        <v>1</v>
      </c>
      <c r="DA1661" s="52">
        <f t="shared" si="256"/>
        <v>0</v>
      </c>
      <c r="DB1661" s="2">
        <f t="shared" si="260"/>
        <v>0</v>
      </c>
      <c r="DS1661" s="130">
        <f>SI!BY1661</f>
        <v>126</v>
      </c>
      <c r="DZ1661" s="131">
        <f>SI!BZ1661</f>
        <v>0</v>
      </c>
    </row>
    <row r="1662" spans="1:130" hidden="1" x14ac:dyDescent="0.25">
      <c r="A1662" s="141"/>
      <c r="B1662" s="379"/>
      <c r="C1662" s="379"/>
      <c r="D1662" s="379"/>
      <c r="E1662" s="379"/>
      <c r="F1662" s="379"/>
      <c r="G1662" s="379"/>
      <c r="H1662" s="379"/>
      <c r="I1662" s="379"/>
      <c r="J1662" s="379"/>
      <c r="K1662" s="379"/>
      <c r="L1662" s="379"/>
      <c r="M1662" s="379"/>
      <c r="N1662" s="379"/>
      <c r="O1662" s="379"/>
      <c r="P1662" s="379"/>
      <c r="Q1662" s="379"/>
      <c r="R1662" s="379"/>
      <c r="S1662" s="379"/>
      <c r="T1662" s="379"/>
      <c r="U1662" s="379"/>
      <c r="V1662" s="379"/>
      <c r="W1662" s="379"/>
      <c r="X1662" s="379"/>
      <c r="Y1662" s="379"/>
      <c r="Z1662" s="379"/>
      <c r="AA1662" s="379"/>
      <c r="AB1662" s="379"/>
      <c r="AC1662" s="379"/>
      <c r="AD1662" s="379"/>
      <c r="AE1662" s="379"/>
      <c r="AF1662" s="379"/>
      <c r="AG1662" s="379"/>
      <c r="AH1662" s="379"/>
      <c r="AI1662" s="379"/>
      <c r="AJ1662" s="379"/>
      <c r="AK1662" s="379"/>
      <c r="AL1662" s="379"/>
      <c r="AM1662" s="379"/>
      <c r="AN1662" s="379"/>
      <c r="AO1662" s="379"/>
      <c r="AP1662" s="379"/>
      <c r="AQ1662" s="379"/>
      <c r="AR1662" s="379"/>
      <c r="AS1662" s="379"/>
      <c r="AT1662" s="379"/>
      <c r="AU1662" s="379"/>
      <c r="AV1662" s="379"/>
      <c r="AW1662" s="379"/>
      <c r="AX1662" s="379"/>
      <c r="AY1662" s="379"/>
      <c r="AZ1662" s="379"/>
      <c r="BA1662" s="379"/>
      <c r="BB1662" s="379"/>
      <c r="BC1662" s="379"/>
      <c r="BD1662" s="379"/>
      <c r="BE1662" s="379"/>
      <c r="BF1662" s="379"/>
      <c r="BG1662" s="379"/>
      <c r="BH1662" s="379"/>
      <c r="BI1662" s="379"/>
      <c r="BJ1662" s="379"/>
      <c r="BK1662" s="379"/>
      <c r="BL1662" s="379"/>
      <c r="BM1662" s="379"/>
      <c r="BN1662" s="379"/>
      <c r="BO1662" s="379"/>
      <c r="BP1662" s="379"/>
      <c r="BQ1662" s="379"/>
      <c r="BR1662" s="379"/>
      <c r="BS1662" s="379"/>
      <c r="BT1662" s="379"/>
      <c r="BU1662" s="379"/>
      <c r="BV1662" s="379"/>
      <c r="BW1662" s="379"/>
      <c r="BX1662" s="379"/>
      <c r="BY1662" s="379"/>
      <c r="BZ1662" s="379"/>
      <c r="CA1662" s="270"/>
      <c r="CB1662" s="3" t="str">
        <f t="shared" si="263"/>
        <v>Riadok bude skrytý.</v>
      </c>
      <c r="CC1662" s="271" t="s">
        <v>832</v>
      </c>
      <c r="CW1662" s="30">
        <f t="shared" si="262"/>
        <v>1</v>
      </c>
      <c r="CX1662" s="30">
        <f t="shared" si="261"/>
        <v>0</v>
      </c>
      <c r="CZ1662" s="30">
        <f t="shared" si="258"/>
        <v>1</v>
      </c>
      <c r="DA1662" s="52">
        <f t="shared" si="256"/>
        <v>0</v>
      </c>
      <c r="DB1662" s="2">
        <f t="shared" si="260"/>
        <v>0</v>
      </c>
      <c r="DS1662" s="130">
        <f>SI!BY1662</f>
        <v>438</v>
      </c>
      <c r="DZ1662" s="131">
        <f>SI!BZ1662</f>
        <v>0</v>
      </c>
    </row>
    <row r="1663" spans="1:130" hidden="1" x14ac:dyDescent="0.25">
      <c r="A1663" s="141"/>
      <c r="B1663" s="379"/>
      <c r="C1663" s="379"/>
      <c r="D1663" s="379"/>
      <c r="E1663" s="379"/>
      <c r="F1663" s="379"/>
      <c r="G1663" s="379"/>
      <c r="H1663" s="379"/>
      <c r="I1663" s="379"/>
      <c r="J1663" s="379"/>
      <c r="K1663" s="379"/>
      <c r="L1663" s="379"/>
      <c r="M1663" s="379"/>
      <c r="N1663" s="379"/>
      <c r="O1663" s="379"/>
      <c r="P1663" s="379"/>
      <c r="Q1663" s="379"/>
      <c r="R1663" s="379"/>
      <c r="S1663" s="379"/>
      <c r="T1663" s="379"/>
      <c r="U1663" s="379"/>
      <c r="V1663" s="379"/>
      <c r="W1663" s="379"/>
      <c r="X1663" s="379"/>
      <c r="Y1663" s="379"/>
      <c r="Z1663" s="379"/>
      <c r="AA1663" s="379"/>
      <c r="AB1663" s="379"/>
      <c r="AC1663" s="379"/>
      <c r="AD1663" s="379"/>
      <c r="AE1663" s="379"/>
      <c r="AF1663" s="379"/>
      <c r="AG1663" s="379"/>
      <c r="AH1663" s="379"/>
      <c r="AI1663" s="379"/>
      <c r="AJ1663" s="379"/>
      <c r="AK1663" s="379"/>
      <c r="AL1663" s="379"/>
      <c r="AM1663" s="379"/>
      <c r="AN1663" s="379"/>
      <c r="AO1663" s="379"/>
      <c r="AP1663" s="379"/>
      <c r="AQ1663" s="379"/>
      <c r="AR1663" s="379"/>
      <c r="AS1663" s="379"/>
      <c r="AT1663" s="379"/>
      <c r="AU1663" s="379"/>
      <c r="AV1663" s="379"/>
      <c r="AW1663" s="379"/>
      <c r="AX1663" s="379"/>
      <c r="AY1663" s="379"/>
      <c r="AZ1663" s="379"/>
      <c r="BA1663" s="379"/>
      <c r="BB1663" s="379"/>
      <c r="BC1663" s="379"/>
      <c r="BD1663" s="379"/>
      <c r="BE1663" s="379"/>
      <c r="BF1663" s="379"/>
      <c r="BG1663" s="379"/>
      <c r="BH1663" s="379"/>
      <c r="BI1663" s="379"/>
      <c r="BJ1663" s="379"/>
      <c r="BK1663" s="379"/>
      <c r="BL1663" s="379"/>
      <c r="BM1663" s="379"/>
      <c r="BN1663" s="379"/>
      <c r="BO1663" s="379"/>
      <c r="BP1663" s="379"/>
      <c r="BQ1663" s="379"/>
      <c r="BR1663" s="379"/>
      <c r="BS1663" s="379"/>
      <c r="BT1663" s="379"/>
      <c r="BU1663" s="379"/>
      <c r="BV1663" s="379"/>
      <c r="BW1663" s="379"/>
      <c r="BX1663" s="379"/>
      <c r="BY1663" s="379"/>
      <c r="BZ1663" s="379"/>
      <c r="CA1663" s="270"/>
      <c r="CB1663" s="3" t="str">
        <f t="shared" si="263"/>
        <v>Riadok bude skrytý.</v>
      </c>
      <c r="CC1663" s="271" t="s">
        <v>832</v>
      </c>
      <c r="CW1663" s="30">
        <f t="shared" si="262"/>
        <v>1</v>
      </c>
      <c r="CX1663" s="30">
        <f t="shared" si="261"/>
        <v>0</v>
      </c>
      <c r="CZ1663" s="30">
        <f t="shared" si="258"/>
        <v>1</v>
      </c>
      <c r="DA1663" s="52">
        <f t="shared" si="256"/>
        <v>0</v>
      </c>
      <c r="DB1663" s="2">
        <f t="shared" si="260"/>
        <v>0</v>
      </c>
      <c r="DS1663" s="130">
        <f>SI!BY1663</f>
        <v>169</v>
      </c>
      <c r="DZ1663" s="131">
        <f>SI!BZ1663</f>
        <v>0</v>
      </c>
    </row>
    <row r="1664" spans="1:130" hidden="1" x14ac:dyDescent="0.25">
      <c r="A1664" s="141"/>
      <c r="B1664" s="379"/>
      <c r="C1664" s="379"/>
      <c r="D1664" s="379"/>
      <c r="E1664" s="379"/>
      <c r="F1664" s="379"/>
      <c r="G1664" s="379"/>
      <c r="H1664" s="379"/>
      <c r="I1664" s="379"/>
      <c r="J1664" s="379"/>
      <c r="K1664" s="379"/>
      <c r="L1664" s="379"/>
      <c r="M1664" s="379"/>
      <c r="N1664" s="379"/>
      <c r="O1664" s="379"/>
      <c r="P1664" s="379"/>
      <c r="Q1664" s="379"/>
      <c r="R1664" s="379"/>
      <c r="S1664" s="379"/>
      <c r="T1664" s="379"/>
      <c r="U1664" s="379"/>
      <c r="V1664" s="379"/>
      <c r="W1664" s="379"/>
      <c r="X1664" s="379"/>
      <c r="Y1664" s="379"/>
      <c r="Z1664" s="379"/>
      <c r="AA1664" s="379"/>
      <c r="AB1664" s="379"/>
      <c r="AC1664" s="379"/>
      <c r="AD1664" s="379"/>
      <c r="AE1664" s="379"/>
      <c r="AF1664" s="379"/>
      <c r="AG1664" s="379"/>
      <c r="AH1664" s="379"/>
      <c r="AI1664" s="379"/>
      <c r="AJ1664" s="379"/>
      <c r="AK1664" s="379"/>
      <c r="AL1664" s="379"/>
      <c r="AM1664" s="379"/>
      <c r="AN1664" s="379"/>
      <c r="AO1664" s="379"/>
      <c r="AP1664" s="379"/>
      <c r="AQ1664" s="379"/>
      <c r="AR1664" s="379"/>
      <c r="AS1664" s="379"/>
      <c r="AT1664" s="379"/>
      <c r="AU1664" s="379"/>
      <c r="AV1664" s="379"/>
      <c r="AW1664" s="379"/>
      <c r="AX1664" s="379"/>
      <c r="AY1664" s="379"/>
      <c r="AZ1664" s="379"/>
      <c r="BA1664" s="379"/>
      <c r="BB1664" s="379"/>
      <c r="BC1664" s="379"/>
      <c r="BD1664" s="379"/>
      <c r="BE1664" s="379"/>
      <c r="BF1664" s="379"/>
      <c r="BG1664" s="379"/>
      <c r="BH1664" s="379"/>
      <c r="BI1664" s="379"/>
      <c r="BJ1664" s="379"/>
      <c r="BK1664" s="379"/>
      <c r="BL1664" s="379"/>
      <c r="BM1664" s="379"/>
      <c r="BN1664" s="379"/>
      <c r="BO1664" s="379"/>
      <c r="BP1664" s="379"/>
      <c r="BQ1664" s="379"/>
      <c r="BR1664" s="379"/>
      <c r="BS1664" s="379"/>
      <c r="BT1664" s="379"/>
      <c r="BU1664" s="379"/>
      <c r="BV1664" s="379"/>
      <c r="BW1664" s="379"/>
      <c r="BX1664" s="379"/>
      <c r="BY1664" s="379"/>
      <c r="BZ1664" s="379"/>
      <c r="CA1664" s="270"/>
      <c r="CB1664" s="3" t="str">
        <f t="shared" si="263"/>
        <v>Riadok bude skrytý.</v>
      </c>
      <c r="CC1664" s="271" t="s">
        <v>832</v>
      </c>
      <c r="CW1664" s="30">
        <f t="shared" si="262"/>
        <v>1</v>
      </c>
      <c r="CX1664" s="30">
        <f t="shared" si="261"/>
        <v>0</v>
      </c>
      <c r="CZ1664" s="30">
        <f t="shared" si="258"/>
        <v>1</v>
      </c>
      <c r="DA1664" s="52">
        <f t="shared" si="256"/>
        <v>0</v>
      </c>
      <c r="DB1664" s="2">
        <f t="shared" si="260"/>
        <v>0</v>
      </c>
      <c r="DS1664" s="130">
        <f>SI!BY1664</f>
        <v>393</v>
      </c>
      <c r="DZ1664" s="131">
        <f>SI!BZ1664</f>
        <v>0</v>
      </c>
    </row>
    <row r="1665" spans="1:130" hidden="1" x14ac:dyDescent="0.25">
      <c r="A1665" s="141"/>
      <c r="B1665" s="379"/>
      <c r="C1665" s="379"/>
      <c r="D1665" s="379"/>
      <c r="E1665" s="379"/>
      <c r="F1665" s="379"/>
      <c r="G1665" s="379"/>
      <c r="H1665" s="379"/>
      <c r="I1665" s="379"/>
      <c r="J1665" s="379"/>
      <c r="K1665" s="379"/>
      <c r="L1665" s="379"/>
      <c r="M1665" s="379"/>
      <c r="N1665" s="379"/>
      <c r="O1665" s="379"/>
      <c r="P1665" s="379"/>
      <c r="Q1665" s="379"/>
      <c r="R1665" s="379"/>
      <c r="S1665" s="379"/>
      <c r="T1665" s="379"/>
      <c r="U1665" s="379"/>
      <c r="V1665" s="379"/>
      <c r="W1665" s="379"/>
      <c r="X1665" s="379"/>
      <c r="Y1665" s="379"/>
      <c r="Z1665" s="379"/>
      <c r="AA1665" s="379"/>
      <c r="AB1665" s="379"/>
      <c r="AC1665" s="379"/>
      <c r="AD1665" s="379"/>
      <c r="AE1665" s="379"/>
      <c r="AF1665" s="379"/>
      <c r="AG1665" s="379"/>
      <c r="AH1665" s="379"/>
      <c r="AI1665" s="379"/>
      <c r="AJ1665" s="379"/>
      <c r="AK1665" s="379"/>
      <c r="AL1665" s="379"/>
      <c r="AM1665" s="379"/>
      <c r="AN1665" s="379"/>
      <c r="AO1665" s="379"/>
      <c r="AP1665" s="379"/>
      <c r="AQ1665" s="379"/>
      <c r="AR1665" s="379"/>
      <c r="AS1665" s="379"/>
      <c r="AT1665" s="379"/>
      <c r="AU1665" s="379"/>
      <c r="AV1665" s="379"/>
      <c r="AW1665" s="379"/>
      <c r="AX1665" s="379"/>
      <c r="AY1665" s="379"/>
      <c r="AZ1665" s="379"/>
      <c r="BA1665" s="379"/>
      <c r="BB1665" s="379"/>
      <c r="BC1665" s="379"/>
      <c r="BD1665" s="379"/>
      <c r="BE1665" s="379"/>
      <c r="BF1665" s="379"/>
      <c r="BG1665" s="379"/>
      <c r="BH1665" s="379"/>
      <c r="BI1665" s="379"/>
      <c r="BJ1665" s="379"/>
      <c r="BK1665" s="379"/>
      <c r="BL1665" s="379"/>
      <c r="BM1665" s="379"/>
      <c r="BN1665" s="379"/>
      <c r="BO1665" s="379"/>
      <c r="BP1665" s="379"/>
      <c r="BQ1665" s="379"/>
      <c r="BR1665" s="379"/>
      <c r="BS1665" s="379"/>
      <c r="BT1665" s="379"/>
      <c r="BU1665" s="379"/>
      <c r="BV1665" s="379"/>
      <c r="BW1665" s="379"/>
      <c r="BX1665" s="379"/>
      <c r="BY1665" s="379"/>
      <c r="BZ1665" s="379"/>
      <c r="CA1665" s="270"/>
      <c r="CB1665" s="3" t="str">
        <f t="shared" si="263"/>
        <v>Riadok bude skrytý.</v>
      </c>
      <c r="CC1665" s="271" t="s">
        <v>832</v>
      </c>
      <c r="CW1665" s="30">
        <f t="shared" si="262"/>
        <v>1</v>
      </c>
      <c r="CX1665" s="30">
        <f t="shared" si="261"/>
        <v>0</v>
      </c>
      <c r="CZ1665" s="30">
        <f t="shared" si="258"/>
        <v>1</v>
      </c>
      <c r="DA1665" s="52">
        <f t="shared" si="256"/>
        <v>0</v>
      </c>
      <c r="DB1665" s="2">
        <f t="shared" si="260"/>
        <v>0</v>
      </c>
      <c r="DS1665" s="130">
        <f>SI!BY1665</f>
        <v>979</v>
      </c>
      <c r="DZ1665" s="131">
        <f>SI!BZ1665</f>
        <v>0</v>
      </c>
    </row>
    <row r="1666" spans="1:130" hidden="1" x14ac:dyDescent="0.25">
      <c r="A1666" s="141"/>
      <c r="B1666" s="379"/>
      <c r="C1666" s="379"/>
      <c r="D1666" s="379"/>
      <c r="E1666" s="379"/>
      <c r="F1666" s="379"/>
      <c r="G1666" s="379"/>
      <c r="H1666" s="379"/>
      <c r="I1666" s="379"/>
      <c r="J1666" s="379"/>
      <c r="K1666" s="379"/>
      <c r="L1666" s="379"/>
      <c r="M1666" s="379"/>
      <c r="N1666" s="379"/>
      <c r="O1666" s="379"/>
      <c r="P1666" s="379"/>
      <c r="Q1666" s="379"/>
      <c r="R1666" s="379"/>
      <c r="S1666" s="379"/>
      <c r="T1666" s="379"/>
      <c r="U1666" s="379"/>
      <c r="V1666" s="379"/>
      <c r="W1666" s="379"/>
      <c r="X1666" s="379"/>
      <c r="Y1666" s="379"/>
      <c r="Z1666" s="379"/>
      <c r="AA1666" s="379"/>
      <c r="AB1666" s="379"/>
      <c r="AC1666" s="379"/>
      <c r="AD1666" s="379"/>
      <c r="AE1666" s="379"/>
      <c r="AF1666" s="379"/>
      <c r="AG1666" s="379"/>
      <c r="AH1666" s="379"/>
      <c r="AI1666" s="379"/>
      <c r="AJ1666" s="379"/>
      <c r="AK1666" s="379"/>
      <c r="AL1666" s="379"/>
      <c r="AM1666" s="379"/>
      <c r="AN1666" s="379"/>
      <c r="AO1666" s="379"/>
      <c r="AP1666" s="379"/>
      <c r="AQ1666" s="379"/>
      <c r="AR1666" s="379"/>
      <c r="AS1666" s="379"/>
      <c r="AT1666" s="379"/>
      <c r="AU1666" s="379"/>
      <c r="AV1666" s="379"/>
      <c r="AW1666" s="379"/>
      <c r="AX1666" s="379"/>
      <c r="AY1666" s="379"/>
      <c r="AZ1666" s="379"/>
      <c r="BA1666" s="379"/>
      <c r="BB1666" s="379"/>
      <c r="BC1666" s="379"/>
      <c r="BD1666" s="379"/>
      <c r="BE1666" s="379"/>
      <c r="BF1666" s="379"/>
      <c r="BG1666" s="379"/>
      <c r="BH1666" s="379"/>
      <c r="BI1666" s="379"/>
      <c r="BJ1666" s="379"/>
      <c r="BK1666" s="379"/>
      <c r="BL1666" s="379"/>
      <c r="BM1666" s="379"/>
      <c r="BN1666" s="379"/>
      <c r="BO1666" s="379"/>
      <c r="BP1666" s="379"/>
      <c r="BQ1666" s="379"/>
      <c r="BR1666" s="379"/>
      <c r="BS1666" s="379"/>
      <c r="BT1666" s="379"/>
      <c r="BU1666" s="379"/>
      <c r="BV1666" s="379"/>
      <c r="BW1666" s="379"/>
      <c r="BX1666" s="379"/>
      <c r="BY1666" s="379"/>
      <c r="BZ1666" s="379"/>
      <c r="CA1666" s="270"/>
      <c r="CB1666" s="3" t="str">
        <f t="shared" si="263"/>
        <v>Riadok bude skrytý.</v>
      </c>
      <c r="CC1666" s="271" t="s">
        <v>832</v>
      </c>
      <c r="CW1666" s="30">
        <f t="shared" si="262"/>
        <v>1</v>
      </c>
      <c r="CX1666" s="30">
        <f t="shared" si="261"/>
        <v>0</v>
      </c>
      <c r="CZ1666" s="30">
        <f t="shared" si="258"/>
        <v>1</v>
      </c>
      <c r="DA1666" s="52">
        <f t="shared" si="256"/>
        <v>0</v>
      </c>
      <c r="DB1666" s="2">
        <f t="shared" si="260"/>
        <v>0</v>
      </c>
      <c r="DS1666" s="130">
        <f>SI!BY1666</f>
        <v>117</v>
      </c>
      <c r="DZ1666" s="131">
        <f>SI!BZ1666</f>
        <v>0</v>
      </c>
    </row>
    <row r="1667" spans="1:130" hidden="1" x14ac:dyDescent="0.25">
      <c r="A1667" s="141"/>
      <c r="CA1667" s="270"/>
      <c r="CB1667" s="3" t="str">
        <f t="shared" si="263"/>
        <v>Riadok bude skrytý.</v>
      </c>
      <c r="CC1667" s="271" t="s">
        <v>832</v>
      </c>
      <c r="CW1667" s="49">
        <v>1</v>
      </c>
      <c r="CZ1667" s="30">
        <f t="shared" si="258"/>
        <v>1</v>
      </c>
      <c r="DA1667" s="30">
        <f>+IF(CW1667+CX1667+CY1667=0,0,IF(CZ1667=0,0,1))</f>
        <v>1</v>
      </c>
      <c r="DB1667" s="2">
        <f t="shared" si="260"/>
        <v>0</v>
      </c>
      <c r="DS1667" s="130">
        <f>SI!BY1667</f>
        <v>330</v>
      </c>
      <c r="DZ1667" s="131">
        <f>SI!BZ1667</f>
        <v>0</v>
      </c>
    </row>
    <row r="1668" spans="1:130" hidden="1" x14ac:dyDescent="0.25">
      <c r="A1668" s="141"/>
      <c r="B1668" s="289" t="s">
        <v>217</v>
      </c>
      <c r="C1668" s="288"/>
      <c r="D1668" s="288"/>
      <c r="E1668" s="288"/>
      <c r="F1668" s="288"/>
      <c r="G1668" s="289" t="str">
        <f>+IF($S$52&lt;&gt;"",IF((CODE(MID($S$52,1,1))/100)&lt;10,IF(COMBIN(LEN(SI!J3),2)=DS1668,"Finančné účty","NEPOVOLENÉ POUŽITIE !"),"NEPOVOLENÉ POUŽITIE !"),"NEPOVOLENÉ POUŽITIE !")</f>
        <v>Finančné účty</v>
      </c>
      <c r="H1668" s="289"/>
      <c r="I1668" s="288"/>
      <c r="J1668" s="288"/>
      <c r="K1668" s="288"/>
      <c r="L1668" s="288"/>
      <c r="M1668" s="288"/>
      <c r="N1668" s="288"/>
      <c r="O1668" s="288"/>
      <c r="P1668" s="288"/>
      <c r="Q1668" s="288"/>
      <c r="R1668" s="288"/>
      <c r="S1668" s="288"/>
      <c r="T1668" s="288"/>
      <c r="U1668" s="288"/>
      <c r="V1668" s="288"/>
      <c r="W1668" s="288"/>
      <c r="X1668" s="288"/>
      <c r="Y1668" s="288"/>
      <c r="Z1668" s="288"/>
      <c r="AA1668" s="288"/>
      <c r="AB1668" s="288"/>
      <c r="AC1668" s="288"/>
      <c r="AD1668" s="288"/>
      <c r="AE1668" s="288"/>
      <c r="AF1668" s="288"/>
      <c r="AG1668" s="288"/>
      <c r="AH1668" s="288"/>
      <c r="AI1668" s="288"/>
      <c r="AJ1668" s="288"/>
      <c r="AK1668" s="288"/>
      <c r="AL1668" s="288"/>
      <c r="AM1668" s="288"/>
      <c r="AN1668" s="288"/>
      <c r="AO1668" s="288"/>
      <c r="AP1668" s="288"/>
      <c r="AQ1668" s="288"/>
      <c r="AR1668" s="288"/>
      <c r="AS1668" s="288"/>
      <c r="AT1668" s="288"/>
      <c r="AU1668" s="288"/>
      <c r="AV1668" s="288"/>
      <c r="AW1668" s="288"/>
      <c r="AX1668" s="288"/>
      <c r="AY1668" s="288"/>
      <c r="AZ1668" s="288"/>
      <c r="BA1668" s="288"/>
      <c r="BB1668" s="288"/>
      <c r="BC1668" s="288"/>
      <c r="BD1668" s="288"/>
      <c r="BE1668" s="288"/>
      <c r="BF1668" s="288"/>
      <c r="BG1668" s="288"/>
      <c r="BH1668" s="288"/>
      <c r="BI1668" s="288"/>
      <c r="BJ1668" s="288"/>
      <c r="BK1668" s="288"/>
      <c r="BL1668" s="288"/>
      <c r="BM1668" s="288"/>
      <c r="BN1668" s="288"/>
      <c r="BO1668" s="288"/>
      <c r="BP1668" s="288"/>
      <c r="BQ1668" s="288"/>
      <c r="BR1668" s="288"/>
      <c r="BS1668" s="288"/>
      <c r="BT1668" s="288"/>
      <c r="BU1668" s="288"/>
      <c r="BV1668" s="288"/>
      <c r="BW1668" s="288"/>
      <c r="BX1668" s="288"/>
      <c r="BY1668" s="288"/>
      <c r="BZ1668" s="288"/>
      <c r="CA1668" s="265" t="s">
        <v>773</v>
      </c>
      <c r="CB1668" s="3" t="str">
        <f t="shared" si="263"/>
        <v>Riadok bude skrytý.</v>
      </c>
      <c r="CW1668" s="49">
        <v>1</v>
      </c>
      <c r="CZ1668" s="30">
        <f t="shared" si="258"/>
        <v>1</v>
      </c>
      <c r="DA1668" s="30">
        <f>+IF(CW1668+CX1668+CY1668=0,0,IF(CZ1668=0,0,1))</f>
        <v>1</v>
      </c>
      <c r="DB1668" s="2">
        <f t="shared" si="260"/>
        <v>0</v>
      </c>
      <c r="DS1668" s="130">
        <f>SI!BY1668</f>
        <v>10</v>
      </c>
      <c r="DZ1668" s="131">
        <f>SI!BZ1668</f>
        <v>0</v>
      </c>
    </row>
    <row r="1669" spans="1:130" hidden="1" x14ac:dyDescent="0.25">
      <c r="A1669" s="141"/>
      <c r="B1669" s="7"/>
      <c r="G1669" s="7"/>
      <c r="H1669" s="7"/>
      <c r="CA1669" s="142"/>
      <c r="CB1669" s="3" t="str">
        <f t="shared" si="263"/>
        <v>Riadok bude skrytý.</v>
      </c>
      <c r="CW1669" s="49">
        <v>1</v>
      </c>
      <c r="CZ1669" s="30">
        <f t="shared" si="258"/>
        <v>1</v>
      </c>
      <c r="DA1669" s="30">
        <f>+IF(CW1669+CX1669+CY1669=0,0,IF(CZ1669=0,0,1))</f>
        <v>1</v>
      </c>
      <c r="DB1669" s="2">
        <f t="shared" si="260"/>
        <v>0</v>
      </c>
      <c r="DS1669" s="130">
        <f>SI!BY1669</f>
        <v>916</v>
      </c>
      <c r="DZ1669" s="131">
        <f>SI!BZ1669</f>
        <v>0</v>
      </c>
    </row>
    <row r="1670" spans="1:130" hidden="1" x14ac:dyDescent="0.25">
      <c r="A1670" s="141"/>
      <c r="B1670" s="14" t="s">
        <v>96</v>
      </c>
      <c r="C1670" s="14"/>
      <c r="D1670" s="14"/>
      <c r="E1670" s="14"/>
      <c r="F1670" s="14"/>
      <c r="G1670" s="14"/>
      <c r="H1670" s="14"/>
      <c r="I1670" s="14"/>
      <c r="J1670" s="378" t="s">
        <v>152</v>
      </c>
      <c r="K1670" s="378"/>
      <c r="L1670" s="378"/>
      <c r="M1670" s="378"/>
      <c r="N1670" s="378"/>
      <c r="O1670" s="378"/>
      <c r="P1670" s="378"/>
      <c r="Q1670" s="378"/>
      <c r="R1670" s="378"/>
      <c r="S1670" s="137" t="str">
        <f>+IF($Q$52&lt;&gt;"",IF((CODE(MID($Q$52,1,1)))*(INT((PI()-3.1415)*10^5))*(IF(SI!EE1670="",1,SI!EE1670))+(LEN(SI!J5)-LEN(SI!J6))=DS1670,"majetok na finančných účtoch.","NEPOVOLENÉ POUŽITIE!"),"NEPOVOLENÉ POUŽITIE!")</f>
        <v>majetok na finančných účtoch.</v>
      </c>
      <c r="T1670" s="38"/>
      <c r="CA1670" s="142"/>
      <c r="CB1670" s="3" t="str">
        <f t="shared" si="263"/>
        <v>Riadok bude skrytý.</v>
      </c>
      <c r="CC1670" s="271" t="s">
        <v>832</v>
      </c>
      <c r="CF1670" s="13"/>
      <c r="CW1670" s="49">
        <v>1</v>
      </c>
      <c r="CY1670" s="43"/>
      <c r="CZ1670" s="30">
        <f t="shared" si="258"/>
        <v>1</v>
      </c>
      <c r="DA1670" s="30">
        <f>+IF(CW1670+CX1670+CY1670=0,0,IF(CZ1670=0,0,1))</f>
        <v>1</v>
      </c>
      <c r="DB1670" s="2">
        <f t="shared" si="260"/>
        <v>0</v>
      </c>
      <c r="DS1670" s="130">
        <f>SI!BY1670</f>
        <v>10</v>
      </c>
      <c r="DZ1670" s="131">
        <f>SI!BZ1670</f>
        <v>0</v>
      </c>
    </row>
    <row r="1671" spans="1:130" hidden="1" x14ac:dyDescent="0.25">
      <c r="A1671" s="141"/>
      <c r="B1671" s="137" t="str">
        <f>+IF($Q$52&lt;&gt;"",IF((CODE(MID($Q$52,1,1)))*(GCD(121,132))*(IF(SI!EE1671="",1,SI!EE1671))+(LEN(SI!J5)+LEN(SI!J6))=DS1671,IF(J1670="neeviduje","Spoločnosť nemá pre túto časť poznámok obsahovú náplň.","K finančným účtom Spoločnosť uvádza nasledujúce informácie:"),"NEPOVOLENÉ POUŽITIE!"),"NEPOVOLENÉ POUŽITIE!")</f>
        <v>K finančným účtom Spoločnosť uvádza nasledujúce informácie:</v>
      </c>
      <c r="CA1671" s="142"/>
      <c r="CB1671" s="3" t="str">
        <f t="shared" si="263"/>
        <v>Riadok bude skrytý.</v>
      </c>
      <c r="CC1671" s="271" t="s">
        <v>832</v>
      </c>
      <c r="CW1671" s="30">
        <f>+IF($J$1670="neeviduje",1,1)</f>
        <v>1</v>
      </c>
      <c r="CZ1671" s="30">
        <f t="shared" si="258"/>
        <v>1</v>
      </c>
      <c r="DA1671" s="30">
        <f>+IF(CW1671+CX1671+CY1671=0,0,IF(CZ1671=0,0,1))</f>
        <v>1</v>
      </c>
      <c r="DB1671" s="2">
        <f t="shared" si="260"/>
        <v>0</v>
      </c>
      <c r="DS1671" s="130">
        <f>SI!BY1671</f>
        <v>20</v>
      </c>
      <c r="DZ1671" s="131">
        <f>SI!BZ1671</f>
        <v>0</v>
      </c>
    </row>
    <row r="1672" spans="1:130" hidden="1" x14ac:dyDescent="0.25">
      <c r="A1672" s="141"/>
      <c r="B1672" s="379" t="s">
        <v>790</v>
      </c>
      <c r="C1672" s="379"/>
      <c r="D1672" s="379"/>
      <c r="E1672" s="379"/>
      <c r="F1672" s="379"/>
      <c r="G1672" s="379"/>
      <c r="H1672" s="379"/>
      <c r="I1672" s="379"/>
      <c r="J1672" s="379"/>
      <c r="K1672" s="379"/>
      <c r="L1672" s="379"/>
      <c r="M1672" s="379"/>
      <c r="N1672" s="379"/>
      <c r="O1672" s="379"/>
      <c r="P1672" s="379"/>
      <c r="Q1672" s="379"/>
      <c r="R1672" s="379"/>
      <c r="S1672" s="379"/>
      <c r="T1672" s="379"/>
      <c r="U1672" s="379"/>
      <c r="V1672" s="379"/>
      <c r="W1672" s="379"/>
      <c r="X1672" s="379"/>
      <c r="Y1672" s="379"/>
      <c r="Z1672" s="379"/>
      <c r="AA1672" s="379"/>
      <c r="AB1672" s="379"/>
      <c r="AC1672" s="379"/>
      <c r="AD1672" s="379"/>
      <c r="AE1672" s="379"/>
      <c r="AF1672" s="379"/>
      <c r="AG1672" s="379"/>
      <c r="AH1672" s="379"/>
      <c r="AI1672" s="379"/>
      <c r="AJ1672" s="379"/>
      <c r="AK1672" s="379"/>
      <c r="AL1672" s="379"/>
      <c r="AM1672" s="379"/>
      <c r="AN1672" s="379"/>
      <c r="AO1672" s="379"/>
      <c r="AP1672" s="379"/>
      <c r="AQ1672" s="379"/>
      <c r="AR1672" s="379"/>
      <c r="AS1672" s="379"/>
      <c r="AT1672" s="379"/>
      <c r="AU1672" s="379"/>
      <c r="AV1672" s="379"/>
      <c r="AW1672" s="379"/>
      <c r="AX1672" s="379"/>
      <c r="AY1672" s="379"/>
      <c r="AZ1672" s="379"/>
      <c r="BA1672" s="379"/>
      <c r="BB1672" s="379"/>
      <c r="BC1672" s="379"/>
      <c r="BD1672" s="379"/>
      <c r="BE1672" s="379"/>
      <c r="BF1672" s="379"/>
      <c r="BG1672" s="379"/>
      <c r="BH1672" s="379"/>
      <c r="BI1672" s="379"/>
      <c r="BJ1672" s="379"/>
      <c r="BK1672" s="379"/>
      <c r="BL1672" s="379"/>
      <c r="BM1672" s="379"/>
      <c r="BN1672" s="379"/>
      <c r="BO1672" s="379"/>
      <c r="BP1672" s="379"/>
      <c r="BQ1672" s="379"/>
      <c r="BR1672" s="379"/>
      <c r="BS1672" s="379"/>
      <c r="BT1672" s="379"/>
      <c r="BU1672" s="379"/>
      <c r="BV1672" s="379"/>
      <c r="BW1672" s="379"/>
      <c r="BX1672" s="379"/>
      <c r="BY1672" s="379"/>
      <c r="BZ1672" s="379"/>
      <c r="CA1672" s="281"/>
      <c r="CB1672" s="3" t="str">
        <f t="shared" si="263"/>
        <v>Riadok bude skrytý.</v>
      </c>
      <c r="CC1672" s="271" t="s">
        <v>832</v>
      </c>
      <c r="CW1672" s="30">
        <f t="shared" ref="CW1672:CW1702" si="264">+IF($J$1670="neeviduje",0,1)</f>
        <v>1</v>
      </c>
      <c r="CX1672" s="30">
        <f t="shared" ref="CX1672:CX1691" si="265">+IF(B1672="",0,1)</f>
        <v>1</v>
      </c>
      <c r="CZ1672" s="30">
        <f t="shared" si="258"/>
        <v>1</v>
      </c>
      <c r="DA1672" s="52">
        <f t="shared" ref="DA1672:DA1691" si="266">+IF(CW1672*CX1672=0,0,IF(CZ1672=0,0,1))</f>
        <v>1</v>
      </c>
      <c r="DB1672" s="2">
        <f t="shared" si="260"/>
        <v>0</v>
      </c>
      <c r="DS1672" s="130">
        <f>SI!BY1672</f>
        <v>120</v>
      </c>
      <c r="DZ1672" s="131">
        <f>SI!BZ1672</f>
        <v>0</v>
      </c>
    </row>
    <row r="1673" spans="1:130" hidden="1" x14ac:dyDescent="0.25">
      <c r="A1673" s="141"/>
      <c r="B1673" s="379" t="s">
        <v>772</v>
      </c>
      <c r="C1673" s="379"/>
      <c r="D1673" s="379"/>
      <c r="E1673" s="379"/>
      <c r="F1673" s="379"/>
      <c r="G1673" s="379"/>
      <c r="H1673" s="379"/>
      <c r="I1673" s="379"/>
      <c r="J1673" s="379"/>
      <c r="K1673" s="379"/>
      <c r="L1673" s="379"/>
      <c r="M1673" s="379"/>
      <c r="N1673" s="379"/>
      <c r="O1673" s="379"/>
      <c r="P1673" s="379"/>
      <c r="Q1673" s="379"/>
      <c r="R1673" s="379"/>
      <c r="S1673" s="379"/>
      <c r="T1673" s="379"/>
      <c r="U1673" s="379"/>
      <c r="V1673" s="379"/>
      <c r="W1673" s="379"/>
      <c r="X1673" s="379"/>
      <c r="Y1673" s="379"/>
      <c r="Z1673" s="379"/>
      <c r="AA1673" s="379"/>
      <c r="AB1673" s="379"/>
      <c r="AC1673" s="379"/>
      <c r="AD1673" s="379"/>
      <c r="AE1673" s="379"/>
      <c r="AF1673" s="379"/>
      <c r="AG1673" s="379"/>
      <c r="AH1673" s="379"/>
      <c r="AI1673" s="379"/>
      <c r="AJ1673" s="379"/>
      <c r="AK1673" s="379"/>
      <c r="AL1673" s="379"/>
      <c r="AM1673" s="379"/>
      <c r="AN1673" s="379"/>
      <c r="AO1673" s="379"/>
      <c r="AP1673" s="379"/>
      <c r="AQ1673" s="379"/>
      <c r="AR1673" s="379"/>
      <c r="AS1673" s="379"/>
      <c r="AT1673" s="379"/>
      <c r="AU1673" s="379"/>
      <c r="AV1673" s="379"/>
      <c r="AW1673" s="379"/>
      <c r="AX1673" s="379"/>
      <c r="AY1673" s="379"/>
      <c r="AZ1673" s="379"/>
      <c r="BA1673" s="379"/>
      <c r="BB1673" s="379"/>
      <c r="BC1673" s="379"/>
      <c r="BD1673" s="379"/>
      <c r="BE1673" s="379"/>
      <c r="BF1673" s="379"/>
      <c r="BG1673" s="379"/>
      <c r="BH1673" s="379"/>
      <c r="BI1673" s="379"/>
      <c r="BJ1673" s="379"/>
      <c r="BK1673" s="379"/>
      <c r="BL1673" s="379"/>
      <c r="BM1673" s="379"/>
      <c r="BN1673" s="379"/>
      <c r="BO1673" s="379"/>
      <c r="BP1673" s="379"/>
      <c r="BQ1673" s="379"/>
      <c r="BR1673" s="379"/>
      <c r="BS1673" s="379"/>
      <c r="BT1673" s="379"/>
      <c r="BU1673" s="379"/>
      <c r="BV1673" s="379"/>
      <c r="BW1673" s="379"/>
      <c r="BX1673" s="379"/>
      <c r="BY1673" s="379"/>
      <c r="BZ1673" s="379"/>
      <c r="CA1673" s="281"/>
      <c r="CB1673" s="3" t="str">
        <f t="shared" si="263"/>
        <v>Riadok bude skrytý.</v>
      </c>
      <c r="CC1673" s="271" t="s">
        <v>832</v>
      </c>
      <c r="CW1673" s="30">
        <f t="shared" si="264"/>
        <v>1</v>
      </c>
      <c r="CX1673" s="30">
        <f t="shared" si="265"/>
        <v>1</v>
      </c>
      <c r="CZ1673" s="30">
        <f t="shared" si="258"/>
        <v>1</v>
      </c>
      <c r="DA1673" s="52">
        <f t="shared" si="266"/>
        <v>1</v>
      </c>
      <c r="DB1673" s="2">
        <f t="shared" si="260"/>
        <v>0</v>
      </c>
      <c r="DS1673" s="130">
        <f>SI!BY1673</f>
        <v>105</v>
      </c>
      <c r="DZ1673" s="131">
        <f>SI!BZ1673</f>
        <v>0</v>
      </c>
    </row>
    <row r="1674" spans="1:130" hidden="1" x14ac:dyDescent="0.25">
      <c r="A1674" s="141"/>
      <c r="B1674" s="379"/>
      <c r="C1674" s="379"/>
      <c r="D1674" s="379"/>
      <c r="E1674" s="379"/>
      <c r="F1674" s="379"/>
      <c r="G1674" s="379"/>
      <c r="H1674" s="379"/>
      <c r="I1674" s="379"/>
      <c r="J1674" s="379"/>
      <c r="K1674" s="379"/>
      <c r="L1674" s="379"/>
      <c r="M1674" s="379"/>
      <c r="N1674" s="379"/>
      <c r="O1674" s="379"/>
      <c r="P1674" s="379"/>
      <c r="Q1674" s="379"/>
      <c r="R1674" s="379"/>
      <c r="S1674" s="379"/>
      <c r="T1674" s="379"/>
      <c r="U1674" s="379"/>
      <c r="V1674" s="379"/>
      <c r="W1674" s="379"/>
      <c r="X1674" s="379"/>
      <c r="Y1674" s="379"/>
      <c r="Z1674" s="379"/>
      <c r="AA1674" s="379"/>
      <c r="AB1674" s="379"/>
      <c r="AC1674" s="379"/>
      <c r="AD1674" s="379"/>
      <c r="AE1674" s="379"/>
      <c r="AF1674" s="379"/>
      <c r="AG1674" s="379"/>
      <c r="AH1674" s="379"/>
      <c r="AI1674" s="379"/>
      <c r="AJ1674" s="379"/>
      <c r="AK1674" s="379"/>
      <c r="AL1674" s="379"/>
      <c r="AM1674" s="379"/>
      <c r="AN1674" s="379"/>
      <c r="AO1674" s="379"/>
      <c r="AP1674" s="379"/>
      <c r="AQ1674" s="379"/>
      <c r="AR1674" s="379"/>
      <c r="AS1674" s="379"/>
      <c r="AT1674" s="379"/>
      <c r="AU1674" s="379"/>
      <c r="AV1674" s="379"/>
      <c r="AW1674" s="379"/>
      <c r="AX1674" s="379"/>
      <c r="AY1674" s="379"/>
      <c r="AZ1674" s="379"/>
      <c r="BA1674" s="379"/>
      <c r="BB1674" s="379"/>
      <c r="BC1674" s="379"/>
      <c r="BD1674" s="379"/>
      <c r="BE1674" s="379"/>
      <c r="BF1674" s="379"/>
      <c r="BG1674" s="379"/>
      <c r="BH1674" s="379"/>
      <c r="BI1674" s="379"/>
      <c r="BJ1674" s="379"/>
      <c r="BK1674" s="379"/>
      <c r="BL1674" s="379"/>
      <c r="BM1674" s="379"/>
      <c r="BN1674" s="379"/>
      <c r="BO1674" s="379"/>
      <c r="BP1674" s="379"/>
      <c r="BQ1674" s="379"/>
      <c r="BR1674" s="379"/>
      <c r="BS1674" s="379"/>
      <c r="BT1674" s="379"/>
      <c r="BU1674" s="379"/>
      <c r="BV1674" s="379"/>
      <c r="BW1674" s="379"/>
      <c r="BX1674" s="379"/>
      <c r="BY1674" s="379"/>
      <c r="BZ1674" s="379"/>
      <c r="CA1674" s="281"/>
      <c r="CB1674" s="3" t="str">
        <f t="shared" si="263"/>
        <v>Riadok bude skrytý.</v>
      </c>
      <c r="CC1674" s="271" t="s">
        <v>832</v>
      </c>
      <c r="CW1674" s="30">
        <f t="shared" si="264"/>
        <v>1</v>
      </c>
      <c r="CX1674" s="30">
        <f t="shared" si="265"/>
        <v>0</v>
      </c>
      <c r="CZ1674" s="30">
        <f t="shared" si="258"/>
        <v>1</v>
      </c>
      <c r="DA1674" s="52">
        <f t="shared" si="266"/>
        <v>0</v>
      </c>
      <c r="DB1674" s="2">
        <f t="shared" si="260"/>
        <v>0</v>
      </c>
      <c r="DS1674" s="130">
        <f>SI!BY1674</f>
        <v>131</v>
      </c>
      <c r="DZ1674" s="131">
        <f>SI!BZ1674</f>
        <v>0</v>
      </c>
    </row>
    <row r="1675" spans="1:130" hidden="1" x14ac:dyDescent="0.25">
      <c r="A1675" s="141"/>
      <c r="B1675" s="379"/>
      <c r="C1675" s="379"/>
      <c r="D1675" s="379"/>
      <c r="E1675" s="379"/>
      <c r="F1675" s="379"/>
      <c r="G1675" s="379"/>
      <c r="H1675" s="379"/>
      <c r="I1675" s="379"/>
      <c r="J1675" s="379"/>
      <c r="K1675" s="379"/>
      <c r="L1675" s="379"/>
      <c r="M1675" s="379"/>
      <c r="N1675" s="379"/>
      <c r="O1675" s="379"/>
      <c r="P1675" s="379"/>
      <c r="Q1675" s="379"/>
      <c r="R1675" s="379"/>
      <c r="S1675" s="379"/>
      <c r="T1675" s="379"/>
      <c r="U1675" s="379"/>
      <c r="V1675" s="379"/>
      <c r="W1675" s="379"/>
      <c r="X1675" s="379"/>
      <c r="Y1675" s="379"/>
      <c r="Z1675" s="379"/>
      <c r="AA1675" s="379"/>
      <c r="AB1675" s="379"/>
      <c r="AC1675" s="379"/>
      <c r="AD1675" s="379"/>
      <c r="AE1675" s="379"/>
      <c r="AF1675" s="379"/>
      <c r="AG1675" s="379"/>
      <c r="AH1675" s="379"/>
      <c r="AI1675" s="379"/>
      <c r="AJ1675" s="379"/>
      <c r="AK1675" s="379"/>
      <c r="AL1675" s="379"/>
      <c r="AM1675" s="379"/>
      <c r="AN1675" s="379"/>
      <c r="AO1675" s="379"/>
      <c r="AP1675" s="379"/>
      <c r="AQ1675" s="379"/>
      <c r="AR1675" s="379"/>
      <c r="AS1675" s="379"/>
      <c r="AT1675" s="379"/>
      <c r="AU1675" s="379"/>
      <c r="AV1675" s="379"/>
      <c r="AW1675" s="379"/>
      <c r="AX1675" s="379"/>
      <c r="AY1675" s="379"/>
      <c r="AZ1675" s="379"/>
      <c r="BA1675" s="379"/>
      <c r="BB1675" s="379"/>
      <c r="BC1675" s="379"/>
      <c r="BD1675" s="379"/>
      <c r="BE1675" s="379"/>
      <c r="BF1675" s="379"/>
      <c r="BG1675" s="379"/>
      <c r="BH1675" s="379"/>
      <c r="BI1675" s="379"/>
      <c r="BJ1675" s="379"/>
      <c r="BK1675" s="379"/>
      <c r="BL1675" s="379"/>
      <c r="BM1675" s="379"/>
      <c r="BN1675" s="379"/>
      <c r="BO1675" s="379"/>
      <c r="BP1675" s="379"/>
      <c r="BQ1675" s="379"/>
      <c r="BR1675" s="379"/>
      <c r="BS1675" s="379"/>
      <c r="BT1675" s="379"/>
      <c r="BU1675" s="379"/>
      <c r="BV1675" s="379"/>
      <c r="BW1675" s="379"/>
      <c r="BX1675" s="379"/>
      <c r="BY1675" s="379"/>
      <c r="BZ1675" s="379"/>
      <c r="CA1675" s="281"/>
      <c r="CB1675" s="3" t="str">
        <f t="shared" si="263"/>
        <v>Riadok bude skrytý.</v>
      </c>
      <c r="CC1675" s="271" t="s">
        <v>832</v>
      </c>
      <c r="CW1675" s="30">
        <f t="shared" si="264"/>
        <v>1</v>
      </c>
      <c r="CX1675" s="30">
        <f t="shared" si="265"/>
        <v>0</v>
      </c>
      <c r="CZ1675" s="30">
        <f t="shared" si="258"/>
        <v>1</v>
      </c>
      <c r="DA1675" s="52">
        <f t="shared" si="266"/>
        <v>0</v>
      </c>
      <c r="DB1675" s="2">
        <f t="shared" si="260"/>
        <v>0</v>
      </c>
      <c r="DS1675" s="130">
        <f>SI!BY1675</f>
        <v>262</v>
      </c>
      <c r="DZ1675" s="131">
        <f>SI!BZ1675</f>
        <v>0</v>
      </c>
    </row>
    <row r="1676" spans="1:130" hidden="1" x14ac:dyDescent="0.25">
      <c r="A1676" s="141"/>
      <c r="B1676" s="379"/>
      <c r="C1676" s="379"/>
      <c r="D1676" s="379"/>
      <c r="E1676" s="379"/>
      <c r="F1676" s="379"/>
      <c r="G1676" s="379"/>
      <c r="H1676" s="379"/>
      <c r="I1676" s="379"/>
      <c r="J1676" s="379"/>
      <c r="K1676" s="379"/>
      <c r="L1676" s="379"/>
      <c r="M1676" s="379"/>
      <c r="N1676" s="379"/>
      <c r="O1676" s="379"/>
      <c r="P1676" s="379"/>
      <c r="Q1676" s="379"/>
      <c r="R1676" s="379"/>
      <c r="S1676" s="379"/>
      <c r="T1676" s="379"/>
      <c r="U1676" s="379"/>
      <c r="V1676" s="379"/>
      <c r="W1676" s="379"/>
      <c r="X1676" s="379"/>
      <c r="Y1676" s="379"/>
      <c r="Z1676" s="379"/>
      <c r="AA1676" s="379"/>
      <c r="AB1676" s="379"/>
      <c r="AC1676" s="379"/>
      <c r="AD1676" s="379"/>
      <c r="AE1676" s="379"/>
      <c r="AF1676" s="379"/>
      <c r="AG1676" s="379"/>
      <c r="AH1676" s="379"/>
      <c r="AI1676" s="379"/>
      <c r="AJ1676" s="379"/>
      <c r="AK1676" s="379"/>
      <c r="AL1676" s="379"/>
      <c r="AM1676" s="379"/>
      <c r="AN1676" s="379"/>
      <c r="AO1676" s="379"/>
      <c r="AP1676" s="379"/>
      <c r="AQ1676" s="379"/>
      <c r="AR1676" s="379"/>
      <c r="AS1676" s="379"/>
      <c r="AT1676" s="379"/>
      <c r="AU1676" s="379"/>
      <c r="AV1676" s="379"/>
      <c r="AW1676" s="379"/>
      <c r="AX1676" s="379"/>
      <c r="AY1676" s="379"/>
      <c r="AZ1676" s="379"/>
      <c r="BA1676" s="379"/>
      <c r="BB1676" s="379"/>
      <c r="BC1676" s="379"/>
      <c r="BD1676" s="379"/>
      <c r="BE1676" s="379"/>
      <c r="BF1676" s="379"/>
      <c r="BG1676" s="379"/>
      <c r="BH1676" s="379"/>
      <c r="BI1676" s="379"/>
      <c r="BJ1676" s="379"/>
      <c r="BK1676" s="379"/>
      <c r="BL1676" s="379"/>
      <c r="BM1676" s="379"/>
      <c r="BN1676" s="379"/>
      <c r="BO1676" s="379"/>
      <c r="BP1676" s="379"/>
      <c r="BQ1676" s="379"/>
      <c r="BR1676" s="379"/>
      <c r="BS1676" s="379"/>
      <c r="BT1676" s="379"/>
      <c r="BU1676" s="379"/>
      <c r="BV1676" s="379"/>
      <c r="BW1676" s="379"/>
      <c r="BX1676" s="379"/>
      <c r="BY1676" s="379"/>
      <c r="BZ1676" s="379"/>
      <c r="CA1676" s="281"/>
      <c r="CB1676" s="3" t="str">
        <f t="shared" si="263"/>
        <v>Riadok bude skrytý.</v>
      </c>
      <c r="CC1676" s="271" t="s">
        <v>832</v>
      </c>
      <c r="CW1676" s="30">
        <f t="shared" si="264"/>
        <v>1</v>
      </c>
      <c r="CX1676" s="30">
        <f t="shared" si="265"/>
        <v>0</v>
      </c>
      <c r="CZ1676" s="30">
        <f t="shared" si="258"/>
        <v>1</v>
      </c>
      <c r="DA1676" s="52">
        <f t="shared" si="266"/>
        <v>0</v>
      </c>
      <c r="DB1676" s="2">
        <f t="shared" si="260"/>
        <v>0</v>
      </c>
      <c r="DS1676" s="130">
        <f>SI!BY1676</f>
        <v>186</v>
      </c>
      <c r="DZ1676" s="131">
        <f>SI!BZ1676</f>
        <v>0</v>
      </c>
    </row>
    <row r="1677" spans="1:130" hidden="1" x14ac:dyDescent="0.25">
      <c r="A1677" s="141"/>
      <c r="B1677" s="379"/>
      <c r="C1677" s="379"/>
      <c r="D1677" s="379"/>
      <c r="E1677" s="379"/>
      <c r="F1677" s="379"/>
      <c r="G1677" s="379"/>
      <c r="H1677" s="379"/>
      <c r="I1677" s="379"/>
      <c r="J1677" s="379"/>
      <c r="K1677" s="379"/>
      <c r="L1677" s="379"/>
      <c r="M1677" s="379"/>
      <c r="N1677" s="379"/>
      <c r="O1677" s="379"/>
      <c r="P1677" s="379"/>
      <c r="Q1677" s="379"/>
      <c r="R1677" s="379"/>
      <c r="S1677" s="379"/>
      <c r="T1677" s="379"/>
      <c r="U1677" s="379"/>
      <c r="V1677" s="379"/>
      <c r="W1677" s="379"/>
      <c r="X1677" s="379"/>
      <c r="Y1677" s="379"/>
      <c r="Z1677" s="379"/>
      <c r="AA1677" s="379"/>
      <c r="AB1677" s="379"/>
      <c r="AC1677" s="379"/>
      <c r="AD1677" s="379"/>
      <c r="AE1677" s="379"/>
      <c r="AF1677" s="379"/>
      <c r="AG1677" s="379"/>
      <c r="AH1677" s="379"/>
      <c r="AI1677" s="379"/>
      <c r="AJ1677" s="379"/>
      <c r="AK1677" s="379"/>
      <c r="AL1677" s="379"/>
      <c r="AM1677" s="379"/>
      <c r="AN1677" s="379"/>
      <c r="AO1677" s="379"/>
      <c r="AP1677" s="379"/>
      <c r="AQ1677" s="379"/>
      <c r="AR1677" s="379"/>
      <c r="AS1677" s="379"/>
      <c r="AT1677" s="379"/>
      <c r="AU1677" s="379"/>
      <c r="AV1677" s="379"/>
      <c r="AW1677" s="379"/>
      <c r="AX1677" s="379"/>
      <c r="AY1677" s="379"/>
      <c r="AZ1677" s="379"/>
      <c r="BA1677" s="379"/>
      <c r="BB1677" s="379"/>
      <c r="BC1677" s="379"/>
      <c r="BD1677" s="379"/>
      <c r="BE1677" s="379"/>
      <c r="BF1677" s="379"/>
      <c r="BG1677" s="379"/>
      <c r="BH1677" s="379"/>
      <c r="BI1677" s="379"/>
      <c r="BJ1677" s="379"/>
      <c r="BK1677" s="379"/>
      <c r="BL1677" s="379"/>
      <c r="BM1677" s="379"/>
      <c r="BN1677" s="379"/>
      <c r="BO1677" s="379"/>
      <c r="BP1677" s="379"/>
      <c r="BQ1677" s="379"/>
      <c r="BR1677" s="379"/>
      <c r="BS1677" s="379"/>
      <c r="BT1677" s="379"/>
      <c r="BU1677" s="379"/>
      <c r="BV1677" s="379"/>
      <c r="BW1677" s="379"/>
      <c r="BX1677" s="379"/>
      <c r="BY1677" s="379"/>
      <c r="BZ1677" s="379"/>
      <c r="CA1677" s="281"/>
      <c r="CB1677" s="3" t="str">
        <f t="shared" si="263"/>
        <v>Riadok bude skrytý.</v>
      </c>
      <c r="CC1677" s="271" t="s">
        <v>832</v>
      </c>
      <c r="CW1677" s="30">
        <f t="shared" si="264"/>
        <v>1</v>
      </c>
      <c r="CX1677" s="30">
        <f t="shared" si="265"/>
        <v>0</v>
      </c>
      <c r="CZ1677" s="30">
        <f t="shared" si="258"/>
        <v>1</v>
      </c>
      <c r="DA1677" s="52">
        <f t="shared" si="266"/>
        <v>0</v>
      </c>
      <c r="DB1677" s="2">
        <f t="shared" si="260"/>
        <v>0</v>
      </c>
      <c r="DS1677" s="130">
        <f>SI!BY1677</f>
        <v>191</v>
      </c>
      <c r="DZ1677" s="131">
        <f>SI!BZ1677</f>
        <v>0</v>
      </c>
    </row>
    <row r="1678" spans="1:130" hidden="1" x14ac:dyDescent="0.25">
      <c r="A1678" s="141"/>
      <c r="B1678" s="379"/>
      <c r="C1678" s="379"/>
      <c r="D1678" s="379"/>
      <c r="E1678" s="379"/>
      <c r="F1678" s="379"/>
      <c r="G1678" s="379"/>
      <c r="H1678" s="379"/>
      <c r="I1678" s="379"/>
      <c r="J1678" s="379"/>
      <c r="K1678" s="379"/>
      <c r="L1678" s="379"/>
      <c r="M1678" s="379"/>
      <c r="N1678" s="379"/>
      <c r="O1678" s="379"/>
      <c r="P1678" s="379"/>
      <c r="Q1678" s="379"/>
      <c r="R1678" s="379"/>
      <c r="S1678" s="379"/>
      <c r="T1678" s="379"/>
      <c r="U1678" s="379"/>
      <c r="V1678" s="379"/>
      <c r="W1678" s="379"/>
      <c r="X1678" s="379"/>
      <c r="Y1678" s="379"/>
      <c r="Z1678" s="379"/>
      <c r="AA1678" s="379"/>
      <c r="AB1678" s="379"/>
      <c r="AC1678" s="379"/>
      <c r="AD1678" s="379"/>
      <c r="AE1678" s="379"/>
      <c r="AF1678" s="379"/>
      <c r="AG1678" s="379"/>
      <c r="AH1678" s="379"/>
      <c r="AI1678" s="379"/>
      <c r="AJ1678" s="379"/>
      <c r="AK1678" s="379"/>
      <c r="AL1678" s="379"/>
      <c r="AM1678" s="379"/>
      <c r="AN1678" s="379"/>
      <c r="AO1678" s="379"/>
      <c r="AP1678" s="379"/>
      <c r="AQ1678" s="379"/>
      <c r="AR1678" s="379"/>
      <c r="AS1678" s="379"/>
      <c r="AT1678" s="379"/>
      <c r="AU1678" s="379"/>
      <c r="AV1678" s="379"/>
      <c r="AW1678" s="379"/>
      <c r="AX1678" s="379"/>
      <c r="AY1678" s="379"/>
      <c r="AZ1678" s="379"/>
      <c r="BA1678" s="379"/>
      <c r="BB1678" s="379"/>
      <c r="BC1678" s="379"/>
      <c r="BD1678" s="379"/>
      <c r="BE1678" s="379"/>
      <c r="BF1678" s="379"/>
      <c r="BG1678" s="379"/>
      <c r="BH1678" s="379"/>
      <c r="BI1678" s="379"/>
      <c r="BJ1678" s="379"/>
      <c r="BK1678" s="379"/>
      <c r="BL1678" s="379"/>
      <c r="BM1678" s="379"/>
      <c r="BN1678" s="379"/>
      <c r="BO1678" s="379"/>
      <c r="BP1678" s="379"/>
      <c r="BQ1678" s="379"/>
      <c r="BR1678" s="379"/>
      <c r="BS1678" s="379"/>
      <c r="BT1678" s="379"/>
      <c r="BU1678" s="379"/>
      <c r="BV1678" s="379"/>
      <c r="BW1678" s="379"/>
      <c r="BX1678" s="379"/>
      <c r="BY1678" s="379"/>
      <c r="BZ1678" s="379"/>
      <c r="CA1678" s="281"/>
      <c r="CB1678" s="3" t="str">
        <f t="shared" si="263"/>
        <v>Riadok bude skrytý.</v>
      </c>
      <c r="CC1678" s="271" t="s">
        <v>832</v>
      </c>
      <c r="CW1678" s="30">
        <f t="shared" si="264"/>
        <v>1</v>
      </c>
      <c r="CX1678" s="30">
        <f t="shared" si="265"/>
        <v>0</v>
      </c>
      <c r="CZ1678" s="30">
        <f t="shared" si="258"/>
        <v>1</v>
      </c>
      <c r="DA1678" s="52">
        <f t="shared" si="266"/>
        <v>0</v>
      </c>
      <c r="DB1678" s="2">
        <f t="shared" si="260"/>
        <v>0</v>
      </c>
      <c r="DS1678" s="130">
        <f>SI!BY1678</f>
        <v>132</v>
      </c>
      <c r="DZ1678" s="131">
        <f>SI!BZ1678</f>
        <v>0</v>
      </c>
    </row>
    <row r="1679" spans="1:130" hidden="1" x14ac:dyDescent="0.25">
      <c r="A1679" s="141"/>
      <c r="B1679" s="379"/>
      <c r="C1679" s="379"/>
      <c r="D1679" s="379"/>
      <c r="E1679" s="379"/>
      <c r="F1679" s="379"/>
      <c r="G1679" s="379"/>
      <c r="H1679" s="379"/>
      <c r="I1679" s="379"/>
      <c r="J1679" s="379"/>
      <c r="K1679" s="379"/>
      <c r="L1679" s="379"/>
      <c r="M1679" s="379"/>
      <c r="N1679" s="379"/>
      <c r="O1679" s="379"/>
      <c r="P1679" s="379"/>
      <c r="Q1679" s="379"/>
      <c r="R1679" s="379"/>
      <c r="S1679" s="379"/>
      <c r="T1679" s="379"/>
      <c r="U1679" s="379"/>
      <c r="V1679" s="379"/>
      <c r="W1679" s="379"/>
      <c r="X1679" s="379"/>
      <c r="Y1679" s="379"/>
      <c r="Z1679" s="379"/>
      <c r="AA1679" s="379"/>
      <c r="AB1679" s="379"/>
      <c r="AC1679" s="379"/>
      <c r="AD1679" s="379"/>
      <c r="AE1679" s="379"/>
      <c r="AF1679" s="379"/>
      <c r="AG1679" s="379"/>
      <c r="AH1679" s="379"/>
      <c r="AI1679" s="379"/>
      <c r="AJ1679" s="379"/>
      <c r="AK1679" s="379"/>
      <c r="AL1679" s="379"/>
      <c r="AM1679" s="379"/>
      <c r="AN1679" s="379"/>
      <c r="AO1679" s="379"/>
      <c r="AP1679" s="379"/>
      <c r="AQ1679" s="379"/>
      <c r="AR1679" s="379"/>
      <c r="AS1679" s="379"/>
      <c r="AT1679" s="379"/>
      <c r="AU1679" s="379"/>
      <c r="AV1679" s="379"/>
      <c r="AW1679" s="379"/>
      <c r="AX1679" s="379"/>
      <c r="AY1679" s="379"/>
      <c r="AZ1679" s="379"/>
      <c r="BA1679" s="379"/>
      <c r="BB1679" s="379"/>
      <c r="BC1679" s="379"/>
      <c r="BD1679" s="379"/>
      <c r="BE1679" s="379"/>
      <c r="BF1679" s="379"/>
      <c r="BG1679" s="379"/>
      <c r="BH1679" s="379"/>
      <c r="BI1679" s="379"/>
      <c r="BJ1679" s="379"/>
      <c r="BK1679" s="379"/>
      <c r="BL1679" s="379"/>
      <c r="BM1679" s="379"/>
      <c r="BN1679" s="379"/>
      <c r="BO1679" s="379"/>
      <c r="BP1679" s="379"/>
      <c r="BQ1679" s="379"/>
      <c r="BR1679" s="379"/>
      <c r="BS1679" s="379"/>
      <c r="BT1679" s="379"/>
      <c r="BU1679" s="379"/>
      <c r="BV1679" s="379"/>
      <c r="BW1679" s="379"/>
      <c r="BX1679" s="379"/>
      <c r="BY1679" s="379"/>
      <c r="BZ1679" s="379"/>
      <c r="CA1679" s="281"/>
      <c r="CB1679" s="3" t="str">
        <f t="shared" si="263"/>
        <v>Riadok bude skrytý.</v>
      </c>
      <c r="CC1679" s="271" t="s">
        <v>832</v>
      </c>
      <c r="CW1679" s="30">
        <f t="shared" si="264"/>
        <v>1</v>
      </c>
      <c r="CX1679" s="30">
        <f t="shared" si="265"/>
        <v>0</v>
      </c>
      <c r="CZ1679" s="30">
        <f t="shared" si="258"/>
        <v>1</v>
      </c>
      <c r="DA1679" s="52">
        <f t="shared" si="266"/>
        <v>0</v>
      </c>
      <c r="DB1679" s="2">
        <f t="shared" si="260"/>
        <v>0</v>
      </c>
      <c r="DS1679" s="130">
        <f>SI!BY1679</f>
        <v>290</v>
      </c>
      <c r="DZ1679" s="131">
        <f>SI!BZ1679</f>
        <v>0</v>
      </c>
    </row>
    <row r="1680" spans="1:130" hidden="1" x14ac:dyDescent="0.25">
      <c r="A1680" s="141"/>
      <c r="B1680" s="379"/>
      <c r="C1680" s="379"/>
      <c r="D1680" s="379"/>
      <c r="E1680" s="379"/>
      <c r="F1680" s="379"/>
      <c r="G1680" s="379"/>
      <c r="H1680" s="379"/>
      <c r="I1680" s="379"/>
      <c r="J1680" s="379"/>
      <c r="K1680" s="379"/>
      <c r="L1680" s="379"/>
      <c r="M1680" s="379"/>
      <c r="N1680" s="379"/>
      <c r="O1680" s="379"/>
      <c r="P1680" s="379"/>
      <c r="Q1680" s="379"/>
      <c r="R1680" s="379"/>
      <c r="S1680" s="379"/>
      <c r="T1680" s="379"/>
      <c r="U1680" s="379"/>
      <c r="V1680" s="379"/>
      <c r="W1680" s="379"/>
      <c r="X1680" s="379"/>
      <c r="Y1680" s="379"/>
      <c r="Z1680" s="379"/>
      <c r="AA1680" s="379"/>
      <c r="AB1680" s="379"/>
      <c r="AC1680" s="379"/>
      <c r="AD1680" s="379"/>
      <c r="AE1680" s="379"/>
      <c r="AF1680" s="379"/>
      <c r="AG1680" s="379"/>
      <c r="AH1680" s="379"/>
      <c r="AI1680" s="379"/>
      <c r="AJ1680" s="379"/>
      <c r="AK1680" s="379"/>
      <c r="AL1680" s="379"/>
      <c r="AM1680" s="379"/>
      <c r="AN1680" s="379"/>
      <c r="AO1680" s="379"/>
      <c r="AP1680" s="379"/>
      <c r="AQ1680" s="379"/>
      <c r="AR1680" s="379"/>
      <c r="AS1680" s="379"/>
      <c r="AT1680" s="379"/>
      <c r="AU1680" s="379"/>
      <c r="AV1680" s="379"/>
      <c r="AW1680" s="379"/>
      <c r="AX1680" s="379"/>
      <c r="AY1680" s="379"/>
      <c r="AZ1680" s="379"/>
      <c r="BA1680" s="379"/>
      <c r="BB1680" s="379"/>
      <c r="BC1680" s="379"/>
      <c r="BD1680" s="379"/>
      <c r="BE1680" s="379"/>
      <c r="BF1680" s="379"/>
      <c r="BG1680" s="379"/>
      <c r="BH1680" s="379"/>
      <c r="BI1680" s="379"/>
      <c r="BJ1680" s="379"/>
      <c r="BK1680" s="379"/>
      <c r="BL1680" s="379"/>
      <c r="BM1680" s="379"/>
      <c r="BN1680" s="379"/>
      <c r="BO1680" s="379"/>
      <c r="BP1680" s="379"/>
      <c r="BQ1680" s="379"/>
      <c r="BR1680" s="379"/>
      <c r="BS1680" s="379"/>
      <c r="BT1680" s="379"/>
      <c r="BU1680" s="379"/>
      <c r="BV1680" s="379"/>
      <c r="BW1680" s="379"/>
      <c r="BX1680" s="379"/>
      <c r="BY1680" s="379"/>
      <c r="BZ1680" s="379"/>
      <c r="CA1680" s="281"/>
      <c r="CB1680" s="3" t="str">
        <f t="shared" si="263"/>
        <v>Riadok bude skrytý.</v>
      </c>
      <c r="CC1680" s="271" t="s">
        <v>832</v>
      </c>
      <c r="CW1680" s="30">
        <f t="shared" si="264"/>
        <v>1</v>
      </c>
      <c r="CX1680" s="30">
        <f t="shared" si="265"/>
        <v>0</v>
      </c>
      <c r="CZ1680" s="30">
        <f t="shared" si="258"/>
        <v>1</v>
      </c>
      <c r="DA1680" s="52">
        <f t="shared" si="266"/>
        <v>0</v>
      </c>
      <c r="DB1680" s="2">
        <f t="shared" si="260"/>
        <v>0</v>
      </c>
      <c r="DS1680" s="130">
        <f>SI!BY1680</f>
        <v>187</v>
      </c>
      <c r="DZ1680" s="131">
        <f>SI!BZ1680</f>
        <v>0</v>
      </c>
    </row>
    <row r="1681" spans="1:130" hidden="1" x14ac:dyDescent="0.25">
      <c r="A1681" s="141"/>
      <c r="B1681" s="379"/>
      <c r="C1681" s="379"/>
      <c r="D1681" s="379"/>
      <c r="E1681" s="379"/>
      <c r="F1681" s="379"/>
      <c r="G1681" s="379"/>
      <c r="H1681" s="379"/>
      <c r="I1681" s="379"/>
      <c r="J1681" s="379"/>
      <c r="K1681" s="379"/>
      <c r="L1681" s="379"/>
      <c r="M1681" s="379"/>
      <c r="N1681" s="379"/>
      <c r="O1681" s="379"/>
      <c r="P1681" s="379"/>
      <c r="Q1681" s="379"/>
      <c r="R1681" s="379"/>
      <c r="S1681" s="379"/>
      <c r="T1681" s="379"/>
      <c r="U1681" s="379"/>
      <c r="V1681" s="379"/>
      <c r="W1681" s="379"/>
      <c r="X1681" s="379"/>
      <c r="Y1681" s="379"/>
      <c r="Z1681" s="379"/>
      <c r="AA1681" s="379"/>
      <c r="AB1681" s="379"/>
      <c r="AC1681" s="379"/>
      <c r="AD1681" s="379"/>
      <c r="AE1681" s="379"/>
      <c r="AF1681" s="379"/>
      <c r="AG1681" s="379"/>
      <c r="AH1681" s="379"/>
      <c r="AI1681" s="379"/>
      <c r="AJ1681" s="379"/>
      <c r="AK1681" s="379"/>
      <c r="AL1681" s="379"/>
      <c r="AM1681" s="379"/>
      <c r="AN1681" s="379"/>
      <c r="AO1681" s="379"/>
      <c r="AP1681" s="379"/>
      <c r="AQ1681" s="379"/>
      <c r="AR1681" s="379"/>
      <c r="AS1681" s="379"/>
      <c r="AT1681" s="379"/>
      <c r="AU1681" s="379"/>
      <c r="AV1681" s="379"/>
      <c r="AW1681" s="379"/>
      <c r="AX1681" s="379"/>
      <c r="AY1681" s="379"/>
      <c r="AZ1681" s="379"/>
      <c r="BA1681" s="379"/>
      <c r="BB1681" s="379"/>
      <c r="BC1681" s="379"/>
      <c r="BD1681" s="379"/>
      <c r="BE1681" s="379"/>
      <c r="BF1681" s="379"/>
      <c r="BG1681" s="379"/>
      <c r="BH1681" s="379"/>
      <c r="BI1681" s="379"/>
      <c r="BJ1681" s="379"/>
      <c r="BK1681" s="379"/>
      <c r="BL1681" s="379"/>
      <c r="BM1681" s="379"/>
      <c r="BN1681" s="379"/>
      <c r="BO1681" s="379"/>
      <c r="BP1681" s="379"/>
      <c r="BQ1681" s="379"/>
      <c r="BR1681" s="379"/>
      <c r="BS1681" s="379"/>
      <c r="BT1681" s="379"/>
      <c r="BU1681" s="379"/>
      <c r="BV1681" s="379"/>
      <c r="BW1681" s="379"/>
      <c r="BX1681" s="379"/>
      <c r="BY1681" s="379"/>
      <c r="BZ1681" s="379"/>
      <c r="CA1681" s="281"/>
      <c r="CB1681" s="3" t="str">
        <f t="shared" si="263"/>
        <v>Riadok bude skrytý.</v>
      </c>
      <c r="CC1681" s="271" t="s">
        <v>832</v>
      </c>
      <c r="CW1681" s="30">
        <f t="shared" si="264"/>
        <v>1</v>
      </c>
      <c r="CX1681" s="30">
        <f t="shared" si="265"/>
        <v>0</v>
      </c>
      <c r="CZ1681" s="30">
        <f t="shared" si="258"/>
        <v>1</v>
      </c>
      <c r="DA1681" s="52">
        <f t="shared" si="266"/>
        <v>0</v>
      </c>
      <c r="DB1681" s="2">
        <f t="shared" si="260"/>
        <v>0</v>
      </c>
      <c r="DS1681" s="130">
        <f>SI!BY1681</f>
        <v>953</v>
      </c>
      <c r="DZ1681" s="131">
        <f>SI!BZ1681</f>
        <v>0</v>
      </c>
    </row>
    <row r="1682" spans="1:130" hidden="1" x14ac:dyDescent="0.25">
      <c r="A1682" s="141"/>
      <c r="B1682" s="379"/>
      <c r="C1682" s="379"/>
      <c r="D1682" s="379"/>
      <c r="E1682" s="379"/>
      <c r="F1682" s="379"/>
      <c r="G1682" s="379"/>
      <c r="H1682" s="379"/>
      <c r="I1682" s="379"/>
      <c r="J1682" s="379"/>
      <c r="K1682" s="379"/>
      <c r="L1682" s="379"/>
      <c r="M1682" s="379"/>
      <c r="N1682" s="379"/>
      <c r="O1682" s="379"/>
      <c r="P1682" s="379"/>
      <c r="Q1682" s="379"/>
      <c r="R1682" s="379"/>
      <c r="S1682" s="379"/>
      <c r="T1682" s="379"/>
      <c r="U1682" s="379"/>
      <c r="V1682" s="379"/>
      <c r="W1682" s="379"/>
      <c r="X1682" s="379"/>
      <c r="Y1682" s="379"/>
      <c r="Z1682" s="379"/>
      <c r="AA1682" s="379"/>
      <c r="AB1682" s="379"/>
      <c r="AC1682" s="379"/>
      <c r="AD1682" s="379"/>
      <c r="AE1682" s="379"/>
      <c r="AF1682" s="379"/>
      <c r="AG1682" s="379"/>
      <c r="AH1682" s="379"/>
      <c r="AI1682" s="379"/>
      <c r="AJ1682" s="379"/>
      <c r="AK1682" s="379"/>
      <c r="AL1682" s="379"/>
      <c r="AM1682" s="379"/>
      <c r="AN1682" s="379"/>
      <c r="AO1682" s="379"/>
      <c r="AP1682" s="379"/>
      <c r="AQ1682" s="379"/>
      <c r="AR1682" s="379"/>
      <c r="AS1682" s="379"/>
      <c r="AT1682" s="379"/>
      <c r="AU1682" s="379"/>
      <c r="AV1682" s="379"/>
      <c r="AW1682" s="379"/>
      <c r="AX1682" s="379"/>
      <c r="AY1682" s="379"/>
      <c r="AZ1682" s="379"/>
      <c r="BA1682" s="379"/>
      <c r="BB1682" s="379"/>
      <c r="BC1682" s="379"/>
      <c r="BD1682" s="379"/>
      <c r="BE1682" s="379"/>
      <c r="BF1682" s="379"/>
      <c r="BG1682" s="379"/>
      <c r="BH1682" s="379"/>
      <c r="BI1682" s="379"/>
      <c r="BJ1682" s="379"/>
      <c r="BK1682" s="379"/>
      <c r="BL1682" s="379"/>
      <c r="BM1682" s="379"/>
      <c r="BN1682" s="379"/>
      <c r="BO1682" s="379"/>
      <c r="BP1682" s="379"/>
      <c r="BQ1682" s="379"/>
      <c r="BR1682" s="379"/>
      <c r="BS1682" s="379"/>
      <c r="BT1682" s="379"/>
      <c r="BU1682" s="379"/>
      <c r="BV1682" s="379"/>
      <c r="BW1682" s="379"/>
      <c r="BX1682" s="379"/>
      <c r="BY1682" s="379"/>
      <c r="BZ1682" s="379"/>
      <c r="CA1682" s="281"/>
      <c r="CB1682" s="3" t="str">
        <f t="shared" si="263"/>
        <v>Riadok bude skrytý.</v>
      </c>
      <c r="CC1682" s="271" t="s">
        <v>832</v>
      </c>
      <c r="CW1682" s="30">
        <f t="shared" si="264"/>
        <v>1</v>
      </c>
      <c r="CX1682" s="30">
        <f t="shared" si="265"/>
        <v>0</v>
      </c>
      <c r="CZ1682" s="30">
        <f t="shared" si="258"/>
        <v>1</v>
      </c>
      <c r="DA1682" s="52">
        <f t="shared" si="266"/>
        <v>0</v>
      </c>
      <c r="DB1682" s="2">
        <f t="shared" si="260"/>
        <v>0</v>
      </c>
      <c r="DS1682" s="130">
        <f>SI!BY1682</f>
        <v>140</v>
      </c>
      <c r="DZ1682" s="131">
        <f>SI!BZ1682</f>
        <v>0</v>
      </c>
    </row>
    <row r="1683" spans="1:130" hidden="1" x14ac:dyDescent="0.25">
      <c r="A1683" s="141"/>
      <c r="B1683" s="379"/>
      <c r="C1683" s="379"/>
      <c r="D1683" s="379"/>
      <c r="E1683" s="379"/>
      <c r="F1683" s="379"/>
      <c r="G1683" s="379"/>
      <c r="H1683" s="379"/>
      <c r="I1683" s="379"/>
      <c r="J1683" s="379"/>
      <c r="K1683" s="379"/>
      <c r="L1683" s="379"/>
      <c r="M1683" s="379"/>
      <c r="N1683" s="379"/>
      <c r="O1683" s="379"/>
      <c r="P1683" s="379"/>
      <c r="Q1683" s="379"/>
      <c r="R1683" s="379"/>
      <c r="S1683" s="379"/>
      <c r="T1683" s="379"/>
      <c r="U1683" s="379"/>
      <c r="V1683" s="379"/>
      <c r="W1683" s="379"/>
      <c r="X1683" s="379"/>
      <c r="Y1683" s="379"/>
      <c r="Z1683" s="379"/>
      <c r="AA1683" s="379"/>
      <c r="AB1683" s="379"/>
      <c r="AC1683" s="379"/>
      <c r="AD1683" s="379"/>
      <c r="AE1683" s="379"/>
      <c r="AF1683" s="379"/>
      <c r="AG1683" s="379"/>
      <c r="AH1683" s="379"/>
      <c r="AI1683" s="379"/>
      <c r="AJ1683" s="379"/>
      <c r="AK1683" s="379"/>
      <c r="AL1683" s="379"/>
      <c r="AM1683" s="379"/>
      <c r="AN1683" s="379"/>
      <c r="AO1683" s="379"/>
      <c r="AP1683" s="379"/>
      <c r="AQ1683" s="379"/>
      <c r="AR1683" s="379"/>
      <c r="AS1683" s="379"/>
      <c r="AT1683" s="379"/>
      <c r="AU1683" s="379"/>
      <c r="AV1683" s="379"/>
      <c r="AW1683" s="379"/>
      <c r="AX1683" s="379"/>
      <c r="AY1683" s="379"/>
      <c r="AZ1683" s="379"/>
      <c r="BA1683" s="379"/>
      <c r="BB1683" s="379"/>
      <c r="BC1683" s="379"/>
      <c r="BD1683" s="379"/>
      <c r="BE1683" s="379"/>
      <c r="BF1683" s="379"/>
      <c r="BG1683" s="379"/>
      <c r="BH1683" s="379"/>
      <c r="BI1683" s="379"/>
      <c r="BJ1683" s="379"/>
      <c r="BK1683" s="379"/>
      <c r="BL1683" s="379"/>
      <c r="BM1683" s="379"/>
      <c r="BN1683" s="379"/>
      <c r="BO1683" s="379"/>
      <c r="BP1683" s="379"/>
      <c r="BQ1683" s="379"/>
      <c r="BR1683" s="379"/>
      <c r="BS1683" s="379"/>
      <c r="BT1683" s="379"/>
      <c r="BU1683" s="379"/>
      <c r="BV1683" s="379"/>
      <c r="BW1683" s="379"/>
      <c r="BX1683" s="379"/>
      <c r="BY1683" s="379"/>
      <c r="BZ1683" s="379"/>
      <c r="CA1683" s="281"/>
      <c r="CB1683" s="3" t="str">
        <f t="shared" si="263"/>
        <v>Riadok bude skrytý.</v>
      </c>
      <c r="CC1683" s="271" t="s">
        <v>832</v>
      </c>
      <c r="CW1683" s="30">
        <f t="shared" si="264"/>
        <v>1</v>
      </c>
      <c r="CX1683" s="30">
        <f t="shared" si="265"/>
        <v>0</v>
      </c>
      <c r="CZ1683" s="30">
        <f t="shared" si="258"/>
        <v>1</v>
      </c>
      <c r="DA1683" s="52">
        <f t="shared" si="266"/>
        <v>0</v>
      </c>
      <c r="DB1683" s="2">
        <f t="shared" si="260"/>
        <v>0</v>
      </c>
      <c r="DS1683" s="130">
        <f>SI!BY1683</f>
        <v>347</v>
      </c>
      <c r="DZ1683" s="131">
        <f>SI!BZ1683</f>
        <v>0</v>
      </c>
    </row>
    <row r="1684" spans="1:130" hidden="1" x14ac:dyDescent="0.25">
      <c r="A1684" s="141"/>
      <c r="B1684" s="379"/>
      <c r="C1684" s="379"/>
      <c r="D1684" s="379"/>
      <c r="E1684" s="379"/>
      <c r="F1684" s="379"/>
      <c r="G1684" s="379"/>
      <c r="H1684" s="379"/>
      <c r="I1684" s="379"/>
      <c r="J1684" s="379"/>
      <c r="K1684" s="379"/>
      <c r="L1684" s="379"/>
      <c r="M1684" s="379"/>
      <c r="N1684" s="379"/>
      <c r="O1684" s="379"/>
      <c r="P1684" s="379"/>
      <c r="Q1684" s="379"/>
      <c r="R1684" s="379"/>
      <c r="S1684" s="379"/>
      <c r="T1684" s="379"/>
      <c r="U1684" s="379"/>
      <c r="V1684" s="379"/>
      <c r="W1684" s="379"/>
      <c r="X1684" s="379"/>
      <c r="Y1684" s="379"/>
      <c r="Z1684" s="379"/>
      <c r="AA1684" s="379"/>
      <c r="AB1684" s="379"/>
      <c r="AC1684" s="379"/>
      <c r="AD1684" s="379"/>
      <c r="AE1684" s="379"/>
      <c r="AF1684" s="379"/>
      <c r="AG1684" s="379"/>
      <c r="AH1684" s="379"/>
      <c r="AI1684" s="379"/>
      <c r="AJ1684" s="379"/>
      <c r="AK1684" s="379"/>
      <c r="AL1684" s="379"/>
      <c r="AM1684" s="379"/>
      <c r="AN1684" s="379"/>
      <c r="AO1684" s="379"/>
      <c r="AP1684" s="379"/>
      <c r="AQ1684" s="379"/>
      <c r="AR1684" s="379"/>
      <c r="AS1684" s="379"/>
      <c r="AT1684" s="379"/>
      <c r="AU1684" s="379"/>
      <c r="AV1684" s="379"/>
      <c r="AW1684" s="379"/>
      <c r="AX1684" s="379"/>
      <c r="AY1684" s="379"/>
      <c r="AZ1684" s="379"/>
      <c r="BA1684" s="379"/>
      <c r="BB1684" s="379"/>
      <c r="BC1684" s="379"/>
      <c r="BD1684" s="379"/>
      <c r="BE1684" s="379"/>
      <c r="BF1684" s="379"/>
      <c r="BG1684" s="379"/>
      <c r="BH1684" s="379"/>
      <c r="BI1684" s="379"/>
      <c r="BJ1684" s="379"/>
      <c r="BK1684" s="379"/>
      <c r="BL1684" s="379"/>
      <c r="BM1684" s="379"/>
      <c r="BN1684" s="379"/>
      <c r="BO1684" s="379"/>
      <c r="BP1684" s="379"/>
      <c r="BQ1684" s="379"/>
      <c r="BR1684" s="379"/>
      <c r="BS1684" s="379"/>
      <c r="BT1684" s="379"/>
      <c r="BU1684" s="379"/>
      <c r="BV1684" s="379"/>
      <c r="BW1684" s="379"/>
      <c r="BX1684" s="379"/>
      <c r="BY1684" s="379"/>
      <c r="BZ1684" s="379"/>
      <c r="CA1684" s="281"/>
      <c r="CB1684" s="3" t="str">
        <f t="shared" si="263"/>
        <v>Riadok bude skrytý.</v>
      </c>
      <c r="CC1684" s="271" t="s">
        <v>832</v>
      </c>
      <c r="CW1684" s="30">
        <f t="shared" si="264"/>
        <v>1</v>
      </c>
      <c r="CX1684" s="30">
        <f t="shared" si="265"/>
        <v>0</v>
      </c>
      <c r="CZ1684" s="30">
        <f t="shared" si="258"/>
        <v>1</v>
      </c>
      <c r="DA1684" s="52">
        <f t="shared" si="266"/>
        <v>0</v>
      </c>
      <c r="DB1684" s="2">
        <f t="shared" si="260"/>
        <v>0</v>
      </c>
      <c r="DS1684" s="130">
        <f>SI!BY1684</f>
        <v>156</v>
      </c>
      <c r="DZ1684" s="131">
        <f>SI!BZ1684</f>
        <v>0</v>
      </c>
    </row>
    <row r="1685" spans="1:130" hidden="1" x14ac:dyDescent="0.25">
      <c r="A1685" s="141"/>
      <c r="B1685" s="379"/>
      <c r="C1685" s="379"/>
      <c r="D1685" s="379"/>
      <c r="E1685" s="379"/>
      <c r="F1685" s="379"/>
      <c r="G1685" s="379"/>
      <c r="H1685" s="379"/>
      <c r="I1685" s="379"/>
      <c r="J1685" s="379"/>
      <c r="K1685" s="379"/>
      <c r="L1685" s="379"/>
      <c r="M1685" s="379"/>
      <c r="N1685" s="379"/>
      <c r="O1685" s="379"/>
      <c r="P1685" s="379"/>
      <c r="Q1685" s="379"/>
      <c r="R1685" s="379"/>
      <c r="S1685" s="379"/>
      <c r="T1685" s="379"/>
      <c r="U1685" s="379"/>
      <c r="V1685" s="379"/>
      <c r="W1685" s="379"/>
      <c r="X1685" s="379"/>
      <c r="Y1685" s="379"/>
      <c r="Z1685" s="379"/>
      <c r="AA1685" s="379"/>
      <c r="AB1685" s="379"/>
      <c r="AC1685" s="379"/>
      <c r="AD1685" s="379"/>
      <c r="AE1685" s="379"/>
      <c r="AF1685" s="379"/>
      <c r="AG1685" s="379"/>
      <c r="AH1685" s="379"/>
      <c r="AI1685" s="379"/>
      <c r="AJ1685" s="379"/>
      <c r="AK1685" s="379"/>
      <c r="AL1685" s="379"/>
      <c r="AM1685" s="379"/>
      <c r="AN1685" s="379"/>
      <c r="AO1685" s="379"/>
      <c r="AP1685" s="379"/>
      <c r="AQ1685" s="379"/>
      <c r="AR1685" s="379"/>
      <c r="AS1685" s="379"/>
      <c r="AT1685" s="379"/>
      <c r="AU1685" s="379"/>
      <c r="AV1685" s="379"/>
      <c r="AW1685" s="379"/>
      <c r="AX1685" s="379"/>
      <c r="AY1685" s="379"/>
      <c r="AZ1685" s="379"/>
      <c r="BA1685" s="379"/>
      <c r="BB1685" s="379"/>
      <c r="BC1685" s="379"/>
      <c r="BD1685" s="379"/>
      <c r="BE1685" s="379"/>
      <c r="BF1685" s="379"/>
      <c r="BG1685" s="379"/>
      <c r="BH1685" s="379"/>
      <c r="BI1685" s="379"/>
      <c r="BJ1685" s="379"/>
      <c r="BK1685" s="379"/>
      <c r="BL1685" s="379"/>
      <c r="BM1685" s="379"/>
      <c r="BN1685" s="379"/>
      <c r="BO1685" s="379"/>
      <c r="BP1685" s="379"/>
      <c r="BQ1685" s="379"/>
      <c r="BR1685" s="379"/>
      <c r="BS1685" s="379"/>
      <c r="BT1685" s="379"/>
      <c r="BU1685" s="379"/>
      <c r="BV1685" s="379"/>
      <c r="BW1685" s="379"/>
      <c r="BX1685" s="379"/>
      <c r="BY1685" s="379"/>
      <c r="BZ1685" s="379"/>
      <c r="CA1685" s="281"/>
      <c r="CB1685" s="3" t="str">
        <f t="shared" si="263"/>
        <v>Riadok bude skrytý.</v>
      </c>
      <c r="CC1685" s="271" t="s">
        <v>832</v>
      </c>
      <c r="CW1685" s="30">
        <f t="shared" si="264"/>
        <v>1</v>
      </c>
      <c r="CX1685" s="30">
        <f t="shared" si="265"/>
        <v>0</v>
      </c>
      <c r="CZ1685" s="30">
        <f t="shared" si="258"/>
        <v>1</v>
      </c>
      <c r="DA1685" s="52">
        <f t="shared" si="266"/>
        <v>0</v>
      </c>
      <c r="DB1685" s="2">
        <f t="shared" si="260"/>
        <v>0</v>
      </c>
      <c r="DS1685" s="130">
        <f>SI!BY1685</f>
        <v>1048</v>
      </c>
      <c r="DZ1685" s="131">
        <f>SI!BZ1685</f>
        <v>0</v>
      </c>
    </row>
    <row r="1686" spans="1:130" hidden="1" x14ac:dyDescent="0.25">
      <c r="A1686" s="141"/>
      <c r="B1686" s="379"/>
      <c r="C1686" s="379"/>
      <c r="D1686" s="379"/>
      <c r="E1686" s="379"/>
      <c r="F1686" s="379"/>
      <c r="G1686" s="379"/>
      <c r="H1686" s="379"/>
      <c r="I1686" s="379"/>
      <c r="J1686" s="379"/>
      <c r="K1686" s="379"/>
      <c r="L1686" s="379"/>
      <c r="M1686" s="379"/>
      <c r="N1686" s="379"/>
      <c r="O1686" s="379"/>
      <c r="P1686" s="379"/>
      <c r="Q1686" s="379"/>
      <c r="R1686" s="379"/>
      <c r="S1686" s="379"/>
      <c r="T1686" s="379"/>
      <c r="U1686" s="379"/>
      <c r="V1686" s="379"/>
      <c r="W1686" s="379"/>
      <c r="X1686" s="379"/>
      <c r="Y1686" s="379"/>
      <c r="Z1686" s="379"/>
      <c r="AA1686" s="379"/>
      <c r="AB1686" s="379"/>
      <c r="AC1686" s="379"/>
      <c r="AD1686" s="379"/>
      <c r="AE1686" s="379"/>
      <c r="AF1686" s="379"/>
      <c r="AG1686" s="379"/>
      <c r="AH1686" s="379"/>
      <c r="AI1686" s="379"/>
      <c r="AJ1686" s="379"/>
      <c r="AK1686" s="379"/>
      <c r="AL1686" s="379"/>
      <c r="AM1686" s="379"/>
      <c r="AN1686" s="379"/>
      <c r="AO1686" s="379"/>
      <c r="AP1686" s="379"/>
      <c r="AQ1686" s="379"/>
      <c r="AR1686" s="379"/>
      <c r="AS1686" s="379"/>
      <c r="AT1686" s="379"/>
      <c r="AU1686" s="379"/>
      <c r="AV1686" s="379"/>
      <c r="AW1686" s="379"/>
      <c r="AX1686" s="379"/>
      <c r="AY1686" s="379"/>
      <c r="AZ1686" s="379"/>
      <c r="BA1686" s="379"/>
      <c r="BB1686" s="379"/>
      <c r="BC1686" s="379"/>
      <c r="BD1686" s="379"/>
      <c r="BE1686" s="379"/>
      <c r="BF1686" s="379"/>
      <c r="BG1686" s="379"/>
      <c r="BH1686" s="379"/>
      <c r="BI1686" s="379"/>
      <c r="BJ1686" s="379"/>
      <c r="BK1686" s="379"/>
      <c r="BL1686" s="379"/>
      <c r="BM1686" s="379"/>
      <c r="BN1686" s="379"/>
      <c r="BO1686" s="379"/>
      <c r="BP1686" s="379"/>
      <c r="BQ1686" s="379"/>
      <c r="BR1686" s="379"/>
      <c r="BS1686" s="379"/>
      <c r="BT1686" s="379"/>
      <c r="BU1686" s="379"/>
      <c r="BV1686" s="379"/>
      <c r="BW1686" s="379"/>
      <c r="BX1686" s="379"/>
      <c r="BY1686" s="379"/>
      <c r="BZ1686" s="379"/>
      <c r="CA1686" s="281"/>
      <c r="CB1686" s="3" t="str">
        <f t="shared" si="263"/>
        <v>Riadok bude skrytý.</v>
      </c>
      <c r="CC1686" s="271" t="s">
        <v>832</v>
      </c>
      <c r="CW1686" s="30">
        <f t="shared" si="264"/>
        <v>1</v>
      </c>
      <c r="CX1686" s="30">
        <f t="shared" si="265"/>
        <v>0</v>
      </c>
      <c r="CZ1686" s="30">
        <f t="shared" si="258"/>
        <v>1</v>
      </c>
      <c r="DA1686" s="52">
        <f t="shared" si="266"/>
        <v>0</v>
      </c>
      <c r="DB1686" s="2">
        <f t="shared" si="260"/>
        <v>0</v>
      </c>
      <c r="DS1686" s="130">
        <f>SI!BY1686</f>
        <v>175</v>
      </c>
      <c r="DZ1686" s="131">
        <f>SI!BZ1686</f>
        <v>0</v>
      </c>
    </row>
    <row r="1687" spans="1:130" hidden="1" x14ac:dyDescent="0.25">
      <c r="A1687" s="141"/>
      <c r="B1687" s="379"/>
      <c r="C1687" s="379"/>
      <c r="D1687" s="379"/>
      <c r="E1687" s="379"/>
      <c r="F1687" s="379"/>
      <c r="G1687" s="379"/>
      <c r="H1687" s="379"/>
      <c r="I1687" s="379"/>
      <c r="J1687" s="379"/>
      <c r="K1687" s="379"/>
      <c r="L1687" s="379"/>
      <c r="M1687" s="379"/>
      <c r="N1687" s="379"/>
      <c r="O1687" s="379"/>
      <c r="P1687" s="379"/>
      <c r="Q1687" s="379"/>
      <c r="R1687" s="379"/>
      <c r="S1687" s="379"/>
      <c r="T1687" s="379"/>
      <c r="U1687" s="379"/>
      <c r="V1687" s="379"/>
      <c r="W1687" s="379"/>
      <c r="X1687" s="379"/>
      <c r="Y1687" s="379"/>
      <c r="Z1687" s="379"/>
      <c r="AA1687" s="379"/>
      <c r="AB1687" s="379"/>
      <c r="AC1687" s="379"/>
      <c r="AD1687" s="379"/>
      <c r="AE1687" s="379"/>
      <c r="AF1687" s="379"/>
      <c r="AG1687" s="379"/>
      <c r="AH1687" s="379"/>
      <c r="AI1687" s="379"/>
      <c r="AJ1687" s="379"/>
      <c r="AK1687" s="379"/>
      <c r="AL1687" s="379"/>
      <c r="AM1687" s="379"/>
      <c r="AN1687" s="379"/>
      <c r="AO1687" s="379"/>
      <c r="AP1687" s="379"/>
      <c r="AQ1687" s="379"/>
      <c r="AR1687" s="379"/>
      <c r="AS1687" s="379"/>
      <c r="AT1687" s="379"/>
      <c r="AU1687" s="379"/>
      <c r="AV1687" s="379"/>
      <c r="AW1687" s="379"/>
      <c r="AX1687" s="379"/>
      <c r="AY1687" s="379"/>
      <c r="AZ1687" s="379"/>
      <c r="BA1687" s="379"/>
      <c r="BB1687" s="379"/>
      <c r="BC1687" s="379"/>
      <c r="BD1687" s="379"/>
      <c r="BE1687" s="379"/>
      <c r="BF1687" s="379"/>
      <c r="BG1687" s="379"/>
      <c r="BH1687" s="379"/>
      <c r="BI1687" s="379"/>
      <c r="BJ1687" s="379"/>
      <c r="BK1687" s="379"/>
      <c r="BL1687" s="379"/>
      <c r="BM1687" s="379"/>
      <c r="BN1687" s="379"/>
      <c r="BO1687" s="379"/>
      <c r="BP1687" s="379"/>
      <c r="BQ1687" s="379"/>
      <c r="BR1687" s="379"/>
      <c r="BS1687" s="379"/>
      <c r="BT1687" s="379"/>
      <c r="BU1687" s="379"/>
      <c r="BV1687" s="379"/>
      <c r="BW1687" s="379"/>
      <c r="BX1687" s="379"/>
      <c r="BY1687" s="379"/>
      <c r="BZ1687" s="379"/>
      <c r="CA1687" s="281"/>
      <c r="CB1687" s="3" t="str">
        <f t="shared" si="263"/>
        <v>Riadok bude skrytý.</v>
      </c>
      <c r="CC1687" s="271" t="s">
        <v>832</v>
      </c>
      <c r="CW1687" s="30">
        <f t="shared" si="264"/>
        <v>1</v>
      </c>
      <c r="CX1687" s="30">
        <f t="shared" si="265"/>
        <v>0</v>
      </c>
      <c r="CZ1687" s="30">
        <f t="shared" si="258"/>
        <v>1</v>
      </c>
      <c r="DA1687" s="52">
        <f t="shared" si="266"/>
        <v>0</v>
      </c>
      <c r="DB1687" s="2">
        <f t="shared" si="260"/>
        <v>0</v>
      </c>
      <c r="DS1687" s="130">
        <f>SI!BY1687</f>
        <v>132</v>
      </c>
      <c r="DZ1687" s="131">
        <f>SI!BZ1687</f>
        <v>0</v>
      </c>
    </row>
    <row r="1688" spans="1:130" hidden="1" x14ac:dyDescent="0.25">
      <c r="A1688" s="141"/>
      <c r="B1688" s="379"/>
      <c r="C1688" s="379"/>
      <c r="D1688" s="379"/>
      <c r="E1688" s="379"/>
      <c r="F1688" s="379"/>
      <c r="G1688" s="379"/>
      <c r="H1688" s="379"/>
      <c r="I1688" s="379"/>
      <c r="J1688" s="379"/>
      <c r="K1688" s="379"/>
      <c r="L1688" s="379"/>
      <c r="M1688" s="379"/>
      <c r="N1688" s="379"/>
      <c r="O1688" s="379"/>
      <c r="P1688" s="379"/>
      <c r="Q1688" s="379"/>
      <c r="R1688" s="379"/>
      <c r="S1688" s="379"/>
      <c r="T1688" s="379"/>
      <c r="U1688" s="379"/>
      <c r="V1688" s="379"/>
      <c r="W1688" s="379"/>
      <c r="X1688" s="379"/>
      <c r="Y1688" s="379"/>
      <c r="Z1688" s="379"/>
      <c r="AA1688" s="379"/>
      <c r="AB1688" s="379"/>
      <c r="AC1688" s="379"/>
      <c r="AD1688" s="379"/>
      <c r="AE1688" s="379"/>
      <c r="AF1688" s="379"/>
      <c r="AG1688" s="379"/>
      <c r="AH1688" s="379"/>
      <c r="AI1688" s="379"/>
      <c r="AJ1688" s="379"/>
      <c r="AK1688" s="379"/>
      <c r="AL1688" s="379"/>
      <c r="AM1688" s="379"/>
      <c r="AN1688" s="379"/>
      <c r="AO1688" s="379"/>
      <c r="AP1688" s="379"/>
      <c r="AQ1688" s="379"/>
      <c r="AR1688" s="379"/>
      <c r="AS1688" s="379"/>
      <c r="AT1688" s="379"/>
      <c r="AU1688" s="379"/>
      <c r="AV1688" s="379"/>
      <c r="AW1688" s="379"/>
      <c r="AX1688" s="379"/>
      <c r="AY1688" s="379"/>
      <c r="AZ1688" s="379"/>
      <c r="BA1688" s="379"/>
      <c r="BB1688" s="379"/>
      <c r="BC1688" s="379"/>
      <c r="BD1688" s="379"/>
      <c r="BE1688" s="379"/>
      <c r="BF1688" s="379"/>
      <c r="BG1688" s="379"/>
      <c r="BH1688" s="379"/>
      <c r="BI1688" s="379"/>
      <c r="BJ1688" s="379"/>
      <c r="BK1688" s="379"/>
      <c r="BL1688" s="379"/>
      <c r="BM1688" s="379"/>
      <c r="BN1688" s="379"/>
      <c r="BO1688" s="379"/>
      <c r="BP1688" s="379"/>
      <c r="BQ1688" s="379"/>
      <c r="BR1688" s="379"/>
      <c r="BS1688" s="379"/>
      <c r="BT1688" s="379"/>
      <c r="BU1688" s="379"/>
      <c r="BV1688" s="379"/>
      <c r="BW1688" s="379"/>
      <c r="BX1688" s="379"/>
      <c r="BY1688" s="379"/>
      <c r="BZ1688" s="379"/>
      <c r="CA1688" s="281"/>
      <c r="CB1688" s="3" t="str">
        <f t="shared" si="263"/>
        <v>Riadok bude skrytý.</v>
      </c>
      <c r="CC1688" s="271" t="s">
        <v>832</v>
      </c>
      <c r="CW1688" s="30">
        <f t="shared" si="264"/>
        <v>1</v>
      </c>
      <c r="CX1688" s="30">
        <f t="shared" si="265"/>
        <v>0</v>
      </c>
      <c r="CZ1688" s="30">
        <f t="shared" si="258"/>
        <v>1</v>
      </c>
      <c r="DA1688" s="52">
        <f t="shared" si="266"/>
        <v>0</v>
      </c>
      <c r="DB1688" s="2">
        <f t="shared" si="260"/>
        <v>0</v>
      </c>
      <c r="DS1688" s="130">
        <f>SI!BY1688</f>
        <v>123</v>
      </c>
      <c r="DZ1688" s="131">
        <f>SI!BZ1688</f>
        <v>0</v>
      </c>
    </row>
    <row r="1689" spans="1:130" hidden="1" x14ac:dyDescent="0.25">
      <c r="A1689" s="141"/>
      <c r="B1689" s="379"/>
      <c r="C1689" s="379"/>
      <c r="D1689" s="379"/>
      <c r="E1689" s="379"/>
      <c r="F1689" s="379"/>
      <c r="G1689" s="379"/>
      <c r="H1689" s="379"/>
      <c r="I1689" s="379"/>
      <c r="J1689" s="379"/>
      <c r="K1689" s="379"/>
      <c r="L1689" s="379"/>
      <c r="M1689" s="379"/>
      <c r="N1689" s="379"/>
      <c r="O1689" s="379"/>
      <c r="P1689" s="379"/>
      <c r="Q1689" s="379"/>
      <c r="R1689" s="379"/>
      <c r="S1689" s="379"/>
      <c r="T1689" s="379"/>
      <c r="U1689" s="379"/>
      <c r="V1689" s="379"/>
      <c r="W1689" s="379"/>
      <c r="X1689" s="379"/>
      <c r="Y1689" s="379"/>
      <c r="Z1689" s="379"/>
      <c r="AA1689" s="379"/>
      <c r="AB1689" s="379"/>
      <c r="AC1689" s="379"/>
      <c r="AD1689" s="379"/>
      <c r="AE1689" s="379"/>
      <c r="AF1689" s="379"/>
      <c r="AG1689" s="379"/>
      <c r="AH1689" s="379"/>
      <c r="AI1689" s="379"/>
      <c r="AJ1689" s="379"/>
      <c r="AK1689" s="379"/>
      <c r="AL1689" s="379"/>
      <c r="AM1689" s="379"/>
      <c r="AN1689" s="379"/>
      <c r="AO1689" s="379"/>
      <c r="AP1689" s="379"/>
      <c r="AQ1689" s="379"/>
      <c r="AR1689" s="379"/>
      <c r="AS1689" s="379"/>
      <c r="AT1689" s="379"/>
      <c r="AU1689" s="379"/>
      <c r="AV1689" s="379"/>
      <c r="AW1689" s="379"/>
      <c r="AX1689" s="379"/>
      <c r="AY1689" s="379"/>
      <c r="AZ1689" s="379"/>
      <c r="BA1689" s="379"/>
      <c r="BB1689" s="379"/>
      <c r="BC1689" s="379"/>
      <c r="BD1689" s="379"/>
      <c r="BE1689" s="379"/>
      <c r="BF1689" s="379"/>
      <c r="BG1689" s="379"/>
      <c r="BH1689" s="379"/>
      <c r="BI1689" s="379"/>
      <c r="BJ1689" s="379"/>
      <c r="BK1689" s="379"/>
      <c r="BL1689" s="379"/>
      <c r="BM1689" s="379"/>
      <c r="BN1689" s="379"/>
      <c r="BO1689" s="379"/>
      <c r="BP1689" s="379"/>
      <c r="BQ1689" s="379"/>
      <c r="BR1689" s="379"/>
      <c r="BS1689" s="379"/>
      <c r="BT1689" s="379"/>
      <c r="BU1689" s="379"/>
      <c r="BV1689" s="379"/>
      <c r="BW1689" s="379"/>
      <c r="BX1689" s="379"/>
      <c r="BY1689" s="379"/>
      <c r="BZ1689" s="379"/>
      <c r="CA1689" s="281"/>
      <c r="CB1689" s="3" t="str">
        <f t="shared" si="263"/>
        <v>Riadok bude skrytý.</v>
      </c>
      <c r="CC1689" s="271" t="s">
        <v>832</v>
      </c>
      <c r="CW1689" s="30">
        <f t="shared" si="264"/>
        <v>1</v>
      </c>
      <c r="CX1689" s="30">
        <f t="shared" si="265"/>
        <v>0</v>
      </c>
      <c r="CZ1689" s="30">
        <f t="shared" si="258"/>
        <v>1</v>
      </c>
      <c r="DA1689" s="52">
        <f t="shared" si="266"/>
        <v>0</v>
      </c>
      <c r="DB1689" s="2">
        <f t="shared" si="260"/>
        <v>0</v>
      </c>
      <c r="DS1689" s="130">
        <f>SI!BY1689</f>
        <v>151</v>
      </c>
      <c r="DZ1689" s="131">
        <f>SI!BZ1689</f>
        <v>0</v>
      </c>
    </row>
    <row r="1690" spans="1:130" hidden="1" x14ac:dyDescent="0.25">
      <c r="A1690" s="141"/>
      <c r="B1690" s="379"/>
      <c r="C1690" s="379"/>
      <c r="D1690" s="379"/>
      <c r="E1690" s="379"/>
      <c r="F1690" s="379"/>
      <c r="G1690" s="379"/>
      <c r="H1690" s="379"/>
      <c r="I1690" s="379"/>
      <c r="J1690" s="379"/>
      <c r="K1690" s="379"/>
      <c r="L1690" s="379"/>
      <c r="M1690" s="379"/>
      <c r="N1690" s="379"/>
      <c r="O1690" s="379"/>
      <c r="P1690" s="379"/>
      <c r="Q1690" s="379"/>
      <c r="R1690" s="379"/>
      <c r="S1690" s="379"/>
      <c r="T1690" s="379"/>
      <c r="U1690" s="379"/>
      <c r="V1690" s="379"/>
      <c r="W1690" s="379"/>
      <c r="X1690" s="379"/>
      <c r="Y1690" s="379"/>
      <c r="Z1690" s="379"/>
      <c r="AA1690" s="379"/>
      <c r="AB1690" s="379"/>
      <c r="AC1690" s="379"/>
      <c r="AD1690" s="379"/>
      <c r="AE1690" s="379"/>
      <c r="AF1690" s="379"/>
      <c r="AG1690" s="379"/>
      <c r="AH1690" s="379"/>
      <c r="AI1690" s="379"/>
      <c r="AJ1690" s="379"/>
      <c r="AK1690" s="379"/>
      <c r="AL1690" s="379"/>
      <c r="AM1690" s="379"/>
      <c r="AN1690" s="379"/>
      <c r="AO1690" s="379"/>
      <c r="AP1690" s="379"/>
      <c r="AQ1690" s="379"/>
      <c r="AR1690" s="379"/>
      <c r="AS1690" s="379"/>
      <c r="AT1690" s="379"/>
      <c r="AU1690" s="379"/>
      <c r="AV1690" s="379"/>
      <c r="AW1690" s="379"/>
      <c r="AX1690" s="379"/>
      <c r="AY1690" s="379"/>
      <c r="AZ1690" s="379"/>
      <c r="BA1690" s="379"/>
      <c r="BB1690" s="379"/>
      <c r="BC1690" s="379"/>
      <c r="BD1690" s="379"/>
      <c r="BE1690" s="379"/>
      <c r="BF1690" s="379"/>
      <c r="BG1690" s="379"/>
      <c r="BH1690" s="379"/>
      <c r="BI1690" s="379"/>
      <c r="BJ1690" s="379"/>
      <c r="BK1690" s="379"/>
      <c r="BL1690" s="379"/>
      <c r="BM1690" s="379"/>
      <c r="BN1690" s="379"/>
      <c r="BO1690" s="379"/>
      <c r="BP1690" s="379"/>
      <c r="BQ1690" s="379"/>
      <c r="BR1690" s="379"/>
      <c r="BS1690" s="379"/>
      <c r="BT1690" s="379"/>
      <c r="BU1690" s="379"/>
      <c r="BV1690" s="379"/>
      <c r="BW1690" s="379"/>
      <c r="BX1690" s="379"/>
      <c r="BY1690" s="379"/>
      <c r="BZ1690" s="379"/>
      <c r="CA1690" s="281"/>
      <c r="CB1690" s="3" t="str">
        <f t="shared" si="263"/>
        <v>Riadok bude skrytý.</v>
      </c>
      <c r="CC1690" s="271" t="s">
        <v>832</v>
      </c>
      <c r="CW1690" s="30">
        <f t="shared" si="264"/>
        <v>1</v>
      </c>
      <c r="CX1690" s="30">
        <f t="shared" si="265"/>
        <v>0</v>
      </c>
      <c r="CZ1690" s="30">
        <f t="shared" si="258"/>
        <v>1</v>
      </c>
      <c r="DA1690" s="52">
        <f t="shared" si="266"/>
        <v>0</v>
      </c>
      <c r="DB1690" s="2">
        <f t="shared" si="260"/>
        <v>0</v>
      </c>
      <c r="DS1690" s="130">
        <f>SI!BY1690</f>
        <v>135</v>
      </c>
      <c r="DZ1690" s="131">
        <f>SI!BZ1690</f>
        <v>0</v>
      </c>
    </row>
    <row r="1691" spans="1:130" hidden="1" x14ac:dyDescent="0.25">
      <c r="A1691" s="141"/>
      <c r="B1691" s="379"/>
      <c r="C1691" s="379"/>
      <c r="D1691" s="379"/>
      <c r="E1691" s="379"/>
      <c r="F1691" s="379"/>
      <c r="G1691" s="379"/>
      <c r="H1691" s="379"/>
      <c r="I1691" s="379"/>
      <c r="J1691" s="379"/>
      <c r="K1691" s="379"/>
      <c r="L1691" s="379"/>
      <c r="M1691" s="379"/>
      <c r="N1691" s="379"/>
      <c r="O1691" s="379"/>
      <c r="P1691" s="379"/>
      <c r="Q1691" s="379"/>
      <c r="R1691" s="379"/>
      <c r="S1691" s="379"/>
      <c r="T1691" s="379"/>
      <c r="U1691" s="379"/>
      <c r="V1691" s="379"/>
      <c r="W1691" s="379"/>
      <c r="X1691" s="379"/>
      <c r="Y1691" s="379"/>
      <c r="Z1691" s="379"/>
      <c r="AA1691" s="379"/>
      <c r="AB1691" s="379"/>
      <c r="AC1691" s="379"/>
      <c r="AD1691" s="379"/>
      <c r="AE1691" s="379"/>
      <c r="AF1691" s="379"/>
      <c r="AG1691" s="379"/>
      <c r="AH1691" s="379"/>
      <c r="AI1691" s="379"/>
      <c r="AJ1691" s="379"/>
      <c r="AK1691" s="379"/>
      <c r="AL1691" s="379"/>
      <c r="AM1691" s="379"/>
      <c r="AN1691" s="379"/>
      <c r="AO1691" s="379"/>
      <c r="AP1691" s="379"/>
      <c r="AQ1691" s="379"/>
      <c r="AR1691" s="379"/>
      <c r="AS1691" s="379"/>
      <c r="AT1691" s="379"/>
      <c r="AU1691" s="379"/>
      <c r="AV1691" s="379"/>
      <c r="AW1691" s="379"/>
      <c r="AX1691" s="379"/>
      <c r="AY1691" s="379"/>
      <c r="AZ1691" s="379"/>
      <c r="BA1691" s="379"/>
      <c r="BB1691" s="379"/>
      <c r="BC1691" s="379"/>
      <c r="BD1691" s="379"/>
      <c r="BE1691" s="379"/>
      <c r="BF1691" s="379"/>
      <c r="BG1691" s="379"/>
      <c r="BH1691" s="379"/>
      <c r="BI1691" s="379"/>
      <c r="BJ1691" s="379"/>
      <c r="BK1691" s="379"/>
      <c r="BL1691" s="379"/>
      <c r="BM1691" s="379"/>
      <c r="BN1691" s="379"/>
      <c r="BO1691" s="379"/>
      <c r="BP1691" s="379"/>
      <c r="BQ1691" s="379"/>
      <c r="BR1691" s="379"/>
      <c r="BS1691" s="379"/>
      <c r="BT1691" s="379"/>
      <c r="BU1691" s="379"/>
      <c r="BV1691" s="379"/>
      <c r="BW1691" s="379"/>
      <c r="BX1691" s="379"/>
      <c r="BY1691" s="379"/>
      <c r="BZ1691" s="379"/>
      <c r="CA1691" s="281"/>
      <c r="CB1691" s="3" t="str">
        <f t="shared" si="263"/>
        <v>Riadok bude skrytý.</v>
      </c>
      <c r="CC1691" s="271" t="s">
        <v>832</v>
      </c>
      <c r="CW1691" s="30">
        <f t="shared" si="264"/>
        <v>1</v>
      </c>
      <c r="CX1691" s="30">
        <f t="shared" si="265"/>
        <v>0</v>
      </c>
      <c r="CZ1691" s="30">
        <f t="shared" si="258"/>
        <v>1</v>
      </c>
      <c r="DA1691" s="52">
        <f t="shared" si="266"/>
        <v>0</v>
      </c>
      <c r="DB1691" s="2">
        <f t="shared" si="260"/>
        <v>0</v>
      </c>
      <c r="DS1691" s="130">
        <f>SI!BY1691</f>
        <v>189</v>
      </c>
      <c r="DZ1691" s="131">
        <f>SI!BZ1691</f>
        <v>0</v>
      </c>
    </row>
    <row r="1692" spans="1:130" hidden="1" x14ac:dyDescent="0.25">
      <c r="A1692" s="141"/>
      <c r="CA1692" s="270"/>
      <c r="CB1692" s="3" t="str">
        <f t="shared" si="263"/>
        <v>Riadok bude skrytý.</v>
      </c>
      <c r="CC1692" s="271" t="s">
        <v>832</v>
      </c>
      <c r="CW1692" s="30">
        <f t="shared" si="264"/>
        <v>1</v>
      </c>
      <c r="CZ1692" s="30">
        <f t="shared" si="258"/>
        <v>1</v>
      </c>
      <c r="DA1692" s="30">
        <f t="shared" ref="DA1692:DA1740" si="267">+IF(CW1692+CX1692+CY1692=0,0,IF(CZ1692=0,0,1))</f>
        <v>1</v>
      </c>
      <c r="DB1692" s="2">
        <f t="shared" si="260"/>
        <v>0</v>
      </c>
      <c r="DS1692" s="130">
        <f>SI!BY1692</f>
        <v>197</v>
      </c>
      <c r="DZ1692" s="131">
        <f>SI!BZ1692</f>
        <v>0</v>
      </c>
    </row>
    <row r="1693" spans="1:130" hidden="1" x14ac:dyDescent="0.25">
      <c r="A1693" s="141"/>
      <c r="B1693" s="137" t="str">
        <f>+IF($I$52&lt;&gt;"",IF((ROUNDDOWN(CODE(MID($I$52,1,1))*3,0)+DAY(36167))*0+(2*LEN(SI!J3))=DS1693,"Prehľad jednotlivých položiek finančných účtov:","NEPOVOLENÉ POUŽITIE!"),"NEPOVOLENÉ POUŽITIE!")</f>
        <v>Prehľad jednotlivých položiek finančných účtov:</v>
      </c>
      <c r="CA1693" s="270"/>
      <c r="CB1693" s="3" t="str">
        <f t="shared" si="263"/>
        <v>Riadok bude skrytý.</v>
      </c>
      <c r="CC1693" s="271" t="s">
        <v>832</v>
      </c>
      <c r="CW1693" s="30">
        <f t="shared" si="264"/>
        <v>1</v>
      </c>
      <c r="CZ1693" s="30">
        <f t="shared" si="258"/>
        <v>1</v>
      </c>
      <c r="DA1693" s="30">
        <f t="shared" si="267"/>
        <v>1</v>
      </c>
      <c r="DB1693" s="2">
        <f t="shared" si="260"/>
        <v>0</v>
      </c>
      <c r="DS1693" s="130">
        <f>SI!BY1693</f>
        <v>10</v>
      </c>
      <c r="DZ1693" s="131">
        <f>SI!BZ1693</f>
        <v>0</v>
      </c>
    </row>
    <row r="1694" spans="1:130" hidden="1" x14ac:dyDescent="0.25">
      <c r="A1694" s="141"/>
      <c r="CA1694" s="142"/>
      <c r="CB1694" s="3" t="str">
        <f t="shared" si="263"/>
        <v>Riadok bude skrytý.</v>
      </c>
      <c r="CC1694" s="271" t="s">
        <v>832</v>
      </c>
      <c r="CW1694" s="30">
        <f t="shared" si="264"/>
        <v>1</v>
      </c>
      <c r="CZ1694" s="30">
        <f t="shared" ref="CZ1694:CZ1757" si="268">IF(CC1694="",1,IF(CC1694="Chcem skryť riadok.",0,1))</f>
        <v>1</v>
      </c>
      <c r="DA1694" s="30">
        <f t="shared" si="267"/>
        <v>1</v>
      </c>
      <c r="DB1694" s="2">
        <f t="shared" si="260"/>
        <v>0</v>
      </c>
      <c r="DS1694" s="130">
        <f>SI!BY1694</f>
        <v>180</v>
      </c>
      <c r="DZ1694" s="131">
        <f>SI!BZ1694</f>
        <v>0</v>
      </c>
    </row>
    <row r="1695" spans="1:130" ht="14.95" hidden="1" customHeight="1" x14ac:dyDescent="0.25">
      <c r="A1695" s="141"/>
      <c r="B1695" s="439" t="s">
        <v>171</v>
      </c>
      <c r="C1695" s="440"/>
      <c r="D1695" s="440"/>
      <c r="E1695" s="440"/>
      <c r="F1695" s="440"/>
      <c r="G1695" s="440"/>
      <c r="H1695" s="440"/>
      <c r="I1695" s="440"/>
      <c r="J1695" s="440"/>
      <c r="K1695" s="440"/>
      <c r="L1695" s="440"/>
      <c r="M1695" s="440"/>
      <c r="N1695" s="440"/>
      <c r="O1695" s="440"/>
      <c r="P1695" s="440"/>
      <c r="Q1695" s="440"/>
      <c r="R1695" s="440"/>
      <c r="S1695" s="440"/>
      <c r="T1695" s="440"/>
      <c r="U1695" s="440"/>
      <c r="V1695" s="440"/>
      <c r="W1695" s="440"/>
      <c r="X1695" s="441"/>
      <c r="Y1695" s="636" t="s">
        <v>948</v>
      </c>
      <c r="Z1695" s="637"/>
      <c r="AA1695" s="637"/>
      <c r="AB1695" s="637"/>
      <c r="AC1695" s="637"/>
      <c r="AD1695" s="637"/>
      <c r="AE1695" s="637"/>
      <c r="AF1695" s="637"/>
      <c r="AG1695" s="637"/>
      <c r="AH1695" s="637"/>
      <c r="AI1695" s="637"/>
      <c r="AJ1695" s="637"/>
      <c r="AK1695" s="637"/>
      <c r="AL1695" s="637"/>
      <c r="AM1695" s="637"/>
      <c r="AN1695" s="637"/>
      <c r="AO1695" s="637"/>
      <c r="AP1695" s="637"/>
      <c r="AQ1695" s="637"/>
      <c r="AR1695" s="637"/>
      <c r="AS1695" s="637"/>
      <c r="AT1695" s="637"/>
      <c r="AU1695" s="637"/>
      <c r="AV1695" s="637"/>
      <c r="AW1695" s="637"/>
      <c r="AX1695" s="637"/>
      <c r="AY1695" s="638"/>
      <c r="AZ1695" s="636" t="s">
        <v>949</v>
      </c>
      <c r="BA1695" s="637"/>
      <c r="BB1695" s="637"/>
      <c r="BC1695" s="637"/>
      <c r="BD1695" s="637"/>
      <c r="BE1695" s="637"/>
      <c r="BF1695" s="637"/>
      <c r="BG1695" s="637"/>
      <c r="BH1695" s="637"/>
      <c r="BI1695" s="637"/>
      <c r="BJ1695" s="637"/>
      <c r="BK1695" s="637"/>
      <c r="BL1695" s="637"/>
      <c r="BM1695" s="637"/>
      <c r="BN1695" s="637"/>
      <c r="BO1695" s="637"/>
      <c r="BP1695" s="637"/>
      <c r="BQ1695" s="637"/>
      <c r="BR1695" s="637"/>
      <c r="BS1695" s="637"/>
      <c r="BT1695" s="637"/>
      <c r="BU1695" s="637"/>
      <c r="BV1695" s="637"/>
      <c r="BW1695" s="637"/>
      <c r="BX1695" s="637"/>
      <c r="BY1695" s="637"/>
      <c r="BZ1695" s="638"/>
      <c r="CA1695" s="265" t="s">
        <v>773</v>
      </c>
      <c r="CB1695" s="3" t="str">
        <f t="shared" si="263"/>
        <v>Riadok bude skrytý.</v>
      </c>
      <c r="CC1695" s="271" t="s">
        <v>832</v>
      </c>
      <c r="CD1695" s="4" t="s">
        <v>1000</v>
      </c>
      <c r="CW1695" s="30">
        <f t="shared" si="264"/>
        <v>1</v>
      </c>
      <c r="CZ1695" s="30">
        <f t="shared" si="268"/>
        <v>1</v>
      </c>
      <c r="DA1695" s="30">
        <f t="shared" si="267"/>
        <v>1</v>
      </c>
      <c r="DB1695" s="2">
        <f t="shared" si="260"/>
        <v>0</v>
      </c>
      <c r="DS1695" s="130">
        <f>SI!BY1695</f>
        <v>160</v>
      </c>
      <c r="DZ1695" s="131">
        <f>SI!BZ1695</f>
        <v>0</v>
      </c>
    </row>
    <row r="1696" spans="1:130" hidden="1" x14ac:dyDescent="0.25">
      <c r="A1696" s="141"/>
      <c r="B1696" s="442"/>
      <c r="C1696" s="443"/>
      <c r="D1696" s="443"/>
      <c r="E1696" s="443"/>
      <c r="F1696" s="443"/>
      <c r="G1696" s="443"/>
      <c r="H1696" s="443"/>
      <c r="I1696" s="443"/>
      <c r="J1696" s="443"/>
      <c r="K1696" s="443"/>
      <c r="L1696" s="443"/>
      <c r="M1696" s="443"/>
      <c r="N1696" s="443"/>
      <c r="O1696" s="443"/>
      <c r="P1696" s="443"/>
      <c r="Q1696" s="443"/>
      <c r="R1696" s="443"/>
      <c r="S1696" s="443"/>
      <c r="T1696" s="443"/>
      <c r="U1696" s="443"/>
      <c r="V1696" s="443"/>
      <c r="W1696" s="443"/>
      <c r="X1696" s="444"/>
      <c r="Y1696" s="639">
        <f>+AJ141</f>
        <v>2021</v>
      </c>
      <c r="Z1696" s="640"/>
      <c r="AA1696" s="640"/>
      <c r="AB1696" s="640"/>
      <c r="AC1696" s="640"/>
      <c r="AD1696" s="640"/>
      <c r="AE1696" s="640"/>
      <c r="AF1696" s="640"/>
      <c r="AG1696" s="640"/>
      <c r="AH1696" s="640"/>
      <c r="AI1696" s="640"/>
      <c r="AJ1696" s="640"/>
      <c r="AK1696" s="640"/>
      <c r="AL1696" s="640"/>
      <c r="AM1696" s="640"/>
      <c r="AN1696" s="640"/>
      <c r="AO1696" s="640"/>
      <c r="AP1696" s="640"/>
      <c r="AQ1696" s="640"/>
      <c r="AR1696" s="640"/>
      <c r="AS1696" s="640"/>
      <c r="AT1696" s="640"/>
      <c r="AU1696" s="640"/>
      <c r="AV1696" s="640"/>
      <c r="AW1696" s="640"/>
      <c r="AX1696" s="640"/>
      <c r="AY1696" s="641"/>
      <c r="AZ1696" s="495">
        <f>+BE141</f>
        <v>2020</v>
      </c>
      <c r="BA1696" s="496"/>
      <c r="BB1696" s="496"/>
      <c r="BC1696" s="496"/>
      <c r="BD1696" s="496"/>
      <c r="BE1696" s="496"/>
      <c r="BF1696" s="496"/>
      <c r="BG1696" s="496"/>
      <c r="BH1696" s="496"/>
      <c r="BI1696" s="496"/>
      <c r="BJ1696" s="496"/>
      <c r="BK1696" s="496"/>
      <c r="BL1696" s="496"/>
      <c r="BM1696" s="496"/>
      <c r="BN1696" s="496"/>
      <c r="BO1696" s="496"/>
      <c r="BP1696" s="496"/>
      <c r="BQ1696" s="496"/>
      <c r="BR1696" s="496"/>
      <c r="BS1696" s="496"/>
      <c r="BT1696" s="496"/>
      <c r="BU1696" s="496"/>
      <c r="BV1696" s="496"/>
      <c r="BW1696" s="496"/>
      <c r="BX1696" s="496"/>
      <c r="BY1696" s="496"/>
      <c r="BZ1696" s="497"/>
      <c r="CA1696" s="142"/>
      <c r="CB1696" s="3" t="str">
        <f t="shared" si="263"/>
        <v>Riadok bude skrytý.</v>
      </c>
      <c r="CC1696" s="271" t="s">
        <v>832</v>
      </c>
      <c r="CD1696" s="4"/>
      <c r="CE1696" s="4"/>
      <c r="CF1696" s="4"/>
      <c r="CW1696" s="30">
        <f t="shared" si="264"/>
        <v>1</v>
      </c>
      <c r="CZ1696" s="30">
        <f t="shared" si="268"/>
        <v>1</v>
      </c>
      <c r="DA1696" s="30">
        <f t="shared" si="267"/>
        <v>1</v>
      </c>
      <c r="DB1696" s="2">
        <f t="shared" si="260"/>
        <v>0</v>
      </c>
      <c r="DS1696" s="130">
        <f>SI!BY1696</f>
        <v>163</v>
      </c>
      <c r="DZ1696" s="131">
        <f>SI!BZ1696</f>
        <v>0</v>
      </c>
    </row>
    <row r="1697" spans="1:130" hidden="1" x14ac:dyDescent="0.25">
      <c r="A1697" s="141"/>
      <c r="B1697" s="524" t="s">
        <v>0</v>
      </c>
      <c r="C1697" s="525"/>
      <c r="D1697" s="525"/>
      <c r="E1697" s="525"/>
      <c r="F1697" s="525"/>
      <c r="G1697" s="525"/>
      <c r="H1697" s="525"/>
      <c r="I1697" s="525"/>
      <c r="J1697" s="525"/>
      <c r="K1697" s="525"/>
      <c r="L1697" s="525"/>
      <c r="M1697" s="525"/>
      <c r="N1697" s="525"/>
      <c r="O1697" s="525"/>
      <c r="P1697" s="525"/>
      <c r="Q1697" s="525"/>
      <c r="R1697" s="525"/>
      <c r="S1697" s="525"/>
      <c r="T1697" s="525"/>
      <c r="U1697" s="525"/>
      <c r="V1697" s="525"/>
      <c r="W1697" s="525"/>
      <c r="X1697" s="525"/>
      <c r="Y1697" s="1636" t="s">
        <v>1</v>
      </c>
      <c r="Z1697" s="1637"/>
      <c r="AA1697" s="1637"/>
      <c r="AB1697" s="1637"/>
      <c r="AC1697" s="1637"/>
      <c r="AD1697" s="1637"/>
      <c r="AE1697" s="1637"/>
      <c r="AF1697" s="1637"/>
      <c r="AG1697" s="1637"/>
      <c r="AH1697" s="1637"/>
      <c r="AI1697" s="1637"/>
      <c r="AJ1697" s="1637"/>
      <c r="AK1697" s="1637"/>
      <c r="AL1697" s="1637"/>
      <c r="AM1697" s="1637"/>
      <c r="AN1697" s="1637"/>
      <c r="AO1697" s="1637"/>
      <c r="AP1697" s="1637"/>
      <c r="AQ1697" s="1637"/>
      <c r="AR1697" s="1637"/>
      <c r="AS1697" s="1637"/>
      <c r="AT1697" s="1637"/>
      <c r="AU1697" s="1637"/>
      <c r="AV1697" s="1637"/>
      <c r="AW1697" s="1637"/>
      <c r="AX1697" s="1637"/>
      <c r="AY1697" s="1638"/>
      <c r="AZ1697" s="524" t="s">
        <v>2</v>
      </c>
      <c r="BA1697" s="525"/>
      <c r="BB1697" s="525"/>
      <c r="BC1697" s="525"/>
      <c r="BD1697" s="525"/>
      <c r="BE1697" s="525"/>
      <c r="BF1697" s="525"/>
      <c r="BG1697" s="525"/>
      <c r="BH1697" s="525"/>
      <c r="BI1697" s="525"/>
      <c r="BJ1697" s="525"/>
      <c r="BK1697" s="525"/>
      <c r="BL1697" s="525"/>
      <c r="BM1697" s="525"/>
      <c r="BN1697" s="525"/>
      <c r="BO1697" s="525"/>
      <c r="BP1697" s="525"/>
      <c r="BQ1697" s="525"/>
      <c r="BR1697" s="525"/>
      <c r="BS1697" s="525"/>
      <c r="BT1697" s="525"/>
      <c r="BU1697" s="525"/>
      <c r="BV1697" s="525"/>
      <c r="BW1697" s="525"/>
      <c r="BX1697" s="525"/>
      <c r="BY1697" s="525"/>
      <c r="BZ1697" s="723"/>
      <c r="CA1697" s="142"/>
      <c r="CB1697" s="3" t="str">
        <f t="shared" si="263"/>
        <v>Riadok bude skrytý.</v>
      </c>
      <c r="CC1697" s="271" t="s">
        <v>832</v>
      </c>
      <c r="CW1697" s="30">
        <f t="shared" si="264"/>
        <v>1</v>
      </c>
      <c r="CZ1697" s="30">
        <f t="shared" si="268"/>
        <v>1</v>
      </c>
      <c r="DA1697" s="30">
        <f t="shared" si="267"/>
        <v>1</v>
      </c>
      <c r="DB1697" s="2">
        <f t="shared" si="260"/>
        <v>0</v>
      </c>
      <c r="DS1697" s="130">
        <f>SI!BY1697</f>
        <v>171</v>
      </c>
      <c r="DZ1697" s="131">
        <f>SI!BZ1697</f>
        <v>0</v>
      </c>
    </row>
    <row r="1698" spans="1:130" hidden="1" x14ac:dyDescent="0.25">
      <c r="A1698" s="141"/>
      <c r="B1698" s="672" t="s">
        <v>215</v>
      </c>
      <c r="C1698" s="673"/>
      <c r="D1698" s="673"/>
      <c r="E1698" s="673"/>
      <c r="F1698" s="673"/>
      <c r="G1698" s="673"/>
      <c r="H1698" s="673"/>
      <c r="I1698" s="673"/>
      <c r="J1698" s="673"/>
      <c r="K1698" s="673"/>
      <c r="L1698" s="673"/>
      <c r="M1698" s="673"/>
      <c r="N1698" s="673"/>
      <c r="O1698" s="673"/>
      <c r="P1698" s="673"/>
      <c r="Q1698" s="673"/>
      <c r="R1698" s="673"/>
      <c r="S1698" s="673"/>
      <c r="T1698" s="673"/>
      <c r="U1698" s="673"/>
      <c r="V1698" s="673"/>
      <c r="W1698" s="673"/>
      <c r="X1698" s="1580"/>
      <c r="Y1698" s="417"/>
      <c r="Z1698" s="418"/>
      <c r="AA1698" s="418"/>
      <c r="AB1698" s="418"/>
      <c r="AC1698" s="418"/>
      <c r="AD1698" s="418"/>
      <c r="AE1698" s="418"/>
      <c r="AF1698" s="418"/>
      <c r="AG1698" s="418"/>
      <c r="AH1698" s="418"/>
      <c r="AI1698" s="418"/>
      <c r="AJ1698" s="418"/>
      <c r="AK1698" s="418"/>
      <c r="AL1698" s="418"/>
      <c r="AM1698" s="418"/>
      <c r="AN1698" s="418"/>
      <c r="AO1698" s="418"/>
      <c r="AP1698" s="418"/>
      <c r="AQ1698" s="418"/>
      <c r="AR1698" s="418"/>
      <c r="AS1698" s="418"/>
      <c r="AT1698" s="418"/>
      <c r="AU1698" s="418"/>
      <c r="AV1698" s="418"/>
      <c r="AW1698" s="418"/>
      <c r="AX1698" s="418"/>
      <c r="AY1698" s="419"/>
      <c r="AZ1698" s="417"/>
      <c r="BA1698" s="418"/>
      <c r="BB1698" s="418"/>
      <c r="BC1698" s="418"/>
      <c r="BD1698" s="418"/>
      <c r="BE1698" s="418"/>
      <c r="BF1698" s="418"/>
      <c r="BG1698" s="418"/>
      <c r="BH1698" s="418"/>
      <c r="BI1698" s="418"/>
      <c r="BJ1698" s="418"/>
      <c r="BK1698" s="418"/>
      <c r="BL1698" s="418"/>
      <c r="BM1698" s="418"/>
      <c r="BN1698" s="418"/>
      <c r="BO1698" s="418"/>
      <c r="BP1698" s="418"/>
      <c r="BQ1698" s="418"/>
      <c r="BR1698" s="418"/>
      <c r="BS1698" s="418"/>
      <c r="BT1698" s="418"/>
      <c r="BU1698" s="418"/>
      <c r="BV1698" s="418"/>
      <c r="BW1698" s="418"/>
      <c r="BX1698" s="418"/>
      <c r="BY1698" s="418"/>
      <c r="BZ1698" s="419"/>
      <c r="CA1698" s="142"/>
      <c r="CB1698" s="3" t="str">
        <f t="shared" si="263"/>
        <v>Riadok bude skrytý.</v>
      </c>
      <c r="CC1698" s="271" t="s">
        <v>832</v>
      </c>
      <c r="CW1698" s="30">
        <f t="shared" si="264"/>
        <v>1</v>
      </c>
      <c r="CZ1698" s="30">
        <f t="shared" si="268"/>
        <v>1</v>
      </c>
      <c r="DA1698" s="30">
        <f t="shared" si="267"/>
        <v>1</v>
      </c>
      <c r="DB1698" s="2">
        <f t="shared" si="260"/>
        <v>0</v>
      </c>
      <c r="DS1698" s="130">
        <f>SI!BY1698</f>
        <v>139</v>
      </c>
      <c r="DZ1698" s="131">
        <f>SI!BZ1698</f>
        <v>0</v>
      </c>
    </row>
    <row r="1699" spans="1:130" ht="23.95" hidden="1" customHeight="1" x14ac:dyDescent="0.25">
      <c r="A1699" s="141"/>
      <c r="B1699" s="1624" t="s">
        <v>950</v>
      </c>
      <c r="C1699" s="1625"/>
      <c r="D1699" s="1625"/>
      <c r="E1699" s="1625"/>
      <c r="F1699" s="1625"/>
      <c r="G1699" s="1625"/>
      <c r="H1699" s="1625"/>
      <c r="I1699" s="1625"/>
      <c r="J1699" s="1625"/>
      <c r="K1699" s="1625"/>
      <c r="L1699" s="1625"/>
      <c r="M1699" s="1625"/>
      <c r="N1699" s="1625"/>
      <c r="O1699" s="1625"/>
      <c r="P1699" s="1625"/>
      <c r="Q1699" s="1625"/>
      <c r="R1699" s="1625"/>
      <c r="S1699" s="1625"/>
      <c r="T1699" s="1625"/>
      <c r="U1699" s="1625"/>
      <c r="V1699" s="1625"/>
      <c r="W1699" s="1625"/>
      <c r="X1699" s="1626"/>
      <c r="Y1699" s="511"/>
      <c r="Z1699" s="482"/>
      <c r="AA1699" s="482"/>
      <c r="AB1699" s="482"/>
      <c r="AC1699" s="482"/>
      <c r="AD1699" s="482"/>
      <c r="AE1699" s="482"/>
      <c r="AF1699" s="482"/>
      <c r="AG1699" s="482"/>
      <c r="AH1699" s="482"/>
      <c r="AI1699" s="482"/>
      <c r="AJ1699" s="482"/>
      <c r="AK1699" s="482"/>
      <c r="AL1699" s="482"/>
      <c r="AM1699" s="482"/>
      <c r="AN1699" s="482"/>
      <c r="AO1699" s="482"/>
      <c r="AP1699" s="482"/>
      <c r="AQ1699" s="482"/>
      <c r="AR1699" s="482"/>
      <c r="AS1699" s="482"/>
      <c r="AT1699" s="482"/>
      <c r="AU1699" s="482"/>
      <c r="AV1699" s="482"/>
      <c r="AW1699" s="482"/>
      <c r="AX1699" s="482"/>
      <c r="AY1699" s="483"/>
      <c r="AZ1699" s="511"/>
      <c r="BA1699" s="482"/>
      <c r="BB1699" s="482"/>
      <c r="BC1699" s="482"/>
      <c r="BD1699" s="482"/>
      <c r="BE1699" s="482"/>
      <c r="BF1699" s="482"/>
      <c r="BG1699" s="482"/>
      <c r="BH1699" s="482"/>
      <c r="BI1699" s="482"/>
      <c r="BJ1699" s="482"/>
      <c r="BK1699" s="482"/>
      <c r="BL1699" s="482"/>
      <c r="BM1699" s="482"/>
      <c r="BN1699" s="482"/>
      <c r="BO1699" s="482"/>
      <c r="BP1699" s="482"/>
      <c r="BQ1699" s="482"/>
      <c r="BR1699" s="482"/>
      <c r="BS1699" s="482"/>
      <c r="BT1699" s="482"/>
      <c r="BU1699" s="482"/>
      <c r="BV1699" s="482"/>
      <c r="BW1699" s="482"/>
      <c r="BX1699" s="482"/>
      <c r="BY1699" s="482"/>
      <c r="BZ1699" s="483"/>
      <c r="CA1699" s="142"/>
      <c r="CB1699" s="3" t="str">
        <f t="shared" si="263"/>
        <v>Riadok bude skrytý.</v>
      </c>
      <c r="CC1699" s="271" t="s">
        <v>832</v>
      </c>
      <c r="CW1699" s="30">
        <f t="shared" si="264"/>
        <v>1</v>
      </c>
      <c r="CZ1699" s="30">
        <f t="shared" si="268"/>
        <v>1</v>
      </c>
      <c r="DA1699" s="30">
        <f t="shared" si="267"/>
        <v>1</v>
      </c>
      <c r="DB1699" s="2">
        <f t="shared" si="260"/>
        <v>0</v>
      </c>
      <c r="DS1699" s="130">
        <f>SI!BY1699</f>
        <v>151</v>
      </c>
      <c r="DZ1699" s="131">
        <f>SI!BZ1699</f>
        <v>0</v>
      </c>
    </row>
    <row r="1700" spans="1:130" ht="23.95" hidden="1" customHeight="1" x14ac:dyDescent="0.25">
      <c r="A1700" s="141"/>
      <c r="B1700" s="1624" t="s">
        <v>951</v>
      </c>
      <c r="C1700" s="1625"/>
      <c r="D1700" s="1625"/>
      <c r="E1700" s="1625"/>
      <c r="F1700" s="1625"/>
      <c r="G1700" s="1625"/>
      <c r="H1700" s="1625"/>
      <c r="I1700" s="1625"/>
      <c r="J1700" s="1625"/>
      <c r="K1700" s="1625"/>
      <c r="L1700" s="1625"/>
      <c r="M1700" s="1625"/>
      <c r="N1700" s="1625"/>
      <c r="O1700" s="1625"/>
      <c r="P1700" s="1625"/>
      <c r="Q1700" s="1625"/>
      <c r="R1700" s="1625"/>
      <c r="S1700" s="1625"/>
      <c r="T1700" s="1625"/>
      <c r="U1700" s="1625"/>
      <c r="V1700" s="1625"/>
      <c r="W1700" s="1625"/>
      <c r="X1700" s="1626"/>
      <c r="Y1700" s="511"/>
      <c r="Z1700" s="482"/>
      <c r="AA1700" s="482"/>
      <c r="AB1700" s="482"/>
      <c r="AC1700" s="482"/>
      <c r="AD1700" s="482"/>
      <c r="AE1700" s="482"/>
      <c r="AF1700" s="482"/>
      <c r="AG1700" s="482"/>
      <c r="AH1700" s="482"/>
      <c r="AI1700" s="482"/>
      <c r="AJ1700" s="482"/>
      <c r="AK1700" s="482"/>
      <c r="AL1700" s="482"/>
      <c r="AM1700" s="482"/>
      <c r="AN1700" s="482"/>
      <c r="AO1700" s="482"/>
      <c r="AP1700" s="482"/>
      <c r="AQ1700" s="482"/>
      <c r="AR1700" s="482"/>
      <c r="AS1700" s="482"/>
      <c r="AT1700" s="482"/>
      <c r="AU1700" s="482"/>
      <c r="AV1700" s="482"/>
      <c r="AW1700" s="482"/>
      <c r="AX1700" s="482"/>
      <c r="AY1700" s="483"/>
      <c r="AZ1700" s="511"/>
      <c r="BA1700" s="482"/>
      <c r="BB1700" s="482"/>
      <c r="BC1700" s="482"/>
      <c r="BD1700" s="482"/>
      <c r="BE1700" s="482"/>
      <c r="BF1700" s="482"/>
      <c r="BG1700" s="482"/>
      <c r="BH1700" s="482"/>
      <c r="BI1700" s="482"/>
      <c r="BJ1700" s="482"/>
      <c r="BK1700" s="482"/>
      <c r="BL1700" s="482"/>
      <c r="BM1700" s="482"/>
      <c r="BN1700" s="482"/>
      <c r="BO1700" s="482"/>
      <c r="BP1700" s="482"/>
      <c r="BQ1700" s="482"/>
      <c r="BR1700" s="482"/>
      <c r="BS1700" s="482"/>
      <c r="BT1700" s="482"/>
      <c r="BU1700" s="482"/>
      <c r="BV1700" s="482"/>
      <c r="BW1700" s="482"/>
      <c r="BX1700" s="482"/>
      <c r="BY1700" s="482"/>
      <c r="BZ1700" s="483"/>
      <c r="CA1700" s="142"/>
      <c r="CB1700" s="3" t="str">
        <f t="shared" si="263"/>
        <v>Riadok bude skrytý.</v>
      </c>
      <c r="CC1700" s="271" t="s">
        <v>832</v>
      </c>
      <c r="CW1700" s="30">
        <f t="shared" si="264"/>
        <v>1</v>
      </c>
      <c r="CZ1700" s="30">
        <f t="shared" si="268"/>
        <v>1</v>
      </c>
      <c r="DA1700" s="30">
        <f t="shared" si="267"/>
        <v>1</v>
      </c>
      <c r="DB1700" s="2">
        <f t="shared" si="260"/>
        <v>0</v>
      </c>
      <c r="DS1700" s="130">
        <f>SI!BY1700</f>
        <v>204</v>
      </c>
      <c r="DZ1700" s="131">
        <f>SI!BZ1700</f>
        <v>0</v>
      </c>
    </row>
    <row r="1701" spans="1:130" ht="14.95" hidden="1" customHeight="1" x14ac:dyDescent="0.25">
      <c r="A1701" s="141"/>
      <c r="B1701" s="1214" t="s">
        <v>216</v>
      </c>
      <c r="C1701" s="1215"/>
      <c r="D1701" s="1215"/>
      <c r="E1701" s="1215"/>
      <c r="F1701" s="1215"/>
      <c r="G1701" s="1215"/>
      <c r="H1701" s="1215"/>
      <c r="I1701" s="1215"/>
      <c r="J1701" s="1215"/>
      <c r="K1701" s="1215"/>
      <c r="L1701" s="1215"/>
      <c r="M1701" s="1215"/>
      <c r="N1701" s="1215"/>
      <c r="O1701" s="1215"/>
      <c r="P1701" s="1215"/>
      <c r="Q1701" s="1215"/>
      <c r="R1701" s="1215"/>
      <c r="S1701" s="1215"/>
      <c r="T1701" s="1215"/>
      <c r="U1701" s="1215"/>
      <c r="V1701" s="1215"/>
      <c r="W1701" s="1215"/>
      <c r="X1701" s="1591"/>
      <c r="Y1701" s="511"/>
      <c r="Z1701" s="482"/>
      <c r="AA1701" s="482"/>
      <c r="AB1701" s="482"/>
      <c r="AC1701" s="482"/>
      <c r="AD1701" s="482"/>
      <c r="AE1701" s="482"/>
      <c r="AF1701" s="482"/>
      <c r="AG1701" s="482"/>
      <c r="AH1701" s="482"/>
      <c r="AI1701" s="482"/>
      <c r="AJ1701" s="482"/>
      <c r="AK1701" s="482"/>
      <c r="AL1701" s="482"/>
      <c r="AM1701" s="482"/>
      <c r="AN1701" s="482"/>
      <c r="AO1701" s="482"/>
      <c r="AP1701" s="482"/>
      <c r="AQ1701" s="482"/>
      <c r="AR1701" s="482"/>
      <c r="AS1701" s="482"/>
      <c r="AT1701" s="482"/>
      <c r="AU1701" s="482"/>
      <c r="AV1701" s="482"/>
      <c r="AW1701" s="482"/>
      <c r="AX1701" s="482"/>
      <c r="AY1701" s="483"/>
      <c r="AZ1701" s="454"/>
      <c r="BA1701" s="455"/>
      <c r="BB1701" s="455"/>
      <c r="BC1701" s="455"/>
      <c r="BD1701" s="455"/>
      <c r="BE1701" s="455"/>
      <c r="BF1701" s="455"/>
      <c r="BG1701" s="455"/>
      <c r="BH1701" s="455"/>
      <c r="BI1701" s="455"/>
      <c r="BJ1701" s="455"/>
      <c r="BK1701" s="455"/>
      <c r="BL1701" s="455"/>
      <c r="BM1701" s="455"/>
      <c r="BN1701" s="455"/>
      <c r="BO1701" s="455"/>
      <c r="BP1701" s="455"/>
      <c r="BQ1701" s="455"/>
      <c r="BR1701" s="455"/>
      <c r="BS1701" s="455"/>
      <c r="BT1701" s="455"/>
      <c r="BU1701" s="455"/>
      <c r="BV1701" s="455"/>
      <c r="BW1701" s="455"/>
      <c r="BX1701" s="455"/>
      <c r="BY1701" s="455"/>
      <c r="BZ1701" s="456"/>
      <c r="CA1701" s="142"/>
      <c r="CB1701" s="3" t="str">
        <f t="shared" si="263"/>
        <v>Riadok bude skrytý.</v>
      </c>
      <c r="CC1701" s="271" t="s">
        <v>832</v>
      </c>
      <c r="CW1701" s="30">
        <f t="shared" si="264"/>
        <v>1</v>
      </c>
      <c r="CZ1701" s="30">
        <f t="shared" si="268"/>
        <v>1</v>
      </c>
      <c r="DA1701" s="30">
        <f t="shared" si="267"/>
        <v>1</v>
      </c>
      <c r="DB1701" s="2">
        <f t="shared" si="260"/>
        <v>0</v>
      </c>
      <c r="DS1701" s="130">
        <f>SI!BY1701</f>
        <v>166</v>
      </c>
      <c r="DZ1701" s="131">
        <f>SI!BZ1701</f>
        <v>0</v>
      </c>
    </row>
    <row r="1702" spans="1:130" hidden="1" x14ac:dyDescent="0.25">
      <c r="A1702" s="141"/>
      <c r="B1702" s="1639" t="s">
        <v>45</v>
      </c>
      <c r="C1702" s="1640"/>
      <c r="D1702" s="1640"/>
      <c r="E1702" s="1640"/>
      <c r="F1702" s="1640"/>
      <c r="G1702" s="1640"/>
      <c r="H1702" s="1640"/>
      <c r="I1702" s="1640"/>
      <c r="J1702" s="1640"/>
      <c r="K1702" s="1640"/>
      <c r="L1702" s="1640"/>
      <c r="M1702" s="1640"/>
      <c r="N1702" s="1640"/>
      <c r="O1702" s="1640"/>
      <c r="P1702" s="1640"/>
      <c r="Q1702" s="1640"/>
      <c r="R1702" s="1640"/>
      <c r="S1702" s="1640"/>
      <c r="T1702" s="1640"/>
      <c r="U1702" s="1640"/>
      <c r="V1702" s="1640"/>
      <c r="W1702" s="1640"/>
      <c r="X1702" s="1640"/>
      <c r="Y1702" s="1152">
        <f>+SUM(Y1698:AY1701)</f>
        <v>0</v>
      </c>
      <c r="Z1702" s="1153"/>
      <c r="AA1702" s="1153"/>
      <c r="AB1702" s="1153"/>
      <c r="AC1702" s="1153"/>
      <c r="AD1702" s="1153"/>
      <c r="AE1702" s="1153"/>
      <c r="AF1702" s="1153"/>
      <c r="AG1702" s="1153"/>
      <c r="AH1702" s="1153"/>
      <c r="AI1702" s="1153"/>
      <c r="AJ1702" s="1153"/>
      <c r="AK1702" s="1153"/>
      <c r="AL1702" s="1153"/>
      <c r="AM1702" s="1153"/>
      <c r="AN1702" s="1153"/>
      <c r="AO1702" s="1153"/>
      <c r="AP1702" s="1153"/>
      <c r="AQ1702" s="1153"/>
      <c r="AR1702" s="1153"/>
      <c r="AS1702" s="1153"/>
      <c r="AT1702" s="1153"/>
      <c r="AU1702" s="1153"/>
      <c r="AV1702" s="1153"/>
      <c r="AW1702" s="1153"/>
      <c r="AX1702" s="1153"/>
      <c r="AY1702" s="1154"/>
      <c r="AZ1702" s="1152">
        <f>+SUM(AZ1698:BZ1701)</f>
        <v>0</v>
      </c>
      <c r="BA1702" s="1153"/>
      <c r="BB1702" s="1153"/>
      <c r="BC1702" s="1153"/>
      <c r="BD1702" s="1153"/>
      <c r="BE1702" s="1153"/>
      <c r="BF1702" s="1153"/>
      <c r="BG1702" s="1153"/>
      <c r="BH1702" s="1153"/>
      <c r="BI1702" s="1153"/>
      <c r="BJ1702" s="1153"/>
      <c r="BK1702" s="1153"/>
      <c r="BL1702" s="1153"/>
      <c r="BM1702" s="1153"/>
      <c r="BN1702" s="1153"/>
      <c r="BO1702" s="1153"/>
      <c r="BP1702" s="1153"/>
      <c r="BQ1702" s="1153"/>
      <c r="BR1702" s="1153"/>
      <c r="BS1702" s="1153"/>
      <c r="BT1702" s="1153"/>
      <c r="BU1702" s="1153"/>
      <c r="BV1702" s="1153"/>
      <c r="BW1702" s="1153"/>
      <c r="BX1702" s="1153"/>
      <c r="BY1702" s="1153"/>
      <c r="BZ1702" s="1154"/>
      <c r="CA1702" s="142"/>
      <c r="CB1702" s="3" t="str">
        <f t="shared" si="263"/>
        <v>Riadok bude skrytý.</v>
      </c>
      <c r="CC1702" s="271" t="s">
        <v>832</v>
      </c>
      <c r="CW1702" s="30">
        <f t="shared" si="264"/>
        <v>1</v>
      </c>
      <c r="CZ1702" s="30">
        <f t="shared" si="268"/>
        <v>1</v>
      </c>
      <c r="DA1702" s="30">
        <f t="shared" si="267"/>
        <v>1</v>
      </c>
      <c r="DB1702" s="2">
        <f t="shared" si="260"/>
        <v>0</v>
      </c>
      <c r="DS1702" s="130">
        <f>SI!BY1702</f>
        <v>113</v>
      </c>
      <c r="DZ1702" s="131">
        <f>SI!BZ1702</f>
        <v>0</v>
      </c>
    </row>
    <row r="1703" spans="1:130" hidden="1" x14ac:dyDescent="0.25">
      <c r="A1703" s="141"/>
      <c r="CA1703" s="270"/>
      <c r="CB1703" s="3" t="str">
        <f t="shared" si="263"/>
        <v>Riadok bude skrytý.</v>
      </c>
      <c r="CC1703" s="271" t="s">
        <v>832</v>
      </c>
      <c r="CW1703" s="49">
        <v>1</v>
      </c>
      <c r="CZ1703" s="30">
        <f t="shared" si="268"/>
        <v>1</v>
      </c>
      <c r="DA1703" s="30">
        <f t="shared" si="267"/>
        <v>1</v>
      </c>
      <c r="DB1703" s="2">
        <f t="shared" si="260"/>
        <v>0</v>
      </c>
      <c r="DS1703" s="130">
        <f>SI!BY1703</f>
        <v>123</v>
      </c>
      <c r="DZ1703" s="131">
        <f>SI!BZ1703</f>
        <v>0</v>
      </c>
    </row>
    <row r="1704" spans="1:130" hidden="1" x14ac:dyDescent="0.25">
      <c r="A1704" s="141"/>
      <c r="B1704" s="289" t="s">
        <v>244</v>
      </c>
      <c r="C1704" s="288"/>
      <c r="D1704" s="288"/>
      <c r="E1704" s="288"/>
      <c r="F1704" s="288"/>
      <c r="G1704" s="289" t="s">
        <v>218</v>
      </c>
      <c r="H1704" s="289"/>
      <c r="I1704" s="288"/>
      <c r="J1704" s="288"/>
      <c r="K1704" s="288"/>
      <c r="L1704" s="288"/>
      <c r="M1704" s="288"/>
      <c r="N1704" s="288"/>
      <c r="O1704" s="288"/>
      <c r="P1704" s="288"/>
      <c r="Q1704" s="288"/>
      <c r="R1704" s="288"/>
      <c r="S1704" s="288"/>
      <c r="T1704" s="288"/>
      <c r="U1704" s="288"/>
      <c r="V1704" s="288"/>
      <c r="W1704" s="288"/>
      <c r="X1704" s="288"/>
      <c r="Y1704" s="288"/>
      <c r="Z1704" s="288"/>
      <c r="AA1704" s="288"/>
      <c r="AB1704" s="288"/>
      <c r="AC1704" s="288"/>
      <c r="AD1704" s="288"/>
      <c r="AE1704" s="288"/>
      <c r="AF1704" s="288"/>
      <c r="AG1704" s="288"/>
      <c r="AH1704" s="288"/>
      <c r="AI1704" s="288"/>
      <c r="AJ1704" s="288"/>
      <c r="AK1704" s="288"/>
      <c r="AL1704" s="288"/>
      <c r="AM1704" s="288"/>
      <c r="AN1704" s="288"/>
      <c r="AO1704" s="288"/>
      <c r="AP1704" s="288"/>
      <c r="AQ1704" s="288"/>
      <c r="AR1704" s="288"/>
      <c r="AS1704" s="288"/>
      <c r="AT1704" s="288"/>
      <c r="AU1704" s="288"/>
      <c r="AV1704" s="288"/>
      <c r="AW1704" s="288"/>
      <c r="AX1704" s="288"/>
      <c r="AY1704" s="288"/>
      <c r="AZ1704" s="288"/>
      <c r="BA1704" s="288"/>
      <c r="BB1704" s="288"/>
      <c r="BC1704" s="288"/>
      <c r="BD1704" s="288"/>
      <c r="BE1704" s="288"/>
      <c r="BF1704" s="288"/>
      <c r="BG1704" s="288"/>
      <c r="BH1704" s="288"/>
      <c r="BI1704" s="288"/>
      <c r="BJ1704" s="288"/>
      <c r="BK1704" s="288"/>
      <c r="BL1704" s="288"/>
      <c r="BM1704" s="288"/>
      <c r="BN1704" s="288"/>
      <c r="BO1704" s="288"/>
      <c r="BP1704" s="288"/>
      <c r="BQ1704" s="288"/>
      <c r="BR1704" s="288"/>
      <c r="BS1704" s="288"/>
      <c r="BT1704" s="288"/>
      <c r="BU1704" s="288"/>
      <c r="BV1704" s="288"/>
      <c r="BW1704" s="288"/>
      <c r="BX1704" s="288"/>
      <c r="BY1704" s="288"/>
      <c r="BZ1704" s="288"/>
      <c r="CA1704" s="265" t="s">
        <v>773</v>
      </c>
      <c r="CB1704" s="3" t="str">
        <f t="shared" si="263"/>
        <v>Riadok bude skrytý.</v>
      </c>
      <c r="CW1704" s="49">
        <v>1</v>
      </c>
      <c r="CZ1704" s="30">
        <f t="shared" si="268"/>
        <v>1</v>
      </c>
      <c r="DA1704" s="30">
        <f t="shared" si="267"/>
        <v>1</v>
      </c>
      <c r="DB1704" s="2">
        <f t="shared" ref="DB1704:DB1767" si="269">+IF($CD$1="malé",0,DA1704)</f>
        <v>0</v>
      </c>
      <c r="DS1704" s="130">
        <f>SI!BY1704</f>
        <v>122</v>
      </c>
      <c r="DZ1704" s="131">
        <f>SI!BZ1704</f>
        <v>0</v>
      </c>
    </row>
    <row r="1705" spans="1:130" hidden="1" x14ac:dyDescent="0.25">
      <c r="A1705" s="141"/>
      <c r="B1705" s="7"/>
      <c r="G1705" s="7"/>
      <c r="H1705" s="7"/>
      <c r="CA1705" s="142"/>
      <c r="CB1705" s="3" t="str">
        <f t="shared" si="263"/>
        <v>Riadok bude skrytý.</v>
      </c>
      <c r="CW1705" s="49">
        <v>1</v>
      </c>
      <c r="CZ1705" s="30">
        <f t="shared" si="268"/>
        <v>1</v>
      </c>
      <c r="DA1705" s="30">
        <f t="shared" si="267"/>
        <v>1</v>
      </c>
      <c r="DB1705" s="2">
        <f t="shared" si="269"/>
        <v>0</v>
      </c>
      <c r="DS1705" s="130">
        <f>SI!BY1705</f>
        <v>138</v>
      </c>
      <c r="DZ1705" s="131">
        <f>SI!BZ1705</f>
        <v>0</v>
      </c>
    </row>
    <row r="1706" spans="1:130" hidden="1" x14ac:dyDescent="0.25">
      <c r="A1706" s="141"/>
      <c r="B1706" s="137" t="s">
        <v>96</v>
      </c>
      <c r="J1706" s="378" t="s">
        <v>97</v>
      </c>
      <c r="K1706" s="378"/>
      <c r="L1706" s="378"/>
      <c r="M1706" s="378"/>
      <c r="N1706" s="378"/>
      <c r="O1706" s="137" t="str">
        <f>+IF($Q$52&lt;&gt;"",IF((CODE(MID($Q$52,1,1)))*(GCD(121,132))*0+(LEN(SI!J5)+LEN(SI!J6))=DS1706,"krátkodobý finančný majetok (t.j. akcie v rôznych spoločnostiach a emisné kvóty). ","NEPOVOLENÉ POUŽITIE!"),"NEPOVOLENÉ POUŽITIE!")</f>
        <v xml:space="preserve">krátkodobý finančný majetok (t.j. akcie v rôznych spoločnostiach a emisné kvóty). </v>
      </c>
      <c r="P1706" s="38"/>
      <c r="CA1706" s="142"/>
      <c r="CB1706" s="3" t="str">
        <f t="shared" si="263"/>
        <v>Riadok bude skrytý.</v>
      </c>
      <c r="CC1706" s="271" t="s">
        <v>832</v>
      </c>
      <c r="CF1706" s="13"/>
      <c r="CW1706" s="49">
        <v>1</v>
      </c>
      <c r="CZ1706" s="30">
        <f t="shared" si="268"/>
        <v>1</v>
      </c>
      <c r="DA1706" s="30">
        <f t="shared" si="267"/>
        <v>1</v>
      </c>
      <c r="DB1706" s="2">
        <f t="shared" si="269"/>
        <v>0</v>
      </c>
      <c r="DS1706" s="130">
        <f>SI!BY1706</f>
        <v>20</v>
      </c>
      <c r="DZ1706" s="131">
        <f>SI!BZ1706</f>
        <v>0</v>
      </c>
    </row>
    <row r="1707" spans="1:130" hidden="1" x14ac:dyDescent="0.25">
      <c r="A1707" s="141"/>
      <c r="B1707" s="137" t="str">
        <f>+IF($G$52&lt;&gt;"",IF(ROUNDDOWN(CODE(MID($G$52,1,1))*2,0)*(IF(SI!EE1707="",1,SI!EE1707-1))+(LEN(SI!J2)+LEN(SI!J3))=DS1707,IF(J1706="má","Spoločnosť ku krátkodobému finančnému majetku uvádza nasledujúce informácie:","Spoločnosť nemá pre túto časť poznámok obsahovú náplň."),"NEPOVOLENÉ POUŽITIE!"),"NEPOVOLENÉ POUŽITIE!")</f>
        <v>Spoločnosť ku krátkodobému finančnému majetku uvádza nasledujúce informácie:</v>
      </c>
      <c r="CA1707" s="142"/>
      <c r="CB1707" s="3" t="str">
        <f t="shared" si="263"/>
        <v>Riadok bude skrytý.</v>
      </c>
      <c r="CC1707" s="271" t="s">
        <v>832</v>
      </c>
      <c r="CF1707" s="13"/>
      <c r="CW1707" s="30">
        <f>+IF($J$1706="nemá",1,1)</f>
        <v>1</v>
      </c>
      <c r="CZ1707" s="30">
        <f t="shared" si="268"/>
        <v>1</v>
      </c>
      <c r="DA1707" s="30">
        <f t="shared" si="267"/>
        <v>1</v>
      </c>
      <c r="DB1707" s="2">
        <f t="shared" si="269"/>
        <v>0</v>
      </c>
      <c r="DS1707" s="130">
        <f>SI!BY1707</f>
        <v>18</v>
      </c>
      <c r="DZ1707" s="131">
        <f>SI!BZ1707</f>
        <v>0</v>
      </c>
    </row>
    <row r="1708" spans="1:130" hidden="1" x14ac:dyDescent="0.25">
      <c r="A1708" s="141"/>
      <c r="B1708" s="379"/>
      <c r="C1708" s="379"/>
      <c r="D1708" s="379"/>
      <c r="E1708" s="379"/>
      <c r="F1708" s="379"/>
      <c r="G1708" s="379"/>
      <c r="H1708" s="379"/>
      <c r="I1708" s="379"/>
      <c r="J1708" s="379"/>
      <c r="K1708" s="379"/>
      <c r="L1708" s="379"/>
      <c r="M1708" s="379"/>
      <c r="N1708" s="379"/>
      <c r="O1708" s="379"/>
      <c r="P1708" s="379"/>
      <c r="Q1708" s="379"/>
      <c r="R1708" s="379"/>
      <c r="S1708" s="379"/>
      <c r="T1708" s="379"/>
      <c r="U1708" s="379"/>
      <c r="V1708" s="379"/>
      <c r="W1708" s="379"/>
      <c r="X1708" s="379"/>
      <c r="Y1708" s="379"/>
      <c r="Z1708" s="379"/>
      <c r="AA1708" s="379"/>
      <c r="AB1708" s="379"/>
      <c r="AC1708" s="379"/>
      <c r="AD1708" s="379"/>
      <c r="AE1708" s="379"/>
      <c r="AF1708" s="379"/>
      <c r="AG1708" s="379"/>
      <c r="AH1708" s="379"/>
      <c r="AI1708" s="379"/>
      <c r="AJ1708" s="379"/>
      <c r="AK1708" s="379"/>
      <c r="AL1708" s="379"/>
      <c r="AM1708" s="379"/>
      <c r="AN1708" s="379"/>
      <c r="AO1708" s="379"/>
      <c r="AP1708" s="379"/>
      <c r="AQ1708" s="379"/>
      <c r="AR1708" s="379"/>
      <c r="AS1708" s="379"/>
      <c r="AT1708" s="379"/>
      <c r="AU1708" s="379"/>
      <c r="AV1708" s="379"/>
      <c r="AW1708" s="379"/>
      <c r="AX1708" s="379"/>
      <c r="AY1708" s="379"/>
      <c r="AZ1708" s="379"/>
      <c r="BA1708" s="379"/>
      <c r="BB1708" s="379"/>
      <c r="BC1708" s="379"/>
      <c r="BD1708" s="379"/>
      <c r="BE1708" s="379"/>
      <c r="BF1708" s="379"/>
      <c r="BG1708" s="379"/>
      <c r="BH1708" s="379"/>
      <c r="BI1708" s="379"/>
      <c r="BJ1708" s="379"/>
      <c r="BK1708" s="379"/>
      <c r="BL1708" s="379"/>
      <c r="BM1708" s="379"/>
      <c r="BN1708" s="379"/>
      <c r="BO1708" s="379"/>
      <c r="BP1708" s="379"/>
      <c r="BQ1708" s="379"/>
      <c r="BR1708" s="379"/>
      <c r="BS1708" s="379"/>
      <c r="BT1708" s="379"/>
      <c r="BU1708" s="379"/>
      <c r="BV1708" s="379"/>
      <c r="BW1708" s="379"/>
      <c r="BX1708" s="379"/>
      <c r="BY1708" s="379"/>
      <c r="BZ1708" s="379"/>
      <c r="CA1708" s="281"/>
      <c r="CB1708" s="3" t="str">
        <f t="shared" si="263"/>
        <v>Riadok bude skrytý.</v>
      </c>
      <c r="CC1708" s="271" t="s">
        <v>832</v>
      </c>
      <c r="CW1708" s="30">
        <f t="shared" ref="CW1708:CW1739" si="270">+IF($J$1706="nemá",0,1)</f>
        <v>1</v>
      </c>
      <c r="CX1708" s="30">
        <f t="shared" ref="CX1708:CX1727" si="271">+IF(B1708="",0,1)</f>
        <v>0</v>
      </c>
      <c r="CZ1708" s="30">
        <f t="shared" si="268"/>
        <v>1</v>
      </c>
      <c r="DA1708" s="52">
        <f t="shared" ref="DA1708:DA1727" si="272">+IF(CW1708*CX1708=0,0,IF(CZ1708=0,0,1))</f>
        <v>0</v>
      </c>
      <c r="DB1708" s="2">
        <f t="shared" si="269"/>
        <v>0</v>
      </c>
      <c r="DS1708" s="130">
        <f>SI!BY1708</f>
        <v>142</v>
      </c>
      <c r="DZ1708" s="131">
        <f>SI!BZ1708</f>
        <v>0</v>
      </c>
    </row>
    <row r="1709" spans="1:130" hidden="1" x14ac:dyDescent="0.25">
      <c r="A1709" s="141"/>
      <c r="B1709" s="379"/>
      <c r="C1709" s="379"/>
      <c r="D1709" s="379"/>
      <c r="E1709" s="379"/>
      <c r="F1709" s="379"/>
      <c r="G1709" s="379"/>
      <c r="H1709" s="379"/>
      <c r="I1709" s="379"/>
      <c r="J1709" s="379"/>
      <c r="K1709" s="379"/>
      <c r="L1709" s="379"/>
      <c r="M1709" s="379"/>
      <c r="N1709" s="379"/>
      <c r="O1709" s="379"/>
      <c r="P1709" s="379"/>
      <c r="Q1709" s="379"/>
      <c r="R1709" s="379"/>
      <c r="S1709" s="379"/>
      <c r="T1709" s="379"/>
      <c r="U1709" s="379"/>
      <c r="V1709" s="379"/>
      <c r="W1709" s="379"/>
      <c r="X1709" s="379"/>
      <c r="Y1709" s="379"/>
      <c r="Z1709" s="379"/>
      <c r="AA1709" s="379"/>
      <c r="AB1709" s="379"/>
      <c r="AC1709" s="379"/>
      <c r="AD1709" s="379"/>
      <c r="AE1709" s="379"/>
      <c r="AF1709" s="379"/>
      <c r="AG1709" s="379"/>
      <c r="AH1709" s="379"/>
      <c r="AI1709" s="379"/>
      <c r="AJ1709" s="379"/>
      <c r="AK1709" s="379"/>
      <c r="AL1709" s="379"/>
      <c r="AM1709" s="379"/>
      <c r="AN1709" s="379"/>
      <c r="AO1709" s="379"/>
      <c r="AP1709" s="379"/>
      <c r="AQ1709" s="379"/>
      <c r="AR1709" s="379"/>
      <c r="AS1709" s="379"/>
      <c r="AT1709" s="379"/>
      <c r="AU1709" s="379"/>
      <c r="AV1709" s="379"/>
      <c r="AW1709" s="379"/>
      <c r="AX1709" s="379"/>
      <c r="AY1709" s="379"/>
      <c r="AZ1709" s="379"/>
      <c r="BA1709" s="379"/>
      <c r="BB1709" s="379"/>
      <c r="BC1709" s="379"/>
      <c r="BD1709" s="379"/>
      <c r="BE1709" s="379"/>
      <c r="BF1709" s="379"/>
      <c r="BG1709" s="379"/>
      <c r="BH1709" s="379"/>
      <c r="BI1709" s="379"/>
      <c r="BJ1709" s="379"/>
      <c r="BK1709" s="379"/>
      <c r="BL1709" s="379"/>
      <c r="BM1709" s="379"/>
      <c r="BN1709" s="379"/>
      <c r="BO1709" s="379"/>
      <c r="BP1709" s="379"/>
      <c r="BQ1709" s="379"/>
      <c r="BR1709" s="379"/>
      <c r="BS1709" s="379"/>
      <c r="BT1709" s="379"/>
      <c r="BU1709" s="379"/>
      <c r="BV1709" s="379"/>
      <c r="BW1709" s="379"/>
      <c r="BX1709" s="379"/>
      <c r="BY1709" s="379"/>
      <c r="BZ1709" s="379"/>
      <c r="CA1709" s="281"/>
      <c r="CB1709" s="3" t="str">
        <f t="shared" si="263"/>
        <v>Riadok bude skrytý.</v>
      </c>
      <c r="CC1709" s="271" t="s">
        <v>832</v>
      </c>
      <c r="CW1709" s="30">
        <f t="shared" si="270"/>
        <v>1</v>
      </c>
      <c r="CX1709" s="30">
        <f t="shared" si="271"/>
        <v>0</v>
      </c>
      <c r="CZ1709" s="30">
        <f t="shared" si="268"/>
        <v>1</v>
      </c>
      <c r="DA1709" s="52">
        <f t="shared" si="272"/>
        <v>0</v>
      </c>
      <c r="DB1709" s="2">
        <f t="shared" si="269"/>
        <v>0</v>
      </c>
      <c r="DS1709" s="130">
        <f>SI!BY1709</f>
        <v>195</v>
      </c>
      <c r="DZ1709" s="131">
        <f>SI!BZ1709</f>
        <v>0</v>
      </c>
    </row>
    <row r="1710" spans="1:130" hidden="1" x14ac:dyDescent="0.25">
      <c r="A1710" s="141"/>
      <c r="B1710" s="379"/>
      <c r="C1710" s="379"/>
      <c r="D1710" s="379"/>
      <c r="E1710" s="379"/>
      <c r="F1710" s="379"/>
      <c r="G1710" s="379"/>
      <c r="H1710" s="379"/>
      <c r="I1710" s="379"/>
      <c r="J1710" s="379"/>
      <c r="K1710" s="379"/>
      <c r="L1710" s="379"/>
      <c r="M1710" s="379"/>
      <c r="N1710" s="379"/>
      <c r="O1710" s="379"/>
      <c r="P1710" s="379"/>
      <c r="Q1710" s="379"/>
      <c r="R1710" s="379"/>
      <c r="S1710" s="379"/>
      <c r="T1710" s="379"/>
      <c r="U1710" s="379"/>
      <c r="V1710" s="379"/>
      <c r="W1710" s="379"/>
      <c r="X1710" s="379"/>
      <c r="Y1710" s="379"/>
      <c r="Z1710" s="379"/>
      <c r="AA1710" s="379"/>
      <c r="AB1710" s="379"/>
      <c r="AC1710" s="379"/>
      <c r="AD1710" s="379"/>
      <c r="AE1710" s="379"/>
      <c r="AF1710" s="379"/>
      <c r="AG1710" s="379"/>
      <c r="AH1710" s="379"/>
      <c r="AI1710" s="379"/>
      <c r="AJ1710" s="379"/>
      <c r="AK1710" s="379"/>
      <c r="AL1710" s="379"/>
      <c r="AM1710" s="379"/>
      <c r="AN1710" s="379"/>
      <c r="AO1710" s="379"/>
      <c r="AP1710" s="379"/>
      <c r="AQ1710" s="379"/>
      <c r="AR1710" s="379"/>
      <c r="AS1710" s="379"/>
      <c r="AT1710" s="379"/>
      <c r="AU1710" s="379"/>
      <c r="AV1710" s="379"/>
      <c r="AW1710" s="379"/>
      <c r="AX1710" s="379"/>
      <c r="AY1710" s="379"/>
      <c r="AZ1710" s="379"/>
      <c r="BA1710" s="379"/>
      <c r="BB1710" s="379"/>
      <c r="BC1710" s="379"/>
      <c r="BD1710" s="379"/>
      <c r="BE1710" s="379"/>
      <c r="BF1710" s="379"/>
      <c r="BG1710" s="379"/>
      <c r="BH1710" s="379"/>
      <c r="BI1710" s="379"/>
      <c r="BJ1710" s="379"/>
      <c r="BK1710" s="379"/>
      <c r="BL1710" s="379"/>
      <c r="BM1710" s="379"/>
      <c r="BN1710" s="379"/>
      <c r="BO1710" s="379"/>
      <c r="BP1710" s="379"/>
      <c r="BQ1710" s="379"/>
      <c r="BR1710" s="379"/>
      <c r="BS1710" s="379"/>
      <c r="BT1710" s="379"/>
      <c r="BU1710" s="379"/>
      <c r="BV1710" s="379"/>
      <c r="BW1710" s="379"/>
      <c r="BX1710" s="379"/>
      <c r="BY1710" s="379"/>
      <c r="BZ1710" s="379"/>
      <c r="CA1710" s="281"/>
      <c r="CB1710" s="3" t="str">
        <f t="shared" si="263"/>
        <v>Riadok bude skrytý.</v>
      </c>
      <c r="CC1710" s="271" t="s">
        <v>832</v>
      </c>
      <c r="CW1710" s="30">
        <f t="shared" si="270"/>
        <v>1</v>
      </c>
      <c r="CX1710" s="30">
        <f t="shared" si="271"/>
        <v>0</v>
      </c>
      <c r="CZ1710" s="30">
        <f t="shared" si="268"/>
        <v>1</v>
      </c>
      <c r="DA1710" s="52">
        <f t="shared" si="272"/>
        <v>0</v>
      </c>
      <c r="DB1710" s="2">
        <f t="shared" si="269"/>
        <v>0</v>
      </c>
      <c r="DS1710" s="130">
        <f>SI!BY1710</f>
        <v>148</v>
      </c>
      <c r="DZ1710" s="131">
        <f>SI!BZ1710</f>
        <v>0</v>
      </c>
    </row>
    <row r="1711" spans="1:130" hidden="1" x14ac:dyDescent="0.25">
      <c r="A1711" s="141"/>
      <c r="B1711" s="379"/>
      <c r="C1711" s="379"/>
      <c r="D1711" s="379"/>
      <c r="E1711" s="379"/>
      <c r="F1711" s="379"/>
      <c r="G1711" s="379"/>
      <c r="H1711" s="379"/>
      <c r="I1711" s="379"/>
      <c r="J1711" s="379"/>
      <c r="K1711" s="379"/>
      <c r="L1711" s="379"/>
      <c r="M1711" s="379"/>
      <c r="N1711" s="379"/>
      <c r="O1711" s="379"/>
      <c r="P1711" s="379"/>
      <c r="Q1711" s="379"/>
      <c r="R1711" s="379"/>
      <c r="S1711" s="379"/>
      <c r="T1711" s="379"/>
      <c r="U1711" s="379"/>
      <c r="V1711" s="379"/>
      <c r="W1711" s="379"/>
      <c r="X1711" s="379"/>
      <c r="Y1711" s="379"/>
      <c r="Z1711" s="379"/>
      <c r="AA1711" s="379"/>
      <c r="AB1711" s="379"/>
      <c r="AC1711" s="379"/>
      <c r="AD1711" s="379"/>
      <c r="AE1711" s="379"/>
      <c r="AF1711" s="379"/>
      <c r="AG1711" s="379"/>
      <c r="AH1711" s="379"/>
      <c r="AI1711" s="379"/>
      <c r="AJ1711" s="379"/>
      <c r="AK1711" s="379"/>
      <c r="AL1711" s="379"/>
      <c r="AM1711" s="379"/>
      <c r="AN1711" s="379"/>
      <c r="AO1711" s="379"/>
      <c r="AP1711" s="379"/>
      <c r="AQ1711" s="379"/>
      <c r="AR1711" s="379"/>
      <c r="AS1711" s="379"/>
      <c r="AT1711" s="379"/>
      <c r="AU1711" s="379"/>
      <c r="AV1711" s="379"/>
      <c r="AW1711" s="379"/>
      <c r="AX1711" s="379"/>
      <c r="AY1711" s="379"/>
      <c r="AZ1711" s="379"/>
      <c r="BA1711" s="379"/>
      <c r="BB1711" s="379"/>
      <c r="BC1711" s="379"/>
      <c r="BD1711" s="379"/>
      <c r="BE1711" s="379"/>
      <c r="BF1711" s="379"/>
      <c r="BG1711" s="379"/>
      <c r="BH1711" s="379"/>
      <c r="BI1711" s="379"/>
      <c r="BJ1711" s="379"/>
      <c r="BK1711" s="379"/>
      <c r="BL1711" s="379"/>
      <c r="BM1711" s="379"/>
      <c r="BN1711" s="379"/>
      <c r="BO1711" s="379"/>
      <c r="BP1711" s="379"/>
      <c r="BQ1711" s="379"/>
      <c r="BR1711" s="379"/>
      <c r="BS1711" s="379"/>
      <c r="BT1711" s="379"/>
      <c r="BU1711" s="379"/>
      <c r="BV1711" s="379"/>
      <c r="BW1711" s="379"/>
      <c r="BX1711" s="379"/>
      <c r="BY1711" s="379"/>
      <c r="BZ1711" s="379"/>
      <c r="CA1711" s="281"/>
      <c r="CB1711" s="3" t="str">
        <f t="shared" si="263"/>
        <v>Riadok bude skrytý.</v>
      </c>
      <c r="CC1711" s="271" t="s">
        <v>832</v>
      </c>
      <c r="CW1711" s="30">
        <f t="shared" si="270"/>
        <v>1</v>
      </c>
      <c r="CX1711" s="30">
        <f t="shared" si="271"/>
        <v>0</v>
      </c>
      <c r="CZ1711" s="30">
        <f t="shared" si="268"/>
        <v>1</v>
      </c>
      <c r="DA1711" s="52">
        <f t="shared" si="272"/>
        <v>0</v>
      </c>
      <c r="DB1711" s="2">
        <f t="shared" si="269"/>
        <v>0</v>
      </c>
      <c r="DS1711" s="130">
        <f>SI!BY1711</f>
        <v>194</v>
      </c>
      <c r="DZ1711" s="131">
        <f>SI!BZ1711</f>
        <v>0</v>
      </c>
    </row>
    <row r="1712" spans="1:130" hidden="1" x14ac:dyDescent="0.25">
      <c r="A1712" s="141"/>
      <c r="B1712" s="379"/>
      <c r="C1712" s="379"/>
      <c r="D1712" s="379"/>
      <c r="E1712" s="379"/>
      <c r="F1712" s="379"/>
      <c r="G1712" s="379"/>
      <c r="H1712" s="379"/>
      <c r="I1712" s="379"/>
      <c r="J1712" s="379"/>
      <c r="K1712" s="379"/>
      <c r="L1712" s="379"/>
      <c r="M1712" s="379"/>
      <c r="N1712" s="379"/>
      <c r="O1712" s="379"/>
      <c r="P1712" s="379"/>
      <c r="Q1712" s="379"/>
      <c r="R1712" s="379"/>
      <c r="S1712" s="379"/>
      <c r="T1712" s="379"/>
      <c r="U1712" s="379"/>
      <c r="V1712" s="379"/>
      <c r="W1712" s="379"/>
      <c r="X1712" s="379"/>
      <c r="Y1712" s="379"/>
      <c r="Z1712" s="379"/>
      <c r="AA1712" s="379"/>
      <c r="AB1712" s="379"/>
      <c r="AC1712" s="379"/>
      <c r="AD1712" s="379"/>
      <c r="AE1712" s="379"/>
      <c r="AF1712" s="379"/>
      <c r="AG1712" s="379"/>
      <c r="AH1712" s="379"/>
      <c r="AI1712" s="379"/>
      <c r="AJ1712" s="379"/>
      <c r="AK1712" s="379"/>
      <c r="AL1712" s="379"/>
      <c r="AM1712" s="379"/>
      <c r="AN1712" s="379"/>
      <c r="AO1712" s="379"/>
      <c r="AP1712" s="379"/>
      <c r="AQ1712" s="379"/>
      <c r="AR1712" s="379"/>
      <c r="AS1712" s="379"/>
      <c r="AT1712" s="379"/>
      <c r="AU1712" s="379"/>
      <c r="AV1712" s="379"/>
      <c r="AW1712" s="379"/>
      <c r="AX1712" s="379"/>
      <c r="AY1712" s="379"/>
      <c r="AZ1712" s="379"/>
      <c r="BA1712" s="379"/>
      <c r="BB1712" s="379"/>
      <c r="BC1712" s="379"/>
      <c r="BD1712" s="379"/>
      <c r="BE1712" s="379"/>
      <c r="BF1712" s="379"/>
      <c r="BG1712" s="379"/>
      <c r="BH1712" s="379"/>
      <c r="BI1712" s="379"/>
      <c r="BJ1712" s="379"/>
      <c r="BK1712" s="379"/>
      <c r="BL1712" s="379"/>
      <c r="BM1712" s="379"/>
      <c r="BN1712" s="379"/>
      <c r="BO1712" s="379"/>
      <c r="BP1712" s="379"/>
      <c r="BQ1712" s="379"/>
      <c r="BR1712" s="379"/>
      <c r="BS1712" s="379"/>
      <c r="BT1712" s="379"/>
      <c r="BU1712" s="379"/>
      <c r="BV1712" s="379"/>
      <c r="BW1712" s="379"/>
      <c r="BX1712" s="379"/>
      <c r="BY1712" s="379"/>
      <c r="BZ1712" s="379"/>
      <c r="CA1712" s="281"/>
      <c r="CB1712" s="3" t="str">
        <f t="shared" si="263"/>
        <v>Riadok bude skrytý.</v>
      </c>
      <c r="CC1712" s="271" t="s">
        <v>832</v>
      </c>
      <c r="CW1712" s="30">
        <f t="shared" si="270"/>
        <v>1</v>
      </c>
      <c r="CX1712" s="30">
        <f t="shared" si="271"/>
        <v>0</v>
      </c>
      <c r="CZ1712" s="30">
        <f t="shared" si="268"/>
        <v>1</v>
      </c>
      <c r="DA1712" s="52">
        <f t="shared" si="272"/>
        <v>0</v>
      </c>
      <c r="DB1712" s="2">
        <f t="shared" si="269"/>
        <v>0</v>
      </c>
      <c r="DS1712" s="130">
        <f>SI!BY1712</f>
        <v>149</v>
      </c>
      <c r="DZ1712" s="131">
        <f>SI!BZ1712</f>
        <v>0</v>
      </c>
    </row>
    <row r="1713" spans="1:130" hidden="1" x14ac:dyDescent="0.25">
      <c r="A1713" s="141"/>
      <c r="B1713" s="379"/>
      <c r="C1713" s="379"/>
      <c r="D1713" s="379"/>
      <c r="E1713" s="379"/>
      <c r="F1713" s="379"/>
      <c r="G1713" s="379"/>
      <c r="H1713" s="379"/>
      <c r="I1713" s="379"/>
      <c r="J1713" s="379"/>
      <c r="K1713" s="379"/>
      <c r="L1713" s="379"/>
      <c r="M1713" s="379"/>
      <c r="N1713" s="379"/>
      <c r="O1713" s="379"/>
      <c r="P1713" s="379"/>
      <c r="Q1713" s="379"/>
      <c r="R1713" s="379"/>
      <c r="S1713" s="379"/>
      <c r="T1713" s="379"/>
      <c r="U1713" s="379"/>
      <c r="V1713" s="379"/>
      <c r="W1713" s="379"/>
      <c r="X1713" s="379"/>
      <c r="Y1713" s="379"/>
      <c r="Z1713" s="379"/>
      <c r="AA1713" s="379"/>
      <c r="AB1713" s="379"/>
      <c r="AC1713" s="379"/>
      <c r="AD1713" s="379"/>
      <c r="AE1713" s="379"/>
      <c r="AF1713" s="379"/>
      <c r="AG1713" s="379"/>
      <c r="AH1713" s="379"/>
      <c r="AI1713" s="379"/>
      <c r="AJ1713" s="379"/>
      <c r="AK1713" s="379"/>
      <c r="AL1713" s="379"/>
      <c r="AM1713" s="379"/>
      <c r="AN1713" s="379"/>
      <c r="AO1713" s="379"/>
      <c r="AP1713" s="379"/>
      <c r="AQ1713" s="379"/>
      <c r="AR1713" s="379"/>
      <c r="AS1713" s="379"/>
      <c r="AT1713" s="379"/>
      <c r="AU1713" s="379"/>
      <c r="AV1713" s="379"/>
      <c r="AW1713" s="379"/>
      <c r="AX1713" s="379"/>
      <c r="AY1713" s="379"/>
      <c r="AZ1713" s="379"/>
      <c r="BA1713" s="379"/>
      <c r="BB1713" s="379"/>
      <c r="BC1713" s="379"/>
      <c r="BD1713" s="379"/>
      <c r="BE1713" s="379"/>
      <c r="BF1713" s="379"/>
      <c r="BG1713" s="379"/>
      <c r="BH1713" s="379"/>
      <c r="BI1713" s="379"/>
      <c r="BJ1713" s="379"/>
      <c r="BK1713" s="379"/>
      <c r="BL1713" s="379"/>
      <c r="BM1713" s="379"/>
      <c r="BN1713" s="379"/>
      <c r="BO1713" s="379"/>
      <c r="BP1713" s="379"/>
      <c r="BQ1713" s="379"/>
      <c r="BR1713" s="379"/>
      <c r="BS1713" s="379"/>
      <c r="BT1713" s="379"/>
      <c r="BU1713" s="379"/>
      <c r="BV1713" s="379"/>
      <c r="BW1713" s="379"/>
      <c r="BX1713" s="379"/>
      <c r="BY1713" s="379"/>
      <c r="BZ1713" s="379"/>
      <c r="CA1713" s="281"/>
      <c r="CB1713" s="3" t="str">
        <f t="shared" si="263"/>
        <v>Riadok bude skrytý.</v>
      </c>
      <c r="CC1713" s="271" t="s">
        <v>832</v>
      </c>
      <c r="CW1713" s="30">
        <f t="shared" si="270"/>
        <v>1</v>
      </c>
      <c r="CX1713" s="30">
        <f t="shared" si="271"/>
        <v>0</v>
      </c>
      <c r="CZ1713" s="30">
        <f t="shared" si="268"/>
        <v>1</v>
      </c>
      <c r="DA1713" s="52">
        <f t="shared" si="272"/>
        <v>0</v>
      </c>
      <c r="DB1713" s="2">
        <f t="shared" si="269"/>
        <v>0</v>
      </c>
      <c r="DS1713" s="130">
        <f>SI!BY1713</f>
        <v>163</v>
      </c>
      <c r="DZ1713" s="131">
        <f>SI!BZ1713</f>
        <v>0</v>
      </c>
    </row>
    <row r="1714" spans="1:130" hidden="1" x14ac:dyDescent="0.25">
      <c r="A1714" s="141"/>
      <c r="B1714" s="379"/>
      <c r="C1714" s="379"/>
      <c r="D1714" s="379"/>
      <c r="E1714" s="379"/>
      <c r="F1714" s="379"/>
      <c r="G1714" s="379"/>
      <c r="H1714" s="379"/>
      <c r="I1714" s="379"/>
      <c r="J1714" s="379"/>
      <c r="K1714" s="379"/>
      <c r="L1714" s="379"/>
      <c r="M1714" s="379"/>
      <c r="N1714" s="379"/>
      <c r="O1714" s="379"/>
      <c r="P1714" s="379"/>
      <c r="Q1714" s="379"/>
      <c r="R1714" s="379"/>
      <c r="S1714" s="379"/>
      <c r="T1714" s="379"/>
      <c r="U1714" s="379"/>
      <c r="V1714" s="379"/>
      <c r="W1714" s="379"/>
      <c r="X1714" s="379"/>
      <c r="Y1714" s="379"/>
      <c r="Z1714" s="379"/>
      <c r="AA1714" s="379"/>
      <c r="AB1714" s="379"/>
      <c r="AC1714" s="379"/>
      <c r="AD1714" s="379"/>
      <c r="AE1714" s="379"/>
      <c r="AF1714" s="379"/>
      <c r="AG1714" s="379"/>
      <c r="AH1714" s="379"/>
      <c r="AI1714" s="379"/>
      <c r="AJ1714" s="379"/>
      <c r="AK1714" s="379"/>
      <c r="AL1714" s="379"/>
      <c r="AM1714" s="379"/>
      <c r="AN1714" s="379"/>
      <c r="AO1714" s="379"/>
      <c r="AP1714" s="379"/>
      <c r="AQ1714" s="379"/>
      <c r="AR1714" s="379"/>
      <c r="AS1714" s="379"/>
      <c r="AT1714" s="379"/>
      <c r="AU1714" s="379"/>
      <c r="AV1714" s="379"/>
      <c r="AW1714" s="379"/>
      <c r="AX1714" s="379"/>
      <c r="AY1714" s="379"/>
      <c r="AZ1714" s="379"/>
      <c r="BA1714" s="379"/>
      <c r="BB1714" s="379"/>
      <c r="BC1714" s="379"/>
      <c r="BD1714" s="379"/>
      <c r="BE1714" s="379"/>
      <c r="BF1714" s="379"/>
      <c r="BG1714" s="379"/>
      <c r="BH1714" s="379"/>
      <c r="BI1714" s="379"/>
      <c r="BJ1714" s="379"/>
      <c r="BK1714" s="379"/>
      <c r="BL1714" s="379"/>
      <c r="BM1714" s="379"/>
      <c r="BN1714" s="379"/>
      <c r="BO1714" s="379"/>
      <c r="BP1714" s="379"/>
      <c r="BQ1714" s="379"/>
      <c r="BR1714" s="379"/>
      <c r="BS1714" s="379"/>
      <c r="BT1714" s="379"/>
      <c r="BU1714" s="379"/>
      <c r="BV1714" s="379"/>
      <c r="BW1714" s="379"/>
      <c r="BX1714" s="379"/>
      <c r="BY1714" s="379"/>
      <c r="BZ1714" s="379"/>
      <c r="CA1714" s="281"/>
      <c r="CB1714" s="3" t="str">
        <f t="shared" si="263"/>
        <v>Riadok bude skrytý.</v>
      </c>
      <c r="CC1714" s="271" t="s">
        <v>832</v>
      </c>
      <c r="CW1714" s="30">
        <f t="shared" si="270"/>
        <v>1</v>
      </c>
      <c r="CX1714" s="30">
        <f t="shared" si="271"/>
        <v>0</v>
      </c>
      <c r="CZ1714" s="30">
        <f t="shared" si="268"/>
        <v>1</v>
      </c>
      <c r="DA1714" s="52">
        <f t="shared" si="272"/>
        <v>0</v>
      </c>
      <c r="DB1714" s="2">
        <f t="shared" si="269"/>
        <v>0</v>
      </c>
      <c r="DS1714" s="130">
        <f>SI!BY1714</f>
        <v>132</v>
      </c>
      <c r="DZ1714" s="131">
        <f>SI!BZ1714</f>
        <v>0</v>
      </c>
    </row>
    <row r="1715" spans="1:130" hidden="1" x14ac:dyDescent="0.25">
      <c r="A1715" s="141"/>
      <c r="B1715" s="379"/>
      <c r="C1715" s="379"/>
      <c r="D1715" s="379"/>
      <c r="E1715" s="379"/>
      <c r="F1715" s="379"/>
      <c r="G1715" s="379"/>
      <c r="H1715" s="379"/>
      <c r="I1715" s="379"/>
      <c r="J1715" s="379"/>
      <c r="K1715" s="379"/>
      <c r="L1715" s="379"/>
      <c r="M1715" s="379"/>
      <c r="N1715" s="379"/>
      <c r="O1715" s="379"/>
      <c r="P1715" s="379"/>
      <c r="Q1715" s="379"/>
      <c r="R1715" s="379"/>
      <c r="S1715" s="379"/>
      <c r="T1715" s="379"/>
      <c r="U1715" s="379"/>
      <c r="V1715" s="379"/>
      <c r="W1715" s="379"/>
      <c r="X1715" s="379"/>
      <c r="Y1715" s="379"/>
      <c r="Z1715" s="379"/>
      <c r="AA1715" s="379"/>
      <c r="AB1715" s="379"/>
      <c r="AC1715" s="379"/>
      <c r="AD1715" s="379"/>
      <c r="AE1715" s="379"/>
      <c r="AF1715" s="379"/>
      <c r="AG1715" s="379"/>
      <c r="AH1715" s="379"/>
      <c r="AI1715" s="379"/>
      <c r="AJ1715" s="379"/>
      <c r="AK1715" s="379"/>
      <c r="AL1715" s="379"/>
      <c r="AM1715" s="379"/>
      <c r="AN1715" s="379"/>
      <c r="AO1715" s="379"/>
      <c r="AP1715" s="379"/>
      <c r="AQ1715" s="379"/>
      <c r="AR1715" s="379"/>
      <c r="AS1715" s="379"/>
      <c r="AT1715" s="379"/>
      <c r="AU1715" s="379"/>
      <c r="AV1715" s="379"/>
      <c r="AW1715" s="379"/>
      <c r="AX1715" s="379"/>
      <c r="AY1715" s="379"/>
      <c r="AZ1715" s="379"/>
      <c r="BA1715" s="379"/>
      <c r="BB1715" s="379"/>
      <c r="BC1715" s="379"/>
      <c r="BD1715" s="379"/>
      <c r="BE1715" s="379"/>
      <c r="BF1715" s="379"/>
      <c r="BG1715" s="379"/>
      <c r="BH1715" s="379"/>
      <c r="BI1715" s="379"/>
      <c r="BJ1715" s="379"/>
      <c r="BK1715" s="379"/>
      <c r="BL1715" s="379"/>
      <c r="BM1715" s="379"/>
      <c r="BN1715" s="379"/>
      <c r="BO1715" s="379"/>
      <c r="BP1715" s="379"/>
      <c r="BQ1715" s="379"/>
      <c r="BR1715" s="379"/>
      <c r="BS1715" s="379"/>
      <c r="BT1715" s="379"/>
      <c r="BU1715" s="379"/>
      <c r="BV1715" s="379"/>
      <c r="BW1715" s="379"/>
      <c r="BX1715" s="379"/>
      <c r="BY1715" s="379"/>
      <c r="BZ1715" s="379"/>
      <c r="CA1715" s="281"/>
      <c r="CB1715" s="3" t="str">
        <f t="shared" ref="CB1715:CB1778" si="273">+IF(DB1715=0,"Riadok bude skrytý.","Riadok bude vidieť.")</f>
        <v>Riadok bude skrytý.</v>
      </c>
      <c r="CC1715" s="271" t="s">
        <v>832</v>
      </c>
      <c r="CW1715" s="30">
        <f t="shared" si="270"/>
        <v>1</v>
      </c>
      <c r="CX1715" s="30">
        <f t="shared" si="271"/>
        <v>0</v>
      </c>
      <c r="CZ1715" s="30">
        <f t="shared" si="268"/>
        <v>1</v>
      </c>
      <c r="DA1715" s="52">
        <f t="shared" si="272"/>
        <v>0</v>
      </c>
      <c r="DB1715" s="2">
        <f t="shared" si="269"/>
        <v>0</v>
      </c>
      <c r="DS1715" s="130">
        <f>SI!BY1715</f>
        <v>174</v>
      </c>
      <c r="DZ1715" s="131">
        <f>SI!BZ1715</f>
        <v>0</v>
      </c>
    </row>
    <row r="1716" spans="1:130" hidden="1" x14ac:dyDescent="0.25">
      <c r="A1716" s="141"/>
      <c r="B1716" s="379"/>
      <c r="C1716" s="379"/>
      <c r="D1716" s="379"/>
      <c r="E1716" s="379"/>
      <c r="F1716" s="379"/>
      <c r="G1716" s="379"/>
      <c r="H1716" s="379"/>
      <c r="I1716" s="379"/>
      <c r="J1716" s="379"/>
      <c r="K1716" s="379"/>
      <c r="L1716" s="379"/>
      <c r="M1716" s="379"/>
      <c r="N1716" s="379"/>
      <c r="O1716" s="379"/>
      <c r="P1716" s="379"/>
      <c r="Q1716" s="379"/>
      <c r="R1716" s="379"/>
      <c r="S1716" s="379"/>
      <c r="T1716" s="379"/>
      <c r="U1716" s="379"/>
      <c r="V1716" s="379"/>
      <c r="W1716" s="379"/>
      <c r="X1716" s="379"/>
      <c r="Y1716" s="379"/>
      <c r="Z1716" s="379"/>
      <c r="AA1716" s="379"/>
      <c r="AB1716" s="379"/>
      <c r="AC1716" s="379"/>
      <c r="AD1716" s="379"/>
      <c r="AE1716" s="379"/>
      <c r="AF1716" s="379"/>
      <c r="AG1716" s="379"/>
      <c r="AH1716" s="379"/>
      <c r="AI1716" s="379"/>
      <c r="AJ1716" s="379"/>
      <c r="AK1716" s="379"/>
      <c r="AL1716" s="379"/>
      <c r="AM1716" s="379"/>
      <c r="AN1716" s="379"/>
      <c r="AO1716" s="379"/>
      <c r="AP1716" s="379"/>
      <c r="AQ1716" s="379"/>
      <c r="AR1716" s="379"/>
      <c r="AS1716" s="379"/>
      <c r="AT1716" s="379"/>
      <c r="AU1716" s="379"/>
      <c r="AV1716" s="379"/>
      <c r="AW1716" s="379"/>
      <c r="AX1716" s="379"/>
      <c r="AY1716" s="379"/>
      <c r="AZ1716" s="379"/>
      <c r="BA1716" s="379"/>
      <c r="BB1716" s="379"/>
      <c r="BC1716" s="379"/>
      <c r="BD1716" s="379"/>
      <c r="BE1716" s="379"/>
      <c r="BF1716" s="379"/>
      <c r="BG1716" s="379"/>
      <c r="BH1716" s="379"/>
      <c r="BI1716" s="379"/>
      <c r="BJ1716" s="379"/>
      <c r="BK1716" s="379"/>
      <c r="BL1716" s="379"/>
      <c r="BM1716" s="379"/>
      <c r="BN1716" s="379"/>
      <c r="BO1716" s="379"/>
      <c r="BP1716" s="379"/>
      <c r="BQ1716" s="379"/>
      <c r="BR1716" s="379"/>
      <c r="BS1716" s="379"/>
      <c r="BT1716" s="379"/>
      <c r="BU1716" s="379"/>
      <c r="BV1716" s="379"/>
      <c r="BW1716" s="379"/>
      <c r="BX1716" s="379"/>
      <c r="BY1716" s="379"/>
      <c r="BZ1716" s="379"/>
      <c r="CA1716" s="281"/>
      <c r="CB1716" s="3" t="str">
        <f t="shared" si="273"/>
        <v>Riadok bude skrytý.</v>
      </c>
      <c r="CC1716" s="271" t="s">
        <v>832</v>
      </c>
      <c r="CW1716" s="30">
        <f t="shared" si="270"/>
        <v>1</v>
      </c>
      <c r="CX1716" s="30">
        <f t="shared" si="271"/>
        <v>0</v>
      </c>
      <c r="CZ1716" s="30">
        <f t="shared" si="268"/>
        <v>1</v>
      </c>
      <c r="DA1716" s="52">
        <f t="shared" si="272"/>
        <v>0</v>
      </c>
      <c r="DB1716" s="2">
        <f t="shared" si="269"/>
        <v>0</v>
      </c>
      <c r="DS1716" s="130">
        <f>SI!BY1716</f>
        <v>196</v>
      </c>
      <c r="DZ1716" s="131">
        <f>SI!BZ1716</f>
        <v>0</v>
      </c>
    </row>
    <row r="1717" spans="1:130" hidden="1" x14ac:dyDescent="0.25">
      <c r="A1717" s="141"/>
      <c r="B1717" s="379"/>
      <c r="C1717" s="379"/>
      <c r="D1717" s="379"/>
      <c r="E1717" s="379"/>
      <c r="F1717" s="379"/>
      <c r="G1717" s="379"/>
      <c r="H1717" s="379"/>
      <c r="I1717" s="379"/>
      <c r="J1717" s="379"/>
      <c r="K1717" s="379"/>
      <c r="L1717" s="379"/>
      <c r="M1717" s="379"/>
      <c r="N1717" s="379"/>
      <c r="O1717" s="379"/>
      <c r="P1717" s="379"/>
      <c r="Q1717" s="379"/>
      <c r="R1717" s="379"/>
      <c r="S1717" s="379"/>
      <c r="T1717" s="379"/>
      <c r="U1717" s="379"/>
      <c r="V1717" s="379"/>
      <c r="W1717" s="379"/>
      <c r="X1717" s="379"/>
      <c r="Y1717" s="379"/>
      <c r="Z1717" s="379"/>
      <c r="AA1717" s="379"/>
      <c r="AB1717" s="379"/>
      <c r="AC1717" s="379"/>
      <c r="AD1717" s="379"/>
      <c r="AE1717" s="379"/>
      <c r="AF1717" s="379"/>
      <c r="AG1717" s="379"/>
      <c r="AH1717" s="379"/>
      <c r="AI1717" s="379"/>
      <c r="AJ1717" s="379"/>
      <c r="AK1717" s="379"/>
      <c r="AL1717" s="379"/>
      <c r="AM1717" s="379"/>
      <c r="AN1717" s="379"/>
      <c r="AO1717" s="379"/>
      <c r="AP1717" s="379"/>
      <c r="AQ1717" s="379"/>
      <c r="AR1717" s="379"/>
      <c r="AS1717" s="379"/>
      <c r="AT1717" s="379"/>
      <c r="AU1717" s="379"/>
      <c r="AV1717" s="379"/>
      <c r="AW1717" s="379"/>
      <c r="AX1717" s="379"/>
      <c r="AY1717" s="379"/>
      <c r="AZ1717" s="379"/>
      <c r="BA1717" s="379"/>
      <c r="BB1717" s="379"/>
      <c r="BC1717" s="379"/>
      <c r="BD1717" s="379"/>
      <c r="BE1717" s="379"/>
      <c r="BF1717" s="379"/>
      <c r="BG1717" s="379"/>
      <c r="BH1717" s="379"/>
      <c r="BI1717" s="379"/>
      <c r="BJ1717" s="379"/>
      <c r="BK1717" s="379"/>
      <c r="BL1717" s="379"/>
      <c r="BM1717" s="379"/>
      <c r="BN1717" s="379"/>
      <c r="BO1717" s="379"/>
      <c r="BP1717" s="379"/>
      <c r="BQ1717" s="379"/>
      <c r="BR1717" s="379"/>
      <c r="BS1717" s="379"/>
      <c r="BT1717" s="379"/>
      <c r="BU1717" s="379"/>
      <c r="BV1717" s="379"/>
      <c r="BW1717" s="379"/>
      <c r="BX1717" s="379"/>
      <c r="BY1717" s="379"/>
      <c r="BZ1717" s="379"/>
      <c r="CA1717" s="281"/>
      <c r="CB1717" s="3" t="str">
        <f t="shared" si="273"/>
        <v>Riadok bude skrytý.</v>
      </c>
      <c r="CC1717" s="271" t="s">
        <v>832</v>
      </c>
      <c r="CW1717" s="30">
        <f t="shared" si="270"/>
        <v>1</v>
      </c>
      <c r="CX1717" s="30">
        <f t="shared" si="271"/>
        <v>0</v>
      </c>
      <c r="CZ1717" s="30">
        <f t="shared" si="268"/>
        <v>1</v>
      </c>
      <c r="DA1717" s="52">
        <f t="shared" si="272"/>
        <v>0</v>
      </c>
      <c r="DB1717" s="2">
        <f t="shared" si="269"/>
        <v>0</v>
      </c>
      <c r="DS1717" s="130">
        <f>SI!BY1717</f>
        <v>170</v>
      </c>
      <c r="DZ1717" s="131">
        <f>SI!BZ1717</f>
        <v>0</v>
      </c>
    </row>
    <row r="1718" spans="1:130" hidden="1" x14ac:dyDescent="0.25">
      <c r="A1718" s="141"/>
      <c r="B1718" s="379"/>
      <c r="C1718" s="379"/>
      <c r="D1718" s="379"/>
      <c r="E1718" s="379"/>
      <c r="F1718" s="379"/>
      <c r="G1718" s="379"/>
      <c r="H1718" s="379"/>
      <c r="I1718" s="379"/>
      <c r="J1718" s="379"/>
      <c r="K1718" s="379"/>
      <c r="L1718" s="379"/>
      <c r="M1718" s="379"/>
      <c r="N1718" s="379"/>
      <c r="O1718" s="379"/>
      <c r="P1718" s="379"/>
      <c r="Q1718" s="379"/>
      <c r="R1718" s="379"/>
      <c r="S1718" s="379"/>
      <c r="T1718" s="379"/>
      <c r="U1718" s="379"/>
      <c r="V1718" s="379"/>
      <c r="W1718" s="379"/>
      <c r="X1718" s="379"/>
      <c r="Y1718" s="379"/>
      <c r="Z1718" s="379"/>
      <c r="AA1718" s="379"/>
      <c r="AB1718" s="379"/>
      <c r="AC1718" s="379"/>
      <c r="AD1718" s="379"/>
      <c r="AE1718" s="379"/>
      <c r="AF1718" s="379"/>
      <c r="AG1718" s="379"/>
      <c r="AH1718" s="379"/>
      <c r="AI1718" s="379"/>
      <c r="AJ1718" s="379"/>
      <c r="AK1718" s="379"/>
      <c r="AL1718" s="379"/>
      <c r="AM1718" s="379"/>
      <c r="AN1718" s="379"/>
      <c r="AO1718" s="379"/>
      <c r="AP1718" s="379"/>
      <c r="AQ1718" s="379"/>
      <c r="AR1718" s="379"/>
      <c r="AS1718" s="379"/>
      <c r="AT1718" s="379"/>
      <c r="AU1718" s="379"/>
      <c r="AV1718" s="379"/>
      <c r="AW1718" s="379"/>
      <c r="AX1718" s="379"/>
      <c r="AY1718" s="379"/>
      <c r="AZ1718" s="379"/>
      <c r="BA1718" s="379"/>
      <c r="BB1718" s="379"/>
      <c r="BC1718" s="379"/>
      <c r="BD1718" s="379"/>
      <c r="BE1718" s="379"/>
      <c r="BF1718" s="379"/>
      <c r="BG1718" s="379"/>
      <c r="BH1718" s="379"/>
      <c r="BI1718" s="379"/>
      <c r="BJ1718" s="379"/>
      <c r="BK1718" s="379"/>
      <c r="BL1718" s="379"/>
      <c r="BM1718" s="379"/>
      <c r="BN1718" s="379"/>
      <c r="BO1718" s="379"/>
      <c r="BP1718" s="379"/>
      <c r="BQ1718" s="379"/>
      <c r="BR1718" s="379"/>
      <c r="BS1718" s="379"/>
      <c r="BT1718" s="379"/>
      <c r="BU1718" s="379"/>
      <c r="BV1718" s="379"/>
      <c r="BW1718" s="379"/>
      <c r="BX1718" s="379"/>
      <c r="BY1718" s="379"/>
      <c r="BZ1718" s="379"/>
      <c r="CA1718" s="281"/>
      <c r="CB1718" s="3" t="str">
        <f t="shared" si="273"/>
        <v>Riadok bude skrytý.</v>
      </c>
      <c r="CC1718" s="271" t="s">
        <v>832</v>
      </c>
      <c r="CW1718" s="30">
        <f t="shared" si="270"/>
        <v>1</v>
      </c>
      <c r="CX1718" s="30">
        <f t="shared" si="271"/>
        <v>0</v>
      </c>
      <c r="CZ1718" s="30">
        <f t="shared" si="268"/>
        <v>1</v>
      </c>
      <c r="DA1718" s="52">
        <f t="shared" si="272"/>
        <v>0</v>
      </c>
      <c r="DB1718" s="2">
        <f t="shared" si="269"/>
        <v>0</v>
      </c>
      <c r="DS1718" s="130">
        <f>SI!BY1718</f>
        <v>176</v>
      </c>
      <c r="DZ1718" s="131">
        <f>SI!BZ1718</f>
        <v>0</v>
      </c>
    </row>
    <row r="1719" spans="1:130" hidden="1" x14ac:dyDescent="0.25">
      <c r="A1719" s="141"/>
      <c r="B1719" s="379"/>
      <c r="C1719" s="379"/>
      <c r="D1719" s="379"/>
      <c r="E1719" s="379"/>
      <c r="F1719" s="379"/>
      <c r="G1719" s="379"/>
      <c r="H1719" s="379"/>
      <c r="I1719" s="379"/>
      <c r="J1719" s="379"/>
      <c r="K1719" s="379"/>
      <c r="L1719" s="379"/>
      <c r="M1719" s="379"/>
      <c r="N1719" s="379"/>
      <c r="O1719" s="379"/>
      <c r="P1719" s="379"/>
      <c r="Q1719" s="379"/>
      <c r="R1719" s="379"/>
      <c r="S1719" s="379"/>
      <c r="T1719" s="379"/>
      <c r="U1719" s="379"/>
      <c r="V1719" s="379"/>
      <c r="W1719" s="379"/>
      <c r="X1719" s="379"/>
      <c r="Y1719" s="379"/>
      <c r="Z1719" s="379"/>
      <c r="AA1719" s="379"/>
      <c r="AB1719" s="379"/>
      <c r="AC1719" s="379"/>
      <c r="AD1719" s="379"/>
      <c r="AE1719" s="379"/>
      <c r="AF1719" s="379"/>
      <c r="AG1719" s="379"/>
      <c r="AH1719" s="379"/>
      <c r="AI1719" s="379"/>
      <c r="AJ1719" s="379"/>
      <c r="AK1719" s="379"/>
      <c r="AL1719" s="379"/>
      <c r="AM1719" s="379"/>
      <c r="AN1719" s="379"/>
      <c r="AO1719" s="379"/>
      <c r="AP1719" s="379"/>
      <c r="AQ1719" s="379"/>
      <c r="AR1719" s="379"/>
      <c r="AS1719" s="379"/>
      <c r="AT1719" s="379"/>
      <c r="AU1719" s="379"/>
      <c r="AV1719" s="379"/>
      <c r="AW1719" s="379"/>
      <c r="AX1719" s="379"/>
      <c r="AY1719" s="379"/>
      <c r="AZ1719" s="379"/>
      <c r="BA1719" s="379"/>
      <c r="BB1719" s="379"/>
      <c r="BC1719" s="379"/>
      <c r="BD1719" s="379"/>
      <c r="BE1719" s="379"/>
      <c r="BF1719" s="379"/>
      <c r="BG1719" s="379"/>
      <c r="BH1719" s="379"/>
      <c r="BI1719" s="379"/>
      <c r="BJ1719" s="379"/>
      <c r="BK1719" s="379"/>
      <c r="BL1719" s="379"/>
      <c r="BM1719" s="379"/>
      <c r="BN1719" s="379"/>
      <c r="BO1719" s="379"/>
      <c r="BP1719" s="379"/>
      <c r="BQ1719" s="379"/>
      <c r="BR1719" s="379"/>
      <c r="BS1719" s="379"/>
      <c r="BT1719" s="379"/>
      <c r="BU1719" s="379"/>
      <c r="BV1719" s="379"/>
      <c r="BW1719" s="379"/>
      <c r="BX1719" s="379"/>
      <c r="BY1719" s="379"/>
      <c r="BZ1719" s="379"/>
      <c r="CA1719" s="281"/>
      <c r="CB1719" s="3" t="str">
        <f t="shared" si="273"/>
        <v>Riadok bude skrytý.</v>
      </c>
      <c r="CC1719" s="271" t="s">
        <v>832</v>
      </c>
      <c r="CW1719" s="30">
        <f t="shared" si="270"/>
        <v>1</v>
      </c>
      <c r="CX1719" s="30">
        <f t="shared" si="271"/>
        <v>0</v>
      </c>
      <c r="CZ1719" s="30">
        <f t="shared" si="268"/>
        <v>1</v>
      </c>
      <c r="DA1719" s="52">
        <f t="shared" si="272"/>
        <v>0</v>
      </c>
      <c r="DB1719" s="2">
        <f t="shared" si="269"/>
        <v>0</v>
      </c>
      <c r="DS1719" s="130">
        <f>SI!BY1719</f>
        <v>186</v>
      </c>
      <c r="DZ1719" s="131">
        <f>SI!BZ1719</f>
        <v>0</v>
      </c>
    </row>
    <row r="1720" spans="1:130" hidden="1" x14ac:dyDescent="0.25">
      <c r="A1720" s="141"/>
      <c r="B1720" s="379"/>
      <c r="C1720" s="379"/>
      <c r="D1720" s="379"/>
      <c r="E1720" s="379"/>
      <c r="F1720" s="379"/>
      <c r="G1720" s="379"/>
      <c r="H1720" s="379"/>
      <c r="I1720" s="379"/>
      <c r="J1720" s="379"/>
      <c r="K1720" s="379"/>
      <c r="L1720" s="379"/>
      <c r="M1720" s="379"/>
      <c r="N1720" s="379"/>
      <c r="O1720" s="379"/>
      <c r="P1720" s="379"/>
      <c r="Q1720" s="379"/>
      <c r="R1720" s="379"/>
      <c r="S1720" s="379"/>
      <c r="T1720" s="379"/>
      <c r="U1720" s="379"/>
      <c r="V1720" s="379"/>
      <c r="W1720" s="379"/>
      <c r="X1720" s="379"/>
      <c r="Y1720" s="379"/>
      <c r="Z1720" s="379"/>
      <c r="AA1720" s="379"/>
      <c r="AB1720" s="379"/>
      <c r="AC1720" s="379"/>
      <c r="AD1720" s="379"/>
      <c r="AE1720" s="379"/>
      <c r="AF1720" s="379"/>
      <c r="AG1720" s="379"/>
      <c r="AH1720" s="379"/>
      <c r="AI1720" s="379"/>
      <c r="AJ1720" s="379"/>
      <c r="AK1720" s="379"/>
      <c r="AL1720" s="379"/>
      <c r="AM1720" s="379"/>
      <c r="AN1720" s="379"/>
      <c r="AO1720" s="379"/>
      <c r="AP1720" s="379"/>
      <c r="AQ1720" s="379"/>
      <c r="AR1720" s="379"/>
      <c r="AS1720" s="379"/>
      <c r="AT1720" s="379"/>
      <c r="AU1720" s="379"/>
      <c r="AV1720" s="379"/>
      <c r="AW1720" s="379"/>
      <c r="AX1720" s="379"/>
      <c r="AY1720" s="379"/>
      <c r="AZ1720" s="379"/>
      <c r="BA1720" s="379"/>
      <c r="BB1720" s="379"/>
      <c r="BC1720" s="379"/>
      <c r="BD1720" s="379"/>
      <c r="BE1720" s="379"/>
      <c r="BF1720" s="379"/>
      <c r="BG1720" s="379"/>
      <c r="BH1720" s="379"/>
      <c r="BI1720" s="379"/>
      <c r="BJ1720" s="379"/>
      <c r="BK1720" s="379"/>
      <c r="BL1720" s="379"/>
      <c r="BM1720" s="379"/>
      <c r="BN1720" s="379"/>
      <c r="BO1720" s="379"/>
      <c r="BP1720" s="379"/>
      <c r="BQ1720" s="379"/>
      <c r="BR1720" s="379"/>
      <c r="BS1720" s="379"/>
      <c r="BT1720" s="379"/>
      <c r="BU1720" s="379"/>
      <c r="BV1720" s="379"/>
      <c r="BW1720" s="379"/>
      <c r="BX1720" s="379"/>
      <c r="BY1720" s="379"/>
      <c r="BZ1720" s="379"/>
      <c r="CA1720" s="281"/>
      <c r="CB1720" s="3" t="str">
        <f t="shared" si="273"/>
        <v>Riadok bude skrytý.</v>
      </c>
      <c r="CC1720" s="271" t="s">
        <v>832</v>
      </c>
      <c r="CW1720" s="30">
        <f t="shared" si="270"/>
        <v>1</v>
      </c>
      <c r="CX1720" s="30">
        <f t="shared" si="271"/>
        <v>0</v>
      </c>
      <c r="CZ1720" s="30">
        <f t="shared" si="268"/>
        <v>1</v>
      </c>
      <c r="DA1720" s="52">
        <f t="shared" si="272"/>
        <v>0</v>
      </c>
      <c r="DB1720" s="2">
        <f t="shared" si="269"/>
        <v>0</v>
      </c>
      <c r="DS1720" s="130">
        <f>SI!BY1720</f>
        <v>2</v>
      </c>
      <c r="DZ1720" s="131">
        <f>SI!BZ1720</f>
        <v>0</v>
      </c>
    </row>
    <row r="1721" spans="1:130" hidden="1" x14ac:dyDescent="0.25">
      <c r="A1721" s="141"/>
      <c r="B1721" s="379"/>
      <c r="C1721" s="379"/>
      <c r="D1721" s="379"/>
      <c r="E1721" s="379"/>
      <c r="F1721" s="379"/>
      <c r="G1721" s="379"/>
      <c r="H1721" s="379"/>
      <c r="I1721" s="379"/>
      <c r="J1721" s="379"/>
      <c r="K1721" s="379"/>
      <c r="L1721" s="379"/>
      <c r="M1721" s="379"/>
      <c r="N1721" s="379"/>
      <c r="O1721" s="379"/>
      <c r="P1721" s="379"/>
      <c r="Q1721" s="379"/>
      <c r="R1721" s="379"/>
      <c r="S1721" s="379"/>
      <c r="T1721" s="379"/>
      <c r="U1721" s="379"/>
      <c r="V1721" s="379"/>
      <c r="W1721" s="379"/>
      <c r="X1721" s="379"/>
      <c r="Y1721" s="379"/>
      <c r="Z1721" s="379"/>
      <c r="AA1721" s="379"/>
      <c r="AB1721" s="379"/>
      <c r="AC1721" s="379"/>
      <c r="AD1721" s="379"/>
      <c r="AE1721" s="379"/>
      <c r="AF1721" s="379"/>
      <c r="AG1721" s="379"/>
      <c r="AH1721" s="379"/>
      <c r="AI1721" s="379"/>
      <c r="AJ1721" s="379"/>
      <c r="AK1721" s="379"/>
      <c r="AL1721" s="379"/>
      <c r="AM1721" s="379"/>
      <c r="AN1721" s="379"/>
      <c r="AO1721" s="379"/>
      <c r="AP1721" s="379"/>
      <c r="AQ1721" s="379"/>
      <c r="AR1721" s="379"/>
      <c r="AS1721" s="379"/>
      <c r="AT1721" s="379"/>
      <c r="AU1721" s="379"/>
      <c r="AV1721" s="379"/>
      <c r="AW1721" s="379"/>
      <c r="AX1721" s="379"/>
      <c r="AY1721" s="379"/>
      <c r="AZ1721" s="379"/>
      <c r="BA1721" s="379"/>
      <c r="BB1721" s="379"/>
      <c r="BC1721" s="379"/>
      <c r="BD1721" s="379"/>
      <c r="BE1721" s="379"/>
      <c r="BF1721" s="379"/>
      <c r="BG1721" s="379"/>
      <c r="BH1721" s="379"/>
      <c r="BI1721" s="379"/>
      <c r="BJ1721" s="379"/>
      <c r="BK1721" s="379"/>
      <c r="BL1721" s="379"/>
      <c r="BM1721" s="379"/>
      <c r="BN1721" s="379"/>
      <c r="BO1721" s="379"/>
      <c r="BP1721" s="379"/>
      <c r="BQ1721" s="379"/>
      <c r="BR1721" s="379"/>
      <c r="BS1721" s="379"/>
      <c r="BT1721" s="379"/>
      <c r="BU1721" s="379"/>
      <c r="BV1721" s="379"/>
      <c r="BW1721" s="379"/>
      <c r="BX1721" s="379"/>
      <c r="BY1721" s="379"/>
      <c r="BZ1721" s="379"/>
      <c r="CA1721" s="281"/>
      <c r="CB1721" s="3" t="str">
        <f t="shared" si="273"/>
        <v>Riadok bude skrytý.</v>
      </c>
      <c r="CC1721" s="271" t="s">
        <v>832</v>
      </c>
      <c r="CW1721" s="30">
        <f t="shared" si="270"/>
        <v>1</v>
      </c>
      <c r="CX1721" s="30">
        <f t="shared" si="271"/>
        <v>0</v>
      </c>
      <c r="CZ1721" s="30">
        <f t="shared" si="268"/>
        <v>1</v>
      </c>
      <c r="DA1721" s="52">
        <f t="shared" si="272"/>
        <v>0</v>
      </c>
      <c r="DB1721" s="2">
        <f t="shared" si="269"/>
        <v>0</v>
      </c>
      <c r="DS1721" s="130">
        <f>SI!BY1721</f>
        <v>170</v>
      </c>
      <c r="DZ1721" s="131">
        <f>SI!BZ1721</f>
        <v>0</v>
      </c>
    </row>
    <row r="1722" spans="1:130" hidden="1" x14ac:dyDescent="0.25">
      <c r="A1722" s="141"/>
      <c r="B1722" s="379"/>
      <c r="C1722" s="379"/>
      <c r="D1722" s="379"/>
      <c r="E1722" s="379"/>
      <c r="F1722" s="379"/>
      <c r="G1722" s="379"/>
      <c r="H1722" s="379"/>
      <c r="I1722" s="379"/>
      <c r="J1722" s="379"/>
      <c r="K1722" s="379"/>
      <c r="L1722" s="379"/>
      <c r="M1722" s="379"/>
      <c r="N1722" s="379"/>
      <c r="O1722" s="379"/>
      <c r="P1722" s="379"/>
      <c r="Q1722" s="379"/>
      <c r="R1722" s="379"/>
      <c r="S1722" s="379"/>
      <c r="T1722" s="379"/>
      <c r="U1722" s="379"/>
      <c r="V1722" s="379"/>
      <c r="W1722" s="379"/>
      <c r="X1722" s="379"/>
      <c r="Y1722" s="379"/>
      <c r="Z1722" s="379"/>
      <c r="AA1722" s="379"/>
      <c r="AB1722" s="379"/>
      <c r="AC1722" s="379"/>
      <c r="AD1722" s="379"/>
      <c r="AE1722" s="379"/>
      <c r="AF1722" s="379"/>
      <c r="AG1722" s="379"/>
      <c r="AH1722" s="379"/>
      <c r="AI1722" s="379"/>
      <c r="AJ1722" s="379"/>
      <c r="AK1722" s="379"/>
      <c r="AL1722" s="379"/>
      <c r="AM1722" s="379"/>
      <c r="AN1722" s="379"/>
      <c r="AO1722" s="379"/>
      <c r="AP1722" s="379"/>
      <c r="AQ1722" s="379"/>
      <c r="AR1722" s="379"/>
      <c r="AS1722" s="379"/>
      <c r="AT1722" s="379"/>
      <c r="AU1722" s="379"/>
      <c r="AV1722" s="379"/>
      <c r="AW1722" s="379"/>
      <c r="AX1722" s="379"/>
      <c r="AY1722" s="379"/>
      <c r="AZ1722" s="379"/>
      <c r="BA1722" s="379"/>
      <c r="BB1722" s="379"/>
      <c r="BC1722" s="379"/>
      <c r="BD1722" s="379"/>
      <c r="BE1722" s="379"/>
      <c r="BF1722" s="379"/>
      <c r="BG1722" s="379"/>
      <c r="BH1722" s="379"/>
      <c r="BI1722" s="379"/>
      <c r="BJ1722" s="379"/>
      <c r="BK1722" s="379"/>
      <c r="BL1722" s="379"/>
      <c r="BM1722" s="379"/>
      <c r="BN1722" s="379"/>
      <c r="BO1722" s="379"/>
      <c r="BP1722" s="379"/>
      <c r="BQ1722" s="379"/>
      <c r="BR1722" s="379"/>
      <c r="BS1722" s="379"/>
      <c r="BT1722" s="379"/>
      <c r="BU1722" s="379"/>
      <c r="BV1722" s="379"/>
      <c r="BW1722" s="379"/>
      <c r="BX1722" s="379"/>
      <c r="BY1722" s="379"/>
      <c r="BZ1722" s="379"/>
      <c r="CA1722" s="281"/>
      <c r="CB1722" s="3" t="str">
        <f t="shared" si="273"/>
        <v>Riadok bude skrytý.</v>
      </c>
      <c r="CC1722" s="271" t="s">
        <v>832</v>
      </c>
      <c r="CW1722" s="30">
        <f t="shared" si="270"/>
        <v>1</v>
      </c>
      <c r="CX1722" s="30">
        <f t="shared" si="271"/>
        <v>0</v>
      </c>
      <c r="CZ1722" s="30">
        <f t="shared" si="268"/>
        <v>1</v>
      </c>
      <c r="DA1722" s="52">
        <f t="shared" si="272"/>
        <v>0</v>
      </c>
      <c r="DB1722" s="2">
        <f t="shared" si="269"/>
        <v>0</v>
      </c>
      <c r="DS1722" s="130">
        <f>SI!BY1722</f>
        <v>187</v>
      </c>
      <c r="DZ1722" s="131">
        <f>SI!BZ1722</f>
        <v>0</v>
      </c>
    </row>
    <row r="1723" spans="1:130" hidden="1" x14ac:dyDescent="0.25">
      <c r="A1723" s="141"/>
      <c r="B1723" s="379"/>
      <c r="C1723" s="379"/>
      <c r="D1723" s="379"/>
      <c r="E1723" s="379"/>
      <c r="F1723" s="379"/>
      <c r="G1723" s="379"/>
      <c r="H1723" s="379"/>
      <c r="I1723" s="379"/>
      <c r="J1723" s="379"/>
      <c r="K1723" s="379"/>
      <c r="L1723" s="379"/>
      <c r="M1723" s="379"/>
      <c r="N1723" s="379"/>
      <c r="O1723" s="379"/>
      <c r="P1723" s="379"/>
      <c r="Q1723" s="379"/>
      <c r="R1723" s="379"/>
      <c r="S1723" s="379"/>
      <c r="T1723" s="379"/>
      <c r="U1723" s="379"/>
      <c r="V1723" s="379"/>
      <c r="W1723" s="379"/>
      <c r="X1723" s="379"/>
      <c r="Y1723" s="379"/>
      <c r="Z1723" s="379"/>
      <c r="AA1723" s="379"/>
      <c r="AB1723" s="379"/>
      <c r="AC1723" s="379"/>
      <c r="AD1723" s="379"/>
      <c r="AE1723" s="379"/>
      <c r="AF1723" s="379"/>
      <c r="AG1723" s="379"/>
      <c r="AH1723" s="379"/>
      <c r="AI1723" s="379"/>
      <c r="AJ1723" s="379"/>
      <c r="AK1723" s="379"/>
      <c r="AL1723" s="379"/>
      <c r="AM1723" s="379"/>
      <c r="AN1723" s="379"/>
      <c r="AO1723" s="379"/>
      <c r="AP1723" s="379"/>
      <c r="AQ1723" s="379"/>
      <c r="AR1723" s="379"/>
      <c r="AS1723" s="379"/>
      <c r="AT1723" s="379"/>
      <c r="AU1723" s="379"/>
      <c r="AV1723" s="379"/>
      <c r="AW1723" s="379"/>
      <c r="AX1723" s="379"/>
      <c r="AY1723" s="379"/>
      <c r="AZ1723" s="379"/>
      <c r="BA1723" s="379"/>
      <c r="BB1723" s="379"/>
      <c r="BC1723" s="379"/>
      <c r="BD1723" s="379"/>
      <c r="BE1723" s="379"/>
      <c r="BF1723" s="379"/>
      <c r="BG1723" s="379"/>
      <c r="BH1723" s="379"/>
      <c r="BI1723" s="379"/>
      <c r="BJ1723" s="379"/>
      <c r="BK1723" s="379"/>
      <c r="BL1723" s="379"/>
      <c r="BM1723" s="379"/>
      <c r="BN1723" s="379"/>
      <c r="BO1723" s="379"/>
      <c r="BP1723" s="379"/>
      <c r="BQ1723" s="379"/>
      <c r="BR1723" s="379"/>
      <c r="BS1723" s="379"/>
      <c r="BT1723" s="379"/>
      <c r="BU1723" s="379"/>
      <c r="BV1723" s="379"/>
      <c r="BW1723" s="379"/>
      <c r="BX1723" s="379"/>
      <c r="BY1723" s="379"/>
      <c r="BZ1723" s="379"/>
      <c r="CA1723" s="281"/>
      <c r="CB1723" s="3" t="str">
        <f t="shared" si="273"/>
        <v>Riadok bude skrytý.</v>
      </c>
      <c r="CC1723" s="271" t="s">
        <v>832</v>
      </c>
      <c r="CW1723" s="30">
        <f t="shared" si="270"/>
        <v>1</v>
      </c>
      <c r="CX1723" s="30">
        <f t="shared" si="271"/>
        <v>0</v>
      </c>
      <c r="CZ1723" s="30">
        <f t="shared" si="268"/>
        <v>1</v>
      </c>
      <c r="DA1723" s="52">
        <f t="shared" si="272"/>
        <v>0</v>
      </c>
      <c r="DB1723" s="2">
        <f t="shared" si="269"/>
        <v>0</v>
      </c>
      <c r="DS1723" s="130">
        <f>SI!BY1723</f>
        <v>530</v>
      </c>
      <c r="DZ1723" s="131">
        <f>SI!BZ1723</f>
        <v>0</v>
      </c>
    </row>
    <row r="1724" spans="1:130" hidden="1" x14ac:dyDescent="0.25">
      <c r="A1724" s="141"/>
      <c r="B1724" s="379"/>
      <c r="C1724" s="379"/>
      <c r="D1724" s="379"/>
      <c r="E1724" s="379"/>
      <c r="F1724" s="379"/>
      <c r="G1724" s="379"/>
      <c r="H1724" s="379"/>
      <c r="I1724" s="379"/>
      <c r="J1724" s="379"/>
      <c r="K1724" s="379"/>
      <c r="L1724" s="379"/>
      <c r="M1724" s="379"/>
      <c r="N1724" s="379"/>
      <c r="O1724" s="379"/>
      <c r="P1724" s="379"/>
      <c r="Q1724" s="379"/>
      <c r="R1724" s="379"/>
      <c r="S1724" s="379"/>
      <c r="T1724" s="379"/>
      <c r="U1724" s="379"/>
      <c r="V1724" s="379"/>
      <c r="W1724" s="379"/>
      <c r="X1724" s="379"/>
      <c r="Y1724" s="379"/>
      <c r="Z1724" s="379"/>
      <c r="AA1724" s="379"/>
      <c r="AB1724" s="379"/>
      <c r="AC1724" s="379"/>
      <c r="AD1724" s="379"/>
      <c r="AE1724" s="379"/>
      <c r="AF1724" s="379"/>
      <c r="AG1724" s="379"/>
      <c r="AH1724" s="379"/>
      <c r="AI1724" s="379"/>
      <c r="AJ1724" s="379"/>
      <c r="AK1724" s="379"/>
      <c r="AL1724" s="379"/>
      <c r="AM1724" s="379"/>
      <c r="AN1724" s="379"/>
      <c r="AO1724" s="379"/>
      <c r="AP1724" s="379"/>
      <c r="AQ1724" s="379"/>
      <c r="AR1724" s="379"/>
      <c r="AS1724" s="379"/>
      <c r="AT1724" s="379"/>
      <c r="AU1724" s="379"/>
      <c r="AV1724" s="379"/>
      <c r="AW1724" s="379"/>
      <c r="AX1724" s="379"/>
      <c r="AY1724" s="379"/>
      <c r="AZ1724" s="379"/>
      <c r="BA1724" s="379"/>
      <c r="BB1724" s="379"/>
      <c r="BC1724" s="379"/>
      <c r="BD1724" s="379"/>
      <c r="BE1724" s="379"/>
      <c r="BF1724" s="379"/>
      <c r="BG1724" s="379"/>
      <c r="BH1724" s="379"/>
      <c r="BI1724" s="379"/>
      <c r="BJ1724" s="379"/>
      <c r="BK1724" s="379"/>
      <c r="BL1724" s="379"/>
      <c r="BM1724" s="379"/>
      <c r="BN1724" s="379"/>
      <c r="BO1724" s="379"/>
      <c r="BP1724" s="379"/>
      <c r="BQ1724" s="379"/>
      <c r="BR1724" s="379"/>
      <c r="BS1724" s="379"/>
      <c r="BT1724" s="379"/>
      <c r="BU1724" s="379"/>
      <c r="BV1724" s="379"/>
      <c r="BW1724" s="379"/>
      <c r="BX1724" s="379"/>
      <c r="BY1724" s="379"/>
      <c r="BZ1724" s="379"/>
      <c r="CA1724" s="281"/>
      <c r="CB1724" s="3" t="str">
        <f t="shared" si="273"/>
        <v>Riadok bude skrytý.</v>
      </c>
      <c r="CC1724" s="271" t="s">
        <v>832</v>
      </c>
      <c r="CW1724" s="30">
        <f t="shared" si="270"/>
        <v>1</v>
      </c>
      <c r="CX1724" s="30">
        <f t="shared" si="271"/>
        <v>0</v>
      </c>
      <c r="CZ1724" s="30">
        <f t="shared" si="268"/>
        <v>1</v>
      </c>
      <c r="DA1724" s="52">
        <f t="shared" si="272"/>
        <v>0</v>
      </c>
      <c r="DB1724" s="2">
        <f t="shared" si="269"/>
        <v>0</v>
      </c>
      <c r="DS1724" s="130">
        <f>SI!BY1724</f>
        <v>194</v>
      </c>
      <c r="DZ1724" s="131">
        <f>SI!BZ1724</f>
        <v>0</v>
      </c>
    </row>
    <row r="1725" spans="1:130" hidden="1" x14ac:dyDescent="0.25">
      <c r="A1725" s="141"/>
      <c r="B1725" s="379"/>
      <c r="C1725" s="379"/>
      <c r="D1725" s="379"/>
      <c r="E1725" s="379"/>
      <c r="F1725" s="379"/>
      <c r="G1725" s="379"/>
      <c r="H1725" s="379"/>
      <c r="I1725" s="379"/>
      <c r="J1725" s="379"/>
      <c r="K1725" s="379"/>
      <c r="L1725" s="379"/>
      <c r="M1725" s="379"/>
      <c r="N1725" s="379"/>
      <c r="O1725" s="379"/>
      <c r="P1725" s="379"/>
      <c r="Q1725" s="379"/>
      <c r="R1725" s="379"/>
      <c r="S1725" s="379"/>
      <c r="T1725" s="379"/>
      <c r="U1725" s="379"/>
      <c r="V1725" s="379"/>
      <c r="W1725" s="379"/>
      <c r="X1725" s="379"/>
      <c r="Y1725" s="379"/>
      <c r="Z1725" s="379"/>
      <c r="AA1725" s="379"/>
      <c r="AB1725" s="379"/>
      <c r="AC1725" s="379"/>
      <c r="AD1725" s="379"/>
      <c r="AE1725" s="379"/>
      <c r="AF1725" s="379"/>
      <c r="AG1725" s="379"/>
      <c r="AH1725" s="379"/>
      <c r="AI1725" s="379"/>
      <c r="AJ1725" s="379"/>
      <c r="AK1725" s="379"/>
      <c r="AL1725" s="379"/>
      <c r="AM1725" s="379"/>
      <c r="AN1725" s="379"/>
      <c r="AO1725" s="379"/>
      <c r="AP1725" s="379"/>
      <c r="AQ1725" s="379"/>
      <c r="AR1725" s="379"/>
      <c r="AS1725" s="379"/>
      <c r="AT1725" s="379"/>
      <c r="AU1725" s="379"/>
      <c r="AV1725" s="379"/>
      <c r="AW1725" s="379"/>
      <c r="AX1725" s="379"/>
      <c r="AY1725" s="379"/>
      <c r="AZ1725" s="379"/>
      <c r="BA1725" s="379"/>
      <c r="BB1725" s="379"/>
      <c r="BC1725" s="379"/>
      <c r="BD1725" s="379"/>
      <c r="BE1725" s="379"/>
      <c r="BF1725" s="379"/>
      <c r="BG1725" s="379"/>
      <c r="BH1725" s="379"/>
      <c r="BI1725" s="379"/>
      <c r="BJ1725" s="379"/>
      <c r="BK1725" s="379"/>
      <c r="BL1725" s="379"/>
      <c r="BM1725" s="379"/>
      <c r="BN1725" s="379"/>
      <c r="BO1725" s="379"/>
      <c r="BP1725" s="379"/>
      <c r="BQ1725" s="379"/>
      <c r="BR1725" s="379"/>
      <c r="BS1725" s="379"/>
      <c r="BT1725" s="379"/>
      <c r="BU1725" s="379"/>
      <c r="BV1725" s="379"/>
      <c r="BW1725" s="379"/>
      <c r="BX1725" s="379"/>
      <c r="BY1725" s="379"/>
      <c r="BZ1725" s="379"/>
      <c r="CA1725" s="281"/>
      <c r="CB1725" s="3" t="str">
        <f t="shared" si="273"/>
        <v>Riadok bude skrytý.</v>
      </c>
      <c r="CC1725" s="271" t="s">
        <v>832</v>
      </c>
      <c r="CW1725" s="30">
        <f t="shared" si="270"/>
        <v>1</v>
      </c>
      <c r="CX1725" s="30">
        <f t="shared" si="271"/>
        <v>0</v>
      </c>
      <c r="CZ1725" s="30">
        <f t="shared" si="268"/>
        <v>1</v>
      </c>
      <c r="DA1725" s="52">
        <f t="shared" si="272"/>
        <v>0</v>
      </c>
      <c r="DB1725" s="2">
        <f t="shared" si="269"/>
        <v>0</v>
      </c>
      <c r="DS1725" s="130">
        <f>SI!BY1725</f>
        <v>1057</v>
      </c>
      <c r="DZ1725" s="131">
        <f>SI!BZ1725</f>
        <v>0</v>
      </c>
    </row>
    <row r="1726" spans="1:130" hidden="1" x14ac:dyDescent="0.25">
      <c r="A1726" s="141"/>
      <c r="B1726" s="379"/>
      <c r="C1726" s="379"/>
      <c r="D1726" s="379"/>
      <c r="E1726" s="379"/>
      <c r="F1726" s="379"/>
      <c r="G1726" s="379"/>
      <c r="H1726" s="379"/>
      <c r="I1726" s="379"/>
      <c r="J1726" s="379"/>
      <c r="K1726" s="379"/>
      <c r="L1726" s="379"/>
      <c r="M1726" s="379"/>
      <c r="N1726" s="379"/>
      <c r="O1726" s="379"/>
      <c r="P1726" s="379"/>
      <c r="Q1726" s="379"/>
      <c r="R1726" s="379"/>
      <c r="S1726" s="379"/>
      <c r="T1726" s="379"/>
      <c r="U1726" s="379"/>
      <c r="V1726" s="379"/>
      <c r="W1726" s="379"/>
      <c r="X1726" s="379"/>
      <c r="Y1726" s="379"/>
      <c r="Z1726" s="379"/>
      <c r="AA1726" s="379"/>
      <c r="AB1726" s="379"/>
      <c r="AC1726" s="379"/>
      <c r="AD1726" s="379"/>
      <c r="AE1726" s="379"/>
      <c r="AF1726" s="379"/>
      <c r="AG1726" s="379"/>
      <c r="AH1726" s="379"/>
      <c r="AI1726" s="379"/>
      <c r="AJ1726" s="379"/>
      <c r="AK1726" s="379"/>
      <c r="AL1726" s="379"/>
      <c r="AM1726" s="379"/>
      <c r="AN1726" s="379"/>
      <c r="AO1726" s="379"/>
      <c r="AP1726" s="379"/>
      <c r="AQ1726" s="379"/>
      <c r="AR1726" s="379"/>
      <c r="AS1726" s="379"/>
      <c r="AT1726" s="379"/>
      <c r="AU1726" s="379"/>
      <c r="AV1726" s="379"/>
      <c r="AW1726" s="379"/>
      <c r="AX1726" s="379"/>
      <c r="AY1726" s="379"/>
      <c r="AZ1726" s="379"/>
      <c r="BA1726" s="379"/>
      <c r="BB1726" s="379"/>
      <c r="BC1726" s="379"/>
      <c r="BD1726" s="379"/>
      <c r="BE1726" s="379"/>
      <c r="BF1726" s="379"/>
      <c r="BG1726" s="379"/>
      <c r="BH1726" s="379"/>
      <c r="BI1726" s="379"/>
      <c r="BJ1726" s="379"/>
      <c r="BK1726" s="379"/>
      <c r="BL1726" s="379"/>
      <c r="BM1726" s="379"/>
      <c r="BN1726" s="379"/>
      <c r="BO1726" s="379"/>
      <c r="BP1726" s="379"/>
      <c r="BQ1726" s="379"/>
      <c r="BR1726" s="379"/>
      <c r="BS1726" s="379"/>
      <c r="BT1726" s="379"/>
      <c r="BU1726" s="379"/>
      <c r="BV1726" s="379"/>
      <c r="BW1726" s="379"/>
      <c r="BX1726" s="379"/>
      <c r="BY1726" s="379"/>
      <c r="BZ1726" s="379"/>
      <c r="CA1726" s="281"/>
      <c r="CB1726" s="3" t="str">
        <f t="shared" si="273"/>
        <v>Riadok bude skrytý.</v>
      </c>
      <c r="CC1726" s="271" t="s">
        <v>832</v>
      </c>
      <c r="CW1726" s="30">
        <f t="shared" si="270"/>
        <v>1</v>
      </c>
      <c r="CX1726" s="30">
        <f t="shared" si="271"/>
        <v>0</v>
      </c>
      <c r="CZ1726" s="30">
        <f t="shared" si="268"/>
        <v>1</v>
      </c>
      <c r="DA1726" s="52">
        <f t="shared" si="272"/>
        <v>0</v>
      </c>
      <c r="DB1726" s="2">
        <f t="shared" si="269"/>
        <v>0</v>
      </c>
      <c r="DS1726" s="130">
        <f>SI!BY1726</f>
        <v>181</v>
      </c>
      <c r="DZ1726" s="131">
        <f>SI!BZ1726</f>
        <v>0</v>
      </c>
    </row>
    <row r="1727" spans="1:130" hidden="1" x14ac:dyDescent="0.25">
      <c r="A1727" s="141"/>
      <c r="B1727" s="379"/>
      <c r="C1727" s="379"/>
      <c r="D1727" s="379"/>
      <c r="E1727" s="379"/>
      <c r="F1727" s="379"/>
      <c r="G1727" s="379"/>
      <c r="H1727" s="379"/>
      <c r="I1727" s="379"/>
      <c r="J1727" s="379"/>
      <c r="K1727" s="379"/>
      <c r="L1727" s="379"/>
      <c r="M1727" s="379"/>
      <c r="N1727" s="379"/>
      <c r="O1727" s="379"/>
      <c r="P1727" s="379"/>
      <c r="Q1727" s="379"/>
      <c r="R1727" s="379"/>
      <c r="S1727" s="379"/>
      <c r="T1727" s="379"/>
      <c r="U1727" s="379"/>
      <c r="V1727" s="379"/>
      <c r="W1727" s="379"/>
      <c r="X1727" s="379"/>
      <c r="Y1727" s="379"/>
      <c r="Z1727" s="379"/>
      <c r="AA1727" s="379"/>
      <c r="AB1727" s="379"/>
      <c r="AC1727" s="379"/>
      <c r="AD1727" s="379"/>
      <c r="AE1727" s="379"/>
      <c r="AF1727" s="379"/>
      <c r="AG1727" s="379"/>
      <c r="AH1727" s="379"/>
      <c r="AI1727" s="379"/>
      <c r="AJ1727" s="379"/>
      <c r="AK1727" s="379"/>
      <c r="AL1727" s="379"/>
      <c r="AM1727" s="379"/>
      <c r="AN1727" s="379"/>
      <c r="AO1727" s="379"/>
      <c r="AP1727" s="379"/>
      <c r="AQ1727" s="379"/>
      <c r="AR1727" s="379"/>
      <c r="AS1727" s="379"/>
      <c r="AT1727" s="379"/>
      <c r="AU1727" s="379"/>
      <c r="AV1727" s="379"/>
      <c r="AW1727" s="379"/>
      <c r="AX1727" s="379"/>
      <c r="AY1727" s="379"/>
      <c r="AZ1727" s="379"/>
      <c r="BA1727" s="379"/>
      <c r="BB1727" s="379"/>
      <c r="BC1727" s="379"/>
      <c r="BD1727" s="379"/>
      <c r="BE1727" s="379"/>
      <c r="BF1727" s="379"/>
      <c r="BG1727" s="379"/>
      <c r="BH1727" s="379"/>
      <c r="BI1727" s="379"/>
      <c r="BJ1727" s="379"/>
      <c r="BK1727" s="379"/>
      <c r="BL1727" s="379"/>
      <c r="BM1727" s="379"/>
      <c r="BN1727" s="379"/>
      <c r="BO1727" s="379"/>
      <c r="BP1727" s="379"/>
      <c r="BQ1727" s="379"/>
      <c r="BR1727" s="379"/>
      <c r="BS1727" s="379"/>
      <c r="BT1727" s="379"/>
      <c r="BU1727" s="379"/>
      <c r="BV1727" s="379"/>
      <c r="BW1727" s="379"/>
      <c r="BX1727" s="379"/>
      <c r="BY1727" s="379"/>
      <c r="BZ1727" s="379"/>
      <c r="CA1727" s="281"/>
      <c r="CB1727" s="3" t="str">
        <f t="shared" si="273"/>
        <v>Riadok bude skrytý.</v>
      </c>
      <c r="CC1727" s="271" t="s">
        <v>832</v>
      </c>
      <c r="CW1727" s="30">
        <f t="shared" si="270"/>
        <v>1</v>
      </c>
      <c r="CX1727" s="30">
        <f t="shared" si="271"/>
        <v>0</v>
      </c>
      <c r="CZ1727" s="30">
        <f t="shared" si="268"/>
        <v>1</v>
      </c>
      <c r="DA1727" s="52">
        <f t="shared" si="272"/>
        <v>0</v>
      </c>
      <c r="DB1727" s="2">
        <f t="shared" si="269"/>
        <v>0</v>
      </c>
      <c r="DS1727" s="130">
        <f>SI!BY1727</f>
        <v>664</v>
      </c>
      <c r="DZ1727" s="131">
        <f>SI!BZ1727</f>
        <v>0</v>
      </c>
    </row>
    <row r="1728" spans="1:130" hidden="1" x14ac:dyDescent="0.25">
      <c r="A1728" s="141"/>
      <c r="CA1728" s="270"/>
      <c r="CB1728" s="3" t="str">
        <f t="shared" si="273"/>
        <v>Riadok bude skrytý.</v>
      </c>
      <c r="CC1728" s="271" t="s">
        <v>832</v>
      </c>
      <c r="CW1728" s="30">
        <f t="shared" si="270"/>
        <v>1</v>
      </c>
      <c r="CZ1728" s="30">
        <f t="shared" si="268"/>
        <v>1</v>
      </c>
      <c r="DA1728" s="30">
        <f t="shared" si="267"/>
        <v>1</v>
      </c>
      <c r="DB1728" s="2">
        <f t="shared" si="269"/>
        <v>0</v>
      </c>
      <c r="DS1728" s="130">
        <f>SI!BY1728</f>
        <v>134</v>
      </c>
      <c r="DZ1728" s="131">
        <f>SI!BZ1728</f>
        <v>0</v>
      </c>
    </row>
    <row r="1729" spans="1:132" ht="14.95" hidden="1" customHeight="1" x14ac:dyDescent="0.25">
      <c r="A1729" s="141"/>
      <c r="B1729" s="439" t="str">
        <f>+IF(LEN(SI!$J$4)=Poznamky_k_UZ!DZ1729,"Krátkodobý finančný majetok","")</f>
        <v>Krátkodobý finančný majetok</v>
      </c>
      <c r="C1729" s="440"/>
      <c r="D1729" s="440"/>
      <c r="E1729" s="440"/>
      <c r="F1729" s="440"/>
      <c r="G1729" s="440"/>
      <c r="H1729" s="440"/>
      <c r="I1729" s="440"/>
      <c r="J1729" s="440"/>
      <c r="K1729" s="440"/>
      <c r="L1729" s="440"/>
      <c r="M1729" s="440"/>
      <c r="N1729" s="440"/>
      <c r="O1729" s="440"/>
      <c r="P1729" s="440"/>
      <c r="Q1729" s="440"/>
      <c r="R1729" s="440"/>
      <c r="S1729" s="440"/>
      <c r="T1729" s="440"/>
      <c r="U1729" s="440"/>
      <c r="V1729" s="440"/>
      <c r="W1729" s="440"/>
      <c r="X1729" s="440"/>
      <c r="Y1729" s="440"/>
      <c r="Z1729" s="440"/>
      <c r="AA1729" s="440"/>
      <c r="AB1729" s="440"/>
      <c r="AC1729" s="440"/>
      <c r="AD1729" s="440"/>
      <c r="AE1729" s="440"/>
      <c r="AF1729" s="440"/>
      <c r="AG1729" s="441"/>
      <c r="AH1729" s="650">
        <f>+AJ141</f>
        <v>2021</v>
      </c>
      <c r="AI1729" s="391"/>
      <c r="AJ1729" s="391"/>
      <c r="AK1729" s="391"/>
      <c r="AL1729" s="391"/>
      <c r="AM1729" s="391"/>
      <c r="AN1729" s="391"/>
      <c r="AO1729" s="391"/>
      <c r="AP1729" s="391"/>
      <c r="AQ1729" s="391"/>
      <c r="AR1729" s="391"/>
      <c r="AS1729" s="391"/>
      <c r="AT1729" s="391"/>
      <c r="AU1729" s="391"/>
      <c r="AV1729" s="391"/>
      <c r="AW1729" s="391"/>
      <c r="AX1729" s="391"/>
      <c r="AY1729" s="391"/>
      <c r="AZ1729" s="391"/>
      <c r="BA1729" s="391"/>
      <c r="BB1729" s="391"/>
      <c r="BC1729" s="391"/>
      <c r="BD1729" s="391"/>
      <c r="BE1729" s="391"/>
      <c r="BF1729" s="391"/>
      <c r="BG1729" s="391"/>
      <c r="BH1729" s="391"/>
      <c r="BI1729" s="391"/>
      <c r="BJ1729" s="391"/>
      <c r="BK1729" s="391"/>
      <c r="BL1729" s="391"/>
      <c r="BM1729" s="391"/>
      <c r="BN1729" s="391"/>
      <c r="BO1729" s="391"/>
      <c r="BP1729" s="391"/>
      <c r="BQ1729" s="391"/>
      <c r="BR1729" s="391"/>
      <c r="BS1729" s="391"/>
      <c r="BT1729" s="391"/>
      <c r="BU1729" s="391"/>
      <c r="BV1729" s="391"/>
      <c r="BW1729" s="391"/>
      <c r="BX1729" s="391"/>
      <c r="BY1729" s="391"/>
      <c r="BZ1729" s="392"/>
      <c r="CA1729" s="265" t="s">
        <v>773</v>
      </c>
      <c r="CB1729" s="3" t="str">
        <f t="shared" si="273"/>
        <v>Riadok bude skrytý.</v>
      </c>
      <c r="CC1729" s="271" t="s">
        <v>832</v>
      </c>
      <c r="CD1729" s="4"/>
      <c r="CW1729" s="30">
        <f t="shared" si="270"/>
        <v>1</v>
      </c>
      <c r="CZ1729" s="30">
        <f t="shared" si="268"/>
        <v>1</v>
      </c>
      <c r="DA1729" s="30">
        <f t="shared" si="267"/>
        <v>1</v>
      </c>
      <c r="DB1729" s="2">
        <f t="shared" si="269"/>
        <v>0</v>
      </c>
      <c r="DS1729" s="130">
        <f>SI!BY1729</f>
        <v>193</v>
      </c>
      <c r="DZ1729" s="131">
        <f>SI!BZ1729</f>
        <v>2</v>
      </c>
    </row>
    <row r="1730" spans="1:132" ht="14.95" hidden="1" customHeight="1" x14ac:dyDescent="0.25">
      <c r="A1730" s="141"/>
      <c r="B1730" s="1019"/>
      <c r="C1730" s="1020"/>
      <c r="D1730" s="1020"/>
      <c r="E1730" s="1020"/>
      <c r="F1730" s="1020"/>
      <c r="G1730" s="1020"/>
      <c r="H1730" s="1020"/>
      <c r="I1730" s="1020"/>
      <c r="J1730" s="1020"/>
      <c r="K1730" s="1020"/>
      <c r="L1730" s="1020"/>
      <c r="M1730" s="1020"/>
      <c r="N1730" s="1020"/>
      <c r="O1730" s="1020"/>
      <c r="P1730" s="1020"/>
      <c r="Q1730" s="1020"/>
      <c r="R1730" s="1020"/>
      <c r="S1730" s="1020"/>
      <c r="T1730" s="1020"/>
      <c r="U1730" s="1020"/>
      <c r="V1730" s="1020"/>
      <c r="W1730" s="1020"/>
      <c r="X1730" s="1020"/>
      <c r="Y1730" s="1020"/>
      <c r="Z1730" s="1020"/>
      <c r="AA1730" s="1020"/>
      <c r="AB1730" s="1020"/>
      <c r="AC1730" s="1020"/>
      <c r="AD1730" s="1020"/>
      <c r="AE1730" s="1020"/>
      <c r="AF1730" s="1020"/>
      <c r="AG1730" s="1232"/>
      <c r="AH1730" s="543" t="s">
        <v>112</v>
      </c>
      <c r="AI1730" s="544"/>
      <c r="AJ1730" s="544"/>
      <c r="AK1730" s="544"/>
      <c r="AL1730" s="544"/>
      <c r="AM1730" s="544"/>
      <c r="AN1730" s="544"/>
      <c r="AO1730" s="544"/>
      <c r="AP1730" s="544"/>
      <c r="AQ1730" s="544"/>
      <c r="AR1730" s="544"/>
      <c r="AS1730" s="545"/>
      <c r="AT1730" s="543" t="s">
        <v>113</v>
      </c>
      <c r="AU1730" s="544"/>
      <c r="AV1730" s="544"/>
      <c r="AW1730" s="544"/>
      <c r="AX1730" s="544"/>
      <c r="AY1730" s="544"/>
      <c r="AZ1730" s="544"/>
      <c r="BA1730" s="544"/>
      <c r="BB1730" s="544"/>
      <c r="BC1730" s="544"/>
      <c r="BD1730" s="545"/>
      <c r="BE1730" s="543" t="s">
        <v>114</v>
      </c>
      <c r="BF1730" s="544"/>
      <c r="BG1730" s="544"/>
      <c r="BH1730" s="544"/>
      <c r="BI1730" s="544"/>
      <c r="BJ1730" s="544"/>
      <c r="BK1730" s="544"/>
      <c r="BL1730" s="544"/>
      <c r="BM1730" s="544"/>
      <c r="BN1730" s="544"/>
      <c r="BO1730" s="545"/>
      <c r="BP1730" s="543" t="s">
        <v>146</v>
      </c>
      <c r="BQ1730" s="544"/>
      <c r="BR1730" s="544"/>
      <c r="BS1730" s="544"/>
      <c r="BT1730" s="544"/>
      <c r="BU1730" s="544"/>
      <c r="BV1730" s="544"/>
      <c r="BW1730" s="544"/>
      <c r="BX1730" s="544"/>
      <c r="BY1730" s="544"/>
      <c r="BZ1730" s="545"/>
      <c r="CA1730" s="270"/>
      <c r="CB1730" s="3" t="str">
        <f t="shared" si="273"/>
        <v>Riadok bude skrytý.</v>
      </c>
      <c r="CC1730" s="271" t="s">
        <v>832</v>
      </c>
      <c r="CD1730" s="4" t="s">
        <v>764</v>
      </c>
      <c r="CW1730" s="30">
        <f t="shared" si="270"/>
        <v>1</v>
      </c>
      <c r="CZ1730" s="30">
        <f t="shared" si="268"/>
        <v>1</v>
      </c>
      <c r="DA1730" s="30">
        <f t="shared" si="267"/>
        <v>1</v>
      </c>
      <c r="DB1730" s="2">
        <f t="shared" si="269"/>
        <v>0</v>
      </c>
      <c r="DS1730" s="130">
        <f>SI!BY1730</f>
        <v>187</v>
      </c>
      <c r="DZ1730" s="131">
        <f>SI!BZ1730</f>
        <v>2</v>
      </c>
    </row>
    <row r="1731" spans="1:132" hidden="1" x14ac:dyDescent="0.25">
      <c r="A1731" s="141"/>
      <c r="B1731" s="442"/>
      <c r="C1731" s="443"/>
      <c r="D1731" s="443"/>
      <c r="E1731" s="443"/>
      <c r="F1731" s="443"/>
      <c r="G1731" s="443"/>
      <c r="H1731" s="443"/>
      <c r="I1731" s="443"/>
      <c r="J1731" s="443"/>
      <c r="K1731" s="443"/>
      <c r="L1731" s="443"/>
      <c r="M1731" s="443"/>
      <c r="N1731" s="443"/>
      <c r="O1731" s="443"/>
      <c r="P1731" s="443"/>
      <c r="Q1731" s="443"/>
      <c r="R1731" s="443"/>
      <c r="S1731" s="443"/>
      <c r="T1731" s="443"/>
      <c r="U1731" s="443"/>
      <c r="V1731" s="443"/>
      <c r="W1731" s="443"/>
      <c r="X1731" s="443"/>
      <c r="Y1731" s="443"/>
      <c r="Z1731" s="443"/>
      <c r="AA1731" s="443"/>
      <c r="AB1731" s="443"/>
      <c r="AC1731" s="443"/>
      <c r="AD1731" s="443"/>
      <c r="AE1731" s="443"/>
      <c r="AF1731" s="443"/>
      <c r="AG1731" s="444"/>
      <c r="AH1731" s="546"/>
      <c r="AI1731" s="547"/>
      <c r="AJ1731" s="547"/>
      <c r="AK1731" s="547"/>
      <c r="AL1731" s="547"/>
      <c r="AM1731" s="547"/>
      <c r="AN1731" s="547"/>
      <c r="AO1731" s="547"/>
      <c r="AP1731" s="547"/>
      <c r="AQ1731" s="547"/>
      <c r="AR1731" s="547"/>
      <c r="AS1731" s="548"/>
      <c r="AT1731" s="546"/>
      <c r="AU1731" s="547"/>
      <c r="AV1731" s="547"/>
      <c r="AW1731" s="547"/>
      <c r="AX1731" s="547"/>
      <c r="AY1731" s="547"/>
      <c r="AZ1731" s="547"/>
      <c r="BA1731" s="547"/>
      <c r="BB1731" s="547"/>
      <c r="BC1731" s="547"/>
      <c r="BD1731" s="548"/>
      <c r="BE1731" s="546"/>
      <c r="BF1731" s="547"/>
      <c r="BG1731" s="547"/>
      <c r="BH1731" s="547"/>
      <c r="BI1731" s="547"/>
      <c r="BJ1731" s="547"/>
      <c r="BK1731" s="547"/>
      <c r="BL1731" s="547"/>
      <c r="BM1731" s="547"/>
      <c r="BN1731" s="547"/>
      <c r="BO1731" s="548"/>
      <c r="BP1731" s="546"/>
      <c r="BQ1731" s="547"/>
      <c r="BR1731" s="547"/>
      <c r="BS1731" s="547"/>
      <c r="BT1731" s="547"/>
      <c r="BU1731" s="547"/>
      <c r="BV1731" s="547"/>
      <c r="BW1731" s="547"/>
      <c r="BX1731" s="547"/>
      <c r="BY1731" s="547"/>
      <c r="BZ1731" s="548"/>
      <c r="CA1731" s="270"/>
      <c r="CB1731" s="3" t="str">
        <f t="shared" si="273"/>
        <v>Riadok bude skrytý.</v>
      </c>
      <c r="CC1731" s="271" t="s">
        <v>832</v>
      </c>
      <c r="CW1731" s="30">
        <f t="shared" si="270"/>
        <v>1</v>
      </c>
      <c r="CZ1731" s="30">
        <f t="shared" si="268"/>
        <v>1</v>
      </c>
      <c r="DA1731" s="30">
        <f t="shared" si="267"/>
        <v>1</v>
      </c>
      <c r="DB1731" s="2">
        <f t="shared" si="269"/>
        <v>0</v>
      </c>
      <c r="DS1731" s="130">
        <f>SI!BY1731</f>
        <v>264</v>
      </c>
      <c r="DZ1731" s="131">
        <f>SI!BZ1731</f>
        <v>2</v>
      </c>
    </row>
    <row r="1732" spans="1:132" s="6" customFormat="1" ht="14.95" hidden="1" customHeight="1" x14ac:dyDescent="0.25">
      <c r="A1732" s="226"/>
      <c r="B1732" s="524" t="str">
        <f>+IF(LEN(SI!$J$4)=Poznamky_k_UZ!DZ1732,"a","")</f>
        <v>a</v>
      </c>
      <c r="C1732" s="525"/>
      <c r="D1732" s="525"/>
      <c r="E1732" s="525"/>
      <c r="F1732" s="525"/>
      <c r="G1732" s="525"/>
      <c r="H1732" s="525"/>
      <c r="I1732" s="525"/>
      <c r="J1732" s="525"/>
      <c r="K1732" s="525"/>
      <c r="L1732" s="525"/>
      <c r="M1732" s="525"/>
      <c r="N1732" s="525"/>
      <c r="O1732" s="525"/>
      <c r="P1732" s="525"/>
      <c r="Q1732" s="525"/>
      <c r="R1732" s="525"/>
      <c r="S1732" s="525"/>
      <c r="T1732" s="525"/>
      <c r="U1732" s="525"/>
      <c r="V1732" s="525"/>
      <c r="W1732" s="525"/>
      <c r="X1732" s="525"/>
      <c r="Y1732" s="525"/>
      <c r="Z1732" s="525"/>
      <c r="AA1732" s="525"/>
      <c r="AB1732" s="525"/>
      <c r="AC1732" s="525"/>
      <c r="AD1732" s="525"/>
      <c r="AE1732" s="525"/>
      <c r="AF1732" s="525"/>
      <c r="AG1732" s="723"/>
      <c r="AH1732" s="524" t="s">
        <v>1</v>
      </c>
      <c r="AI1732" s="525"/>
      <c r="AJ1732" s="525"/>
      <c r="AK1732" s="525"/>
      <c r="AL1732" s="525"/>
      <c r="AM1732" s="525"/>
      <c r="AN1732" s="525"/>
      <c r="AO1732" s="525"/>
      <c r="AP1732" s="525"/>
      <c r="AQ1732" s="525"/>
      <c r="AR1732" s="525"/>
      <c r="AS1732" s="723"/>
      <c r="AT1732" s="524" t="s">
        <v>2</v>
      </c>
      <c r="AU1732" s="525"/>
      <c r="AV1732" s="525"/>
      <c r="AW1732" s="525"/>
      <c r="AX1732" s="525"/>
      <c r="AY1732" s="525"/>
      <c r="AZ1732" s="525"/>
      <c r="BA1732" s="525"/>
      <c r="BB1732" s="525"/>
      <c r="BC1732" s="525"/>
      <c r="BD1732" s="723"/>
      <c r="BE1732" s="524" t="s">
        <v>28</v>
      </c>
      <c r="BF1732" s="525"/>
      <c r="BG1732" s="525"/>
      <c r="BH1732" s="525"/>
      <c r="BI1732" s="525"/>
      <c r="BJ1732" s="525"/>
      <c r="BK1732" s="525"/>
      <c r="BL1732" s="525"/>
      <c r="BM1732" s="525"/>
      <c r="BN1732" s="525"/>
      <c r="BO1732" s="723"/>
      <c r="BP1732" s="524" t="s">
        <v>29</v>
      </c>
      <c r="BQ1732" s="525"/>
      <c r="BR1732" s="525"/>
      <c r="BS1732" s="525"/>
      <c r="BT1732" s="525"/>
      <c r="BU1732" s="525"/>
      <c r="BV1732" s="525"/>
      <c r="BW1732" s="525"/>
      <c r="BX1732" s="525"/>
      <c r="BY1732" s="525"/>
      <c r="BZ1732" s="723"/>
      <c r="CA1732" s="270"/>
      <c r="CB1732" s="3" t="str">
        <f t="shared" si="273"/>
        <v>Riadok bude skrytý.</v>
      </c>
      <c r="CC1732" s="271" t="s">
        <v>832</v>
      </c>
      <c r="CW1732" s="30">
        <f t="shared" si="270"/>
        <v>1</v>
      </c>
      <c r="CZ1732" s="30">
        <f t="shared" si="268"/>
        <v>1</v>
      </c>
      <c r="DA1732" s="30">
        <f t="shared" si="267"/>
        <v>1</v>
      </c>
      <c r="DB1732" s="2">
        <f t="shared" si="269"/>
        <v>0</v>
      </c>
      <c r="DR1732" s="82"/>
      <c r="DS1732" s="130">
        <f>SI!BY1732</f>
        <v>114</v>
      </c>
      <c r="DT1732" s="130"/>
      <c r="DU1732" s="130"/>
      <c r="DV1732" s="130"/>
      <c r="DW1732" s="130"/>
      <c r="DX1732" s="130"/>
      <c r="DY1732" s="130"/>
      <c r="DZ1732" s="131">
        <f>SI!BZ1732</f>
        <v>2</v>
      </c>
      <c r="EA1732" s="82"/>
      <c r="EB1732" s="82"/>
    </row>
    <row r="1733" spans="1:132" hidden="1" x14ac:dyDescent="0.25">
      <c r="A1733" s="141"/>
      <c r="B1733" s="1607" t="str">
        <f>+IF(LEN(SI!$J$4)=Poznamky_k_UZ!DZ1733,"Majetkové CP na obchodovanie","")</f>
        <v>Majetkové CP na obchodovanie</v>
      </c>
      <c r="C1733" s="1608"/>
      <c r="D1733" s="1608"/>
      <c r="E1733" s="1608"/>
      <c r="F1733" s="1608"/>
      <c r="G1733" s="1608"/>
      <c r="H1733" s="1608"/>
      <c r="I1733" s="1608"/>
      <c r="J1733" s="1608"/>
      <c r="K1733" s="1608"/>
      <c r="L1733" s="1608"/>
      <c r="M1733" s="1608"/>
      <c r="N1733" s="1608"/>
      <c r="O1733" s="1608"/>
      <c r="P1733" s="1608"/>
      <c r="Q1733" s="1608"/>
      <c r="R1733" s="1608"/>
      <c r="S1733" s="1608"/>
      <c r="T1733" s="1608"/>
      <c r="U1733" s="1608"/>
      <c r="V1733" s="1608"/>
      <c r="W1733" s="1608"/>
      <c r="X1733" s="1608"/>
      <c r="Y1733" s="1608"/>
      <c r="Z1733" s="1608"/>
      <c r="AA1733" s="1608"/>
      <c r="AB1733" s="1608"/>
      <c r="AC1733" s="1608"/>
      <c r="AD1733" s="1608"/>
      <c r="AE1733" s="1608"/>
      <c r="AF1733" s="1608"/>
      <c r="AG1733" s="1609"/>
      <c r="AH1733" s="417"/>
      <c r="AI1733" s="418"/>
      <c r="AJ1733" s="418"/>
      <c r="AK1733" s="418"/>
      <c r="AL1733" s="418"/>
      <c r="AM1733" s="418"/>
      <c r="AN1733" s="418"/>
      <c r="AO1733" s="418"/>
      <c r="AP1733" s="418"/>
      <c r="AQ1733" s="418"/>
      <c r="AR1733" s="418"/>
      <c r="AS1733" s="419"/>
      <c r="AT1733" s="417"/>
      <c r="AU1733" s="418"/>
      <c r="AV1733" s="418"/>
      <c r="AW1733" s="418"/>
      <c r="AX1733" s="418"/>
      <c r="AY1733" s="418"/>
      <c r="AZ1733" s="418"/>
      <c r="BA1733" s="418"/>
      <c r="BB1733" s="418"/>
      <c r="BC1733" s="418"/>
      <c r="BD1733" s="419"/>
      <c r="BE1733" s="417"/>
      <c r="BF1733" s="418"/>
      <c r="BG1733" s="418"/>
      <c r="BH1733" s="418"/>
      <c r="BI1733" s="418"/>
      <c r="BJ1733" s="418"/>
      <c r="BK1733" s="418"/>
      <c r="BL1733" s="418"/>
      <c r="BM1733" s="418"/>
      <c r="BN1733" s="418"/>
      <c r="BO1733" s="419"/>
      <c r="BP1733" s="1222">
        <f t="shared" ref="BP1733:BP1739" si="274">+SUM(AH1733:BO1733)</f>
        <v>0</v>
      </c>
      <c r="BQ1733" s="1223"/>
      <c r="BR1733" s="1223"/>
      <c r="BS1733" s="1223"/>
      <c r="BT1733" s="1223"/>
      <c r="BU1733" s="1223"/>
      <c r="BV1733" s="1223"/>
      <c r="BW1733" s="1223"/>
      <c r="BX1733" s="1223"/>
      <c r="BY1733" s="1223"/>
      <c r="BZ1733" s="1224"/>
      <c r="CA1733" s="270"/>
      <c r="CB1733" s="3" t="str">
        <f t="shared" si="273"/>
        <v>Riadok bude skrytý.</v>
      </c>
      <c r="CC1733" s="271" t="s">
        <v>832</v>
      </c>
      <c r="CW1733" s="30">
        <f t="shared" si="270"/>
        <v>1</v>
      </c>
      <c r="CZ1733" s="30">
        <f t="shared" si="268"/>
        <v>1</v>
      </c>
      <c r="DA1733" s="30">
        <f t="shared" si="267"/>
        <v>1</v>
      </c>
      <c r="DB1733" s="2">
        <f t="shared" si="269"/>
        <v>0</v>
      </c>
      <c r="DS1733" s="130">
        <f>SI!BY1733</f>
        <v>481</v>
      </c>
      <c r="DZ1733" s="131">
        <f>SI!BZ1733</f>
        <v>2</v>
      </c>
    </row>
    <row r="1734" spans="1:132" hidden="1" x14ac:dyDescent="0.25">
      <c r="A1734" s="141"/>
      <c r="B1734" s="680" t="str">
        <f>+IF(LEN(SI!$J$4)=Poznamky_k_UZ!DZ1734,"Dlhové CP na obchodovanie","")</f>
        <v>Dlhové CP na obchodovanie</v>
      </c>
      <c r="C1734" s="681"/>
      <c r="D1734" s="681"/>
      <c r="E1734" s="681"/>
      <c r="F1734" s="681"/>
      <c r="G1734" s="681"/>
      <c r="H1734" s="681"/>
      <c r="I1734" s="681"/>
      <c r="J1734" s="681"/>
      <c r="K1734" s="681"/>
      <c r="L1734" s="681"/>
      <c r="M1734" s="681"/>
      <c r="N1734" s="681"/>
      <c r="O1734" s="681"/>
      <c r="P1734" s="681"/>
      <c r="Q1734" s="681"/>
      <c r="R1734" s="681"/>
      <c r="S1734" s="681"/>
      <c r="T1734" s="681"/>
      <c r="U1734" s="681"/>
      <c r="V1734" s="681"/>
      <c r="W1734" s="681"/>
      <c r="X1734" s="681"/>
      <c r="Y1734" s="681"/>
      <c r="Z1734" s="681"/>
      <c r="AA1734" s="681"/>
      <c r="AB1734" s="681"/>
      <c r="AC1734" s="681"/>
      <c r="AD1734" s="681"/>
      <c r="AE1734" s="681"/>
      <c r="AF1734" s="681"/>
      <c r="AG1734" s="1619"/>
      <c r="AH1734" s="511"/>
      <c r="AI1734" s="482"/>
      <c r="AJ1734" s="482"/>
      <c r="AK1734" s="482"/>
      <c r="AL1734" s="482"/>
      <c r="AM1734" s="482"/>
      <c r="AN1734" s="482"/>
      <c r="AO1734" s="482"/>
      <c r="AP1734" s="482"/>
      <c r="AQ1734" s="482"/>
      <c r="AR1734" s="482"/>
      <c r="AS1734" s="483"/>
      <c r="AT1734" s="511"/>
      <c r="AU1734" s="482"/>
      <c r="AV1734" s="482"/>
      <c r="AW1734" s="482"/>
      <c r="AX1734" s="482"/>
      <c r="AY1734" s="482"/>
      <c r="AZ1734" s="482"/>
      <c r="BA1734" s="482"/>
      <c r="BB1734" s="482"/>
      <c r="BC1734" s="482"/>
      <c r="BD1734" s="483"/>
      <c r="BE1734" s="511"/>
      <c r="BF1734" s="482"/>
      <c r="BG1734" s="482"/>
      <c r="BH1734" s="482"/>
      <c r="BI1734" s="482"/>
      <c r="BJ1734" s="482"/>
      <c r="BK1734" s="482"/>
      <c r="BL1734" s="482"/>
      <c r="BM1734" s="482"/>
      <c r="BN1734" s="482"/>
      <c r="BO1734" s="483"/>
      <c r="BP1734" s="398">
        <f t="shared" si="274"/>
        <v>0</v>
      </c>
      <c r="BQ1734" s="399"/>
      <c r="BR1734" s="399"/>
      <c r="BS1734" s="399"/>
      <c r="BT1734" s="399"/>
      <c r="BU1734" s="399"/>
      <c r="BV1734" s="399"/>
      <c r="BW1734" s="399"/>
      <c r="BX1734" s="399"/>
      <c r="BY1734" s="399"/>
      <c r="BZ1734" s="400"/>
      <c r="CA1734" s="270"/>
      <c r="CB1734" s="3" t="str">
        <f t="shared" si="273"/>
        <v>Riadok bude skrytý.</v>
      </c>
      <c r="CC1734" s="271" t="s">
        <v>832</v>
      </c>
      <c r="CW1734" s="30">
        <f t="shared" si="270"/>
        <v>1</v>
      </c>
      <c r="CZ1734" s="30">
        <f t="shared" si="268"/>
        <v>1</v>
      </c>
      <c r="DA1734" s="30">
        <f t="shared" si="267"/>
        <v>1</v>
      </c>
      <c r="DB1734" s="2">
        <f t="shared" si="269"/>
        <v>0</v>
      </c>
      <c r="DS1734" s="130">
        <f>SI!BY1734</f>
        <v>162</v>
      </c>
      <c r="DZ1734" s="131">
        <f>SI!BZ1734</f>
        <v>2</v>
      </c>
    </row>
    <row r="1735" spans="1:132" hidden="1" x14ac:dyDescent="0.25">
      <c r="A1735" s="141"/>
      <c r="B1735" s="680" t="str">
        <f>+IF(LEN(SI!$J$4)=Poznamky_k_UZ!DZ1735,"Emisné kvóty","")</f>
        <v>Emisné kvóty</v>
      </c>
      <c r="C1735" s="681"/>
      <c r="D1735" s="681"/>
      <c r="E1735" s="681"/>
      <c r="F1735" s="681"/>
      <c r="G1735" s="681"/>
      <c r="H1735" s="681"/>
      <c r="I1735" s="681"/>
      <c r="J1735" s="681"/>
      <c r="K1735" s="681"/>
      <c r="L1735" s="681"/>
      <c r="M1735" s="681"/>
      <c r="N1735" s="681"/>
      <c r="O1735" s="681"/>
      <c r="P1735" s="681"/>
      <c r="Q1735" s="681"/>
      <c r="R1735" s="681"/>
      <c r="S1735" s="681"/>
      <c r="T1735" s="681"/>
      <c r="U1735" s="681"/>
      <c r="V1735" s="681"/>
      <c r="W1735" s="681"/>
      <c r="X1735" s="681"/>
      <c r="Y1735" s="681"/>
      <c r="Z1735" s="681"/>
      <c r="AA1735" s="681"/>
      <c r="AB1735" s="681"/>
      <c r="AC1735" s="681"/>
      <c r="AD1735" s="681"/>
      <c r="AE1735" s="681"/>
      <c r="AF1735" s="681"/>
      <c r="AG1735" s="1619"/>
      <c r="AH1735" s="511"/>
      <c r="AI1735" s="482"/>
      <c r="AJ1735" s="482"/>
      <c r="AK1735" s="482"/>
      <c r="AL1735" s="482"/>
      <c r="AM1735" s="482"/>
      <c r="AN1735" s="482"/>
      <c r="AO1735" s="482"/>
      <c r="AP1735" s="482"/>
      <c r="AQ1735" s="482"/>
      <c r="AR1735" s="482"/>
      <c r="AS1735" s="483"/>
      <c r="AT1735" s="511"/>
      <c r="AU1735" s="482"/>
      <c r="AV1735" s="482"/>
      <c r="AW1735" s="482"/>
      <c r="AX1735" s="482"/>
      <c r="AY1735" s="482"/>
      <c r="AZ1735" s="482"/>
      <c r="BA1735" s="482"/>
      <c r="BB1735" s="482"/>
      <c r="BC1735" s="482"/>
      <c r="BD1735" s="483"/>
      <c r="BE1735" s="511"/>
      <c r="BF1735" s="482"/>
      <c r="BG1735" s="482"/>
      <c r="BH1735" s="482"/>
      <c r="BI1735" s="482"/>
      <c r="BJ1735" s="482"/>
      <c r="BK1735" s="482"/>
      <c r="BL1735" s="482"/>
      <c r="BM1735" s="482"/>
      <c r="BN1735" s="482"/>
      <c r="BO1735" s="483"/>
      <c r="BP1735" s="398">
        <f t="shared" si="274"/>
        <v>0</v>
      </c>
      <c r="BQ1735" s="399"/>
      <c r="BR1735" s="399"/>
      <c r="BS1735" s="399"/>
      <c r="BT1735" s="399"/>
      <c r="BU1735" s="399"/>
      <c r="BV1735" s="399"/>
      <c r="BW1735" s="399"/>
      <c r="BX1735" s="399"/>
      <c r="BY1735" s="399"/>
      <c r="BZ1735" s="400"/>
      <c r="CA1735" s="270"/>
      <c r="CB1735" s="3" t="str">
        <f t="shared" si="273"/>
        <v>Riadok bude skrytý.</v>
      </c>
      <c r="CC1735" s="271" t="s">
        <v>832</v>
      </c>
      <c r="CW1735" s="30">
        <f t="shared" si="270"/>
        <v>1</v>
      </c>
      <c r="CZ1735" s="30">
        <f t="shared" si="268"/>
        <v>1</v>
      </c>
      <c r="DA1735" s="30">
        <f t="shared" si="267"/>
        <v>1</v>
      </c>
      <c r="DB1735" s="2">
        <f t="shared" si="269"/>
        <v>0</v>
      </c>
      <c r="DS1735" s="130">
        <f>SI!BY1735</f>
        <v>258</v>
      </c>
      <c r="DZ1735" s="131">
        <f>SI!BZ1735</f>
        <v>2</v>
      </c>
    </row>
    <row r="1736" spans="1:132" ht="27.7" hidden="1" customHeight="1" x14ac:dyDescent="0.25">
      <c r="A1736" s="141"/>
      <c r="B1736" s="1036" t="str">
        <f>+IF(LEN(SI!$J$4)=Poznamky_k_UZ!DZ1736,"Dlhové CP so splatnosťou do jedného roka držané do splatnosti","")</f>
        <v>Dlhové CP so splatnosťou do jedného roka držané do splatnosti</v>
      </c>
      <c r="C1736" s="1037"/>
      <c r="D1736" s="1037"/>
      <c r="E1736" s="1037"/>
      <c r="F1736" s="1037"/>
      <c r="G1736" s="1037"/>
      <c r="H1736" s="1037"/>
      <c r="I1736" s="1037"/>
      <c r="J1736" s="1037"/>
      <c r="K1736" s="1037"/>
      <c r="L1736" s="1037"/>
      <c r="M1736" s="1037"/>
      <c r="N1736" s="1037"/>
      <c r="O1736" s="1037"/>
      <c r="P1736" s="1037"/>
      <c r="Q1736" s="1037"/>
      <c r="R1736" s="1037"/>
      <c r="S1736" s="1037"/>
      <c r="T1736" s="1037"/>
      <c r="U1736" s="1037"/>
      <c r="V1736" s="1037"/>
      <c r="W1736" s="1037"/>
      <c r="X1736" s="1037"/>
      <c r="Y1736" s="1037"/>
      <c r="Z1736" s="1037"/>
      <c r="AA1736" s="1037"/>
      <c r="AB1736" s="1037"/>
      <c r="AC1736" s="1037"/>
      <c r="AD1736" s="1037"/>
      <c r="AE1736" s="1037"/>
      <c r="AF1736" s="1037"/>
      <c r="AG1736" s="1623"/>
      <c r="AH1736" s="511"/>
      <c r="AI1736" s="482"/>
      <c r="AJ1736" s="482"/>
      <c r="AK1736" s="482"/>
      <c r="AL1736" s="482"/>
      <c r="AM1736" s="482"/>
      <c r="AN1736" s="482"/>
      <c r="AO1736" s="482"/>
      <c r="AP1736" s="482"/>
      <c r="AQ1736" s="482"/>
      <c r="AR1736" s="482"/>
      <c r="AS1736" s="483"/>
      <c r="AT1736" s="511"/>
      <c r="AU1736" s="482"/>
      <c r="AV1736" s="482"/>
      <c r="AW1736" s="482"/>
      <c r="AX1736" s="482"/>
      <c r="AY1736" s="482"/>
      <c r="AZ1736" s="482"/>
      <c r="BA1736" s="482"/>
      <c r="BB1736" s="482"/>
      <c r="BC1736" s="482"/>
      <c r="BD1736" s="483"/>
      <c r="BE1736" s="511"/>
      <c r="BF1736" s="482"/>
      <c r="BG1736" s="482"/>
      <c r="BH1736" s="482"/>
      <c r="BI1736" s="482"/>
      <c r="BJ1736" s="482"/>
      <c r="BK1736" s="482"/>
      <c r="BL1736" s="482"/>
      <c r="BM1736" s="482"/>
      <c r="BN1736" s="482"/>
      <c r="BO1736" s="483"/>
      <c r="BP1736" s="398">
        <f t="shared" si="274"/>
        <v>0</v>
      </c>
      <c r="BQ1736" s="399"/>
      <c r="BR1736" s="399"/>
      <c r="BS1736" s="399"/>
      <c r="BT1736" s="399"/>
      <c r="BU1736" s="399"/>
      <c r="BV1736" s="399"/>
      <c r="BW1736" s="399"/>
      <c r="BX1736" s="399"/>
      <c r="BY1736" s="399"/>
      <c r="BZ1736" s="400"/>
      <c r="CA1736" s="270"/>
      <c r="CB1736" s="3" t="str">
        <f t="shared" si="273"/>
        <v>Riadok bude skrytý.</v>
      </c>
      <c r="CC1736" s="271" t="s">
        <v>832</v>
      </c>
      <c r="CW1736" s="30">
        <f t="shared" si="270"/>
        <v>1</v>
      </c>
      <c r="CZ1736" s="30">
        <f t="shared" si="268"/>
        <v>1</v>
      </c>
      <c r="DA1736" s="30">
        <f t="shared" si="267"/>
        <v>1</v>
      </c>
      <c r="DB1736" s="2">
        <f t="shared" si="269"/>
        <v>0</v>
      </c>
      <c r="DS1736" s="130">
        <f>SI!BY1736</f>
        <v>796</v>
      </c>
      <c r="DZ1736" s="131">
        <f>SI!BZ1736</f>
        <v>2</v>
      </c>
    </row>
    <row r="1737" spans="1:132" hidden="1" x14ac:dyDescent="0.25">
      <c r="A1737" s="141"/>
      <c r="B1737" s="680" t="str">
        <f>+IF(LEN(SI!$J$4)=Poznamky_k_UZ!DZ1737,"Ostatné realizovateľné CP","")</f>
        <v>Ostatné realizovateľné CP</v>
      </c>
      <c r="C1737" s="681"/>
      <c r="D1737" s="681"/>
      <c r="E1737" s="681"/>
      <c r="F1737" s="681"/>
      <c r="G1737" s="681"/>
      <c r="H1737" s="681"/>
      <c r="I1737" s="681"/>
      <c r="J1737" s="681"/>
      <c r="K1737" s="681"/>
      <c r="L1737" s="681"/>
      <c r="M1737" s="681"/>
      <c r="N1737" s="681"/>
      <c r="O1737" s="681"/>
      <c r="P1737" s="681"/>
      <c r="Q1737" s="681"/>
      <c r="R1737" s="681"/>
      <c r="S1737" s="681"/>
      <c r="T1737" s="681"/>
      <c r="U1737" s="681"/>
      <c r="V1737" s="681"/>
      <c r="W1737" s="681"/>
      <c r="X1737" s="681"/>
      <c r="Y1737" s="681"/>
      <c r="Z1737" s="681"/>
      <c r="AA1737" s="681"/>
      <c r="AB1737" s="681"/>
      <c r="AC1737" s="681"/>
      <c r="AD1737" s="681"/>
      <c r="AE1737" s="681"/>
      <c r="AF1737" s="681"/>
      <c r="AG1737" s="1619"/>
      <c r="AH1737" s="511"/>
      <c r="AI1737" s="482"/>
      <c r="AJ1737" s="482"/>
      <c r="AK1737" s="482"/>
      <c r="AL1737" s="482"/>
      <c r="AM1737" s="482"/>
      <c r="AN1737" s="482"/>
      <c r="AO1737" s="482"/>
      <c r="AP1737" s="482"/>
      <c r="AQ1737" s="482"/>
      <c r="AR1737" s="482"/>
      <c r="AS1737" s="483"/>
      <c r="AT1737" s="511"/>
      <c r="AU1737" s="482"/>
      <c r="AV1737" s="482"/>
      <c r="AW1737" s="482"/>
      <c r="AX1737" s="482"/>
      <c r="AY1737" s="482"/>
      <c r="AZ1737" s="482"/>
      <c r="BA1737" s="482"/>
      <c r="BB1737" s="482"/>
      <c r="BC1737" s="482"/>
      <c r="BD1737" s="483"/>
      <c r="BE1737" s="511"/>
      <c r="BF1737" s="482"/>
      <c r="BG1737" s="482"/>
      <c r="BH1737" s="482"/>
      <c r="BI1737" s="482"/>
      <c r="BJ1737" s="482"/>
      <c r="BK1737" s="482"/>
      <c r="BL1737" s="482"/>
      <c r="BM1737" s="482"/>
      <c r="BN1737" s="482"/>
      <c r="BO1737" s="483"/>
      <c r="BP1737" s="398">
        <f t="shared" si="274"/>
        <v>0</v>
      </c>
      <c r="BQ1737" s="399"/>
      <c r="BR1737" s="399"/>
      <c r="BS1737" s="399"/>
      <c r="BT1737" s="399"/>
      <c r="BU1737" s="399"/>
      <c r="BV1737" s="399"/>
      <c r="BW1737" s="399"/>
      <c r="BX1737" s="399"/>
      <c r="BY1737" s="399"/>
      <c r="BZ1737" s="400"/>
      <c r="CA1737" s="270"/>
      <c r="CB1737" s="3" t="str">
        <f t="shared" si="273"/>
        <v>Riadok bude skrytý.</v>
      </c>
      <c r="CC1737" s="271" t="s">
        <v>832</v>
      </c>
      <c r="CW1737" s="30">
        <f t="shared" si="270"/>
        <v>1</v>
      </c>
      <c r="CZ1737" s="30">
        <f t="shared" si="268"/>
        <v>1</v>
      </c>
      <c r="DA1737" s="30">
        <f t="shared" si="267"/>
        <v>1</v>
      </c>
      <c r="DB1737" s="2">
        <f t="shared" si="269"/>
        <v>0</v>
      </c>
      <c r="DS1737" s="130">
        <f>SI!BY1737</f>
        <v>146</v>
      </c>
      <c r="DZ1737" s="131">
        <f>SI!BZ1737</f>
        <v>2</v>
      </c>
    </row>
    <row r="1738" spans="1:132" ht="14.95" hidden="1" customHeight="1" x14ac:dyDescent="0.25">
      <c r="A1738" s="141"/>
      <c r="B1738" s="1620" t="str">
        <f>+IF(LEN(SI!$J$4)=Poznamky_k_UZ!DZ1738,"Obstarávanie krátkodobého finančného majetku","")</f>
        <v>Obstarávanie krátkodobého finančného majetku</v>
      </c>
      <c r="C1738" s="1621"/>
      <c r="D1738" s="1621"/>
      <c r="E1738" s="1621"/>
      <c r="F1738" s="1621"/>
      <c r="G1738" s="1621"/>
      <c r="H1738" s="1621"/>
      <c r="I1738" s="1621"/>
      <c r="J1738" s="1621"/>
      <c r="K1738" s="1621"/>
      <c r="L1738" s="1621"/>
      <c r="M1738" s="1621"/>
      <c r="N1738" s="1621"/>
      <c r="O1738" s="1621"/>
      <c r="P1738" s="1621"/>
      <c r="Q1738" s="1621"/>
      <c r="R1738" s="1621"/>
      <c r="S1738" s="1621"/>
      <c r="T1738" s="1621"/>
      <c r="U1738" s="1621"/>
      <c r="V1738" s="1621"/>
      <c r="W1738" s="1621"/>
      <c r="X1738" s="1621"/>
      <c r="Y1738" s="1621"/>
      <c r="Z1738" s="1621"/>
      <c r="AA1738" s="1621"/>
      <c r="AB1738" s="1621"/>
      <c r="AC1738" s="1621"/>
      <c r="AD1738" s="1621"/>
      <c r="AE1738" s="1621"/>
      <c r="AF1738" s="1621"/>
      <c r="AG1738" s="1622"/>
      <c r="AH1738" s="511"/>
      <c r="AI1738" s="482"/>
      <c r="AJ1738" s="482"/>
      <c r="AK1738" s="482"/>
      <c r="AL1738" s="482"/>
      <c r="AM1738" s="482"/>
      <c r="AN1738" s="482"/>
      <c r="AO1738" s="482"/>
      <c r="AP1738" s="482"/>
      <c r="AQ1738" s="482"/>
      <c r="AR1738" s="482"/>
      <c r="AS1738" s="483"/>
      <c r="AT1738" s="454"/>
      <c r="AU1738" s="455"/>
      <c r="AV1738" s="455"/>
      <c r="AW1738" s="455"/>
      <c r="AX1738" s="455"/>
      <c r="AY1738" s="455"/>
      <c r="AZ1738" s="455"/>
      <c r="BA1738" s="455"/>
      <c r="BB1738" s="455"/>
      <c r="BC1738" s="455"/>
      <c r="BD1738" s="456"/>
      <c r="BE1738" s="511"/>
      <c r="BF1738" s="482"/>
      <c r="BG1738" s="482"/>
      <c r="BH1738" s="482"/>
      <c r="BI1738" s="482"/>
      <c r="BJ1738" s="482"/>
      <c r="BK1738" s="482"/>
      <c r="BL1738" s="482"/>
      <c r="BM1738" s="482"/>
      <c r="BN1738" s="482"/>
      <c r="BO1738" s="483"/>
      <c r="BP1738" s="1266">
        <f t="shared" si="274"/>
        <v>0</v>
      </c>
      <c r="BQ1738" s="1267"/>
      <c r="BR1738" s="1267"/>
      <c r="BS1738" s="1267"/>
      <c r="BT1738" s="1267"/>
      <c r="BU1738" s="1267"/>
      <c r="BV1738" s="1267"/>
      <c r="BW1738" s="1267"/>
      <c r="BX1738" s="1267"/>
      <c r="BY1738" s="1267"/>
      <c r="BZ1738" s="1268"/>
      <c r="CA1738" s="270"/>
      <c r="CB1738" s="3" t="str">
        <f t="shared" si="273"/>
        <v>Riadok bude skrytý.</v>
      </c>
      <c r="CC1738" s="271" t="s">
        <v>832</v>
      </c>
      <c r="CW1738" s="30">
        <f t="shared" si="270"/>
        <v>1</v>
      </c>
      <c r="CZ1738" s="30">
        <f t="shared" si="268"/>
        <v>1</v>
      </c>
      <c r="DA1738" s="30">
        <f t="shared" si="267"/>
        <v>1</v>
      </c>
      <c r="DB1738" s="2">
        <f t="shared" si="269"/>
        <v>0</v>
      </c>
      <c r="DS1738" s="130">
        <f>SI!BY1738</f>
        <v>589</v>
      </c>
      <c r="DZ1738" s="131">
        <f>SI!BZ1738</f>
        <v>2</v>
      </c>
    </row>
    <row r="1739" spans="1:132" hidden="1" x14ac:dyDescent="0.25">
      <c r="A1739" s="141"/>
      <c r="B1739" s="579" t="str">
        <f>+IF(LEN(SI!$J$4)=Poznamky_k_UZ!DZ1739,"Krátkodobý finančný majetok spolu:","")</f>
        <v>Krátkodobý finančný majetok spolu:</v>
      </c>
      <c r="C1739" s="580"/>
      <c r="D1739" s="580"/>
      <c r="E1739" s="580"/>
      <c r="F1739" s="580"/>
      <c r="G1739" s="580"/>
      <c r="H1739" s="580"/>
      <c r="I1739" s="580"/>
      <c r="J1739" s="580"/>
      <c r="K1739" s="580"/>
      <c r="L1739" s="580"/>
      <c r="M1739" s="580"/>
      <c r="N1739" s="580"/>
      <c r="O1739" s="580"/>
      <c r="P1739" s="580"/>
      <c r="Q1739" s="580"/>
      <c r="R1739" s="580"/>
      <c r="S1739" s="580"/>
      <c r="T1739" s="580"/>
      <c r="U1739" s="580"/>
      <c r="V1739" s="580"/>
      <c r="W1739" s="580"/>
      <c r="X1739" s="580"/>
      <c r="Y1739" s="580"/>
      <c r="Z1739" s="580"/>
      <c r="AA1739" s="580"/>
      <c r="AB1739" s="580"/>
      <c r="AC1739" s="580"/>
      <c r="AD1739" s="580"/>
      <c r="AE1739" s="580"/>
      <c r="AF1739" s="580"/>
      <c r="AG1739" s="581"/>
      <c r="AH1739" s="423">
        <f>+SUM(AH1733:AS1738)</f>
        <v>0</v>
      </c>
      <c r="AI1739" s="424"/>
      <c r="AJ1739" s="424"/>
      <c r="AK1739" s="424"/>
      <c r="AL1739" s="424"/>
      <c r="AM1739" s="424"/>
      <c r="AN1739" s="424"/>
      <c r="AO1739" s="424"/>
      <c r="AP1739" s="424"/>
      <c r="AQ1739" s="424"/>
      <c r="AR1739" s="424"/>
      <c r="AS1739" s="425"/>
      <c r="AT1739" s="423">
        <f>+SUM(AT1733:BD1738)</f>
        <v>0</v>
      </c>
      <c r="AU1739" s="424"/>
      <c r="AV1739" s="424"/>
      <c r="AW1739" s="424"/>
      <c r="AX1739" s="424"/>
      <c r="AY1739" s="424"/>
      <c r="AZ1739" s="424"/>
      <c r="BA1739" s="424"/>
      <c r="BB1739" s="424"/>
      <c r="BC1739" s="424"/>
      <c r="BD1739" s="425"/>
      <c r="BE1739" s="423">
        <f>+SUM(BE1733:BO1738)</f>
        <v>0</v>
      </c>
      <c r="BF1739" s="424"/>
      <c r="BG1739" s="424"/>
      <c r="BH1739" s="424"/>
      <c r="BI1739" s="424"/>
      <c r="BJ1739" s="424"/>
      <c r="BK1739" s="424"/>
      <c r="BL1739" s="424"/>
      <c r="BM1739" s="424"/>
      <c r="BN1739" s="424"/>
      <c r="BO1739" s="425"/>
      <c r="BP1739" s="423">
        <f t="shared" si="274"/>
        <v>0</v>
      </c>
      <c r="BQ1739" s="424"/>
      <c r="BR1739" s="424"/>
      <c r="BS1739" s="424"/>
      <c r="BT1739" s="424"/>
      <c r="BU1739" s="424"/>
      <c r="BV1739" s="424"/>
      <c r="BW1739" s="424"/>
      <c r="BX1739" s="424"/>
      <c r="BY1739" s="424"/>
      <c r="BZ1739" s="425"/>
      <c r="CA1739" s="270"/>
      <c r="CB1739" s="3" t="str">
        <f t="shared" si="273"/>
        <v>Riadok bude skrytý.</v>
      </c>
      <c r="CC1739" s="271" t="s">
        <v>832</v>
      </c>
      <c r="CW1739" s="30">
        <f t="shared" si="270"/>
        <v>1</v>
      </c>
      <c r="CZ1739" s="30">
        <f t="shared" si="268"/>
        <v>1</v>
      </c>
      <c r="DA1739" s="30">
        <f t="shared" si="267"/>
        <v>1</v>
      </c>
      <c r="DB1739" s="2">
        <f t="shared" si="269"/>
        <v>0</v>
      </c>
      <c r="DS1739" s="130">
        <f>SI!BY1739</f>
        <v>118</v>
      </c>
      <c r="DZ1739" s="131">
        <f>SI!BZ1739</f>
        <v>2</v>
      </c>
    </row>
    <row r="1740" spans="1:132" hidden="1" x14ac:dyDescent="0.25">
      <c r="A1740" s="141"/>
      <c r="CA1740" s="270"/>
      <c r="CB1740" s="3" t="str">
        <f t="shared" si="273"/>
        <v>Riadok bude skrytý.</v>
      </c>
      <c r="CC1740" s="271" t="s">
        <v>832</v>
      </c>
      <c r="CW1740" s="30">
        <f t="shared" ref="CW1740:CW1771" si="275">+IF($J$1706="nemá",0,1)</f>
        <v>1</v>
      </c>
      <c r="CZ1740" s="30">
        <f t="shared" si="268"/>
        <v>1</v>
      </c>
      <c r="DA1740" s="30">
        <f t="shared" si="267"/>
        <v>1</v>
      </c>
      <c r="DB1740" s="2">
        <f t="shared" si="269"/>
        <v>0</v>
      </c>
      <c r="DS1740" s="130">
        <f>SI!BY1740</f>
        <v>691</v>
      </c>
      <c r="DZ1740" s="131">
        <f>SI!BZ1740</f>
        <v>2</v>
      </c>
    </row>
    <row r="1741" spans="1:132" ht="14.95" hidden="1" customHeight="1" x14ac:dyDescent="0.25">
      <c r="A1741" s="141"/>
      <c r="B1741" s="439" t="str">
        <f>+IF(LEN(SI!$J$4)=Poznamky_k_UZ!DZ1741,"Krátkodobý finančný majetok","")</f>
        <v>Krátkodobý finančný majetok</v>
      </c>
      <c r="C1741" s="440"/>
      <c r="D1741" s="440"/>
      <c r="E1741" s="440"/>
      <c r="F1741" s="440"/>
      <c r="G1741" s="440"/>
      <c r="H1741" s="440"/>
      <c r="I1741" s="440"/>
      <c r="J1741" s="440"/>
      <c r="K1741" s="440"/>
      <c r="L1741" s="440"/>
      <c r="M1741" s="440"/>
      <c r="N1741" s="440"/>
      <c r="O1741" s="440"/>
      <c r="P1741" s="440"/>
      <c r="Q1741" s="440"/>
      <c r="R1741" s="440"/>
      <c r="S1741" s="440"/>
      <c r="T1741" s="440"/>
      <c r="U1741" s="440"/>
      <c r="V1741" s="440"/>
      <c r="W1741" s="440"/>
      <c r="X1741" s="440"/>
      <c r="Y1741" s="440"/>
      <c r="Z1741" s="440"/>
      <c r="AA1741" s="440"/>
      <c r="AB1741" s="440"/>
      <c r="AC1741" s="440"/>
      <c r="AD1741" s="440"/>
      <c r="AE1741" s="440"/>
      <c r="AF1741" s="440"/>
      <c r="AG1741" s="441"/>
      <c r="AH1741" s="650">
        <f>+BE141</f>
        <v>2020</v>
      </c>
      <c r="AI1741" s="391"/>
      <c r="AJ1741" s="391"/>
      <c r="AK1741" s="391"/>
      <c r="AL1741" s="391"/>
      <c r="AM1741" s="391"/>
      <c r="AN1741" s="391"/>
      <c r="AO1741" s="391"/>
      <c r="AP1741" s="391"/>
      <c r="AQ1741" s="391"/>
      <c r="AR1741" s="391"/>
      <c r="AS1741" s="391"/>
      <c r="AT1741" s="391"/>
      <c r="AU1741" s="391"/>
      <c r="AV1741" s="391"/>
      <c r="AW1741" s="391"/>
      <c r="AX1741" s="391"/>
      <c r="AY1741" s="391"/>
      <c r="AZ1741" s="391"/>
      <c r="BA1741" s="391"/>
      <c r="BB1741" s="391"/>
      <c r="BC1741" s="391"/>
      <c r="BD1741" s="391"/>
      <c r="BE1741" s="391"/>
      <c r="BF1741" s="391"/>
      <c r="BG1741" s="391"/>
      <c r="BH1741" s="391"/>
      <c r="BI1741" s="391"/>
      <c r="BJ1741" s="391"/>
      <c r="BK1741" s="391"/>
      <c r="BL1741" s="391"/>
      <c r="BM1741" s="391"/>
      <c r="BN1741" s="391"/>
      <c r="BO1741" s="391"/>
      <c r="BP1741" s="391"/>
      <c r="BQ1741" s="391"/>
      <c r="BR1741" s="391"/>
      <c r="BS1741" s="391"/>
      <c r="BT1741" s="391"/>
      <c r="BU1741" s="391"/>
      <c r="BV1741" s="391"/>
      <c r="BW1741" s="391"/>
      <c r="BX1741" s="391"/>
      <c r="BY1741" s="391"/>
      <c r="BZ1741" s="392"/>
      <c r="CA1741" s="265" t="s">
        <v>773</v>
      </c>
      <c r="CB1741" s="3" t="str">
        <f t="shared" si="273"/>
        <v>Riadok bude skrytý.</v>
      </c>
      <c r="CC1741" s="271" t="s">
        <v>937</v>
      </c>
      <c r="CD1741" s="105" t="s">
        <v>946</v>
      </c>
      <c r="CE1741" s="100"/>
      <c r="CW1741" s="30">
        <f t="shared" si="275"/>
        <v>1</v>
      </c>
      <c r="CX1741" s="32">
        <f t="shared" ref="CX1741:CX1752" si="276">+IF(YEAR($AW$123)=YEAR($DC$4),0,1)</f>
        <v>1</v>
      </c>
      <c r="CZ1741" s="30">
        <f t="shared" si="268"/>
        <v>0</v>
      </c>
      <c r="DA1741" s="52">
        <f t="shared" ref="DA1741:DA1752" si="277">+IF(CW1741*CX1741=0,0,IF(CZ1741=0,0,1))</f>
        <v>0</v>
      </c>
      <c r="DB1741" s="2">
        <f t="shared" si="269"/>
        <v>0</v>
      </c>
      <c r="DS1741" s="130">
        <f>SI!BY1741</f>
        <v>173</v>
      </c>
      <c r="DZ1741" s="131">
        <f>SI!BZ1741</f>
        <v>2</v>
      </c>
    </row>
    <row r="1742" spans="1:132" ht="14.95" hidden="1" customHeight="1" x14ac:dyDescent="0.25">
      <c r="A1742" s="141"/>
      <c r="B1742" s="1019"/>
      <c r="C1742" s="1020"/>
      <c r="D1742" s="1020"/>
      <c r="E1742" s="1020"/>
      <c r="F1742" s="1020"/>
      <c r="G1742" s="1020"/>
      <c r="H1742" s="1020"/>
      <c r="I1742" s="1020"/>
      <c r="J1742" s="1020"/>
      <c r="K1742" s="1020"/>
      <c r="L1742" s="1020"/>
      <c r="M1742" s="1020"/>
      <c r="N1742" s="1020"/>
      <c r="O1742" s="1020"/>
      <c r="P1742" s="1020"/>
      <c r="Q1742" s="1020"/>
      <c r="R1742" s="1020"/>
      <c r="S1742" s="1020"/>
      <c r="T1742" s="1020"/>
      <c r="U1742" s="1020"/>
      <c r="V1742" s="1020"/>
      <c r="W1742" s="1020"/>
      <c r="X1742" s="1020"/>
      <c r="Y1742" s="1020"/>
      <c r="Z1742" s="1020"/>
      <c r="AA1742" s="1020"/>
      <c r="AB1742" s="1020"/>
      <c r="AC1742" s="1020"/>
      <c r="AD1742" s="1020"/>
      <c r="AE1742" s="1020"/>
      <c r="AF1742" s="1020"/>
      <c r="AG1742" s="1232"/>
      <c r="AH1742" s="543" t="s">
        <v>112</v>
      </c>
      <c r="AI1742" s="544"/>
      <c r="AJ1742" s="544"/>
      <c r="AK1742" s="544"/>
      <c r="AL1742" s="544"/>
      <c r="AM1742" s="544"/>
      <c r="AN1742" s="544"/>
      <c r="AO1742" s="544"/>
      <c r="AP1742" s="544"/>
      <c r="AQ1742" s="544"/>
      <c r="AR1742" s="544"/>
      <c r="AS1742" s="545"/>
      <c r="AT1742" s="543" t="s">
        <v>113</v>
      </c>
      <c r="AU1742" s="544"/>
      <c r="AV1742" s="544"/>
      <c r="AW1742" s="544"/>
      <c r="AX1742" s="544"/>
      <c r="AY1742" s="544"/>
      <c r="AZ1742" s="544"/>
      <c r="BA1742" s="544"/>
      <c r="BB1742" s="544"/>
      <c r="BC1742" s="544"/>
      <c r="BD1742" s="545"/>
      <c r="BE1742" s="543" t="s">
        <v>114</v>
      </c>
      <c r="BF1742" s="544"/>
      <c r="BG1742" s="544"/>
      <c r="BH1742" s="544"/>
      <c r="BI1742" s="544"/>
      <c r="BJ1742" s="544"/>
      <c r="BK1742" s="544"/>
      <c r="BL1742" s="544"/>
      <c r="BM1742" s="544"/>
      <c r="BN1742" s="544"/>
      <c r="BO1742" s="545"/>
      <c r="BP1742" s="543" t="s">
        <v>146</v>
      </c>
      <c r="BQ1742" s="544"/>
      <c r="BR1742" s="544"/>
      <c r="BS1742" s="544"/>
      <c r="BT1742" s="544"/>
      <c r="BU1742" s="544"/>
      <c r="BV1742" s="544"/>
      <c r="BW1742" s="544"/>
      <c r="BX1742" s="544"/>
      <c r="BY1742" s="544"/>
      <c r="BZ1742" s="545"/>
      <c r="CA1742" s="270"/>
      <c r="CB1742" s="3" t="str">
        <f t="shared" si="273"/>
        <v>Riadok bude skrytý.</v>
      </c>
      <c r="CC1742" s="271" t="s">
        <v>937</v>
      </c>
      <c r="CD1742" s="4"/>
      <c r="CE1742" s="4"/>
      <c r="CF1742" s="4"/>
      <c r="CG1742" s="4"/>
      <c r="CH1742" s="4"/>
      <c r="CI1742" s="4"/>
      <c r="CJ1742" s="4"/>
      <c r="CW1742" s="30">
        <f t="shared" si="275"/>
        <v>1</v>
      </c>
      <c r="CX1742" s="32">
        <f t="shared" si="276"/>
        <v>1</v>
      </c>
      <c r="CZ1742" s="30">
        <f t="shared" si="268"/>
        <v>0</v>
      </c>
      <c r="DA1742" s="52">
        <f t="shared" si="277"/>
        <v>0</v>
      </c>
      <c r="DB1742" s="2">
        <f t="shared" si="269"/>
        <v>0</v>
      </c>
      <c r="DS1742" s="130">
        <f>SI!BY1742</f>
        <v>714</v>
      </c>
      <c r="DZ1742" s="131">
        <f>SI!BZ1742</f>
        <v>2</v>
      </c>
    </row>
    <row r="1743" spans="1:132" hidden="1" x14ac:dyDescent="0.25">
      <c r="A1743" s="141"/>
      <c r="B1743" s="442"/>
      <c r="C1743" s="443"/>
      <c r="D1743" s="443"/>
      <c r="E1743" s="443"/>
      <c r="F1743" s="443"/>
      <c r="G1743" s="443"/>
      <c r="H1743" s="443"/>
      <c r="I1743" s="443"/>
      <c r="J1743" s="443"/>
      <c r="K1743" s="443"/>
      <c r="L1743" s="443"/>
      <c r="M1743" s="443"/>
      <c r="N1743" s="443"/>
      <c r="O1743" s="443"/>
      <c r="P1743" s="443"/>
      <c r="Q1743" s="443"/>
      <c r="R1743" s="443"/>
      <c r="S1743" s="443"/>
      <c r="T1743" s="443"/>
      <c r="U1743" s="443"/>
      <c r="V1743" s="443"/>
      <c r="W1743" s="443"/>
      <c r="X1743" s="443"/>
      <c r="Y1743" s="443"/>
      <c r="Z1743" s="443"/>
      <c r="AA1743" s="443"/>
      <c r="AB1743" s="443"/>
      <c r="AC1743" s="443"/>
      <c r="AD1743" s="443"/>
      <c r="AE1743" s="443"/>
      <c r="AF1743" s="443"/>
      <c r="AG1743" s="444"/>
      <c r="AH1743" s="546"/>
      <c r="AI1743" s="547"/>
      <c r="AJ1743" s="547"/>
      <c r="AK1743" s="547"/>
      <c r="AL1743" s="547"/>
      <c r="AM1743" s="547"/>
      <c r="AN1743" s="547"/>
      <c r="AO1743" s="547"/>
      <c r="AP1743" s="547"/>
      <c r="AQ1743" s="547"/>
      <c r="AR1743" s="547"/>
      <c r="AS1743" s="548"/>
      <c r="AT1743" s="546"/>
      <c r="AU1743" s="547"/>
      <c r="AV1743" s="547"/>
      <c r="AW1743" s="547"/>
      <c r="AX1743" s="547"/>
      <c r="AY1743" s="547"/>
      <c r="AZ1743" s="547"/>
      <c r="BA1743" s="547"/>
      <c r="BB1743" s="547"/>
      <c r="BC1743" s="547"/>
      <c r="BD1743" s="548"/>
      <c r="BE1743" s="546"/>
      <c r="BF1743" s="547"/>
      <c r="BG1743" s="547"/>
      <c r="BH1743" s="547"/>
      <c r="BI1743" s="547"/>
      <c r="BJ1743" s="547"/>
      <c r="BK1743" s="547"/>
      <c r="BL1743" s="547"/>
      <c r="BM1743" s="547"/>
      <c r="BN1743" s="547"/>
      <c r="BO1743" s="548"/>
      <c r="BP1743" s="546"/>
      <c r="BQ1743" s="547"/>
      <c r="BR1743" s="547"/>
      <c r="BS1743" s="547"/>
      <c r="BT1743" s="547"/>
      <c r="BU1743" s="547"/>
      <c r="BV1743" s="547"/>
      <c r="BW1743" s="547"/>
      <c r="BX1743" s="547"/>
      <c r="BY1743" s="547"/>
      <c r="BZ1743" s="548"/>
      <c r="CA1743" s="270"/>
      <c r="CB1743" s="3" t="str">
        <f t="shared" si="273"/>
        <v>Riadok bude skrytý.</v>
      </c>
      <c r="CC1743" s="271" t="s">
        <v>937</v>
      </c>
      <c r="CD1743" s="4"/>
      <c r="CW1743" s="30">
        <f t="shared" si="275"/>
        <v>1</v>
      </c>
      <c r="CX1743" s="32">
        <f t="shared" si="276"/>
        <v>1</v>
      </c>
      <c r="CZ1743" s="30">
        <f t="shared" si="268"/>
        <v>0</v>
      </c>
      <c r="DA1743" s="52">
        <f t="shared" si="277"/>
        <v>0</v>
      </c>
      <c r="DB1743" s="2">
        <f t="shared" si="269"/>
        <v>0</v>
      </c>
      <c r="DS1743" s="130">
        <f>SI!BY1743</f>
        <v>157</v>
      </c>
      <c r="DZ1743" s="131">
        <f>SI!BZ1743</f>
        <v>2</v>
      </c>
    </row>
    <row r="1744" spans="1:132" hidden="1" x14ac:dyDescent="0.25">
      <c r="A1744" s="141"/>
      <c r="B1744" s="524" t="str">
        <f>+IF(LEN(SI!$J$4)=Poznamky_k_UZ!DZ1744,"a","")</f>
        <v>a</v>
      </c>
      <c r="C1744" s="525"/>
      <c r="D1744" s="525"/>
      <c r="E1744" s="525"/>
      <c r="F1744" s="525"/>
      <c r="G1744" s="525"/>
      <c r="H1744" s="525"/>
      <c r="I1744" s="525"/>
      <c r="J1744" s="525"/>
      <c r="K1744" s="525"/>
      <c r="L1744" s="525"/>
      <c r="M1744" s="525"/>
      <c r="N1744" s="525"/>
      <c r="O1744" s="525"/>
      <c r="P1744" s="525"/>
      <c r="Q1744" s="525"/>
      <c r="R1744" s="525"/>
      <c r="S1744" s="525"/>
      <c r="T1744" s="525"/>
      <c r="U1744" s="525"/>
      <c r="V1744" s="525"/>
      <c r="W1744" s="525"/>
      <c r="X1744" s="525"/>
      <c r="Y1744" s="525"/>
      <c r="Z1744" s="525"/>
      <c r="AA1744" s="525"/>
      <c r="AB1744" s="525"/>
      <c r="AC1744" s="525"/>
      <c r="AD1744" s="525"/>
      <c r="AE1744" s="525"/>
      <c r="AF1744" s="525"/>
      <c r="AG1744" s="723"/>
      <c r="AH1744" s="524" t="s">
        <v>1</v>
      </c>
      <c r="AI1744" s="525"/>
      <c r="AJ1744" s="525"/>
      <c r="AK1744" s="525"/>
      <c r="AL1744" s="525"/>
      <c r="AM1744" s="525"/>
      <c r="AN1744" s="525"/>
      <c r="AO1744" s="525"/>
      <c r="AP1744" s="525"/>
      <c r="AQ1744" s="525"/>
      <c r="AR1744" s="525"/>
      <c r="AS1744" s="723"/>
      <c r="AT1744" s="524" t="s">
        <v>2</v>
      </c>
      <c r="AU1744" s="525"/>
      <c r="AV1744" s="525"/>
      <c r="AW1744" s="525"/>
      <c r="AX1744" s="525"/>
      <c r="AY1744" s="525"/>
      <c r="AZ1744" s="525"/>
      <c r="BA1744" s="525"/>
      <c r="BB1744" s="525"/>
      <c r="BC1744" s="525"/>
      <c r="BD1744" s="723"/>
      <c r="BE1744" s="524" t="s">
        <v>28</v>
      </c>
      <c r="BF1744" s="525"/>
      <c r="BG1744" s="525"/>
      <c r="BH1744" s="525"/>
      <c r="BI1744" s="525"/>
      <c r="BJ1744" s="525"/>
      <c r="BK1744" s="525"/>
      <c r="BL1744" s="525"/>
      <c r="BM1744" s="525"/>
      <c r="BN1744" s="525"/>
      <c r="BO1744" s="723"/>
      <c r="BP1744" s="524" t="s">
        <v>29</v>
      </c>
      <c r="BQ1744" s="525"/>
      <c r="BR1744" s="525"/>
      <c r="BS1744" s="525"/>
      <c r="BT1744" s="525"/>
      <c r="BU1744" s="525"/>
      <c r="BV1744" s="525"/>
      <c r="BW1744" s="525"/>
      <c r="BX1744" s="525"/>
      <c r="BY1744" s="525"/>
      <c r="BZ1744" s="723"/>
      <c r="CA1744" s="270"/>
      <c r="CB1744" s="3" t="str">
        <f t="shared" si="273"/>
        <v>Riadok bude skrytý.</v>
      </c>
      <c r="CC1744" s="271" t="s">
        <v>937</v>
      </c>
      <c r="CW1744" s="30">
        <f t="shared" si="275"/>
        <v>1</v>
      </c>
      <c r="CX1744" s="32">
        <f t="shared" si="276"/>
        <v>1</v>
      </c>
      <c r="CZ1744" s="30">
        <f t="shared" si="268"/>
        <v>0</v>
      </c>
      <c r="DA1744" s="52">
        <f t="shared" si="277"/>
        <v>0</v>
      </c>
      <c r="DB1744" s="2">
        <f t="shared" si="269"/>
        <v>0</v>
      </c>
      <c r="DS1744" s="130">
        <f>SI!BY1744</f>
        <v>938</v>
      </c>
      <c r="DZ1744" s="131">
        <f>SI!BZ1744</f>
        <v>2</v>
      </c>
    </row>
    <row r="1745" spans="1:130" hidden="1" x14ac:dyDescent="0.25">
      <c r="A1745" s="141"/>
      <c r="B1745" s="1607" t="str">
        <f>+IF(LEN(SI!$J$4)=Poznamky_k_UZ!DZ1745,"Majetkové CP na obchodovanie","")</f>
        <v>Majetkové CP na obchodovanie</v>
      </c>
      <c r="C1745" s="1608"/>
      <c r="D1745" s="1608"/>
      <c r="E1745" s="1608"/>
      <c r="F1745" s="1608"/>
      <c r="G1745" s="1608"/>
      <c r="H1745" s="1608"/>
      <c r="I1745" s="1608"/>
      <c r="J1745" s="1608"/>
      <c r="K1745" s="1608"/>
      <c r="L1745" s="1608"/>
      <c r="M1745" s="1608"/>
      <c r="N1745" s="1608"/>
      <c r="O1745" s="1608"/>
      <c r="P1745" s="1608"/>
      <c r="Q1745" s="1608"/>
      <c r="R1745" s="1608"/>
      <c r="S1745" s="1608"/>
      <c r="T1745" s="1608"/>
      <c r="U1745" s="1608"/>
      <c r="V1745" s="1608"/>
      <c r="W1745" s="1608"/>
      <c r="X1745" s="1608"/>
      <c r="Y1745" s="1608"/>
      <c r="Z1745" s="1608"/>
      <c r="AA1745" s="1608"/>
      <c r="AB1745" s="1608"/>
      <c r="AC1745" s="1608"/>
      <c r="AD1745" s="1608"/>
      <c r="AE1745" s="1608"/>
      <c r="AF1745" s="1608"/>
      <c r="AG1745" s="1609"/>
      <c r="AH1745" s="417"/>
      <c r="AI1745" s="418"/>
      <c r="AJ1745" s="418"/>
      <c r="AK1745" s="418"/>
      <c r="AL1745" s="418"/>
      <c r="AM1745" s="418"/>
      <c r="AN1745" s="418"/>
      <c r="AO1745" s="418"/>
      <c r="AP1745" s="418"/>
      <c r="AQ1745" s="418"/>
      <c r="AR1745" s="418"/>
      <c r="AS1745" s="419"/>
      <c r="AT1745" s="417"/>
      <c r="AU1745" s="418"/>
      <c r="AV1745" s="418"/>
      <c r="AW1745" s="418"/>
      <c r="AX1745" s="418"/>
      <c r="AY1745" s="418"/>
      <c r="AZ1745" s="418"/>
      <c r="BA1745" s="418"/>
      <c r="BB1745" s="418"/>
      <c r="BC1745" s="418"/>
      <c r="BD1745" s="419"/>
      <c r="BE1745" s="417"/>
      <c r="BF1745" s="418"/>
      <c r="BG1745" s="418"/>
      <c r="BH1745" s="418"/>
      <c r="BI1745" s="418"/>
      <c r="BJ1745" s="418"/>
      <c r="BK1745" s="418"/>
      <c r="BL1745" s="418"/>
      <c r="BM1745" s="418"/>
      <c r="BN1745" s="418"/>
      <c r="BO1745" s="419"/>
      <c r="BP1745" s="1222">
        <f t="shared" ref="BP1745:BP1751" si="278">+SUM(AH1745:BO1745)</f>
        <v>0</v>
      </c>
      <c r="BQ1745" s="1223"/>
      <c r="BR1745" s="1223"/>
      <c r="BS1745" s="1223"/>
      <c r="BT1745" s="1223"/>
      <c r="BU1745" s="1223"/>
      <c r="BV1745" s="1223"/>
      <c r="BW1745" s="1223"/>
      <c r="BX1745" s="1223"/>
      <c r="BY1745" s="1223"/>
      <c r="BZ1745" s="1224"/>
      <c r="CA1745" s="270"/>
      <c r="CB1745" s="3" t="str">
        <f t="shared" si="273"/>
        <v>Riadok bude skrytý.</v>
      </c>
      <c r="CC1745" s="271" t="s">
        <v>937</v>
      </c>
      <c r="CW1745" s="30">
        <f t="shared" si="275"/>
        <v>1</v>
      </c>
      <c r="CX1745" s="32">
        <f t="shared" si="276"/>
        <v>1</v>
      </c>
      <c r="CZ1745" s="30">
        <f t="shared" si="268"/>
        <v>0</v>
      </c>
      <c r="DA1745" s="52">
        <f t="shared" si="277"/>
        <v>0</v>
      </c>
      <c r="DB1745" s="2">
        <f t="shared" si="269"/>
        <v>0</v>
      </c>
      <c r="DS1745" s="130">
        <f>SI!BY1745</f>
        <v>176</v>
      </c>
      <c r="DZ1745" s="131">
        <f>SI!BZ1745</f>
        <v>2</v>
      </c>
    </row>
    <row r="1746" spans="1:130" hidden="1" x14ac:dyDescent="0.25">
      <c r="A1746" s="141"/>
      <c r="B1746" s="680" t="str">
        <f>+IF(LEN(SI!$J$4)=Poznamky_k_UZ!DZ1746,"Dlhové CP na obchodovanie","")</f>
        <v>Dlhové CP na obchodovanie</v>
      </c>
      <c r="C1746" s="681"/>
      <c r="D1746" s="681"/>
      <c r="E1746" s="681"/>
      <c r="F1746" s="681"/>
      <c r="G1746" s="681"/>
      <c r="H1746" s="681"/>
      <c r="I1746" s="681"/>
      <c r="J1746" s="681"/>
      <c r="K1746" s="681"/>
      <c r="L1746" s="681"/>
      <c r="M1746" s="681"/>
      <c r="N1746" s="681"/>
      <c r="O1746" s="681"/>
      <c r="P1746" s="681"/>
      <c r="Q1746" s="681"/>
      <c r="R1746" s="681"/>
      <c r="S1746" s="681"/>
      <c r="T1746" s="681"/>
      <c r="U1746" s="681"/>
      <c r="V1746" s="681"/>
      <c r="W1746" s="681"/>
      <c r="X1746" s="681"/>
      <c r="Y1746" s="681"/>
      <c r="Z1746" s="681"/>
      <c r="AA1746" s="681"/>
      <c r="AB1746" s="681"/>
      <c r="AC1746" s="681"/>
      <c r="AD1746" s="681"/>
      <c r="AE1746" s="681"/>
      <c r="AF1746" s="681"/>
      <c r="AG1746" s="1619"/>
      <c r="AH1746" s="511"/>
      <c r="AI1746" s="482"/>
      <c r="AJ1746" s="482"/>
      <c r="AK1746" s="482"/>
      <c r="AL1746" s="482"/>
      <c r="AM1746" s="482"/>
      <c r="AN1746" s="482"/>
      <c r="AO1746" s="482"/>
      <c r="AP1746" s="482"/>
      <c r="AQ1746" s="482"/>
      <c r="AR1746" s="482"/>
      <c r="AS1746" s="483"/>
      <c r="AT1746" s="511"/>
      <c r="AU1746" s="482"/>
      <c r="AV1746" s="482"/>
      <c r="AW1746" s="482"/>
      <c r="AX1746" s="482"/>
      <c r="AY1746" s="482"/>
      <c r="AZ1746" s="482"/>
      <c r="BA1746" s="482"/>
      <c r="BB1746" s="482"/>
      <c r="BC1746" s="482"/>
      <c r="BD1746" s="483"/>
      <c r="BE1746" s="511"/>
      <c r="BF1746" s="482"/>
      <c r="BG1746" s="482"/>
      <c r="BH1746" s="482"/>
      <c r="BI1746" s="482"/>
      <c r="BJ1746" s="482"/>
      <c r="BK1746" s="482"/>
      <c r="BL1746" s="482"/>
      <c r="BM1746" s="482"/>
      <c r="BN1746" s="482"/>
      <c r="BO1746" s="483"/>
      <c r="BP1746" s="398">
        <f t="shared" si="278"/>
        <v>0</v>
      </c>
      <c r="BQ1746" s="399"/>
      <c r="BR1746" s="399"/>
      <c r="BS1746" s="399"/>
      <c r="BT1746" s="399"/>
      <c r="BU1746" s="399"/>
      <c r="BV1746" s="399"/>
      <c r="BW1746" s="399"/>
      <c r="BX1746" s="399"/>
      <c r="BY1746" s="399"/>
      <c r="BZ1746" s="400"/>
      <c r="CA1746" s="270"/>
      <c r="CB1746" s="3" t="str">
        <f t="shared" si="273"/>
        <v>Riadok bude skrytý.</v>
      </c>
      <c r="CC1746" s="271" t="s">
        <v>937</v>
      </c>
      <c r="CW1746" s="30">
        <f t="shared" si="275"/>
        <v>1</v>
      </c>
      <c r="CX1746" s="32">
        <f t="shared" si="276"/>
        <v>1</v>
      </c>
      <c r="CZ1746" s="30">
        <f t="shared" si="268"/>
        <v>0</v>
      </c>
      <c r="DA1746" s="52">
        <f t="shared" si="277"/>
        <v>0</v>
      </c>
      <c r="DB1746" s="2">
        <f t="shared" si="269"/>
        <v>0</v>
      </c>
      <c r="DS1746" s="130">
        <f>SI!BY1746</f>
        <v>871</v>
      </c>
      <c r="DZ1746" s="131">
        <f>SI!BZ1746</f>
        <v>2</v>
      </c>
    </row>
    <row r="1747" spans="1:130" hidden="1" x14ac:dyDescent="0.25">
      <c r="A1747" s="141"/>
      <c r="B1747" s="680" t="str">
        <f>+IF(LEN(SI!$J$4)=Poznamky_k_UZ!DZ1747,"Emisné kvóty","")</f>
        <v>Emisné kvóty</v>
      </c>
      <c r="C1747" s="681"/>
      <c r="D1747" s="681"/>
      <c r="E1747" s="681"/>
      <c r="F1747" s="681"/>
      <c r="G1747" s="681"/>
      <c r="H1747" s="681"/>
      <c r="I1747" s="681"/>
      <c r="J1747" s="681"/>
      <c r="K1747" s="681"/>
      <c r="L1747" s="681"/>
      <c r="M1747" s="681"/>
      <c r="N1747" s="681"/>
      <c r="O1747" s="681"/>
      <c r="P1747" s="681"/>
      <c r="Q1747" s="681"/>
      <c r="R1747" s="681"/>
      <c r="S1747" s="681"/>
      <c r="T1747" s="681"/>
      <c r="U1747" s="681"/>
      <c r="V1747" s="681"/>
      <c r="W1747" s="681"/>
      <c r="X1747" s="681"/>
      <c r="Y1747" s="681"/>
      <c r="Z1747" s="681"/>
      <c r="AA1747" s="681"/>
      <c r="AB1747" s="681"/>
      <c r="AC1747" s="681"/>
      <c r="AD1747" s="681"/>
      <c r="AE1747" s="681"/>
      <c r="AF1747" s="681"/>
      <c r="AG1747" s="1619"/>
      <c r="AH1747" s="511"/>
      <c r="AI1747" s="482"/>
      <c r="AJ1747" s="482"/>
      <c r="AK1747" s="482"/>
      <c r="AL1747" s="482"/>
      <c r="AM1747" s="482"/>
      <c r="AN1747" s="482"/>
      <c r="AO1747" s="482"/>
      <c r="AP1747" s="482"/>
      <c r="AQ1747" s="482"/>
      <c r="AR1747" s="482"/>
      <c r="AS1747" s="483"/>
      <c r="AT1747" s="511"/>
      <c r="AU1747" s="482"/>
      <c r="AV1747" s="482"/>
      <c r="AW1747" s="482"/>
      <c r="AX1747" s="482"/>
      <c r="AY1747" s="482"/>
      <c r="AZ1747" s="482"/>
      <c r="BA1747" s="482"/>
      <c r="BB1747" s="482"/>
      <c r="BC1747" s="482"/>
      <c r="BD1747" s="483"/>
      <c r="BE1747" s="511"/>
      <c r="BF1747" s="482"/>
      <c r="BG1747" s="482"/>
      <c r="BH1747" s="482"/>
      <c r="BI1747" s="482"/>
      <c r="BJ1747" s="482"/>
      <c r="BK1747" s="482"/>
      <c r="BL1747" s="482"/>
      <c r="BM1747" s="482"/>
      <c r="BN1747" s="482"/>
      <c r="BO1747" s="483"/>
      <c r="BP1747" s="398">
        <f t="shared" si="278"/>
        <v>0</v>
      </c>
      <c r="BQ1747" s="399"/>
      <c r="BR1747" s="399"/>
      <c r="BS1747" s="399"/>
      <c r="BT1747" s="399"/>
      <c r="BU1747" s="399"/>
      <c r="BV1747" s="399"/>
      <c r="BW1747" s="399"/>
      <c r="BX1747" s="399"/>
      <c r="BY1747" s="399"/>
      <c r="BZ1747" s="400"/>
      <c r="CA1747" s="270"/>
      <c r="CB1747" s="3" t="str">
        <f t="shared" si="273"/>
        <v>Riadok bude skrytý.</v>
      </c>
      <c r="CC1747" s="271" t="s">
        <v>937</v>
      </c>
      <c r="CW1747" s="30">
        <f t="shared" si="275"/>
        <v>1</v>
      </c>
      <c r="CX1747" s="32">
        <f t="shared" si="276"/>
        <v>1</v>
      </c>
      <c r="CZ1747" s="30">
        <f t="shared" si="268"/>
        <v>0</v>
      </c>
      <c r="DA1747" s="52">
        <f t="shared" si="277"/>
        <v>0</v>
      </c>
      <c r="DB1747" s="2">
        <f t="shared" si="269"/>
        <v>0</v>
      </c>
      <c r="DS1747" s="130">
        <f>SI!BY1747</f>
        <v>108</v>
      </c>
      <c r="DZ1747" s="131">
        <f>SI!BZ1747</f>
        <v>2</v>
      </c>
    </row>
    <row r="1748" spans="1:130" ht="25.5" hidden="1" customHeight="1" x14ac:dyDescent="0.25">
      <c r="A1748" s="141"/>
      <c r="B1748" s="1036" t="str">
        <f>+IF(LEN(SI!$J$4)=Poznamky_k_UZ!DZ1748,"Dlhové CP so splatnosťou do jedného roka držané do splatnosti","")</f>
        <v>Dlhové CP so splatnosťou do jedného roka držané do splatnosti</v>
      </c>
      <c r="C1748" s="1037"/>
      <c r="D1748" s="1037"/>
      <c r="E1748" s="1037"/>
      <c r="F1748" s="1037"/>
      <c r="G1748" s="1037"/>
      <c r="H1748" s="1037"/>
      <c r="I1748" s="1037"/>
      <c r="J1748" s="1037"/>
      <c r="K1748" s="1037"/>
      <c r="L1748" s="1037"/>
      <c r="M1748" s="1037"/>
      <c r="N1748" s="1037"/>
      <c r="O1748" s="1037"/>
      <c r="P1748" s="1037"/>
      <c r="Q1748" s="1037"/>
      <c r="R1748" s="1037"/>
      <c r="S1748" s="1037"/>
      <c r="T1748" s="1037"/>
      <c r="U1748" s="1037"/>
      <c r="V1748" s="1037"/>
      <c r="W1748" s="1037"/>
      <c r="X1748" s="1037"/>
      <c r="Y1748" s="1037"/>
      <c r="Z1748" s="1037"/>
      <c r="AA1748" s="1037"/>
      <c r="AB1748" s="1037"/>
      <c r="AC1748" s="1037"/>
      <c r="AD1748" s="1037"/>
      <c r="AE1748" s="1037"/>
      <c r="AF1748" s="1037"/>
      <c r="AG1748" s="1623"/>
      <c r="AH1748" s="511"/>
      <c r="AI1748" s="482"/>
      <c r="AJ1748" s="482"/>
      <c r="AK1748" s="482"/>
      <c r="AL1748" s="482"/>
      <c r="AM1748" s="482"/>
      <c r="AN1748" s="482"/>
      <c r="AO1748" s="482"/>
      <c r="AP1748" s="482"/>
      <c r="AQ1748" s="482"/>
      <c r="AR1748" s="482"/>
      <c r="AS1748" s="483"/>
      <c r="AT1748" s="511"/>
      <c r="AU1748" s="482"/>
      <c r="AV1748" s="482"/>
      <c r="AW1748" s="482"/>
      <c r="AX1748" s="482"/>
      <c r="AY1748" s="482"/>
      <c r="AZ1748" s="482"/>
      <c r="BA1748" s="482"/>
      <c r="BB1748" s="482"/>
      <c r="BC1748" s="482"/>
      <c r="BD1748" s="483"/>
      <c r="BE1748" s="511"/>
      <c r="BF1748" s="482"/>
      <c r="BG1748" s="482"/>
      <c r="BH1748" s="482"/>
      <c r="BI1748" s="482"/>
      <c r="BJ1748" s="482"/>
      <c r="BK1748" s="482"/>
      <c r="BL1748" s="482"/>
      <c r="BM1748" s="482"/>
      <c r="BN1748" s="482"/>
      <c r="BO1748" s="483"/>
      <c r="BP1748" s="398">
        <f t="shared" si="278"/>
        <v>0</v>
      </c>
      <c r="BQ1748" s="399"/>
      <c r="BR1748" s="399"/>
      <c r="BS1748" s="399"/>
      <c r="BT1748" s="399"/>
      <c r="BU1748" s="399"/>
      <c r="BV1748" s="399"/>
      <c r="BW1748" s="399"/>
      <c r="BX1748" s="399"/>
      <c r="BY1748" s="399"/>
      <c r="BZ1748" s="400"/>
      <c r="CA1748" s="270"/>
      <c r="CB1748" s="3" t="str">
        <f t="shared" si="273"/>
        <v>Riadok bude skrytý.</v>
      </c>
      <c r="CC1748" s="271" t="s">
        <v>937</v>
      </c>
      <c r="CW1748" s="30">
        <f t="shared" si="275"/>
        <v>1</v>
      </c>
      <c r="CX1748" s="32">
        <f t="shared" si="276"/>
        <v>1</v>
      </c>
      <c r="CZ1748" s="30">
        <f t="shared" si="268"/>
        <v>0</v>
      </c>
      <c r="DA1748" s="52">
        <f t="shared" si="277"/>
        <v>0</v>
      </c>
      <c r="DB1748" s="2">
        <f t="shared" si="269"/>
        <v>0</v>
      </c>
      <c r="DS1748" s="130">
        <f>SI!BY1748</f>
        <v>133</v>
      </c>
      <c r="DZ1748" s="131">
        <f>SI!BZ1748</f>
        <v>2</v>
      </c>
    </row>
    <row r="1749" spans="1:130" hidden="1" x14ac:dyDescent="0.25">
      <c r="A1749" s="141"/>
      <c r="B1749" s="680" t="str">
        <f>+IF(LEN(SI!$J$4)=Poznamky_k_UZ!DZ1749,"Ostatné realizovateľné CP","")</f>
        <v>Ostatné realizovateľné CP</v>
      </c>
      <c r="C1749" s="681"/>
      <c r="D1749" s="681"/>
      <c r="E1749" s="681"/>
      <c r="F1749" s="681"/>
      <c r="G1749" s="681"/>
      <c r="H1749" s="681"/>
      <c r="I1749" s="681"/>
      <c r="J1749" s="681"/>
      <c r="K1749" s="681"/>
      <c r="L1749" s="681"/>
      <c r="M1749" s="681"/>
      <c r="N1749" s="681"/>
      <c r="O1749" s="681"/>
      <c r="P1749" s="681"/>
      <c r="Q1749" s="681"/>
      <c r="R1749" s="681"/>
      <c r="S1749" s="681"/>
      <c r="T1749" s="681"/>
      <c r="U1749" s="681"/>
      <c r="V1749" s="681"/>
      <c r="W1749" s="681"/>
      <c r="X1749" s="681"/>
      <c r="Y1749" s="681"/>
      <c r="Z1749" s="681"/>
      <c r="AA1749" s="681"/>
      <c r="AB1749" s="681"/>
      <c r="AC1749" s="681"/>
      <c r="AD1749" s="681"/>
      <c r="AE1749" s="681"/>
      <c r="AF1749" s="681"/>
      <c r="AG1749" s="1619"/>
      <c r="AH1749" s="511"/>
      <c r="AI1749" s="482"/>
      <c r="AJ1749" s="482"/>
      <c r="AK1749" s="482"/>
      <c r="AL1749" s="482"/>
      <c r="AM1749" s="482"/>
      <c r="AN1749" s="482"/>
      <c r="AO1749" s="482"/>
      <c r="AP1749" s="482"/>
      <c r="AQ1749" s="482"/>
      <c r="AR1749" s="482"/>
      <c r="AS1749" s="483"/>
      <c r="AT1749" s="511"/>
      <c r="AU1749" s="482"/>
      <c r="AV1749" s="482"/>
      <c r="AW1749" s="482"/>
      <c r="AX1749" s="482"/>
      <c r="AY1749" s="482"/>
      <c r="AZ1749" s="482"/>
      <c r="BA1749" s="482"/>
      <c r="BB1749" s="482"/>
      <c r="BC1749" s="482"/>
      <c r="BD1749" s="483"/>
      <c r="BE1749" s="511"/>
      <c r="BF1749" s="482"/>
      <c r="BG1749" s="482"/>
      <c r="BH1749" s="482"/>
      <c r="BI1749" s="482"/>
      <c r="BJ1749" s="482"/>
      <c r="BK1749" s="482"/>
      <c r="BL1749" s="482"/>
      <c r="BM1749" s="482"/>
      <c r="BN1749" s="482"/>
      <c r="BO1749" s="483"/>
      <c r="BP1749" s="398">
        <f t="shared" si="278"/>
        <v>0</v>
      </c>
      <c r="BQ1749" s="399"/>
      <c r="BR1749" s="399"/>
      <c r="BS1749" s="399"/>
      <c r="BT1749" s="399"/>
      <c r="BU1749" s="399"/>
      <c r="BV1749" s="399"/>
      <c r="BW1749" s="399"/>
      <c r="BX1749" s="399"/>
      <c r="BY1749" s="399"/>
      <c r="BZ1749" s="400"/>
      <c r="CA1749" s="270"/>
      <c r="CB1749" s="3" t="str">
        <f t="shared" si="273"/>
        <v>Riadok bude skrytý.</v>
      </c>
      <c r="CC1749" s="271" t="s">
        <v>937</v>
      </c>
      <c r="CW1749" s="30">
        <f t="shared" si="275"/>
        <v>1</v>
      </c>
      <c r="CX1749" s="32">
        <f t="shared" si="276"/>
        <v>1</v>
      </c>
      <c r="CZ1749" s="30">
        <f t="shared" si="268"/>
        <v>0</v>
      </c>
      <c r="DA1749" s="52">
        <f t="shared" si="277"/>
        <v>0</v>
      </c>
      <c r="DB1749" s="2">
        <f t="shared" si="269"/>
        <v>0</v>
      </c>
      <c r="DS1749" s="130">
        <f>SI!BY1749</f>
        <v>123</v>
      </c>
      <c r="DZ1749" s="131">
        <f>SI!BZ1749</f>
        <v>2</v>
      </c>
    </row>
    <row r="1750" spans="1:130" ht="24.8" hidden="1" customHeight="1" x14ac:dyDescent="0.25">
      <c r="A1750" s="141"/>
      <c r="B1750" s="1620" t="str">
        <f>+IF(LEN(SI!$J$4)=Poznamky_k_UZ!DZ1750,"Obstarávanie krátkodobého finančného majetku","")</f>
        <v>Obstarávanie krátkodobého finančného majetku</v>
      </c>
      <c r="C1750" s="1621"/>
      <c r="D1750" s="1621"/>
      <c r="E1750" s="1621"/>
      <c r="F1750" s="1621"/>
      <c r="G1750" s="1621"/>
      <c r="H1750" s="1621"/>
      <c r="I1750" s="1621"/>
      <c r="J1750" s="1621"/>
      <c r="K1750" s="1621"/>
      <c r="L1750" s="1621"/>
      <c r="M1750" s="1621"/>
      <c r="N1750" s="1621"/>
      <c r="O1750" s="1621"/>
      <c r="P1750" s="1621"/>
      <c r="Q1750" s="1621"/>
      <c r="R1750" s="1621"/>
      <c r="S1750" s="1621"/>
      <c r="T1750" s="1621"/>
      <c r="U1750" s="1621"/>
      <c r="V1750" s="1621"/>
      <c r="W1750" s="1621"/>
      <c r="X1750" s="1621"/>
      <c r="Y1750" s="1621"/>
      <c r="Z1750" s="1621"/>
      <c r="AA1750" s="1621"/>
      <c r="AB1750" s="1621"/>
      <c r="AC1750" s="1621"/>
      <c r="AD1750" s="1621"/>
      <c r="AE1750" s="1621"/>
      <c r="AF1750" s="1621"/>
      <c r="AG1750" s="1622"/>
      <c r="AH1750" s="511"/>
      <c r="AI1750" s="482"/>
      <c r="AJ1750" s="482"/>
      <c r="AK1750" s="482"/>
      <c r="AL1750" s="482"/>
      <c r="AM1750" s="482"/>
      <c r="AN1750" s="482"/>
      <c r="AO1750" s="482"/>
      <c r="AP1750" s="482"/>
      <c r="AQ1750" s="482"/>
      <c r="AR1750" s="482"/>
      <c r="AS1750" s="483"/>
      <c r="AT1750" s="454"/>
      <c r="AU1750" s="455"/>
      <c r="AV1750" s="455"/>
      <c r="AW1750" s="455"/>
      <c r="AX1750" s="455"/>
      <c r="AY1750" s="455"/>
      <c r="AZ1750" s="455"/>
      <c r="BA1750" s="455"/>
      <c r="BB1750" s="455"/>
      <c r="BC1750" s="455"/>
      <c r="BD1750" s="456"/>
      <c r="BE1750" s="511"/>
      <c r="BF1750" s="482"/>
      <c r="BG1750" s="482"/>
      <c r="BH1750" s="482"/>
      <c r="BI1750" s="482"/>
      <c r="BJ1750" s="482"/>
      <c r="BK1750" s="482"/>
      <c r="BL1750" s="482"/>
      <c r="BM1750" s="482"/>
      <c r="BN1750" s="482"/>
      <c r="BO1750" s="483"/>
      <c r="BP1750" s="1266">
        <f t="shared" si="278"/>
        <v>0</v>
      </c>
      <c r="BQ1750" s="1267"/>
      <c r="BR1750" s="1267"/>
      <c r="BS1750" s="1267"/>
      <c r="BT1750" s="1267"/>
      <c r="BU1750" s="1267"/>
      <c r="BV1750" s="1267"/>
      <c r="BW1750" s="1267"/>
      <c r="BX1750" s="1267"/>
      <c r="BY1750" s="1267"/>
      <c r="BZ1750" s="1268"/>
      <c r="CA1750" s="270"/>
      <c r="CB1750" s="3" t="str">
        <f t="shared" si="273"/>
        <v>Riadok bude skrytý.</v>
      </c>
      <c r="CC1750" s="271" t="s">
        <v>937</v>
      </c>
      <c r="CW1750" s="30">
        <f t="shared" si="275"/>
        <v>1</v>
      </c>
      <c r="CX1750" s="32">
        <f t="shared" si="276"/>
        <v>1</v>
      </c>
      <c r="CZ1750" s="30">
        <f t="shared" si="268"/>
        <v>0</v>
      </c>
      <c r="DA1750" s="52">
        <f t="shared" si="277"/>
        <v>0</v>
      </c>
      <c r="DB1750" s="2">
        <f t="shared" si="269"/>
        <v>0</v>
      </c>
      <c r="DS1750" s="130">
        <f>SI!BY1750</f>
        <v>657</v>
      </c>
      <c r="DZ1750" s="131">
        <f>SI!BZ1750</f>
        <v>2</v>
      </c>
    </row>
    <row r="1751" spans="1:130" hidden="1" x14ac:dyDescent="0.25">
      <c r="A1751" s="141"/>
      <c r="B1751" s="579" t="str">
        <f>+IF(LEN(SI!$J$4)=Poznamky_k_UZ!DZ1751,"Krátkodobý finančný majetok spolu:","")</f>
        <v>Krátkodobý finančný majetok spolu:</v>
      </c>
      <c r="C1751" s="580"/>
      <c r="D1751" s="580"/>
      <c r="E1751" s="580"/>
      <c r="F1751" s="580"/>
      <c r="G1751" s="580"/>
      <c r="H1751" s="580"/>
      <c r="I1751" s="580"/>
      <c r="J1751" s="580"/>
      <c r="K1751" s="580"/>
      <c r="L1751" s="580"/>
      <c r="M1751" s="580"/>
      <c r="N1751" s="580"/>
      <c r="O1751" s="580"/>
      <c r="P1751" s="580"/>
      <c r="Q1751" s="580"/>
      <c r="R1751" s="580"/>
      <c r="S1751" s="580"/>
      <c r="T1751" s="580"/>
      <c r="U1751" s="580"/>
      <c r="V1751" s="580"/>
      <c r="W1751" s="580"/>
      <c r="X1751" s="580"/>
      <c r="Y1751" s="580"/>
      <c r="Z1751" s="580"/>
      <c r="AA1751" s="580"/>
      <c r="AB1751" s="580"/>
      <c r="AC1751" s="580"/>
      <c r="AD1751" s="580"/>
      <c r="AE1751" s="580"/>
      <c r="AF1751" s="580"/>
      <c r="AG1751" s="581"/>
      <c r="AH1751" s="423">
        <f>+SUM(AH1745:AS1750)</f>
        <v>0</v>
      </c>
      <c r="AI1751" s="424"/>
      <c r="AJ1751" s="424"/>
      <c r="AK1751" s="424"/>
      <c r="AL1751" s="424"/>
      <c r="AM1751" s="424"/>
      <c r="AN1751" s="424"/>
      <c r="AO1751" s="424"/>
      <c r="AP1751" s="424"/>
      <c r="AQ1751" s="424"/>
      <c r="AR1751" s="424"/>
      <c r="AS1751" s="425"/>
      <c r="AT1751" s="423">
        <f>+SUM(AT1745:BD1750)</f>
        <v>0</v>
      </c>
      <c r="AU1751" s="424"/>
      <c r="AV1751" s="424"/>
      <c r="AW1751" s="424"/>
      <c r="AX1751" s="424"/>
      <c r="AY1751" s="424"/>
      <c r="AZ1751" s="424"/>
      <c r="BA1751" s="424"/>
      <c r="BB1751" s="424"/>
      <c r="BC1751" s="424"/>
      <c r="BD1751" s="425"/>
      <c r="BE1751" s="423">
        <f>+SUM(BE1745:BO1750)</f>
        <v>0</v>
      </c>
      <c r="BF1751" s="424"/>
      <c r="BG1751" s="424"/>
      <c r="BH1751" s="424"/>
      <c r="BI1751" s="424"/>
      <c r="BJ1751" s="424"/>
      <c r="BK1751" s="424"/>
      <c r="BL1751" s="424"/>
      <c r="BM1751" s="424"/>
      <c r="BN1751" s="424"/>
      <c r="BO1751" s="425"/>
      <c r="BP1751" s="423">
        <f t="shared" si="278"/>
        <v>0</v>
      </c>
      <c r="BQ1751" s="424"/>
      <c r="BR1751" s="424"/>
      <c r="BS1751" s="424"/>
      <c r="BT1751" s="424"/>
      <c r="BU1751" s="424"/>
      <c r="BV1751" s="424"/>
      <c r="BW1751" s="424"/>
      <c r="BX1751" s="424"/>
      <c r="BY1751" s="424"/>
      <c r="BZ1751" s="425"/>
      <c r="CA1751" s="270"/>
      <c r="CB1751" s="3" t="str">
        <f t="shared" si="273"/>
        <v>Riadok bude skrytý.</v>
      </c>
      <c r="CC1751" s="271" t="s">
        <v>937</v>
      </c>
      <c r="CW1751" s="30">
        <f t="shared" si="275"/>
        <v>1</v>
      </c>
      <c r="CX1751" s="32">
        <f t="shared" si="276"/>
        <v>1</v>
      </c>
      <c r="CZ1751" s="30">
        <f t="shared" si="268"/>
        <v>0</v>
      </c>
      <c r="DA1751" s="52">
        <f t="shared" si="277"/>
        <v>0</v>
      </c>
      <c r="DB1751" s="2">
        <f t="shared" si="269"/>
        <v>0</v>
      </c>
      <c r="DS1751" s="130">
        <f>SI!BY1751</f>
        <v>195</v>
      </c>
      <c r="DZ1751" s="131">
        <f>SI!BZ1751</f>
        <v>2</v>
      </c>
    </row>
    <row r="1752" spans="1:130" hidden="1" x14ac:dyDescent="0.25">
      <c r="A1752" s="141"/>
      <c r="CA1752" s="270"/>
      <c r="CB1752" s="3" t="str">
        <f t="shared" si="273"/>
        <v>Riadok bude skrytý.</v>
      </c>
      <c r="CC1752" s="271" t="s">
        <v>937</v>
      </c>
      <c r="CW1752" s="30">
        <f t="shared" si="275"/>
        <v>1</v>
      </c>
      <c r="CX1752" s="32">
        <f t="shared" si="276"/>
        <v>1</v>
      </c>
      <c r="CZ1752" s="30">
        <f t="shared" si="268"/>
        <v>0</v>
      </c>
      <c r="DA1752" s="52">
        <f t="shared" si="277"/>
        <v>0</v>
      </c>
      <c r="DB1752" s="2">
        <f t="shared" si="269"/>
        <v>0</v>
      </c>
      <c r="DS1752" s="130">
        <f>SI!BY1752</f>
        <v>244</v>
      </c>
      <c r="DZ1752" s="131">
        <f>SI!BZ1752</f>
        <v>0</v>
      </c>
    </row>
    <row r="1753" spans="1:130" hidden="1" x14ac:dyDescent="0.25">
      <c r="A1753" s="141"/>
      <c r="B1753" s="137" t="s">
        <v>96</v>
      </c>
      <c r="K1753" s="385" t="s">
        <v>771</v>
      </c>
      <c r="L1753" s="385"/>
      <c r="M1753" s="385"/>
      <c r="N1753" s="385"/>
      <c r="O1753" s="385"/>
      <c r="P1753" s="385"/>
      <c r="Q1753" s="385"/>
      <c r="R1753" s="385"/>
      <c r="S1753" s="137" t="str">
        <f>+IF($C$52&lt;&gt;"",IF(CODE(MID($C$52,1,1))*(IF(SI!EE1753="",1,SI!EE1753-3))+LEN(SI!J2)=DS1753,"opravné položky ku krátkodobému finančnému majetku.","NEPOVOLENÉ POUŽITIE!"),"NEPOVOLENÉ POUŽITIE!")</f>
        <v>opravné položky ku krátkodobému finančnému majetku.</v>
      </c>
      <c r="CA1753" s="265" t="s">
        <v>773</v>
      </c>
      <c r="CB1753" s="3" t="str">
        <f t="shared" si="273"/>
        <v>Riadok bude skrytý.</v>
      </c>
      <c r="CC1753" s="271" t="s">
        <v>832</v>
      </c>
      <c r="CF1753" s="13"/>
      <c r="CW1753" s="30">
        <f t="shared" si="275"/>
        <v>1</v>
      </c>
      <c r="CZ1753" s="30">
        <f t="shared" si="268"/>
        <v>1</v>
      </c>
      <c r="DA1753" s="30">
        <f>+IF(CW1753+CX1753+CY1753=0,0,IF(CZ1753=0,0,1))</f>
        <v>1</v>
      </c>
      <c r="DB1753" s="2">
        <f t="shared" si="269"/>
        <v>0</v>
      </c>
      <c r="DS1753" s="130">
        <f>SI!BY1753</f>
        <v>13</v>
      </c>
      <c r="DZ1753" s="131">
        <f>SI!BZ1753</f>
        <v>0</v>
      </c>
    </row>
    <row r="1754" spans="1:130" hidden="1" x14ac:dyDescent="0.25">
      <c r="A1754" s="141"/>
      <c r="B1754" s="137" t="str">
        <f>+IF(K1753="tvorila","Údaje o opravných položkách ku krátkodobému finančnému majetku sú uvedené v tabuľke:","")</f>
        <v>Údaje o opravných položkách ku krátkodobému finančnému majetku sú uvedené v tabuľke:</v>
      </c>
      <c r="CA1754" s="270"/>
      <c r="CB1754" s="3" t="str">
        <f t="shared" si="273"/>
        <v>Riadok bude skrytý.</v>
      </c>
      <c r="CC1754" s="271" t="s">
        <v>832</v>
      </c>
      <c r="CF1754" s="13"/>
      <c r="CW1754" s="30">
        <f t="shared" si="275"/>
        <v>1</v>
      </c>
      <c r="CX1754" s="30">
        <f>+IF($K$1753="netvorila",0,1)</f>
        <v>1</v>
      </c>
      <c r="CZ1754" s="30">
        <f t="shared" si="268"/>
        <v>1</v>
      </c>
      <c r="DA1754" s="52">
        <f t="shared" ref="DA1754:DA1761" si="279">+IF(CW1754*CX1754=0,0,IF(CZ1754=0,0,1))</f>
        <v>1</v>
      </c>
      <c r="DB1754" s="2">
        <f t="shared" si="269"/>
        <v>0</v>
      </c>
      <c r="DS1754" s="130">
        <f>SI!BY1754</f>
        <v>1011</v>
      </c>
      <c r="DZ1754" s="131">
        <f>SI!BZ1754</f>
        <v>0</v>
      </c>
    </row>
    <row r="1755" spans="1:130" hidden="1" x14ac:dyDescent="0.25">
      <c r="A1755" s="141"/>
      <c r="CA1755" s="270"/>
      <c r="CB1755" s="3" t="str">
        <f t="shared" si="273"/>
        <v>Riadok bude skrytý.</v>
      </c>
      <c r="CC1755" s="271" t="s">
        <v>832</v>
      </c>
      <c r="CF1755" s="13"/>
      <c r="CW1755" s="30">
        <f t="shared" si="275"/>
        <v>1</v>
      </c>
      <c r="CX1755" s="30">
        <f t="shared" ref="CX1755:CX1761" si="280">+IF($K$1753="netvorila",0,1)</f>
        <v>1</v>
      </c>
      <c r="CZ1755" s="30">
        <f t="shared" si="268"/>
        <v>1</v>
      </c>
      <c r="DA1755" s="52">
        <f t="shared" si="279"/>
        <v>1</v>
      </c>
      <c r="DB1755" s="2">
        <f t="shared" si="269"/>
        <v>0</v>
      </c>
      <c r="DS1755" s="130">
        <f>SI!BY1755</f>
        <v>202</v>
      </c>
      <c r="DZ1755" s="131">
        <f>SI!BZ1755</f>
        <v>0</v>
      </c>
    </row>
    <row r="1756" spans="1:130" ht="14.95" hidden="1" customHeight="1" x14ac:dyDescent="0.25">
      <c r="A1756" s="141"/>
      <c r="B1756" s="439" t="s">
        <v>218</v>
      </c>
      <c r="C1756" s="440"/>
      <c r="D1756" s="440"/>
      <c r="E1756" s="440"/>
      <c r="F1756" s="440"/>
      <c r="G1756" s="440"/>
      <c r="H1756" s="440"/>
      <c r="I1756" s="440"/>
      <c r="J1756" s="440"/>
      <c r="K1756" s="440"/>
      <c r="L1756" s="440"/>
      <c r="M1756" s="440"/>
      <c r="N1756" s="440"/>
      <c r="O1756" s="440"/>
      <c r="P1756" s="440"/>
      <c r="Q1756" s="440"/>
      <c r="R1756" s="440"/>
      <c r="S1756" s="440"/>
      <c r="T1756" s="441"/>
      <c r="U1756" s="543" t="s">
        <v>153</v>
      </c>
      <c r="V1756" s="544"/>
      <c r="W1756" s="544"/>
      <c r="X1756" s="544"/>
      <c r="Y1756" s="544"/>
      <c r="Z1756" s="544"/>
      <c r="AA1756" s="544"/>
      <c r="AB1756" s="544"/>
      <c r="AC1756" s="544"/>
      <c r="AD1756" s="544"/>
      <c r="AE1756" s="544"/>
      <c r="AF1756" s="544"/>
      <c r="AG1756" s="545"/>
      <c r="AH1756" s="543" t="s">
        <v>159</v>
      </c>
      <c r="AI1756" s="544"/>
      <c r="AJ1756" s="544"/>
      <c r="AK1756" s="544"/>
      <c r="AL1756" s="544"/>
      <c r="AM1756" s="544"/>
      <c r="AN1756" s="544"/>
      <c r="AO1756" s="544"/>
      <c r="AP1756" s="544"/>
      <c r="AQ1756" s="544"/>
      <c r="AR1756" s="544"/>
      <c r="AS1756" s="545"/>
      <c r="AT1756" s="1233" t="s">
        <v>154</v>
      </c>
      <c r="AU1756" s="1234"/>
      <c r="AV1756" s="1234"/>
      <c r="AW1756" s="1234"/>
      <c r="AX1756" s="1234"/>
      <c r="AY1756" s="1234"/>
      <c r="AZ1756" s="1234"/>
      <c r="BA1756" s="1234"/>
      <c r="BB1756" s="1234"/>
      <c r="BC1756" s="1234"/>
      <c r="BD1756" s="1233" t="s">
        <v>155</v>
      </c>
      <c r="BE1756" s="1234"/>
      <c r="BF1756" s="1234"/>
      <c r="BG1756" s="1234"/>
      <c r="BH1756" s="1234"/>
      <c r="BI1756" s="1234"/>
      <c r="BJ1756" s="1234"/>
      <c r="BK1756" s="1234"/>
      <c r="BL1756" s="1234"/>
      <c r="BM1756" s="1234"/>
      <c r="BN1756" s="1234"/>
      <c r="BO1756" s="1235"/>
      <c r="BP1756" s="543" t="s">
        <v>156</v>
      </c>
      <c r="BQ1756" s="544"/>
      <c r="BR1756" s="544"/>
      <c r="BS1756" s="544"/>
      <c r="BT1756" s="544"/>
      <c r="BU1756" s="544"/>
      <c r="BV1756" s="544"/>
      <c r="BW1756" s="544"/>
      <c r="BX1756" s="544"/>
      <c r="BY1756" s="544"/>
      <c r="BZ1756" s="545"/>
      <c r="CA1756" s="265" t="s">
        <v>773</v>
      </c>
      <c r="CB1756" s="3" t="str">
        <f t="shared" si="273"/>
        <v>Riadok bude skrytý.</v>
      </c>
      <c r="CC1756" s="271" t="s">
        <v>832</v>
      </c>
      <c r="CD1756" s="4"/>
      <c r="CW1756" s="30">
        <f t="shared" si="275"/>
        <v>1</v>
      </c>
      <c r="CX1756" s="30">
        <f t="shared" si="280"/>
        <v>1</v>
      </c>
      <c r="CZ1756" s="30">
        <f t="shared" si="268"/>
        <v>1</v>
      </c>
      <c r="DA1756" s="52">
        <f t="shared" si="279"/>
        <v>1</v>
      </c>
      <c r="DB1756" s="2">
        <f t="shared" si="269"/>
        <v>0</v>
      </c>
      <c r="DS1756" s="130">
        <f>SI!BY1756</f>
        <v>402</v>
      </c>
      <c r="DZ1756" s="131">
        <f>SI!BZ1756</f>
        <v>0</v>
      </c>
    </row>
    <row r="1757" spans="1:130" hidden="1" x14ac:dyDescent="0.25">
      <c r="A1757" s="141"/>
      <c r="B1757" s="442"/>
      <c r="C1757" s="443"/>
      <c r="D1757" s="443"/>
      <c r="E1757" s="443"/>
      <c r="F1757" s="443"/>
      <c r="G1757" s="443"/>
      <c r="H1757" s="443"/>
      <c r="I1757" s="443"/>
      <c r="J1757" s="443"/>
      <c r="K1757" s="443"/>
      <c r="L1757" s="443"/>
      <c r="M1757" s="443"/>
      <c r="N1757" s="443"/>
      <c r="O1757" s="443"/>
      <c r="P1757" s="443"/>
      <c r="Q1757" s="443"/>
      <c r="R1757" s="443"/>
      <c r="S1757" s="443"/>
      <c r="T1757" s="444"/>
      <c r="U1757" s="546"/>
      <c r="V1757" s="547"/>
      <c r="W1757" s="547"/>
      <c r="X1757" s="547"/>
      <c r="Y1757" s="547"/>
      <c r="Z1757" s="547"/>
      <c r="AA1757" s="547"/>
      <c r="AB1757" s="547"/>
      <c r="AC1757" s="547"/>
      <c r="AD1757" s="547"/>
      <c r="AE1757" s="547"/>
      <c r="AF1757" s="547"/>
      <c r="AG1757" s="548"/>
      <c r="AH1757" s="546"/>
      <c r="AI1757" s="547"/>
      <c r="AJ1757" s="547"/>
      <c r="AK1757" s="547"/>
      <c r="AL1757" s="547"/>
      <c r="AM1757" s="547"/>
      <c r="AN1757" s="547"/>
      <c r="AO1757" s="547"/>
      <c r="AP1757" s="547"/>
      <c r="AQ1757" s="547"/>
      <c r="AR1757" s="547"/>
      <c r="AS1757" s="548"/>
      <c r="AT1757" s="1236"/>
      <c r="AU1757" s="1237"/>
      <c r="AV1757" s="1237"/>
      <c r="AW1757" s="1237"/>
      <c r="AX1757" s="1237"/>
      <c r="AY1757" s="1237"/>
      <c r="AZ1757" s="1237"/>
      <c r="BA1757" s="1237"/>
      <c r="BB1757" s="1237"/>
      <c r="BC1757" s="1237"/>
      <c r="BD1757" s="1236"/>
      <c r="BE1757" s="1237"/>
      <c r="BF1757" s="1237"/>
      <c r="BG1757" s="1237"/>
      <c r="BH1757" s="1237"/>
      <c r="BI1757" s="1237"/>
      <c r="BJ1757" s="1237"/>
      <c r="BK1757" s="1237"/>
      <c r="BL1757" s="1237"/>
      <c r="BM1757" s="1237"/>
      <c r="BN1757" s="1237"/>
      <c r="BO1757" s="1238"/>
      <c r="BP1757" s="546"/>
      <c r="BQ1757" s="547"/>
      <c r="BR1757" s="547"/>
      <c r="BS1757" s="547"/>
      <c r="BT1757" s="547"/>
      <c r="BU1757" s="547"/>
      <c r="BV1757" s="547"/>
      <c r="BW1757" s="547"/>
      <c r="BX1757" s="547"/>
      <c r="BY1757" s="547"/>
      <c r="BZ1757" s="548"/>
      <c r="CA1757" s="270"/>
      <c r="CB1757" s="3" t="str">
        <f t="shared" si="273"/>
        <v>Riadok bude skrytý.</v>
      </c>
      <c r="CC1757" s="271" t="s">
        <v>832</v>
      </c>
      <c r="CD1757" s="4" t="s">
        <v>764</v>
      </c>
      <c r="CW1757" s="30">
        <f t="shared" si="275"/>
        <v>1</v>
      </c>
      <c r="CX1757" s="30">
        <f t="shared" si="280"/>
        <v>1</v>
      </c>
      <c r="CZ1757" s="30">
        <f t="shared" si="268"/>
        <v>1</v>
      </c>
      <c r="DA1757" s="52">
        <f t="shared" si="279"/>
        <v>1</v>
      </c>
      <c r="DB1757" s="2">
        <f t="shared" si="269"/>
        <v>0</v>
      </c>
      <c r="DS1757" s="130">
        <f>SI!BY1757</f>
        <v>114</v>
      </c>
      <c r="DZ1757" s="131">
        <f>SI!BZ1757</f>
        <v>0</v>
      </c>
    </row>
    <row r="1758" spans="1:130" hidden="1" x14ac:dyDescent="0.25">
      <c r="A1758" s="141"/>
      <c r="B1758" s="524" t="s">
        <v>0</v>
      </c>
      <c r="C1758" s="525"/>
      <c r="D1758" s="525"/>
      <c r="E1758" s="525"/>
      <c r="F1758" s="525"/>
      <c r="G1758" s="525"/>
      <c r="H1758" s="525"/>
      <c r="I1758" s="525"/>
      <c r="J1758" s="525"/>
      <c r="K1758" s="525"/>
      <c r="L1758" s="525"/>
      <c r="M1758" s="525"/>
      <c r="N1758" s="525"/>
      <c r="O1758" s="525"/>
      <c r="P1758" s="525"/>
      <c r="Q1758" s="525"/>
      <c r="R1758" s="525"/>
      <c r="S1758" s="525"/>
      <c r="T1758" s="723"/>
      <c r="U1758" s="524" t="s">
        <v>1</v>
      </c>
      <c r="V1758" s="525"/>
      <c r="W1758" s="525"/>
      <c r="X1758" s="525"/>
      <c r="Y1758" s="525"/>
      <c r="Z1758" s="525"/>
      <c r="AA1758" s="525"/>
      <c r="AB1758" s="525"/>
      <c r="AC1758" s="525"/>
      <c r="AD1758" s="525"/>
      <c r="AE1758" s="525"/>
      <c r="AF1758" s="525"/>
      <c r="AG1758" s="723"/>
      <c r="AH1758" s="524" t="s">
        <v>2</v>
      </c>
      <c r="AI1758" s="525"/>
      <c r="AJ1758" s="525"/>
      <c r="AK1758" s="525"/>
      <c r="AL1758" s="525"/>
      <c r="AM1758" s="525"/>
      <c r="AN1758" s="525"/>
      <c r="AO1758" s="525"/>
      <c r="AP1758" s="525"/>
      <c r="AQ1758" s="525"/>
      <c r="AR1758" s="525"/>
      <c r="AS1758" s="723"/>
      <c r="AT1758" s="524" t="s">
        <v>28</v>
      </c>
      <c r="AU1758" s="525"/>
      <c r="AV1758" s="525"/>
      <c r="AW1758" s="525"/>
      <c r="AX1758" s="525"/>
      <c r="AY1758" s="525"/>
      <c r="AZ1758" s="525"/>
      <c r="BA1758" s="525"/>
      <c r="BB1758" s="525"/>
      <c r="BC1758" s="525"/>
      <c r="BD1758" s="524" t="s">
        <v>29</v>
      </c>
      <c r="BE1758" s="525"/>
      <c r="BF1758" s="525"/>
      <c r="BG1758" s="525"/>
      <c r="BH1758" s="525"/>
      <c r="BI1758" s="525"/>
      <c r="BJ1758" s="525"/>
      <c r="BK1758" s="525"/>
      <c r="BL1758" s="525"/>
      <c r="BM1758" s="525"/>
      <c r="BN1758" s="525"/>
      <c r="BO1758" s="525"/>
      <c r="BP1758" s="525" t="s">
        <v>103</v>
      </c>
      <c r="BQ1758" s="525"/>
      <c r="BR1758" s="525"/>
      <c r="BS1758" s="525"/>
      <c r="BT1758" s="525"/>
      <c r="BU1758" s="525"/>
      <c r="BV1758" s="525"/>
      <c r="BW1758" s="525"/>
      <c r="BX1758" s="525"/>
      <c r="BY1758" s="525"/>
      <c r="BZ1758" s="723"/>
      <c r="CA1758" s="270"/>
      <c r="CB1758" s="3" t="str">
        <f t="shared" si="273"/>
        <v>Riadok bude skrytý.</v>
      </c>
      <c r="CC1758" s="271" t="s">
        <v>832</v>
      </c>
      <c r="CW1758" s="30">
        <f t="shared" si="275"/>
        <v>1</v>
      </c>
      <c r="CX1758" s="30">
        <f t="shared" si="280"/>
        <v>1</v>
      </c>
      <c r="CZ1758" s="30">
        <f t="shared" ref="CZ1758:CZ1789" si="281">IF(CC1758="",1,IF(CC1758="Chcem skryť riadok.",0,1))</f>
        <v>1</v>
      </c>
      <c r="DA1758" s="52">
        <f t="shared" si="279"/>
        <v>1</v>
      </c>
      <c r="DB1758" s="2">
        <f t="shared" si="269"/>
        <v>0</v>
      </c>
      <c r="DS1758" s="130">
        <f>SI!BY1758</f>
        <v>414</v>
      </c>
      <c r="DZ1758" s="131">
        <f>SI!BZ1758</f>
        <v>0</v>
      </c>
    </row>
    <row r="1759" spans="1:130" ht="14.95" hidden="1" customHeight="1" x14ac:dyDescent="0.25">
      <c r="A1759" s="141"/>
      <c r="B1759" s="1173" t="s">
        <v>221</v>
      </c>
      <c r="C1759" s="1174"/>
      <c r="D1759" s="1174"/>
      <c r="E1759" s="1174"/>
      <c r="F1759" s="1174"/>
      <c r="G1759" s="1174"/>
      <c r="H1759" s="1174"/>
      <c r="I1759" s="1174"/>
      <c r="J1759" s="1174"/>
      <c r="K1759" s="1174"/>
      <c r="L1759" s="1174"/>
      <c r="M1759" s="1174"/>
      <c r="N1759" s="1174"/>
      <c r="O1759" s="1174"/>
      <c r="P1759" s="1174"/>
      <c r="Q1759" s="1174"/>
      <c r="R1759" s="1174"/>
      <c r="S1759" s="1174"/>
      <c r="T1759" s="1175"/>
      <c r="U1759" s="472"/>
      <c r="V1759" s="473"/>
      <c r="W1759" s="473"/>
      <c r="X1759" s="473"/>
      <c r="Y1759" s="1394"/>
      <c r="Z1759" s="1394"/>
      <c r="AA1759" s="1394"/>
      <c r="AB1759" s="1394"/>
      <c r="AC1759" s="1394"/>
      <c r="AD1759" s="1394"/>
      <c r="AE1759" s="1394"/>
      <c r="AF1759" s="1394"/>
      <c r="AG1759" s="1395"/>
      <c r="AH1759" s="472"/>
      <c r="AI1759" s="473"/>
      <c r="AJ1759" s="473"/>
      <c r="AK1759" s="473"/>
      <c r="AL1759" s="473"/>
      <c r="AM1759" s="473"/>
      <c r="AN1759" s="473"/>
      <c r="AO1759" s="473"/>
      <c r="AP1759" s="473"/>
      <c r="AQ1759" s="473"/>
      <c r="AR1759" s="473"/>
      <c r="AS1759" s="474"/>
      <c r="AT1759" s="472"/>
      <c r="AU1759" s="473"/>
      <c r="AV1759" s="473"/>
      <c r="AW1759" s="473"/>
      <c r="AX1759" s="473"/>
      <c r="AY1759" s="473"/>
      <c r="AZ1759" s="473"/>
      <c r="BA1759" s="473"/>
      <c r="BB1759" s="473"/>
      <c r="BC1759" s="473"/>
      <c r="BD1759" s="472"/>
      <c r="BE1759" s="473"/>
      <c r="BF1759" s="473"/>
      <c r="BG1759" s="473"/>
      <c r="BH1759" s="473"/>
      <c r="BI1759" s="473"/>
      <c r="BJ1759" s="473"/>
      <c r="BK1759" s="473"/>
      <c r="BL1759" s="473"/>
      <c r="BM1759" s="473"/>
      <c r="BN1759" s="473"/>
      <c r="BO1759" s="473"/>
      <c r="BP1759" s="423">
        <f>+SUM(U1759:BO1759)</f>
        <v>0</v>
      </c>
      <c r="BQ1759" s="424"/>
      <c r="BR1759" s="424"/>
      <c r="BS1759" s="424"/>
      <c r="BT1759" s="424"/>
      <c r="BU1759" s="424"/>
      <c r="BV1759" s="424"/>
      <c r="BW1759" s="424"/>
      <c r="BX1759" s="424"/>
      <c r="BY1759" s="424"/>
      <c r="BZ1759" s="425"/>
      <c r="CA1759" s="270"/>
      <c r="CB1759" s="3" t="str">
        <f t="shared" si="273"/>
        <v>Riadok bude skrytý.</v>
      </c>
      <c r="CC1759" s="271" t="s">
        <v>832</v>
      </c>
      <c r="CW1759" s="30">
        <f t="shared" si="275"/>
        <v>1</v>
      </c>
      <c r="CX1759" s="30">
        <f t="shared" si="280"/>
        <v>1</v>
      </c>
      <c r="CZ1759" s="30">
        <f t="shared" si="281"/>
        <v>1</v>
      </c>
      <c r="DA1759" s="52">
        <f t="shared" si="279"/>
        <v>1</v>
      </c>
      <c r="DB1759" s="2">
        <f t="shared" si="269"/>
        <v>0</v>
      </c>
      <c r="DS1759" s="130">
        <f>SI!BY1759</f>
        <v>145</v>
      </c>
      <c r="DZ1759" s="131">
        <f>SI!BZ1759</f>
        <v>0</v>
      </c>
    </row>
    <row r="1760" spans="1:130" ht="23.95" hidden="1" customHeight="1" x14ac:dyDescent="0.25">
      <c r="A1760" s="141"/>
      <c r="B1760" s="1173" t="s">
        <v>222</v>
      </c>
      <c r="C1760" s="1174"/>
      <c r="D1760" s="1174"/>
      <c r="E1760" s="1174"/>
      <c r="F1760" s="1174"/>
      <c r="G1760" s="1174"/>
      <c r="H1760" s="1174"/>
      <c r="I1760" s="1174"/>
      <c r="J1760" s="1174"/>
      <c r="K1760" s="1174"/>
      <c r="L1760" s="1174"/>
      <c r="M1760" s="1174"/>
      <c r="N1760" s="1174"/>
      <c r="O1760" s="1174"/>
      <c r="P1760" s="1174"/>
      <c r="Q1760" s="1174"/>
      <c r="R1760" s="1174"/>
      <c r="S1760" s="1174"/>
      <c r="T1760" s="1175"/>
      <c r="U1760" s="472"/>
      <c r="V1760" s="473"/>
      <c r="W1760" s="473"/>
      <c r="X1760" s="473"/>
      <c r="Y1760" s="1394"/>
      <c r="Z1760" s="1394"/>
      <c r="AA1760" s="1394"/>
      <c r="AB1760" s="1394"/>
      <c r="AC1760" s="1394"/>
      <c r="AD1760" s="1394"/>
      <c r="AE1760" s="1394"/>
      <c r="AF1760" s="1394"/>
      <c r="AG1760" s="1395"/>
      <c r="AH1760" s="472"/>
      <c r="AI1760" s="473"/>
      <c r="AJ1760" s="473"/>
      <c r="AK1760" s="473"/>
      <c r="AL1760" s="473"/>
      <c r="AM1760" s="473"/>
      <c r="AN1760" s="473"/>
      <c r="AO1760" s="473"/>
      <c r="AP1760" s="473"/>
      <c r="AQ1760" s="473"/>
      <c r="AR1760" s="473"/>
      <c r="AS1760" s="474"/>
      <c r="AT1760" s="472"/>
      <c r="AU1760" s="473"/>
      <c r="AV1760" s="473"/>
      <c r="AW1760" s="473"/>
      <c r="AX1760" s="473"/>
      <c r="AY1760" s="473"/>
      <c r="AZ1760" s="473"/>
      <c r="BA1760" s="473"/>
      <c r="BB1760" s="473"/>
      <c r="BC1760" s="473"/>
      <c r="BD1760" s="472"/>
      <c r="BE1760" s="473"/>
      <c r="BF1760" s="473"/>
      <c r="BG1760" s="473"/>
      <c r="BH1760" s="473"/>
      <c r="BI1760" s="473"/>
      <c r="BJ1760" s="473"/>
      <c r="BK1760" s="473"/>
      <c r="BL1760" s="473"/>
      <c r="BM1760" s="473"/>
      <c r="BN1760" s="473"/>
      <c r="BO1760" s="473"/>
      <c r="BP1760" s="423">
        <f>+SUM(U1760:BO1760)</f>
        <v>0</v>
      </c>
      <c r="BQ1760" s="424"/>
      <c r="BR1760" s="424"/>
      <c r="BS1760" s="424"/>
      <c r="BT1760" s="424"/>
      <c r="BU1760" s="424"/>
      <c r="BV1760" s="424"/>
      <c r="BW1760" s="424"/>
      <c r="BX1760" s="424"/>
      <c r="BY1760" s="424"/>
      <c r="BZ1760" s="425"/>
      <c r="CA1760" s="270"/>
      <c r="CB1760" s="3" t="str">
        <f t="shared" si="273"/>
        <v>Riadok bude skrytý.</v>
      </c>
      <c r="CC1760" s="271" t="s">
        <v>832</v>
      </c>
      <c r="CW1760" s="30">
        <f t="shared" si="275"/>
        <v>1</v>
      </c>
      <c r="CX1760" s="30">
        <f t="shared" si="280"/>
        <v>1</v>
      </c>
      <c r="CZ1760" s="30">
        <f t="shared" si="281"/>
        <v>1</v>
      </c>
      <c r="DA1760" s="52">
        <f t="shared" si="279"/>
        <v>1</v>
      </c>
      <c r="DB1760" s="2">
        <f t="shared" si="269"/>
        <v>0</v>
      </c>
      <c r="DS1760" s="130">
        <f>SI!BY1760</f>
        <v>338</v>
      </c>
      <c r="DZ1760" s="131">
        <f>SI!BZ1760</f>
        <v>0</v>
      </c>
    </row>
    <row r="1761" spans="1:130" ht="24.8" hidden="1" customHeight="1" x14ac:dyDescent="0.25">
      <c r="A1761" s="141"/>
      <c r="B1761" s="1604" t="s">
        <v>223</v>
      </c>
      <c r="C1761" s="1605"/>
      <c r="D1761" s="1605"/>
      <c r="E1761" s="1605"/>
      <c r="F1761" s="1605"/>
      <c r="G1761" s="1605"/>
      <c r="H1761" s="1605"/>
      <c r="I1761" s="1605"/>
      <c r="J1761" s="1605"/>
      <c r="K1761" s="1605"/>
      <c r="L1761" s="1605"/>
      <c r="M1761" s="1605"/>
      <c r="N1761" s="1605"/>
      <c r="O1761" s="1605"/>
      <c r="P1761" s="1605"/>
      <c r="Q1761" s="1605"/>
      <c r="R1761" s="1605"/>
      <c r="S1761" s="1605"/>
      <c r="T1761" s="1606"/>
      <c r="U1761" s="423">
        <f>+SUM(U1759:AG1760)</f>
        <v>0</v>
      </c>
      <c r="V1761" s="424"/>
      <c r="W1761" s="424"/>
      <c r="X1761" s="424"/>
      <c r="Y1761" s="490"/>
      <c r="Z1761" s="490"/>
      <c r="AA1761" s="490"/>
      <c r="AB1761" s="490"/>
      <c r="AC1761" s="490"/>
      <c r="AD1761" s="490"/>
      <c r="AE1761" s="490"/>
      <c r="AF1761" s="490"/>
      <c r="AG1761" s="491"/>
      <c r="AH1761" s="423">
        <f>+SUM(AH1759:AS1760)</f>
        <v>0</v>
      </c>
      <c r="AI1761" s="424"/>
      <c r="AJ1761" s="424"/>
      <c r="AK1761" s="424"/>
      <c r="AL1761" s="424"/>
      <c r="AM1761" s="424"/>
      <c r="AN1761" s="424"/>
      <c r="AO1761" s="424"/>
      <c r="AP1761" s="424"/>
      <c r="AQ1761" s="424"/>
      <c r="AR1761" s="424"/>
      <c r="AS1761" s="425"/>
      <c r="AT1761" s="423">
        <f>+SUM(AT1759:BC1760)</f>
        <v>0</v>
      </c>
      <c r="AU1761" s="424"/>
      <c r="AV1761" s="424"/>
      <c r="AW1761" s="424"/>
      <c r="AX1761" s="424"/>
      <c r="AY1761" s="424"/>
      <c r="AZ1761" s="424"/>
      <c r="BA1761" s="424"/>
      <c r="BB1761" s="424"/>
      <c r="BC1761" s="424"/>
      <c r="BD1761" s="423">
        <f>+SUM(BD1759:BO1760)</f>
        <v>0</v>
      </c>
      <c r="BE1761" s="424"/>
      <c r="BF1761" s="424"/>
      <c r="BG1761" s="424"/>
      <c r="BH1761" s="424"/>
      <c r="BI1761" s="424"/>
      <c r="BJ1761" s="424"/>
      <c r="BK1761" s="424"/>
      <c r="BL1761" s="424"/>
      <c r="BM1761" s="424"/>
      <c r="BN1761" s="424"/>
      <c r="BO1761" s="424"/>
      <c r="BP1761" s="423">
        <f>+SUM(U1761:BO1761)</f>
        <v>0</v>
      </c>
      <c r="BQ1761" s="424"/>
      <c r="BR1761" s="424"/>
      <c r="BS1761" s="424"/>
      <c r="BT1761" s="424"/>
      <c r="BU1761" s="424"/>
      <c r="BV1761" s="424"/>
      <c r="BW1761" s="424"/>
      <c r="BX1761" s="424"/>
      <c r="BY1761" s="424"/>
      <c r="BZ1761" s="425"/>
      <c r="CA1761" s="270"/>
      <c r="CB1761" s="3" t="str">
        <f t="shared" si="273"/>
        <v>Riadok bude skrytý.</v>
      </c>
      <c r="CC1761" s="271" t="s">
        <v>832</v>
      </c>
      <c r="CW1761" s="30">
        <f t="shared" si="275"/>
        <v>1</v>
      </c>
      <c r="CX1761" s="30">
        <f t="shared" si="280"/>
        <v>1</v>
      </c>
      <c r="CZ1761" s="30">
        <f t="shared" si="281"/>
        <v>1</v>
      </c>
      <c r="DA1761" s="52">
        <f t="shared" si="279"/>
        <v>1</v>
      </c>
      <c r="DB1761" s="2">
        <f t="shared" si="269"/>
        <v>0</v>
      </c>
      <c r="DS1761" s="130">
        <f>SI!BY1761</f>
        <v>119</v>
      </c>
      <c r="DZ1761" s="131">
        <f>SI!BZ1761</f>
        <v>0</v>
      </c>
    </row>
    <row r="1762" spans="1:130" hidden="1" x14ac:dyDescent="0.25">
      <c r="A1762" s="141"/>
      <c r="CA1762" s="270"/>
      <c r="CB1762" s="3" t="str">
        <f t="shared" si="273"/>
        <v>Riadok bude skrytý.</v>
      </c>
      <c r="CC1762" s="271" t="s">
        <v>832</v>
      </c>
      <c r="CW1762" s="30">
        <f t="shared" si="275"/>
        <v>1</v>
      </c>
      <c r="CZ1762" s="30">
        <f t="shared" si="281"/>
        <v>1</v>
      </c>
      <c r="DA1762" s="30">
        <f>+IF(CW1762+CX1762+CY1762=0,0,IF(CZ1762=0,0,1))</f>
        <v>1</v>
      </c>
      <c r="DB1762" s="2">
        <f t="shared" si="269"/>
        <v>0</v>
      </c>
      <c r="DS1762" s="130">
        <f>SI!BY1762</f>
        <v>196</v>
      </c>
      <c r="DZ1762" s="131">
        <f>SI!BZ1762</f>
        <v>0</v>
      </c>
    </row>
    <row r="1763" spans="1:130" hidden="1" x14ac:dyDescent="0.25">
      <c r="A1763" s="141"/>
      <c r="B1763" s="137" t="s">
        <v>208</v>
      </c>
      <c r="J1763" s="385" t="s">
        <v>97</v>
      </c>
      <c r="K1763" s="385"/>
      <c r="L1763" s="385"/>
      <c r="M1763" s="385"/>
      <c r="N1763" s="385"/>
      <c r="O1763" s="137" t="str">
        <f>+IF($E$52&lt;&gt;"",IF(ROUNDDOWN(CODE(MID($E$52,1,1))/10,0)*(IF(SI!EE1763="",1,SI!EE1763-1-1))+(LEN(SI!J2)+2)=DS1763,"krátkodobý finančný majetok, na ktorý bolo zriadené záložné právo, alebo obmedzenie ","NEPOVOLENÉ POUŽITIE!"),"NEPOVOLENÉ POUŽITIE!")</f>
        <v xml:space="preserve">krátkodobý finančný majetok, na ktorý bolo zriadené záložné právo, alebo obmedzenie </v>
      </c>
      <c r="P1763" s="38"/>
      <c r="CA1763" s="265" t="s">
        <v>773</v>
      </c>
      <c r="CB1763" s="3" t="str">
        <f t="shared" si="273"/>
        <v>Riadok bude skrytý.</v>
      </c>
      <c r="CC1763" s="271" t="s">
        <v>832</v>
      </c>
      <c r="CF1763" s="13"/>
      <c r="CW1763" s="30">
        <f t="shared" si="275"/>
        <v>1</v>
      </c>
      <c r="CZ1763" s="30">
        <f t="shared" si="281"/>
        <v>1</v>
      </c>
      <c r="DA1763" s="30">
        <f>+IF(CW1763+CX1763+CY1763=0,0,IF(CZ1763=0,0,1))</f>
        <v>1</v>
      </c>
      <c r="DB1763" s="2">
        <f t="shared" si="269"/>
        <v>0</v>
      </c>
      <c r="DS1763" s="130">
        <f>SI!BY1763</f>
        <v>15</v>
      </c>
      <c r="DZ1763" s="131">
        <f>SI!BZ1763</f>
        <v>0</v>
      </c>
    </row>
    <row r="1764" spans="1:130" hidden="1" x14ac:dyDescent="0.25">
      <c r="A1764" s="141"/>
      <c r="B1764" s="137" t="str">
        <f>+IF($M$52&lt;&gt;"",IF(SQRT(INT(FACT(DAY(24324))*FACT(DAY(24385))/576))=DS1764,"práva s ním nakladať.","NEPOVOLENÉ POUŽITIE!"),"NEPOVOLENÉ POUŽITIE!")</f>
        <v>práva s ním nakladať.</v>
      </c>
      <c r="CA1764" s="270"/>
      <c r="CB1764" s="3" t="str">
        <f t="shared" si="273"/>
        <v>Riadok bude skrytý.</v>
      </c>
      <c r="CC1764" s="271" t="s">
        <v>832</v>
      </c>
      <c r="CW1764" s="30">
        <f t="shared" si="275"/>
        <v>1</v>
      </c>
      <c r="CZ1764" s="30">
        <f t="shared" si="281"/>
        <v>1</v>
      </c>
      <c r="DA1764" s="30">
        <f>+IF(CW1764+CX1764+CY1764=0,0,IF(CZ1764=0,0,1))</f>
        <v>1</v>
      </c>
      <c r="DB1764" s="2">
        <f t="shared" si="269"/>
        <v>0</v>
      </c>
      <c r="DS1764" s="130">
        <f>SI!BY1764</f>
        <v>5</v>
      </c>
      <c r="DZ1764" s="131">
        <f>SI!BZ1764</f>
        <v>0</v>
      </c>
    </row>
    <row r="1765" spans="1:130" hidden="1" x14ac:dyDescent="0.25">
      <c r="A1765" s="141"/>
      <c r="B1765" s="137" t="str">
        <f>+IF(J1763="nemá","","Hodnota krátkodobého finančného majetku, ku ktorému je zriadené záložné právo alebo obmedzenie, ")</f>
        <v xml:space="preserve">Hodnota krátkodobého finančného majetku, ku ktorému je zriadené záložné právo alebo obmedzenie, </v>
      </c>
      <c r="CA1765" s="270"/>
      <c r="CB1765" s="3" t="str">
        <f t="shared" si="273"/>
        <v>Riadok bude skrytý.</v>
      </c>
      <c r="CC1765" s="271" t="s">
        <v>832</v>
      </c>
      <c r="CW1765" s="30">
        <f t="shared" si="275"/>
        <v>1</v>
      </c>
      <c r="CX1765" s="30">
        <f t="shared" ref="CX1765:CX1770" si="282">+IF($J$1763="nemá",0,1)</f>
        <v>1</v>
      </c>
      <c r="CZ1765" s="30">
        <f t="shared" si="281"/>
        <v>1</v>
      </c>
      <c r="DA1765" s="52">
        <f t="shared" ref="DA1765:DA1770" si="283">+IF(CW1765*CX1765=0,0,IF(CZ1765=0,0,1))</f>
        <v>1</v>
      </c>
      <c r="DB1765" s="2">
        <f t="shared" si="269"/>
        <v>0</v>
      </c>
      <c r="DS1765" s="130">
        <f>SI!BY1765</f>
        <v>169</v>
      </c>
      <c r="DZ1765" s="131">
        <f>SI!BZ1765</f>
        <v>0</v>
      </c>
    </row>
    <row r="1766" spans="1:130" hidden="1" x14ac:dyDescent="0.25">
      <c r="A1766" s="141"/>
      <c r="B1766" s="137" t="str">
        <f>+IF($G$52&lt;&gt;"",IF(ROUNDDOWN(CODE(MID($G$52,1,1))*2,0)*(IF(SI!EE1766="",1,SI!EE1766-1-1))+(LEN(SI!J2)+LEN(SI!J3))=DS1766,IF(J1763="nemá","","je uvedená v tabuľke:"),"NEPOVOLENÉ POUŽITIE!"),"NEPOVOLENÉ POUŽITIE!")</f>
        <v>je uvedená v tabuľke:</v>
      </c>
      <c r="CA1766" s="270"/>
      <c r="CB1766" s="3" t="str">
        <f t="shared" si="273"/>
        <v>Riadok bude skrytý.</v>
      </c>
      <c r="CC1766" s="271" t="s">
        <v>832</v>
      </c>
      <c r="CW1766" s="30">
        <f t="shared" si="275"/>
        <v>1</v>
      </c>
      <c r="CX1766" s="30">
        <f t="shared" si="282"/>
        <v>1</v>
      </c>
      <c r="CZ1766" s="30">
        <f t="shared" si="281"/>
        <v>1</v>
      </c>
      <c r="DA1766" s="52">
        <f t="shared" si="283"/>
        <v>1</v>
      </c>
      <c r="DB1766" s="2">
        <f t="shared" si="269"/>
        <v>0</v>
      </c>
      <c r="DS1766" s="130">
        <f>SI!BY1766</f>
        <v>18</v>
      </c>
      <c r="DZ1766" s="131">
        <f>SI!BZ1766</f>
        <v>0</v>
      </c>
    </row>
    <row r="1767" spans="1:130" hidden="1" x14ac:dyDescent="0.25">
      <c r="A1767" s="141"/>
      <c r="CA1767" s="270"/>
      <c r="CB1767" s="3" t="str">
        <f t="shared" si="273"/>
        <v>Riadok bude skrytý.</v>
      </c>
      <c r="CC1767" s="271" t="s">
        <v>832</v>
      </c>
      <c r="CW1767" s="30">
        <f t="shared" si="275"/>
        <v>1</v>
      </c>
      <c r="CX1767" s="30">
        <f t="shared" si="282"/>
        <v>1</v>
      </c>
      <c r="CZ1767" s="30">
        <f t="shared" si="281"/>
        <v>1</v>
      </c>
      <c r="DA1767" s="52">
        <f t="shared" si="283"/>
        <v>1</v>
      </c>
      <c r="DB1767" s="2">
        <f t="shared" si="269"/>
        <v>0</v>
      </c>
      <c r="DS1767" s="130">
        <f>SI!BY1767</f>
        <v>163</v>
      </c>
      <c r="DZ1767" s="131">
        <f>SI!BZ1767</f>
        <v>0</v>
      </c>
    </row>
    <row r="1768" spans="1:130" ht="14.95" hidden="1" customHeight="1" x14ac:dyDescent="0.25">
      <c r="A1768" s="141"/>
      <c r="B1768" s="1616" t="s">
        <v>171</v>
      </c>
      <c r="C1768" s="1617"/>
      <c r="D1768" s="1617"/>
      <c r="E1768" s="1617"/>
      <c r="F1768" s="1617"/>
      <c r="G1768" s="1617"/>
      <c r="H1768" s="1617"/>
      <c r="I1768" s="1617"/>
      <c r="J1768" s="1617"/>
      <c r="K1768" s="1617"/>
      <c r="L1768" s="1617"/>
      <c r="M1768" s="1617"/>
      <c r="N1768" s="1617"/>
      <c r="O1768" s="1617"/>
      <c r="P1768" s="1617"/>
      <c r="Q1768" s="1617"/>
      <c r="R1768" s="1617"/>
      <c r="S1768" s="1617"/>
      <c r="T1768" s="1617"/>
      <c r="U1768" s="1617"/>
      <c r="V1768" s="1617"/>
      <c r="W1768" s="1617"/>
      <c r="X1768" s="1617"/>
      <c r="Y1768" s="1617"/>
      <c r="Z1768" s="1617"/>
      <c r="AA1768" s="1617"/>
      <c r="AB1768" s="1617"/>
      <c r="AC1768" s="1617"/>
      <c r="AD1768" s="1617"/>
      <c r="AE1768" s="1617"/>
      <c r="AF1768" s="1617"/>
      <c r="AG1768" s="1617"/>
      <c r="AH1768" s="1617"/>
      <c r="AI1768" s="1617"/>
      <c r="AJ1768" s="1617"/>
      <c r="AK1768" s="1617"/>
      <c r="AL1768" s="1617"/>
      <c r="AM1768" s="1617"/>
      <c r="AN1768" s="1617"/>
      <c r="AO1768" s="1617"/>
      <c r="AP1768" s="1617"/>
      <c r="AQ1768" s="1617"/>
      <c r="AR1768" s="1617"/>
      <c r="AS1768" s="1617"/>
      <c r="AT1768" s="1617"/>
      <c r="AU1768" s="1617"/>
      <c r="AV1768" s="1617"/>
      <c r="AW1768" s="1617"/>
      <c r="AX1768" s="1618"/>
      <c r="AY1768" s="1614" t="s">
        <v>1009</v>
      </c>
      <c r="AZ1768" s="1615"/>
      <c r="BA1768" s="1615"/>
      <c r="BB1768" s="1615"/>
      <c r="BC1768" s="1615"/>
      <c r="BD1768" s="1615"/>
      <c r="BE1768" s="1615"/>
      <c r="BF1768" s="1615"/>
      <c r="BG1768" s="1615"/>
      <c r="BH1768" s="1615"/>
      <c r="BI1768" s="1615"/>
      <c r="BJ1768" s="1615"/>
      <c r="BK1768" s="1615"/>
      <c r="BL1768" s="1615"/>
      <c r="BM1768" s="446">
        <f>+AJ141</f>
        <v>2021</v>
      </c>
      <c r="BN1768" s="446"/>
      <c r="BO1768" s="446"/>
      <c r="BP1768" s="446"/>
      <c r="BQ1768" s="446"/>
      <c r="BR1768" s="446"/>
      <c r="BS1768" s="446"/>
      <c r="BT1768" s="446"/>
      <c r="BU1768" s="446"/>
      <c r="BV1768" s="446"/>
      <c r="BW1768" s="446"/>
      <c r="BX1768" s="446"/>
      <c r="BY1768" s="446"/>
      <c r="BZ1768" s="447"/>
      <c r="CA1768" s="265" t="s">
        <v>773</v>
      </c>
      <c r="CB1768" s="3" t="str">
        <f t="shared" si="273"/>
        <v>Riadok bude skrytý.</v>
      </c>
      <c r="CC1768" s="271" t="s">
        <v>832</v>
      </c>
      <c r="CD1768" s="4"/>
      <c r="CW1768" s="30">
        <f t="shared" si="275"/>
        <v>1</v>
      </c>
      <c r="CX1768" s="30">
        <f t="shared" si="282"/>
        <v>1</v>
      </c>
      <c r="CZ1768" s="30">
        <f t="shared" si="281"/>
        <v>1</v>
      </c>
      <c r="DA1768" s="52">
        <f t="shared" si="283"/>
        <v>1</v>
      </c>
      <c r="DB1768" s="2">
        <f t="shared" ref="DB1768:DB1809" si="284">+IF($CD$1="malé",0,DA1768)</f>
        <v>0</v>
      </c>
      <c r="DS1768" s="130">
        <f>SI!BY1768</f>
        <v>165</v>
      </c>
      <c r="DZ1768" s="131">
        <f>SI!BZ1768</f>
        <v>0</v>
      </c>
    </row>
    <row r="1769" spans="1:130" ht="14.95" hidden="1" customHeight="1" x14ac:dyDescent="0.25">
      <c r="A1769" s="141"/>
      <c r="B1769" s="1097" t="s">
        <v>224</v>
      </c>
      <c r="C1769" s="1098"/>
      <c r="D1769" s="1098"/>
      <c r="E1769" s="1098"/>
      <c r="F1769" s="1098"/>
      <c r="G1769" s="1098"/>
      <c r="H1769" s="1098"/>
      <c r="I1769" s="1098"/>
      <c r="J1769" s="1098"/>
      <c r="K1769" s="1098"/>
      <c r="L1769" s="1098"/>
      <c r="M1769" s="1098"/>
      <c r="N1769" s="1098"/>
      <c r="O1769" s="1098"/>
      <c r="P1769" s="1098"/>
      <c r="Q1769" s="1098"/>
      <c r="R1769" s="1098"/>
      <c r="S1769" s="1098"/>
      <c r="T1769" s="1098"/>
      <c r="U1769" s="1098"/>
      <c r="V1769" s="1098"/>
      <c r="W1769" s="1098"/>
      <c r="X1769" s="1098"/>
      <c r="Y1769" s="1098"/>
      <c r="Z1769" s="1098"/>
      <c r="AA1769" s="1098"/>
      <c r="AB1769" s="1098"/>
      <c r="AC1769" s="1098"/>
      <c r="AD1769" s="1098"/>
      <c r="AE1769" s="1098"/>
      <c r="AF1769" s="1098"/>
      <c r="AG1769" s="1098"/>
      <c r="AH1769" s="1098"/>
      <c r="AI1769" s="1098"/>
      <c r="AJ1769" s="1098"/>
      <c r="AK1769" s="1098"/>
      <c r="AL1769" s="1098"/>
      <c r="AM1769" s="1098"/>
      <c r="AN1769" s="1098"/>
      <c r="AO1769" s="1098"/>
      <c r="AP1769" s="1098"/>
      <c r="AQ1769" s="1098"/>
      <c r="AR1769" s="1098"/>
      <c r="AS1769" s="1098"/>
      <c r="AT1769" s="1098"/>
      <c r="AU1769" s="1098"/>
      <c r="AV1769" s="1098"/>
      <c r="AW1769" s="1098"/>
      <c r="AX1769" s="1099"/>
      <c r="AY1769" s="472"/>
      <c r="AZ1769" s="473"/>
      <c r="BA1769" s="473"/>
      <c r="BB1769" s="473"/>
      <c r="BC1769" s="473"/>
      <c r="BD1769" s="473"/>
      <c r="BE1769" s="473"/>
      <c r="BF1769" s="473"/>
      <c r="BG1769" s="473"/>
      <c r="BH1769" s="473"/>
      <c r="BI1769" s="473"/>
      <c r="BJ1769" s="473"/>
      <c r="BK1769" s="473"/>
      <c r="BL1769" s="473"/>
      <c r="BM1769" s="473"/>
      <c r="BN1769" s="473"/>
      <c r="BO1769" s="473"/>
      <c r="BP1769" s="473"/>
      <c r="BQ1769" s="473"/>
      <c r="BR1769" s="473"/>
      <c r="BS1769" s="473"/>
      <c r="BT1769" s="473"/>
      <c r="BU1769" s="473"/>
      <c r="BV1769" s="473"/>
      <c r="BW1769" s="473"/>
      <c r="BX1769" s="473"/>
      <c r="BY1769" s="473"/>
      <c r="BZ1769" s="474"/>
      <c r="CA1769" s="270"/>
      <c r="CB1769" s="3" t="str">
        <f t="shared" si="273"/>
        <v>Riadok bude skrytý.</v>
      </c>
      <c r="CC1769" s="271" t="s">
        <v>832</v>
      </c>
      <c r="CW1769" s="30">
        <f t="shared" si="275"/>
        <v>1</v>
      </c>
      <c r="CX1769" s="30">
        <f t="shared" si="282"/>
        <v>1</v>
      </c>
      <c r="CZ1769" s="30">
        <f t="shared" si="281"/>
        <v>1</v>
      </c>
      <c r="DA1769" s="52">
        <f t="shared" si="283"/>
        <v>1</v>
      </c>
      <c r="DB1769" s="2">
        <f t="shared" si="284"/>
        <v>0</v>
      </c>
      <c r="DS1769" s="130">
        <f>SI!BY1769</f>
        <v>1123</v>
      </c>
      <c r="DZ1769" s="131">
        <f>SI!BZ1769</f>
        <v>0</v>
      </c>
    </row>
    <row r="1770" spans="1:130" hidden="1" x14ac:dyDescent="0.25">
      <c r="A1770" s="141"/>
      <c r="B1770" s="1601" t="s">
        <v>225</v>
      </c>
      <c r="C1770" s="1602"/>
      <c r="D1770" s="1602"/>
      <c r="E1770" s="1602"/>
      <c r="F1770" s="1602"/>
      <c r="G1770" s="1602"/>
      <c r="H1770" s="1602"/>
      <c r="I1770" s="1602"/>
      <c r="J1770" s="1602"/>
      <c r="K1770" s="1602"/>
      <c r="L1770" s="1602"/>
      <c r="M1770" s="1602"/>
      <c r="N1770" s="1602"/>
      <c r="O1770" s="1602"/>
      <c r="P1770" s="1602"/>
      <c r="Q1770" s="1602"/>
      <c r="R1770" s="1602"/>
      <c r="S1770" s="1602"/>
      <c r="T1770" s="1602"/>
      <c r="U1770" s="1602"/>
      <c r="V1770" s="1602"/>
      <c r="W1770" s="1602"/>
      <c r="X1770" s="1602"/>
      <c r="Y1770" s="1602"/>
      <c r="Z1770" s="1602"/>
      <c r="AA1770" s="1602"/>
      <c r="AB1770" s="1602"/>
      <c r="AC1770" s="1602"/>
      <c r="AD1770" s="1602"/>
      <c r="AE1770" s="1602"/>
      <c r="AF1770" s="1602"/>
      <c r="AG1770" s="1602"/>
      <c r="AH1770" s="1602"/>
      <c r="AI1770" s="1602"/>
      <c r="AJ1770" s="1602"/>
      <c r="AK1770" s="1602"/>
      <c r="AL1770" s="1602"/>
      <c r="AM1770" s="1602"/>
      <c r="AN1770" s="1602"/>
      <c r="AO1770" s="1602"/>
      <c r="AP1770" s="1602"/>
      <c r="AQ1770" s="1602"/>
      <c r="AR1770" s="1602"/>
      <c r="AS1770" s="1602"/>
      <c r="AT1770" s="1602"/>
      <c r="AU1770" s="1602"/>
      <c r="AV1770" s="1602"/>
      <c r="AW1770" s="1602"/>
      <c r="AX1770" s="1603"/>
      <c r="AY1770" s="472"/>
      <c r="AZ1770" s="473"/>
      <c r="BA1770" s="473"/>
      <c r="BB1770" s="473"/>
      <c r="BC1770" s="473"/>
      <c r="BD1770" s="473"/>
      <c r="BE1770" s="473"/>
      <c r="BF1770" s="473"/>
      <c r="BG1770" s="473"/>
      <c r="BH1770" s="473"/>
      <c r="BI1770" s="473"/>
      <c r="BJ1770" s="473"/>
      <c r="BK1770" s="473"/>
      <c r="BL1770" s="473"/>
      <c r="BM1770" s="473"/>
      <c r="BN1770" s="473"/>
      <c r="BO1770" s="473"/>
      <c r="BP1770" s="473"/>
      <c r="BQ1770" s="473"/>
      <c r="BR1770" s="473"/>
      <c r="BS1770" s="473"/>
      <c r="BT1770" s="473"/>
      <c r="BU1770" s="473"/>
      <c r="BV1770" s="473"/>
      <c r="BW1770" s="473"/>
      <c r="BX1770" s="473"/>
      <c r="BY1770" s="473"/>
      <c r="BZ1770" s="474"/>
      <c r="CA1770" s="270"/>
      <c r="CB1770" s="3" t="str">
        <f t="shared" si="273"/>
        <v>Riadok bude skrytý.</v>
      </c>
      <c r="CC1770" s="271" t="s">
        <v>832</v>
      </c>
      <c r="CD1770" s="4"/>
      <c r="CE1770" s="4"/>
      <c r="CF1770" s="4"/>
      <c r="CG1770" s="4"/>
      <c r="CH1770" s="4"/>
      <c r="CI1770" s="4"/>
      <c r="CJ1770" s="4"/>
      <c r="CK1770" s="4"/>
      <c r="CL1770" s="4"/>
      <c r="CM1770" s="4"/>
      <c r="CN1770" s="4"/>
      <c r="CO1770" s="4"/>
      <c r="CP1770" s="4"/>
      <c r="CW1770" s="30">
        <f t="shared" si="275"/>
        <v>1</v>
      </c>
      <c r="CX1770" s="30">
        <f t="shared" si="282"/>
        <v>1</v>
      </c>
      <c r="CZ1770" s="30">
        <f t="shared" si="281"/>
        <v>1</v>
      </c>
      <c r="DA1770" s="52">
        <f t="shared" si="283"/>
        <v>1</v>
      </c>
      <c r="DB1770" s="2">
        <f t="shared" si="284"/>
        <v>0</v>
      </c>
      <c r="DS1770" s="130">
        <f>SI!BY1770</f>
        <v>201</v>
      </c>
      <c r="DZ1770" s="131">
        <f>SI!BZ1770</f>
        <v>0</v>
      </c>
    </row>
    <row r="1771" spans="1:130" hidden="1" x14ac:dyDescent="0.25">
      <c r="A1771" s="141"/>
      <c r="CA1771" s="270"/>
      <c r="CB1771" s="3" t="str">
        <f t="shared" si="273"/>
        <v>Riadok bude skrytý.</v>
      </c>
      <c r="CC1771" s="271" t="s">
        <v>832</v>
      </c>
      <c r="CW1771" s="30">
        <f t="shared" si="275"/>
        <v>1</v>
      </c>
      <c r="CZ1771" s="30">
        <f t="shared" si="281"/>
        <v>1</v>
      </c>
      <c r="DA1771" s="30">
        <f>+IF(CW1771+CX1771+CY1771=0,0,IF(CZ1771=0,0,1))</f>
        <v>1</v>
      </c>
      <c r="DB1771" s="2">
        <f t="shared" si="284"/>
        <v>0</v>
      </c>
      <c r="DS1771" s="130">
        <f>SI!BY1771</f>
        <v>611</v>
      </c>
      <c r="DZ1771" s="131">
        <f>SI!BZ1771</f>
        <v>0</v>
      </c>
    </row>
    <row r="1772" spans="1:130" hidden="1" x14ac:dyDescent="0.25">
      <c r="A1772" s="141"/>
      <c r="B1772" s="1" t="s">
        <v>208</v>
      </c>
      <c r="C1772" s="1"/>
      <c r="D1772" s="1"/>
      <c r="E1772" s="1"/>
      <c r="F1772" s="1"/>
      <c r="G1772" s="1"/>
      <c r="H1772" s="1"/>
      <c r="I1772" s="1"/>
      <c r="J1772" s="385" t="s">
        <v>855</v>
      </c>
      <c r="K1772" s="385"/>
      <c r="L1772" s="385"/>
      <c r="M1772" s="385"/>
      <c r="N1772" s="385"/>
      <c r="O1772" s="385"/>
      <c r="P1772" s="385"/>
      <c r="Q1772" s="385"/>
      <c r="R1772" s="385"/>
      <c r="S1772" s="137" t="str">
        <f>+IF($C$52&lt;&gt;"",IF(CODE(MID($C$52,1,1))*(IF(SI!EE1772="",1,SI!EE1772-1))+LEN(SI!J2)=DS1772,"krátkodobý finančný majetok ku dňu zostavenia účtovnej závierky reálnou","NEPOVOLENÉ POUŽITIE!"),"NEPOVOLENÉ POUŽITIE!")</f>
        <v>krátkodobý finančný majetok ku dňu zostavenia účtovnej závierky reálnou</v>
      </c>
      <c r="T1772" s="38"/>
      <c r="CA1772" s="265" t="s">
        <v>773</v>
      </c>
      <c r="CB1772" s="3" t="str">
        <f t="shared" si="273"/>
        <v>Riadok bude skrytý.</v>
      </c>
      <c r="CC1772" s="271" t="s">
        <v>832</v>
      </c>
      <c r="CF1772" s="13"/>
      <c r="CW1772" s="30">
        <f t="shared" ref="CW1772:CW1805" si="285">+IF($J$1706="nemá",0,1)</f>
        <v>1</v>
      </c>
      <c r="CZ1772" s="30">
        <f t="shared" si="281"/>
        <v>1</v>
      </c>
      <c r="DA1772" s="30">
        <f>+IF(CW1772+CX1772+CY1772=0,0,IF(CZ1772=0,0,1))</f>
        <v>1</v>
      </c>
      <c r="DB1772" s="2">
        <f t="shared" si="284"/>
        <v>0</v>
      </c>
      <c r="DS1772" s="130">
        <f>SI!BY1772</f>
        <v>13</v>
      </c>
      <c r="DZ1772" s="131">
        <f>SI!BZ1772</f>
        <v>0</v>
      </c>
    </row>
    <row r="1773" spans="1:130" hidden="1" x14ac:dyDescent="0.25">
      <c r="A1773" s="141"/>
      <c r="B1773" s="137" t="str">
        <f>+IF($Q$52&lt;&gt;"",IF((CODE(MID($Q$52,1,1)))*(INT((PI()-3.1415)*10^5))*0+(LEN(SI!J5)-LEN(SI!J6))=DS1773,"hodnotou.","NEPOVOLENÉ POUŽITIE!"),"NEPOVOLENÉ POUŽITIE!")</f>
        <v>hodnotou.</v>
      </c>
      <c r="CA1773" s="270"/>
      <c r="CB1773" s="3" t="str">
        <f t="shared" si="273"/>
        <v>Riadok bude skrytý.</v>
      </c>
      <c r="CC1773" s="271" t="s">
        <v>832</v>
      </c>
      <c r="CW1773" s="30">
        <f t="shared" si="285"/>
        <v>1</v>
      </c>
      <c r="CZ1773" s="30">
        <f t="shared" si="281"/>
        <v>1</v>
      </c>
      <c r="DA1773" s="30">
        <f>+IF(CW1773+CX1773+CY1773=0,0,IF(CZ1773=0,0,1))</f>
        <v>1</v>
      </c>
      <c r="DB1773" s="2">
        <f t="shared" si="284"/>
        <v>0</v>
      </c>
      <c r="DS1773" s="130">
        <f>SI!BY1773</f>
        <v>10</v>
      </c>
      <c r="DZ1773" s="131">
        <f>SI!BZ1773</f>
        <v>0</v>
      </c>
    </row>
    <row r="1774" spans="1:130" hidden="1" x14ac:dyDescent="0.25">
      <c r="A1774" s="141"/>
      <c r="B1774" s="14" t="str">
        <f>+IF(J1772="neocenila","","Vplyv ocenenia KD finančnéhu majetku na výsledok hospodárenia a vlastné imanie je uvedený v tabuľke: ")</f>
        <v xml:space="preserve">Vplyv ocenenia KD finančnéhu majetku na výsledok hospodárenia a vlastné imanie je uvedený v tabuľke: </v>
      </c>
      <c r="CA1774" s="270"/>
      <c r="CB1774" s="3" t="str">
        <f t="shared" si="273"/>
        <v>Riadok bude skrytý.</v>
      </c>
      <c r="CC1774" s="271" t="s">
        <v>832</v>
      </c>
      <c r="CW1774" s="30">
        <f t="shared" si="285"/>
        <v>1</v>
      </c>
      <c r="CX1774" s="30">
        <f t="shared" ref="CX1774:CX1783" si="286">+IF($J$1772="neocenila",0,1)</f>
        <v>1</v>
      </c>
      <c r="CZ1774" s="30">
        <f t="shared" si="281"/>
        <v>1</v>
      </c>
      <c r="DA1774" s="52">
        <f t="shared" ref="DA1774:DA1805" si="287">+IF(CW1774*CX1774=0,0,IF(CZ1774=0,0,1))</f>
        <v>1</v>
      </c>
      <c r="DB1774" s="2">
        <f t="shared" si="284"/>
        <v>0</v>
      </c>
      <c r="DS1774" s="130">
        <f>SI!BY1774</f>
        <v>122</v>
      </c>
      <c r="DZ1774" s="131">
        <f>SI!BZ1774</f>
        <v>0</v>
      </c>
    </row>
    <row r="1775" spans="1:130" hidden="1" x14ac:dyDescent="0.25">
      <c r="A1775" s="141"/>
      <c r="CA1775" s="270"/>
      <c r="CB1775" s="3" t="str">
        <f t="shared" si="273"/>
        <v>Riadok bude skrytý.</v>
      </c>
      <c r="CC1775" s="271" t="s">
        <v>832</v>
      </c>
      <c r="CW1775" s="30">
        <f t="shared" si="285"/>
        <v>1</v>
      </c>
      <c r="CX1775" s="30">
        <f t="shared" si="286"/>
        <v>1</v>
      </c>
      <c r="CZ1775" s="30">
        <f t="shared" si="281"/>
        <v>1</v>
      </c>
      <c r="DA1775" s="52">
        <f t="shared" si="287"/>
        <v>1</v>
      </c>
      <c r="DB1775" s="2">
        <f t="shared" si="284"/>
        <v>0</v>
      </c>
      <c r="DS1775" s="130">
        <f>SI!BY1775</f>
        <v>466</v>
      </c>
      <c r="DZ1775" s="131">
        <f>SI!BZ1775</f>
        <v>0</v>
      </c>
    </row>
    <row r="1776" spans="1:130" ht="19.55" hidden="1" customHeight="1" x14ac:dyDescent="0.25">
      <c r="A1776" s="141"/>
      <c r="B1776" s="439" t="s">
        <v>218</v>
      </c>
      <c r="C1776" s="440"/>
      <c r="D1776" s="440"/>
      <c r="E1776" s="440"/>
      <c r="F1776" s="440"/>
      <c r="G1776" s="440"/>
      <c r="H1776" s="440"/>
      <c r="I1776" s="440"/>
      <c r="J1776" s="440"/>
      <c r="K1776" s="440"/>
      <c r="L1776" s="440"/>
      <c r="M1776" s="440"/>
      <c r="N1776" s="440"/>
      <c r="O1776" s="440"/>
      <c r="P1776" s="440"/>
      <c r="Q1776" s="440"/>
      <c r="R1776" s="440"/>
      <c r="S1776" s="440"/>
      <c r="T1776" s="440"/>
      <c r="U1776" s="440"/>
      <c r="V1776" s="1627" t="s">
        <v>226</v>
      </c>
      <c r="W1776" s="1628"/>
      <c r="X1776" s="1628"/>
      <c r="Y1776" s="1628"/>
      <c r="Z1776" s="1628"/>
      <c r="AA1776" s="1628"/>
      <c r="AB1776" s="1628"/>
      <c r="AC1776" s="1628"/>
      <c r="AD1776" s="1628"/>
      <c r="AE1776" s="1628"/>
      <c r="AF1776" s="1628"/>
      <c r="AG1776" s="1628"/>
      <c r="AH1776" s="1628"/>
      <c r="AI1776" s="1628"/>
      <c r="AJ1776" s="1628"/>
      <c r="AK1776" s="1628"/>
      <c r="AL1776" s="1628"/>
      <c r="AM1776" s="1628"/>
      <c r="AN1776" s="1398" t="s">
        <v>227</v>
      </c>
      <c r="AO1776" s="1399"/>
      <c r="AP1776" s="1399"/>
      <c r="AQ1776" s="1399"/>
      <c r="AR1776" s="1399"/>
      <c r="AS1776" s="1399"/>
      <c r="AT1776" s="1399"/>
      <c r="AU1776" s="1399"/>
      <c r="AV1776" s="1399"/>
      <c r="AW1776" s="1399"/>
      <c r="AX1776" s="1399"/>
      <c r="AY1776" s="1399"/>
      <c r="AZ1776" s="1399"/>
      <c r="BA1776" s="1399"/>
      <c r="BB1776" s="1399"/>
      <c r="BC1776" s="1399"/>
      <c r="BD1776" s="1399"/>
      <c r="BE1776" s="1399"/>
      <c r="BF1776" s="1400"/>
      <c r="BG1776" s="1628" t="s">
        <v>228</v>
      </c>
      <c r="BH1776" s="1628"/>
      <c r="BI1776" s="1628"/>
      <c r="BJ1776" s="1628"/>
      <c r="BK1776" s="1628"/>
      <c r="BL1776" s="1628"/>
      <c r="BM1776" s="1628"/>
      <c r="BN1776" s="1628"/>
      <c r="BO1776" s="1628"/>
      <c r="BP1776" s="1628"/>
      <c r="BQ1776" s="1628"/>
      <c r="BR1776" s="1628"/>
      <c r="BS1776" s="1628"/>
      <c r="BT1776" s="1628"/>
      <c r="BU1776" s="1628"/>
      <c r="BV1776" s="1628"/>
      <c r="BW1776" s="1628"/>
      <c r="BX1776" s="1628"/>
      <c r="BY1776" s="1628"/>
      <c r="BZ1776" s="1629"/>
      <c r="CA1776" s="265" t="s">
        <v>773</v>
      </c>
      <c r="CB1776" s="3" t="str">
        <f t="shared" si="273"/>
        <v>Riadok bude skrytý.</v>
      </c>
      <c r="CC1776" s="271" t="s">
        <v>832</v>
      </c>
      <c r="CD1776" s="4"/>
      <c r="CW1776" s="30">
        <f t="shared" si="285"/>
        <v>1</v>
      </c>
      <c r="CX1776" s="30">
        <f t="shared" si="286"/>
        <v>1</v>
      </c>
      <c r="CZ1776" s="30">
        <f t="shared" si="281"/>
        <v>1</v>
      </c>
      <c r="DA1776" s="52">
        <f t="shared" si="287"/>
        <v>1</v>
      </c>
      <c r="DB1776" s="2">
        <f t="shared" si="284"/>
        <v>0</v>
      </c>
      <c r="DS1776" s="130">
        <f>SI!BY1776</f>
        <v>730</v>
      </c>
      <c r="DZ1776" s="131">
        <f>SI!BZ1776</f>
        <v>0</v>
      </c>
    </row>
    <row r="1777" spans="1:130" ht="19.55" hidden="1" customHeight="1" x14ac:dyDescent="0.25">
      <c r="A1777" s="141"/>
      <c r="B1777" s="442"/>
      <c r="C1777" s="443"/>
      <c r="D1777" s="443"/>
      <c r="E1777" s="443"/>
      <c r="F1777" s="443"/>
      <c r="G1777" s="443"/>
      <c r="H1777" s="443"/>
      <c r="I1777" s="443"/>
      <c r="J1777" s="443"/>
      <c r="K1777" s="443"/>
      <c r="L1777" s="443"/>
      <c r="M1777" s="443"/>
      <c r="N1777" s="443"/>
      <c r="O1777" s="443"/>
      <c r="P1777" s="443"/>
      <c r="Q1777" s="443"/>
      <c r="R1777" s="443"/>
      <c r="S1777" s="443"/>
      <c r="T1777" s="443"/>
      <c r="U1777" s="443"/>
      <c r="V1777" s="1630"/>
      <c r="W1777" s="1631"/>
      <c r="X1777" s="1631"/>
      <c r="Y1777" s="1631"/>
      <c r="Z1777" s="1631"/>
      <c r="AA1777" s="1631"/>
      <c r="AB1777" s="1631"/>
      <c r="AC1777" s="1631"/>
      <c r="AD1777" s="1631"/>
      <c r="AE1777" s="1631"/>
      <c r="AF1777" s="1631"/>
      <c r="AG1777" s="1631"/>
      <c r="AH1777" s="1631"/>
      <c r="AI1777" s="1631"/>
      <c r="AJ1777" s="1631"/>
      <c r="AK1777" s="1631"/>
      <c r="AL1777" s="1631"/>
      <c r="AM1777" s="1631"/>
      <c r="AN1777" s="1927"/>
      <c r="AO1777" s="1859"/>
      <c r="AP1777" s="1859"/>
      <c r="AQ1777" s="1859"/>
      <c r="AR1777" s="1859"/>
      <c r="AS1777" s="1859"/>
      <c r="AT1777" s="1859"/>
      <c r="AU1777" s="1859"/>
      <c r="AV1777" s="1859"/>
      <c r="AW1777" s="1859"/>
      <c r="AX1777" s="1859"/>
      <c r="AY1777" s="1859"/>
      <c r="AZ1777" s="1859"/>
      <c r="BA1777" s="1859"/>
      <c r="BB1777" s="1859"/>
      <c r="BC1777" s="1859"/>
      <c r="BD1777" s="1859"/>
      <c r="BE1777" s="1859"/>
      <c r="BF1777" s="1860"/>
      <c r="BG1777" s="1631"/>
      <c r="BH1777" s="1631"/>
      <c r="BI1777" s="1631"/>
      <c r="BJ1777" s="1631"/>
      <c r="BK1777" s="1631"/>
      <c r="BL1777" s="1631"/>
      <c r="BM1777" s="1631"/>
      <c r="BN1777" s="1631"/>
      <c r="BO1777" s="1631"/>
      <c r="BP1777" s="1631"/>
      <c r="BQ1777" s="1631"/>
      <c r="BR1777" s="1631"/>
      <c r="BS1777" s="1631"/>
      <c r="BT1777" s="1631"/>
      <c r="BU1777" s="1631"/>
      <c r="BV1777" s="1631"/>
      <c r="BW1777" s="1631"/>
      <c r="BX1777" s="1631"/>
      <c r="BY1777" s="1631"/>
      <c r="BZ1777" s="1632"/>
      <c r="CA1777" s="270"/>
      <c r="CB1777" s="3" t="str">
        <f t="shared" si="273"/>
        <v>Riadok bude skrytý.</v>
      </c>
      <c r="CC1777" s="271" t="s">
        <v>832</v>
      </c>
      <c r="CW1777" s="30">
        <f t="shared" si="285"/>
        <v>1</v>
      </c>
      <c r="CX1777" s="30">
        <f t="shared" si="286"/>
        <v>1</v>
      </c>
      <c r="CZ1777" s="30">
        <f t="shared" si="281"/>
        <v>1</v>
      </c>
      <c r="DA1777" s="52">
        <f t="shared" si="287"/>
        <v>1</v>
      </c>
      <c r="DB1777" s="2">
        <f t="shared" si="284"/>
        <v>0</v>
      </c>
      <c r="DS1777" s="130">
        <f>SI!BY1777</f>
        <v>120</v>
      </c>
      <c r="DZ1777" s="131">
        <f>SI!BZ1777</f>
        <v>0</v>
      </c>
    </row>
    <row r="1778" spans="1:130" hidden="1" x14ac:dyDescent="0.25">
      <c r="A1778" s="141"/>
      <c r="B1778" s="1636" t="s">
        <v>0</v>
      </c>
      <c r="C1778" s="1637"/>
      <c r="D1778" s="1637"/>
      <c r="E1778" s="1637"/>
      <c r="F1778" s="1637"/>
      <c r="G1778" s="1637"/>
      <c r="H1778" s="1637"/>
      <c r="I1778" s="1637"/>
      <c r="J1778" s="1637"/>
      <c r="K1778" s="1637"/>
      <c r="L1778" s="1637"/>
      <c r="M1778" s="1637"/>
      <c r="N1778" s="1637"/>
      <c r="O1778" s="1637"/>
      <c r="P1778" s="1637"/>
      <c r="Q1778" s="1637"/>
      <c r="R1778" s="1637"/>
      <c r="S1778" s="1637"/>
      <c r="T1778" s="1637"/>
      <c r="U1778" s="1637"/>
      <c r="V1778" s="1636" t="s">
        <v>1</v>
      </c>
      <c r="W1778" s="1637"/>
      <c r="X1778" s="1637"/>
      <c r="Y1778" s="1637"/>
      <c r="Z1778" s="1637"/>
      <c r="AA1778" s="1637"/>
      <c r="AB1778" s="1637"/>
      <c r="AC1778" s="1637"/>
      <c r="AD1778" s="1637"/>
      <c r="AE1778" s="1637"/>
      <c r="AF1778" s="1637"/>
      <c r="AG1778" s="1637"/>
      <c r="AH1778" s="1637"/>
      <c r="AI1778" s="1637"/>
      <c r="AJ1778" s="1637"/>
      <c r="AK1778" s="1637"/>
      <c r="AL1778" s="1637"/>
      <c r="AM1778" s="1637"/>
      <c r="AN1778" s="1928" t="s">
        <v>2</v>
      </c>
      <c r="AO1778" s="1929"/>
      <c r="AP1778" s="1929"/>
      <c r="AQ1778" s="1929"/>
      <c r="AR1778" s="1929"/>
      <c r="AS1778" s="1929"/>
      <c r="AT1778" s="1929"/>
      <c r="AU1778" s="1929"/>
      <c r="AV1778" s="1929"/>
      <c r="AW1778" s="1929"/>
      <c r="AX1778" s="1929"/>
      <c r="AY1778" s="1929"/>
      <c r="AZ1778" s="1929"/>
      <c r="BA1778" s="1929"/>
      <c r="BB1778" s="1929"/>
      <c r="BC1778" s="1929"/>
      <c r="BD1778" s="1929"/>
      <c r="BE1778" s="1929"/>
      <c r="BF1778" s="1930"/>
      <c r="BG1778" s="1929" t="s">
        <v>28</v>
      </c>
      <c r="BH1778" s="1929"/>
      <c r="BI1778" s="1929"/>
      <c r="BJ1778" s="1929"/>
      <c r="BK1778" s="1929"/>
      <c r="BL1778" s="1929"/>
      <c r="BM1778" s="1929"/>
      <c r="BN1778" s="1929"/>
      <c r="BO1778" s="1929"/>
      <c r="BP1778" s="1929"/>
      <c r="BQ1778" s="1929"/>
      <c r="BR1778" s="1929"/>
      <c r="BS1778" s="1929"/>
      <c r="BT1778" s="1929"/>
      <c r="BU1778" s="1929"/>
      <c r="BV1778" s="1929"/>
      <c r="BW1778" s="1929"/>
      <c r="BX1778" s="1929"/>
      <c r="BY1778" s="1929"/>
      <c r="BZ1778" s="1930"/>
      <c r="CA1778" s="270"/>
      <c r="CB1778" s="3" t="str">
        <f t="shared" si="273"/>
        <v>Riadok bude skrytý.</v>
      </c>
      <c r="CC1778" s="271" t="s">
        <v>832</v>
      </c>
      <c r="CW1778" s="30">
        <f t="shared" si="285"/>
        <v>1</v>
      </c>
      <c r="CX1778" s="30">
        <f t="shared" si="286"/>
        <v>1</v>
      </c>
      <c r="CZ1778" s="30">
        <f t="shared" si="281"/>
        <v>1</v>
      </c>
      <c r="DA1778" s="52">
        <f t="shared" si="287"/>
        <v>1</v>
      </c>
      <c r="DB1778" s="2">
        <f t="shared" si="284"/>
        <v>0</v>
      </c>
      <c r="DS1778" s="130">
        <f>SI!BY1778</f>
        <v>187</v>
      </c>
      <c r="DZ1778" s="131">
        <f>SI!BZ1778</f>
        <v>0</v>
      </c>
    </row>
    <row r="1779" spans="1:130" hidden="1" x14ac:dyDescent="0.25">
      <c r="A1779" s="141"/>
      <c r="B1779" s="1934" t="s">
        <v>219</v>
      </c>
      <c r="C1779" s="1935"/>
      <c r="D1779" s="1935"/>
      <c r="E1779" s="1935"/>
      <c r="F1779" s="1935"/>
      <c r="G1779" s="1935"/>
      <c r="H1779" s="1935"/>
      <c r="I1779" s="1935"/>
      <c r="J1779" s="1935"/>
      <c r="K1779" s="1935"/>
      <c r="L1779" s="1935"/>
      <c r="M1779" s="1935"/>
      <c r="N1779" s="1935"/>
      <c r="O1779" s="1935"/>
      <c r="P1779" s="1935"/>
      <c r="Q1779" s="1935"/>
      <c r="R1779" s="1935"/>
      <c r="S1779" s="1935"/>
      <c r="T1779" s="1935"/>
      <c r="U1779" s="1936"/>
      <c r="V1779" s="535"/>
      <c r="W1779" s="536"/>
      <c r="X1779" s="536"/>
      <c r="Y1779" s="536"/>
      <c r="Z1779" s="536"/>
      <c r="AA1779" s="536"/>
      <c r="AB1779" s="536"/>
      <c r="AC1779" s="536"/>
      <c r="AD1779" s="536"/>
      <c r="AE1779" s="536"/>
      <c r="AF1779" s="536"/>
      <c r="AG1779" s="536"/>
      <c r="AH1779" s="536"/>
      <c r="AI1779" s="536"/>
      <c r="AJ1779" s="536"/>
      <c r="AK1779" s="536"/>
      <c r="AL1779" s="536"/>
      <c r="AM1779" s="713"/>
      <c r="AN1779" s="535"/>
      <c r="AO1779" s="536"/>
      <c r="AP1779" s="536"/>
      <c r="AQ1779" s="536"/>
      <c r="AR1779" s="536"/>
      <c r="AS1779" s="536"/>
      <c r="AT1779" s="536"/>
      <c r="AU1779" s="536"/>
      <c r="AV1779" s="536"/>
      <c r="AW1779" s="536"/>
      <c r="AX1779" s="536"/>
      <c r="AY1779" s="536"/>
      <c r="AZ1779" s="536"/>
      <c r="BA1779" s="536"/>
      <c r="BB1779" s="536"/>
      <c r="BC1779" s="536"/>
      <c r="BD1779" s="536"/>
      <c r="BE1779" s="536"/>
      <c r="BF1779" s="537"/>
      <c r="BG1779" s="1014"/>
      <c r="BH1779" s="536"/>
      <c r="BI1779" s="536"/>
      <c r="BJ1779" s="536"/>
      <c r="BK1779" s="536"/>
      <c r="BL1779" s="536"/>
      <c r="BM1779" s="536"/>
      <c r="BN1779" s="536"/>
      <c r="BO1779" s="536"/>
      <c r="BP1779" s="536"/>
      <c r="BQ1779" s="536"/>
      <c r="BR1779" s="536"/>
      <c r="BS1779" s="536"/>
      <c r="BT1779" s="536"/>
      <c r="BU1779" s="536"/>
      <c r="BV1779" s="536"/>
      <c r="BW1779" s="536"/>
      <c r="BX1779" s="536"/>
      <c r="BY1779" s="536"/>
      <c r="BZ1779" s="537"/>
      <c r="CA1779" s="270"/>
      <c r="CB1779" s="3" t="str">
        <f t="shared" ref="CB1779:CB1842" si="288">+IF(DB1779=0,"Riadok bude skrytý.","Riadok bude vidieť.")</f>
        <v>Riadok bude skrytý.</v>
      </c>
      <c r="CC1779" s="271" t="s">
        <v>832</v>
      </c>
      <c r="CW1779" s="30">
        <f t="shared" si="285"/>
        <v>1</v>
      </c>
      <c r="CX1779" s="30">
        <f t="shared" si="286"/>
        <v>1</v>
      </c>
      <c r="CZ1779" s="30">
        <f t="shared" si="281"/>
        <v>1</v>
      </c>
      <c r="DA1779" s="52">
        <f t="shared" si="287"/>
        <v>1</v>
      </c>
      <c r="DB1779" s="2">
        <f t="shared" si="284"/>
        <v>0</v>
      </c>
      <c r="DS1779" s="130">
        <f>SI!BY1779</f>
        <v>114</v>
      </c>
      <c r="DZ1779" s="131">
        <f>SI!BZ1779</f>
        <v>0</v>
      </c>
    </row>
    <row r="1780" spans="1:130" ht="14.95" hidden="1" customHeight="1" x14ac:dyDescent="0.25">
      <c r="A1780" s="141"/>
      <c r="B1780" s="1229" t="s">
        <v>220</v>
      </c>
      <c r="C1780" s="1230"/>
      <c r="D1780" s="1230"/>
      <c r="E1780" s="1230"/>
      <c r="F1780" s="1230"/>
      <c r="G1780" s="1230"/>
      <c r="H1780" s="1230"/>
      <c r="I1780" s="1230"/>
      <c r="J1780" s="1230"/>
      <c r="K1780" s="1230"/>
      <c r="L1780" s="1230"/>
      <c r="M1780" s="1230"/>
      <c r="N1780" s="1230"/>
      <c r="O1780" s="1230"/>
      <c r="P1780" s="1230"/>
      <c r="Q1780" s="1230"/>
      <c r="R1780" s="1230"/>
      <c r="S1780" s="1230"/>
      <c r="T1780" s="1230"/>
      <c r="U1780" s="1231"/>
      <c r="V1780" s="363"/>
      <c r="W1780" s="364"/>
      <c r="X1780" s="364"/>
      <c r="Y1780" s="364"/>
      <c r="Z1780" s="364"/>
      <c r="AA1780" s="364"/>
      <c r="AB1780" s="364"/>
      <c r="AC1780" s="364"/>
      <c r="AD1780" s="364"/>
      <c r="AE1780" s="364"/>
      <c r="AF1780" s="364"/>
      <c r="AG1780" s="364"/>
      <c r="AH1780" s="364"/>
      <c r="AI1780" s="364"/>
      <c r="AJ1780" s="364"/>
      <c r="AK1780" s="364"/>
      <c r="AL1780" s="364"/>
      <c r="AM1780" s="475"/>
      <c r="AN1780" s="363"/>
      <c r="AO1780" s="364"/>
      <c r="AP1780" s="364"/>
      <c r="AQ1780" s="364"/>
      <c r="AR1780" s="364"/>
      <c r="AS1780" s="364"/>
      <c r="AT1780" s="364"/>
      <c r="AU1780" s="364"/>
      <c r="AV1780" s="364"/>
      <c r="AW1780" s="364"/>
      <c r="AX1780" s="364"/>
      <c r="AY1780" s="364"/>
      <c r="AZ1780" s="364"/>
      <c r="BA1780" s="364"/>
      <c r="BB1780" s="364"/>
      <c r="BC1780" s="364"/>
      <c r="BD1780" s="364"/>
      <c r="BE1780" s="364"/>
      <c r="BF1780" s="387"/>
      <c r="BG1780" s="386"/>
      <c r="BH1780" s="364"/>
      <c r="BI1780" s="364"/>
      <c r="BJ1780" s="364"/>
      <c r="BK1780" s="364"/>
      <c r="BL1780" s="364"/>
      <c r="BM1780" s="364"/>
      <c r="BN1780" s="364"/>
      <c r="BO1780" s="364"/>
      <c r="BP1780" s="364"/>
      <c r="BQ1780" s="364"/>
      <c r="BR1780" s="364"/>
      <c r="BS1780" s="364"/>
      <c r="BT1780" s="364"/>
      <c r="BU1780" s="364"/>
      <c r="BV1780" s="364"/>
      <c r="BW1780" s="364"/>
      <c r="BX1780" s="364"/>
      <c r="BY1780" s="364"/>
      <c r="BZ1780" s="387"/>
      <c r="CA1780" s="270"/>
      <c r="CB1780" s="3" t="str">
        <f t="shared" si="288"/>
        <v>Riadok bude skrytý.</v>
      </c>
      <c r="CC1780" s="271" t="s">
        <v>832</v>
      </c>
      <c r="CW1780" s="30">
        <f t="shared" si="285"/>
        <v>1</v>
      </c>
      <c r="CX1780" s="30">
        <f t="shared" si="286"/>
        <v>1</v>
      </c>
      <c r="CZ1780" s="30">
        <f t="shared" si="281"/>
        <v>1</v>
      </c>
      <c r="DA1780" s="52">
        <f t="shared" si="287"/>
        <v>1</v>
      </c>
      <c r="DB1780" s="2">
        <f t="shared" si="284"/>
        <v>0</v>
      </c>
      <c r="DS1780" s="130">
        <f>SI!BY1780</f>
        <v>1083</v>
      </c>
      <c r="DZ1780" s="131">
        <f>SI!BZ1780</f>
        <v>0</v>
      </c>
    </row>
    <row r="1781" spans="1:130" ht="14.95" hidden="1" customHeight="1" x14ac:dyDescent="0.25">
      <c r="A1781" s="141"/>
      <c r="B1781" s="1229" t="s">
        <v>229</v>
      </c>
      <c r="C1781" s="1230"/>
      <c r="D1781" s="1230"/>
      <c r="E1781" s="1230"/>
      <c r="F1781" s="1230"/>
      <c r="G1781" s="1230"/>
      <c r="H1781" s="1230"/>
      <c r="I1781" s="1230"/>
      <c r="J1781" s="1230"/>
      <c r="K1781" s="1230"/>
      <c r="L1781" s="1230"/>
      <c r="M1781" s="1230"/>
      <c r="N1781" s="1230"/>
      <c r="O1781" s="1230"/>
      <c r="P1781" s="1230"/>
      <c r="Q1781" s="1230"/>
      <c r="R1781" s="1230"/>
      <c r="S1781" s="1230"/>
      <c r="T1781" s="1230"/>
      <c r="U1781" s="1231"/>
      <c r="V1781" s="363"/>
      <c r="W1781" s="364"/>
      <c r="X1781" s="364"/>
      <c r="Y1781" s="364"/>
      <c r="Z1781" s="364"/>
      <c r="AA1781" s="364"/>
      <c r="AB1781" s="364"/>
      <c r="AC1781" s="364"/>
      <c r="AD1781" s="364"/>
      <c r="AE1781" s="364"/>
      <c r="AF1781" s="364"/>
      <c r="AG1781" s="364"/>
      <c r="AH1781" s="364"/>
      <c r="AI1781" s="364"/>
      <c r="AJ1781" s="364"/>
      <c r="AK1781" s="364"/>
      <c r="AL1781" s="364"/>
      <c r="AM1781" s="475"/>
      <c r="AN1781" s="363"/>
      <c r="AO1781" s="364"/>
      <c r="AP1781" s="364"/>
      <c r="AQ1781" s="364"/>
      <c r="AR1781" s="364"/>
      <c r="AS1781" s="364"/>
      <c r="AT1781" s="364"/>
      <c r="AU1781" s="364"/>
      <c r="AV1781" s="364"/>
      <c r="AW1781" s="364"/>
      <c r="AX1781" s="364"/>
      <c r="AY1781" s="364"/>
      <c r="AZ1781" s="364"/>
      <c r="BA1781" s="364"/>
      <c r="BB1781" s="364"/>
      <c r="BC1781" s="364"/>
      <c r="BD1781" s="364"/>
      <c r="BE1781" s="364"/>
      <c r="BF1781" s="387"/>
      <c r="BG1781" s="386"/>
      <c r="BH1781" s="364"/>
      <c r="BI1781" s="364"/>
      <c r="BJ1781" s="364"/>
      <c r="BK1781" s="364"/>
      <c r="BL1781" s="364"/>
      <c r="BM1781" s="364"/>
      <c r="BN1781" s="364"/>
      <c r="BO1781" s="364"/>
      <c r="BP1781" s="364"/>
      <c r="BQ1781" s="364"/>
      <c r="BR1781" s="364"/>
      <c r="BS1781" s="364"/>
      <c r="BT1781" s="364"/>
      <c r="BU1781" s="364"/>
      <c r="BV1781" s="364"/>
      <c r="BW1781" s="364"/>
      <c r="BX1781" s="364"/>
      <c r="BY1781" s="364"/>
      <c r="BZ1781" s="387"/>
      <c r="CA1781" s="270"/>
      <c r="CB1781" s="3" t="str">
        <f t="shared" si="288"/>
        <v>Riadok bude skrytý.</v>
      </c>
      <c r="CC1781" s="271" t="s">
        <v>832</v>
      </c>
      <c r="CW1781" s="30">
        <f t="shared" si="285"/>
        <v>1</v>
      </c>
      <c r="CX1781" s="30">
        <f t="shared" si="286"/>
        <v>1</v>
      </c>
      <c r="CZ1781" s="30">
        <f t="shared" si="281"/>
        <v>1</v>
      </c>
      <c r="DA1781" s="52">
        <f t="shared" si="287"/>
        <v>1</v>
      </c>
      <c r="DB1781" s="2">
        <f t="shared" si="284"/>
        <v>0</v>
      </c>
      <c r="DS1781" s="130">
        <f>SI!BY1781</f>
        <v>155</v>
      </c>
      <c r="DZ1781" s="131">
        <f>SI!BZ1781</f>
        <v>0</v>
      </c>
    </row>
    <row r="1782" spans="1:130" ht="14.95" hidden="1" customHeight="1" x14ac:dyDescent="0.25">
      <c r="A1782" s="141"/>
      <c r="B1782" s="1931" t="s">
        <v>221</v>
      </c>
      <c r="C1782" s="1932"/>
      <c r="D1782" s="1932"/>
      <c r="E1782" s="1932"/>
      <c r="F1782" s="1932"/>
      <c r="G1782" s="1932"/>
      <c r="H1782" s="1932"/>
      <c r="I1782" s="1932"/>
      <c r="J1782" s="1932"/>
      <c r="K1782" s="1932"/>
      <c r="L1782" s="1932"/>
      <c r="M1782" s="1932"/>
      <c r="N1782" s="1932"/>
      <c r="O1782" s="1932"/>
      <c r="P1782" s="1932"/>
      <c r="Q1782" s="1932"/>
      <c r="R1782" s="1932"/>
      <c r="S1782" s="1932"/>
      <c r="T1782" s="1932"/>
      <c r="U1782" s="1933"/>
      <c r="V1782" s="459"/>
      <c r="W1782" s="461"/>
      <c r="X1782" s="461"/>
      <c r="Y1782" s="461"/>
      <c r="Z1782" s="461"/>
      <c r="AA1782" s="461"/>
      <c r="AB1782" s="461"/>
      <c r="AC1782" s="461"/>
      <c r="AD1782" s="461"/>
      <c r="AE1782" s="461"/>
      <c r="AF1782" s="461"/>
      <c r="AG1782" s="461"/>
      <c r="AH1782" s="461"/>
      <c r="AI1782" s="461"/>
      <c r="AJ1782" s="461"/>
      <c r="AK1782" s="461"/>
      <c r="AL1782" s="461"/>
      <c r="AM1782" s="462"/>
      <c r="AN1782" s="459"/>
      <c r="AO1782" s="461"/>
      <c r="AP1782" s="461"/>
      <c r="AQ1782" s="461"/>
      <c r="AR1782" s="461"/>
      <c r="AS1782" s="461"/>
      <c r="AT1782" s="461"/>
      <c r="AU1782" s="461"/>
      <c r="AV1782" s="461"/>
      <c r="AW1782" s="461"/>
      <c r="AX1782" s="461"/>
      <c r="AY1782" s="461"/>
      <c r="AZ1782" s="461"/>
      <c r="BA1782" s="461"/>
      <c r="BB1782" s="461"/>
      <c r="BC1782" s="461"/>
      <c r="BD1782" s="461"/>
      <c r="BE1782" s="461"/>
      <c r="BF1782" s="1610"/>
      <c r="BG1782" s="460"/>
      <c r="BH1782" s="461"/>
      <c r="BI1782" s="461"/>
      <c r="BJ1782" s="461"/>
      <c r="BK1782" s="461"/>
      <c r="BL1782" s="461"/>
      <c r="BM1782" s="461"/>
      <c r="BN1782" s="461"/>
      <c r="BO1782" s="461"/>
      <c r="BP1782" s="461"/>
      <c r="BQ1782" s="461"/>
      <c r="BR1782" s="461"/>
      <c r="BS1782" s="461"/>
      <c r="BT1782" s="461"/>
      <c r="BU1782" s="461"/>
      <c r="BV1782" s="461"/>
      <c r="BW1782" s="461"/>
      <c r="BX1782" s="461"/>
      <c r="BY1782" s="461"/>
      <c r="BZ1782" s="1610"/>
      <c r="CA1782" s="270"/>
      <c r="CB1782" s="3" t="str">
        <f t="shared" si="288"/>
        <v>Riadok bude skrytý.</v>
      </c>
      <c r="CC1782" s="271" t="s">
        <v>832</v>
      </c>
      <c r="CW1782" s="30">
        <f t="shared" si="285"/>
        <v>1</v>
      </c>
      <c r="CX1782" s="30">
        <f t="shared" si="286"/>
        <v>1</v>
      </c>
      <c r="CZ1782" s="30">
        <f t="shared" si="281"/>
        <v>1</v>
      </c>
      <c r="DA1782" s="52">
        <f t="shared" si="287"/>
        <v>1</v>
      </c>
      <c r="DB1782" s="2">
        <f t="shared" si="284"/>
        <v>0</v>
      </c>
      <c r="DS1782" s="130">
        <f>SI!BY1782</f>
        <v>424</v>
      </c>
      <c r="DZ1782" s="131">
        <f>SI!BZ1782</f>
        <v>0</v>
      </c>
    </row>
    <row r="1783" spans="1:130" ht="14.95" hidden="1" customHeight="1" x14ac:dyDescent="0.25">
      <c r="A1783" s="141"/>
      <c r="B1783" s="1611" t="s">
        <v>230</v>
      </c>
      <c r="C1783" s="1612"/>
      <c r="D1783" s="1612"/>
      <c r="E1783" s="1612"/>
      <c r="F1783" s="1612"/>
      <c r="G1783" s="1612"/>
      <c r="H1783" s="1612"/>
      <c r="I1783" s="1612"/>
      <c r="J1783" s="1612"/>
      <c r="K1783" s="1612"/>
      <c r="L1783" s="1612"/>
      <c r="M1783" s="1612"/>
      <c r="N1783" s="1612"/>
      <c r="O1783" s="1612"/>
      <c r="P1783" s="1612"/>
      <c r="Q1783" s="1612"/>
      <c r="R1783" s="1612"/>
      <c r="S1783" s="1612"/>
      <c r="T1783" s="1612"/>
      <c r="U1783" s="1613"/>
      <c r="V1783" s="411">
        <f>+SUM(V1779:AM1782)</f>
        <v>0</v>
      </c>
      <c r="W1783" s="412"/>
      <c r="X1783" s="412"/>
      <c r="Y1783" s="412"/>
      <c r="Z1783" s="412"/>
      <c r="AA1783" s="412"/>
      <c r="AB1783" s="412"/>
      <c r="AC1783" s="412"/>
      <c r="AD1783" s="412"/>
      <c r="AE1783" s="412"/>
      <c r="AF1783" s="412"/>
      <c r="AG1783" s="412"/>
      <c r="AH1783" s="412"/>
      <c r="AI1783" s="412"/>
      <c r="AJ1783" s="412"/>
      <c r="AK1783" s="412"/>
      <c r="AL1783" s="412"/>
      <c r="AM1783" s="477"/>
      <c r="AN1783" s="411">
        <f>+SUM(AN1779:BF1782)</f>
        <v>0</v>
      </c>
      <c r="AO1783" s="412"/>
      <c r="AP1783" s="412"/>
      <c r="AQ1783" s="412"/>
      <c r="AR1783" s="412"/>
      <c r="AS1783" s="412"/>
      <c r="AT1783" s="412"/>
      <c r="AU1783" s="412"/>
      <c r="AV1783" s="412"/>
      <c r="AW1783" s="412"/>
      <c r="AX1783" s="412"/>
      <c r="AY1783" s="412"/>
      <c r="AZ1783" s="412"/>
      <c r="BA1783" s="412"/>
      <c r="BB1783" s="412"/>
      <c r="BC1783" s="412"/>
      <c r="BD1783" s="412"/>
      <c r="BE1783" s="412"/>
      <c r="BF1783" s="413"/>
      <c r="BG1783" s="476">
        <f>+SUM(BG1779:BZ1782)</f>
        <v>0</v>
      </c>
      <c r="BH1783" s="412"/>
      <c r="BI1783" s="412"/>
      <c r="BJ1783" s="412"/>
      <c r="BK1783" s="412"/>
      <c r="BL1783" s="412"/>
      <c r="BM1783" s="412"/>
      <c r="BN1783" s="412"/>
      <c r="BO1783" s="412"/>
      <c r="BP1783" s="412"/>
      <c r="BQ1783" s="412"/>
      <c r="BR1783" s="412"/>
      <c r="BS1783" s="412"/>
      <c r="BT1783" s="412"/>
      <c r="BU1783" s="412"/>
      <c r="BV1783" s="412"/>
      <c r="BW1783" s="412"/>
      <c r="BX1783" s="412"/>
      <c r="BY1783" s="412"/>
      <c r="BZ1783" s="413"/>
      <c r="CA1783" s="270"/>
      <c r="CB1783" s="3" t="str">
        <f t="shared" si="288"/>
        <v>Riadok bude skrytý.</v>
      </c>
      <c r="CC1783" s="271" t="s">
        <v>832</v>
      </c>
      <c r="CW1783" s="30">
        <f t="shared" si="285"/>
        <v>1</v>
      </c>
      <c r="CX1783" s="30">
        <f t="shared" si="286"/>
        <v>1</v>
      </c>
      <c r="CZ1783" s="30">
        <f t="shared" si="281"/>
        <v>1</v>
      </c>
      <c r="DA1783" s="52">
        <f t="shared" si="287"/>
        <v>1</v>
      </c>
      <c r="DB1783" s="2">
        <f t="shared" si="284"/>
        <v>0</v>
      </c>
      <c r="DS1783" s="130">
        <f>SI!BY1783</f>
        <v>116</v>
      </c>
      <c r="DZ1783" s="131">
        <f>SI!BZ1783</f>
        <v>0</v>
      </c>
    </row>
    <row r="1784" spans="1:130" hidden="1" x14ac:dyDescent="0.25">
      <c r="A1784" s="141"/>
      <c r="CA1784" s="270"/>
      <c r="CB1784" s="3" t="str">
        <f t="shared" si="288"/>
        <v>Riadok bude skrytý.</v>
      </c>
      <c r="CC1784" s="271" t="s">
        <v>832</v>
      </c>
      <c r="CW1784" s="30">
        <f t="shared" si="285"/>
        <v>1</v>
      </c>
      <c r="CX1784" s="30">
        <f>+IF(B1786="",0,1)</f>
        <v>0</v>
      </c>
      <c r="CZ1784" s="30">
        <f t="shared" si="281"/>
        <v>1</v>
      </c>
      <c r="DA1784" s="52">
        <f t="shared" si="287"/>
        <v>0</v>
      </c>
      <c r="DB1784" s="2">
        <f t="shared" si="284"/>
        <v>0</v>
      </c>
      <c r="DS1784" s="130">
        <f>SI!BY1784</f>
        <v>145</v>
      </c>
      <c r="DZ1784" s="131">
        <f>SI!BZ1784</f>
        <v>0</v>
      </c>
    </row>
    <row r="1785" spans="1:130" hidden="1" x14ac:dyDescent="0.25">
      <c r="A1785" s="141"/>
      <c r="B1785" s="137" t="str">
        <f>+IF($I$52&lt;&gt;"",IF((ROUNDDOWN(CODE(MID($I$52,1,1))*3,0)+DAY(36167))*0+(2*LEN(SI!J3))=DS1785,"Spoločnosť uvádza ku krátkodobému finančnému majetku ďalšie doplňujúce informácie:","NEPOVOLENÉ POUŽITIE!"),"NEPOVOLENÉ POUŽITIE!")</f>
        <v>Spoločnosť uvádza ku krátkodobému finančnému majetku ďalšie doplňujúce informácie:</v>
      </c>
      <c r="C1785" s="7"/>
      <c r="D1785" s="7"/>
      <c r="E1785" s="7"/>
      <c r="F1785" s="7"/>
      <c r="CA1785" s="265" t="s">
        <v>773</v>
      </c>
      <c r="CB1785" s="3" t="str">
        <f t="shared" si="288"/>
        <v>Riadok bude skrytý.</v>
      </c>
      <c r="CC1785" s="271" t="s">
        <v>832</v>
      </c>
      <c r="CW1785" s="30">
        <f t="shared" si="285"/>
        <v>1</v>
      </c>
      <c r="CX1785" s="30">
        <f>+IF(B1786="",0,1)</f>
        <v>0</v>
      </c>
      <c r="CZ1785" s="30">
        <f t="shared" si="281"/>
        <v>1</v>
      </c>
      <c r="DA1785" s="52">
        <f t="shared" si="287"/>
        <v>0</v>
      </c>
      <c r="DB1785" s="2">
        <f t="shared" si="284"/>
        <v>0</v>
      </c>
      <c r="DS1785" s="130">
        <f>SI!BY1785</f>
        <v>10</v>
      </c>
      <c r="DZ1785" s="131">
        <f>SI!BZ1785</f>
        <v>0</v>
      </c>
    </row>
    <row r="1786" spans="1:130" hidden="1" x14ac:dyDescent="0.25">
      <c r="A1786" s="141"/>
      <c r="B1786" s="379"/>
      <c r="C1786" s="379"/>
      <c r="D1786" s="379"/>
      <c r="E1786" s="379"/>
      <c r="F1786" s="379"/>
      <c r="G1786" s="379"/>
      <c r="H1786" s="379"/>
      <c r="I1786" s="379"/>
      <c r="J1786" s="379"/>
      <c r="K1786" s="379"/>
      <c r="L1786" s="379"/>
      <c r="M1786" s="379"/>
      <c r="N1786" s="379"/>
      <c r="O1786" s="379"/>
      <c r="P1786" s="379"/>
      <c r="Q1786" s="379"/>
      <c r="R1786" s="379"/>
      <c r="S1786" s="379"/>
      <c r="T1786" s="379"/>
      <c r="U1786" s="379"/>
      <c r="V1786" s="379"/>
      <c r="W1786" s="379"/>
      <c r="X1786" s="379"/>
      <c r="Y1786" s="379"/>
      <c r="Z1786" s="379"/>
      <c r="AA1786" s="379"/>
      <c r="AB1786" s="379"/>
      <c r="AC1786" s="379"/>
      <c r="AD1786" s="379"/>
      <c r="AE1786" s="379"/>
      <c r="AF1786" s="379"/>
      <c r="AG1786" s="379"/>
      <c r="AH1786" s="379"/>
      <c r="AI1786" s="379"/>
      <c r="AJ1786" s="379"/>
      <c r="AK1786" s="379"/>
      <c r="AL1786" s="379"/>
      <c r="AM1786" s="379"/>
      <c r="AN1786" s="379"/>
      <c r="AO1786" s="379"/>
      <c r="AP1786" s="379"/>
      <c r="AQ1786" s="379"/>
      <c r="AR1786" s="379"/>
      <c r="AS1786" s="379"/>
      <c r="AT1786" s="379"/>
      <c r="AU1786" s="379"/>
      <c r="AV1786" s="379"/>
      <c r="AW1786" s="379"/>
      <c r="AX1786" s="379"/>
      <c r="AY1786" s="379"/>
      <c r="AZ1786" s="379"/>
      <c r="BA1786" s="379"/>
      <c r="BB1786" s="379"/>
      <c r="BC1786" s="379"/>
      <c r="BD1786" s="379"/>
      <c r="BE1786" s="379"/>
      <c r="BF1786" s="379"/>
      <c r="BG1786" s="379"/>
      <c r="BH1786" s="379"/>
      <c r="BI1786" s="379"/>
      <c r="BJ1786" s="379"/>
      <c r="BK1786" s="379"/>
      <c r="BL1786" s="379"/>
      <c r="BM1786" s="379"/>
      <c r="BN1786" s="379"/>
      <c r="BO1786" s="379"/>
      <c r="BP1786" s="379"/>
      <c r="BQ1786" s="379"/>
      <c r="BR1786" s="379"/>
      <c r="BS1786" s="379"/>
      <c r="BT1786" s="379"/>
      <c r="BU1786" s="379"/>
      <c r="BV1786" s="379"/>
      <c r="BW1786" s="379"/>
      <c r="BX1786" s="379"/>
      <c r="BY1786" s="379"/>
      <c r="BZ1786" s="379"/>
      <c r="CA1786" s="270"/>
      <c r="CB1786" s="3" t="str">
        <f t="shared" si="288"/>
        <v>Riadok bude skrytý.</v>
      </c>
      <c r="CC1786" s="271" t="s">
        <v>832</v>
      </c>
      <c r="CW1786" s="30">
        <f t="shared" si="285"/>
        <v>1</v>
      </c>
      <c r="CX1786" s="30">
        <f t="shared" ref="CX1786:CX1805" si="289">+IF(B1786="",0,1)</f>
        <v>0</v>
      </c>
      <c r="CZ1786" s="30">
        <f t="shared" si="281"/>
        <v>1</v>
      </c>
      <c r="DA1786" s="52">
        <f t="shared" si="287"/>
        <v>0</v>
      </c>
      <c r="DB1786" s="2">
        <f t="shared" si="284"/>
        <v>0</v>
      </c>
      <c r="DS1786" s="130">
        <f>SI!BY1786</f>
        <v>904</v>
      </c>
      <c r="DZ1786" s="131">
        <f>SI!BZ1786</f>
        <v>0</v>
      </c>
    </row>
    <row r="1787" spans="1:130" hidden="1" x14ac:dyDescent="0.25">
      <c r="A1787" s="141"/>
      <c r="B1787" s="379"/>
      <c r="C1787" s="379"/>
      <c r="D1787" s="379"/>
      <c r="E1787" s="379"/>
      <c r="F1787" s="379"/>
      <c r="G1787" s="379"/>
      <c r="H1787" s="379"/>
      <c r="I1787" s="379"/>
      <c r="J1787" s="379"/>
      <c r="K1787" s="379"/>
      <c r="L1787" s="379"/>
      <c r="M1787" s="379"/>
      <c r="N1787" s="379"/>
      <c r="O1787" s="379"/>
      <c r="P1787" s="379"/>
      <c r="Q1787" s="379"/>
      <c r="R1787" s="379"/>
      <c r="S1787" s="379"/>
      <c r="T1787" s="379"/>
      <c r="U1787" s="379"/>
      <c r="V1787" s="379"/>
      <c r="W1787" s="379"/>
      <c r="X1787" s="379"/>
      <c r="Y1787" s="379"/>
      <c r="Z1787" s="379"/>
      <c r="AA1787" s="379"/>
      <c r="AB1787" s="379"/>
      <c r="AC1787" s="379"/>
      <c r="AD1787" s="379"/>
      <c r="AE1787" s="379"/>
      <c r="AF1787" s="379"/>
      <c r="AG1787" s="379"/>
      <c r="AH1787" s="379"/>
      <c r="AI1787" s="379"/>
      <c r="AJ1787" s="379"/>
      <c r="AK1787" s="379"/>
      <c r="AL1787" s="379"/>
      <c r="AM1787" s="379"/>
      <c r="AN1787" s="379"/>
      <c r="AO1787" s="379"/>
      <c r="AP1787" s="379"/>
      <c r="AQ1787" s="379"/>
      <c r="AR1787" s="379"/>
      <c r="AS1787" s="379"/>
      <c r="AT1787" s="379"/>
      <c r="AU1787" s="379"/>
      <c r="AV1787" s="379"/>
      <c r="AW1787" s="379"/>
      <c r="AX1787" s="379"/>
      <c r="AY1787" s="379"/>
      <c r="AZ1787" s="379"/>
      <c r="BA1787" s="379"/>
      <c r="BB1787" s="379"/>
      <c r="BC1787" s="379"/>
      <c r="BD1787" s="379"/>
      <c r="BE1787" s="379"/>
      <c r="BF1787" s="379"/>
      <c r="BG1787" s="379"/>
      <c r="BH1787" s="379"/>
      <c r="BI1787" s="379"/>
      <c r="BJ1787" s="379"/>
      <c r="BK1787" s="379"/>
      <c r="BL1787" s="379"/>
      <c r="BM1787" s="379"/>
      <c r="BN1787" s="379"/>
      <c r="BO1787" s="379"/>
      <c r="BP1787" s="379"/>
      <c r="BQ1787" s="379"/>
      <c r="BR1787" s="379"/>
      <c r="BS1787" s="379"/>
      <c r="BT1787" s="379"/>
      <c r="BU1787" s="379"/>
      <c r="BV1787" s="379"/>
      <c r="BW1787" s="379"/>
      <c r="BX1787" s="379"/>
      <c r="BY1787" s="379"/>
      <c r="BZ1787" s="379"/>
      <c r="CA1787" s="270"/>
      <c r="CB1787" s="3" t="str">
        <f t="shared" si="288"/>
        <v>Riadok bude skrytý.</v>
      </c>
      <c r="CC1787" s="271" t="s">
        <v>832</v>
      </c>
      <c r="CW1787" s="30">
        <f t="shared" si="285"/>
        <v>1</v>
      </c>
      <c r="CX1787" s="30">
        <f t="shared" si="289"/>
        <v>0</v>
      </c>
      <c r="CZ1787" s="30">
        <f t="shared" si="281"/>
        <v>1</v>
      </c>
      <c r="DA1787" s="52">
        <f t="shared" si="287"/>
        <v>0</v>
      </c>
      <c r="DB1787" s="2">
        <f t="shared" si="284"/>
        <v>0</v>
      </c>
      <c r="DS1787" s="130">
        <f>SI!BY1787</f>
        <v>127</v>
      </c>
      <c r="DZ1787" s="131">
        <f>SI!BZ1787</f>
        <v>0</v>
      </c>
    </row>
    <row r="1788" spans="1:130" hidden="1" x14ac:dyDescent="0.25">
      <c r="A1788" s="141"/>
      <c r="B1788" s="379"/>
      <c r="C1788" s="379"/>
      <c r="D1788" s="379"/>
      <c r="E1788" s="379"/>
      <c r="F1788" s="379"/>
      <c r="G1788" s="379"/>
      <c r="H1788" s="379"/>
      <c r="I1788" s="379"/>
      <c r="J1788" s="379"/>
      <c r="K1788" s="379"/>
      <c r="L1788" s="379"/>
      <c r="M1788" s="379"/>
      <c r="N1788" s="379"/>
      <c r="O1788" s="379"/>
      <c r="P1788" s="379"/>
      <c r="Q1788" s="379"/>
      <c r="R1788" s="379"/>
      <c r="S1788" s="379"/>
      <c r="T1788" s="379"/>
      <c r="U1788" s="379"/>
      <c r="V1788" s="379"/>
      <c r="W1788" s="379"/>
      <c r="X1788" s="379"/>
      <c r="Y1788" s="379"/>
      <c r="Z1788" s="379"/>
      <c r="AA1788" s="379"/>
      <c r="AB1788" s="379"/>
      <c r="AC1788" s="379"/>
      <c r="AD1788" s="379"/>
      <c r="AE1788" s="379"/>
      <c r="AF1788" s="379"/>
      <c r="AG1788" s="379"/>
      <c r="AH1788" s="379"/>
      <c r="AI1788" s="379"/>
      <c r="AJ1788" s="379"/>
      <c r="AK1788" s="379"/>
      <c r="AL1788" s="379"/>
      <c r="AM1788" s="379"/>
      <c r="AN1788" s="379"/>
      <c r="AO1788" s="379"/>
      <c r="AP1788" s="379"/>
      <c r="AQ1788" s="379"/>
      <c r="AR1788" s="379"/>
      <c r="AS1788" s="379"/>
      <c r="AT1788" s="379"/>
      <c r="AU1788" s="379"/>
      <c r="AV1788" s="379"/>
      <c r="AW1788" s="379"/>
      <c r="AX1788" s="379"/>
      <c r="AY1788" s="379"/>
      <c r="AZ1788" s="379"/>
      <c r="BA1788" s="379"/>
      <c r="BB1788" s="379"/>
      <c r="BC1788" s="379"/>
      <c r="BD1788" s="379"/>
      <c r="BE1788" s="379"/>
      <c r="BF1788" s="379"/>
      <c r="BG1788" s="379"/>
      <c r="BH1788" s="379"/>
      <c r="BI1788" s="379"/>
      <c r="BJ1788" s="379"/>
      <c r="BK1788" s="379"/>
      <c r="BL1788" s="379"/>
      <c r="BM1788" s="379"/>
      <c r="BN1788" s="379"/>
      <c r="BO1788" s="379"/>
      <c r="BP1788" s="379"/>
      <c r="BQ1788" s="379"/>
      <c r="BR1788" s="379"/>
      <c r="BS1788" s="379"/>
      <c r="BT1788" s="379"/>
      <c r="BU1788" s="379"/>
      <c r="BV1788" s="379"/>
      <c r="BW1788" s="379"/>
      <c r="BX1788" s="379"/>
      <c r="BY1788" s="379"/>
      <c r="BZ1788" s="379"/>
      <c r="CA1788" s="270"/>
      <c r="CB1788" s="3" t="str">
        <f t="shared" si="288"/>
        <v>Riadok bude skrytý.</v>
      </c>
      <c r="CC1788" s="271" t="s">
        <v>832</v>
      </c>
      <c r="CW1788" s="30">
        <f t="shared" si="285"/>
        <v>1</v>
      </c>
      <c r="CX1788" s="30">
        <f t="shared" si="289"/>
        <v>0</v>
      </c>
      <c r="CZ1788" s="30">
        <f t="shared" si="281"/>
        <v>1</v>
      </c>
      <c r="DA1788" s="52">
        <f t="shared" si="287"/>
        <v>0</v>
      </c>
      <c r="DB1788" s="2">
        <f t="shared" si="284"/>
        <v>0</v>
      </c>
      <c r="DS1788" s="130">
        <f>SI!BY1788</f>
        <v>168</v>
      </c>
      <c r="DZ1788" s="131">
        <f>SI!BZ1788</f>
        <v>0</v>
      </c>
    </row>
    <row r="1789" spans="1:130" hidden="1" x14ac:dyDescent="0.25">
      <c r="A1789" s="141"/>
      <c r="B1789" s="379"/>
      <c r="C1789" s="379"/>
      <c r="D1789" s="379"/>
      <c r="E1789" s="379"/>
      <c r="F1789" s="379"/>
      <c r="G1789" s="379"/>
      <c r="H1789" s="379"/>
      <c r="I1789" s="379"/>
      <c r="J1789" s="379"/>
      <c r="K1789" s="379"/>
      <c r="L1789" s="379"/>
      <c r="M1789" s="379"/>
      <c r="N1789" s="379"/>
      <c r="O1789" s="379"/>
      <c r="P1789" s="379"/>
      <c r="Q1789" s="379"/>
      <c r="R1789" s="379"/>
      <c r="S1789" s="379"/>
      <c r="T1789" s="379"/>
      <c r="U1789" s="379"/>
      <c r="V1789" s="379"/>
      <c r="W1789" s="379"/>
      <c r="X1789" s="379"/>
      <c r="Y1789" s="379"/>
      <c r="Z1789" s="379"/>
      <c r="AA1789" s="379"/>
      <c r="AB1789" s="379"/>
      <c r="AC1789" s="379"/>
      <c r="AD1789" s="379"/>
      <c r="AE1789" s="379"/>
      <c r="AF1789" s="379"/>
      <c r="AG1789" s="379"/>
      <c r="AH1789" s="379"/>
      <c r="AI1789" s="379"/>
      <c r="AJ1789" s="379"/>
      <c r="AK1789" s="379"/>
      <c r="AL1789" s="379"/>
      <c r="AM1789" s="379"/>
      <c r="AN1789" s="379"/>
      <c r="AO1789" s="379"/>
      <c r="AP1789" s="379"/>
      <c r="AQ1789" s="379"/>
      <c r="AR1789" s="379"/>
      <c r="AS1789" s="379"/>
      <c r="AT1789" s="379"/>
      <c r="AU1789" s="379"/>
      <c r="AV1789" s="379"/>
      <c r="AW1789" s="379"/>
      <c r="AX1789" s="379"/>
      <c r="AY1789" s="379"/>
      <c r="AZ1789" s="379"/>
      <c r="BA1789" s="379"/>
      <c r="BB1789" s="379"/>
      <c r="BC1789" s="379"/>
      <c r="BD1789" s="379"/>
      <c r="BE1789" s="379"/>
      <c r="BF1789" s="379"/>
      <c r="BG1789" s="379"/>
      <c r="BH1789" s="379"/>
      <c r="BI1789" s="379"/>
      <c r="BJ1789" s="379"/>
      <c r="BK1789" s="379"/>
      <c r="BL1789" s="379"/>
      <c r="BM1789" s="379"/>
      <c r="BN1789" s="379"/>
      <c r="BO1789" s="379"/>
      <c r="BP1789" s="379"/>
      <c r="BQ1789" s="379"/>
      <c r="BR1789" s="379"/>
      <c r="BS1789" s="379"/>
      <c r="BT1789" s="379"/>
      <c r="BU1789" s="379"/>
      <c r="BV1789" s="379"/>
      <c r="BW1789" s="379"/>
      <c r="BX1789" s="379"/>
      <c r="BY1789" s="379"/>
      <c r="BZ1789" s="379"/>
      <c r="CA1789" s="270"/>
      <c r="CB1789" s="3" t="str">
        <f t="shared" si="288"/>
        <v>Riadok bude skrytý.</v>
      </c>
      <c r="CC1789" s="271" t="s">
        <v>832</v>
      </c>
      <c r="CW1789" s="30">
        <f t="shared" si="285"/>
        <v>1</v>
      </c>
      <c r="CX1789" s="30">
        <f t="shared" si="289"/>
        <v>0</v>
      </c>
      <c r="CZ1789" s="30">
        <f t="shared" si="281"/>
        <v>1</v>
      </c>
      <c r="DA1789" s="52">
        <f t="shared" si="287"/>
        <v>0</v>
      </c>
      <c r="DB1789" s="2">
        <f t="shared" si="284"/>
        <v>0</v>
      </c>
      <c r="DS1789" s="130">
        <f>SI!BY1789</f>
        <v>116</v>
      </c>
      <c r="DZ1789" s="131">
        <f>SI!BZ1789</f>
        <v>0</v>
      </c>
    </row>
    <row r="1790" spans="1:130" hidden="1" x14ac:dyDescent="0.25">
      <c r="A1790" s="141"/>
      <c r="B1790" s="379"/>
      <c r="C1790" s="379"/>
      <c r="D1790" s="379"/>
      <c r="E1790" s="379"/>
      <c r="F1790" s="379"/>
      <c r="G1790" s="379"/>
      <c r="H1790" s="379"/>
      <c r="I1790" s="379"/>
      <c r="J1790" s="379"/>
      <c r="K1790" s="379"/>
      <c r="L1790" s="379"/>
      <c r="M1790" s="379"/>
      <c r="N1790" s="379"/>
      <c r="O1790" s="379"/>
      <c r="P1790" s="379"/>
      <c r="Q1790" s="379"/>
      <c r="R1790" s="379"/>
      <c r="S1790" s="379"/>
      <c r="T1790" s="379"/>
      <c r="U1790" s="379"/>
      <c r="V1790" s="379"/>
      <c r="W1790" s="379"/>
      <c r="X1790" s="379"/>
      <c r="Y1790" s="379"/>
      <c r="Z1790" s="379"/>
      <c r="AA1790" s="379"/>
      <c r="AB1790" s="379"/>
      <c r="AC1790" s="379"/>
      <c r="AD1790" s="379"/>
      <c r="AE1790" s="379"/>
      <c r="AF1790" s="379"/>
      <c r="AG1790" s="379"/>
      <c r="AH1790" s="379"/>
      <c r="AI1790" s="379"/>
      <c r="AJ1790" s="379"/>
      <c r="AK1790" s="379"/>
      <c r="AL1790" s="379"/>
      <c r="AM1790" s="379"/>
      <c r="AN1790" s="379"/>
      <c r="AO1790" s="379"/>
      <c r="AP1790" s="379"/>
      <c r="AQ1790" s="379"/>
      <c r="AR1790" s="379"/>
      <c r="AS1790" s="379"/>
      <c r="AT1790" s="379"/>
      <c r="AU1790" s="379"/>
      <c r="AV1790" s="379"/>
      <c r="AW1790" s="379"/>
      <c r="AX1790" s="379"/>
      <c r="AY1790" s="379"/>
      <c r="AZ1790" s="379"/>
      <c r="BA1790" s="379"/>
      <c r="BB1790" s="379"/>
      <c r="BC1790" s="379"/>
      <c r="BD1790" s="379"/>
      <c r="BE1790" s="379"/>
      <c r="BF1790" s="379"/>
      <c r="BG1790" s="379"/>
      <c r="BH1790" s="379"/>
      <c r="BI1790" s="379"/>
      <c r="BJ1790" s="379"/>
      <c r="BK1790" s="379"/>
      <c r="BL1790" s="379"/>
      <c r="BM1790" s="379"/>
      <c r="BN1790" s="379"/>
      <c r="BO1790" s="379"/>
      <c r="BP1790" s="379"/>
      <c r="BQ1790" s="379"/>
      <c r="BR1790" s="379"/>
      <c r="BS1790" s="379"/>
      <c r="BT1790" s="379"/>
      <c r="BU1790" s="379"/>
      <c r="BV1790" s="379"/>
      <c r="BW1790" s="379"/>
      <c r="BX1790" s="379"/>
      <c r="BY1790" s="379"/>
      <c r="BZ1790" s="379"/>
      <c r="CA1790" s="270"/>
      <c r="CB1790" s="3" t="str">
        <f t="shared" si="288"/>
        <v>Riadok bude skrytý.</v>
      </c>
      <c r="CC1790" s="271" t="s">
        <v>832</v>
      </c>
      <c r="CW1790" s="30">
        <f t="shared" si="285"/>
        <v>1</v>
      </c>
      <c r="CX1790" s="30">
        <f t="shared" si="289"/>
        <v>0</v>
      </c>
      <c r="CZ1790" s="30">
        <f t="shared" ref="CZ1790:CZ1806" si="290">IF(CC1790="",1,IF(CC1790="Chcem skryť riadok.",0,1))</f>
        <v>1</v>
      </c>
      <c r="DA1790" s="52">
        <f t="shared" si="287"/>
        <v>0</v>
      </c>
      <c r="DB1790" s="2">
        <f t="shared" si="284"/>
        <v>0</v>
      </c>
      <c r="DS1790" s="130">
        <f>SI!BY1790</f>
        <v>1015</v>
      </c>
      <c r="DZ1790" s="131">
        <f>SI!BZ1790</f>
        <v>0</v>
      </c>
    </row>
    <row r="1791" spans="1:130" hidden="1" x14ac:dyDescent="0.25">
      <c r="A1791" s="141"/>
      <c r="B1791" s="379"/>
      <c r="C1791" s="379"/>
      <c r="D1791" s="379"/>
      <c r="E1791" s="379"/>
      <c r="F1791" s="379"/>
      <c r="G1791" s="379"/>
      <c r="H1791" s="379"/>
      <c r="I1791" s="379"/>
      <c r="J1791" s="379"/>
      <c r="K1791" s="379"/>
      <c r="L1791" s="379"/>
      <c r="M1791" s="379"/>
      <c r="N1791" s="379"/>
      <c r="O1791" s="379"/>
      <c r="P1791" s="379"/>
      <c r="Q1791" s="379"/>
      <c r="R1791" s="379"/>
      <c r="S1791" s="379"/>
      <c r="T1791" s="379"/>
      <c r="U1791" s="379"/>
      <c r="V1791" s="379"/>
      <c r="W1791" s="379"/>
      <c r="X1791" s="379"/>
      <c r="Y1791" s="379"/>
      <c r="Z1791" s="379"/>
      <c r="AA1791" s="379"/>
      <c r="AB1791" s="379"/>
      <c r="AC1791" s="379"/>
      <c r="AD1791" s="379"/>
      <c r="AE1791" s="379"/>
      <c r="AF1791" s="379"/>
      <c r="AG1791" s="379"/>
      <c r="AH1791" s="379"/>
      <c r="AI1791" s="379"/>
      <c r="AJ1791" s="379"/>
      <c r="AK1791" s="379"/>
      <c r="AL1791" s="379"/>
      <c r="AM1791" s="379"/>
      <c r="AN1791" s="379"/>
      <c r="AO1791" s="379"/>
      <c r="AP1791" s="379"/>
      <c r="AQ1791" s="379"/>
      <c r="AR1791" s="379"/>
      <c r="AS1791" s="379"/>
      <c r="AT1791" s="379"/>
      <c r="AU1791" s="379"/>
      <c r="AV1791" s="379"/>
      <c r="AW1791" s="379"/>
      <c r="AX1791" s="379"/>
      <c r="AY1791" s="379"/>
      <c r="AZ1791" s="379"/>
      <c r="BA1791" s="379"/>
      <c r="BB1791" s="379"/>
      <c r="BC1791" s="379"/>
      <c r="BD1791" s="379"/>
      <c r="BE1791" s="379"/>
      <c r="BF1791" s="379"/>
      <c r="BG1791" s="379"/>
      <c r="BH1791" s="379"/>
      <c r="BI1791" s="379"/>
      <c r="BJ1791" s="379"/>
      <c r="BK1791" s="379"/>
      <c r="BL1791" s="379"/>
      <c r="BM1791" s="379"/>
      <c r="BN1791" s="379"/>
      <c r="BO1791" s="379"/>
      <c r="BP1791" s="379"/>
      <c r="BQ1791" s="379"/>
      <c r="BR1791" s="379"/>
      <c r="BS1791" s="379"/>
      <c r="BT1791" s="379"/>
      <c r="BU1791" s="379"/>
      <c r="BV1791" s="379"/>
      <c r="BW1791" s="379"/>
      <c r="BX1791" s="379"/>
      <c r="BY1791" s="379"/>
      <c r="BZ1791" s="379"/>
      <c r="CA1791" s="270"/>
      <c r="CB1791" s="3" t="str">
        <f t="shared" si="288"/>
        <v>Riadok bude skrytý.</v>
      </c>
      <c r="CC1791" s="271" t="s">
        <v>832</v>
      </c>
      <c r="CW1791" s="30">
        <f t="shared" si="285"/>
        <v>1</v>
      </c>
      <c r="CX1791" s="30">
        <f t="shared" si="289"/>
        <v>0</v>
      </c>
      <c r="CZ1791" s="30">
        <f t="shared" si="290"/>
        <v>1</v>
      </c>
      <c r="DA1791" s="52">
        <f t="shared" si="287"/>
        <v>0</v>
      </c>
      <c r="DB1791" s="2">
        <f t="shared" si="284"/>
        <v>0</v>
      </c>
      <c r="DS1791" s="130">
        <f>SI!BY1791</f>
        <v>165</v>
      </c>
      <c r="DZ1791" s="131">
        <f>SI!BZ1791</f>
        <v>0</v>
      </c>
    </row>
    <row r="1792" spans="1:130" hidden="1" x14ac:dyDescent="0.25">
      <c r="A1792" s="141"/>
      <c r="B1792" s="379"/>
      <c r="C1792" s="379"/>
      <c r="D1792" s="379"/>
      <c r="E1792" s="379"/>
      <c r="F1792" s="379"/>
      <c r="G1792" s="379"/>
      <c r="H1792" s="379"/>
      <c r="I1792" s="379"/>
      <c r="J1792" s="379"/>
      <c r="K1792" s="379"/>
      <c r="L1792" s="379"/>
      <c r="M1792" s="379"/>
      <c r="N1792" s="379"/>
      <c r="O1792" s="379"/>
      <c r="P1792" s="379"/>
      <c r="Q1792" s="379"/>
      <c r="R1792" s="379"/>
      <c r="S1792" s="379"/>
      <c r="T1792" s="379"/>
      <c r="U1792" s="379"/>
      <c r="V1792" s="379"/>
      <c r="W1792" s="379"/>
      <c r="X1792" s="379"/>
      <c r="Y1792" s="379"/>
      <c r="Z1792" s="379"/>
      <c r="AA1792" s="379"/>
      <c r="AB1792" s="379"/>
      <c r="AC1792" s="379"/>
      <c r="AD1792" s="379"/>
      <c r="AE1792" s="379"/>
      <c r="AF1792" s="379"/>
      <c r="AG1792" s="379"/>
      <c r="AH1792" s="379"/>
      <c r="AI1792" s="379"/>
      <c r="AJ1792" s="379"/>
      <c r="AK1792" s="379"/>
      <c r="AL1792" s="379"/>
      <c r="AM1792" s="379"/>
      <c r="AN1792" s="379"/>
      <c r="AO1792" s="379"/>
      <c r="AP1792" s="379"/>
      <c r="AQ1792" s="379"/>
      <c r="AR1792" s="379"/>
      <c r="AS1792" s="379"/>
      <c r="AT1792" s="379"/>
      <c r="AU1792" s="379"/>
      <c r="AV1792" s="379"/>
      <c r="AW1792" s="379"/>
      <c r="AX1792" s="379"/>
      <c r="AY1792" s="379"/>
      <c r="AZ1792" s="379"/>
      <c r="BA1792" s="379"/>
      <c r="BB1792" s="379"/>
      <c r="BC1792" s="379"/>
      <c r="BD1792" s="379"/>
      <c r="BE1792" s="379"/>
      <c r="BF1792" s="379"/>
      <c r="BG1792" s="379"/>
      <c r="BH1792" s="379"/>
      <c r="BI1792" s="379"/>
      <c r="BJ1792" s="379"/>
      <c r="BK1792" s="379"/>
      <c r="BL1792" s="379"/>
      <c r="BM1792" s="379"/>
      <c r="BN1792" s="379"/>
      <c r="BO1792" s="379"/>
      <c r="BP1792" s="379"/>
      <c r="BQ1792" s="379"/>
      <c r="BR1792" s="379"/>
      <c r="BS1792" s="379"/>
      <c r="BT1792" s="379"/>
      <c r="BU1792" s="379"/>
      <c r="BV1792" s="379"/>
      <c r="BW1792" s="379"/>
      <c r="BX1792" s="379"/>
      <c r="BY1792" s="379"/>
      <c r="BZ1792" s="379"/>
      <c r="CA1792" s="270"/>
      <c r="CB1792" s="3" t="str">
        <f t="shared" si="288"/>
        <v>Riadok bude skrytý.</v>
      </c>
      <c r="CC1792" s="271" t="s">
        <v>832</v>
      </c>
      <c r="CW1792" s="30">
        <f t="shared" si="285"/>
        <v>1</v>
      </c>
      <c r="CX1792" s="30">
        <f t="shared" si="289"/>
        <v>0</v>
      </c>
      <c r="CZ1792" s="30">
        <f t="shared" si="290"/>
        <v>1</v>
      </c>
      <c r="DA1792" s="52">
        <f t="shared" si="287"/>
        <v>0</v>
      </c>
      <c r="DB1792" s="2">
        <f t="shared" si="284"/>
        <v>0</v>
      </c>
      <c r="DS1792" s="130">
        <f>SI!BY1792</f>
        <v>581</v>
      </c>
      <c r="DZ1792" s="131">
        <f>SI!BZ1792</f>
        <v>0</v>
      </c>
    </row>
    <row r="1793" spans="1:130" hidden="1" x14ac:dyDescent="0.25">
      <c r="A1793" s="141"/>
      <c r="B1793" s="379"/>
      <c r="C1793" s="379"/>
      <c r="D1793" s="379"/>
      <c r="E1793" s="379"/>
      <c r="F1793" s="379"/>
      <c r="G1793" s="379"/>
      <c r="H1793" s="379"/>
      <c r="I1793" s="379"/>
      <c r="J1793" s="379"/>
      <c r="K1793" s="379"/>
      <c r="L1793" s="379"/>
      <c r="M1793" s="379"/>
      <c r="N1793" s="379"/>
      <c r="O1793" s="379"/>
      <c r="P1793" s="379"/>
      <c r="Q1793" s="379"/>
      <c r="R1793" s="379"/>
      <c r="S1793" s="379"/>
      <c r="T1793" s="379"/>
      <c r="U1793" s="379"/>
      <c r="V1793" s="379"/>
      <c r="W1793" s="379"/>
      <c r="X1793" s="379"/>
      <c r="Y1793" s="379"/>
      <c r="Z1793" s="379"/>
      <c r="AA1793" s="379"/>
      <c r="AB1793" s="379"/>
      <c r="AC1793" s="379"/>
      <c r="AD1793" s="379"/>
      <c r="AE1793" s="379"/>
      <c r="AF1793" s="379"/>
      <c r="AG1793" s="379"/>
      <c r="AH1793" s="379"/>
      <c r="AI1793" s="379"/>
      <c r="AJ1793" s="379"/>
      <c r="AK1793" s="379"/>
      <c r="AL1793" s="379"/>
      <c r="AM1793" s="379"/>
      <c r="AN1793" s="379"/>
      <c r="AO1793" s="379"/>
      <c r="AP1793" s="379"/>
      <c r="AQ1793" s="379"/>
      <c r="AR1793" s="379"/>
      <c r="AS1793" s="379"/>
      <c r="AT1793" s="379"/>
      <c r="AU1793" s="379"/>
      <c r="AV1793" s="379"/>
      <c r="AW1793" s="379"/>
      <c r="AX1793" s="379"/>
      <c r="AY1793" s="379"/>
      <c r="AZ1793" s="379"/>
      <c r="BA1793" s="379"/>
      <c r="BB1793" s="379"/>
      <c r="BC1793" s="379"/>
      <c r="BD1793" s="379"/>
      <c r="BE1793" s="379"/>
      <c r="BF1793" s="379"/>
      <c r="BG1793" s="379"/>
      <c r="BH1793" s="379"/>
      <c r="BI1793" s="379"/>
      <c r="BJ1793" s="379"/>
      <c r="BK1793" s="379"/>
      <c r="BL1793" s="379"/>
      <c r="BM1793" s="379"/>
      <c r="BN1793" s="379"/>
      <c r="BO1793" s="379"/>
      <c r="BP1793" s="379"/>
      <c r="BQ1793" s="379"/>
      <c r="BR1793" s="379"/>
      <c r="BS1793" s="379"/>
      <c r="BT1793" s="379"/>
      <c r="BU1793" s="379"/>
      <c r="BV1793" s="379"/>
      <c r="BW1793" s="379"/>
      <c r="BX1793" s="379"/>
      <c r="BY1793" s="379"/>
      <c r="BZ1793" s="379"/>
      <c r="CA1793" s="270"/>
      <c r="CB1793" s="3" t="str">
        <f t="shared" si="288"/>
        <v>Riadok bude skrytý.</v>
      </c>
      <c r="CC1793" s="271" t="s">
        <v>832</v>
      </c>
      <c r="CW1793" s="30">
        <f t="shared" si="285"/>
        <v>1</v>
      </c>
      <c r="CX1793" s="30">
        <f t="shared" si="289"/>
        <v>0</v>
      </c>
      <c r="CZ1793" s="30">
        <f t="shared" si="290"/>
        <v>1</v>
      </c>
      <c r="DA1793" s="52">
        <f t="shared" si="287"/>
        <v>0</v>
      </c>
      <c r="DB1793" s="2">
        <f t="shared" si="284"/>
        <v>0</v>
      </c>
      <c r="DS1793" s="130">
        <f>SI!BY1793</f>
        <v>152</v>
      </c>
      <c r="DZ1793" s="131">
        <f>SI!BZ1793</f>
        <v>0</v>
      </c>
    </row>
    <row r="1794" spans="1:130" hidden="1" x14ac:dyDescent="0.25">
      <c r="A1794" s="141"/>
      <c r="B1794" s="379"/>
      <c r="C1794" s="379"/>
      <c r="D1794" s="379"/>
      <c r="E1794" s="379"/>
      <c r="F1794" s="379"/>
      <c r="G1794" s="379"/>
      <c r="H1794" s="379"/>
      <c r="I1794" s="379"/>
      <c r="J1794" s="379"/>
      <c r="K1794" s="379"/>
      <c r="L1794" s="379"/>
      <c r="M1794" s="379"/>
      <c r="N1794" s="379"/>
      <c r="O1794" s="379"/>
      <c r="P1794" s="379"/>
      <c r="Q1794" s="379"/>
      <c r="R1794" s="379"/>
      <c r="S1794" s="379"/>
      <c r="T1794" s="379"/>
      <c r="U1794" s="379"/>
      <c r="V1794" s="379"/>
      <c r="W1794" s="379"/>
      <c r="X1794" s="379"/>
      <c r="Y1794" s="379"/>
      <c r="Z1794" s="379"/>
      <c r="AA1794" s="379"/>
      <c r="AB1794" s="379"/>
      <c r="AC1794" s="379"/>
      <c r="AD1794" s="379"/>
      <c r="AE1794" s="379"/>
      <c r="AF1794" s="379"/>
      <c r="AG1794" s="379"/>
      <c r="AH1794" s="379"/>
      <c r="AI1794" s="379"/>
      <c r="AJ1794" s="379"/>
      <c r="AK1794" s="379"/>
      <c r="AL1794" s="379"/>
      <c r="AM1794" s="379"/>
      <c r="AN1794" s="379"/>
      <c r="AO1794" s="379"/>
      <c r="AP1794" s="379"/>
      <c r="AQ1794" s="379"/>
      <c r="AR1794" s="379"/>
      <c r="AS1794" s="379"/>
      <c r="AT1794" s="379"/>
      <c r="AU1794" s="379"/>
      <c r="AV1794" s="379"/>
      <c r="AW1794" s="379"/>
      <c r="AX1794" s="379"/>
      <c r="AY1794" s="379"/>
      <c r="AZ1794" s="379"/>
      <c r="BA1794" s="379"/>
      <c r="BB1794" s="379"/>
      <c r="BC1794" s="379"/>
      <c r="BD1794" s="379"/>
      <c r="BE1794" s="379"/>
      <c r="BF1794" s="379"/>
      <c r="BG1794" s="379"/>
      <c r="BH1794" s="379"/>
      <c r="BI1794" s="379"/>
      <c r="BJ1794" s="379"/>
      <c r="BK1794" s="379"/>
      <c r="BL1794" s="379"/>
      <c r="BM1794" s="379"/>
      <c r="BN1794" s="379"/>
      <c r="BO1794" s="379"/>
      <c r="BP1794" s="379"/>
      <c r="BQ1794" s="379"/>
      <c r="BR1794" s="379"/>
      <c r="BS1794" s="379"/>
      <c r="BT1794" s="379"/>
      <c r="BU1794" s="379"/>
      <c r="BV1794" s="379"/>
      <c r="BW1794" s="379"/>
      <c r="BX1794" s="379"/>
      <c r="BY1794" s="379"/>
      <c r="BZ1794" s="379"/>
      <c r="CA1794" s="270"/>
      <c r="CB1794" s="3" t="str">
        <f t="shared" si="288"/>
        <v>Riadok bude skrytý.</v>
      </c>
      <c r="CC1794" s="271" t="s">
        <v>832</v>
      </c>
      <c r="CW1794" s="30">
        <f t="shared" si="285"/>
        <v>1</v>
      </c>
      <c r="CX1794" s="30">
        <f t="shared" si="289"/>
        <v>0</v>
      </c>
      <c r="CZ1794" s="30">
        <f t="shared" si="290"/>
        <v>1</v>
      </c>
      <c r="DA1794" s="52">
        <f t="shared" si="287"/>
        <v>0</v>
      </c>
      <c r="DB1794" s="2">
        <f t="shared" si="284"/>
        <v>0</v>
      </c>
      <c r="DS1794" s="130">
        <f>SI!BY1794</f>
        <v>7</v>
      </c>
      <c r="DZ1794" s="131">
        <f>SI!BZ1794</f>
        <v>0</v>
      </c>
    </row>
    <row r="1795" spans="1:130" hidden="1" x14ac:dyDescent="0.25">
      <c r="A1795" s="141"/>
      <c r="B1795" s="379"/>
      <c r="C1795" s="379"/>
      <c r="D1795" s="379"/>
      <c r="E1795" s="379"/>
      <c r="F1795" s="379"/>
      <c r="G1795" s="379"/>
      <c r="H1795" s="379"/>
      <c r="I1795" s="379"/>
      <c r="J1795" s="379"/>
      <c r="K1795" s="379"/>
      <c r="L1795" s="379"/>
      <c r="M1795" s="379"/>
      <c r="N1795" s="379"/>
      <c r="O1795" s="379"/>
      <c r="P1795" s="379"/>
      <c r="Q1795" s="379"/>
      <c r="R1795" s="379"/>
      <c r="S1795" s="379"/>
      <c r="T1795" s="379"/>
      <c r="U1795" s="379"/>
      <c r="V1795" s="379"/>
      <c r="W1795" s="379"/>
      <c r="X1795" s="379"/>
      <c r="Y1795" s="379"/>
      <c r="Z1795" s="379"/>
      <c r="AA1795" s="379"/>
      <c r="AB1795" s="379"/>
      <c r="AC1795" s="379"/>
      <c r="AD1795" s="379"/>
      <c r="AE1795" s="379"/>
      <c r="AF1795" s="379"/>
      <c r="AG1795" s="379"/>
      <c r="AH1795" s="379"/>
      <c r="AI1795" s="379"/>
      <c r="AJ1795" s="379"/>
      <c r="AK1795" s="379"/>
      <c r="AL1795" s="379"/>
      <c r="AM1795" s="379"/>
      <c r="AN1795" s="379"/>
      <c r="AO1795" s="379"/>
      <c r="AP1795" s="379"/>
      <c r="AQ1795" s="379"/>
      <c r="AR1795" s="379"/>
      <c r="AS1795" s="379"/>
      <c r="AT1795" s="379"/>
      <c r="AU1795" s="379"/>
      <c r="AV1795" s="379"/>
      <c r="AW1795" s="379"/>
      <c r="AX1795" s="379"/>
      <c r="AY1795" s="379"/>
      <c r="AZ1795" s="379"/>
      <c r="BA1795" s="379"/>
      <c r="BB1795" s="379"/>
      <c r="BC1795" s="379"/>
      <c r="BD1795" s="379"/>
      <c r="BE1795" s="379"/>
      <c r="BF1795" s="379"/>
      <c r="BG1795" s="379"/>
      <c r="BH1795" s="379"/>
      <c r="BI1795" s="379"/>
      <c r="BJ1795" s="379"/>
      <c r="BK1795" s="379"/>
      <c r="BL1795" s="379"/>
      <c r="BM1795" s="379"/>
      <c r="BN1795" s="379"/>
      <c r="BO1795" s="379"/>
      <c r="BP1795" s="379"/>
      <c r="BQ1795" s="379"/>
      <c r="BR1795" s="379"/>
      <c r="BS1795" s="379"/>
      <c r="BT1795" s="379"/>
      <c r="BU1795" s="379"/>
      <c r="BV1795" s="379"/>
      <c r="BW1795" s="379"/>
      <c r="BX1795" s="379"/>
      <c r="BY1795" s="379"/>
      <c r="BZ1795" s="379"/>
      <c r="CA1795" s="270"/>
      <c r="CB1795" s="3" t="str">
        <f t="shared" si="288"/>
        <v>Riadok bude skrytý.</v>
      </c>
      <c r="CC1795" s="271" t="s">
        <v>832</v>
      </c>
      <c r="CW1795" s="30">
        <f t="shared" si="285"/>
        <v>1</v>
      </c>
      <c r="CX1795" s="30">
        <f t="shared" si="289"/>
        <v>0</v>
      </c>
      <c r="CZ1795" s="30">
        <f t="shared" si="290"/>
        <v>1</v>
      </c>
      <c r="DA1795" s="52">
        <f t="shared" si="287"/>
        <v>0</v>
      </c>
      <c r="DB1795" s="2">
        <f t="shared" si="284"/>
        <v>0</v>
      </c>
      <c r="DS1795" s="130">
        <f>SI!BY1795</f>
        <v>176</v>
      </c>
      <c r="DZ1795" s="131">
        <f>SI!BZ1795</f>
        <v>0</v>
      </c>
    </row>
    <row r="1796" spans="1:130" hidden="1" x14ac:dyDescent="0.25">
      <c r="A1796" s="141"/>
      <c r="B1796" s="379"/>
      <c r="C1796" s="379"/>
      <c r="D1796" s="379"/>
      <c r="E1796" s="379"/>
      <c r="F1796" s="379"/>
      <c r="G1796" s="379"/>
      <c r="H1796" s="379"/>
      <c r="I1796" s="379"/>
      <c r="J1796" s="379"/>
      <c r="K1796" s="379"/>
      <c r="L1796" s="379"/>
      <c r="M1796" s="379"/>
      <c r="N1796" s="379"/>
      <c r="O1796" s="379"/>
      <c r="P1796" s="379"/>
      <c r="Q1796" s="379"/>
      <c r="R1796" s="379"/>
      <c r="S1796" s="379"/>
      <c r="T1796" s="379"/>
      <c r="U1796" s="379"/>
      <c r="V1796" s="379"/>
      <c r="W1796" s="379"/>
      <c r="X1796" s="379"/>
      <c r="Y1796" s="379"/>
      <c r="Z1796" s="379"/>
      <c r="AA1796" s="379"/>
      <c r="AB1796" s="379"/>
      <c r="AC1796" s="379"/>
      <c r="AD1796" s="379"/>
      <c r="AE1796" s="379"/>
      <c r="AF1796" s="379"/>
      <c r="AG1796" s="379"/>
      <c r="AH1796" s="379"/>
      <c r="AI1796" s="379"/>
      <c r="AJ1796" s="379"/>
      <c r="AK1796" s="379"/>
      <c r="AL1796" s="379"/>
      <c r="AM1796" s="379"/>
      <c r="AN1796" s="379"/>
      <c r="AO1796" s="379"/>
      <c r="AP1796" s="379"/>
      <c r="AQ1796" s="379"/>
      <c r="AR1796" s="379"/>
      <c r="AS1796" s="379"/>
      <c r="AT1796" s="379"/>
      <c r="AU1796" s="379"/>
      <c r="AV1796" s="379"/>
      <c r="AW1796" s="379"/>
      <c r="AX1796" s="379"/>
      <c r="AY1796" s="379"/>
      <c r="AZ1796" s="379"/>
      <c r="BA1796" s="379"/>
      <c r="BB1796" s="379"/>
      <c r="BC1796" s="379"/>
      <c r="BD1796" s="379"/>
      <c r="BE1796" s="379"/>
      <c r="BF1796" s="379"/>
      <c r="BG1796" s="379"/>
      <c r="BH1796" s="379"/>
      <c r="BI1796" s="379"/>
      <c r="BJ1796" s="379"/>
      <c r="BK1796" s="379"/>
      <c r="BL1796" s="379"/>
      <c r="BM1796" s="379"/>
      <c r="BN1796" s="379"/>
      <c r="BO1796" s="379"/>
      <c r="BP1796" s="379"/>
      <c r="BQ1796" s="379"/>
      <c r="BR1796" s="379"/>
      <c r="BS1796" s="379"/>
      <c r="BT1796" s="379"/>
      <c r="BU1796" s="379"/>
      <c r="BV1796" s="379"/>
      <c r="BW1796" s="379"/>
      <c r="BX1796" s="379"/>
      <c r="BY1796" s="379"/>
      <c r="BZ1796" s="379"/>
      <c r="CA1796" s="270"/>
      <c r="CB1796" s="3" t="str">
        <f t="shared" si="288"/>
        <v>Riadok bude skrytý.</v>
      </c>
      <c r="CC1796" s="271" t="s">
        <v>832</v>
      </c>
      <c r="CW1796" s="30">
        <f t="shared" si="285"/>
        <v>1</v>
      </c>
      <c r="CX1796" s="30">
        <f t="shared" si="289"/>
        <v>0</v>
      </c>
      <c r="CZ1796" s="30">
        <f t="shared" si="290"/>
        <v>1</v>
      </c>
      <c r="DA1796" s="52">
        <f t="shared" si="287"/>
        <v>0</v>
      </c>
      <c r="DB1796" s="2">
        <f t="shared" si="284"/>
        <v>0</v>
      </c>
      <c r="DS1796" s="130">
        <f>SI!BY1796</f>
        <v>1000</v>
      </c>
      <c r="DZ1796" s="131">
        <f>SI!BZ1796</f>
        <v>0</v>
      </c>
    </row>
    <row r="1797" spans="1:130" hidden="1" x14ac:dyDescent="0.25">
      <c r="A1797" s="141"/>
      <c r="B1797" s="379"/>
      <c r="C1797" s="379"/>
      <c r="D1797" s="379"/>
      <c r="E1797" s="379"/>
      <c r="F1797" s="379"/>
      <c r="G1797" s="379"/>
      <c r="H1797" s="379"/>
      <c r="I1797" s="379"/>
      <c r="J1797" s="379"/>
      <c r="K1797" s="379"/>
      <c r="L1797" s="379"/>
      <c r="M1797" s="379"/>
      <c r="N1797" s="379"/>
      <c r="O1797" s="379"/>
      <c r="P1797" s="379"/>
      <c r="Q1797" s="379"/>
      <c r="R1797" s="379"/>
      <c r="S1797" s="379"/>
      <c r="T1797" s="379"/>
      <c r="U1797" s="379"/>
      <c r="V1797" s="379"/>
      <c r="W1797" s="379"/>
      <c r="X1797" s="379"/>
      <c r="Y1797" s="379"/>
      <c r="Z1797" s="379"/>
      <c r="AA1797" s="379"/>
      <c r="AB1797" s="379"/>
      <c r="AC1797" s="379"/>
      <c r="AD1797" s="379"/>
      <c r="AE1797" s="379"/>
      <c r="AF1797" s="379"/>
      <c r="AG1797" s="379"/>
      <c r="AH1797" s="379"/>
      <c r="AI1797" s="379"/>
      <c r="AJ1797" s="379"/>
      <c r="AK1797" s="379"/>
      <c r="AL1797" s="379"/>
      <c r="AM1797" s="379"/>
      <c r="AN1797" s="379"/>
      <c r="AO1797" s="379"/>
      <c r="AP1797" s="379"/>
      <c r="AQ1797" s="379"/>
      <c r="AR1797" s="379"/>
      <c r="AS1797" s="379"/>
      <c r="AT1797" s="379"/>
      <c r="AU1797" s="379"/>
      <c r="AV1797" s="379"/>
      <c r="AW1797" s="379"/>
      <c r="AX1797" s="379"/>
      <c r="AY1797" s="379"/>
      <c r="AZ1797" s="379"/>
      <c r="BA1797" s="379"/>
      <c r="BB1797" s="379"/>
      <c r="BC1797" s="379"/>
      <c r="BD1797" s="379"/>
      <c r="BE1797" s="379"/>
      <c r="BF1797" s="379"/>
      <c r="BG1797" s="379"/>
      <c r="BH1797" s="379"/>
      <c r="BI1797" s="379"/>
      <c r="BJ1797" s="379"/>
      <c r="BK1797" s="379"/>
      <c r="BL1797" s="379"/>
      <c r="BM1797" s="379"/>
      <c r="BN1797" s="379"/>
      <c r="BO1797" s="379"/>
      <c r="BP1797" s="379"/>
      <c r="BQ1797" s="379"/>
      <c r="BR1797" s="379"/>
      <c r="BS1797" s="379"/>
      <c r="BT1797" s="379"/>
      <c r="BU1797" s="379"/>
      <c r="BV1797" s="379"/>
      <c r="BW1797" s="379"/>
      <c r="BX1797" s="379"/>
      <c r="BY1797" s="379"/>
      <c r="BZ1797" s="379"/>
      <c r="CA1797" s="270"/>
      <c r="CB1797" s="3" t="str">
        <f t="shared" si="288"/>
        <v>Riadok bude skrytý.</v>
      </c>
      <c r="CC1797" s="271" t="s">
        <v>832</v>
      </c>
      <c r="CW1797" s="30">
        <f t="shared" si="285"/>
        <v>1</v>
      </c>
      <c r="CX1797" s="30">
        <f t="shared" si="289"/>
        <v>0</v>
      </c>
      <c r="CZ1797" s="30">
        <f t="shared" si="290"/>
        <v>1</v>
      </c>
      <c r="DA1797" s="52">
        <f t="shared" si="287"/>
        <v>0</v>
      </c>
      <c r="DB1797" s="2">
        <f t="shared" si="284"/>
        <v>0</v>
      </c>
      <c r="DS1797" s="130">
        <f>SI!BY1797</f>
        <v>137</v>
      </c>
      <c r="DZ1797" s="131">
        <f>SI!BZ1797</f>
        <v>0</v>
      </c>
    </row>
    <row r="1798" spans="1:130" hidden="1" x14ac:dyDescent="0.25">
      <c r="A1798" s="141"/>
      <c r="B1798" s="379"/>
      <c r="C1798" s="379"/>
      <c r="D1798" s="379"/>
      <c r="E1798" s="379"/>
      <c r="F1798" s="379"/>
      <c r="G1798" s="379"/>
      <c r="H1798" s="379"/>
      <c r="I1798" s="379"/>
      <c r="J1798" s="379"/>
      <c r="K1798" s="379"/>
      <c r="L1798" s="379"/>
      <c r="M1798" s="379"/>
      <c r="N1798" s="379"/>
      <c r="O1798" s="379"/>
      <c r="P1798" s="379"/>
      <c r="Q1798" s="379"/>
      <c r="R1798" s="379"/>
      <c r="S1798" s="379"/>
      <c r="T1798" s="379"/>
      <c r="U1798" s="379"/>
      <c r="V1798" s="379"/>
      <c r="W1798" s="379"/>
      <c r="X1798" s="379"/>
      <c r="Y1798" s="379"/>
      <c r="Z1798" s="379"/>
      <c r="AA1798" s="379"/>
      <c r="AB1798" s="379"/>
      <c r="AC1798" s="379"/>
      <c r="AD1798" s="379"/>
      <c r="AE1798" s="379"/>
      <c r="AF1798" s="379"/>
      <c r="AG1798" s="379"/>
      <c r="AH1798" s="379"/>
      <c r="AI1798" s="379"/>
      <c r="AJ1798" s="379"/>
      <c r="AK1798" s="379"/>
      <c r="AL1798" s="379"/>
      <c r="AM1798" s="379"/>
      <c r="AN1798" s="379"/>
      <c r="AO1798" s="379"/>
      <c r="AP1798" s="379"/>
      <c r="AQ1798" s="379"/>
      <c r="AR1798" s="379"/>
      <c r="AS1798" s="379"/>
      <c r="AT1798" s="379"/>
      <c r="AU1798" s="379"/>
      <c r="AV1798" s="379"/>
      <c r="AW1798" s="379"/>
      <c r="AX1798" s="379"/>
      <c r="AY1798" s="379"/>
      <c r="AZ1798" s="379"/>
      <c r="BA1798" s="379"/>
      <c r="BB1798" s="379"/>
      <c r="BC1798" s="379"/>
      <c r="BD1798" s="379"/>
      <c r="BE1798" s="379"/>
      <c r="BF1798" s="379"/>
      <c r="BG1798" s="379"/>
      <c r="BH1798" s="379"/>
      <c r="BI1798" s="379"/>
      <c r="BJ1798" s="379"/>
      <c r="BK1798" s="379"/>
      <c r="BL1798" s="379"/>
      <c r="BM1798" s="379"/>
      <c r="BN1798" s="379"/>
      <c r="BO1798" s="379"/>
      <c r="BP1798" s="379"/>
      <c r="BQ1798" s="379"/>
      <c r="BR1798" s="379"/>
      <c r="BS1798" s="379"/>
      <c r="BT1798" s="379"/>
      <c r="BU1798" s="379"/>
      <c r="BV1798" s="379"/>
      <c r="BW1798" s="379"/>
      <c r="BX1798" s="379"/>
      <c r="BY1798" s="379"/>
      <c r="BZ1798" s="379"/>
      <c r="CA1798" s="270"/>
      <c r="CB1798" s="3" t="str">
        <f t="shared" si="288"/>
        <v>Riadok bude skrytý.</v>
      </c>
      <c r="CC1798" s="271" t="s">
        <v>832</v>
      </c>
      <c r="CW1798" s="30">
        <f t="shared" si="285"/>
        <v>1</v>
      </c>
      <c r="CX1798" s="30">
        <f t="shared" si="289"/>
        <v>0</v>
      </c>
      <c r="CZ1798" s="30">
        <f t="shared" si="290"/>
        <v>1</v>
      </c>
      <c r="DA1798" s="52">
        <f t="shared" si="287"/>
        <v>0</v>
      </c>
      <c r="DB1798" s="2">
        <f t="shared" si="284"/>
        <v>0</v>
      </c>
      <c r="DS1798" s="130">
        <f>SI!BY1798</f>
        <v>116</v>
      </c>
      <c r="DZ1798" s="131">
        <f>SI!BZ1798</f>
        <v>0</v>
      </c>
    </row>
    <row r="1799" spans="1:130" hidden="1" x14ac:dyDescent="0.25">
      <c r="A1799" s="141"/>
      <c r="B1799" s="379"/>
      <c r="C1799" s="379"/>
      <c r="D1799" s="379"/>
      <c r="E1799" s="379"/>
      <c r="F1799" s="379"/>
      <c r="G1799" s="379"/>
      <c r="H1799" s="379"/>
      <c r="I1799" s="379"/>
      <c r="J1799" s="379"/>
      <c r="K1799" s="379"/>
      <c r="L1799" s="379"/>
      <c r="M1799" s="379"/>
      <c r="N1799" s="379"/>
      <c r="O1799" s="379"/>
      <c r="P1799" s="379"/>
      <c r="Q1799" s="379"/>
      <c r="R1799" s="379"/>
      <c r="S1799" s="379"/>
      <c r="T1799" s="379"/>
      <c r="U1799" s="379"/>
      <c r="V1799" s="379"/>
      <c r="W1799" s="379"/>
      <c r="X1799" s="379"/>
      <c r="Y1799" s="379"/>
      <c r="Z1799" s="379"/>
      <c r="AA1799" s="379"/>
      <c r="AB1799" s="379"/>
      <c r="AC1799" s="379"/>
      <c r="AD1799" s="379"/>
      <c r="AE1799" s="379"/>
      <c r="AF1799" s="379"/>
      <c r="AG1799" s="379"/>
      <c r="AH1799" s="379"/>
      <c r="AI1799" s="379"/>
      <c r="AJ1799" s="379"/>
      <c r="AK1799" s="379"/>
      <c r="AL1799" s="379"/>
      <c r="AM1799" s="379"/>
      <c r="AN1799" s="379"/>
      <c r="AO1799" s="379"/>
      <c r="AP1799" s="379"/>
      <c r="AQ1799" s="379"/>
      <c r="AR1799" s="379"/>
      <c r="AS1799" s="379"/>
      <c r="AT1799" s="379"/>
      <c r="AU1799" s="379"/>
      <c r="AV1799" s="379"/>
      <c r="AW1799" s="379"/>
      <c r="AX1799" s="379"/>
      <c r="AY1799" s="379"/>
      <c r="AZ1799" s="379"/>
      <c r="BA1799" s="379"/>
      <c r="BB1799" s="379"/>
      <c r="BC1799" s="379"/>
      <c r="BD1799" s="379"/>
      <c r="BE1799" s="379"/>
      <c r="BF1799" s="379"/>
      <c r="BG1799" s="379"/>
      <c r="BH1799" s="379"/>
      <c r="BI1799" s="379"/>
      <c r="BJ1799" s="379"/>
      <c r="BK1799" s="379"/>
      <c r="BL1799" s="379"/>
      <c r="BM1799" s="379"/>
      <c r="BN1799" s="379"/>
      <c r="BO1799" s="379"/>
      <c r="BP1799" s="379"/>
      <c r="BQ1799" s="379"/>
      <c r="BR1799" s="379"/>
      <c r="BS1799" s="379"/>
      <c r="BT1799" s="379"/>
      <c r="BU1799" s="379"/>
      <c r="BV1799" s="379"/>
      <c r="BW1799" s="379"/>
      <c r="BX1799" s="379"/>
      <c r="BY1799" s="379"/>
      <c r="BZ1799" s="379"/>
      <c r="CA1799" s="270"/>
      <c r="CB1799" s="3" t="str">
        <f t="shared" si="288"/>
        <v>Riadok bude skrytý.</v>
      </c>
      <c r="CC1799" s="271" t="s">
        <v>832</v>
      </c>
      <c r="CW1799" s="30">
        <f t="shared" si="285"/>
        <v>1</v>
      </c>
      <c r="CX1799" s="30">
        <f t="shared" si="289"/>
        <v>0</v>
      </c>
      <c r="CZ1799" s="30">
        <f t="shared" si="290"/>
        <v>1</v>
      </c>
      <c r="DA1799" s="52">
        <f t="shared" si="287"/>
        <v>0</v>
      </c>
      <c r="DB1799" s="2">
        <f t="shared" si="284"/>
        <v>0</v>
      </c>
      <c r="DS1799" s="130">
        <f>SI!BY1799</f>
        <v>132</v>
      </c>
      <c r="DZ1799" s="131">
        <f>SI!BZ1799</f>
        <v>0</v>
      </c>
    </row>
    <row r="1800" spans="1:130" hidden="1" x14ac:dyDescent="0.25">
      <c r="A1800" s="141"/>
      <c r="B1800" s="379"/>
      <c r="C1800" s="379"/>
      <c r="D1800" s="379"/>
      <c r="E1800" s="379"/>
      <c r="F1800" s="379"/>
      <c r="G1800" s="379"/>
      <c r="H1800" s="379"/>
      <c r="I1800" s="379"/>
      <c r="J1800" s="379"/>
      <c r="K1800" s="379"/>
      <c r="L1800" s="379"/>
      <c r="M1800" s="379"/>
      <c r="N1800" s="379"/>
      <c r="O1800" s="379"/>
      <c r="P1800" s="379"/>
      <c r="Q1800" s="379"/>
      <c r="R1800" s="379"/>
      <c r="S1800" s="379"/>
      <c r="T1800" s="379"/>
      <c r="U1800" s="379"/>
      <c r="V1800" s="379"/>
      <c r="W1800" s="379"/>
      <c r="X1800" s="379"/>
      <c r="Y1800" s="379"/>
      <c r="Z1800" s="379"/>
      <c r="AA1800" s="379"/>
      <c r="AB1800" s="379"/>
      <c r="AC1800" s="379"/>
      <c r="AD1800" s="379"/>
      <c r="AE1800" s="379"/>
      <c r="AF1800" s="379"/>
      <c r="AG1800" s="379"/>
      <c r="AH1800" s="379"/>
      <c r="AI1800" s="379"/>
      <c r="AJ1800" s="379"/>
      <c r="AK1800" s="379"/>
      <c r="AL1800" s="379"/>
      <c r="AM1800" s="379"/>
      <c r="AN1800" s="379"/>
      <c r="AO1800" s="379"/>
      <c r="AP1800" s="379"/>
      <c r="AQ1800" s="379"/>
      <c r="AR1800" s="379"/>
      <c r="AS1800" s="379"/>
      <c r="AT1800" s="379"/>
      <c r="AU1800" s="379"/>
      <c r="AV1800" s="379"/>
      <c r="AW1800" s="379"/>
      <c r="AX1800" s="379"/>
      <c r="AY1800" s="379"/>
      <c r="AZ1800" s="379"/>
      <c r="BA1800" s="379"/>
      <c r="BB1800" s="379"/>
      <c r="BC1800" s="379"/>
      <c r="BD1800" s="379"/>
      <c r="BE1800" s="379"/>
      <c r="BF1800" s="379"/>
      <c r="BG1800" s="379"/>
      <c r="BH1800" s="379"/>
      <c r="BI1800" s="379"/>
      <c r="BJ1800" s="379"/>
      <c r="BK1800" s="379"/>
      <c r="BL1800" s="379"/>
      <c r="BM1800" s="379"/>
      <c r="BN1800" s="379"/>
      <c r="BO1800" s="379"/>
      <c r="BP1800" s="379"/>
      <c r="BQ1800" s="379"/>
      <c r="BR1800" s="379"/>
      <c r="BS1800" s="379"/>
      <c r="BT1800" s="379"/>
      <c r="BU1800" s="379"/>
      <c r="BV1800" s="379"/>
      <c r="BW1800" s="379"/>
      <c r="BX1800" s="379"/>
      <c r="BY1800" s="379"/>
      <c r="BZ1800" s="379"/>
      <c r="CA1800" s="270"/>
      <c r="CB1800" s="3" t="str">
        <f t="shared" si="288"/>
        <v>Riadok bude skrytý.</v>
      </c>
      <c r="CC1800" s="271" t="s">
        <v>832</v>
      </c>
      <c r="CW1800" s="30">
        <f t="shared" si="285"/>
        <v>1</v>
      </c>
      <c r="CX1800" s="30">
        <f t="shared" si="289"/>
        <v>0</v>
      </c>
      <c r="CZ1800" s="30">
        <f t="shared" si="290"/>
        <v>1</v>
      </c>
      <c r="DA1800" s="52">
        <f t="shared" si="287"/>
        <v>0</v>
      </c>
      <c r="DB1800" s="2">
        <f t="shared" si="284"/>
        <v>0</v>
      </c>
      <c r="DS1800" s="130">
        <f>SI!BY1800</f>
        <v>160</v>
      </c>
      <c r="DZ1800" s="131">
        <f>SI!BZ1800</f>
        <v>0</v>
      </c>
    </row>
    <row r="1801" spans="1:130" hidden="1" x14ac:dyDescent="0.25">
      <c r="A1801" s="141"/>
      <c r="B1801" s="379"/>
      <c r="C1801" s="379"/>
      <c r="D1801" s="379"/>
      <c r="E1801" s="379"/>
      <c r="F1801" s="379"/>
      <c r="G1801" s="379"/>
      <c r="H1801" s="379"/>
      <c r="I1801" s="379"/>
      <c r="J1801" s="379"/>
      <c r="K1801" s="379"/>
      <c r="L1801" s="379"/>
      <c r="M1801" s="379"/>
      <c r="N1801" s="379"/>
      <c r="O1801" s="379"/>
      <c r="P1801" s="379"/>
      <c r="Q1801" s="379"/>
      <c r="R1801" s="379"/>
      <c r="S1801" s="379"/>
      <c r="T1801" s="379"/>
      <c r="U1801" s="379"/>
      <c r="V1801" s="379"/>
      <c r="W1801" s="379"/>
      <c r="X1801" s="379"/>
      <c r="Y1801" s="379"/>
      <c r="Z1801" s="379"/>
      <c r="AA1801" s="379"/>
      <c r="AB1801" s="379"/>
      <c r="AC1801" s="379"/>
      <c r="AD1801" s="379"/>
      <c r="AE1801" s="379"/>
      <c r="AF1801" s="379"/>
      <c r="AG1801" s="379"/>
      <c r="AH1801" s="379"/>
      <c r="AI1801" s="379"/>
      <c r="AJ1801" s="379"/>
      <c r="AK1801" s="379"/>
      <c r="AL1801" s="379"/>
      <c r="AM1801" s="379"/>
      <c r="AN1801" s="379"/>
      <c r="AO1801" s="379"/>
      <c r="AP1801" s="379"/>
      <c r="AQ1801" s="379"/>
      <c r="AR1801" s="379"/>
      <c r="AS1801" s="379"/>
      <c r="AT1801" s="379"/>
      <c r="AU1801" s="379"/>
      <c r="AV1801" s="379"/>
      <c r="AW1801" s="379"/>
      <c r="AX1801" s="379"/>
      <c r="AY1801" s="379"/>
      <c r="AZ1801" s="379"/>
      <c r="BA1801" s="379"/>
      <c r="BB1801" s="379"/>
      <c r="BC1801" s="379"/>
      <c r="BD1801" s="379"/>
      <c r="BE1801" s="379"/>
      <c r="BF1801" s="379"/>
      <c r="BG1801" s="379"/>
      <c r="BH1801" s="379"/>
      <c r="BI1801" s="379"/>
      <c r="BJ1801" s="379"/>
      <c r="BK1801" s="379"/>
      <c r="BL1801" s="379"/>
      <c r="BM1801" s="379"/>
      <c r="BN1801" s="379"/>
      <c r="BO1801" s="379"/>
      <c r="BP1801" s="379"/>
      <c r="BQ1801" s="379"/>
      <c r="BR1801" s="379"/>
      <c r="BS1801" s="379"/>
      <c r="BT1801" s="379"/>
      <c r="BU1801" s="379"/>
      <c r="BV1801" s="379"/>
      <c r="BW1801" s="379"/>
      <c r="BX1801" s="379"/>
      <c r="BY1801" s="379"/>
      <c r="BZ1801" s="379"/>
      <c r="CA1801" s="270"/>
      <c r="CB1801" s="3" t="str">
        <f t="shared" si="288"/>
        <v>Riadok bude skrytý.</v>
      </c>
      <c r="CC1801" s="271" t="s">
        <v>832</v>
      </c>
      <c r="CW1801" s="30">
        <f t="shared" si="285"/>
        <v>1</v>
      </c>
      <c r="CX1801" s="30">
        <f t="shared" si="289"/>
        <v>0</v>
      </c>
      <c r="CZ1801" s="30">
        <f t="shared" si="290"/>
        <v>1</v>
      </c>
      <c r="DA1801" s="52">
        <f t="shared" si="287"/>
        <v>0</v>
      </c>
      <c r="DB1801" s="2">
        <f t="shared" si="284"/>
        <v>0</v>
      </c>
      <c r="DS1801" s="130">
        <f>SI!BY1801</f>
        <v>141</v>
      </c>
      <c r="DZ1801" s="131">
        <f>SI!BZ1801</f>
        <v>0</v>
      </c>
    </row>
    <row r="1802" spans="1:130" hidden="1" x14ac:dyDescent="0.25">
      <c r="A1802" s="141"/>
      <c r="B1802" s="379"/>
      <c r="C1802" s="379"/>
      <c r="D1802" s="379"/>
      <c r="E1802" s="379"/>
      <c r="F1802" s="379"/>
      <c r="G1802" s="379"/>
      <c r="H1802" s="379"/>
      <c r="I1802" s="379"/>
      <c r="J1802" s="379"/>
      <c r="K1802" s="379"/>
      <c r="L1802" s="379"/>
      <c r="M1802" s="379"/>
      <c r="N1802" s="379"/>
      <c r="O1802" s="379"/>
      <c r="P1802" s="379"/>
      <c r="Q1802" s="379"/>
      <c r="R1802" s="379"/>
      <c r="S1802" s="379"/>
      <c r="T1802" s="379"/>
      <c r="U1802" s="379"/>
      <c r="V1802" s="379"/>
      <c r="W1802" s="379"/>
      <c r="X1802" s="379"/>
      <c r="Y1802" s="379"/>
      <c r="Z1802" s="379"/>
      <c r="AA1802" s="379"/>
      <c r="AB1802" s="379"/>
      <c r="AC1802" s="379"/>
      <c r="AD1802" s="379"/>
      <c r="AE1802" s="379"/>
      <c r="AF1802" s="379"/>
      <c r="AG1802" s="379"/>
      <c r="AH1802" s="379"/>
      <c r="AI1802" s="379"/>
      <c r="AJ1802" s="379"/>
      <c r="AK1802" s="379"/>
      <c r="AL1802" s="379"/>
      <c r="AM1802" s="379"/>
      <c r="AN1802" s="379"/>
      <c r="AO1802" s="379"/>
      <c r="AP1802" s="379"/>
      <c r="AQ1802" s="379"/>
      <c r="AR1802" s="379"/>
      <c r="AS1802" s="379"/>
      <c r="AT1802" s="379"/>
      <c r="AU1802" s="379"/>
      <c r="AV1802" s="379"/>
      <c r="AW1802" s="379"/>
      <c r="AX1802" s="379"/>
      <c r="AY1802" s="379"/>
      <c r="AZ1802" s="379"/>
      <c r="BA1802" s="379"/>
      <c r="BB1802" s="379"/>
      <c r="BC1802" s="379"/>
      <c r="BD1802" s="379"/>
      <c r="BE1802" s="379"/>
      <c r="BF1802" s="379"/>
      <c r="BG1802" s="379"/>
      <c r="BH1802" s="379"/>
      <c r="BI1802" s="379"/>
      <c r="BJ1802" s="379"/>
      <c r="BK1802" s="379"/>
      <c r="BL1802" s="379"/>
      <c r="BM1802" s="379"/>
      <c r="BN1802" s="379"/>
      <c r="BO1802" s="379"/>
      <c r="BP1802" s="379"/>
      <c r="BQ1802" s="379"/>
      <c r="BR1802" s="379"/>
      <c r="BS1802" s="379"/>
      <c r="BT1802" s="379"/>
      <c r="BU1802" s="379"/>
      <c r="BV1802" s="379"/>
      <c r="BW1802" s="379"/>
      <c r="BX1802" s="379"/>
      <c r="BY1802" s="379"/>
      <c r="BZ1802" s="379"/>
      <c r="CA1802" s="270"/>
      <c r="CB1802" s="3" t="str">
        <f t="shared" si="288"/>
        <v>Riadok bude skrytý.</v>
      </c>
      <c r="CC1802" s="271" t="s">
        <v>832</v>
      </c>
      <c r="CW1802" s="30">
        <f t="shared" si="285"/>
        <v>1</v>
      </c>
      <c r="CX1802" s="30">
        <f t="shared" si="289"/>
        <v>0</v>
      </c>
      <c r="CZ1802" s="30">
        <f t="shared" si="290"/>
        <v>1</v>
      </c>
      <c r="DA1802" s="52">
        <f t="shared" si="287"/>
        <v>0</v>
      </c>
      <c r="DB1802" s="2">
        <f t="shared" si="284"/>
        <v>0</v>
      </c>
      <c r="DS1802" s="130">
        <f>SI!BY1802</f>
        <v>135</v>
      </c>
      <c r="DZ1802" s="131">
        <f>SI!BZ1802</f>
        <v>0</v>
      </c>
    </row>
    <row r="1803" spans="1:130" hidden="1" x14ac:dyDescent="0.25">
      <c r="A1803" s="141"/>
      <c r="B1803" s="379"/>
      <c r="C1803" s="379"/>
      <c r="D1803" s="379"/>
      <c r="E1803" s="379"/>
      <c r="F1803" s="379"/>
      <c r="G1803" s="379"/>
      <c r="H1803" s="379"/>
      <c r="I1803" s="379"/>
      <c r="J1803" s="379"/>
      <c r="K1803" s="379"/>
      <c r="L1803" s="379"/>
      <c r="M1803" s="379"/>
      <c r="N1803" s="379"/>
      <c r="O1803" s="379"/>
      <c r="P1803" s="379"/>
      <c r="Q1803" s="379"/>
      <c r="R1803" s="379"/>
      <c r="S1803" s="379"/>
      <c r="T1803" s="379"/>
      <c r="U1803" s="379"/>
      <c r="V1803" s="379"/>
      <c r="W1803" s="379"/>
      <c r="X1803" s="379"/>
      <c r="Y1803" s="379"/>
      <c r="Z1803" s="379"/>
      <c r="AA1803" s="379"/>
      <c r="AB1803" s="379"/>
      <c r="AC1803" s="379"/>
      <c r="AD1803" s="379"/>
      <c r="AE1803" s="379"/>
      <c r="AF1803" s="379"/>
      <c r="AG1803" s="379"/>
      <c r="AH1803" s="379"/>
      <c r="AI1803" s="379"/>
      <c r="AJ1803" s="379"/>
      <c r="AK1803" s="379"/>
      <c r="AL1803" s="379"/>
      <c r="AM1803" s="379"/>
      <c r="AN1803" s="379"/>
      <c r="AO1803" s="379"/>
      <c r="AP1803" s="379"/>
      <c r="AQ1803" s="379"/>
      <c r="AR1803" s="379"/>
      <c r="AS1803" s="379"/>
      <c r="AT1803" s="379"/>
      <c r="AU1803" s="379"/>
      <c r="AV1803" s="379"/>
      <c r="AW1803" s="379"/>
      <c r="AX1803" s="379"/>
      <c r="AY1803" s="379"/>
      <c r="AZ1803" s="379"/>
      <c r="BA1803" s="379"/>
      <c r="BB1803" s="379"/>
      <c r="BC1803" s="379"/>
      <c r="BD1803" s="379"/>
      <c r="BE1803" s="379"/>
      <c r="BF1803" s="379"/>
      <c r="BG1803" s="379"/>
      <c r="BH1803" s="379"/>
      <c r="BI1803" s="379"/>
      <c r="BJ1803" s="379"/>
      <c r="BK1803" s="379"/>
      <c r="BL1803" s="379"/>
      <c r="BM1803" s="379"/>
      <c r="BN1803" s="379"/>
      <c r="BO1803" s="379"/>
      <c r="BP1803" s="379"/>
      <c r="BQ1803" s="379"/>
      <c r="BR1803" s="379"/>
      <c r="BS1803" s="379"/>
      <c r="BT1803" s="379"/>
      <c r="BU1803" s="379"/>
      <c r="BV1803" s="379"/>
      <c r="BW1803" s="379"/>
      <c r="BX1803" s="379"/>
      <c r="BY1803" s="379"/>
      <c r="BZ1803" s="379"/>
      <c r="CA1803" s="270"/>
      <c r="CB1803" s="3" t="str">
        <f t="shared" si="288"/>
        <v>Riadok bude skrytý.</v>
      </c>
      <c r="CC1803" s="271" t="s">
        <v>832</v>
      </c>
      <c r="CW1803" s="30">
        <f t="shared" si="285"/>
        <v>1</v>
      </c>
      <c r="CX1803" s="30">
        <f t="shared" si="289"/>
        <v>0</v>
      </c>
      <c r="CZ1803" s="30">
        <f t="shared" si="290"/>
        <v>1</v>
      </c>
      <c r="DA1803" s="52">
        <f t="shared" si="287"/>
        <v>0</v>
      </c>
      <c r="DB1803" s="2">
        <f t="shared" si="284"/>
        <v>0</v>
      </c>
      <c r="DS1803" s="130">
        <f>SI!BY1803</f>
        <v>125</v>
      </c>
      <c r="DZ1803" s="131">
        <f>SI!BZ1803</f>
        <v>0</v>
      </c>
    </row>
    <row r="1804" spans="1:130" hidden="1" x14ac:dyDescent="0.25">
      <c r="A1804" s="141"/>
      <c r="B1804" s="379"/>
      <c r="C1804" s="379"/>
      <c r="D1804" s="379"/>
      <c r="E1804" s="379"/>
      <c r="F1804" s="379"/>
      <c r="G1804" s="379"/>
      <c r="H1804" s="379"/>
      <c r="I1804" s="379"/>
      <c r="J1804" s="379"/>
      <c r="K1804" s="379"/>
      <c r="L1804" s="379"/>
      <c r="M1804" s="379"/>
      <c r="N1804" s="379"/>
      <c r="O1804" s="379"/>
      <c r="P1804" s="379"/>
      <c r="Q1804" s="379"/>
      <c r="R1804" s="379"/>
      <c r="S1804" s="379"/>
      <c r="T1804" s="379"/>
      <c r="U1804" s="379"/>
      <c r="V1804" s="379"/>
      <c r="W1804" s="379"/>
      <c r="X1804" s="379"/>
      <c r="Y1804" s="379"/>
      <c r="Z1804" s="379"/>
      <c r="AA1804" s="379"/>
      <c r="AB1804" s="379"/>
      <c r="AC1804" s="379"/>
      <c r="AD1804" s="379"/>
      <c r="AE1804" s="379"/>
      <c r="AF1804" s="379"/>
      <c r="AG1804" s="379"/>
      <c r="AH1804" s="379"/>
      <c r="AI1804" s="379"/>
      <c r="AJ1804" s="379"/>
      <c r="AK1804" s="379"/>
      <c r="AL1804" s="379"/>
      <c r="AM1804" s="379"/>
      <c r="AN1804" s="379"/>
      <c r="AO1804" s="379"/>
      <c r="AP1804" s="379"/>
      <c r="AQ1804" s="379"/>
      <c r="AR1804" s="379"/>
      <c r="AS1804" s="379"/>
      <c r="AT1804" s="379"/>
      <c r="AU1804" s="379"/>
      <c r="AV1804" s="379"/>
      <c r="AW1804" s="379"/>
      <c r="AX1804" s="379"/>
      <c r="AY1804" s="379"/>
      <c r="AZ1804" s="379"/>
      <c r="BA1804" s="379"/>
      <c r="BB1804" s="379"/>
      <c r="BC1804" s="379"/>
      <c r="BD1804" s="379"/>
      <c r="BE1804" s="379"/>
      <c r="BF1804" s="379"/>
      <c r="BG1804" s="379"/>
      <c r="BH1804" s="379"/>
      <c r="BI1804" s="379"/>
      <c r="BJ1804" s="379"/>
      <c r="BK1804" s="379"/>
      <c r="BL1804" s="379"/>
      <c r="BM1804" s="379"/>
      <c r="BN1804" s="379"/>
      <c r="BO1804" s="379"/>
      <c r="BP1804" s="379"/>
      <c r="BQ1804" s="379"/>
      <c r="BR1804" s="379"/>
      <c r="BS1804" s="379"/>
      <c r="BT1804" s="379"/>
      <c r="BU1804" s="379"/>
      <c r="BV1804" s="379"/>
      <c r="BW1804" s="379"/>
      <c r="BX1804" s="379"/>
      <c r="BY1804" s="379"/>
      <c r="BZ1804" s="379"/>
      <c r="CA1804" s="270"/>
      <c r="CB1804" s="3" t="str">
        <f t="shared" si="288"/>
        <v>Riadok bude skrytý.</v>
      </c>
      <c r="CC1804" s="271" t="s">
        <v>832</v>
      </c>
      <c r="CW1804" s="30">
        <f t="shared" si="285"/>
        <v>1</v>
      </c>
      <c r="CX1804" s="30">
        <f t="shared" si="289"/>
        <v>0</v>
      </c>
      <c r="CZ1804" s="30">
        <f t="shared" si="290"/>
        <v>1</v>
      </c>
      <c r="DA1804" s="52">
        <f t="shared" si="287"/>
        <v>0</v>
      </c>
      <c r="DB1804" s="2">
        <f t="shared" si="284"/>
        <v>0</v>
      </c>
      <c r="DS1804" s="130">
        <f>SI!BY1804</f>
        <v>189</v>
      </c>
      <c r="DZ1804" s="131">
        <f>SI!BZ1804</f>
        <v>0</v>
      </c>
    </row>
    <row r="1805" spans="1:130" hidden="1" x14ac:dyDescent="0.25">
      <c r="A1805" s="141"/>
      <c r="B1805" s="379"/>
      <c r="C1805" s="379"/>
      <c r="D1805" s="379"/>
      <c r="E1805" s="379"/>
      <c r="F1805" s="379"/>
      <c r="G1805" s="379"/>
      <c r="H1805" s="379"/>
      <c r="I1805" s="379"/>
      <c r="J1805" s="379"/>
      <c r="K1805" s="379"/>
      <c r="L1805" s="379"/>
      <c r="M1805" s="379"/>
      <c r="N1805" s="379"/>
      <c r="O1805" s="379"/>
      <c r="P1805" s="379"/>
      <c r="Q1805" s="379"/>
      <c r="R1805" s="379"/>
      <c r="S1805" s="379"/>
      <c r="T1805" s="379"/>
      <c r="U1805" s="379"/>
      <c r="V1805" s="379"/>
      <c r="W1805" s="379"/>
      <c r="X1805" s="379"/>
      <c r="Y1805" s="379"/>
      <c r="Z1805" s="379"/>
      <c r="AA1805" s="379"/>
      <c r="AB1805" s="379"/>
      <c r="AC1805" s="379"/>
      <c r="AD1805" s="379"/>
      <c r="AE1805" s="379"/>
      <c r="AF1805" s="379"/>
      <c r="AG1805" s="379"/>
      <c r="AH1805" s="379"/>
      <c r="AI1805" s="379"/>
      <c r="AJ1805" s="379"/>
      <c r="AK1805" s="379"/>
      <c r="AL1805" s="379"/>
      <c r="AM1805" s="379"/>
      <c r="AN1805" s="379"/>
      <c r="AO1805" s="379"/>
      <c r="AP1805" s="379"/>
      <c r="AQ1805" s="379"/>
      <c r="AR1805" s="379"/>
      <c r="AS1805" s="379"/>
      <c r="AT1805" s="379"/>
      <c r="AU1805" s="379"/>
      <c r="AV1805" s="379"/>
      <c r="AW1805" s="379"/>
      <c r="AX1805" s="379"/>
      <c r="AY1805" s="379"/>
      <c r="AZ1805" s="379"/>
      <c r="BA1805" s="379"/>
      <c r="BB1805" s="379"/>
      <c r="BC1805" s="379"/>
      <c r="BD1805" s="379"/>
      <c r="BE1805" s="379"/>
      <c r="BF1805" s="379"/>
      <c r="BG1805" s="379"/>
      <c r="BH1805" s="379"/>
      <c r="BI1805" s="379"/>
      <c r="BJ1805" s="379"/>
      <c r="BK1805" s="379"/>
      <c r="BL1805" s="379"/>
      <c r="BM1805" s="379"/>
      <c r="BN1805" s="379"/>
      <c r="BO1805" s="379"/>
      <c r="BP1805" s="379"/>
      <c r="BQ1805" s="379"/>
      <c r="BR1805" s="379"/>
      <c r="BS1805" s="379"/>
      <c r="BT1805" s="379"/>
      <c r="BU1805" s="379"/>
      <c r="BV1805" s="379"/>
      <c r="BW1805" s="379"/>
      <c r="BX1805" s="379"/>
      <c r="BY1805" s="379"/>
      <c r="BZ1805" s="379"/>
      <c r="CA1805" s="270"/>
      <c r="CB1805" s="3" t="str">
        <f t="shared" si="288"/>
        <v>Riadok bude skrytý.</v>
      </c>
      <c r="CC1805" s="271" t="s">
        <v>832</v>
      </c>
      <c r="CW1805" s="30">
        <f t="shared" si="285"/>
        <v>1</v>
      </c>
      <c r="CX1805" s="30">
        <f t="shared" si="289"/>
        <v>0</v>
      </c>
      <c r="CZ1805" s="30">
        <f t="shared" si="290"/>
        <v>1</v>
      </c>
      <c r="DA1805" s="52">
        <f t="shared" si="287"/>
        <v>0</v>
      </c>
      <c r="DB1805" s="2">
        <f t="shared" si="284"/>
        <v>0</v>
      </c>
      <c r="DS1805" s="130">
        <f>SI!BY1805</f>
        <v>172</v>
      </c>
      <c r="DZ1805" s="131">
        <f>SI!BZ1805</f>
        <v>0</v>
      </c>
    </row>
    <row r="1806" spans="1:130" hidden="1" x14ac:dyDescent="0.25">
      <c r="A1806" s="141"/>
      <c r="CA1806" s="270"/>
      <c r="CB1806" s="3" t="str">
        <f t="shared" si="288"/>
        <v>Riadok bude skrytý.</v>
      </c>
      <c r="CC1806" s="271" t="s">
        <v>832</v>
      </c>
      <c r="CW1806" s="49">
        <v>1</v>
      </c>
      <c r="CZ1806" s="30">
        <f t="shared" si="290"/>
        <v>1</v>
      </c>
      <c r="DA1806" s="30">
        <f>+IF(CW1806+CX1806+CY1806=0,0,IF(CZ1806=0,0,1))</f>
        <v>1</v>
      </c>
      <c r="DB1806" s="2">
        <f t="shared" si="284"/>
        <v>0</v>
      </c>
      <c r="DS1806" s="130">
        <f>SI!BY1806</f>
        <v>120</v>
      </c>
      <c r="DZ1806" s="131">
        <f>SI!BZ1806</f>
        <v>0</v>
      </c>
    </row>
    <row r="1807" spans="1:130" hidden="1" x14ac:dyDescent="0.25">
      <c r="A1807" s="141"/>
      <c r="B1807" s="289" t="s">
        <v>260</v>
      </c>
      <c r="C1807" s="288"/>
      <c r="D1807" s="288"/>
      <c r="E1807" s="288"/>
      <c r="F1807" s="288"/>
      <c r="G1807" s="289" t="s">
        <v>1023</v>
      </c>
      <c r="H1807" s="289"/>
      <c r="I1807" s="288"/>
      <c r="J1807" s="288"/>
      <c r="K1807" s="288"/>
      <c r="L1807" s="288"/>
      <c r="M1807" s="288"/>
      <c r="N1807" s="288"/>
      <c r="O1807" s="288"/>
      <c r="P1807" s="288"/>
      <c r="Q1807" s="288"/>
      <c r="R1807" s="288"/>
      <c r="S1807" s="288"/>
      <c r="T1807" s="288"/>
      <c r="U1807" s="288"/>
      <c r="V1807" s="288"/>
      <c r="W1807" s="288"/>
      <c r="X1807" s="288"/>
      <c r="Y1807" s="288"/>
      <c r="Z1807" s="288"/>
      <c r="AA1807" s="288"/>
      <c r="AB1807" s="288"/>
      <c r="AC1807" s="288"/>
      <c r="AD1807" s="288"/>
      <c r="AE1807" s="288"/>
      <c r="AF1807" s="288"/>
      <c r="AG1807" s="288"/>
      <c r="AH1807" s="288"/>
      <c r="AI1807" s="288"/>
      <c r="AJ1807" s="288"/>
      <c r="AK1807" s="288"/>
      <c r="AL1807" s="288"/>
      <c r="AM1807" s="288"/>
      <c r="AN1807" s="288"/>
      <c r="AO1807" s="288"/>
      <c r="AP1807" s="288"/>
      <c r="AQ1807" s="288"/>
      <c r="AR1807" s="288"/>
      <c r="AS1807" s="288"/>
      <c r="AT1807" s="288"/>
      <c r="AU1807" s="288"/>
      <c r="AV1807" s="288"/>
      <c r="AW1807" s="288"/>
      <c r="AX1807" s="288"/>
      <c r="AY1807" s="288"/>
      <c r="AZ1807" s="288"/>
      <c r="BA1807" s="288"/>
      <c r="BB1807" s="288"/>
      <c r="BC1807" s="288"/>
      <c r="BD1807" s="288"/>
      <c r="BE1807" s="288"/>
      <c r="BF1807" s="288"/>
      <c r="BG1807" s="288"/>
      <c r="BH1807" s="288"/>
      <c r="BI1807" s="288"/>
      <c r="BJ1807" s="288"/>
      <c r="BK1807" s="288"/>
      <c r="BL1807" s="288"/>
      <c r="BM1807" s="288"/>
      <c r="BN1807" s="288"/>
      <c r="BO1807" s="288"/>
      <c r="BP1807" s="288"/>
      <c r="BQ1807" s="288"/>
      <c r="BR1807" s="288"/>
      <c r="BS1807" s="288"/>
      <c r="BT1807" s="288"/>
      <c r="BU1807" s="288"/>
      <c r="BV1807" s="288"/>
      <c r="BW1807" s="288"/>
      <c r="BX1807" s="288"/>
      <c r="BY1807" s="288"/>
      <c r="BZ1807" s="288"/>
      <c r="CA1807" s="265" t="s">
        <v>773</v>
      </c>
      <c r="CB1807" s="3" t="str">
        <f t="shared" si="288"/>
        <v>Riadok bude skrytý.</v>
      </c>
      <c r="CD1807" s="4"/>
      <c r="CE1807" s="4"/>
      <c r="CW1807" s="49">
        <v>1</v>
      </c>
      <c r="CZ1807" s="30">
        <f>IF(CC1807="",1,IF(CC1807="Chcem skryť riadok.",0,1))</f>
        <v>1</v>
      </c>
      <c r="DA1807" s="30">
        <f>+IF(CW1807+CX1807+CY1807=0,0,IF(CZ1807=0,0,1))</f>
        <v>1</v>
      </c>
      <c r="DB1807" s="2">
        <f t="shared" si="284"/>
        <v>0</v>
      </c>
      <c r="DZ1807" s="131"/>
    </row>
    <row r="1808" spans="1:130" hidden="1" x14ac:dyDescent="0.25">
      <c r="A1808" s="141"/>
      <c r="CA1808" s="270"/>
      <c r="CB1808" s="3" t="str">
        <f t="shared" si="288"/>
        <v>Riadok bude skrytý.</v>
      </c>
      <c r="CW1808" s="49">
        <v>1</v>
      </c>
      <c r="CZ1808" s="30">
        <f>IF(CC1808="",1,IF(CC1808="Chcem skryť riadok.",0,1))</f>
        <v>1</v>
      </c>
      <c r="DA1808" s="30">
        <f>+IF(CW1808+CX1808+CY1808=0,0,IF(CZ1808=0,0,1))</f>
        <v>1</v>
      </c>
      <c r="DB1808" s="2">
        <f t="shared" si="284"/>
        <v>0</v>
      </c>
      <c r="DZ1808" s="131"/>
    </row>
    <row r="1809" spans="1:130" hidden="1" x14ac:dyDescent="0.25">
      <c r="A1809" s="141"/>
      <c r="B1809" s="137" t="str">
        <f>+IF(J1810="neeviduje","Spoločnosť nemá pre túto časť obsahovú náplň.","")</f>
        <v>Spoločnosť nemá pre túto časť obsahovú náplň.</v>
      </c>
      <c r="CA1809" s="142"/>
      <c r="CB1809" s="3" t="str">
        <f t="shared" si="288"/>
        <v>Riadok bude skrytý.</v>
      </c>
      <c r="CC1809" s="271" t="s">
        <v>832</v>
      </c>
      <c r="CW1809" s="30">
        <f>+IF($J$1810="neeviduje",1,0)</f>
        <v>1</v>
      </c>
      <c r="CZ1809" s="30">
        <f t="shared" ref="CZ1809:CZ1872" si="291">IF(CC1809="",1,IF(CC1809="Chcem skryť riadok.",0,1))</f>
        <v>1</v>
      </c>
      <c r="DA1809" s="30">
        <f>+IF(CW1809+CX1809+CY1809=0,0,IF(CZ1809=0,0,1))</f>
        <v>1</v>
      </c>
      <c r="DB1809" s="2">
        <f t="shared" si="284"/>
        <v>0</v>
      </c>
      <c r="DZ1809" s="131"/>
    </row>
    <row r="1810" spans="1:130" hidden="1" x14ac:dyDescent="0.25">
      <c r="A1810" s="141"/>
      <c r="B1810" s="137" t="s">
        <v>208</v>
      </c>
      <c r="J1810" s="378" t="s">
        <v>1063</v>
      </c>
      <c r="K1810" s="378"/>
      <c r="L1810" s="378"/>
      <c r="M1810" s="378"/>
      <c r="N1810" s="378"/>
      <c r="O1810" s="378"/>
      <c r="P1810" s="378"/>
      <c r="Q1810" s="378"/>
      <c r="R1810" s="378"/>
      <c r="S1810" s="137" t="str">
        <f>+IF(J1810="eviduje","vlastné akcie.","vlastné akcie.")</f>
        <v>vlastné akcie.</v>
      </c>
      <c r="T1810" s="38"/>
      <c r="CA1810" s="142"/>
      <c r="CB1810" s="3" t="str">
        <f t="shared" si="288"/>
        <v>Riadok bude skrytý.</v>
      </c>
      <c r="CC1810" s="271" t="s">
        <v>832</v>
      </c>
      <c r="CF1810" s="133"/>
      <c r="CW1810" s="30">
        <f t="shared" ref="CW1810:CW1873" si="292">+IF($J$1810="neeviduje",0,1)</f>
        <v>0</v>
      </c>
      <c r="CZ1810" s="30">
        <f t="shared" si="291"/>
        <v>1</v>
      </c>
      <c r="DA1810" s="30">
        <f>+IF(CW1810+CX1810+CY1810=0,0,IF(CZ1810=0,0,1))</f>
        <v>0</v>
      </c>
      <c r="DB1810" s="140">
        <f t="shared" ref="DB1810:DB1873" si="293">+DA1810</f>
        <v>0</v>
      </c>
      <c r="DZ1810" s="131"/>
    </row>
    <row r="1811" spans="1:130" hidden="1" x14ac:dyDescent="0.25">
      <c r="A1811" s="141"/>
      <c r="B1811" s="137" t="str">
        <f>+IF(J1810="eviduje","K dôvodu nadobudnutia vlastných akcií Spoločnosť uvádza:","")</f>
        <v/>
      </c>
      <c r="CA1811" s="142"/>
      <c r="CB1811" s="3" t="str">
        <f t="shared" si="288"/>
        <v>Riadok bude skrytý.</v>
      </c>
      <c r="CC1811" s="271" t="s">
        <v>832</v>
      </c>
      <c r="CW1811" s="30">
        <f t="shared" si="292"/>
        <v>0</v>
      </c>
      <c r="CX1811" s="30">
        <f>+IF(SUM(CX1812:CX1831)=0,0,1)</f>
        <v>0</v>
      </c>
      <c r="CZ1811" s="30">
        <f t="shared" si="291"/>
        <v>1</v>
      </c>
      <c r="DA1811" s="52">
        <f t="shared" ref="DA1811:DA1874" si="294">+IF(CW1811*CX1811=0,0,IF(CZ1811=0,0,1))</f>
        <v>0</v>
      </c>
      <c r="DB1811" s="140">
        <f t="shared" si="293"/>
        <v>0</v>
      </c>
      <c r="DZ1811" s="131"/>
    </row>
    <row r="1812" spans="1:130" hidden="1" x14ac:dyDescent="0.25">
      <c r="A1812" s="141"/>
      <c r="B1812" s="379"/>
      <c r="C1812" s="379"/>
      <c r="D1812" s="379"/>
      <c r="E1812" s="379"/>
      <c r="F1812" s="379"/>
      <c r="G1812" s="379"/>
      <c r="H1812" s="379"/>
      <c r="I1812" s="379"/>
      <c r="J1812" s="379"/>
      <c r="K1812" s="379"/>
      <c r="L1812" s="379"/>
      <c r="M1812" s="379"/>
      <c r="N1812" s="379"/>
      <c r="O1812" s="379"/>
      <c r="P1812" s="379"/>
      <c r="Q1812" s="379"/>
      <c r="R1812" s="379"/>
      <c r="S1812" s="379"/>
      <c r="T1812" s="379"/>
      <c r="U1812" s="379"/>
      <c r="V1812" s="379"/>
      <c r="W1812" s="379"/>
      <c r="X1812" s="379"/>
      <c r="Y1812" s="379"/>
      <c r="Z1812" s="379"/>
      <c r="AA1812" s="379"/>
      <c r="AB1812" s="379"/>
      <c r="AC1812" s="379"/>
      <c r="AD1812" s="379"/>
      <c r="AE1812" s="379"/>
      <c r="AF1812" s="379"/>
      <c r="AG1812" s="379"/>
      <c r="AH1812" s="379"/>
      <c r="AI1812" s="379"/>
      <c r="AJ1812" s="379"/>
      <c r="AK1812" s="379"/>
      <c r="AL1812" s="379"/>
      <c r="AM1812" s="379"/>
      <c r="AN1812" s="379"/>
      <c r="AO1812" s="379"/>
      <c r="AP1812" s="379"/>
      <c r="AQ1812" s="379"/>
      <c r="AR1812" s="379"/>
      <c r="AS1812" s="379"/>
      <c r="AT1812" s="379"/>
      <c r="AU1812" s="379"/>
      <c r="AV1812" s="379"/>
      <c r="AW1812" s="379"/>
      <c r="AX1812" s="379"/>
      <c r="AY1812" s="379"/>
      <c r="AZ1812" s="379"/>
      <c r="BA1812" s="379"/>
      <c r="BB1812" s="379"/>
      <c r="BC1812" s="379"/>
      <c r="BD1812" s="379"/>
      <c r="BE1812" s="379"/>
      <c r="BF1812" s="379"/>
      <c r="BG1812" s="379"/>
      <c r="BH1812" s="379"/>
      <c r="BI1812" s="379"/>
      <c r="BJ1812" s="379"/>
      <c r="BK1812" s="379"/>
      <c r="BL1812" s="379"/>
      <c r="BM1812" s="379"/>
      <c r="BN1812" s="379"/>
      <c r="BO1812" s="379"/>
      <c r="BP1812" s="379"/>
      <c r="BQ1812" s="379"/>
      <c r="BR1812" s="379"/>
      <c r="BS1812" s="379"/>
      <c r="BT1812" s="379"/>
      <c r="BU1812" s="379"/>
      <c r="BV1812" s="379"/>
      <c r="BW1812" s="379"/>
      <c r="BX1812" s="379"/>
      <c r="BY1812" s="379"/>
      <c r="BZ1812" s="379"/>
      <c r="CA1812" s="281"/>
      <c r="CB1812" s="3" t="str">
        <f t="shared" si="288"/>
        <v>Riadok bude skrytý.</v>
      </c>
      <c r="CC1812" s="271" t="s">
        <v>832</v>
      </c>
      <c r="CW1812" s="30">
        <f t="shared" si="292"/>
        <v>0</v>
      </c>
      <c r="CX1812" s="30">
        <f t="shared" ref="CX1812:CX1831" si="295">+IF(B1812="",0,1)</f>
        <v>0</v>
      </c>
      <c r="CZ1812" s="30">
        <f t="shared" si="291"/>
        <v>1</v>
      </c>
      <c r="DA1812" s="52">
        <f t="shared" si="294"/>
        <v>0</v>
      </c>
      <c r="DB1812" s="140">
        <f t="shared" si="293"/>
        <v>0</v>
      </c>
      <c r="DZ1812" s="131"/>
    </row>
    <row r="1813" spans="1:130" hidden="1" x14ac:dyDescent="0.25">
      <c r="A1813" s="141"/>
      <c r="B1813" s="379"/>
      <c r="C1813" s="379"/>
      <c r="D1813" s="379"/>
      <c r="E1813" s="379"/>
      <c r="F1813" s="379"/>
      <c r="G1813" s="379"/>
      <c r="H1813" s="379"/>
      <c r="I1813" s="379"/>
      <c r="J1813" s="379"/>
      <c r="K1813" s="379"/>
      <c r="L1813" s="379"/>
      <c r="M1813" s="379"/>
      <c r="N1813" s="379"/>
      <c r="O1813" s="379"/>
      <c r="P1813" s="379"/>
      <c r="Q1813" s="379"/>
      <c r="R1813" s="379"/>
      <c r="S1813" s="379"/>
      <c r="T1813" s="379"/>
      <c r="U1813" s="379"/>
      <c r="V1813" s="379"/>
      <c r="W1813" s="379"/>
      <c r="X1813" s="379"/>
      <c r="Y1813" s="379"/>
      <c r="Z1813" s="379"/>
      <c r="AA1813" s="379"/>
      <c r="AB1813" s="379"/>
      <c r="AC1813" s="379"/>
      <c r="AD1813" s="379"/>
      <c r="AE1813" s="379"/>
      <c r="AF1813" s="379"/>
      <c r="AG1813" s="379"/>
      <c r="AH1813" s="379"/>
      <c r="AI1813" s="379"/>
      <c r="AJ1813" s="379"/>
      <c r="AK1813" s="379"/>
      <c r="AL1813" s="379"/>
      <c r="AM1813" s="379"/>
      <c r="AN1813" s="379"/>
      <c r="AO1813" s="379"/>
      <c r="AP1813" s="379"/>
      <c r="AQ1813" s="379"/>
      <c r="AR1813" s="379"/>
      <c r="AS1813" s="379"/>
      <c r="AT1813" s="379"/>
      <c r="AU1813" s="379"/>
      <c r="AV1813" s="379"/>
      <c r="AW1813" s="379"/>
      <c r="AX1813" s="379"/>
      <c r="AY1813" s="379"/>
      <c r="AZ1813" s="379"/>
      <c r="BA1813" s="379"/>
      <c r="BB1813" s="379"/>
      <c r="BC1813" s="379"/>
      <c r="BD1813" s="379"/>
      <c r="BE1813" s="379"/>
      <c r="BF1813" s="379"/>
      <c r="BG1813" s="379"/>
      <c r="BH1813" s="379"/>
      <c r="BI1813" s="379"/>
      <c r="BJ1813" s="379"/>
      <c r="BK1813" s="379"/>
      <c r="BL1813" s="379"/>
      <c r="BM1813" s="379"/>
      <c r="BN1813" s="379"/>
      <c r="BO1813" s="379"/>
      <c r="BP1813" s="379"/>
      <c r="BQ1813" s="379"/>
      <c r="BR1813" s="379"/>
      <c r="BS1813" s="379"/>
      <c r="BT1813" s="379"/>
      <c r="BU1813" s="379"/>
      <c r="BV1813" s="379"/>
      <c r="BW1813" s="379"/>
      <c r="BX1813" s="379"/>
      <c r="BY1813" s="379"/>
      <c r="BZ1813" s="379"/>
      <c r="CA1813" s="281"/>
      <c r="CB1813" s="3" t="str">
        <f t="shared" si="288"/>
        <v>Riadok bude skrytý.</v>
      </c>
      <c r="CC1813" s="271" t="s">
        <v>832</v>
      </c>
      <c r="CW1813" s="30">
        <f t="shared" si="292"/>
        <v>0</v>
      </c>
      <c r="CX1813" s="30">
        <f t="shared" si="295"/>
        <v>0</v>
      </c>
      <c r="CZ1813" s="30">
        <f t="shared" si="291"/>
        <v>1</v>
      </c>
      <c r="DA1813" s="52">
        <f t="shared" si="294"/>
        <v>0</v>
      </c>
      <c r="DB1813" s="140">
        <f t="shared" si="293"/>
        <v>0</v>
      </c>
      <c r="DZ1813" s="131"/>
    </row>
    <row r="1814" spans="1:130" hidden="1" x14ac:dyDescent="0.25">
      <c r="A1814" s="141"/>
      <c r="B1814" s="379"/>
      <c r="C1814" s="379"/>
      <c r="D1814" s="379"/>
      <c r="E1814" s="379"/>
      <c r="F1814" s="379"/>
      <c r="G1814" s="379"/>
      <c r="H1814" s="379"/>
      <c r="I1814" s="379"/>
      <c r="J1814" s="379"/>
      <c r="K1814" s="379"/>
      <c r="L1814" s="379"/>
      <c r="M1814" s="379"/>
      <c r="N1814" s="379"/>
      <c r="O1814" s="379"/>
      <c r="P1814" s="379"/>
      <c r="Q1814" s="379"/>
      <c r="R1814" s="379"/>
      <c r="S1814" s="379"/>
      <c r="T1814" s="379"/>
      <c r="U1814" s="379"/>
      <c r="V1814" s="379"/>
      <c r="W1814" s="379"/>
      <c r="X1814" s="379"/>
      <c r="Y1814" s="379"/>
      <c r="Z1814" s="379"/>
      <c r="AA1814" s="379"/>
      <c r="AB1814" s="379"/>
      <c r="AC1814" s="379"/>
      <c r="AD1814" s="379"/>
      <c r="AE1814" s="379"/>
      <c r="AF1814" s="379"/>
      <c r="AG1814" s="379"/>
      <c r="AH1814" s="379"/>
      <c r="AI1814" s="379"/>
      <c r="AJ1814" s="379"/>
      <c r="AK1814" s="379"/>
      <c r="AL1814" s="379"/>
      <c r="AM1814" s="379"/>
      <c r="AN1814" s="379"/>
      <c r="AO1814" s="379"/>
      <c r="AP1814" s="379"/>
      <c r="AQ1814" s="379"/>
      <c r="AR1814" s="379"/>
      <c r="AS1814" s="379"/>
      <c r="AT1814" s="379"/>
      <c r="AU1814" s="379"/>
      <c r="AV1814" s="379"/>
      <c r="AW1814" s="379"/>
      <c r="AX1814" s="379"/>
      <c r="AY1814" s="379"/>
      <c r="AZ1814" s="379"/>
      <c r="BA1814" s="379"/>
      <c r="BB1814" s="379"/>
      <c r="BC1814" s="379"/>
      <c r="BD1814" s="379"/>
      <c r="BE1814" s="379"/>
      <c r="BF1814" s="379"/>
      <c r="BG1814" s="379"/>
      <c r="BH1814" s="379"/>
      <c r="BI1814" s="379"/>
      <c r="BJ1814" s="379"/>
      <c r="BK1814" s="379"/>
      <c r="BL1814" s="379"/>
      <c r="BM1814" s="379"/>
      <c r="BN1814" s="379"/>
      <c r="BO1814" s="379"/>
      <c r="BP1814" s="379"/>
      <c r="BQ1814" s="379"/>
      <c r="BR1814" s="379"/>
      <c r="BS1814" s="379"/>
      <c r="BT1814" s="379"/>
      <c r="BU1814" s="379"/>
      <c r="BV1814" s="379"/>
      <c r="BW1814" s="379"/>
      <c r="BX1814" s="379"/>
      <c r="BY1814" s="379"/>
      <c r="BZ1814" s="379"/>
      <c r="CA1814" s="281"/>
      <c r="CB1814" s="3" t="str">
        <f t="shared" si="288"/>
        <v>Riadok bude skrytý.</v>
      </c>
      <c r="CC1814" s="271" t="s">
        <v>832</v>
      </c>
      <c r="CW1814" s="30">
        <f t="shared" si="292"/>
        <v>0</v>
      </c>
      <c r="CX1814" s="30">
        <f t="shared" si="295"/>
        <v>0</v>
      </c>
      <c r="CZ1814" s="30">
        <f t="shared" si="291"/>
        <v>1</v>
      </c>
      <c r="DA1814" s="52">
        <f t="shared" si="294"/>
        <v>0</v>
      </c>
      <c r="DB1814" s="140">
        <f t="shared" si="293"/>
        <v>0</v>
      </c>
      <c r="DZ1814" s="131"/>
    </row>
    <row r="1815" spans="1:130" hidden="1" x14ac:dyDescent="0.25">
      <c r="A1815" s="141"/>
      <c r="B1815" s="379"/>
      <c r="C1815" s="379"/>
      <c r="D1815" s="379"/>
      <c r="E1815" s="379"/>
      <c r="F1815" s="379"/>
      <c r="G1815" s="379"/>
      <c r="H1815" s="379"/>
      <c r="I1815" s="379"/>
      <c r="J1815" s="379"/>
      <c r="K1815" s="379"/>
      <c r="L1815" s="379"/>
      <c r="M1815" s="379"/>
      <c r="N1815" s="379"/>
      <c r="O1815" s="379"/>
      <c r="P1815" s="379"/>
      <c r="Q1815" s="379"/>
      <c r="R1815" s="379"/>
      <c r="S1815" s="379"/>
      <c r="T1815" s="379"/>
      <c r="U1815" s="379"/>
      <c r="V1815" s="379"/>
      <c r="W1815" s="379"/>
      <c r="X1815" s="379"/>
      <c r="Y1815" s="379"/>
      <c r="Z1815" s="379"/>
      <c r="AA1815" s="379"/>
      <c r="AB1815" s="379"/>
      <c r="AC1815" s="379"/>
      <c r="AD1815" s="379"/>
      <c r="AE1815" s="379"/>
      <c r="AF1815" s="379"/>
      <c r="AG1815" s="379"/>
      <c r="AH1815" s="379"/>
      <c r="AI1815" s="379"/>
      <c r="AJ1815" s="379"/>
      <c r="AK1815" s="379"/>
      <c r="AL1815" s="379"/>
      <c r="AM1815" s="379"/>
      <c r="AN1815" s="379"/>
      <c r="AO1815" s="379"/>
      <c r="AP1815" s="379"/>
      <c r="AQ1815" s="379"/>
      <c r="AR1815" s="379"/>
      <c r="AS1815" s="379"/>
      <c r="AT1815" s="379"/>
      <c r="AU1815" s="379"/>
      <c r="AV1815" s="379"/>
      <c r="AW1815" s="379"/>
      <c r="AX1815" s="379"/>
      <c r="AY1815" s="379"/>
      <c r="AZ1815" s="379"/>
      <c r="BA1815" s="379"/>
      <c r="BB1815" s="379"/>
      <c r="BC1815" s="379"/>
      <c r="BD1815" s="379"/>
      <c r="BE1815" s="379"/>
      <c r="BF1815" s="379"/>
      <c r="BG1815" s="379"/>
      <c r="BH1815" s="379"/>
      <c r="BI1815" s="379"/>
      <c r="BJ1815" s="379"/>
      <c r="BK1815" s="379"/>
      <c r="BL1815" s="379"/>
      <c r="BM1815" s="379"/>
      <c r="BN1815" s="379"/>
      <c r="BO1815" s="379"/>
      <c r="BP1815" s="379"/>
      <c r="BQ1815" s="379"/>
      <c r="BR1815" s="379"/>
      <c r="BS1815" s="379"/>
      <c r="BT1815" s="379"/>
      <c r="BU1815" s="379"/>
      <c r="BV1815" s="379"/>
      <c r="BW1815" s="379"/>
      <c r="BX1815" s="379"/>
      <c r="BY1815" s="379"/>
      <c r="BZ1815" s="379"/>
      <c r="CA1815" s="281"/>
      <c r="CB1815" s="3" t="str">
        <f t="shared" si="288"/>
        <v>Riadok bude skrytý.</v>
      </c>
      <c r="CC1815" s="271" t="s">
        <v>832</v>
      </c>
      <c r="CW1815" s="30">
        <f t="shared" si="292"/>
        <v>0</v>
      </c>
      <c r="CX1815" s="30">
        <f t="shared" si="295"/>
        <v>0</v>
      </c>
      <c r="CZ1815" s="30">
        <f t="shared" si="291"/>
        <v>1</v>
      </c>
      <c r="DA1815" s="52">
        <f t="shared" si="294"/>
        <v>0</v>
      </c>
      <c r="DB1815" s="140">
        <f t="shared" si="293"/>
        <v>0</v>
      </c>
      <c r="DZ1815" s="131"/>
    </row>
    <row r="1816" spans="1:130" hidden="1" x14ac:dyDescent="0.25">
      <c r="A1816" s="141"/>
      <c r="B1816" s="379"/>
      <c r="C1816" s="379"/>
      <c r="D1816" s="379"/>
      <c r="E1816" s="379"/>
      <c r="F1816" s="379"/>
      <c r="G1816" s="379"/>
      <c r="H1816" s="379"/>
      <c r="I1816" s="379"/>
      <c r="J1816" s="379"/>
      <c r="K1816" s="379"/>
      <c r="L1816" s="379"/>
      <c r="M1816" s="379"/>
      <c r="N1816" s="379"/>
      <c r="O1816" s="379"/>
      <c r="P1816" s="379"/>
      <c r="Q1816" s="379"/>
      <c r="R1816" s="379"/>
      <c r="S1816" s="379"/>
      <c r="T1816" s="379"/>
      <c r="U1816" s="379"/>
      <c r="V1816" s="379"/>
      <c r="W1816" s="379"/>
      <c r="X1816" s="379"/>
      <c r="Y1816" s="379"/>
      <c r="Z1816" s="379"/>
      <c r="AA1816" s="379"/>
      <c r="AB1816" s="379"/>
      <c r="AC1816" s="379"/>
      <c r="AD1816" s="379"/>
      <c r="AE1816" s="379"/>
      <c r="AF1816" s="379"/>
      <c r="AG1816" s="379"/>
      <c r="AH1816" s="379"/>
      <c r="AI1816" s="379"/>
      <c r="AJ1816" s="379"/>
      <c r="AK1816" s="379"/>
      <c r="AL1816" s="379"/>
      <c r="AM1816" s="379"/>
      <c r="AN1816" s="379"/>
      <c r="AO1816" s="379"/>
      <c r="AP1816" s="379"/>
      <c r="AQ1816" s="379"/>
      <c r="AR1816" s="379"/>
      <c r="AS1816" s="379"/>
      <c r="AT1816" s="379"/>
      <c r="AU1816" s="379"/>
      <c r="AV1816" s="379"/>
      <c r="AW1816" s="379"/>
      <c r="AX1816" s="379"/>
      <c r="AY1816" s="379"/>
      <c r="AZ1816" s="379"/>
      <c r="BA1816" s="379"/>
      <c r="BB1816" s="379"/>
      <c r="BC1816" s="379"/>
      <c r="BD1816" s="379"/>
      <c r="BE1816" s="379"/>
      <c r="BF1816" s="379"/>
      <c r="BG1816" s="379"/>
      <c r="BH1816" s="379"/>
      <c r="BI1816" s="379"/>
      <c r="BJ1816" s="379"/>
      <c r="BK1816" s="379"/>
      <c r="BL1816" s="379"/>
      <c r="BM1816" s="379"/>
      <c r="BN1816" s="379"/>
      <c r="BO1816" s="379"/>
      <c r="BP1816" s="379"/>
      <c r="BQ1816" s="379"/>
      <c r="BR1816" s="379"/>
      <c r="BS1816" s="379"/>
      <c r="BT1816" s="379"/>
      <c r="BU1816" s="379"/>
      <c r="BV1816" s="379"/>
      <c r="BW1816" s="379"/>
      <c r="BX1816" s="379"/>
      <c r="BY1816" s="379"/>
      <c r="BZ1816" s="379"/>
      <c r="CA1816" s="281"/>
      <c r="CB1816" s="3" t="str">
        <f t="shared" si="288"/>
        <v>Riadok bude skrytý.</v>
      </c>
      <c r="CC1816" s="271" t="s">
        <v>832</v>
      </c>
      <c r="CW1816" s="30">
        <f t="shared" si="292"/>
        <v>0</v>
      </c>
      <c r="CX1816" s="30">
        <f t="shared" si="295"/>
        <v>0</v>
      </c>
      <c r="CZ1816" s="30">
        <f t="shared" si="291"/>
        <v>1</v>
      </c>
      <c r="DA1816" s="52">
        <f t="shared" si="294"/>
        <v>0</v>
      </c>
      <c r="DB1816" s="140">
        <f t="shared" si="293"/>
        <v>0</v>
      </c>
      <c r="DZ1816" s="131"/>
    </row>
    <row r="1817" spans="1:130" hidden="1" x14ac:dyDescent="0.25">
      <c r="A1817" s="141"/>
      <c r="B1817" s="379"/>
      <c r="C1817" s="379"/>
      <c r="D1817" s="379"/>
      <c r="E1817" s="379"/>
      <c r="F1817" s="379"/>
      <c r="G1817" s="379"/>
      <c r="H1817" s="379"/>
      <c r="I1817" s="379"/>
      <c r="J1817" s="379"/>
      <c r="K1817" s="379"/>
      <c r="L1817" s="379"/>
      <c r="M1817" s="379"/>
      <c r="N1817" s="379"/>
      <c r="O1817" s="379"/>
      <c r="P1817" s="379"/>
      <c r="Q1817" s="379"/>
      <c r="R1817" s="379"/>
      <c r="S1817" s="379"/>
      <c r="T1817" s="379"/>
      <c r="U1817" s="379"/>
      <c r="V1817" s="379"/>
      <c r="W1817" s="379"/>
      <c r="X1817" s="379"/>
      <c r="Y1817" s="379"/>
      <c r="Z1817" s="379"/>
      <c r="AA1817" s="379"/>
      <c r="AB1817" s="379"/>
      <c r="AC1817" s="379"/>
      <c r="AD1817" s="379"/>
      <c r="AE1817" s="379"/>
      <c r="AF1817" s="379"/>
      <c r="AG1817" s="379"/>
      <c r="AH1817" s="379"/>
      <c r="AI1817" s="379"/>
      <c r="AJ1817" s="379"/>
      <c r="AK1817" s="379"/>
      <c r="AL1817" s="379"/>
      <c r="AM1817" s="379"/>
      <c r="AN1817" s="379"/>
      <c r="AO1817" s="379"/>
      <c r="AP1817" s="379"/>
      <c r="AQ1817" s="379"/>
      <c r="AR1817" s="379"/>
      <c r="AS1817" s="379"/>
      <c r="AT1817" s="379"/>
      <c r="AU1817" s="379"/>
      <c r="AV1817" s="379"/>
      <c r="AW1817" s="379"/>
      <c r="AX1817" s="379"/>
      <c r="AY1817" s="379"/>
      <c r="AZ1817" s="379"/>
      <c r="BA1817" s="379"/>
      <c r="BB1817" s="379"/>
      <c r="BC1817" s="379"/>
      <c r="BD1817" s="379"/>
      <c r="BE1817" s="379"/>
      <c r="BF1817" s="379"/>
      <c r="BG1817" s="379"/>
      <c r="BH1817" s="379"/>
      <c r="BI1817" s="379"/>
      <c r="BJ1817" s="379"/>
      <c r="BK1817" s="379"/>
      <c r="BL1817" s="379"/>
      <c r="BM1817" s="379"/>
      <c r="BN1817" s="379"/>
      <c r="BO1817" s="379"/>
      <c r="BP1817" s="379"/>
      <c r="BQ1817" s="379"/>
      <c r="BR1817" s="379"/>
      <c r="BS1817" s="379"/>
      <c r="BT1817" s="379"/>
      <c r="BU1817" s="379"/>
      <c r="BV1817" s="379"/>
      <c r="BW1817" s="379"/>
      <c r="BX1817" s="379"/>
      <c r="BY1817" s="379"/>
      <c r="BZ1817" s="379"/>
      <c r="CA1817" s="281"/>
      <c r="CB1817" s="3" t="str">
        <f t="shared" si="288"/>
        <v>Riadok bude skrytý.</v>
      </c>
      <c r="CC1817" s="271" t="s">
        <v>832</v>
      </c>
      <c r="CW1817" s="30">
        <f t="shared" si="292"/>
        <v>0</v>
      </c>
      <c r="CX1817" s="30">
        <f t="shared" si="295"/>
        <v>0</v>
      </c>
      <c r="CZ1817" s="30">
        <f t="shared" si="291"/>
        <v>1</v>
      </c>
      <c r="DA1817" s="52">
        <f t="shared" si="294"/>
        <v>0</v>
      </c>
      <c r="DB1817" s="140">
        <f t="shared" si="293"/>
        <v>0</v>
      </c>
      <c r="DZ1817" s="131"/>
    </row>
    <row r="1818" spans="1:130" hidden="1" x14ac:dyDescent="0.25">
      <c r="A1818" s="141"/>
      <c r="B1818" s="379"/>
      <c r="C1818" s="379"/>
      <c r="D1818" s="379"/>
      <c r="E1818" s="379"/>
      <c r="F1818" s="379"/>
      <c r="G1818" s="379"/>
      <c r="H1818" s="379"/>
      <c r="I1818" s="379"/>
      <c r="J1818" s="379"/>
      <c r="K1818" s="379"/>
      <c r="L1818" s="379"/>
      <c r="M1818" s="379"/>
      <c r="N1818" s="379"/>
      <c r="O1818" s="379"/>
      <c r="P1818" s="379"/>
      <c r="Q1818" s="379"/>
      <c r="R1818" s="379"/>
      <c r="S1818" s="379"/>
      <c r="T1818" s="379"/>
      <c r="U1818" s="379"/>
      <c r="V1818" s="379"/>
      <c r="W1818" s="379"/>
      <c r="X1818" s="379"/>
      <c r="Y1818" s="379"/>
      <c r="Z1818" s="379"/>
      <c r="AA1818" s="379"/>
      <c r="AB1818" s="379"/>
      <c r="AC1818" s="379"/>
      <c r="AD1818" s="379"/>
      <c r="AE1818" s="379"/>
      <c r="AF1818" s="379"/>
      <c r="AG1818" s="379"/>
      <c r="AH1818" s="379"/>
      <c r="AI1818" s="379"/>
      <c r="AJ1818" s="379"/>
      <c r="AK1818" s="379"/>
      <c r="AL1818" s="379"/>
      <c r="AM1818" s="379"/>
      <c r="AN1818" s="379"/>
      <c r="AO1818" s="379"/>
      <c r="AP1818" s="379"/>
      <c r="AQ1818" s="379"/>
      <c r="AR1818" s="379"/>
      <c r="AS1818" s="379"/>
      <c r="AT1818" s="379"/>
      <c r="AU1818" s="379"/>
      <c r="AV1818" s="379"/>
      <c r="AW1818" s="379"/>
      <c r="AX1818" s="379"/>
      <c r="AY1818" s="379"/>
      <c r="AZ1818" s="379"/>
      <c r="BA1818" s="379"/>
      <c r="BB1818" s="379"/>
      <c r="BC1818" s="379"/>
      <c r="BD1818" s="379"/>
      <c r="BE1818" s="379"/>
      <c r="BF1818" s="379"/>
      <c r="BG1818" s="379"/>
      <c r="BH1818" s="379"/>
      <c r="BI1818" s="379"/>
      <c r="BJ1818" s="379"/>
      <c r="BK1818" s="379"/>
      <c r="BL1818" s="379"/>
      <c r="BM1818" s="379"/>
      <c r="BN1818" s="379"/>
      <c r="BO1818" s="379"/>
      <c r="BP1818" s="379"/>
      <c r="BQ1818" s="379"/>
      <c r="BR1818" s="379"/>
      <c r="BS1818" s="379"/>
      <c r="BT1818" s="379"/>
      <c r="BU1818" s="379"/>
      <c r="BV1818" s="379"/>
      <c r="BW1818" s="379"/>
      <c r="BX1818" s="379"/>
      <c r="BY1818" s="379"/>
      <c r="BZ1818" s="379"/>
      <c r="CA1818" s="281"/>
      <c r="CB1818" s="3" t="str">
        <f t="shared" si="288"/>
        <v>Riadok bude skrytý.</v>
      </c>
      <c r="CC1818" s="271" t="s">
        <v>832</v>
      </c>
      <c r="CW1818" s="30">
        <f t="shared" si="292"/>
        <v>0</v>
      </c>
      <c r="CX1818" s="30">
        <f t="shared" si="295"/>
        <v>0</v>
      </c>
      <c r="CZ1818" s="30">
        <f t="shared" si="291"/>
        <v>1</v>
      </c>
      <c r="DA1818" s="52">
        <f t="shared" si="294"/>
        <v>0</v>
      </c>
      <c r="DB1818" s="140">
        <f t="shared" si="293"/>
        <v>0</v>
      </c>
      <c r="DZ1818" s="131"/>
    </row>
    <row r="1819" spans="1:130" hidden="1" x14ac:dyDescent="0.25">
      <c r="A1819" s="141"/>
      <c r="B1819" s="379"/>
      <c r="C1819" s="379"/>
      <c r="D1819" s="379"/>
      <c r="E1819" s="379"/>
      <c r="F1819" s="379"/>
      <c r="G1819" s="379"/>
      <c r="H1819" s="379"/>
      <c r="I1819" s="379"/>
      <c r="J1819" s="379"/>
      <c r="K1819" s="379"/>
      <c r="L1819" s="379"/>
      <c r="M1819" s="379"/>
      <c r="N1819" s="379"/>
      <c r="O1819" s="379"/>
      <c r="P1819" s="379"/>
      <c r="Q1819" s="379"/>
      <c r="R1819" s="379"/>
      <c r="S1819" s="379"/>
      <c r="T1819" s="379"/>
      <c r="U1819" s="379"/>
      <c r="V1819" s="379"/>
      <c r="W1819" s="379"/>
      <c r="X1819" s="379"/>
      <c r="Y1819" s="379"/>
      <c r="Z1819" s="379"/>
      <c r="AA1819" s="379"/>
      <c r="AB1819" s="379"/>
      <c r="AC1819" s="379"/>
      <c r="AD1819" s="379"/>
      <c r="AE1819" s="379"/>
      <c r="AF1819" s="379"/>
      <c r="AG1819" s="379"/>
      <c r="AH1819" s="379"/>
      <c r="AI1819" s="379"/>
      <c r="AJ1819" s="379"/>
      <c r="AK1819" s="379"/>
      <c r="AL1819" s="379"/>
      <c r="AM1819" s="379"/>
      <c r="AN1819" s="379"/>
      <c r="AO1819" s="379"/>
      <c r="AP1819" s="379"/>
      <c r="AQ1819" s="379"/>
      <c r="AR1819" s="379"/>
      <c r="AS1819" s="379"/>
      <c r="AT1819" s="379"/>
      <c r="AU1819" s="379"/>
      <c r="AV1819" s="379"/>
      <c r="AW1819" s="379"/>
      <c r="AX1819" s="379"/>
      <c r="AY1819" s="379"/>
      <c r="AZ1819" s="379"/>
      <c r="BA1819" s="379"/>
      <c r="BB1819" s="379"/>
      <c r="BC1819" s="379"/>
      <c r="BD1819" s="379"/>
      <c r="BE1819" s="379"/>
      <c r="BF1819" s="379"/>
      <c r="BG1819" s="379"/>
      <c r="BH1819" s="379"/>
      <c r="BI1819" s="379"/>
      <c r="BJ1819" s="379"/>
      <c r="BK1819" s="379"/>
      <c r="BL1819" s="379"/>
      <c r="BM1819" s="379"/>
      <c r="BN1819" s="379"/>
      <c r="BO1819" s="379"/>
      <c r="BP1819" s="379"/>
      <c r="BQ1819" s="379"/>
      <c r="BR1819" s="379"/>
      <c r="BS1819" s="379"/>
      <c r="BT1819" s="379"/>
      <c r="BU1819" s="379"/>
      <c r="BV1819" s="379"/>
      <c r="BW1819" s="379"/>
      <c r="BX1819" s="379"/>
      <c r="BY1819" s="379"/>
      <c r="BZ1819" s="379"/>
      <c r="CA1819" s="281"/>
      <c r="CB1819" s="3" t="str">
        <f t="shared" si="288"/>
        <v>Riadok bude skrytý.</v>
      </c>
      <c r="CC1819" s="271" t="s">
        <v>832</v>
      </c>
      <c r="CW1819" s="30">
        <f t="shared" si="292"/>
        <v>0</v>
      </c>
      <c r="CX1819" s="30">
        <f t="shared" si="295"/>
        <v>0</v>
      </c>
      <c r="CZ1819" s="30">
        <f t="shared" si="291"/>
        <v>1</v>
      </c>
      <c r="DA1819" s="52">
        <f t="shared" si="294"/>
        <v>0</v>
      </c>
      <c r="DB1819" s="140">
        <f t="shared" si="293"/>
        <v>0</v>
      </c>
      <c r="DZ1819" s="131"/>
    </row>
    <row r="1820" spans="1:130" hidden="1" x14ac:dyDescent="0.25">
      <c r="A1820" s="141"/>
      <c r="B1820" s="379"/>
      <c r="C1820" s="379"/>
      <c r="D1820" s="379"/>
      <c r="E1820" s="379"/>
      <c r="F1820" s="379"/>
      <c r="G1820" s="379"/>
      <c r="H1820" s="379"/>
      <c r="I1820" s="379"/>
      <c r="J1820" s="379"/>
      <c r="K1820" s="379"/>
      <c r="L1820" s="379"/>
      <c r="M1820" s="379"/>
      <c r="N1820" s="379"/>
      <c r="O1820" s="379"/>
      <c r="P1820" s="379"/>
      <c r="Q1820" s="379"/>
      <c r="R1820" s="379"/>
      <c r="S1820" s="379"/>
      <c r="T1820" s="379"/>
      <c r="U1820" s="379"/>
      <c r="V1820" s="379"/>
      <c r="W1820" s="379"/>
      <c r="X1820" s="379"/>
      <c r="Y1820" s="379"/>
      <c r="Z1820" s="379"/>
      <c r="AA1820" s="379"/>
      <c r="AB1820" s="379"/>
      <c r="AC1820" s="379"/>
      <c r="AD1820" s="379"/>
      <c r="AE1820" s="379"/>
      <c r="AF1820" s="379"/>
      <c r="AG1820" s="379"/>
      <c r="AH1820" s="379"/>
      <c r="AI1820" s="379"/>
      <c r="AJ1820" s="379"/>
      <c r="AK1820" s="379"/>
      <c r="AL1820" s="379"/>
      <c r="AM1820" s="379"/>
      <c r="AN1820" s="379"/>
      <c r="AO1820" s="379"/>
      <c r="AP1820" s="379"/>
      <c r="AQ1820" s="379"/>
      <c r="AR1820" s="379"/>
      <c r="AS1820" s="379"/>
      <c r="AT1820" s="379"/>
      <c r="AU1820" s="379"/>
      <c r="AV1820" s="379"/>
      <c r="AW1820" s="379"/>
      <c r="AX1820" s="379"/>
      <c r="AY1820" s="379"/>
      <c r="AZ1820" s="379"/>
      <c r="BA1820" s="379"/>
      <c r="BB1820" s="379"/>
      <c r="BC1820" s="379"/>
      <c r="BD1820" s="379"/>
      <c r="BE1820" s="379"/>
      <c r="BF1820" s="379"/>
      <c r="BG1820" s="379"/>
      <c r="BH1820" s="379"/>
      <c r="BI1820" s="379"/>
      <c r="BJ1820" s="379"/>
      <c r="BK1820" s="379"/>
      <c r="BL1820" s="379"/>
      <c r="BM1820" s="379"/>
      <c r="BN1820" s="379"/>
      <c r="BO1820" s="379"/>
      <c r="BP1820" s="379"/>
      <c r="BQ1820" s="379"/>
      <c r="BR1820" s="379"/>
      <c r="BS1820" s="379"/>
      <c r="BT1820" s="379"/>
      <c r="BU1820" s="379"/>
      <c r="BV1820" s="379"/>
      <c r="BW1820" s="379"/>
      <c r="BX1820" s="379"/>
      <c r="BY1820" s="379"/>
      <c r="BZ1820" s="379"/>
      <c r="CA1820" s="281"/>
      <c r="CB1820" s="3" t="str">
        <f t="shared" si="288"/>
        <v>Riadok bude skrytý.</v>
      </c>
      <c r="CC1820" s="271" t="s">
        <v>832</v>
      </c>
      <c r="CW1820" s="30">
        <f t="shared" si="292"/>
        <v>0</v>
      </c>
      <c r="CX1820" s="30">
        <f t="shared" si="295"/>
        <v>0</v>
      </c>
      <c r="CZ1820" s="30">
        <f t="shared" si="291"/>
        <v>1</v>
      </c>
      <c r="DA1820" s="52">
        <f t="shared" si="294"/>
        <v>0</v>
      </c>
      <c r="DB1820" s="140">
        <f t="shared" si="293"/>
        <v>0</v>
      </c>
      <c r="DZ1820" s="131"/>
    </row>
    <row r="1821" spans="1:130" hidden="1" x14ac:dyDescent="0.25">
      <c r="A1821" s="141"/>
      <c r="B1821" s="379"/>
      <c r="C1821" s="379"/>
      <c r="D1821" s="379"/>
      <c r="E1821" s="379"/>
      <c r="F1821" s="379"/>
      <c r="G1821" s="379"/>
      <c r="H1821" s="379"/>
      <c r="I1821" s="379"/>
      <c r="J1821" s="379"/>
      <c r="K1821" s="379"/>
      <c r="L1821" s="379"/>
      <c r="M1821" s="379"/>
      <c r="N1821" s="379"/>
      <c r="O1821" s="379"/>
      <c r="P1821" s="379"/>
      <c r="Q1821" s="379"/>
      <c r="R1821" s="379"/>
      <c r="S1821" s="379"/>
      <c r="T1821" s="379"/>
      <c r="U1821" s="379"/>
      <c r="V1821" s="379"/>
      <c r="W1821" s="379"/>
      <c r="X1821" s="379"/>
      <c r="Y1821" s="379"/>
      <c r="Z1821" s="379"/>
      <c r="AA1821" s="379"/>
      <c r="AB1821" s="379"/>
      <c r="AC1821" s="379"/>
      <c r="AD1821" s="379"/>
      <c r="AE1821" s="379"/>
      <c r="AF1821" s="379"/>
      <c r="AG1821" s="379"/>
      <c r="AH1821" s="379"/>
      <c r="AI1821" s="379"/>
      <c r="AJ1821" s="379"/>
      <c r="AK1821" s="379"/>
      <c r="AL1821" s="379"/>
      <c r="AM1821" s="379"/>
      <c r="AN1821" s="379"/>
      <c r="AO1821" s="379"/>
      <c r="AP1821" s="379"/>
      <c r="AQ1821" s="379"/>
      <c r="AR1821" s="379"/>
      <c r="AS1821" s="379"/>
      <c r="AT1821" s="379"/>
      <c r="AU1821" s="379"/>
      <c r="AV1821" s="379"/>
      <c r="AW1821" s="379"/>
      <c r="AX1821" s="379"/>
      <c r="AY1821" s="379"/>
      <c r="AZ1821" s="379"/>
      <c r="BA1821" s="379"/>
      <c r="BB1821" s="379"/>
      <c r="BC1821" s="379"/>
      <c r="BD1821" s="379"/>
      <c r="BE1821" s="379"/>
      <c r="BF1821" s="379"/>
      <c r="BG1821" s="379"/>
      <c r="BH1821" s="379"/>
      <c r="BI1821" s="379"/>
      <c r="BJ1821" s="379"/>
      <c r="BK1821" s="379"/>
      <c r="BL1821" s="379"/>
      <c r="BM1821" s="379"/>
      <c r="BN1821" s="379"/>
      <c r="BO1821" s="379"/>
      <c r="BP1821" s="379"/>
      <c r="BQ1821" s="379"/>
      <c r="BR1821" s="379"/>
      <c r="BS1821" s="379"/>
      <c r="BT1821" s="379"/>
      <c r="BU1821" s="379"/>
      <c r="BV1821" s="379"/>
      <c r="BW1821" s="379"/>
      <c r="BX1821" s="379"/>
      <c r="BY1821" s="379"/>
      <c r="BZ1821" s="379"/>
      <c r="CA1821" s="281"/>
      <c r="CB1821" s="3" t="str">
        <f t="shared" si="288"/>
        <v>Riadok bude skrytý.</v>
      </c>
      <c r="CC1821" s="271" t="s">
        <v>832</v>
      </c>
      <c r="CW1821" s="30">
        <f t="shared" si="292"/>
        <v>0</v>
      </c>
      <c r="CX1821" s="30">
        <f t="shared" si="295"/>
        <v>0</v>
      </c>
      <c r="CZ1821" s="30">
        <f t="shared" si="291"/>
        <v>1</v>
      </c>
      <c r="DA1821" s="52">
        <f t="shared" si="294"/>
        <v>0</v>
      </c>
      <c r="DB1821" s="140">
        <f t="shared" si="293"/>
        <v>0</v>
      </c>
      <c r="DZ1821" s="131"/>
    </row>
    <row r="1822" spans="1:130" hidden="1" x14ac:dyDescent="0.25">
      <c r="A1822" s="141"/>
      <c r="B1822" s="379"/>
      <c r="C1822" s="379"/>
      <c r="D1822" s="379"/>
      <c r="E1822" s="379"/>
      <c r="F1822" s="379"/>
      <c r="G1822" s="379"/>
      <c r="H1822" s="379"/>
      <c r="I1822" s="379"/>
      <c r="J1822" s="379"/>
      <c r="K1822" s="379"/>
      <c r="L1822" s="379"/>
      <c r="M1822" s="379"/>
      <c r="N1822" s="379"/>
      <c r="O1822" s="379"/>
      <c r="P1822" s="379"/>
      <c r="Q1822" s="379"/>
      <c r="R1822" s="379"/>
      <c r="S1822" s="379"/>
      <c r="T1822" s="379"/>
      <c r="U1822" s="379"/>
      <c r="V1822" s="379"/>
      <c r="W1822" s="379"/>
      <c r="X1822" s="379"/>
      <c r="Y1822" s="379"/>
      <c r="Z1822" s="379"/>
      <c r="AA1822" s="379"/>
      <c r="AB1822" s="379"/>
      <c r="AC1822" s="379"/>
      <c r="AD1822" s="379"/>
      <c r="AE1822" s="379"/>
      <c r="AF1822" s="379"/>
      <c r="AG1822" s="379"/>
      <c r="AH1822" s="379"/>
      <c r="AI1822" s="379"/>
      <c r="AJ1822" s="379"/>
      <c r="AK1822" s="379"/>
      <c r="AL1822" s="379"/>
      <c r="AM1822" s="379"/>
      <c r="AN1822" s="379"/>
      <c r="AO1822" s="379"/>
      <c r="AP1822" s="379"/>
      <c r="AQ1822" s="379"/>
      <c r="AR1822" s="379"/>
      <c r="AS1822" s="379"/>
      <c r="AT1822" s="379"/>
      <c r="AU1822" s="379"/>
      <c r="AV1822" s="379"/>
      <c r="AW1822" s="379"/>
      <c r="AX1822" s="379"/>
      <c r="AY1822" s="379"/>
      <c r="AZ1822" s="379"/>
      <c r="BA1822" s="379"/>
      <c r="BB1822" s="379"/>
      <c r="BC1822" s="379"/>
      <c r="BD1822" s="379"/>
      <c r="BE1822" s="379"/>
      <c r="BF1822" s="379"/>
      <c r="BG1822" s="379"/>
      <c r="BH1822" s="379"/>
      <c r="BI1822" s="379"/>
      <c r="BJ1822" s="379"/>
      <c r="BK1822" s="379"/>
      <c r="BL1822" s="379"/>
      <c r="BM1822" s="379"/>
      <c r="BN1822" s="379"/>
      <c r="BO1822" s="379"/>
      <c r="BP1822" s="379"/>
      <c r="BQ1822" s="379"/>
      <c r="BR1822" s="379"/>
      <c r="BS1822" s="379"/>
      <c r="BT1822" s="379"/>
      <c r="BU1822" s="379"/>
      <c r="BV1822" s="379"/>
      <c r="BW1822" s="379"/>
      <c r="BX1822" s="379"/>
      <c r="BY1822" s="379"/>
      <c r="BZ1822" s="379"/>
      <c r="CA1822" s="281"/>
      <c r="CB1822" s="3" t="str">
        <f t="shared" si="288"/>
        <v>Riadok bude skrytý.</v>
      </c>
      <c r="CC1822" s="271" t="s">
        <v>832</v>
      </c>
      <c r="CW1822" s="30">
        <f t="shared" si="292"/>
        <v>0</v>
      </c>
      <c r="CX1822" s="30">
        <f t="shared" si="295"/>
        <v>0</v>
      </c>
      <c r="CZ1822" s="30">
        <f t="shared" si="291"/>
        <v>1</v>
      </c>
      <c r="DA1822" s="52">
        <f t="shared" si="294"/>
        <v>0</v>
      </c>
      <c r="DB1822" s="140">
        <f t="shared" si="293"/>
        <v>0</v>
      </c>
      <c r="DZ1822" s="131"/>
    </row>
    <row r="1823" spans="1:130" hidden="1" x14ac:dyDescent="0.25">
      <c r="A1823" s="141"/>
      <c r="B1823" s="379"/>
      <c r="C1823" s="379"/>
      <c r="D1823" s="379"/>
      <c r="E1823" s="379"/>
      <c r="F1823" s="379"/>
      <c r="G1823" s="379"/>
      <c r="H1823" s="379"/>
      <c r="I1823" s="379"/>
      <c r="J1823" s="379"/>
      <c r="K1823" s="379"/>
      <c r="L1823" s="379"/>
      <c r="M1823" s="379"/>
      <c r="N1823" s="379"/>
      <c r="O1823" s="379"/>
      <c r="P1823" s="379"/>
      <c r="Q1823" s="379"/>
      <c r="R1823" s="379"/>
      <c r="S1823" s="379"/>
      <c r="T1823" s="379"/>
      <c r="U1823" s="379"/>
      <c r="V1823" s="379"/>
      <c r="W1823" s="379"/>
      <c r="X1823" s="379"/>
      <c r="Y1823" s="379"/>
      <c r="Z1823" s="379"/>
      <c r="AA1823" s="379"/>
      <c r="AB1823" s="379"/>
      <c r="AC1823" s="379"/>
      <c r="AD1823" s="379"/>
      <c r="AE1823" s="379"/>
      <c r="AF1823" s="379"/>
      <c r="AG1823" s="379"/>
      <c r="AH1823" s="379"/>
      <c r="AI1823" s="379"/>
      <c r="AJ1823" s="379"/>
      <c r="AK1823" s="379"/>
      <c r="AL1823" s="379"/>
      <c r="AM1823" s="379"/>
      <c r="AN1823" s="379"/>
      <c r="AO1823" s="379"/>
      <c r="AP1823" s="379"/>
      <c r="AQ1823" s="379"/>
      <c r="AR1823" s="379"/>
      <c r="AS1823" s="379"/>
      <c r="AT1823" s="379"/>
      <c r="AU1823" s="379"/>
      <c r="AV1823" s="379"/>
      <c r="AW1823" s="379"/>
      <c r="AX1823" s="379"/>
      <c r="AY1823" s="379"/>
      <c r="AZ1823" s="379"/>
      <c r="BA1823" s="379"/>
      <c r="BB1823" s="379"/>
      <c r="BC1823" s="379"/>
      <c r="BD1823" s="379"/>
      <c r="BE1823" s="379"/>
      <c r="BF1823" s="379"/>
      <c r="BG1823" s="379"/>
      <c r="BH1823" s="379"/>
      <c r="BI1823" s="379"/>
      <c r="BJ1823" s="379"/>
      <c r="BK1823" s="379"/>
      <c r="BL1823" s="379"/>
      <c r="BM1823" s="379"/>
      <c r="BN1823" s="379"/>
      <c r="BO1823" s="379"/>
      <c r="BP1823" s="379"/>
      <c r="BQ1823" s="379"/>
      <c r="BR1823" s="379"/>
      <c r="BS1823" s="379"/>
      <c r="BT1823" s="379"/>
      <c r="BU1823" s="379"/>
      <c r="BV1823" s="379"/>
      <c r="BW1823" s="379"/>
      <c r="BX1823" s="379"/>
      <c r="BY1823" s="379"/>
      <c r="BZ1823" s="379"/>
      <c r="CA1823" s="281"/>
      <c r="CB1823" s="3" t="str">
        <f t="shared" si="288"/>
        <v>Riadok bude skrytý.</v>
      </c>
      <c r="CC1823" s="271" t="s">
        <v>832</v>
      </c>
      <c r="CW1823" s="30">
        <f t="shared" si="292"/>
        <v>0</v>
      </c>
      <c r="CX1823" s="30">
        <f t="shared" si="295"/>
        <v>0</v>
      </c>
      <c r="CZ1823" s="30">
        <f t="shared" si="291"/>
        <v>1</v>
      </c>
      <c r="DA1823" s="52">
        <f t="shared" si="294"/>
        <v>0</v>
      </c>
      <c r="DB1823" s="140">
        <f t="shared" si="293"/>
        <v>0</v>
      </c>
      <c r="DZ1823" s="131"/>
    </row>
    <row r="1824" spans="1:130" hidden="1" x14ac:dyDescent="0.25">
      <c r="A1824" s="141"/>
      <c r="B1824" s="379"/>
      <c r="C1824" s="379"/>
      <c r="D1824" s="379"/>
      <c r="E1824" s="379"/>
      <c r="F1824" s="379"/>
      <c r="G1824" s="379"/>
      <c r="H1824" s="379"/>
      <c r="I1824" s="379"/>
      <c r="J1824" s="379"/>
      <c r="K1824" s="379"/>
      <c r="L1824" s="379"/>
      <c r="M1824" s="379"/>
      <c r="N1824" s="379"/>
      <c r="O1824" s="379"/>
      <c r="P1824" s="379"/>
      <c r="Q1824" s="379"/>
      <c r="R1824" s="379"/>
      <c r="S1824" s="379"/>
      <c r="T1824" s="379"/>
      <c r="U1824" s="379"/>
      <c r="V1824" s="379"/>
      <c r="W1824" s="379"/>
      <c r="X1824" s="379"/>
      <c r="Y1824" s="379"/>
      <c r="Z1824" s="379"/>
      <c r="AA1824" s="379"/>
      <c r="AB1824" s="379"/>
      <c r="AC1824" s="379"/>
      <c r="AD1824" s="379"/>
      <c r="AE1824" s="379"/>
      <c r="AF1824" s="379"/>
      <c r="AG1824" s="379"/>
      <c r="AH1824" s="379"/>
      <c r="AI1824" s="379"/>
      <c r="AJ1824" s="379"/>
      <c r="AK1824" s="379"/>
      <c r="AL1824" s="379"/>
      <c r="AM1824" s="379"/>
      <c r="AN1824" s="379"/>
      <c r="AO1824" s="379"/>
      <c r="AP1824" s="379"/>
      <c r="AQ1824" s="379"/>
      <c r="AR1824" s="379"/>
      <c r="AS1824" s="379"/>
      <c r="AT1824" s="379"/>
      <c r="AU1824" s="379"/>
      <c r="AV1824" s="379"/>
      <c r="AW1824" s="379"/>
      <c r="AX1824" s="379"/>
      <c r="AY1824" s="379"/>
      <c r="AZ1824" s="379"/>
      <c r="BA1824" s="379"/>
      <c r="BB1824" s="379"/>
      <c r="BC1824" s="379"/>
      <c r="BD1824" s="379"/>
      <c r="BE1824" s="379"/>
      <c r="BF1824" s="379"/>
      <c r="BG1824" s="379"/>
      <c r="BH1824" s="379"/>
      <c r="BI1824" s="379"/>
      <c r="BJ1824" s="379"/>
      <c r="BK1824" s="379"/>
      <c r="BL1824" s="379"/>
      <c r="BM1824" s="379"/>
      <c r="BN1824" s="379"/>
      <c r="BO1824" s="379"/>
      <c r="BP1824" s="379"/>
      <c r="BQ1824" s="379"/>
      <c r="BR1824" s="379"/>
      <c r="BS1824" s="379"/>
      <c r="BT1824" s="379"/>
      <c r="BU1824" s="379"/>
      <c r="BV1824" s="379"/>
      <c r="BW1824" s="379"/>
      <c r="BX1824" s="379"/>
      <c r="BY1824" s="379"/>
      <c r="BZ1824" s="379"/>
      <c r="CA1824" s="281"/>
      <c r="CB1824" s="3" t="str">
        <f t="shared" si="288"/>
        <v>Riadok bude skrytý.</v>
      </c>
      <c r="CC1824" s="271" t="s">
        <v>832</v>
      </c>
      <c r="CW1824" s="30">
        <f t="shared" si="292"/>
        <v>0</v>
      </c>
      <c r="CX1824" s="30">
        <f t="shared" si="295"/>
        <v>0</v>
      </c>
      <c r="CZ1824" s="30">
        <f t="shared" si="291"/>
        <v>1</v>
      </c>
      <c r="DA1824" s="52">
        <f t="shared" si="294"/>
        <v>0</v>
      </c>
      <c r="DB1824" s="140">
        <f t="shared" si="293"/>
        <v>0</v>
      </c>
      <c r="DZ1824" s="131"/>
    </row>
    <row r="1825" spans="1:130" hidden="1" x14ac:dyDescent="0.25">
      <c r="A1825" s="141"/>
      <c r="B1825" s="379"/>
      <c r="C1825" s="379"/>
      <c r="D1825" s="379"/>
      <c r="E1825" s="379"/>
      <c r="F1825" s="379"/>
      <c r="G1825" s="379"/>
      <c r="H1825" s="379"/>
      <c r="I1825" s="379"/>
      <c r="J1825" s="379"/>
      <c r="K1825" s="379"/>
      <c r="L1825" s="379"/>
      <c r="M1825" s="379"/>
      <c r="N1825" s="379"/>
      <c r="O1825" s="379"/>
      <c r="P1825" s="379"/>
      <c r="Q1825" s="379"/>
      <c r="R1825" s="379"/>
      <c r="S1825" s="379"/>
      <c r="T1825" s="379"/>
      <c r="U1825" s="379"/>
      <c r="V1825" s="379"/>
      <c r="W1825" s="379"/>
      <c r="X1825" s="379"/>
      <c r="Y1825" s="379"/>
      <c r="Z1825" s="379"/>
      <c r="AA1825" s="379"/>
      <c r="AB1825" s="379"/>
      <c r="AC1825" s="379"/>
      <c r="AD1825" s="379"/>
      <c r="AE1825" s="379"/>
      <c r="AF1825" s="379"/>
      <c r="AG1825" s="379"/>
      <c r="AH1825" s="379"/>
      <c r="AI1825" s="379"/>
      <c r="AJ1825" s="379"/>
      <c r="AK1825" s="379"/>
      <c r="AL1825" s="379"/>
      <c r="AM1825" s="379"/>
      <c r="AN1825" s="379"/>
      <c r="AO1825" s="379"/>
      <c r="AP1825" s="379"/>
      <c r="AQ1825" s="379"/>
      <c r="AR1825" s="379"/>
      <c r="AS1825" s="379"/>
      <c r="AT1825" s="379"/>
      <c r="AU1825" s="379"/>
      <c r="AV1825" s="379"/>
      <c r="AW1825" s="379"/>
      <c r="AX1825" s="379"/>
      <c r="AY1825" s="379"/>
      <c r="AZ1825" s="379"/>
      <c r="BA1825" s="379"/>
      <c r="BB1825" s="379"/>
      <c r="BC1825" s="379"/>
      <c r="BD1825" s="379"/>
      <c r="BE1825" s="379"/>
      <c r="BF1825" s="379"/>
      <c r="BG1825" s="379"/>
      <c r="BH1825" s="379"/>
      <c r="BI1825" s="379"/>
      <c r="BJ1825" s="379"/>
      <c r="BK1825" s="379"/>
      <c r="BL1825" s="379"/>
      <c r="BM1825" s="379"/>
      <c r="BN1825" s="379"/>
      <c r="BO1825" s="379"/>
      <c r="BP1825" s="379"/>
      <c r="BQ1825" s="379"/>
      <c r="BR1825" s="379"/>
      <c r="BS1825" s="379"/>
      <c r="BT1825" s="379"/>
      <c r="BU1825" s="379"/>
      <c r="BV1825" s="379"/>
      <c r="BW1825" s="379"/>
      <c r="BX1825" s="379"/>
      <c r="BY1825" s="379"/>
      <c r="BZ1825" s="379"/>
      <c r="CA1825" s="281"/>
      <c r="CB1825" s="3" t="str">
        <f t="shared" si="288"/>
        <v>Riadok bude skrytý.</v>
      </c>
      <c r="CC1825" s="271" t="s">
        <v>832</v>
      </c>
      <c r="CW1825" s="30">
        <f t="shared" si="292"/>
        <v>0</v>
      </c>
      <c r="CX1825" s="30">
        <f t="shared" si="295"/>
        <v>0</v>
      </c>
      <c r="CZ1825" s="30">
        <f t="shared" si="291"/>
        <v>1</v>
      </c>
      <c r="DA1825" s="52">
        <f t="shared" si="294"/>
        <v>0</v>
      </c>
      <c r="DB1825" s="140">
        <f t="shared" si="293"/>
        <v>0</v>
      </c>
      <c r="DZ1825" s="131"/>
    </row>
    <row r="1826" spans="1:130" hidden="1" x14ac:dyDescent="0.25">
      <c r="A1826" s="141"/>
      <c r="B1826" s="379"/>
      <c r="C1826" s="379"/>
      <c r="D1826" s="379"/>
      <c r="E1826" s="379"/>
      <c r="F1826" s="379"/>
      <c r="G1826" s="379"/>
      <c r="H1826" s="379"/>
      <c r="I1826" s="379"/>
      <c r="J1826" s="379"/>
      <c r="K1826" s="379"/>
      <c r="L1826" s="379"/>
      <c r="M1826" s="379"/>
      <c r="N1826" s="379"/>
      <c r="O1826" s="379"/>
      <c r="P1826" s="379"/>
      <c r="Q1826" s="379"/>
      <c r="R1826" s="379"/>
      <c r="S1826" s="379"/>
      <c r="T1826" s="379"/>
      <c r="U1826" s="379"/>
      <c r="V1826" s="379"/>
      <c r="W1826" s="379"/>
      <c r="X1826" s="379"/>
      <c r="Y1826" s="379"/>
      <c r="Z1826" s="379"/>
      <c r="AA1826" s="379"/>
      <c r="AB1826" s="379"/>
      <c r="AC1826" s="379"/>
      <c r="AD1826" s="379"/>
      <c r="AE1826" s="379"/>
      <c r="AF1826" s="379"/>
      <c r="AG1826" s="379"/>
      <c r="AH1826" s="379"/>
      <c r="AI1826" s="379"/>
      <c r="AJ1826" s="379"/>
      <c r="AK1826" s="379"/>
      <c r="AL1826" s="379"/>
      <c r="AM1826" s="379"/>
      <c r="AN1826" s="379"/>
      <c r="AO1826" s="379"/>
      <c r="AP1826" s="379"/>
      <c r="AQ1826" s="379"/>
      <c r="AR1826" s="379"/>
      <c r="AS1826" s="379"/>
      <c r="AT1826" s="379"/>
      <c r="AU1826" s="379"/>
      <c r="AV1826" s="379"/>
      <c r="AW1826" s="379"/>
      <c r="AX1826" s="379"/>
      <c r="AY1826" s="379"/>
      <c r="AZ1826" s="379"/>
      <c r="BA1826" s="379"/>
      <c r="BB1826" s="379"/>
      <c r="BC1826" s="379"/>
      <c r="BD1826" s="379"/>
      <c r="BE1826" s="379"/>
      <c r="BF1826" s="379"/>
      <c r="BG1826" s="379"/>
      <c r="BH1826" s="379"/>
      <c r="BI1826" s="379"/>
      <c r="BJ1826" s="379"/>
      <c r="BK1826" s="379"/>
      <c r="BL1826" s="379"/>
      <c r="BM1826" s="379"/>
      <c r="BN1826" s="379"/>
      <c r="BO1826" s="379"/>
      <c r="BP1826" s="379"/>
      <c r="BQ1826" s="379"/>
      <c r="BR1826" s="379"/>
      <c r="BS1826" s="379"/>
      <c r="BT1826" s="379"/>
      <c r="BU1826" s="379"/>
      <c r="BV1826" s="379"/>
      <c r="BW1826" s="379"/>
      <c r="BX1826" s="379"/>
      <c r="BY1826" s="379"/>
      <c r="BZ1826" s="379"/>
      <c r="CA1826" s="281"/>
      <c r="CB1826" s="3" t="str">
        <f t="shared" si="288"/>
        <v>Riadok bude skrytý.</v>
      </c>
      <c r="CC1826" s="271" t="s">
        <v>832</v>
      </c>
      <c r="CW1826" s="30">
        <f t="shared" si="292"/>
        <v>0</v>
      </c>
      <c r="CX1826" s="30">
        <f t="shared" si="295"/>
        <v>0</v>
      </c>
      <c r="CZ1826" s="30">
        <f t="shared" si="291"/>
        <v>1</v>
      </c>
      <c r="DA1826" s="52">
        <f t="shared" si="294"/>
        <v>0</v>
      </c>
      <c r="DB1826" s="140">
        <f t="shared" si="293"/>
        <v>0</v>
      </c>
      <c r="DZ1826" s="131"/>
    </row>
    <row r="1827" spans="1:130" hidden="1" x14ac:dyDescent="0.25">
      <c r="A1827" s="141"/>
      <c r="B1827" s="379"/>
      <c r="C1827" s="379"/>
      <c r="D1827" s="379"/>
      <c r="E1827" s="379"/>
      <c r="F1827" s="379"/>
      <c r="G1827" s="379"/>
      <c r="H1827" s="379"/>
      <c r="I1827" s="379"/>
      <c r="J1827" s="379"/>
      <c r="K1827" s="379"/>
      <c r="L1827" s="379"/>
      <c r="M1827" s="379"/>
      <c r="N1827" s="379"/>
      <c r="O1827" s="379"/>
      <c r="P1827" s="379"/>
      <c r="Q1827" s="379"/>
      <c r="R1827" s="379"/>
      <c r="S1827" s="379"/>
      <c r="T1827" s="379"/>
      <c r="U1827" s="379"/>
      <c r="V1827" s="379"/>
      <c r="W1827" s="379"/>
      <c r="X1827" s="379"/>
      <c r="Y1827" s="379"/>
      <c r="Z1827" s="379"/>
      <c r="AA1827" s="379"/>
      <c r="AB1827" s="379"/>
      <c r="AC1827" s="379"/>
      <c r="AD1827" s="379"/>
      <c r="AE1827" s="379"/>
      <c r="AF1827" s="379"/>
      <c r="AG1827" s="379"/>
      <c r="AH1827" s="379"/>
      <c r="AI1827" s="379"/>
      <c r="AJ1827" s="379"/>
      <c r="AK1827" s="379"/>
      <c r="AL1827" s="379"/>
      <c r="AM1827" s="379"/>
      <c r="AN1827" s="379"/>
      <c r="AO1827" s="379"/>
      <c r="AP1827" s="379"/>
      <c r="AQ1827" s="379"/>
      <c r="AR1827" s="379"/>
      <c r="AS1827" s="379"/>
      <c r="AT1827" s="379"/>
      <c r="AU1827" s="379"/>
      <c r="AV1827" s="379"/>
      <c r="AW1827" s="379"/>
      <c r="AX1827" s="379"/>
      <c r="AY1827" s="379"/>
      <c r="AZ1827" s="379"/>
      <c r="BA1827" s="379"/>
      <c r="BB1827" s="379"/>
      <c r="BC1827" s="379"/>
      <c r="BD1827" s="379"/>
      <c r="BE1827" s="379"/>
      <c r="BF1827" s="379"/>
      <c r="BG1827" s="379"/>
      <c r="BH1827" s="379"/>
      <c r="BI1827" s="379"/>
      <c r="BJ1827" s="379"/>
      <c r="BK1827" s="379"/>
      <c r="BL1827" s="379"/>
      <c r="BM1827" s="379"/>
      <c r="BN1827" s="379"/>
      <c r="BO1827" s="379"/>
      <c r="BP1827" s="379"/>
      <c r="BQ1827" s="379"/>
      <c r="BR1827" s="379"/>
      <c r="BS1827" s="379"/>
      <c r="BT1827" s="379"/>
      <c r="BU1827" s="379"/>
      <c r="BV1827" s="379"/>
      <c r="BW1827" s="379"/>
      <c r="BX1827" s="379"/>
      <c r="BY1827" s="379"/>
      <c r="BZ1827" s="379"/>
      <c r="CA1827" s="281"/>
      <c r="CB1827" s="3" t="str">
        <f t="shared" si="288"/>
        <v>Riadok bude skrytý.</v>
      </c>
      <c r="CC1827" s="271" t="s">
        <v>832</v>
      </c>
      <c r="CW1827" s="30">
        <f t="shared" si="292"/>
        <v>0</v>
      </c>
      <c r="CX1827" s="30">
        <f t="shared" si="295"/>
        <v>0</v>
      </c>
      <c r="CZ1827" s="30">
        <f t="shared" si="291"/>
        <v>1</v>
      </c>
      <c r="DA1827" s="52">
        <f t="shared" si="294"/>
        <v>0</v>
      </c>
      <c r="DB1827" s="140">
        <f t="shared" si="293"/>
        <v>0</v>
      </c>
      <c r="DZ1827" s="131"/>
    </row>
    <row r="1828" spans="1:130" hidden="1" x14ac:dyDescent="0.25">
      <c r="A1828" s="141"/>
      <c r="B1828" s="379"/>
      <c r="C1828" s="379"/>
      <c r="D1828" s="379"/>
      <c r="E1828" s="379"/>
      <c r="F1828" s="379"/>
      <c r="G1828" s="379"/>
      <c r="H1828" s="379"/>
      <c r="I1828" s="379"/>
      <c r="J1828" s="379"/>
      <c r="K1828" s="379"/>
      <c r="L1828" s="379"/>
      <c r="M1828" s="379"/>
      <c r="N1828" s="379"/>
      <c r="O1828" s="379"/>
      <c r="P1828" s="379"/>
      <c r="Q1828" s="379"/>
      <c r="R1828" s="379"/>
      <c r="S1828" s="379"/>
      <c r="T1828" s="379"/>
      <c r="U1828" s="379"/>
      <c r="V1828" s="379"/>
      <c r="W1828" s="379"/>
      <c r="X1828" s="379"/>
      <c r="Y1828" s="379"/>
      <c r="Z1828" s="379"/>
      <c r="AA1828" s="379"/>
      <c r="AB1828" s="379"/>
      <c r="AC1828" s="379"/>
      <c r="AD1828" s="379"/>
      <c r="AE1828" s="379"/>
      <c r="AF1828" s="379"/>
      <c r="AG1828" s="379"/>
      <c r="AH1828" s="379"/>
      <c r="AI1828" s="379"/>
      <c r="AJ1828" s="379"/>
      <c r="AK1828" s="379"/>
      <c r="AL1828" s="379"/>
      <c r="AM1828" s="379"/>
      <c r="AN1828" s="379"/>
      <c r="AO1828" s="379"/>
      <c r="AP1828" s="379"/>
      <c r="AQ1828" s="379"/>
      <c r="AR1828" s="379"/>
      <c r="AS1828" s="379"/>
      <c r="AT1828" s="379"/>
      <c r="AU1828" s="379"/>
      <c r="AV1828" s="379"/>
      <c r="AW1828" s="379"/>
      <c r="AX1828" s="379"/>
      <c r="AY1828" s="379"/>
      <c r="AZ1828" s="379"/>
      <c r="BA1828" s="379"/>
      <c r="BB1828" s="379"/>
      <c r="BC1828" s="379"/>
      <c r="BD1828" s="379"/>
      <c r="BE1828" s="379"/>
      <c r="BF1828" s="379"/>
      <c r="BG1828" s="379"/>
      <c r="BH1828" s="379"/>
      <c r="BI1828" s="379"/>
      <c r="BJ1828" s="379"/>
      <c r="BK1828" s="379"/>
      <c r="BL1828" s="379"/>
      <c r="BM1828" s="379"/>
      <c r="BN1828" s="379"/>
      <c r="BO1828" s="379"/>
      <c r="BP1828" s="379"/>
      <c r="BQ1828" s="379"/>
      <c r="BR1828" s="379"/>
      <c r="BS1828" s="379"/>
      <c r="BT1828" s="379"/>
      <c r="BU1828" s="379"/>
      <c r="BV1828" s="379"/>
      <c r="BW1828" s="379"/>
      <c r="BX1828" s="379"/>
      <c r="BY1828" s="379"/>
      <c r="BZ1828" s="379"/>
      <c r="CA1828" s="281"/>
      <c r="CB1828" s="3" t="str">
        <f t="shared" si="288"/>
        <v>Riadok bude skrytý.</v>
      </c>
      <c r="CC1828" s="271" t="s">
        <v>832</v>
      </c>
      <c r="CW1828" s="30">
        <f t="shared" si="292"/>
        <v>0</v>
      </c>
      <c r="CX1828" s="30">
        <f t="shared" si="295"/>
        <v>0</v>
      </c>
      <c r="CZ1828" s="30">
        <f t="shared" si="291"/>
        <v>1</v>
      </c>
      <c r="DA1828" s="52">
        <f t="shared" si="294"/>
        <v>0</v>
      </c>
      <c r="DB1828" s="140">
        <f t="shared" si="293"/>
        <v>0</v>
      </c>
      <c r="DZ1828" s="131"/>
    </row>
    <row r="1829" spans="1:130" hidden="1" x14ac:dyDescent="0.25">
      <c r="A1829" s="141"/>
      <c r="B1829" s="379"/>
      <c r="C1829" s="379"/>
      <c r="D1829" s="379"/>
      <c r="E1829" s="379"/>
      <c r="F1829" s="379"/>
      <c r="G1829" s="379"/>
      <c r="H1829" s="379"/>
      <c r="I1829" s="379"/>
      <c r="J1829" s="379"/>
      <c r="K1829" s="379"/>
      <c r="L1829" s="379"/>
      <c r="M1829" s="379"/>
      <c r="N1829" s="379"/>
      <c r="O1829" s="379"/>
      <c r="P1829" s="379"/>
      <c r="Q1829" s="379"/>
      <c r="R1829" s="379"/>
      <c r="S1829" s="379"/>
      <c r="T1829" s="379"/>
      <c r="U1829" s="379"/>
      <c r="V1829" s="379"/>
      <c r="W1829" s="379"/>
      <c r="X1829" s="379"/>
      <c r="Y1829" s="379"/>
      <c r="Z1829" s="379"/>
      <c r="AA1829" s="379"/>
      <c r="AB1829" s="379"/>
      <c r="AC1829" s="379"/>
      <c r="AD1829" s="379"/>
      <c r="AE1829" s="379"/>
      <c r="AF1829" s="379"/>
      <c r="AG1829" s="379"/>
      <c r="AH1829" s="379"/>
      <c r="AI1829" s="379"/>
      <c r="AJ1829" s="379"/>
      <c r="AK1829" s="379"/>
      <c r="AL1829" s="379"/>
      <c r="AM1829" s="379"/>
      <c r="AN1829" s="379"/>
      <c r="AO1829" s="379"/>
      <c r="AP1829" s="379"/>
      <c r="AQ1829" s="379"/>
      <c r="AR1829" s="379"/>
      <c r="AS1829" s="379"/>
      <c r="AT1829" s="379"/>
      <c r="AU1829" s="379"/>
      <c r="AV1829" s="379"/>
      <c r="AW1829" s="379"/>
      <c r="AX1829" s="379"/>
      <c r="AY1829" s="379"/>
      <c r="AZ1829" s="379"/>
      <c r="BA1829" s="379"/>
      <c r="BB1829" s="379"/>
      <c r="BC1829" s="379"/>
      <c r="BD1829" s="379"/>
      <c r="BE1829" s="379"/>
      <c r="BF1829" s="379"/>
      <c r="BG1829" s="379"/>
      <c r="BH1829" s="379"/>
      <c r="BI1829" s="379"/>
      <c r="BJ1829" s="379"/>
      <c r="BK1829" s="379"/>
      <c r="BL1829" s="379"/>
      <c r="BM1829" s="379"/>
      <c r="BN1829" s="379"/>
      <c r="BO1829" s="379"/>
      <c r="BP1829" s="379"/>
      <c r="BQ1829" s="379"/>
      <c r="BR1829" s="379"/>
      <c r="BS1829" s="379"/>
      <c r="BT1829" s="379"/>
      <c r="BU1829" s="379"/>
      <c r="BV1829" s="379"/>
      <c r="BW1829" s="379"/>
      <c r="BX1829" s="379"/>
      <c r="BY1829" s="379"/>
      <c r="BZ1829" s="379"/>
      <c r="CA1829" s="281"/>
      <c r="CB1829" s="3" t="str">
        <f t="shared" si="288"/>
        <v>Riadok bude skrytý.</v>
      </c>
      <c r="CC1829" s="271" t="s">
        <v>832</v>
      </c>
      <c r="CW1829" s="30">
        <f t="shared" si="292"/>
        <v>0</v>
      </c>
      <c r="CX1829" s="30">
        <f t="shared" si="295"/>
        <v>0</v>
      </c>
      <c r="CZ1829" s="30">
        <f t="shared" si="291"/>
        <v>1</v>
      </c>
      <c r="DA1829" s="52">
        <f t="shared" si="294"/>
        <v>0</v>
      </c>
      <c r="DB1829" s="140">
        <f t="shared" si="293"/>
        <v>0</v>
      </c>
      <c r="DZ1829" s="131"/>
    </row>
    <row r="1830" spans="1:130" hidden="1" x14ac:dyDescent="0.25">
      <c r="A1830" s="141"/>
      <c r="B1830" s="379"/>
      <c r="C1830" s="379"/>
      <c r="D1830" s="379"/>
      <c r="E1830" s="379"/>
      <c r="F1830" s="379"/>
      <c r="G1830" s="379"/>
      <c r="H1830" s="379"/>
      <c r="I1830" s="379"/>
      <c r="J1830" s="379"/>
      <c r="K1830" s="379"/>
      <c r="L1830" s="379"/>
      <c r="M1830" s="379"/>
      <c r="N1830" s="379"/>
      <c r="O1830" s="379"/>
      <c r="P1830" s="379"/>
      <c r="Q1830" s="379"/>
      <c r="R1830" s="379"/>
      <c r="S1830" s="379"/>
      <c r="T1830" s="379"/>
      <c r="U1830" s="379"/>
      <c r="V1830" s="379"/>
      <c r="W1830" s="379"/>
      <c r="X1830" s="379"/>
      <c r="Y1830" s="379"/>
      <c r="Z1830" s="379"/>
      <c r="AA1830" s="379"/>
      <c r="AB1830" s="379"/>
      <c r="AC1830" s="379"/>
      <c r="AD1830" s="379"/>
      <c r="AE1830" s="379"/>
      <c r="AF1830" s="379"/>
      <c r="AG1830" s="379"/>
      <c r="AH1830" s="379"/>
      <c r="AI1830" s="379"/>
      <c r="AJ1830" s="379"/>
      <c r="AK1830" s="379"/>
      <c r="AL1830" s="379"/>
      <c r="AM1830" s="379"/>
      <c r="AN1830" s="379"/>
      <c r="AO1830" s="379"/>
      <c r="AP1830" s="379"/>
      <c r="AQ1830" s="379"/>
      <c r="AR1830" s="379"/>
      <c r="AS1830" s="379"/>
      <c r="AT1830" s="379"/>
      <c r="AU1830" s="379"/>
      <c r="AV1830" s="379"/>
      <c r="AW1830" s="379"/>
      <c r="AX1830" s="379"/>
      <c r="AY1830" s="379"/>
      <c r="AZ1830" s="379"/>
      <c r="BA1830" s="379"/>
      <c r="BB1830" s="379"/>
      <c r="BC1830" s="379"/>
      <c r="BD1830" s="379"/>
      <c r="BE1830" s="379"/>
      <c r="BF1830" s="379"/>
      <c r="BG1830" s="379"/>
      <c r="BH1830" s="379"/>
      <c r="BI1830" s="379"/>
      <c r="BJ1830" s="379"/>
      <c r="BK1830" s="379"/>
      <c r="BL1830" s="379"/>
      <c r="BM1830" s="379"/>
      <c r="BN1830" s="379"/>
      <c r="BO1830" s="379"/>
      <c r="BP1830" s="379"/>
      <c r="BQ1830" s="379"/>
      <c r="BR1830" s="379"/>
      <c r="BS1830" s="379"/>
      <c r="BT1830" s="379"/>
      <c r="BU1830" s="379"/>
      <c r="BV1830" s="379"/>
      <c r="BW1830" s="379"/>
      <c r="BX1830" s="379"/>
      <c r="BY1830" s="379"/>
      <c r="BZ1830" s="379"/>
      <c r="CA1830" s="281"/>
      <c r="CB1830" s="3" t="str">
        <f t="shared" si="288"/>
        <v>Riadok bude skrytý.</v>
      </c>
      <c r="CC1830" s="271" t="s">
        <v>832</v>
      </c>
      <c r="CW1830" s="30">
        <f t="shared" si="292"/>
        <v>0</v>
      </c>
      <c r="CX1830" s="30">
        <f t="shared" si="295"/>
        <v>0</v>
      </c>
      <c r="CZ1830" s="30">
        <f t="shared" si="291"/>
        <v>1</v>
      </c>
      <c r="DA1830" s="52">
        <f t="shared" si="294"/>
        <v>0</v>
      </c>
      <c r="DB1830" s="140">
        <f t="shared" si="293"/>
        <v>0</v>
      </c>
      <c r="DZ1830" s="131"/>
    </row>
    <row r="1831" spans="1:130" hidden="1" x14ac:dyDescent="0.25">
      <c r="A1831" s="141"/>
      <c r="B1831" s="379"/>
      <c r="C1831" s="379"/>
      <c r="D1831" s="379"/>
      <c r="E1831" s="379"/>
      <c r="F1831" s="379"/>
      <c r="G1831" s="379"/>
      <c r="H1831" s="379"/>
      <c r="I1831" s="379"/>
      <c r="J1831" s="379"/>
      <c r="K1831" s="379"/>
      <c r="L1831" s="379"/>
      <c r="M1831" s="379"/>
      <c r="N1831" s="379"/>
      <c r="O1831" s="379"/>
      <c r="P1831" s="379"/>
      <c r="Q1831" s="379"/>
      <c r="R1831" s="379"/>
      <c r="S1831" s="379"/>
      <c r="T1831" s="379"/>
      <c r="U1831" s="379"/>
      <c r="V1831" s="379"/>
      <c r="W1831" s="379"/>
      <c r="X1831" s="379"/>
      <c r="Y1831" s="379"/>
      <c r="Z1831" s="379"/>
      <c r="AA1831" s="379"/>
      <c r="AB1831" s="379"/>
      <c r="AC1831" s="379"/>
      <c r="AD1831" s="379"/>
      <c r="AE1831" s="379"/>
      <c r="AF1831" s="379"/>
      <c r="AG1831" s="379"/>
      <c r="AH1831" s="379"/>
      <c r="AI1831" s="379"/>
      <c r="AJ1831" s="379"/>
      <c r="AK1831" s="379"/>
      <c r="AL1831" s="379"/>
      <c r="AM1831" s="379"/>
      <c r="AN1831" s="379"/>
      <c r="AO1831" s="379"/>
      <c r="AP1831" s="379"/>
      <c r="AQ1831" s="379"/>
      <c r="AR1831" s="379"/>
      <c r="AS1831" s="379"/>
      <c r="AT1831" s="379"/>
      <c r="AU1831" s="379"/>
      <c r="AV1831" s="379"/>
      <c r="AW1831" s="379"/>
      <c r="AX1831" s="379"/>
      <c r="AY1831" s="379"/>
      <c r="AZ1831" s="379"/>
      <c r="BA1831" s="379"/>
      <c r="BB1831" s="379"/>
      <c r="BC1831" s="379"/>
      <c r="BD1831" s="379"/>
      <c r="BE1831" s="379"/>
      <c r="BF1831" s="379"/>
      <c r="BG1831" s="379"/>
      <c r="BH1831" s="379"/>
      <c r="BI1831" s="379"/>
      <c r="BJ1831" s="379"/>
      <c r="BK1831" s="379"/>
      <c r="BL1831" s="379"/>
      <c r="BM1831" s="379"/>
      <c r="BN1831" s="379"/>
      <c r="BO1831" s="379"/>
      <c r="BP1831" s="379"/>
      <c r="BQ1831" s="379"/>
      <c r="BR1831" s="379"/>
      <c r="BS1831" s="379"/>
      <c r="BT1831" s="379"/>
      <c r="BU1831" s="379"/>
      <c r="BV1831" s="379"/>
      <c r="BW1831" s="379"/>
      <c r="BX1831" s="379"/>
      <c r="BY1831" s="379"/>
      <c r="BZ1831" s="379"/>
      <c r="CA1831" s="281"/>
      <c r="CB1831" s="3" t="str">
        <f t="shared" si="288"/>
        <v>Riadok bude skrytý.</v>
      </c>
      <c r="CC1831" s="271" t="s">
        <v>832</v>
      </c>
      <c r="CW1831" s="30">
        <f t="shared" si="292"/>
        <v>0</v>
      </c>
      <c r="CX1831" s="30">
        <f t="shared" si="295"/>
        <v>0</v>
      </c>
      <c r="CZ1831" s="30">
        <f t="shared" si="291"/>
        <v>1</v>
      </c>
      <c r="DA1831" s="52">
        <f t="shared" si="294"/>
        <v>0</v>
      </c>
      <c r="DB1831" s="140">
        <f t="shared" si="293"/>
        <v>0</v>
      </c>
      <c r="DZ1831" s="131"/>
    </row>
    <row r="1832" spans="1:130" hidden="1" x14ac:dyDescent="0.25">
      <c r="A1832" s="141"/>
      <c r="CA1832" s="270"/>
      <c r="CB1832" s="3" t="str">
        <f t="shared" si="288"/>
        <v>Riadok bude skrytý.</v>
      </c>
      <c r="CC1832" s="271" t="s">
        <v>832</v>
      </c>
      <c r="CW1832" s="30">
        <f t="shared" si="292"/>
        <v>0</v>
      </c>
      <c r="CX1832" s="30">
        <f>+IF(CX1835+CX1847+CX1859+CX1871=0,0,1)</f>
        <v>0</v>
      </c>
      <c r="CZ1832" s="30">
        <f t="shared" si="291"/>
        <v>1</v>
      </c>
      <c r="DA1832" s="52">
        <f t="shared" si="294"/>
        <v>0</v>
      </c>
      <c r="DB1832" s="140">
        <f t="shared" si="293"/>
        <v>0</v>
      </c>
      <c r="DZ1832" s="131"/>
    </row>
    <row r="1833" spans="1:130" ht="16.3" hidden="1" x14ac:dyDescent="0.3">
      <c r="A1833" s="141"/>
      <c r="B1833" s="137" t="s">
        <v>1025</v>
      </c>
      <c r="G1833" s="16"/>
      <c r="H1833" s="16"/>
      <c r="CA1833" s="265" t="s">
        <v>773</v>
      </c>
      <c r="CB1833" s="3" t="str">
        <f t="shared" si="288"/>
        <v>Riadok bude skrytý.</v>
      </c>
      <c r="CC1833" s="271" t="s">
        <v>832</v>
      </c>
      <c r="CW1833" s="30">
        <f t="shared" si="292"/>
        <v>0</v>
      </c>
      <c r="CX1833" s="30">
        <f>+IF(CX1835+CX1847+CX1859+CX1871=0,0,1)</f>
        <v>0</v>
      </c>
      <c r="CZ1833" s="30">
        <f t="shared" si="291"/>
        <v>1</v>
      </c>
      <c r="DA1833" s="52">
        <f t="shared" si="294"/>
        <v>0</v>
      </c>
      <c r="DB1833" s="140">
        <f t="shared" si="293"/>
        <v>0</v>
      </c>
      <c r="DZ1833" s="131"/>
    </row>
    <row r="1834" spans="1:130" hidden="1" x14ac:dyDescent="0.25">
      <c r="A1834" s="141"/>
      <c r="CA1834" s="281"/>
      <c r="CB1834" s="3" t="str">
        <f t="shared" si="288"/>
        <v>Riadok bude skrytý.</v>
      </c>
      <c r="CC1834" s="271" t="s">
        <v>832</v>
      </c>
      <c r="CW1834" s="30">
        <f t="shared" si="292"/>
        <v>0</v>
      </c>
      <c r="CX1834" s="30">
        <f>+IF(CX1835+CX1847+CX1859+CX1871=0,0,1)</f>
        <v>0</v>
      </c>
      <c r="CZ1834" s="30">
        <f t="shared" si="291"/>
        <v>1</v>
      </c>
      <c r="DA1834" s="52">
        <f t="shared" si="294"/>
        <v>0</v>
      </c>
      <c r="DB1834" s="140">
        <f t="shared" si="293"/>
        <v>0</v>
      </c>
      <c r="DZ1834" s="131"/>
    </row>
    <row r="1835" spans="1:130" hidden="1" x14ac:dyDescent="0.25">
      <c r="A1835" s="141"/>
      <c r="B1835" s="371" t="s">
        <v>1026</v>
      </c>
      <c r="C1835" s="372"/>
      <c r="D1835" s="372"/>
      <c r="E1835" s="372"/>
      <c r="F1835" s="372"/>
      <c r="G1835" s="372"/>
      <c r="H1835" s="372"/>
      <c r="I1835" s="372"/>
      <c r="J1835" s="372"/>
      <c r="K1835" s="372"/>
      <c r="L1835" s="372"/>
      <c r="M1835" s="372"/>
      <c r="N1835" s="372"/>
      <c r="O1835" s="372"/>
      <c r="P1835" s="372"/>
      <c r="Q1835" s="372"/>
      <c r="R1835" s="372"/>
      <c r="S1835" s="372"/>
      <c r="T1835" s="372"/>
      <c r="U1835" s="372"/>
      <c r="V1835" s="372"/>
      <c r="W1835" s="372"/>
      <c r="X1835" s="372"/>
      <c r="Y1835" s="372"/>
      <c r="Z1835" s="372"/>
      <c r="AA1835" s="372"/>
      <c r="AB1835" s="372"/>
      <c r="AC1835" s="372"/>
      <c r="AD1835" s="372"/>
      <c r="AE1835" s="372"/>
      <c r="AF1835" s="372"/>
      <c r="AG1835" s="372"/>
      <c r="AH1835" s="372"/>
      <c r="AI1835" s="372"/>
      <c r="AJ1835" s="372"/>
      <c r="AK1835" s="372"/>
      <c r="AL1835" s="372"/>
      <c r="AM1835" s="372"/>
      <c r="AN1835" s="372"/>
      <c r="AO1835" s="372"/>
      <c r="AP1835" s="372"/>
      <c r="AQ1835" s="372"/>
      <c r="AR1835" s="372"/>
      <c r="AS1835" s="372"/>
      <c r="AT1835" s="372"/>
      <c r="AU1835" s="372"/>
      <c r="AV1835" s="372"/>
      <c r="AW1835" s="372"/>
      <c r="AX1835" s="372"/>
      <c r="AY1835" s="372"/>
      <c r="AZ1835" s="372"/>
      <c r="BA1835" s="372"/>
      <c r="BB1835" s="372"/>
      <c r="BC1835" s="372"/>
      <c r="BD1835" s="372"/>
      <c r="BE1835" s="372"/>
      <c r="BF1835" s="372"/>
      <c r="BG1835" s="372"/>
      <c r="BH1835" s="372"/>
      <c r="BI1835" s="372"/>
      <c r="BJ1835" s="372"/>
      <c r="BK1835" s="372"/>
      <c r="BL1835" s="372"/>
      <c r="BM1835" s="372"/>
      <c r="BN1835" s="372"/>
      <c r="BO1835" s="372"/>
      <c r="BP1835" s="372"/>
      <c r="BQ1835" s="372"/>
      <c r="BR1835" s="372"/>
      <c r="BS1835" s="372"/>
      <c r="BT1835" s="372"/>
      <c r="BU1835" s="372"/>
      <c r="BV1835" s="372"/>
      <c r="BW1835" s="372"/>
      <c r="BX1835" s="372"/>
      <c r="BY1835" s="372"/>
      <c r="BZ1835" s="373"/>
      <c r="CA1835" s="265" t="s">
        <v>773</v>
      </c>
      <c r="CB1835" s="3" t="str">
        <f t="shared" si="288"/>
        <v>Riadok bude skrytý.</v>
      </c>
      <c r="CC1835" s="271" t="s">
        <v>832</v>
      </c>
      <c r="CW1835" s="30">
        <f t="shared" si="292"/>
        <v>0</v>
      </c>
      <c r="CX1835" s="30">
        <f>+IF(SUM(CX1837:CX1846)=0,0,1)</f>
        <v>0</v>
      </c>
      <c r="CZ1835" s="30">
        <f t="shared" si="291"/>
        <v>1</v>
      </c>
      <c r="DA1835" s="52">
        <f t="shared" si="294"/>
        <v>0</v>
      </c>
      <c r="DB1835" s="140">
        <f t="shared" si="293"/>
        <v>0</v>
      </c>
      <c r="DZ1835" s="131"/>
    </row>
    <row r="1836" spans="1:130" hidden="1" x14ac:dyDescent="0.25">
      <c r="A1836" s="141"/>
      <c r="B1836" s="374" t="s">
        <v>1027</v>
      </c>
      <c r="C1836" s="375"/>
      <c r="D1836" s="375"/>
      <c r="E1836" s="375"/>
      <c r="F1836" s="375"/>
      <c r="G1836" s="375"/>
      <c r="H1836" s="375"/>
      <c r="I1836" s="375"/>
      <c r="J1836" s="375"/>
      <c r="K1836" s="375"/>
      <c r="L1836" s="375"/>
      <c r="M1836" s="375"/>
      <c r="N1836" s="375"/>
      <c r="O1836" s="375"/>
      <c r="P1836" s="375"/>
      <c r="Q1836" s="375" t="s">
        <v>1028</v>
      </c>
      <c r="R1836" s="375"/>
      <c r="S1836" s="375"/>
      <c r="T1836" s="375"/>
      <c r="U1836" s="375"/>
      <c r="V1836" s="375"/>
      <c r="W1836" s="375"/>
      <c r="X1836" s="375"/>
      <c r="Y1836" s="375"/>
      <c r="Z1836" s="375"/>
      <c r="AA1836" s="375"/>
      <c r="AB1836" s="375"/>
      <c r="AC1836" s="375"/>
      <c r="AD1836" s="375"/>
      <c r="AE1836" s="375"/>
      <c r="AF1836" s="356" t="s">
        <v>1029</v>
      </c>
      <c r="AG1836" s="356"/>
      <c r="AH1836" s="356"/>
      <c r="AI1836" s="356"/>
      <c r="AJ1836" s="356"/>
      <c r="AK1836" s="356"/>
      <c r="AL1836" s="356"/>
      <c r="AM1836" s="356"/>
      <c r="AN1836" s="356"/>
      <c r="AO1836" s="356"/>
      <c r="AP1836" s="356"/>
      <c r="AQ1836" s="356"/>
      <c r="AR1836" s="356"/>
      <c r="AS1836" s="356"/>
      <c r="AT1836" s="356"/>
      <c r="AU1836" s="356"/>
      <c r="AV1836" s="356"/>
      <c r="AW1836" s="356" t="s">
        <v>1030</v>
      </c>
      <c r="AX1836" s="356"/>
      <c r="AY1836" s="356"/>
      <c r="AZ1836" s="356"/>
      <c r="BA1836" s="356"/>
      <c r="BB1836" s="356"/>
      <c r="BC1836" s="356"/>
      <c r="BD1836" s="356"/>
      <c r="BE1836" s="356"/>
      <c r="BF1836" s="356"/>
      <c r="BG1836" s="356"/>
      <c r="BH1836" s="356"/>
      <c r="BI1836" s="356"/>
      <c r="BJ1836" s="356"/>
      <c r="BK1836" s="356"/>
      <c r="BL1836" s="356"/>
      <c r="BM1836" s="356"/>
      <c r="BN1836" s="356"/>
      <c r="BO1836" s="357" t="s">
        <v>1031</v>
      </c>
      <c r="BP1836" s="357"/>
      <c r="BQ1836" s="357"/>
      <c r="BR1836" s="357"/>
      <c r="BS1836" s="357"/>
      <c r="BT1836" s="357"/>
      <c r="BU1836" s="357"/>
      <c r="BV1836" s="357"/>
      <c r="BW1836" s="357"/>
      <c r="BX1836" s="357"/>
      <c r="BY1836" s="357"/>
      <c r="BZ1836" s="358"/>
      <c r="CA1836" s="142"/>
      <c r="CB1836" s="3" t="str">
        <f t="shared" si="288"/>
        <v>Riadok bude skrytý.</v>
      </c>
      <c r="CC1836" s="271" t="s">
        <v>832</v>
      </c>
      <c r="CW1836" s="30">
        <f t="shared" si="292"/>
        <v>0</v>
      </c>
      <c r="CX1836" s="30">
        <f>+IF(SUM(CX1837:CX1846)=0,0,1)</f>
        <v>0</v>
      </c>
      <c r="CZ1836" s="30">
        <f t="shared" si="291"/>
        <v>1</v>
      </c>
      <c r="DA1836" s="52">
        <f t="shared" si="294"/>
        <v>0</v>
      </c>
      <c r="DB1836" s="140">
        <f t="shared" si="293"/>
        <v>0</v>
      </c>
      <c r="DZ1836" s="131"/>
    </row>
    <row r="1837" spans="1:130" hidden="1" x14ac:dyDescent="0.25">
      <c r="A1837" s="141"/>
      <c r="B1837" s="363"/>
      <c r="C1837" s="364"/>
      <c r="D1837" s="364"/>
      <c r="E1837" s="364"/>
      <c r="F1837" s="364"/>
      <c r="G1837" s="364"/>
      <c r="H1837" s="364"/>
      <c r="I1837" s="364"/>
      <c r="J1837" s="364"/>
      <c r="K1837" s="364"/>
      <c r="L1837" s="364"/>
      <c r="M1837" s="364"/>
      <c r="N1837" s="364"/>
      <c r="O1837" s="364"/>
      <c r="P1837" s="364"/>
      <c r="Q1837" s="365"/>
      <c r="R1837" s="365"/>
      <c r="S1837" s="365"/>
      <c r="T1837" s="365"/>
      <c r="U1837" s="365"/>
      <c r="V1837" s="365"/>
      <c r="W1837" s="365"/>
      <c r="X1837" s="365"/>
      <c r="Y1837" s="365"/>
      <c r="Z1837" s="365"/>
      <c r="AA1837" s="365"/>
      <c r="AB1837" s="365"/>
      <c r="AC1837" s="365"/>
      <c r="AD1837" s="365"/>
      <c r="AE1837" s="365"/>
      <c r="AF1837" s="366" t="str">
        <f t="shared" ref="AF1837:AF1846" si="296">+IF(B1837="","",ROUND(B1837*Q1837,2))</f>
        <v/>
      </c>
      <c r="AG1837" s="366"/>
      <c r="AH1837" s="366"/>
      <c r="AI1837" s="366"/>
      <c r="AJ1837" s="366"/>
      <c r="AK1837" s="366"/>
      <c r="AL1837" s="366"/>
      <c r="AM1837" s="366"/>
      <c r="AN1837" s="366"/>
      <c r="AO1837" s="366"/>
      <c r="AP1837" s="366"/>
      <c r="AQ1837" s="366"/>
      <c r="AR1837" s="366"/>
      <c r="AS1837" s="366"/>
      <c r="AT1837" s="366"/>
      <c r="AU1837" s="366"/>
      <c r="AV1837" s="366"/>
      <c r="AW1837" s="332"/>
      <c r="AX1837" s="332"/>
      <c r="AY1837" s="332"/>
      <c r="AZ1837" s="332"/>
      <c r="BA1837" s="332"/>
      <c r="BB1837" s="332"/>
      <c r="BC1837" s="332"/>
      <c r="BD1837" s="332"/>
      <c r="BE1837" s="332"/>
      <c r="BF1837" s="332"/>
      <c r="BG1837" s="332"/>
      <c r="BH1837" s="332"/>
      <c r="BI1837" s="332"/>
      <c r="BJ1837" s="332"/>
      <c r="BK1837" s="332"/>
      <c r="BL1837" s="332"/>
      <c r="BM1837" s="332"/>
      <c r="BN1837" s="332"/>
      <c r="BO1837" s="333" t="str">
        <f t="shared" ref="BO1837:BO1846" si="297">+IF(AF1837="","",IF(AW1837="","",IF(ROUND(AF1837/AW1837,4)&gt;100%,"chyba",ROUND(AF1837/AW1837,4))))</f>
        <v/>
      </c>
      <c r="BP1837" s="333"/>
      <c r="BQ1837" s="333"/>
      <c r="BR1837" s="333"/>
      <c r="BS1837" s="333"/>
      <c r="BT1837" s="333"/>
      <c r="BU1837" s="333"/>
      <c r="BV1837" s="333"/>
      <c r="BW1837" s="333"/>
      <c r="BX1837" s="333"/>
      <c r="BY1837" s="333"/>
      <c r="BZ1837" s="334"/>
      <c r="CA1837" s="142"/>
      <c r="CB1837" s="3" t="str">
        <f t="shared" si="288"/>
        <v>Riadok bude skrytý.</v>
      </c>
      <c r="CC1837" s="271" t="s">
        <v>832</v>
      </c>
      <c r="CW1837" s="30">
        <f t="shared" si="292"/>
        <v>0</v>
      </c>
      <c r="CX1837" s="30">
        <f>+IF(B1837="",IF(Q1837="",IF(AW1837="",0,1),1),1)</f>
        <v>0</v>
      </c>
      <c r="CZ1837" s="30">
        <f t="shared" si="291"/>
        <v>1</v>
      </c>
      <c r="DA1837" s="52">
        <f t="shared" si="294"/>
        <v>0</v>
      </c>
      <c r="DB1837" s="140">
        <f t="shared" si="293"/>
        <v>0</v>
      </c>
      <c r="DZ1837" s="131"/>
    </row>
    <row r="1838" spans="1:130" hidden="1" x14ac:dyDescent="0.25">
      <c r="A1838" s="141"/>
      <c r="B1838" s="363"/>
      <c r="C1838" s="364"/>
      <c r="D1838" s="364"/>
      <c r="E1838" s="364"/>
      <c r="F1838" s="364"/>
      <c r="G1838" s="364"/>
      <c r="H1838" s="364"/>
      <c r="I1838" s="364"/>
      <c r="J1838" s="364"/>
      <c r="K1838" s="364"/>
      <c r="L1838" s="364"/>
      <c r="M1838" s="364"/>
      <c r="N1838" s="364"/>
      <c r="O1838" s="364"/>
      <c r="P1838" s="364"/>
      <c r="Q1838" s="365"/>
      <c r="R1838" s="365"/>
      <c r="S1838" s="365"/>
      <c r="T1838" s="365"/>
      <c r="U1838" s="365"/>
      <c r="V1838" s="365"/>
      <c r="W1838" s="365"/>
      <c r="X1838" s="365"/>
      <c r="Y1838" s="365"/>
      <c r="Z1838" s="365"/>
      <c r="AA1838" s="365"/>
      <c r="AB1838" s="365"/>
      <c r="AC1838" s="365"/>
      <c r="AD1838" s="365"/>
      <c r="AE1838" s="365"/>
      <c r="AF1838" s="366" t="str">
        <f t="shared" si="296"/>
        <v/>
      </c>
      <c r="AG1838" s="366"/>
      <c r="AH1838" s="366"/>
      <c r="AI1838" s="366"/>
      <c r="AJ1838" s="366"/>
      <c r="AK1838" s="366"/>
      <c r="AL1838" s="366"/>
      <c r="AM1838" s="366"/>
      <c r="AN1838" s="366"/>
      <c r="AO1838" s="366"/>
      <c r="AP1838" s="366"/>
      <c r="AQ1838" s="366"/>
      <c r="AR1838" s="366"/>
      <c r="AS1838" s="366"/>
      <c r="AT1838" s="366"/>
      <c r="AU1838" s="366"/>
      <c r="AV1838" s="366"/>
      <c r="AW1838" s="332"/>
      <c r="AX1838" s="332"/>
      <c r="AY1838" s="332"/>
      <c r="AZ1838" s="332"/>
      <c r="BA1838" s="332"/>
      <c r="BB1838" s="332"/>
      <c r="BC1838" s="332"/>
      <c r="BD1838" s="332"/>
      <c r="BE1838" s="332"/>
      <c r="BF1838" s="332"/>
      <c r="BG1838" s="332"/>
      <c r="BH1838" s="332"/>
      <c r="BI1838" s="332"/>
      <c r="BJ1838" s="332"/>
      <c r="BK1838" s="332"/>
      <c r="BL1838" s="332"/>
      <c r="BM1838" s="332"/>
      <c r="BN1838" s="332"/>
      <c r="BO1838" s="333" t="str">
        <f t="shared" si="297"/>
        <v/>
      </c>
      <c r="BP1838" s="333"/>
      <c r="BQ1838" s="333"/>
      <c r="BR1838" s="333"/>
      <c r="BS1838" s="333"/>
      <c r="BT1838" s="333"/>
      <c r="BU1838" s="333"/>
      <c r="BV1838" s="333"/>
      <c r="BW1838" s="333"/>
      <c r="BX1838" s="333"/>
      <c r="BY1838" s="333"/>
      <c r="BZ1838" s="334"/>
      <c r="CA1838" s="142"/>
      <c r="CB1838" s="3" t="str">
        <f t="shared" si="288"/>
        <v>Riadok bude skrytý.</v>
      </c>
      <c r="CC1838" s="271" t="s">
        <v>832</v>
      </c>
      <c r="CW1838" s="30">
        <f t="shared" si="292"/>
        <v>0</v>
      </c>
      <c r="CX1838" s="30">
        <f t="shared" ref="CX1838:CX1845" si="298">+IF(B1838="",IF(Q1838="",IF(AW1838="",0,1),1),1)</f>
        <v>0</v>
      </c>
      <c r="CZ1838" s="30">
        <f t="shared" si="291"/>
        <v>1</v>
      </c>
      <c r="DA1838" s="52">
        <f t="shared" si="294"/>
        <v>0</v>
      </c>
      <c r="DB1838" s="140">
        <f t="shared" si="293"/>
        <v>0</v>
      </c>
      <c r="DZ1838" s="131"/>
    </row>
    <row r="1839" spans="1:130" hidden="1" x14ac:dyDescent="0.25">
      <c r="A1839" s="141"/>
      <c r="B1839" s="363"/>
      <c r="C1839" s="364"/>
      <c r="D1839" s="364"/>
      <c r="E1839" s="364"/>
      <c r="F1839" s="364"/>
      <c r="G1839" s="364"/>
      <c r="H1839" s="364"/>
      <c r="I1839" s="364"/>
      <c r="J1839" s="364"/>
      <c r="K1839" s="364"/>
      <c r="L1839" s="364"/>
      <c r="M1839" s="364"/>
      <c r="N1839" s="364"/>
      <c r="O1839" s="364"/>
      <c r="P1839" s="364"/>
      <c r="Q1839" s="365"/>
      <c r="R1839" s="365"/>
      <c r="S1839" s="365"/>
      <c r="T1839" s="365"/>
      <c r="U1839" s="365"/>
      <c r="V1839" s="365"/>
      <c r="W1839" s="365"/>
      <c r="X1839" s="365"/>
      <c r="Y1839" s="365"/>
      <c r="Z1839" s="365"/>
      <c r="AA1839" s="365"/>
      <c r="AB1839" s="365"/>
      <c r="AC1839" s="365"/>
      <c r="AD1839" s="365"/>
      <c r="AE1839" s="365"/>
      <c r="AF1839" s="366" t="str">
        <f t="shared" si="296"/>
        <v/>
      </c>
      <c r="AG1839" s="366"/>
      <c r="AH1839" s="366"/>
      <c r="AI1839" s="366"/>
      <c r="AJ1839" s="366"/>
      <c r="AK1839" s="366"/>
      <c r="AL1839" s="366"/>
      <c r="AM1839" s="366"/>
      <c r="AN1839" s="366"/>
      <c r="AO1839" s="366"/>
      <c r="AP1839" s="366"/>
      <c r="AQ1839" s="366"/>
      <c r="AR1839" s="366"/>
      <c r="AS1839" s="366"/>
      <c r="AT1839" s="366"/>
      <c r="AU1839" s="366"/>
      <c r="AV1839" s="366"/>
      <c r="AW1839" s="332"/>
      <c r="AX1839" s="332"/>
      <c r="AY1839" s="332"/>
      <c r="AZ1839" s="332"/>
      <c r="BA1839" s="332"/>
      <c r="BB1839" s="332"/>
      <c r="BC1839" s="332"/>
      <c r="BD1839" s="332"/>
      <c r="BE1839" s="332"/>
      <c r="BF1839" s="332"/>
      <c r="BG1839" s="332"/>
      <c r="BH1839" s="332"/>
      <c r="BI1839" s="332"/>
      <c r="BJ1839" s="332"/>
      <c r="BK1839" s="332"/>
      <c r="BL1839" s="332"/>
      <c r="BM1839" s="332"/>
      <c r="BN1839" s="332"/>
      <c r="BO1839" s="333" t="str">
        <f t="shared" si="297"/>
        <v/>
      </c>
      <c r="BP1839" s="333"/>
      <c r="BQ1839" s="333"/>
      <c r="BR1839" s="333"/>
      <c r="BS1839" s="333"/>
      <c r="BT1839" s="333"/>
      <c r="BU1839" s="333"/>
      <c r="BV1839" s="333"/>
      <c r="BW1839" s="333"/>
      <c r="BX1839" s="333"/>
      <c r="BY1839" s="333"/>
      <c r="BZ1839" s="334"/>
      <c r="CA1839" s="142"/>
      <c r="CB1839" s="3" t="str">
        <f t="shared" si="288"/>
        <v>Riadok bude skrytý.</v>
      </c>
      <c r="CC1839" s="271" t="s">
        <v>832</v>
      </c>
      <c r="CW1839" s="30">
        <f t="shared" si="292"/>
        <v>0</v>
      </c>
      <c r="CX1839" s="30">
        <f t="shared" si="298"/>
        <v>0</v>
      </c>
      <c r="CZ1839" s="30">
        <f t="shared" si="291"/>
        <v>1</v>
      </c>
      <c r="DA1839" s="52">
        <f t="shared" si="294"/>
        <v>0</v>
      </c>
      <c r="DB1839" s="140">
        <f t="shared" si="293"/>
        <v>0</v>
      </c>
      <c r="DZ1839" s="131"/>
    </row>
    <row r="1840" spans="1:130" hidden="1" x14ac:dyDescent="0.25">
      <c r="A1840" s="141"/>
      <c r="B1840" s="363"/>
      <c r="C1840" s="364"/>
      <c r="D1840" s="364"/>
      <c r="E1840" s="364"/>
      <c r="F1840" s="364"/>
      <c r="G1840" s="364"/>
      <c r="H1840" s="364"/>
      <c r="I1840" s="364"/>
      <c r="J1840" s="364"/>
      <c r="K1840" s="364"/>
      <c r="L1840" s="364"/>
      <c r="M1840" s="364"/>
      <c r="N1840" s="364"/>
      <c r="O1840" s="364"/>
      <c r="P1840" s="364"/>
      <c r="Q1840" s="365"/>
      <c r="R1840" s="365"/>
      <c r="S1840" s="365"/>
      <c r="T1840" s="365"/>
      <c r="U1840" s="365"/>
      <c r="V1840" s="365"/>
      <c r="W1840" s="365"/>
      <c r="X1840" s="365"/>
      <c r="Y1840" s="365"/>
      <c r="Z1840" s="365"/>
      <c r="AA1840" s="365"/>
      <c r="AB1840" s="365"/>
      <c r="AC1840" s="365"/>
      <c r="AD1840" s="365"/>
      <c r="AE1840" s="365"/>
      <c r="AF1840" s="366" t="str">
        <f t="shared" si="296"/>
        <v/>
      </c>
      <c r="AG1840" s="366"/>
      <c r="AH1840" s="366"/>
      <c r="AI1840" s="366"/>
      <c r="AJ1840" s="366"/>
      <c r="AK1840" s="366"/>
      <c r="AL1840" s="366"/>
      <c r="AM1840" s="366"/>
      <c r="AN1840" s="366"/>
      <c r="AO1840" s="366"/>
      <c r="AP1840" s="366"/>
      <c r="AQ1840" s="366"/>
      <c r="AR1840" s="366"/>
      <c r="AS1840" s="366"/>
      <c r="AT1840" s="366"/>
      <c r="AU1840" s="366"/>
      <c r="AV1840" s="366"/>
      <c r="AW1840" s="332"/>
      <c r="AX1840" s="332"/>
      <c r="AY1840" s="332"/>
      <c r="AZ1840" s="332"/>
      <c r="BA1840" s="332"/>
      <c r="BB1840" s="332"/>
      <c r="BC1840" s="332"/>
      <c r="BD1840" s="332"/>
      <c r="BE1840" s="332"/>
      <c r="BF1840" s="332"/>
      <c r="BG1840" s="332"/>
      <c r="BH1840" s="332"/>
      <c r="BI1840" s="332"/>
      <c r="BJ1840" s="332"/>
      <c r="BK1840" s="332"/>
      <c r="BL1840" s="332"/>
      <c r="BM1840" s="332"/>
      <c r="BN1840" s="332"/>
      <c r="BO1840" s="333" t="str">
        <f t="shared" si="297"/>
        <v/>
      </c>
      <c r="BP1840" s="333"/>
      <c r="BQ1840" s="333"/>
      <c r="BR1840" s="333"/>
      <c r="BS1840" s="333"/>
      <c r="BT1840" s="333"/>
      <c r="BU1840" s="333"/>
      <c r="BV1840" s="333"/>
      <c r="BW1840" s="333"/>
      <c r="BX1840" s="333"/>
      <c r="BY1840" s="333"/>
      <c r="BZ1840" s="334"/>
      <c r="CA1840" s="142"/>
      <c r="CB1840" s="3" t="str">
        <f t="shared" si="288"/>
        <v>Riadok bude skrytý.</v>
      </c>
      <c r="CC1840" s="271" t="s">
        <v>832</v>
      </c>
      <c r="CW1840" s="30">
        <f t="shared" si="292"/>
        <v>0</v>
      </c>
      <c r="CX1840" s="30">
        <f t="shared" si="298"/>
        <v>0</v>
      </c>
      <c r="CZ1840" s="30">
        <f t="shared" si="291"/>
        <v>1</v>
      </c>
      <c r="DA1840" s="52">
        <f t="shared" si="294"/>
        <v>0</v>
      </c>
      <c r="DB1840" s="140">
        <f t="shared" si="293"/>
        <v>0</v>
      </c>
      <c r="DZ1840" s="131"/>
    </row>
    <row r="1841" spans="1:130" hidden="1" x14ac:dyDescent="0.25">
      <c r="A1841" s="141"/>
      <c r="B1841" s="363"/>
      <c r="C1841" s="364"/>
      <c r="D1841" s="364"/>
      <c r="E1841" s="364"/>
      <c r="F1841" s="364"/>
      <c r="G1841" s="364"/>
      <c r="H1841" s="364"/>
      <c r="I1841" s="364"/>
      <c r="J1841" s="364"/>
      <c r="K1841" s="364"/>
      <c r="L1841" s="364"/>
      <c r="M1841" s="364"/>
      <c r="N1841" s="364"/>
      <c r="O1841" s="364"/>
      <c r="P1841" s="364"/>
      <c r="Q1841" s="365"/>
      <c r="R1841" s="365"/>
      <c r="S1841" s="365"/>
      <c r="T1841" s="365"/>
      <c r="U1841" s="365"/>
      <c r="V1841" s="365"/>
      <c r="W1841" s="365"/>
      <c r="X1841" s="365"/>
      <c r="Y1841" s="365"/>
      <c r="Z1841" s="365"/>
      <c r="AA1841" s="365"/>
      <c r="AB1841" s="365"/>
      <c r="AC1841" s="365"/>
      <c r="AD1841" s="365"/>
      <c r="AE1841" s="365"/>
      <c r="AF1841" s="366" t="str">
        <f t="shared" si="296"/>
        <v/>
      </c>
      <c r="AG1841" s="366"/>
      <c r="AH1841" s="366"/>
      <c r="AI1841" s="366"/>
      <c r="AJ1841" s="366"/>
      <c r="AK1841" s="366"/>
      <c r="AL1841" s="366"/>
      <c r="AM1841" s="366"/>
      <c r="AN1841" s="366"/>
      <c r="AO1841" s="366"/>
      <c r="AP1841" s="366"/>
      <c r="AQ1841" s="366"/>
      <c r="AR1841" s="366"/>
      <c r="AS1841" s="366"/>
      <c r="AT1841" s="366"/>
      <c r="AU1841" s="366"/>
      <c r="AV1841" s="366"/>
      <c r="AW1841" s="332"/>
      <c r="AX1841" s="332"/>
      <c r="AY1841" s="332"/>
      <c r="AZ1841" s="332"/>
      <c r="BA1841" s="332"/>
      <c r="BB1841" s="332"/>
      <c r="BC1841" s="332"/>
      <c r="BD1841" s="332"/>
      <c r="BE1841" s="332"/>
      <c r="BF1841" s="332"/>
      <c r="BG1841" s="332"/>
      <c r="BH1841" s="332"/>
      <c r="BI1841" s="332"/>
      <c r="BJ1841" s="332"/>
      <c r="BK1841" s="332"/>
      <c r="BL1841" s="332"/>
      <c r="BM1841" s="332"/>
      <c r="BN1841" s="332"/>
      <c r="BO1841" s="333" t="str">
        <f t="shared" si="297"/>
        <v/>
      </c>
      <c r="BP1841" s="333"/>
      <c r="BQ1841" s="333"/>
      <c r="BR1841" s="333"/>
      <c r="BS1841" s="333"/>
      <c r="BT1841" s="333"/>
      <c r="BU1841" s="333"/>
      <c r="BV1841" s="333"/>
      <c r="BW1841" s="333"/>
      <c r="BX1841" s="333"/>
      <c r="BY1841" s="333"/>
      <c r="BZ1841" s="334"/>
      <c r="CA1841" s="142"/>
      <c r="CB1841" s="3" t="str">
        <f t="shared" si="288"/>
        <v>Riadok bude skrytý.</v>
      </c>
      <c r="CC1841" s="271" t="s">
        <v>832</v>
      </c>
      <c r="CW1841" s="30">
        <f t="shared" si="292"/>
        <v>0</v>
      </c>
      <c r="CX1841" s="30">
        <f t="shared" si="298"/>
        <v>0</v>
      </c>
      <c r="CZ1841" s="30">
        <f>IF(CC1841="",1,IF(CC1841="Chcem skryť riadok.",0,1))</f>
        <v>1</v>
      </c>
      <c r="DA1841" s="52">
        <f t="shared" si="294"/>
        <v>0</v>
      </c>
      <c r="DB1841" s="140">
        <f t="shared" si="293"/>
        <v>0</v>
      </c>
      <c r="DZ1841" s="131"/>
    </row>
    <row r="1842" spans="1:130" hidden="1" x14ac:dyDescent="0.25">
      <c r="A1842" s="141"/>
      <c r="B1842" s="363"/>
      <c r="C1842" s="364"/>
      <c r="D1842" s="364"/>
      <c r="E1842" s="364"/>
      <c r="F1842" s="364"/>
      <c r="G1842" s="364"/>
      <c r="H1842" s="364"/>
      <c r="I1842" s="364"/>
      <c r="J1842" s="364"/>
      <c r="K1842" s="364"/>
      <c r="L1842" s="364"/>
      <c r="M1842" s="364"/>
      <c r="N1842" s="364"/>
      <c r="O1842" s="364"/>
      <c r="P1842" s="364"/>
      <c r="Q1842" s="365"/>
      <c r="R1842" s="365"/>
      <c r="S1842" s="365"/>
      <c r="T1842" s="365"/>
      <c r="U1842" s="365"/>
      <c r="V1842" s="365"/>
      <c r="W1842" s="365"/>
      <c r="X1842" s="365"/>
      <c r="Y1842" s="365"/>
      <c r="Z1842" s="365"/>
      <c r="AA1842" s="365"/>
      <c r="AB1842" s="365"/>
      <c r="AC1842" s="365"/>
      <c r="AD1842" s="365"/>
      <c r="AE1842" s="365"/>
      <c r="AF1842" s="366" t="str">
        <f t="shared" si="296"/>
        <v/>
      </c>
      <c r="AG1842" s="366"/>
      <c r="AH1842" s="366"/>
      <c r="AI1842" s="366"/>
      <c r="AJ1842" s="366"/>
      <c r="AK1842" s="366"/>
      <c r="AL1842" s="366"/>
      <c r="AM1842" s="366"/>
      <c r="AN1842" s="366"/>
      <c r="AO1842" s="366"/>
      <c r="AP1842" s="366"/>
      <c r="AQ1842" s="366"/>
      <c r="AR1842" s="366"/>
      <c r="AS1842" s="366"/>
      <c r="AT1842" s="366"/>
      <c r="AU1842" s="366"/>
      <c r="AV1842" s="366"/>
      <c r="AW1842" s="332"/>
      <c r="AX1842" s="332"/>
      <c r="AY1842" s="332"/>
      <c r="AZ1842" s="332"/>
      <c r="BA1842" s="332"/>
      <c r="BB1842" s="332"/>
      <c r="BC1842" s="332"/>
      <c r="BD1842" s="332"/>
      <c r="BE1842" s="332"/>
      <c r="BF1842" s="332"/>
      <c r="BG1842" s="332"/>
      <c r="BH1842" s="332"/>
      <c r="BI1842" s="332"/>
      <c r="BJ1842" s="332"/>
      <c r="BK1842" s="332"/>
      <c r="BL1842" s="332"/>
      <c r="BM1842" s="332"/>
      <c r="BN1842" s="332"/>
      <c r="BO1842" s="333" t="str">
        <f t="shared" si="297"/>
        <v/>
      </c>
      <c r="BP1842" s="333"/>
      <c r="BQ1842" s="333"/>
      <c r="BR1842" s="333"/>
      <c r="BS1842" s="333"/>
      <c r="BT1842" s="333"/>
      <c r="BU1842" s="333"/>
      <c r="BV1842" s="333"/>
      <c r="BW1842" s="333"/>
      <c r="BX1842" s="333"/>
      <c r="BY1842" s="333"/>
      <c r="BZ1842" s="334"/>
      <c r="CA1842" s="142"/>
      <c r="CB1842" s="3" t="str">
        <f t="shared" si="288"/>
        <v>Riadok bude skrytý.</v>
      </c>
      <c r="CC1842" s="271" t="s">
        <v>832</v>
      </c>
      <c r="CW1842" s="30">
        <f t="shared" si="292"/>
        <v>0</v>
      </c>
      <c r="CX1842" s="30">
        <f t="shared" si="298"/>
        <v>0</v>
      </c>
      <c r="CZ1842" s="30">
        <f t="shared" si="291"/>
        <v>1</v>
      </c>
      <c r="DA1842" s="52">
        <f t="shared" si="294"/>
        <v>0</v>
      </c>
      <c r="DB1842" s="140">
        <f t="shared" si="293"/>
        <v>0</v>
      </c>
      <c r="DZ1842" s="131"/>
    </row>
    <row r="1843" spans="1:130" hidden="1" x14ac:dyDescent="0.25">
      <c r="A1843" s="141"/>
      <c r="B1843" s="363"/>
      <c r="C1843" s="364"/>
      <c r="D1843" s="364"/>
      <c r="E1843" s="364"/>
      <c r="F1843" s="364"/>
      <c r="G1843" s="364"/>
      <c r="H1843" s="364"/>
      <c r="I1843" s="364"/>
      <c r="J1843" s="364"/>
      <c r="K1843" s="364"/>
      <c r="L1843" s="364"/>
      <c r="M1843" s="364"/>
      <c r="N1843" s="364"/>
      <c r="O1843" s="364"/>
      <c r="P1843" s="364"/>
      <c r="Q1843" s="365"/>
      <c r="R1843" s="365"/>
      <c r="S1843" s="365"/>
      <c r="T1843" s="365"/>
      <c r="U1843" s="365"/>
      <c r="V1843" s="365"/>
      <c r="W1843" s="365"/>
      <c r="X1843" s="365"/>
      <c r="Y1843" s="365"/>
      <c r="Z1843" s="365"/>
      <c r="AA1843" s="365"/>
      <c r="AB1843" s="365"/>
      <c r="AC1843" s="365"/>
      <c r="AD1843" s="365"/>
      <c r="AE1843" s="365"/>
      <c r="AF1843" s="366" t="str">
        <f t="shared" si="296"/>
        <v/>
      </c>
      <c r="AG1843" s="366"/>
      <c r="AH1843" s="366"/>
      <c r="AI1843" s="366"/>
      <c r="AJ1843" s="366"/>
      <c r="AK1843" s="366"/>
      <c r="AL1843" s="366"/>
      <c r="AM1843" s="366"/>
      <c r="AN1843" s="366"/>
      <c r="AO1843" s="366"/>
      <c r="AP1843" s="366"/>
      <c r="AQ1843" s="366"/>
      <c r="AR1843" s="366"/>
      <c r="AS1843" s="366"/>
      <c r="AT1843" s="366"/>
      <c r="AU1843" s="366"/>
      <c r="AV1843" s="366"/>
      <c r="AW1843" s="332"/>
      <c r="AX1843" s="332"/>
      <c r="AY1843" s="332"/>
      <c r="AZ1843" s="332"/>
      <c r="BA1843" s="332"/>
      <c r="BB1843" s="332"/>
      <c r="BC1843" s="332"/>
      <c r="BD1843" s="332"/>
      <c r="BE1843" s="332"/>
      <c r="BF1843" s="332"/>
      <c r="BG1843" s="332"/>
      <c r="BH1843" s="332"/>
      <c r="BI1843" s="332"/>
      <c r="BJ1843" s="332"/>
      <c r="BK1843" s="332"/>
      <c r="BL1843" s="332"/>
      <c r="BM1843" s="332"/>
      <c r="BN1843" s="332"/>
      <c r="BO1843" s="333" t="str">
        <f t="shared" si="297"/>
        <v/>
      </c>
      <c r="BP1843" s="333"/>
      <c r="BQ1843" s="333"/>
      <c r="BR1843" s="333"/>
      <c r="BS1843" s="333"/>
      <c r="BT1843" s="333"/>
      <c r="BU1843" s="333"/>
      <c r="BV1843" s="333"/>
      <c r="BW1843" s="333"/>
      <c r="BX1843" s="333"/>
      <c r="BY1843" s="333"/>
      <c r="BZ1843" s="334"/>
      <c r="CA1843" s="142"/>
      <c r="CB1843" s="3" t="str">
        <f t="shared" ref="CB1843:CB1906" si="299">+IF(DB1843=0,"Riadok bude skrytý.","Riadok bude vidieť.")</f>
        <v>Riadok bude skrytý.</v>
      </c>
      <c r="CC1843" s="271" t="s">
        <v>832</v>
      </c>
      <c r="CW1843" s="30">
        <f t="shared" si="292"/>
        <v>0</v>
      </c>
      <c r="CX1843" s="30">
        <f t="shared" si="298"/>
        <v>0</v>
      </c>
      <c r="CZ1843" s="30">
        <f>IF(CC1843="",1,IF(CC1843="Chcem skryť riadok.",0,1))</f>
        <v>1</v>
      </c>
      <c r="DA1843" s="52">
        <f t="shared" si="294"/>
        <v>0</v>
      </c>
      <c r="DB1843" s="140">
        <f t="shared" si="293"/>
        <v>0</v>
      </c>
      <c r="DZ1843" s="131"/>
    </row>
    <row r="1844" spans="1:130" hidden="1" x14ac:dyDescent="0.25">
      <c r="A1844" s="141"/>
      <c r="B1844" s="363"/>
      <c r="C1844" s="364"/>
      <c r="D1844" s="364"/>
      <c r="E1844" s="364"/>
      <c r="F1844" s="364"/>
      <c r="G1844" s="364"/>
      <c r="H1844" s="364"/>
      <c r="I1844" s="364"/>
      <c r="J1844" s="364"/>
      <c r="K1844" s="364"/>
      <c r="L1844" s="364"/>
      <c r="M1844" s="364"/>
      <c r="N1844" s="364"/>
      <c r="O1844" s="364"/>
      <c r="P1844" s="364"/>
      <c r="Q1844" s="365"/>
      <c r="R1844" s="365"/>
      <c r="S1844" s="365"/>
      <c r="T1844" s="365"/>
      <c r="U1844" s="365"/>
      <c r="V1844" s="365"/>
      <c r="W1844" s="365"/>
      <c r="X1844" s="365"/>
      <c r="Y1844" s="365"/>
      <c r="Z1844" s="365"/>
      <c r="AA1844" s="365"/>
      <c r="AB1844" s="365"/>
      <c r="AC1844" s="365"/>
      <c r="AD1844" s="365"/>
      <c r="AE1844" s="365"/>
      <c r="AF1844" s="366" t="str">
        <f t="shared" si="296"/>
        <v/>
      </c>
      <c r="AG1844" s="366"/>
      <c r="AH1844" s="366"/>
      <c r="AI1844" s="366"/>
      <c r="AJ1844" s="366"/>
      <c r="AK1844" s="366"/>
      <c r="AL1844" s="366"/>
      <c r="AM1844" s="366"/>
      <c r="AN1844" s="366"/>
      <c r="AO1844" s="366"/>
      <c r="AP1844" s="366"/>
      <c r="AQ1844" s="366"/>
      <c r="AR1844" s="366"/>
      <c r="AS1844" s="366"/>
      <c r="AT1844" s="366"/>
      <c r="AU1844" s="366"/>
      <c r="AV1844" s="366"/>
      <c r="AW1844" s="332"/>
      <c r="AX1844" s="332"/>
      <c r="AY1844" s="332"/>
      <c r="AZ1844" s="332"/>
      <c r="BA1844" s="332"/>
      <c r="BB1844" s="332"/>
      <c r="BC1844" s="332"/>
      <c r="BD1844" s="332"/>
      <c r="BE1844" s="332"/>
      <c r="BF1844" s="332"/>
      <c r="BG1844" s="332"/>
      <c r="BH1844" s="332"/>
      <c r="BI1844" s="332"/>
      <c r="BJ1844" s="332"/>
      <c r="BK1844" s="332"/>
      <c r="BL1844" s="332"/>
      <c r="BM1844" s="332"/>
      <c r="BN1844" s="332"/>
      <c r="BO1844" s="333" t="str">
        <f t="shared" si="297"/>
        <v/>
      </c>
      <c r="BP1844" s="333"/>
      <c r="BQ1844" s="333"/>
      <c r="BR1844" s="333"/>
      <c r="BS1844" s="333"/>
      <c r="BT1844" s="333"/>
      <c r="BU1844" s="333"/>
      <c r="BV1844" s="333"/>
      <c r="BW1844" s="333"/>
      <c r="BX1844" s="333"/>
      <c r="BY1844" s="333"/>
      <c r="BZ1844" s="334"/>
      <c r="CA1844" s="142"/>
      <c r="CB1844" s="3" t="str">
        <f t="shared" si="299"/>
        <v>Riadok bude skrytý.</v>
      </c>
      <c r="CC1844" s="271" t="s">
        <v>832</v>
      </c>
      <c r="CW1844" s="30">
        <f t="shared" si="292"/>
        <v>0</v>
      </c>
      <c r="CX1844" s="30">
        <f t="shared" si="298"/>
        <v>0</v>
      </c>
      <c r="CZ1844" s="30">
        <f>IF(CC1844="",1,IF(CC1844="Chcem skryť riadok.",0,1))</f>
        <v>1</v>
      </c>
      <c r="DA1844" s="52">
        <f t="shared" si="294"/>
        <v>0</v>
      </c>
      <c r="DB1844" s="140">
        <f t="shared" si="293"/>
        <v>0</v>
      </c>
      <c r="DZ1844" s="131"/>
    </row>
    <row r="1845" spans="1:130" hidden="1" x14ac:dyDescent="0.25">
      <c r="A1845" s="141"/>
      <c r="B1845" s="363"/>
      <c r="C1845" s="364"/>
      <c r="D1845" s="364"/>
      <c r="E1845" s="364"/>
      <c r="F1845" s="364"/>
      <c r="G1845" s="364"/>
      <c r="H1845" s="364"/>
      <c r="I1845" s="364"/>
      <c r="J1845" s="364"/>
      <c r="K1845" s="364"/>
      <c r="L1845" s="364"/>
      <c r="M1845" s="364"/>
      <c r="N1845" s="364"/>
      <c r="O1845" s="364"/>
      <c r="P1845" s="364"/>
      <c r="Q1845" s="365"/>
      <c r="R1845" s="365"/>
      <c r="S1845" s="365"/>
      <c r="T1845" s="365"/>
      <c r="U1845" s="365"/>
      <c r="V1845" s="365"/>
      <c r="W1845" s="365"/>
      <c r="X1845" s="365"/>
      <c r="Y1845" s="365"/>
      <c r="Z1845" s="365"/>
      <c r="AA1845" s="365"/>
      <c r="AB1845" s="365"/>
      <c r="AC1845" s="365"/>
      <c r="AD1845" s="365"/>
      <c r="AE1845" s="365"/>
      <c r="AF1845" s="366" t="str">
        <f t="shared" si="296"/>
        <v/>
      </c>
      <c r="AG1845" s="366"/>
      <c r="AH1845" s="366"/>
      <c r="AI1845" s="366"/>
      <c r="AJ1845" s="366"/>
      <c r="AK1845" s="366"/>
      <c r="AL1845" s="366"/>
      <c r="AM1845" s="366"/>
      <c r="AN1845" s="366"/>
      <c r="AO1845" s="366"/>
      <c r="AP1845" s="366"/>
      <c r="AQ1845" s="366"/>
      <c r="AR1845" s="366"/>
      <c r="AS1845" s="366"/>
      <c r="AT1845" s="366"/>
      <c r="AU1845" s="366"/>
      <c r="AV1845" s="366"/>
      <c r="AW1845" s="332"/>
      <c r="AX1845" s="332"/>
      <c r="AY1845" s="332"/>
      <c r="AZ1845" s="332"/>
      <c r="BA1845" s="332"/>
      <c r="BB1845" s="332"/>
      <c r="BC1845" s="332"/>
      <c r="BD1845" s="332"/>
      <c r="BE1845" s="332"/>
      <c r="BF1845" s="332"/>
      <c r="BG1845" s="332"/>
      <c r="BH1845" s="332"/>
      <c r="BI1845" s="332"/>
      <c r="BJ1845" s="332"/>
      <c r="BK1845" s="332"/>
      <c r="BL1845" s="332"/>
      <c r="BM1845" s="332"/>
      <c r="BN1845" s="332"/>
      <c r="BO1845" s="333" t="str">
        <f t="shared" si="297"/>
        <v/>
      </c>
      <c r="BP1845" s="333"/>
      <c r="BQ1845" s="333"/>
      <c r="BR1845" s="333"/>
      <c r="BS1845" s="333"/>
      <c r="BT1845" s="333"/>
      <c r="BU1845" s="333"/>
      <c r="BV1845" s="333"/>
      <c r="BW1845" s="333"/>
      <c r="BX1845" s="333"/>
      <c r="BY1845" s="333"/>
      <c r="BZ1845" s="334"/>
      <c r="CA1845" s="142"/>
      <c r="CB1845" s="3" t="str">
        <f t="shared" si="299"/>
        <v>Riadok bude skrytý.</v>
      </c>
      <c r="CC1845" s="271" t="s">
        <v>832</v>
      </c>
      <c r="CW1845" s="30">
        <f t="shared" si="292"/>
        <v>0</v>
      </c>
      <c r="CX1845" s="30">
        <f t="shared" si="298"/>
        <v>0</v>
      </c>
      <c r="CZ1845" s="30">
        <f t="shared" si="291"/>
        <v>1</v>
      </c>
      <c r="DA1845" s="52">
        <f t="shared" si="294"/>
        <v>0</v>
      </c>
      <c r="DB1845" s="140">
        <f t="shared" si="293"/>
        <v>0</v>
      </c>
      <c r="DZ1845" s="131"/>
    </row>
    <row r="1846" spans="1:130" hidden="1" x14ac:dyDescent="0.25">
      <c r="A1846" s="141"/>
      <c r="B1846" s="367"/>
      <c r="C1846" s="368"/>
      <c r="D1846" s="368"/>
      <c r="E1846" s="368"/>
      <c r="F1846" s="368"/>
      <c r="G1846" s="368"/>
      <c r="H1846" s="368"/>
      <c r="I1846" s="368"/>
      <c r="J1846" s="368"/>
      <c r="K1846" s="368"/>
      <c r="L1846" s="368"/>
      <c r="M1846" s="368"/>
      <c r="N1846" s="368"/>
      <c r="O1846" s="368"/>
      <c r="P1846" s="368"/>
      <c r="Q1846" s="369"/>
      <c r="R1846" s="369"/>
      <c r="S1846" s="369"/>
      <c r="T1846" s="369"/>
      <c r="U1846" s="369"/>
      <c r="V1846" s="369"/>
      <c r="W1846" s="369"/>
      <c r="X1846" s="369"/>
      <c r="Y1846" s="369"/>
      <c r="Z1846" s="369"/>
      <c r="AA1846" s="369"/>
      <c r="AB1846" s="369"/>
      <c r="AC1846" s="369"/>
      <c r="AD1846" s="369"/>
      <c r="AE1846" s="369"/>
      <c r="AF1846" s="370" t="str">
        <f t="shared" si="296"/>
        <v/>
      </c>
      <c r="AG1846" s="370"/>
      <c r="AH1846" s="370"/>
      <c r="AI1846" s="370"/>
      <c r="AJ1846" s="370"/>
      <c r="AK1846" s="370"/>
      <c r="AL1846" s="370"/>
      <c r="AM1846" s="370"/>
      <c r="AN1846" s="370"/>
      <c r="AO1846" s="370"/>
      <c r="AP1846" s="370"/>
      <c r="AQ1846" s="370"/>
      <c r="AR1846" s="370"/>
      <c r="AS1846" s="370"/>
      <c r="AT1846" s="370"/>
      <c r="AU1846" s="370"/>
      <c r="AV1846" s="370"/>
      <c r="AW1846" s="339"/>
      <c r="AX1846" s="339"/>
      <c r="AY1846" s="339"/>
      <c r="AZ1846" s="339"/>
      <c r="BA1846" s="339"/>
      <c r="BB1846" s="339"/>
      <c r="BC1846" s="339"/>
      <c r="BD1846" s="339"/>
      <c r="BE1846" s="339"/>
      <c r="BF1846" s="339"/>
      <c r="BG1846" s="339"/>
      <c r="BH1846" s="339"/>
      <c r="BI1846" s="339"/>
      <c r="BJ1846" s="339"/>
      <c r="BK1846" s="339"/>
      <c r="BL1846" s="339"/>
      <c r="BM1846" s="339"/>
      <c r="BN1846" s="339"/>
      <c r="BO1846" s="340" t="str">
        <f t="shared" si="297"/>
        <v/>
      </c>
      <c r="BP1846" s="340"/>
      <c r="BQ1846" s="340"/>
      <c r="BR1846" s="340"/>
      <c r="BS1846" s="340"/>
      <c r="BT1846" s="340"/>
      <c r="BU1846" s="340"/>
      <c r="BV1846" s="340"/>
      <c r="BW1846" s="340"/>
      <c r="BX1846" s="340"/>
      <c r="BY1846" s="340"/>
      <c r="BZ1846" s="341"/>
      <c r="CA1846" s="142"/>
      <c r="CB1846" s="3" t="str">
        <f t="shared" si="299"/>
        <v>Riadok bude skrytý.</v>
      </c>
      <c r="CC1846" s="271" t="s">
        <v>832</v>
      </c>
      <c r="CW1846" s="30">
        <f t="shared" si="292"/>
        <v>0</v>
      </c>
      <c r="CX1846" s="30">
        <f>+IF(SUM(CX1837:CX1845)=0,0,1)</f>
        <v>0</v>
      </c>
      <c r="CZ1846" s="30">
        <f t="shared" si="291"/>
        <v>1</v>
      </c>
      <c r="DA1846" s="52">
        <f t="shared" si="294"/>
        <v>0</v>
      </c>
      <c r="DB1846" s="140">
        <f t="shared" si="293"/>
        <v>0</v>
      </c>
      <c r="DZ1846" s="131"/>
    </row>
    <row r="1847" spans="1:130" hidden="1" x14ac:dyDescent="0.25">
      <c r="A1847" s="141"/>
      <c r="B1847" s="371" t="s">
        <v>1032</v>
      </c>
      <c r="C1847" s="372"/>
      <c r="D1847" s="372"/>
      <c r="E1847" s="372"/>
      <c r="F1847" s="372"/>
      <c r="G1847" s="372"/>
      <c r="H1847" s="372"/>
      <c r="I1847" s="372"/>
      <c r="J1847" s="372"/>
      <c r="K1847" s="372"/>
      <c r="L1847" s="372"/>
      <c r="M1847" s="372"/>
      <c r="N1847" s="372"/>
      <c r="O1847" s="372"/>
      <c r="P1847" s="372"/>
      <c r="Q1847" s="372"/>
      <c r="R1847" s="372"/>
      <c r="S1847" s="372"/>
      <c r="T1847" s="372"/>
      <c r="U1847" s="372"/>
      <c r="V1847" s="372"/>
      <c r="W1847" s="372"/>
      <c r="X1847" s="372"/>
      <c r="Y1847" s="372"/>
      <c r="Z1847" s="372"/>
      <c r="AA1847" s="372"/>
      <c r="AB1847" s="372"/>
      <c r="AC1847" s="372"/>
      <c r="AD1847" s="372"/>
      <c r="AE1847" s="372"/>
      <c r="AF1847" s="372"/>
      <c r="AG1847" s="372"/>
      <c r="AH1847" s="372"/>
      <c r="AI1847" s="372"/>
      <c r="AJ1847" s="372"/>
      <c r="AK1847" s="372"/>
      <c r="AL1847" s="372"/>
      <c r="AM1847" s="372"/>
      <c r="AN1847" s="372"/>
      <c r="AO1847" s="372"/>
      <c r="AP1847" s="372"/>
      <c r="AQ1847" s="372"/>
      <c r="AR1847" s="372"/>
      <c r="AS1847" s="372"/>
      <c r="AT1847" s="372"/>
      <c r="AU1847" s="372"/>
      <c r="AV1847" s="372"/>
      <c r="AW1847" s="372"/>
      <c r="AX1847" s="372"/>
      <c r="AY1847" s="372"/>
      <c r="AZ1847" s="372"/>
      <c r="BA1847" s="372"/>
      <c r="BB1847" s="372"/>
      <c r="BC1847" s="372"/>
      <c r="BD1847" s="372"/>
      <c r="BE1847" s="372"/>
      <c r="BF1847" s="372"/>
      <c r="BG1847" s="372"/>
      <c r="BH1847" s="372"/>
      <c r="BI1847" s="372"/>
      <c r="BJ1847" s="372"/>
      <c r="BK1847" s="372"/>
      <c r="BL1847" s="372"/>
      <c r="BM1847" s="372"/>
      <c r="BN1847" s="372"/>
      <c r="BO1847" s="372"/>
      <c r="BP1847" s="372"/>
      <c r="BQ1847" s="372"/>
      <c r="BR1847" s="372"/>
      <c r="BS1847" s="372"/>
      <c r="BT1847" s="372"/>
      <c r="BU1847" s="372"/>
      <c r="BV1847" s="372"/>
      <c r="BW1847" s="372"/>
      <c r="BX1847" s="372"/>
      <c r="BY1847" s="372"/>
      <c r="BZ1847" s="373"/>
      <c r="CA1847" s="265" t="s">
        <v>773</v>
      </c>
      <c r="CB1847" s="3" t="str">
        <f t="shared" si="299"/>
        <v>Riadok bude skrytý.</v>
      </c>
      <c r="CC1847" s="271" t="s">
        <v>832</v>
      </c>
      <c r="CW1847" s="30">
        <f t="shared" si="292"/>
        <v>0</v>
      </c>
      <c r="CX1847" s="30">
        <f>+IF(SUM(CX1849:CX1858)=0,0,1)</f>
        <v>0</v>
      </c>
      <c r="CZ1847" s="30">
        <f t="shared" si="291"/>
        <v>1</v>
      </c>
      <c r="DA1847" s="52">
        <f t="shared" si="294"/>
        <v>0</v>
      </c>
      <c r="DB1847" s="140">
        <f t="shared" si="293"/>
        <v>0</v>
      </c>
      <c r="DZ1847" s="131"/>
    </row>
    <row r="1848" spans="1:130" hidden="1" x14ac:dyDescent="0.25">
      <c r="A1848" s="141"/>
      <c r="B1848" s="374" t="s">
        <v>1027</v>
      </c>
      <c r="C1848" s="375"/>
      <c r="D1848" s="375"/>
      <c r="E1848" s="375"/>
      <c r="F1848" s="375"/>
      <c r="G1848" s="375"/>
      <c r="H1848" s="375"/>
      <c r="I1848" s="375"/>
      <c r="J1848" s="375"/>
      <c r="K1848" s="375"/>
      <c r="L1848" s="375"/>
      <c r="M1848" s="375"/>
      <c r="N1848" s="375"/>
      <c r="O1848" s="375"/>
      <c r="P1848" s="375"/>
      <c r="Q1848" s="375" t="s">
        <v>1028</v>
      </c>
      <c r="R1848" s="375"/>
      <c r="S1848" s="375"/>
      <c r="T1848" s="375"/>
      <c r="U1848" s="375"/>
      <c r="V1848" s="375"/>
      <c r="W1848" s="375"/>
      <c r="X1848" s="375"/>
      <c r="Y1848" s="375"/>
      <c r="Z1848" s="375"/>
      <c r="AA1848" s="375"/>
      <c r="AB1848" s="375"/>
      <c r="AC1848" s="375"/>
      <c r="AD1848" s="375"/>
      <c r="AE1848" s="375"/>
      <c r="AF1848" s="356" t="s">
        <v>1029</v>
      </c>
      <c r="AG1848" s="356"/>
      <c r="AH1848" s="356"/>
      <c r="AI1848" s="356"/>
      <c r="AJ1848" s="356"/>
      <c r="AK1848" s="356"/>
      <c r="AL1848" s="356"/>
      <c r="AM1848" s="356"/>
      <c r="AN1848" s="356"/>
      <c r="AO1848" s="356"/>
      <c r="AP1848" s="356"/>
      <c r="AQ1848" s="356"/>
      <c r="AR1848" s="356"/>
      <c r="AS1848" s="356"/>
      <c r="AT1848" s="356"/>
      <c r="AU1848" s="356"/>
      <c r="AV1848" s="356"/>
      <c r="AW1848" s="356" t="s">
        <v>1030</v>
      </c>
      <c r="AX1848" s="356"/>
      <c r="AY1848" s="356"/>
      <c r="AZ1848" s="356"/>
      <c r="BA1848" s="356"/>
      <c r="BB1848" s="356"/>
      <c r="BC1848" s="356"/>
      <c r="BD1848" s="356"/>
      <c r="BE1848" s="356"/>
      <c r="BF1848" s="356"/>
      <c r="BG1848" s="356"/>
      <c r="BH1848" s="356"/>
      <c r="BI1848" s="356"/>
      <c r="BJ1848" s="356"/>
      <c r="BK1848" s="356"/>
      <c r="BL1848" s="356"/>
      <c r="BM1848" s="356"/>
      <c r="BN1848" s="356"/>
      <c r="BO1848" s="357" t="s">
        <v>1031</v>
      </c>
      <c r="BP1848" s="357"/>
      <c r="BQ1848" s="357"/>
      <c r="BR1848" s="357"/>
      <c r="BS1848" s="357"/>
      <c r="BT1848" s="357"/>
      <c r="BU1848" s="357"/>
      <c r="BV1848" s="357"/>
      <c r="BW1848" s="357"/>
      <c r="BX1848" s="357"/>
      <c r="BY1848" s="357"/>
      <c r="BZ1848" s="358"/>
      <c r="CA1848" s="142"/>
      <c r="CB1848" s="3" t="str">
        <f t="shared" si="299"/>
        <v>Riadok bude skrytý.</v>
      </c>
      <c r="CC1848" s="271" t="s">
        <v>832</v>
      </c>
      <c r="CW1848" s="30">
        <f t="shared" si="292"/>
        <v>0</v>
      </c>
      <c r="CX1848" s="30">
        <f>+IF(SUM(CX1849:CX1858)=0,0,1)</f>
        <v>0</v>
      </c>
      <c r="CZ1848" s="30">
        <f t="shared" si="291"/>
        <v>1</v>
      </c>
      <c r="DA1848" s="52">
        <f t="shared" si="294"/>
        <v>0</v>
      </c>
      <c r="DB1848" s="140">
        <f t="shared" si="293"/>
        <v>0</v>
      </c>
      <c r="DZ1848" s="131"/>
    </row>
    <row r="1849" spans="1:130" hidden="1" x14ac:dyDescent="0.25">
      <c r="A1849" s="141"/>
      <c r="B1849" s="363"/>
      <c r="C1849" s="364"/>
      <c r="D1849" s="364"/>
      <c r="E1849" s="364"/>
      <c r="F1849" s="364"/>
      <c r="G1849" s="364"/>
      <c r="H1849" s="364"/>
      <c r="I1849" s="364"/>
      <c r="J1849" s="364"/>
      <c r="K1849" s="364"/>
      <c r="L1849" s="364"/>
      <c r="M1849" s="364"/>
      <c r="N1849" s="364"/>
      <c r="O1849" s="364"/>
      <c r="P1849" s="364"/>
      <c r="Q1849" s="365"/>
      <c r="R1849" s="365"/>
      <c r="S1849" s="365"/>
      <c r="T1849" s="365"/>
      <c r="U1849" s="365"/>
      <c r="V1849" s="365"/>
      <c r="W1849" s="365"/>
      <c r="X1849" s="365"/>
      <c r="Y1849" s="365"/>
      <c r="Z1849" s="365"/>
      <c r="AA1849" s="365"/>
      <c r="AB1849" s="365"/>
      <c r="AC1849" s="365"/>
      <c r="AD1849" s="365"/>
      <c r="AE1849" s="365"/>
      <c r="AF1849" s="366" t="str">
        <f t="shared" ref="AF1849:AF1858" si="300">+IF(B1849="","",ROUND(B1849*Q1849,2))</f>
        <v/>
      </c>
      <c r="AG1849" s="366"/>
      <c r="AH1849" s="366"/>
      <c r="AI1849" s="366"/>
      <c r="AJ1849" s="366"/>
      <c r="AK1849" s="366"/>
      <c r="AL1849" s="366"/>
      <c r="AM1849" s="366"/>
      <c r="AN1849" s="366"/>
      <c r="AO1849" s="366"/>
      <c r="AP1849" s="366"/>
      <c r="AQ1849" s="366"/>
      <c r="AR1849" s="366"/>
      <c r="AS1849" s="366"/>
      <c r="AT1849" s="366"/>
      <c r="AU1849" s="366"/>
      <c r="AV1849" s="366"/>
      <c r="AW1849" s="332"/>
      <c r="AX1849" s="332"/>
      <c r="AY1849" s="332"/>
      <c r="AZ1849" s="332"/>
      <c r="BA1849" s="332"/>
      <c r="BB1849" s="332"/>
      <c r="BC1849" s="332"/>
      <c r="BD1849" s="332"/>
      <c r="BE1849" s="332"/>
      <c r="BF1849" s="332"/>
      <c r="BG1849" s="332"/>
      <c r="BH1849" s="332"/>
      <c r="BI1849" s="332"/>
      <c r="BJ1849" s="332"/>
      <c r="BK1849" s="332"/>
      <c r="BL1849" s="332"/>
      <c r="BM1849" s="332"/>
      <c r="BN1849" s="332"/>
      <c r="BO1849" s="333" t="str">
        <f t="shared" ref="BO1849:BO1858" si="301">+IF(AF1849="","",IF(AW1849="","",IF(ROUND(AF1849/AW1849,4)&gt;100%,"chyba",ROUND(AF1849/AW1849,4))))</f>
        <v/>
      </c>
      <c r="BP1849" s="333"/>
      <c r="BQ1849" s="333"/>
      <c r="BR1849" s="333"/>
      <c r="BS1849" s="333"/>
      <c r="BT1849" s="333"/>
      <c r="BU1849" s="333"/>
      <c r="BV1849" s="333"/>
      <c r="BW1849" s="333"/>
      <c r="BX1849" s="333"/>
      <c r="BY1849" s="333"/>
      <c r="BZ1849" s="334"/>
      <c r="CA1849" s="270"/>
      <c r="CB1849" s="3" t="str">
        <f t="shared" si="299"/>
        <v>Riadok bude skrytý.</v>
      </c>
      <c r="CC1849" s="271" t="s">
        <v>832</v>
      </c>
      <c r="CW1849" s="30">
        <f t="shared" si="292"/>
        <v>0</v>
      </c>
      <c r="CX1849" s="30">
        <f t="shared" ref="CX1849:CX1857" si="302">+IF(B1849="",IF(Q1849="",IF(AW1849="",0,1),1),1)</f>
        <v>0</v>
      </c>
      <c r="CZ1849" s="30">
        <f t="shared" si="291"/>
        <v>1</v>
      </c>
      <c r="DA1849" s="52">
        <f t="shared" si="294"/>
        <v>0</v>
      </c>
      <c r="DB1849" s="140">
        <f t="shared" si="293"/>
        <v>0</v>
      </c>
      <c r="DZ1849" s="131"/>
    </row>
    <row r="1850" spans="1:130" hidden="1" x14ac:dyDescent="0.25">
      <c r="A1850" s="141"/>
      <c r="B1850" s="363"/>
      <c r="C1850" s="364"/>
      <c r="D1850" s="364"/>
      <c r="E1850" s="364"/>
      <c r="F1850" s="364"/>
      <c r="G1850" s="364"/>
      <c r="H1850" s="364"/>
      <c r="I1850" s="364"/>
      <c r="J1850" s="364"/>
      <c r="K1850" s="364"/>
      <c r="L1850" s="364"/>
      <c r="M1850" s="364"/>
      <c r="N1850" s="364"/>
      <c r="O1850" s="364"/>
      <c r="P1850" s="364"/>
      <c r="Q1850" s="365"/>
      <c r="R1850" s="365"/>
      <c r="S1850" s="365"/>
      <c r="T1850" s="365"/>
      <c r="U1850" s="365"/>
      <c r="V1850" s="365"/>
      <c r="W1850" s="365"/>
      <c r="X1850" s="365"/>
      <c r="Y1850" s="365"/>
      <c r="Z1850" s="365"/>
      <c r="AA1850" s="365"/>
      <c r="AB1850" s="365"/>
      <c r="AC1850" s="365"/>
      <c r="AD1850" s="365"/>
      <c r="AE1850" s="365"/>
      <c r="AF1850" s="366" t="str">
        <f t="shared" si="300"/>
        <v/>
      </c>
      <c r="AG1850" s="366"/>
      <c r="AH1850" s="366"/>
      <c r="AI1850" s="366"/>
      <c r="AJ1850" s="366"/>
      <c r="AK1850" s="366"/>
      <c r="AL1850" s="366"/>
      <c r="AM1850" s="366"/>
      <c r="AN1850" s="366"/>
      <c r="AO1850" s="366"/>
      <c r="AP1850" s="366"/>
      <c r="AQ1850" s="366"/>
      <c r="AR1850" s="366"/>
      <c r="AS1850" s="366"/>
      <c r="AT1850" s="366"/>
      <c r="AU1850" s="366"/>
      <c r="AV1850" s="366"/>
      <c r="AW1850" s="332"/>
      <c r="AX1850" s="332"/>
      <c r="AY1850" s="332"/>
      <c r="AZ1850" s="332"/>
      <c r="BA1850" s="332"/>
      <c r="BB1850" s="332"/>
      <c r="BC1850" s="332"/>
      <c r="BD1850" s="332"/>
      <c r="BE1850" s="332"/>
      <c r="BF1850" s="332"/>
      <c r="BG1850" s="332"/>
      <c r="BH1850" s="332"/>
      <c r="BI1850" s="332"/>
      <c r="BJ1850" s="332"/>
      <c r="BK1850" s="332"/>
      <c r="BL1850" s="332"/>
      <c r="BM1850" s="332"/>
      <c r="BN1850" s="332"/>
      <c r="BO1850" s="333" t="str">
        <f t="shared" si="301"/>
        <v/>
      </c>
      <c r="BP1850" s="333"/>
      <c r="BQ1850" s="333"/>
      <c r="BR1850" s="333"/>
      <c r="BS1850" s="333"/>
      <c r="BT1850" s="333"/>
      <c r="BU1850" s="333"/>
      <c r="BV1850" s="333"/>
      <c r="BW1850" s="333"/>
      <c r="BX1850" s="333"/>
      <c r="BY1850" s="333"/>
      <c r="BZ1850" s="334"/>
      <c r="CA1850" s="270"/>
      <c r="CB1850" s="3" t="str">
        <f t="shared" si="299"/>
        <v>Riadok bude skrytý.</v>
      </c>
      <c r="CC1850" s="271" t="s">
        <v>832</v>
      </c>
      <c r="CW1850" s="30">
        <f t="shared" si="292"/>
        <v>0</v>
      </c>
      <c r="CX1850" s="30">
        <f t="shared" si="302"/>
        <v>0</v>
      </c>
      <c r="CZ1850" s="30">
        <f t="shared" si="291"/>
        <v>1</v>
      </c>
      <c r="DA1850" s="52">
        <f t="shared" si="294"/>
        <v>0</v>
      </c>
      <c r="DB1850" s="140">
        <f t="shared" si="293"/>
        <v>0</v>
      </c>
      <c r="DZ1850" s="131"/>
    </row>
    <row r="1851" spans="1:130" hidden="1" x14ac:dyDescent="0.25">
      <c r="A1851" s="141"/>
      <c r="B1851" s="363"/>
      <c r="C1851" s="364"/>
      <c r="D1851" s="364"/>
      <c r="E1851" s="364"/>
      <c r="F1851" s="364"/>
      <c r="G1851" s="364"/>
      <c r="H1851" s="364"/>
      <c r="I1851" s="364"/>
      <c r="J1851" s="364"/>
      <c r="K1851" s="364"/>
      <c r="L1851" s="364"/>
      <c r="M1851" s="364"/>
      <c r="N1851" s="364"/>
      <c r="O1851" s="364"/>
      <c r="P1851" s="364"/>
      <c r="Q1851" s="365"/>
      <c r="R1851" s="365"/>
      <c r="S1851" s="365"/>
      <c r="T1851" s="365"/>
      <c r="U1851" s="365"/>
      <c r="V1851" s="365"/>
      <c r="W1851" s="365"/>
      <c r="X1851" s="365"/>
      <c r="Y1851" s="365"/>
      <c r="Z1851" s="365"/>
      <c r="AA1851" s="365"/>
      <c r="AB1851" s="365"/>
      <c r="AC1851" s="365"/>
      <c r="AD1851" s="365"/>
      <c r="AE1851" s="365"/>
      <c r="AF1851" s="366" t="str">
        <f t="shared" si="300"/>
        <v/>
      </c>
      <c r="AG1851" s="366"/>
      <c r="AH1851" s="366"/>
      <c r="AI1851" s="366"/>
      <c r="AJ1851" s="366"/>
      <c r="AK1851" s="366"/>
      <c r="AL1851" s="366"/>
      <c r="AM1851" s="366"/>
      <c r="AN1851" s="366"/>
      <c r="AO1851" s="366"/>
      <c r="AP1851" s="366"/>
      <c r="AQ1851" s="366"/>
      <c r="AR1851" s="366"/>
      <c r="AS1851" s="366"/>
      <c r="AT1851" s="366"/>
      <c r="AU1851" s="366"/>
      <c r="AV1851" s="366"/>
      <c r="AW1851" s="332"/>
      <c r="AX1851" s="332"/>
      <c r="AY1851" s="332"/>
      <c r="AZ1851" s="332"/>
      <c r="BA1851" s="332"/>
      <c r="BB1851" s="332"/>
      <c r="BC1851" s="332"/>
      <c r="BD1851" s="332"/>
      <c r="BE1851" s="332"/>
      <c r="BF1851" s="332"/>
      <c r="BG1851" s="332"/>
      <c r="BH1851" s="332"/>
      <c r="BI1851" s="332"/>
      <c r="BJ1851" s="332"/>
      <c r="BK1851" s="332"/>
      <c r="BL1851" s="332"/>
      <c r="BM1851" s="332"/>
      <c r="BN1851" s="332"/>
      <c r="BO1851" s="333" t="str">
        <f t="shared" si="301"/>
        <v/>
      </c>
      <c r="BP1851" s="333"/>
      <c r="BQ1851" s="333"/>
      <c r="BR1851" s="333"/>
      <c r="BS1851" s="333"/>
      <c r="BT1851" s="333"/>
      <c r="BU1851" s="333"/>
      <c r="BV1851" s="333"/>
      <c r="BW1851" s="333"/>
      <c r="BX1851" s="333"/>
      <c r="BY1851" s="333"/>
      <c r="BZ1851" s="334"/>
      <c r="CA1851" s="270"/>
      <c r="CB1851" s="3" t="str">
        <f t="shared" si="299"/>
        <v>Riadok bude skrytý.</v>
      </c>
      <c r="CC1851" s="271" t="s">
        <v>832</v>
      </c>
      <c r="CW1851" s="30">
        <f t="shared" si="292"/>
        <v>0</v>
      </c>
      <c r="CX1851" s="30">
        <f t="shared" si="302"/>
        <v>0</v>
      </c>
      <c r="CZ1851" s="30">
        <f t="shared" si="291"/>
        <v>1</v>
      </c>
      <c r="DA1851" s="52">
        <f t="shared" si="294"/>
        <v>0</v>
      </c>
      <c r="DB1851" s="140">
        <f t="shared" si="293"/>
        <v>0</v>
      </c>
      <c r="DZ1851" s="131"/>
    </row>
    <row r="1852" spans="1:130" hidden="1" x14ac:dyDescent="0.25">
      <c r="A1852" s="141"/>
      <c r="B1852" s="363"/>
      <c r="C1852" s="364"/>
      <c r="D1852" s="364"/>
      <c r="E1852" s="364"/>
      <c r="F1852" s="364"/>
      <c r="G1852" s="364"/>
      <c r="H1852" s="364"/>
      <c r="I1852" s="364"/>
      <c r="J1852" s="364"/>
      <c r="K1852" s="364"/>
      <c r="L1852" s="364"/>
      <c r="M1852" s="364"/>
      <c r="N1852" s="364"/>
      <c r="O1852" s="364"/>
      <c r="P1852" s="364"/>
      <c r="Q1852" s="365"/>
      <c r="R1852" s="365"/>
      <c r="S1852" s="365"/>
      <c r="T1852" s="365"/>
      <c r="U1852" s="365"/>
      <c r="V1852" s="365"/>
      <c r="W1852" s="365"/>
      <c r="X1852" s="365"/>
      <c r="Y1852" s="365"/>
      <c r="Z1852" s="365"/>
      <c r="AA1852" s="365"/>
      <c r="AB1852" s="365"/>
      <c r="AC1852" s="365"/>
      <c r="AD1852" s="365"/>
      <c r="AE1852" s="365"/>
      <c r="AF1852" s="366" t="str">
        <f t="shared" si="300"/>
        <v/>
      </c>
      <c r="AG1852" s="366"/>
      <c r="AH1852" s="366"/>
      <c r="AI1852" s="366"/>
      <c r="AJ1852" s="366"/>
      <c r="AK1852" s="366"/>
      <c r="AL1852" s="366"/>
      <c r="AM1852" s="366"/>
      <c r="AN1852" s="366"/>
      <c r="AO1852" s="366"/>
      <c r="AP1852" s="366"/>
      <c r="AQ1852" s="366"/>
      <c r="AR1852" s="366"/>
      <c r="AS1852" s="366"/>
      <c r="AT1852" s="366"/>
      <c r="AU1852" s="366"/>
      <c r="AV1852" s="366"/>
      <c r="AW1852" s="332"/>
      <c r="AX1852" s="332"/>
      <c r="AY1852" s="332"/>
      <c r="AZ1852" s="332"/>
      <c r="BA1852" s="332"/>
      <c r="BB1852" s="332"/>
      <c r="BC1852" s="332"/>
      <c r="BD1852" s="332"/>
      <c r="BE1852" s="332"/>
      <c r="BF1852" s="332"/>
      <c r="BG1852" s="332"/>
      <c r="BH1852" s="332"/>
      <c r="BI1852" s="332"/>
      <c r="BJ1852" s="332"/>
      <c r="BK1852" s="332"/>
      <c r="BL1852" s="332"/>
      <c r="BM1852" s="332"/>
      <c r="BN1852" s="332"/>
      <c r="BO1852" s="333" t="str">
        <f t="shared" si="301"/>
        <v/>
      </c>
      <c r="BP1852" s="333"/>
      <c r="BQ1852" s="333"/>
      <c r="BR1852" s="333"/>
      <c r="BS1852" s="333"/>
      <c r="BT1852" s="333"/>
      <c r="BU1852" s="333"/>
      <c r="BV1852" s="333"/>
      <c r="BW1852" s="333"/>
      <c r="BX1852" s="333"/>
      <c r="BY1852" s="333"/>
      <c r="BZ1852" s="334"/>
      <c r="CA1852" s="270"/>
      <c r="CB1852" s="3" t="str">
        <f t="shared" si="299"/>
        <v>Riadok bude skrytý.</v>
      </c>
      <c r="CC1852" s="271" t="s">
        <v>832</v>
      </c>
      <c r="CW1852" s="30">
        <f t="shared" si="292"/>
        <v>0</v>
      </c>
      <c r="CX1852" s="30">
        <f t="shared" si="302"/>
        <v>0</v>
      </c>
      <c r="CZ1852" s="30">
        <f t="shared" si="291"/>
        <v>1</v>
      </c>
      <c r="DA1852" s="52">
        <f t="shared" si="294"/>
        <v>0</v>
      </c>
      <c r="DB1852" s="140">
        <f t="shared" si="293"/>
        <v>0</v>
      </c>
      <c r="DZ1852" s="131"/>
    </row>
    <row r="1853" spans="1:130" hidden="1" x14ac:dyDescent="0.25">
      <c r="A1853" s="141"/>
      <c r="B1853" s="363"/>
      <c r="C1853" s="364"/>
      <c r="D1853" s="364"/>
      <c r="E1853" s="364"/>
      <c r="F1853" s="364"/>
      <c r="G1853" s="364"/>
      <c r="H1853" s="364"/>
      <c r="I1853" s="364"/>
      <c r="J1853" s="364"/>
      <c r="K1853" s="364"/>
      <c r="L1853" s="364"/>
      <c r="M1853" s="364"/>
      <c r="N1853" s="364"/>
      <c r="O1853" s="364"/>
      <c r="P1853" s="364"/>
      <c r="Q1853" s="365"/>
      <c r="R1853" s="365"/>
      <c r="S1853" s="365"/>
      <c r="T1853" s="365"/>
      <c r="U1853" s="365"/>
      <c r="V1853" s="365"/>
      <c r="W1853" s="365"/>
      <c r="X1853" s="365"/>
      <c r="Y1853" s="365"/>
      <c r="Z1853" s="365"/>
      <c r="AA1853" s="365"/>
      <c r="AB1853" s="365"/>
      <c r="AC1853" s="365"/>
      <c r="AD1853" s="365"/>
      <c r="AE1853" s="365"/>
      <c r="AF1853" s="366" t="str">
        <f t="shared" si="300"/>
        <v/>
      </c>
      <c r="AG1853" s="366"/>
      <c r="AH1853" s="366"/>
      <c r="AI1853" s="366"/>
      <c r="AJ1853" s="366"/>
      <c r="AK1853" s="366"/>
      <c r="AL1853" s="366"/>
      <c r="AM1853" s="366"/>
      <c r="AN1853" s="366"/>
      <c r="AO1853" s="366"/>
      <c r="AP1853" s="366"/>
      <c r="AQ1853" s="366"/>
      <c r="AR1853" s="366"/>
      <c r="AS1853" s="366"/>
      <c r="AT1853" s="366"/>
      <c r="AU1853" s="366"/>
      <c r="AV1853" s="366"/>
      <c r="AW1853" s="332"/>
      <c r="AX1853" s="332"/>
      <c r="AY1853" s="332"/>
      <c r="AZ1853" s="332"/>
      <c r="BA1853" s="332"/>
      <c r="BB1853" s="332"/>
      <c r="BC1853" s="332"/>
      <c r="BD1853" s="332"/>
      <c r="BE1853" s="332"/>
      <c r="BF1853" s="332"/>
      <c r="BG1853" s="332"/>
      <c r="BH1853" s="332"/>
      <c r="BI1853" s="332"/>
      <c r="BJ1853" s="332"/>
      <c r="BK1853" s="332"/>
      <c r="BL1853" s="332"/>
      <c r="BM1853" s="332"/>
      <c r="BN1853" s="332"/>
      <c r="BO1853" s="333" t="str">
        <f t="shared" si="301"/>
        <v/>
      </c>
      <c r="BP1853" s="333"/>
      <c r="BQ1853" s="333"/>
      <c r="BR1853" s="333"/>
      <c r="BS1853" s="333"/>
      <c r="BT1853" s="333"/>
      <c r="BU1853" s="333"/>
      <c r="BV1853" s="333"/>
      <c r="BW1853" s="333"/>
      <c r="BX1853" s="333"/>
      <c r="BY1853" s="333"/>
      <c r="BZ1853" s="334"/>
      <c r="CA1853" s="270"/>
      <c r="CB1853" s="3" t="str">
        <f t="shared" si="299"/>
        <v>Riadok bude skrytý.</v>
      </c>
      <c r="CC1853" s="271" t="s">
        <v>832</v>
      </c>
      <c r="CW1853" s="30">
        <f t="shared" si="292"/>
        <v>0</v>
      </c>
      <c r="CX1853" s="30">
        <f t="shared" si="302"/>
        <v>0</v>
      </c>
      <c r="CZ1853" s="30">
        <f t="shared" si="291"/>
        <v>1</v>
      </c>
      <c r="DA1853" s="52">
        <f t="shared" si="294"/>
        <v>0</v>
      </c>
      <c r="DB1853" s="140">
        <f t="shared" si="293"/>
        <v>0</v>
      </c>
      <c r="DZ1853" s="131"/>
    </row>
    <row r="1854" spans="1:130" hidden="1" x14ac:dyDescent="0.25">
      <c r="A1854" s="141"/>
      <c r="B1854" s="363"/>
      <c r="C1854" s="364"/>
      <c r="D1854" s="364"/>
      <c r="E1854" s="364"/>
      <c r="F1854" s="364"/>
      <c r="G1854" s="364"/>
      <c r="H1854" s="364"/>
      <c r="I1854" s="364"/>
      <c r="J1854" s="364"/>
      <c r="K1854" s="364"/>
      <c r="L1854" s="364"/>
      <c r="M1854" s="364"/>
      <c r="N1854" s="364"/>
      <c r="O1854" s="364"/>
      <c r="P1854" s="364"/>
      <c r="Q1854" s="365"/>
      <c r="R1854" s="365"/>
      <c r="S1854" s="365"/>
      <c r="T1854" s="365"/>
      <c r="U1854" s="365"/>
      <c r="V1854" s="365"/>
      <c r="W1854" s="365"/>
      <c r="X1854" s="365"/>
      <c r="Y1854" s="365"/>
      <c r="Z1854" s="365"/>
      <c r="AA1854" s="365"/>
      <c r="AB1854" s="365"/>
      <c r="AC1854" s="365"/>
      <c r="AD1854" s="365"/>
      <c r="AE1854" s="365"/>
      <c r="AF1854" s="366" t="str">
        <f t="shared" si="300"/>
        <v/>
      </c>
      <c r="AG1854" s="366"/>
      <c r="AH1854" s="366"/>
      <c r="AI1854" s="366"/>
      <c r="AJ1854" s="366"/>
      <c r="AK1854" s="366"/>
      <c r="AL1854" s="366"/>
      <c r="AM1854" s="366"/>
      <c r="AN1854" s="366"/>
      <c r="AO1854" s="366"/>
      <c r="AP1854" s="366"/>
      <c r="AQ1854" s="366"/>
      <c r="AR1854" s="366"/>
      <c r="AS1854" s="366"/>
      <c r="AT1854" s="366"/>
      <c r="AU1854" s="366"/>
      <c r="AV1854" s="366"/>
      <c r="AW1854" s="332"/>
      <c r="AX1854" s="332"/>
      <c r="AY1854" s="332"/>
      <c r="AZ1854" s="332"/>
      <c r="BA1854" s="332"/>
      <c r="BB1854" s="332"/>
      <c r="BC1854" s="332"/>
      <c r="BD1854" s="332"/>
      <c r="BE1854" s="332"/>
      <c r="BF1854" s="332"/>
      <c r="BG1854" s="332"/>
      <c r="BH1854" s="332"/>
      <c r="BI1854" s="332"/>
      <c r="BJ1854" s="332"/>
      <c r="BK1854" s="332"/>
      <c r="BL1854" s="332"/>
      <c r="BM1854" s="332"/>
      <c r="BN1854" s="332"/>
      <c r="BO1854" s="333" t="str">
        <f t="shared" si="301"/>
        <v/>
      </c>
      <c r="BP1854" s="333"/>
      <c r="BQ1854" s="333"/>
      <c r="BR1854" s="333"/>
      <c r="BS1854" s="333"/>
      <c r="BT1854" s="333"/>
      <c r="BU1854" s="333"/>
      <c r="BV1854" s="333"/>
      <c r="BW1854" s="333"/>
      <c r="BX1854" s="333"/>
      <c r="BY1854" s="333"/>
      <c r="BZ1854" s="334"/>
      <c r="CA1854" s="270"/>
      <c r="CB1854" s="3" t="str">
        <f t="shared" si="299"/>
        <v>Riadok bude skrytý.</v>
      </c>
      <c r="CC1854" s="271" t="s">
        <v>832</v>
      </c>
      <c r="CW1854" s="30">
        <f t="shared" si="292"/>
        <v>0</v>
      </c>
      <c r="CX1854" s="30">
        <f t="shared" si="302"/>
        <v>0</v>
      </c>
      <c r="CZ1854" s="30">
        <f t="shared" si="291"/>
        <v>1</v>
      </c>
      <c r="DA1854" s="52">
        <f t="shared" si="294"/>
        <v>0</v>
      </c>
      <c r="DB1854" s="140">
        <f t="shared" si="293"/>
        <v>0</v>
      </c>
      <c r="DZ1854" s="131"/>
    </row>
    <row r="1855" spans="1:130" hidden="1" x14ac:dyDescent="0.25">
      <c r="A1855" s="141"/>
      <c r="B1855" s="363"/>
      <c r="C1855" s="364"/>
      <c r="D1855" s="364"/>
      <c r="E1855" s="364"/>
      <c r="F1855" s="364"/>
      <c r="G1855" s="364"/>
      <c r="H1855" s="364"/>
      <c r="I1855" s="364"/>
      <c r="J1855" s="364"/>
      <c r="K1855" s="364"/>
      <c r="L1855" s="364"/>
      <c r="M1855" s="364"/>
      <c r="N1855" s="364"/>
      <c r="O1855" s="364"/>
      <c r="P1855" s="364"/>
      <c r="Q1855" s="365"/>
      <c r="R1855" s="365"/>
      <c r="S1855" s="365"/>
      <c r="T1855" s="365"/>
      <c r="U1855" s="365"/>
      <c r="V1855" s="365"/>
      <c r="W1855" s="365"/>
      <c r="X1855" s="365"/>
      <c r="Y1855" s="365"/>
      <c r="Z1855" s="365"/>
      <c r="AA1855" s="365"/>
      <c r="AB1855" s="365"/>
      <c r="AC1855" s="365"/>
      <c r="AD1855" s="365"/>
      <c r="AE1855" s="365"/>
      <c r="AF1855" s="366" t="str">
        <f t="shared" si="300"/>
        <v/>
      </c>
      <c r="AG1855" s="366"/>
      <c r="AH1855" s="366"/>
      <c r="AI1855" s="366"/>
      <c r="AJ1855" s="366"/>
      <c r="AK1855" s="366"/>
      <c r="AL1855" s="366"/>
      <c r="AM1855" s="366"/>
      <c r="AN1855" s="366"/>
      <c r="AO1855" s="366"/>
      <c r="AP1855" s="366"/>
      <c r="AQ1855" s="366"/>
      <c r="AR1855" s="366"/>
      <c r="AS1855" s="366"/>
      <c r="AT1855" s="366"/>
      <c r="AU1855" s="366"/>
      <c r="AV1855" s="366"/>
      <c r="AW1855" s="332"/>
      <c r="AX1855" s="332"/>
      <c r="AY1855" s="332"/>
      <c r="AZ1855" s="332"/>
      <c r="BA1855" s="332"/>
      <c r="BB1855" s="332"/>
      <c r="BC1855" s="332"/>
      <c r="BD1855" s="332"/>
      <c r="BE1855" s="332"/>
      <c r="BF1855" s="332"/>
      <c r="BG1855" s="332"/>
      <c r="BH1855" s="332"/>
      <c r="BI1855" s="332"/>
      <c r="BJ1855" s="332"/>
      <c r="BK1855" s="332"/>
      <c r="BL1855" s="332"/>
      <c r="BM1855" s="332"/>
      <c r="BN1855" s="332"/>
      <c r="BO1855" s="333" t="str">
        <f t="shared" si="301"/>
        <v/>
      </c>
      <c r="BP1855" s="333"/>
      <c r="BQ1855" s="333"/>
      <c r="BR1855" s="333"/>
      <c r="BS1855" s="333"/>
      <c r="BT1855" s="333"/>
      <c r="BU1855" s="333"/>
      <c r="BV1855" s="333"/>
      <c r="BW1855" s="333"/>
      <c r="BX1855" s="333"/>
      <c r="BY1855" s="333"/>
      <c r="BZ1855" s="334"/>
      <c r="CA1855" s="270"/>
      <c r="CB1855" s="3" t="str">
        <f t="shared" si="299"/>
        <v>Riadok bude skrytý.</v>
      </c>
      <c r="CC1855" s="271" t="s">
        <v>832</v>
      </c>
      <c r="CW1855" s="30">
        <f t="shared" si="292"/>
        <v>0</v>
      </c>
      <c r="CX1855" s="30">
        <f t="shared" si="302"/>
        <v>0</v>
      </c>
      <c r="CZ1855" s="30">
        <f t="shared" si="291"/>
        <v>1</v>
      </c>
      <c r="DA1855" s="52">
        <f t="shared" si="294"/>
        <v>0</v>
      </c>
      <c r="DB1855" s="140">
        <f t="shared" si="293"/>
        <v>0</v>
      </c>
      <c r="DZ1855" s="131"/>
    </row>
    <row r="1856" spans="1:130" hidden="1" x14ac:dyDescent="0.25">
      <c r="A1856" s="141"/>
      <c r="B1856" s="363"/>
      <c r="C1856" s="364"/>
      <c r="D1856" s="364"/>
      <c r="E1856" s="364"/>
      <c r="F1856" s="364"/>
      <c r="G1856" s="364"/>
      <c r="H1856" s="364"/>
      <c r="I1856" s="364"/>
      <c r="J1856" s="364"/>
      <c r="K1856" s="364"/>
      <c r="L1856" s="364"/>
      <c r="M1856" s="364"/>
      <c r="N1856" s="364"/>
      <c r="O1856" s="364"/>
      <c r="P1856" s="364"/>
      <c r="Q1856" s="365"/>
      <c r="R1856" s="365"/>
      <c r="S1856" s="365"/>
      <c r="T1856" s="365"/>
      <c r="U1856" s="365"/>
      <c r="V1856" s="365"/>
      <c r="W1856" s="365"/>
      <c r="X1856" s="365"/>
      <c r="Y1856" s="365"/>
      <c r="Z1856" s="365"/>
      <c r="AA1856" s="365"/>
      <c r="AB1856" s="365"/>
      <c r="AC1856" s="365"/>
      <c r="AD1856" s="365"/>
      <c r="AE1856" s="365"/>
      <c r="AF1856" s="366" t="str">
        <f t="shared" si="300"/>
        <v/>
      </c>
      <c r="AG1856" s="366"/>
      <c r="AH1856" s="366"/>
      <c r="AI1856" s="366"/>
      <c r="AJ1856" s="366"/>
      <c r="AK1856" s="366"/>
      <c r="AL1856" s="366"/>
      <c r="AM1856" s="366"/>
      <c r="AN1856" s="366"/>
      <c r="AO1856" s="366"/>
      <c r="AP1856" s="366"/>
      <c r="AQ1856" s="366"/>
      <c r="AR1856" s="366"/>
      <c r="AS1856" s="366"/>
      <c r="AT1856" s="366"/>
      <c r="AU1856" s="366"/>
      <c r="AV1856" s="366"/>
      <c r="AW1856" s="332"/>
      <c r="AX1856" s="332"/>
      <c r="AY1856" s="332"/>
      <c r="AZ1856" s="332"/>
      <c r="BA1856" s="332"/>
      <c r="BB1856" s="332"/>
      <c r="BC1856" s="332"/>
      <c r="BD1856" s="332"/>
      <c r="BE1856" s="332"/>
      <c r="BF1856" s="332"/>
      <c r="BG1856" s="332"/>
      <c r="BH1856" s="332"/>
      <c r="BI1856" s="332"/>
      <c r="BJ1856" s="332"/>
      <c r="BK1856" s="332"/>
      <c r="BL1856" s="332"/>
      <c r="BM1856" s="332"/>
      <c r="BN1856" s="332"/>
      <c r="BO1856" s="333" t="str">
        <f t="shared" si="301"/>
        <v/>
      </c>
      <c r="BP1856" s="333"/>
      <c r="BQ1856" s="333"/>
      <c r="BR1856" s="333"/>
      <c r="BS1856" s="333"/>
      <c r="BT1856" s="333"/>
      <c r="BU1856" s="333"/>
      <c r="BV1856" s="333"/>
      <c r="BW1856" s="333"/>
      <c r="BX1856" s="333"/>
      <c r="BY1856" s="333"/>
      <c r="BZ1856" s="334"/>
      <c r="CA1856" s="270"/>
      <c r="CB1856" s="3" t="str">
        <f t="shared" si="299"/>
        <v>Riadok bude skrytý.</v>
      </c>
      <c r="CC1856" s="271" t="s">
        <v>832</v>
      </c>
      <c r="CW1856" s="30">
        <f t="shared" si="292"/>
        <v>0</v>
      </c>
      <c r="CX1856" s="30">
        <f t="shared" si="302"/>
        <v>0</v>
      </c>
      <c r="CZ1856" s="30">
        <f t="shared" si="291"/>
        <v>1</v>
      </c>
      <c r="DA1856" s="52">
        <f t="shared" si="294"/>
        <v>0</v>
      </c>
      <c r="DB1856" s="140">
        <f t="shared" si="293"/>
        <v>0</v>
      </c>
      <c r="DZ1856" s="131"/>
    </row>
    <row r="1857" spans="1:130" hidden="1" x14ac:dyDescent="0.25">
      <c r="A1857" s="141"/>
      <c r="B1857" s="363"/>
      <c r="C1857" s="364"/>
      <c r="D1857" s="364"/>
      <c r="E1857" s="364"/>
      <c r="F1857" s="364"/>
      <c r="G1857" s="364"/>
      <c r="H1857" s="364"/>
      <c r="I1857" s="364"/>
      <c r="J1857" s="364"/>
      <c r="K1857" s="364"/>
      <c r="L1857" s="364"/>
      <c r="M1857" s="364"/>
      <c r="N1857" s="364"/>
      <c r="O1857" s="364"/>
      <c r="P1857" s="364"/>
      <c r="Q1857" s="365"/>
      <c r="R1857" s="365"/>
      <c r="S1857" s="365"/>
      <c r="T1857" s="365"/>
      <c r="U1857" s="365"/>
      <c r="V1857" s="365"/>
      <c r="W1857" s="365"/>
      <c r="X1857" s="365"/>
      <c r="Y1857" s="365"/>
      <c r="Z1857" s="365"/>
      <c r="AA1857" s="365"/>
      <c r="AB1857" s="365"/>
      <c r="AC1857" s="365"/>
      <c r="AD1857" s="365"/>
      <c r="AE1857" s="365"/>
      <c r="AF1857" s="366" t="str">
        <f t="shared" si="300"/>
        <v/>
      </c>
      <c r="AG1857" s="366"/>
      <c r="AH1857" s="366"/>
      <c r="AI1857" s="366"/>
      <c r="AJ1857" s="366"/>
      <c r="AK1857" s="366"/>
      <c r="AL1857" s="366"/>
      <c r="AM1857" s="366"/>
      <c r="AN1857" s="366"/>
      <c r="AO1857" s="366"/>
      <c r="AP1857" s="366"/>
      <c r="AQ1857" s="366"/>
      <c r="AR1857" s="366"/>
      <c r="AS1857" s="366"/>
      <c r="AT1857" s="366"/>
      <c r="AU1857" s="366"/>
      <c r="AV1857" s="366"/>
      <c r="AW1857" s="332"/>
      <c r="AX1857" s="332"/>
      <c r="AY1857" s="332"/>
      <c r="AZ1857" s="332"/>
      <c r="BA1857" s="332"/>
      <c r="BB1857" s="332"/>
      <c r="BC1857" s="332"/>
      <c r="BD1857" s="332"/>
      <c r="BE1857" s="332"/>
      <c r="BF1857" s="332"/>
      <c r="BG1857" s="332"/>
      <c r="BH1857" s="332"/>
      <c r="BI1857" s="332"/>
      <c r="BJ1857" s="332"/>
      <c r="BK1857" s="332"/>
      <c r="BL1857" s="332"/>
      <c r="BM1857" s="332"/>
      <c r="BN1857" s="332"/>
      <c r="BO1857" s="333" t="str">
        <f t="shared" si="301"/>
        <v/>
      </c>
      <c r="BP1857" s="333"/>
      <c r="BQ1857" s="333"/>
      <c r="BR1857" s="333"/>
      <c r="BS1857" s="333"/>
      <c r="BT1857" s="333"/>
      <c r="BU1857" s="333"/>
      <c r="BV1857" s="333"/>
      <c r="BW1857" s="333"/>
      <c r="BX1857" s="333"/>
      <c r="BY1857" s="333"/>
      <c r="BZ1857" s="334"/>
      <c r="CA1857" s="270"/>
      <c r="CB1857" s="3" t="str">
        <f t="shared" si="299"/>
        <v>Riadok bude skrytý.</v>
      </c>
      <c r="CC1857" s="271" t="s">
        <v>832</v>
      </c>
      <c r="CW1857" s="30">
        <f t="shared" si="292"/>
        <v>0</v>
      </c>
      <c r="CX1857" s="30">
        <f t="shared" si="302"/>
        <v>0</v>
      </c>
      <c r="CZ1857" s="30">
        <f t="shared" si="291"/>
        <v>1</v>
      </c>
      <c r="DA1857" s="52">
        <f t="shared" si="294"/>
        <v>0</v>
      </c>
      <c r="DB1857" s="140">
        <f t="shared" si="293"/>
        <v>0</v>
      </c>
      <c r="DZ1857" s="131"/>
    </row>
    <row r="1858" spans="1:130" hidden="1" x14ac:dyDescent="0.25">
      <c r="A1858" s="141"/>
      <c r="B1858" s="367"/>
      <c r="C1858" s="368"/>
      <c r="D1858" s="368"/>
      <c r="E1858" s="368"/>
      <c r="F1858" s="368"/>
      <c r="G1858" s="368"/>
      <c r="H1858" s="368"/>
      <c r="I1858" s="368"/>
      <c r="J1858" s="368"/>
      <c r="K1858" s="368"/>
      <c r="L1858" s="368"/>
      <c r="M1858" s="368"/>
      <c r="N1858" s="368"/>
      <c r="O1858" s="368"/>
      <c r="P1858" s="368"/>
      <c r="Q1858" s="369"/>
      <c r="R1858" s="369"/>
      <c r="S1858" s="369"/>
      <c r="T1858" s="369"/>
      <c r="U1858" s="369"/>
      <c r="V1858" s="369"/>
      <c r="W1858" s="369"/>
      <c r="X1858" s="369"/>
      <c r="Y1858" s="369"/>
      <c r="Z1858" s="369"/>
      <c r="AA1858" s="369"/>
      <c r="AB1858" s="369"/>
      <c r="AC1858" s="369"/>
      <c r="AD1858" s="369"/>
      <c r="AE1858" s="369"/>
      <c r="AF1858" s="370" t="str">
        <f t="shared" si="300"/>
        <v/>
      </c>
      <c r="AG1858" s="370"/>
      <c r="AH1858" s="370"/>
      <c r="AI1858" s="370"/>
      <c r="AJ1858" s="370"/>
      <c r="AK1858" s="370"/>
      <c r="AL1858" s="370"/>
      <c r="AM1858" s="370"/>
      <c r="AN1858" s="370"/>
      <c r="AO1858" s="370"/>
      <c r="AP1858" s="370"/>
      <c r="AQ1858" s="370"/>
      <c r="AR1858" s="370"/>
      <c r="AS1858" s="370"/>
      <c r="AT1858" s="370"/>
      <c r="AU1858" s="370"/>
      <c r="AV1858" s="370"/>
      <c r="AW1858" s="339"/>
      <c r="AX1858" s="339"/>
      <c r="AY1858" s="339"/>
      <c r="AZ1858" s="339"/>
      <c r="BA1858" s="339"/>
      <c r="BB1858" s="339"/>
      <c r="BC1858" s="339"/>
      <c r="BD1858" s="339"/>
      <c r="BE1858" s="339"/>
      <c r="BF1858" s="339"/>
      <c r="BG1858" s="339"/>
      <c r="BH1858" s="339"/>
      <c r="BI1858" s="339"/>
      <c r="BJ1858" s="339"/>
      <c r="BK1858" s="339"/>
      <c r="BL1858" s="339"/>
      <c r="BM1858" s="339"/>
      <c r="BN1858" s="339"/>
      <c r="BO1858" s="340" t="str">
        <f t="shared" si="301"/>
        <v/>
      </c>
      <c r="BP1858" s="340"/>
      <c r="BQ1858" s="340"/>
      <c r="BR1858" s="340"/>
      <c r="BS1858" s="340"/>
      <c r="BT1858" s="340"/>
      <c r="BU1858" s="340"/>
      <c r="BV1858" s="340"/>
      <c r="BW1858" s="340"/>
      <c r="BX1858" s="340"/>
      <c r="BY1858" s="340"/>
      <c r="BZ1858" s="341"/>
      <c r="CA1858" s="270"/>
      <c r="CB1858" s="3" t="str">
        <f t="shared" si="299"/>
        <v>Riadok bude skrytý.</v>
      </c>
      <c r="CC1858" s="271" t="s">
        <v>832</v>
      </c>
      <c r="CW1858" s="30">
        <f t="shared" si="292"/>
        <v>0</v>
      </c>
      <c r="CX1858" s="30">
        <f>+IF(SUM(CX1849:CX1857)=0,0,1)</f>
        <v>0</v>
      </c>
      <c r="CZ1858" s="30">
        <f t="shared" si="291"/>
        <v>1</v>
      </c>
      <c r="DA1858" s="52">
        <f t="shared" si="294"/>
        <v>0</v>
      </c>
      <c r="DB1858" s="140">
        <f t="shared" si="293"/>
        <v>0</v>
      </c>
      <c r="DZ1858" s="131"/>
    </row>
    <row r="1859" spans="1:130" hidden="1" x14ac:dyDescent="0.25">
      <c r="A1859" s="141"/>
      <c r="B1859" s="371" t="s">
        <v>1033</v>
      </c>
      <c r="C1859" s="372"/>
      <c r="D1859" s="372"/>
      <c r="E1859" s="372"/>
      <c r="F1859" s="372"/>
      <c r="G1859" s="372"/>
      <c r="H1859" s="372"/>
      <c r="I1859" s="372"/>
      <c r="J1859" s="372"/>
      <c r="K1859" s="372"/>
      <c r="L1859" s="372"/>
      <c r="M1859" s="372"/>
      <c r="N1859" s="372"/>
      <c r="O1859" s="372"/>
      <c r="P1859" s="372"/>
      <c r="Q1859" s="372"/>
      <c r="R1859" s="372"/>
      <c r="S1859" s="372"/>
      <c r="T1859" s="372"/>
      <c r="U1859" s="372"/>
      <c r="V1859" s="372"/>
      <c r="W1859" s="372"/>
      <c r="X1859" s="372"/>
      <c r="Y1859" s="372"/>
      <c r="Z1859" s="372"/>
      <c r="AA1859" s="372"/>
      <c r="AB1859" s="372"/>
      <c r="AC1859" s="372"/>
      <c r="AD1859" s="372"/>
      <c r="AE1859" s="372"/>
      <c r="AF1859" s="372"/>
      <c r="AG1859" s="372"/>
      <c r="AH1859" s="372"/>
      <c r="AI1859" s="372"/>
      <c r="AJ1859" s="372"/>
      <c r="AK1859" s="372"/>
      <c r="AL1859" s="372"/>
      <c r="AM1859" s="372"/>
      <c r="AN1859" s="372"/>
      <c r="AO1859" s="372"/>
      <c r="AP1859" s="372"/>
      <c r="AQ1859" s="372"/>
      <c r="AR1859" s="372"/>
      <c r="AS1859" s="372"/>
      <c r="AT1859" s="372"/>
      <c r="AU1859" s="372"/>
      <c r="AV1859" s="372"/>
      <c r="AW1859" s="372"/>
      <c r="AX1859" s="372"/>
      <c r="AY1859" s="372"/>
      <c r="AZ1859" s="372"/>
      <c r="BA1859" s="372"/>
      <c r="BB1859" s="372"/>
      <c r="BC1859" s="372"/>
      <c r="BD1859" s="372"/>
      <c r="BE1859" s="372"/>
      <c r="BF1859" s="372"/>
      <c r="BG1859" s="372"/>
      <c r="BH1859" s="372"/>
      <c r="BI1859" s="372"/>
      <c r="BJ1859" s="372"/>
      <c r="BK1859" s="372"/>
      <c r="BL1859" s="372"/>
      <c r="BM1859" s="372"/>
      <c r="BN1859" s="372"/>
      <c r="BO1859" s="372"/>
      <c r="BP1859" s="372"/>
      <c r="BQ1859" s="372"/>
      <c r="BR1859" s="372"/>
      <c r="BS1859" s="372"/>
      <c r="BT1859" s="372"/>
      <c r="BU1859" s="372"/>
      <c r="BV1859" s="372"/>
      <c r="BW1859" s="372"/>
      <c r="BX1859" s="372"/>
      <c r="BY1859" s="372"/>
      <c r="BZ1859" s="373"/>
      <c r="CA1859" s="265" t="s">
        <v>773</v>
      </c>
      <c r="CB1859" s="3" t="str">
        <f t="shared" si="299"/>
        <v>Riadok bude skrytý.</v>
      </c>
      <c r="CC1859" s="271" t="s">
        <v>832</v>
      </c>
      <c r="CW1859" s="30">
        <f t="shared" si="292"/>
        <v>0</v>
      </c>
      <c r="CX1859" s="30">
        <f>+IF(SUM(CX1861:CX1870)=0,0,1)</f>
        <v>0</v>
      </c>
      <c r="CZ1859" s="30">
        <f t="shared" si="291"/>
        <v>1</v>
      </c>
      <c r="DA1859" s="52">
        <f t="shared" si="294"/>
        <v>0</v>
      </c>
      <c r="DB1859" s="140">
        <f t="shared" si="293"/>
        <v>0</v>
      </c>
      <c r="DZ1859" s="131"/>
    </row>
    <row r="1860" spans="1:130" hidden="1" x14ac:dyDescent="0.25">
      <c r="A1860" s="141"/>
      <c r="B1860" s="374" t="s">
        <v>1027</v>
      </c>
      <c r="C1860" s="375"/>
      <c r="D1860" s="375"/>
      <c r="E1860" s="375"/>
      <c r="F1860" s="375"/>
      <c r="G1860" s="375"/>
      <c r="H1860" s="375"/>
      <c r="I1860" s="375"/>
      <c r="J1860" s="375"/>
      <c r="K1860" s="375"/>
      <c r="L1860" s="375"/>
      <c r="M1860" s="375" t="s">
        <v>1034</v>
      </c>
      <c r="N1860" s="375"/>
      <c r="O1860" s="375"/>
      <c r="P1860" s="375"/>
      <c r="Q1860" s="375"/>
      <c r="R1860" s="375"/>
      <c r="S1860" s="375"/>
      <c r="T1860" s="375"/>
      <c r="U1860" s="375"/>
      <c r="V1860" s="375"/>
      <c r="W1860" s="375"/>
      <c r="X1860" s="375"/>
      <c r="Y1860" s="375"/>
      <c r="Z1860" s="375"/>
      <c r="AA1860" s="375"/>
      <c r="AB1860" s="353" t="s">
        <v>1029</v>
      </c>
      <c r="AC1860" s="354"/>
      <c r="AD1860" s="354"/>
      <c r="AE1860" s="354"/>
      <c r="AF1860" s="354"/>
      <c r="AG1860" s="354"/>
      <c r="AH1860" s="354"/>
      <c r="AI1860" s="354"/>
      <c r="AJ1860" s="354"/>
      <c r="AK1860" s="354"/>
      <c r="AL1860" s="354"/>
      <c r="AM1860" s="354"/>
      <c r="AN1860" s="355"/>
      <c r="AO1860" s="375" t="s">
        <v>1027</v>
      </c>
      <c r="AP1860" s="375"/>
      <c r="AQ1860" s="375"/>
      <c r="AR1860" s="375"/>
      <c r="AS1860" s="375"/>
      <c r="AT1860" s="375"/>
      <c r="AU1860" s="375"/>
      <c r="AV1860" s="375"/>
      <c r="AW1860" s="375"/>
      <c r="AX1860" s="375"/>
      <c r="AY1860" s="375"/>
      <c r="AZ1860" s="375" t="s">
        <v>1035</v>
      </c>
      <c r="BA1860" s="375"/>
      <c r="BB1860" s="375"/>
      <c r="BC1860" s="375"/>
      <c r="BD1860" s="375"/>
      <c r="BE1860" s="375"/>
      <c r="BF1860" s="375"/>
      <c r="BG1860" s="375"/>
      <c r="BH1860" s="375"/>
      <c r="BI1860" s="375"/>
      <c r="BJ1860" s="375"/>
      <c r="BK1860" s="375"/>
      <c r="BL1860" s="375"/>
      <c r="BM1860" s="375"/>
      <c r="BN1860" s="375"/>
      <c r="BO1860" s="356" t="s">
        <v>1029</v>
      </c>
      <c r="BP1860" s="356"/>
      <c r="BQ1860" s="356"/>
      <c r="BR1860" s="356"/>
      <c r="BS1860" s="356"/>
      <c r="BT1860" s="356"/>
      <c r="BU1860" s="356"/>
      <c r="BV1860" s="356"/>
      <c r="BW1860" s="356"/>
      <c r="BX1860" s="356"/>
      <c r="BY1860" s="356"/>
      <c r="BZ1860" s="376"/>
      <c r="CA1860" s="142"/>
      <c r="CB1860" s="3" t="str">
        <f t="shared" si="299"/>
        <v>Riadok bude skrytý.</v>
      </c>
      <c r="CC1860" s="271" t="s">
        <v>832</v>
      </c>
      <c r="CW1860" s="30">
        <f t="shared" si="292"/>
        <v>0</v>
      </c>
      <c r="CX1860" s="30">
        <f>+IF(SUM(CX1861:CX1870)=0,0,1)</f>
        <v>0</v>
      </c>
      <c r="CZ1860" s="30">
        <f t="shared" si="291"/>
        <v>1</v>
      </c>
      <c r="DA1860" s="52">
        <f t="shared" si="294"/>
        <v>0</v>
      </c>
      <c r="DB1860" s="140">
        <f t="shared" si="293"/>
        <v>0</v>
      </c>
      <c r="DZ1860" s="131"/>
    </row>
    <row r="1861" spans="1:130" hidden="1" x14ac:dyDescent="0.25">
      <c r="A1861" s="141"/>
      <c r="B1861" s="328"/>
      <c r="C1861" s="329"/>
      <c r="D1861" s="329"/>
      <c r="E1861" s="329"/>
      <c r="F1861" s="329"/>
      <c r="G1861" s="329"/>
      <c r="H1861" s="329"/>
      <c r="I1861" s="329"/>
      <c r="J1861" s="329"/>
      <c r="K1861" s="329"/>
      <c r="L1861" s="329"/>
      <c r="M1861" s="330"/>
      <c r="N1861" s="330"/>
      <c r="O1861" s="330"/>
      <c r="P1861" s="330"/>
      <c r="Q1861" s="330"/>
      <c r="R1861" s="330"/>
      <c r="S1861" s="330"/>
      <c r="T1861" s="330"/>
      <c r="U1861" s="330"/>
      <c r="V1861" s="330"/>
      <c r="W1861" s="330"/>
      <c r="X1861" s="330"/>
      <c r="Y1861" s="330"/>
      <c r="Z1861" s="330"/>
      <c r="AA1861" s="330"/>
      <c r="AB1861" s="359" t="str">
        <f t="shared" ref="AB1861:AB1870" si="303">IF(B1861="","",ROUND(B1861*M1861,2))</f>
        <v/>
      </c>
      <c r="AC1861" s="360"/>
      <c r="AD1861" s="360"/>
      <c r="AE1861" s="360"/>
      <c r="AF1861" s="360"/>
      <c r="AG1861" s="360"/>
      <c r="AH1861" s="360"/>
      <c r="AI1861" s="360"/>
      <c r="AJ1861" s="360"/>
      <c r="AK1861" s="360"/>
      <c r="AL1861" s="360"/>
      <c r="AM1861" s="360"/>
      <c r="AN1861" s="361"/>
      <c r="AO1861" s="329"/>
      <c r="AP1861" s="329"/>
      <c r="AQ1861" s="329"/>
      <c r="AR1861" s="329"/>
      <c r="AS1861" s="329"/>
      <c r="AT1861" s="329"/>
      <c r="AU1861" s="329"/>
      <c r="AV1861" s="329"/>
      <c r="AW1861" s="329"/>
      <c r="AX1861" s="329"/>
      <c r="AY1861" s="329"/>
      <c r="AZ1861" s="330"/>
      <c r="BA1861" s="330"/>
      <c r="BB1861" s="330"/>
      <c r="BC1861" s="330"/>
      <c r="BD1861" s="330"/>
      <c r="BE1861" s="330"/>
      <c r="BF1861" s="330"/>
      <c r="BG1861" s="330"/>
      <c r="BH1861" s="330"/>
      <c r="BI1861" s="330"/>
      <c r="BJ1861" s="330"/>
      <c r="BK1861" s="330"/>
      <c r="BL1861" s="330"/>
      <c r="BM1861" s="330"/>
      <c r="BN1861" s="330"/>
      <c r="BO1861" s="331" t="str">
        <f t="shared" ref="BO1861:BO1870" si="304">IF(AO1861="","",ROUND(AO1861*AZ1861,2))</f>
        <v/>
      </c>
      <c r="BP1861" s="331"/>
      <c r="BQ1861" s="331"/>
      <c r="BR1861" s="331"/>
      <c r="BS1861" s="331"/>
      <c r="BT1861" s="331"/>
      <c r="BU1861" s="331"/>
      <c r="BV1861" s="331"/>
      <c r="BW1861" s="331"/>
      <c r="BX1861" s="331"/>
      <c r="BY1861" s="331"/>
      <c r="BZ1861" s="362"/>
      <c r="CA1861" s="270"/>
      <c r="CB1861" s="3" t="str">
        <f t="shared" si="299"/>
        <v>Riadok bude skrytý.</v>
      </c>
      <c r="CC1861" s="271" t="s">
        <v>832</v>
      </c>
      <c r="CW1861" s="30">
        <f t="shared" si="292"/>
        <v>0</v>
      </c>
      <c r="CX1861" s="30">
        <f>+IF(B1861="",IF(M1861="",IF(AO1861="",IF(AZ1861="",0,1),1),1),1)</f>
        <v>0</v>
      </c>
      <c r="CZ1861" s="30">
        <f t="shared" si="291"/>
        <v>1</v>
      </c>
      <c r="DA1861" s="52">
        <f t="shared" si="294"/>
        <v>0</v>
      </c>
      <c r="DB1861" s="140">
        <f t="shared" si="293"/>
        <v>0</v>
      </c>
      <c r="DZ1861" s="131"/>
    </row>
    <row r="1862" spans="1:130" hidden="1" x14ac:dyDescent="0.25">
      <c r="A1862" s="141"/>
      <c r="B1862" s="328"/>
      <c r="C1862" s="329"/>
      <c r="D1862" s="329"/>
      <c r="E1862" s="329"/>
      <c r="F1862" s="329"/>
      <c r="G1862" s="329"/>
      <c r="H1862" s="329"/>
      <c r="I1862" s="329"/>
      <c r="J1862" s="329"/>
      <c r="K1862" s="329"/>
      <c r="L1862" s="329"/>
      <c r="M1862" s="330"/>
      <c r="N1862" s="330"/>
      <c r="O1862" s="330"/>
      <c r="P1862" s="330"/>
      <c r="Q1862" s="330"/>
      <c r="R1862" s="330"/>
      <c r="S1862" s="330"/>
      <c r="T1862" s="330"/>
      <c r="U1862" s="330"/>
      <c r="V1862" s="330"/>
      <c r="W1862" s="330"/>
      <c r="X1862" s="330"/>
      <c r="Y1862" s="330"/>
      <c r="Z1862" s="330"/>
      <c r="AA1862" s="330"/>
      <c r="AB1862" s="359" t="str">
        <f t="shared" si="303"/>
        <v/>
      </c>
      <c r="AC1862" s="360"/>
      <c r="AD1862" s="360"/>
      <c r="AE1862" s="360"/>
      <c r="AF1862" s="360"/>
      <c r="AG1862" s="360"/>
      <c r="AH1862" s="360"/>
      <c r="AI1862" s="360"/>
      <c r="AJ1862" s="360"/>
      <c r="AK1862" s="360"/>
      <c r="AL1862" s="360"/>
      <c r="AM1862" s="360"/>
      <c r="AN1862" s="361"/>
      <c r="AO1862" s="329"/>
      <c r="AP1862" s="329"/>
      <c r="AQ1862" s="329"/>
      <c r="AR1862" s="329"/>
      <c r="AS1862" s="329"/>
      <c r="AT1862" s="329"/>
      <c r="AU1862" s="329"/>
      <c r="AV1862" s="329"/>
      <c r="AW1862" s="329"/>
      <c r="AX1862" s="329"/>
      <c r="AY1862" s="329"/>
      <c r="AZ1862" s="330"/>
      <c r="BA1862" s="330"/>
      <c r="BB1862" s="330"/>
      <c r="BC1862" s="330"/>
      <c r="BD1862" s="330"/>
      <c r="BE1862" s="330"/>
      <c r="BF1862" s="330"/>
      <c r="BG1862" s="330"/>
      <c r="BH1862" s="330"/>
      <c r="BI1862" s="330"/>
      <c r="BJ1862" s="330"/>
      <c r="BK1862" s="330"/>
      <c r="BL1862" s="330"/>
      <c r="BM1862" s="330"/>
      <c r="BN1862" s="330"/>
      <c r="BO1862" s="331" t="str">
        <f t="shared" si="304"/>
        <v/>
      </c>
      <c r="BP1862" s="331"/>
      <c r="BQ1862" s="331"/>
      <c r="BR1862" s="331"/>
      <c r="BS1862" s="331"/>
      <c r="BT1862" s="331"/>
      <c r="BU1862" s="331"/>
      <c r="BV1862" s="331"/>
      <c r="BW1862" s="331"/>
      <c r="BX1862" s="331"/>
      <c r="BY1862" s="331"/>
      <c r="BZ1862" s="362"/>
      <c r="CA1862" s="270"/>
      <c r="CB1862" s="3" t="str">
        <f t="shared" si="299"/>
        <v>Riadok bude skrytý.</v>
      </c>
      <c r="CC1862" s="271" t="s">
        <v>832</v>
      </c>
      <c r="CW1862" s="30">
        <f t="shared" si="292"/>
        <v>0</v>
      </c>
      <c r="CX1862" s="30">
        <f t="shared" ref="CX1862:CX1869" si="305">+IF(B1862="",IF(M1862="",IF(AO1862="",IF(AZ1862="",0,1),1),1),1)</f>
        <v>0</v>
      </c>
      <c r="CZ1862" s="30">
        <f t="shared" si="291"/>
        <v>1</v>
      </c>
      <c r="DA1862" s="52">
        <f t="shared" si="294"/>
        <v>0</v>
      </c>
      <c r="DB1862" s="140">
        <f t="shared" si="293"/>
        <v>0</v>
      </c>
      <c r="DZ1862" s="131"/>
    </row>
    <row r="1863" spans="1:130" hidden="1" x14ac:dyDescent="0.25">
      <c r="A1863" s="141"/>
      <c r="B1863" s="328"/>
      <c r="C1863" s="329"/>
      <c r="D1863" s="329"/>
      <c r="E1863" s="329"/>
      <c r="F1863" s="329"/>
      <c r="G1863" s="329"/>
      <c r="H1863" s="329"/>
      <c r="I1863" s="329"/>
      <c r="J1863" s="329"/>
      <c r="K1863" s="329"/>
      <c r="L1863" s="329"/>
      <c r="M1863" s="330"/>
      <c r="N1863" s="330"/>
      <c r="O1863" s="330"/>
      <c r="P1863" s="330"/>
      <c r="Q1863" s="330"/>
      <c r="R1863" s="330"/>
      <c r="S1863" s="330"/>
      <c r="T1863" s="330"/>
      <c r="U1863" s="330"/>
      <c r="V1863" s="330"/>
      <c r="W1863" s="330"/>
      <c r="X1863" s="330"/>
      <c r="Y1863" s="330"/>
      <c r="Z1863" s="330"/>
      <c r="AA1863" s="330"/>
      <c r="AB1863" s="359" t="str">
        <f t="shared" si="303"/>
        <v/>
      </c>
      <c r="AC1863" s="360"/>
      <c r="AD1863" s="360"/>
      <c r="AE1863" s="360"/>
      <c r="AF1863" s="360"/>
      <c r="AG1863" s="360"/>
      <c r="AH1863" s="360"/>
      <c r="AI1863" s="360"/>
      <c r="AJ1863" s="360"/>
      <c r="AK1863" s="360"/>
      <c r="AL1863" s="360"/>
      <c r="AM1863" s="360"/>
      <c r="AN1863" s="361"/>
      <c r="AO1863" s="329"/>
      <c r="AP1863" s="329"/>
      <c r="AQ1863" s="329"/>
      <c r="AR1863" s="329"/>
      <c r="AS1863" s="329"/>
      <c r="AT1863" s="329"/>
      <c r="AU1863" s="329"/>
      <c r="AV1863" s="329"/>
      <c r="AW1863" s="329"/>
      <c r="AX1863" s="329"/>
      <c r="AY1863" s="329"/>
      <c r="AZ1863" s="330"/>
      <c r="BA1863" s="330"/>
      <c r="BB1863" s="330"/>
      <c r="BC1863" s="330"/>
      <c r="BD1863" s="330"/>
      <c r="BE1863" s="330"/>
      <c r="BF1863" s="330"/>
      <c r="BG1863" s="330"/>
      <c r="BH1863" s="330"/>
      <c r="BI1863" s="330"/>
      <c r="BJ1863" s="330"/>
      <c r="BK1863" s="330"/>
      <c r="BL1863" s="330"/>
      <c r="BM1863" s="330"/>
      <c r="BN1863" s="330"/>
      <c r="BO1863" s="331" t="str">
        <f t="shared" si="304"/>
        <v/>
      </c>
      <c r="BP1863" s="331"/>
      <c r="BQ1863" s="331"/>
      <c r="BR1863" s="331"/>
      <c r="BS1863" s="331"/>
      <c r="BT1863" s="331"/>
      <c r="BU1863" s="331"/>
      <c r="BV1863" s="331"/>
      <c r="BW1863" s="331"/>
      <c r="BX1863" s="331"/>
      <c r="BY1863" s="331"/>
      <c r="BZ1863" s="362"/>
      <c r="CA1863" s="270"/>
      <c r="CB1863" s="3" t="str">
        <f t="shared" si="299"/>
        <v>Riadok bude skrytý.</v>
      </c>
      <c r="CC1863" s="271" t="s">
        <v>832</v>
      </c>
      <c r="CW1863" s="30">
        <f t="shared" si="292"/>
        <v>0</v>
      </c>
      <c r="CX1863" s="30">
        <f t="shared" si="305"/>
        <v>0</v>
      </c>
      <c r="CZ1863" s="30">
        <f t="shared" si="291"/>
        <v>1</v>
      </c>
      <c r="DA1863" s="52">
        <f t="shared" si="294"/>
        <v>0</v>
      </c>
      <c r="DB1863" s="140">
        <f t="shared" si="293"/>
        <v>0</v>
      </c>
      <c r="DZ1863" s="131"/>
    </row>
    <row r="1864" spans="1:130" hidden="1" x14ac:dyDescent="0.25">
      <c r="A1864" s="141"/>
      <c r="B1864" s="328"/>
      <c r="C1864" s="329"/>
      <c r="D1864" s="329"/>
      <c r="E1864" s="329"/>
      <c r="F1864" s="329"/>
      <c r="G1864" s="329"/>
      <c r="H1864" s="329"/>
      <c r="I1864" s="329"/>
      <c r="J1864" s="329"/>
      <c r="K1864" s="329"/>
      <c r="L1864" s="329"/>
      <c r="M1864" s="330"/>
      <c r="N1864" s="330"/>
      <c r="O1864" s="330"/>
      <c r="P1864" s="330"/>
      <c r="Q1864" s="330"/>
      <c r="R1864" s="330"/>
      <c r="S1864" s="330"/>
      <c r="T1864" s="330"/>
      <c r="U1864" s="330"/>
      <c r="V1864" s="330"/>
      <c r="W1864" s="330"/>
      <c r="X1864" s="330"/>
      <c r="Y1864" s="330"/>
      <c r="Z1864" s="330"/>
      <c r="AA1864" s="330"/>
      <c r="AB1864" s="359" t="str">
        <f t="shared" si="303"/>
        <v/>
      </c>
      <c r="AC1864" s="360"/>
      <c r="AD1864" s="360"/>
      <c r="AE1864" s="360"/>
      <c r="AF1864" s="360"/>
      <c r="AG1864" s="360"/>
      <c r="AH1864" s="360"/>
      <c r="AI1864" s="360"/>
      <c r="AJ1864" s="360"/>
      <c r="AK1864" s="360"/>
      <c r="AL1864" s="360"/>
      <c r="AM1864" s="360"/>
      <c r="AN1864" s="361"/>
      <c r="AO1864" s="329"/>
      <c r="AP1864" s="329"/>
      <c r="AQ1864" s="329"/>
      <c r="AR1864" s="329"/>
      <c r="AS1864" s="329"/>
      <c r="AT1864" s="329"/>
      <c r="AU1864" s="329"/>
      <c r="AV1864" s="329"/>
      <c r="AW1864" s="329"/>
      <c r="AX1864" s="329"/>
      <c r="AY1864" s="329"/>
      <c r="AZ1864" s="330"/>
      <c r="BA1864" s="330"/>
      <c r="BB1864" s="330"/>
      <c r="BC1864" s="330"/>
      <c r="BD1864" s="330"/>
      <c r="BE1864" s="330"/>
      <c r="BF1864" s="330"/>
      <c r="BG1864" s="330"/>
      <c r="BH1864" s="330"/>
      <c r="BI1864" s="330"/>
      <c r="BJ1864" s="330"/>
      <c r="BK1864" s="330"/>
      <c r="BL1864" s="330"/>
      <c r="BM1864" s="330"/>
      <c r="BN1864" s="330"/>
      <c r="BO1864" s="331" t="str">
        <f t="shared" si="304"/>
        <v/>
      </c>
      <c r="BP1864" s="331"/>
      <c r="BQ1864" s="331"/>
      <c r="BR1864" s="331"/>
      <c r="BS1864" s="331"/>
      <c r="BT1864" s="331"/>
      <c r="BU1864" s="331"/>
      <c r="BV1864" s="331"/>
      <c r="BW1864" s="331"/>
      <c r="BX1864" s="331"/>
      <c r="BY1864" s="331"/>
      <c r="BZ1864" s="362"/>
      <c r="CA1864" s="270"/>
      <c r="CB1864" s="3" t="str">
        <f t="shared" si="299"/>
        <v>Riadok bude skrytý.</v>
      </c>
      <c r="CC1864" s="271" t="s">
        <v>832</v>
      </c>
      <c r="CW1864" s="30">
        <f t="shared" si="292"/>
        <v>0</v>
      </c>
      <c r="CX1864" s="30">
        <f t="shared" si="305"/>
        <v>0</v>
      </c>
      <c r="CZ1864" s="30">
        <f t="shared" si="291"/>
        <v>1</v>
      </c>
      <c r="DA1864" s="52">
        <f t="shared" si="294"/>
        <v>0</v>
      </c>
      <c r="DB1864" s="140">
        <f t="shared" si="293"/>
        <v>0</v>
      </c>
      <c r="DZ1864" s="131"/>
    </row>
    <row r="1865" spans="1:130" hidden="1" x14ac:dyDescent="0.25">
      <c r="A1865" s="141"/>
      <c r="B1865" s="328"/>
      <c r="C1865" s="329"/>
      <c r="D1865" s="329"/>
      <c r="E1865" s="329"/>
      <c r="F1865" s="329"/>
      <c r="G1865" s="329"/>
      <c r="H1865" s="329"/>
      <c r="I1865" s="329"/>
      <c r="J1865" s="329"/>
      <c r="K1865" s="329"/>
      <c r="L1865" s="329"/>
      <c r="M1865" s="330"/>
      <c r="N1865" s="330"/>
      <c r="O1865" s="330"/>
      <c r="P1865" s="330"/>
      <c r="Q1865" s="330"/>
      <c r="R1865" s="330"/>
      <c r="S1865" s="330"/>
      <c r="T1865" s="330"/>
      <c r="U1865" s="330"/>
      <c r="V1865" s="330"/>
      <c r="W1865" s="330"/>
      <c r="X1865" s="330"/>
      <c r="Y1865" s="330"/>
      <c r="Z1865" s="330"/>
      <c r="AA1865" s="330"/>
      <c r="AB1865" s="359" t="str">
        <f t="shared" si="303"/>
        <v/>
      </c>
      <c r="AC1865" s="360"/>
      <c r="AD1865" s="360"/>
      <c r="AE1865" s="360"/>
      <c r="AF1865" s="360"/>
      <c r="AG1865" s="360"/>
      <c r="AH1865" s="360"/>
      <c r="AI1865" s="360"/>
      <c r="AJ1865" s="360"/>
      <c r="AK1865" s="360"/>
      <c r="AL1865" s="360"/>
      <c r="AM1865" s="360"/>
      <c r="AN1865" s="361"/>
      <c r="AO1865" s="329"/>
      <c r="AP1865" s="329"/>
      <c r="AQ1865" s="329"/>
      <c r="AR1865" s="329"/>
      <c r="AS1865" s="329"/>
      <c r="AT1865" s="329"/>
      <c r="AU1865" s="329"/>
      <c r="AV1865" s="329"/>
      <c r="AW1865" s="329"/>
      <c r="AX1865" s="329"/>
      <c r="AY1865" s="329"/>
      <c r="AZ1865" s="330"/>
      <c r="BA1865" s="330"/>
      <c r="BB1865" s="330"/>
      <c r="BC1865" s="330"/>
      <c r="BD1865" s="330"/>
      <c r="BE1865" s="330"/>
      <c r="BF1865" s="330"/>
      <c r="BG1865" s="330"/>
      <c r="BH1865" s="330"/>
      <c r="BI1865" s="330"/>
      <c r="BJ1865" s="330"/>
      <c r="BK1865" s="330"/>
      <c r="BL1865" s="330"/>
      <c r="BM1865" s="330"/>
      <c r="BN1865" s="330"/>
      <c r="BO1865" s="331" t="str">
        <f t="shared" si="304"/>
        <v/>
      </c>
      <c r="BP1865" s="331"/>
      <c r="BQ1865" s="331"/>
      <c r="BR1865" s="331"/>
      <c r="BS1865" s="331"/>
      <c r="BT1865" s="331"/>
      <c r="BU1865" s="331"/>
      <c r="BV1865" s="331"/>
      <c r="BW1865" s="331"/>
      <c r="BX1865" s="331"/>
      <c r="BY1865" s="331"/>
      <c r="BZ1865" s="362"/>
      <c r="CA1865" s="270"/>
      <c r="CB1865" s="3" t="str">
        <f t="shared" si="299"/>
        <v>Riadok bude skrytý.</v>
      </c>
      <c r="CC1865" s="271" t="s">
        <v>832</v>
      </c>
      <c r="CW1865" s="30">
        <f t="shared" si="292"/>
        <v>0</v>
      </c>
      <c r="CX1865" s="30">
        <f t="shared" si="305"/>
        <v>0</v>
      </c>
      <c r="CZ1865" s="30">
        <f t="shared" si="291"/>
        <v>1</v>
      </c>
      <c r="DA1865" s="52">
        <f t="shared" si="294"/>
        <v>0</v>
      </c>
      <c r="DB1865" s="140">
        <f t="shared" si="293"/>
        <v>0</v>
      </c>
      <c r="DZ1865" s="131"/>
    </row>
    <row r="1866" spans="1:130" hidden="1" x14ac:dyDescent="0.25">
      <c r="A1866" s="141"/>
      <c r="B1866" s="328"/>
      <c r="C1866" s="329"/>
      <c r="D1866" s="329"/>
      <c r="E1866" s="329"/>
      <c r="F1866" s="329"/>
      <c r="G1866" s="329"/>
      <c r="H1866" s="329"/>
      <c r="I1866" s="329"/>
      <c r="J1866" s="329"/>
      <c r="K1866" s="329"/>
      <c r="L1866" s="329"/>
      <c r="M1866" s="330"/>
      <c r="N1866" s="330"/>
      <c r="O1866" s="330"/>
      <c r="P1866" s="330"/>
      <c r="Q1866" s="330"/>
      <c r="R1866" s="330"/>
      <c r="S1866" s="330"/>
      <c r="T1866" s="330"/>
      <c r="U1866" s="330"/>
      <c r="V1866" s="330"/>
      <c r="W1866" s="330"/>
      <c r="X1866" s="330"/>
      <c r="Y1866" s="330"/>
      <c r="Z1866" s="330"/>
      <c r="AA1866" s="330"/>
      <c r="AB1866" s="359" t="str">
        <f t="shared" si="303"/>
        <v/>
      </c>
      <c r="AC1866" s="360"/>
      <c r="AD1866" s="360"/>
      <c r="AE1866" s="360"/>
      <c r="AF1866" s="360"/>
      <c r="AG1866" s="360"/>
      <c r="AH1866" s="360"/>
      <c r="AI1866" s="360"/>
      <c r="AJ1866" s="360"/>
      <c r="AK1866" s="360"/>
      <c r="AL1866" s="360"/>
      <c r="AM1866" s="360"/>
      <c r="AN1866" s="361"/>
      <c r="AO1866" s="329"/>
      <c r="AP1866" s="329"/>
      <c r="AQ1866" s="329"/>
      <c r="AR1866" s="329"/>
      <c r="AS1866" s="329"/>
      <c r="AT1866" s="329"/>
      <c r="AU1866" s="329"/>
      <c r="AV1866" s="329"/>
      <c r="AW1866" s="329"/>
      <c r="AX1866" s="329"/>
      <c r="AY1866" s="329"/>
      <c r="AZ1866" s="330"/>
      <c r="BA1866" s="330"/>
      <c r="BB1866" s="330"/>
      <c r="BC1866" s="330"/>
      <c r="BD1866" s="330"/>
      <c r="BE1866" s="330"/>
      <c r="BF1866" s="330"/>
      <c r="BG1866" s="330"/>
      <c r="BH1866" s="330"/>
      <c r="BI1866" s="330"/>
      <c r="BJ1866" s="330"/>
      <c r="BK1866" s="330"/>
      <c r="BL1866" s="330"/>
      <c r="BM1866" s="330"/>
      <c r="BN1866" s="330"/>
      <c r="BO1866" s="331" t="str">
        <f t="shared" si="304"/>
        <v/>
      </c>
      <c r="BP1866" s="331"/>
      <c r="BQ1866" s="331"/>
      <c r="BR1866" s="331"/>
      <c r="BS1866" s="331"/>
      <c r="BT1866" s="331"/>
      <c r="BU1866" s="331"/>
      <c r="BV1866" s="331"/>
      <c r="BW1866" s="331"/>
      <c r="BX1866" s="331"/>
      <c r="BY1866" s="331"/>
      <c r="BZ1866" s="362"/>
      <c r="CA1866" s="270"/>
      <c r="CB1866" s="3" t="str">
        <f t="shared" si="299"/>
        <v>Riadok bude skrytý.</v>
      </c>
      <c r="CC1866" s="271" t="s">
        <v>832</v>
      </c>
      <c r="CW1866" s="30">
        <f t="shared" si="292"/>
        <v>0</v>
      </c>
      <c r="CX1866" s="30">
        <f t="shared" si="305"/>
        <v>0</v>
      </c>
      <c r="CZ1866" s="30">
        <f t="shared" si="291"/>
        <v>1</v>
      </c>
      <c r="DA1866" s="52">
        <f t="shared" si="294"/>
        <v>0</v>
      </c>
      <c r="DB1866" s="140">
        <f t="shared" si="293"/>
        <v>0</v>
      </c>
      <c r="DZ1866" s="131"/>
    </row>
    <row r="1867" spans="1:130" hidden="1" x14ac:dyDescent="0.25">
      <c r="A1867" s="141"/>
      <c r="B1867" s="328"/>
      <c r="C1867" s="329"/>
      <c r="D1867" s="329"/>
      <c r="E1867" s="329"/>
      <c r="F1867" s="329"/>
      <c r="G1867" s="329"/>
      <c r="H1867" s="329"/>
      <c r="I1867" s="329"/>
      <c r="J1867" s="329"/>
      <c r="K1867" s="329"/>
      <c r="L1867" s="329"/>
      <c r="M1867" s="330"/>
      <c r="N1867" s="330"/>
      <c r="O1867" s="330"/>
      <c r="P1867" s="330"/>
      <c r="Q1867" s="330"/>
      <c r="R1867" s="330"/>
      <c r="S1867" s="330"/>
      <c r="T1867" s="330"/>
      <c r="U1867" s="330"/>
      <c r="V1867" s="330"/>
      <c r="W1867" s="330"/>
      <c r="X1867" s="330"/>
      <c r="Y1867" s="330"/>
      <c r="Z1867" s="330"/>
      <c r="AA1867" s="330"/>
      <c r="AB1867" s="359" t="str">
        <f t="shared" si="303"/>
        <v/>
      </c>
      <c r="AC1867" s="360"/>
      <c r="AD1867" s="360"/>
      <c r="AE1867" s="360"/>
      <c r="AF1867" s="360"/>
      <c r="AG1867" s="360"/>
      <c r="AH1867" s="360"/>
      <c r="AI1867" s="360"/>
      <c r="AJ1867" s="360"/>
      <c r="AK1867" s="360"/>
      <c r="AL1867" s="360"/>
      <c r="AM1867" s="360"/>
      <c r="AN1867" s="361"/>
      <c r="AO1867" s="329"/>
      <c r="AP1867" s="329"/>
      <c r="AQ1867" s="329"/>
      <c r="AR1867" s="329"/>
      <c r="AS1867" s="329"/>
      <c r="AT1867" s="329"/>
      <c r="AU1867" s="329"/>
      <c r="AV1867" s="329"/>
      <c r="AW1867" s="329"/>
      <c r="AX1867" s="329"/>
      <c r="AY1867" s="329"/>
      <c r="AZ1867" s="330"/>
      <c r="BA1867" s="330"/>
      <c r="BB1867" s="330"/>
      <c r="BC1867" s="330"/>
      <c r="BD1867" s="330"/>
      <c r="BE1867" s="330"/>
      <c r="BF1867" s="330"/>
      <c r="BG1867" s="330"/>
      <c r="BH1867" s="330"/>
      <c r="BI1867" s="330"/>
      <c r="BJ1867" s="330"/>
      <c r="BK1867" s="330"/>
      <c r="BL1867" s="330"/>
      <c r="BM1867" s="330"/>
      <c r="BN1867" s="330"/>
      <c r="BO1867" s="331" t="str">
        <f t="shared" si="304"/>
        <v/>
      </c>
      <c r="BP1867" s="331"/>
      <c r="BQ1867" s="331"/>
      <c r="BR1867" s="331"/>
      <c r="BS1867" s="331"/>
      <c r="BT1867" s="331"/>
      <c r="BU1867" s="331"/>
      <c r="BV1867" s="331"/>
      <c r="BW1867" s="331"/>
      <c r="BX1867" s="331"/>
      <c r="BY1867" s="331"/>
      <c r="BZ1867" s="362"/>
      <c r="CA1867" s="270"/>
      <c r="CB1867" s="3" t="str">
        <f t="shared" si="299"/>
        <v>Riadok bude skrytý.</v>
      </c>
      <c r="CC1867" s="271" t="s">
        <v>832</v>
      </c>
      <c r="CW1867" s="30">
        <f t="shared" si="292"/>
        <v>0</v>
      </c>
      <c r="CX1867" s="30">
        <f t="shared" si="305"/>
        <v>0</v>
      </c>
      <c r="CZ1867" s="30">
        <f t="shared" si="291"/>
        <v>1</v>
      </c>
      <c r="DA1867" s="52">
        <f t="shared" si="294"/>
        <v>0</v>
      </c>
      <c r="DB1867" s="140">
        <f t="shared" si="293"/>
        <v>0</v>
      </c>
      <c r="DZ1867" s="131"/>
    </row>
    <row r="1868" spans="1:130" hidden="1" x14ac:dyDescent="0.25">
      <c r="A1868" s="141"/>
      <c r="B1868" s="328"/>
      <c r="C1868" s="329"/>
      <c r="D1868" s="329"/>
      <c r="E1868" s="329"/>
      <c r="F1868" s="329"/>
      <c r="G1868" s="329"/>
      <c r="H1868" s="329"/>
      <c r="I1868" s="329"/>
      <c r="J1868" s="329"/>
      <c r="K1868" s="329"/>
      <c r="L1868" s="329"/>
      <c r="M1868" s="330"/>
      <c r="N1868" s="330"/>
      <c r="O1868" s="330"/>
      <c r="P1868" s="330"/>
      <c r="Q1868" s="330"/>
      <c r="R1868" s="330"/>
      <c r="S1868" s="330"/>
      <c r="T1868" s="330"/>
      <c r="U1868" s="330"/>
      <c r="V1868" s="330"/>
      <c r="W1868" s="330"/>
      <c r="X1868" s="330"/>
      <c r="Y1868" s="330"/>
      <c r="Z1868" s="330"/>
      <c r="AA1868" s="330"/>
      <c r="AB1868" s="359" t="str">
        <f t="shared" si="303"/>
        <v/>
      </c>
      <c r="AC1868" s="360"/>
      <c r="AD1868" s="360"/>
      <c r="AE1868" s="360"/>
      <c r="AF1868" s="360"/>
      <c r="AG1868" s="360"/>
      <c r="AH1868" s="360"/>
      <c r="AI1868" s="360"/>
      <c r="AJ1868" s="360"/>
      <c r="AK1868" s="360"/>
      <c r="AL1868" s="360"/>
      <c r="AM1868" s="360"/>
      <c r="AN1868" s="361"/>
      <c r="AO1868" s="329"/>
      <c r="AP1868" s="329"/>
      <c r="AQ1868" s="329"/>
      <c r="AR1868" s="329"/>
      <c r="AS1868" s="329"/>
      <c r="AT1868" s="329"/>
      <c r="AU1868" s="329"/>
      <c r="AV1868" s="329"/>
      <c r="AW1868" s="329"/>
      <c r="AX1868" s="329"/>
      <c r="AY1868" s="329"/>
      <c r="AZ1868" s="330"/>
      <c r="BA1868" s="330"/>
      <c r="BB1868" s="330"/>
      <c r="BC1868" s="330"/>
      <c r="BD1868" s="330"/>
      <c r="BE1868" s="330"/>
      <c r="BF1868" s="330"/>
      <c r="BG1868" s="330"/>
      <c r="BH1868" s="330"/>
      <c r="BI1868" s="330"/>
      <c r="BJ1868" s="330"/>
      <c r="BK1868" s="330"/>
      <c r="BL1868" s="330"/>
      <c r="BM1868" s="330"/>
      <c r="BN1868" s="330"/>
      <c r="BO1868" s="331" t="str">
        <f t="shared" si="304"/>
        <v/>
      </c>
      <c r="BP1868" s="331"/>
      <c r="BQ1868" s="331"/>
      <c r="BR1868" s="331"/>
      <c r="BS1868" s="331"/>
      <c r="BT1868" s="331"/>
      <c r="BU1868" s="331"/>
      <c r="BV1868" s="331"/>
      <c r="BW1868" s="331"/>
      <c r="BX1868" s="331"/>
      <c r="BY1868" s="331"/>
      <c r="BZ1868" s="362"/>
      <c r="CA1868" s="270"/>
      <c r="CB1868" s="3" t="str">
        <f t="shared" si="299"/>
        <v>Riadok bude skrytý.</v>
      </c>
      <c r="CC1868" s="271" t="s">
        <v>832</v>
      </c>
      <c r="CW1868" s="30">
        <f t="shared" si="292"/>
        <v>0</v>
      </c>
      <c r="CX1868" s="30">
        <f t="shared" si="305"/>
        <v>0</v>
      </c>
      <c r="CZ1868" s="30">
        <f t="shared" si="291"/>
        <v>1</v>
      </c>
      <c r="DA1868" s="52">
        <f t="shared" si="294"/>
        <v>0</v>
      </c>
      <c r="DB1868" s="140">
        <f t="shared" si="293"/>
        <v>0</v>
      </c>
      <c r="DZ1868" s="131"/>
    </row>
    <row r="1869" spans="1:130" hidden="1" x14ac:dyDescent="0.25">
      <c r="A1869" s="141"/>
      <c r="B1869" s="328"/>
      <c r="C1869" s="329"/>
      <c r="D1869" s="329"/>
      <c r="E1869" s="329"/>
      <c r="F1869" s="329"/>
      <c r="G1869" s="329"/>
      <c r="H1869" s="329"/>
      <c r="I1869" s="329"/>
      <c r="J1869" s="329"/>
      <c r="K1869" s="329"/>
      <c r="L1869" s="329"/>
      <c r="M1869" s="330"/>
      <c r="N1869" s="330"/>
      <c r="O1869" s="330"/>
      <c r="P1869" s="330"/>
      <c r="Q1869" s="330"/>
      <c r="R1869" s="330"/>
      <c r="S1869" s="330"/>
      <c r="T1869" s="330"/>
      <c r="U1869" s="330"/>
      <c r="V1869" s="330"/>
      <c r="W1869" s="330"/>
      <c r="X1869" s="330"/>
      <c r="Y1869" s="330"/>
      <c r="Z1869" s="330"/>
      <c r="AA1869" s="330"/>
      <c r="AB1869" s="359" t="str">
        <f t="shared" si="303"/>
        <v/>
      </c>
      <c r="AC1869" s="360"/>
      <c r="AD1869" s="360"/>
      <c r="AE1869" s="360"/>
      <c r="AF1869" s="360"/>
      <c r="AG1869" s="360"/>
      <c r="AH1869" s="360"/>
      <c r="AI1869" s="360"/>
      <c r="AJ1869" s="360"/>
      <c r="AK1869" s="360"/>
      <c r="AL1869" s="360"/>
      <c r="AM1869" s="360"/>
      <c r="AN1869" s="361"/>
      <c r="AO1869" s="329"/>
      <c r="AP1869" s="329"/>
      <c r="AQ1869" s="329"/>
      <c r="AR1869" s="329"/>
      <c r="AS1869" s="329"/>
      <c r="AT1869" s="329"/>
      <c r="AU1869" s="329"/>
      <c r="AV1869" s="329"/>
      <c r="AW1869" s="329"/>
      <c r="AX1869" s="329"/>
      <c r="AY1869" s="329"/>
      <c r="AZ1869" s="330"/>
      <c r="BA1869" s="330"/>
      <c r="BB1869" s="330"/>
      <c r="BC1869" s="330"/>
      <c r="BD1869" s="330"/>
      <c r="BE1869" s="330"/>
      <c r="BF1869" s="330"/>
      <c r="BG1869" s="330"/>
      <c r="BH1869" s="330"/>
      <c r="BI1869" s="330"/>
      <c r="BJ1869" s="330"/>
      <c r="BK1869" s="330"/>
      <c r="BL1869" s="330"/>
      <c r="BM1869" s="330"/>
      <c r="BN1869" s="330"/>
      <c r="BO1869" s="331" t="str">
        <f t="shared" si="304"/>
        <v/>
      </c>
      <c r="BP1869" s="331"/>
      <c r="BQ1869" s="331"/>
      <c r="BR1869" s="331"/>
      <c r="BS1869" s="331"/>
      <c r="BT1869" s="331"/>
      <c r="BU1869" s="331"/>
      <c r="BV1869" s="331"/>
      <c r="BW1869" s="331"/>
      <c r="BX1869" s="331"/>
      <c r="BY1869" s="331"/>
      <c r="BZ1869" s="362"/>
      <c r="CA1869" s="270"/>
      <c r="CB1869" s="3" t="str">
        <f t="shared" si="299"/>
        <v>Riadok bude skrytý.</v>
      </c>
      <c r="CC1869" s="271" t="s">
        <v>832</v>
      </c>
      <c r="CW1869" s="30">
        <f t="shared" si="292"/>
        <v>0</v>
      </c>
      <c r="CX1869" s="30">
        <f t="shared" si="305"/>
        <v>0</v>
      </c>
      <c r="CZ1869" s="30">
        <f>IF(CC1869="",1,IF(CC1869="Chcem skryť riadok.",0,1))</f>
        <v>1</v>
      </c>
      <c r="DA1869" s="52">
        <f t="shared" si="294"/>
        <v>0</v>
      </c>
      <c r="DB1869" s="140">
        <f t="shared" si="293"/>
        <v>0</v>
      </c>
      <c r="DZ1869" s="131"/>
    </row>
    <row r="1870" spans="1:130" hidden="1" x14ac:dyDescent="0.25">
      <c r="A1870" s="141"/>
      <c r="B1870" s="335"/>
      <c r="C1870" s="336"/>
      <c r="D1870" s="336"/>
      <c r="E1870" s="336"/>
      <c r="F1870" s="336"/>
      <c r="G1870" s="336"/>
      <c r="H1870" s="336"/>
      <c r="I1870" s="336"/>
      <c r="J1870" s="336"/>
      <c r="K1870" s="336"/>
      <c r="L1870" s="336"/>
      <c r="M1870" s="337"/>
      <c r="N1870" s="337"/>
      <c r="O1870" s="337"/>
      <c r="P1870" s="337"/>
      <c r="Q1870" s="337"/>
      <c r="R1870" s="337"/>
      <c r="S1870" s="337"/>
      <c r="T1870" s="337"/>
      <c r="U1870" s="337"/>
      <c r="V1870" s="337"/>
      <c r="W1870" s="337"/>
      <c r="X1870" s="337"/>
      <c r="Y1870" s="337"/>
      <c r="Z1870" s="337"/>
      <c r="AA1870" s="337"/>
      <c r="AB1870" s="342" t="str">
        <f t="shared" si="303"/>
        <v/>
      </c>
      <c r="AC1870" s="343"/>
      <c r="AD1870" s="343"/>
      <c r="AE1870" s="343"/>
      <c r="AF1870" s="343"/>
      <c r="AG1870" s="343"/>
      <c r="AH1870" s="343"/>
      <c r="AI1870" s="343"/>
      <c r="AJ1870" s="343"/>
      <c r="AK1870" s="343"/>
      <c r="AL1870" s="343"/>
      <c r="AM1870" s="343"/>
      <c r="AN1870" s="344"/>
      <c r="AO1870" s="336"/>
      <c r="AP1870" s="336"/>
      <c r="AQ1870" s="336"/>
      <c r="AR1870" s="336"/>
      <c r="AS1870" s="336"/>
      <c r="AT1870" s="336"/>
      <c r="AU1870" s="336"/>
      <c r="AV1870" s="336"/>
      <c r="AW1870" s="336"/>
      <c r="AX1870" s="336"/>
      <c r="AY1870" s="336"/>
      <c r="AZ1870" s="337"/>
      <c r="BA1870" s="337"/>
      <c r="BB1870" s="337"/>
      <c r="BC1870" s="337"/>
      <c r="BD1870" s="337"/>
      <c r="BE1870" s="337"/>
      <c r="BF1870" s="337"/>
      <c r="BG1870" s="337"/>
      <c r="BH1870" s="337"/>
      <c r="BI1870" s="337"/>
      <c r="BJ1870" s="337"/>
      <c r="BK1870" s="337"/>
      <c r="BL1870" s="337"/>
      <c r="BM1870" s="337"/>
      <c r="BN1870" s="337"/>
      <c r="BO1870" s="338" t="str">
        <f t="shared" si="304"/>
        <v/>
      </c>
      <c r="BP1870" s="338"/>
      <c r="BQ1870" s="338"/>
      <c r="BR1870" s="338"/>
      <c r="BS1870" s="338"/>
      <c r="BT1870" s="338"/>
      <c r="BU1870" s="338"/>
      <c r="BV1870" s="338"/>
      <c r="BW1870" s="338"/>
      <c r="BX1870" s="338"/>
      <c r="BY1870" s="338"/>
      <c r="BZ1870" s="345"/>
      <c r="CA1870" s="270"/>
      <c r="CB1870" s="3" t="str">
        <f t="shared" si="299"/>
        <v>Riadok bude skrytý.</v>
      </c>
      <c r="CC1870" s="271" t="s">
        <v>832</v>
      </c>
      <c r="CW1870" s="30">
        <f t="shared" si="292"/>
        <v>0</v>
      </c>
      <c r="CX1870" s="30">
        <f>+IF(SUM(CX1861:CX1869)=0,0,1)</f>
        <v>0</v>
      </c>
      <c r="CZ1870" s="30">
        <f t="shared" si="291"/>
        <v>1</v>
      </c>
      <c r="DA1870" s="52">
        <f t="shared" si="294"/>
        <v>0</v>
      </c>
      <c r="DB1870" s="140">
        <f t="shared" si="293"/>
        <v>0</v>
      </c>
      <c r="DZ1870" s="131"/>
    </row>
    <row r="1871" spans="1:130" hidden="1" x14ac:dyDescent="0.25">
      <c r="A1871" s="141"/>
      <c r="B1871" s="346" t="s">
        <v>1036</v>
      </c>
      <c r="C1871" s="347"/>
      <c r="D1871" s="347"/>
      <c r="E1871" s="347"/>
      <c r="F1871" s="347"/>
      <c r="G1871" s="347"/>
      <c r="H1871" s="347"/>
      <c r="I1871" s="347"/>
      <c r="J1871" s="347"/>
      <c r="K1871" s="347"/>
      <c r="L1871" s="347"/>
      <c r="M1871" s="347"/>
      <c r="N1871" s="347"/>
      <c r="O1871" s="347"/>
      <c r="P1871" s="347"/>
      <c r="Q1871" s="347"/>
      <c r="R1871" s="347"/>
      <c r="S1871" s="347"/>
      <c r="T1871" s="347"/>
      <c r="U1871" s="347"/>
      <c r="V1871" s="347"/>
      <c r="W1871" s="347"/>
      <c r="X1871" s="347"/>
      <c r="Y1871" s="347"/>
      <c r="Z1871" s="347"/>
      <c r="AA1871" s="347"/>
      <c r="AB1871" s="347"/>
      <c r="AC1871" s="347"/>
      <c r="AD1871" s="347"/>
      <c r="AE1871" s="347"/>
      <c r="AF1871" s="347"/>
      <c r="AG1871" s="347"/>
      <c r="AH1871" s="347"/>
      <c r="AI1871" s="347"/>
      <c r="AJ1871" s="347"/>
      <c r="AK1871" s="347"/>
      <c r="AL1871" s="347"/>
      <c r="AM1871" s="347"/>
      <c r="AN1871" s="347"/>
      <c r="AO1871" s="347"/>
      <c r="AP1871" s="347"/>
      <c r="AQ1871" s="347"/>
      <c r="AR1871" s="347"/>
      <c r="AS1871" s="347"/>
      <c r="AT1871" s="347"/>
      <c r="AU1871" s="347"/>
      <c r="AV1871" s="347"/>
      <c r="AW1871" s="347"/>
      <c r="AX1871" s="347"/>
      <c r="AY1871" s="347"/>
      <c r="AZ1871" s="347"/>
      <c r="BA1871" s="347"/>
      <c r="BB1871" s="347"/>
      <c r="BC1871" s="347"/>
      <c r="BD1871" s="347"/>
      <c r="BE1871" s="347"/>
      <c r="BF1871" s="347"/>
      <c r="BG1871" s="347"/>
      <c r="BH1871" s="347"/>
      <c r="BI1871" s="347"/>
      <c r="BJ1871" s="347"/>
      <c r="BK1871" s="347"/>
      <c r="BL1871" s="347"/>
      <c r="BM1871" s="347"/>
      <c r="BN1871" s="347"/>
      <c r="BO1871" s="347"/>
      <c r="BP1871" s="347"/>
      <c r="BQ1871" s="347"/>
      <c r="BR1871" s="347"/>
      <c r="BS1871" s="347"/>
      <c r="BT1871" s="347"/>
      <c r="BU1871" s="347"/>
      <c r="BV1871" s="347"/>
      <c r="BW1871" s="347"/>
      <c r="BX1871" s="347"/>
      <c r="BY1871" s="347"/>
      <c r="BZ1871" s="348"/>
      <c r="CA1871" s="265" t="s">
        <v>773</v>
      </c>
      <c r="CB1871" s="3" t="str">
        <f t="shared" si="299"/>
        <v>Riadok bude skrytý.</v>
      </c>
      <c r="CC1871" s="271" t="s">
        <v>832</v>
      </c>
      <c r="CF1871" s="133"/>
      <c r="CW1871" s="30">
        <f t="shared" si="292"/>
        <v>0</v>
      </c>
      <c r="CX1871" s="30">
        <f>+IF(SUM(CX1873:CX1882)=0,0,1)</f>
        <v>0</v>
      </c>
      <c r="CZ1871" s="30">
        <f t="shared" si="291"/>
        <v>1</v>
      </c>
      <c r="DA1871" s="52">
        <f t="shared" si="294"/>
        <v>0</v>
      </c>
      <c r="DB1871" s="140">
        <f t="shared" si="293"/>
        <v>0</v>
      </c>
      <c r="DZ1871" s="131"/>
    </row>
    <row r="1872" spans="1:130" hidden="1" x14ac:dyDescent="0.25">
      <c r="A1872" s="141"/>
      <c r="B1872" s="349" t="s">
        <v>1027</v>
      </c>
      <c r="C1872" s="350"/>
      <c r="D1872" s="350"/>
      <c r="E1872" s="350"/>
      <c r="F1872" s="350"/>
      <c r="G1872" s="350"/>
      <c r="H1872" s="350"/>
      <c r="I1872" s="350"/>
      <c r="J1872" s="350"/>
      <c r="K1872" s="350"/>
      <c r="L1872" s="350"/>
      <c r="M1872" s="351" t="s">
        <v>1028</v>
      </c>
      <c r="N1872" s="350"/>
      <c r="O1872" s="350"/>
      <c r="P1872" s="350"/>
      <c r="Q1872" s="350"/>
      <c r="R1872" s="350"/>
      <c r="S1872" s="350"/>
      <c r="T1872" s="350"/>
      <c r="U1872" s="350"/>
      <c r="V1872" s="350"/>
      <c r="W1872" s="350"/>
      <c r="X1872" s="350" t="s">
        <v>1037</v>
      </c>
      <c r="Y1872" s="350"/>
      <c r="Z1872" s="350"/>
      <c r="AA1872" s="350"/>
      <c r="AB1872" s="350"/>
      <c r="AC1872" s="350"/>
      <c r="AD1872" s="350"/>
      <c r="AE1872" s="350"/>
      <c r="AF1872" s="350"/>
      <c r="AG1872" s="350"/>
      <c r="AH1872" s="350"/>
      <c r="AI1872" s="350"/>
      <c r="AJ1872" s="352"/>
      <c r="AK1872" s="353" t="s">
        <v>1029</v>
      </c>
      <c r="AL1872" s="354"/>
      <c r="AM1872" s="354"/>
      <c r="AN1872" s="354"/>
      <c r="AO1872" s="354"/>
      <c r="AP1872" s="354"/>
      <c r="AQ1872" s="354"/>
      <c r="AR1872" s="354"/>
      <c r="AS1872" s="354"/>
      <c r="AT1872" s="354"/>
      <c r="AU1872" s="354"/>
      <c r="AV1872" s="355"/>
      <c r="AW1872" s="356" t="s">
        <v>1030</v>
      </c>
      <c r="AX1872" s="356"/>
      <c r="AY1872" s="356"/>
      <c r="AZ1872" s="356"/>
      <c r="BA1872" s="356"/>
      <c r="BB1872" s="356"/>
      <c r="BC1872" s="356"/>
      <c r="BD1872" s="356"/>
      <c r="BE1872" s="356"/>
      <c r="BF1872" s="356"/>
      <c r="BG1872" s="356"/>
      <c r="BH1872" s="356"/>
      <c r="BI1872" s="356"/>
      <c r="BJ1872" s="356"/>
      <c r="BK1872" s="356"/>
      <c r="BL1872" s="356"/>
      <c r="BM1872" s="356"/>
      <c r="BN1872" s="356"/>
      <c r="BO1872" s="357" t="s">
        <v>1031</v>
      </c>
      <c r="BP1872" s="357"/>
      <c r="BQ1872" s="357"/>
      <c r="BR1872" s="357"/>
      <c r="BS1872" s="357"/>
      <c r="BT1872" s="357"/>
      <c r="BU1872" s="357"/>
      <c r="BV1872" s="357"/>
      <c r="BW1872" s="357"/>
      <c r="BX1872" s="357"/>
      <c r="BY1872" s="357"/>
      <c r="BZ1872" s="358"/>
      <c r="CA1872" s="142"/>
      <c r="CB1872" s="3" t="str">
        <f t="shared" si="299"/>
        <v>Riadok bude skrytý.</v>
      </c>
      <c r="CC1872" s="271" t="s">
        <v>832</v>
      </c>
      <c r="CW1872" s="30">
        <f t="shared" si="292"/>
        <v>0</v>
      </c>
      <c r="CX1872" s="30">
        <f>+IF(SUM(CX1873:CX1882)=0,0,1)</f>
        <v>0</v>
      </c>
      <c r="CZ1872" s="30">
        <f t="shared" si="291"/>
        <v>1</v>
      </c>
      <c r="DA1872" s="52">
        <f t="shared" si="294"/>
        <v>0</v>
      </c>
      <c r="DB1872" s="140">
        <f t="shared" si="293"/>
        <v>0</v>
      </c>
      <c r="DZ1872" s="131"/>
    </row>
    <row r="1873" spans="1:130" hidden="1" x14ac:dyDescent="0.25">
      <c r="A1873" s="141"/>
      <c r="B1873" s="328"/>
      <c r="C1873" s="329"/>
      <c r="D1873" s="329"/>
      <c r="E1873" s="329"/>
      <c r="F1873" s="329"/>
      <c r="G1873" s="329"/>
      <c r="H1873" s="329"/>
      <c r="I1873" s="329"/>
      <c r="J1873" s="329"/>
      <c r="K1873" s="329"/>
      <c r="L1873" s="329"/>
      <c r="M1873" s="330"/>
      <c r="N1873" s="330"/>
      <c r="O1873" s="330"/>
      <c r="P1873" s="330"/>
      <c r="Q1873" s="330"/>
      <c r="R1873" s="330"/>
      <c r="S1873" s="330"/>
      <c r="T1873" s="330"/>
      <c r="U1873" s="330"/>
      <c r="V1873" s="330"/>
      <c r="W1873" s="330"/>
      <c r="X1873" s="330"/>
      <c r="Y1873" s="330"/>
      <c r="Z1873" s="330"/>
      <c r="AA1873" s="330"/>
      <c r="AB1873" s="330"/>
      <c r="AC1873" s="330"/>
      <c r="AD1873" s="330"/>
      <c r="AE1873" s="330"/>
      <c r="AF1873" s="330"/>
      <c r="AG1873" s="330"/>
      <c r="AH1873" s="330"/>
      <c r="AI1873" s="330"/>
      <c r="AJ1873" s="330"/>
      <c r="AK1873" s="331" t="str">
        <f t="shared" ref="AK1873:AK1882" si="306">IF(B1873*M1873=0,"",B1873*M1873)</f>
        <v/>
      </c>
      <c r="AL1873" s="331"/>
      <c r="AM1873" s="331"/>
      <c r="AN1873" s="331"/>
      <c r="AO1873" s="331"/>
      <c r="AP1873" s="331"/>
      <c r="AQ1873" s="331"/>
      <c r="AR1873" s="331"/>
      <c r="AS1873" s="331"/>
      <c r="AT1873" s="331"/>
      <c r="AU1873" s="331"/>
      <c r="AV1873" s="331"/>
      <c r="AW1873" s="332"/>
      <c r="AX1873" s="332"/>
      <c r="AY1873" s="332"/>
      <c r="AZ1873" s="332"/>
      <c r="BA1873" s="332"/>
      <c r="BB1873" s="332"/>
      <c r="BC1873" s="332"/>
      <c r="BD1873" s="332"/>
      <c r="BE1873" s="332"/>
      <c r="BF1873" s="332"/>
      <c r="BG1873" s="332"/>
      <c r="BH1873" s="332"/>
      <c r="BI1873" s="332"/>
      <c r="BJ1873" s="332"/>
      <c r="BK1873" s="332"/>
      <c r="BL1873" s="332"/>
      <c r="BM1873" s="332"/>
      <c r="BN1873" s="332"/>
      <c r="BO1873" s="333" t="str">
        <f t="shared" ref="BO1873:BO1882" si="307">+IF(AK1873="","",IF(AW1873="","",IF(ROUND(AK1873/AW1873,4)&gt;100%,"chyba",ROUND(AK1873/AW1873,4))))</f>
        <v/>
      </c>
      <c r="BP1873" s="333"/>
      <c r="BQ1873" s="333"/>
      <c r="BR1873" s="333"/>
      <c r="BS1873" s="333"/>
      <c r="BT1873" s="333"/>
      <c r="BU1873" s="333"/>
      <c r="BV1873" s="333"/>
      <c r="BW1873" s="333"/>
      <c r="BX1873" s="333"/>
      <c r="BY1873" s="333"/>
      <c r="BZ1873" s="334"/>
      <c r="CA1873" s="281"/>
      <c r="CB1873" s="3" t="str">
        <f t="shared" si="299"/>
        <v>Riadok bude skrytý.</v>
      </c>
      <c r="CC1873" s="271" t="s">
        <v>832</v>
      </c>
      <c r="CW1873" s="30">
        <f t="shared" si="292"/>
        <v>0</v>
      </c>
      <c r="CX1873" s="30">
        <f>+IF(B1873="",IF(M1873="",IF(X1873="",IF(AW1873="",0,1),1),1),1)</f>
        <v>0</v>
      </c>
      <c r="CZ1873" s="30">
        <f t="shared" ref="CZ1873:CZ1883" si="308">IF(CC1873="",1,IF(CC1873="Chcem skryť riadok.",0,1))</f>
        <v>1</v>
      </c>
      <c r="DA1873" s="52">
        <f t="shared" si="294"/>
        <v>0</v>
      </c>
      <c r="DB1873" s="140">
        <f t="shared" si="293"/>
        <v>0</v>
      </c>
      <c r="DZ1873" s="131"/>
    </row>
    <row r="1874" spans="1:130" hidden="1" x14ac:dyDescent="0.25">
      <c r="A1874" s="141"/>
      <c r="B1874" s="328"/>
      <c r="C1874" s="329"/>
      <c r="D1874" s="329"/>
      <c r="E1874" s="329"/>
      <c r="F1874" s="329"/>
      <c r="G1874" s="329"/>
      <c r="H1874" s="329"/>
      <c r="I1874" s="329"/>
      <c r="J1874" s="329"/>
      <c r="K1874" s="329"/>
      <c r="L1874" s="329"/>
      <c r="M1874" s="330"/>
      <c r="N1874" s="330"/>
      <c r="O1874" s="330"/>
      <c r="P1874" s="330"/>
      <c r="Q1874" s="330"/>
      <c r="R1874" s="330"/>
      <c r="S1874" s="330"/>
      <c r="T1874" s="330"/>
      <c r="U1874" s="330"/>
      <c r="V1874" s="330"/>
      <c r="W1874" s="330"/>
      <c r="X1874" s="330"/>
      <c r="Y1874" s="330"/>
      <c r="Z1874" s="330"/>
      <c r="AA1874" s="330"/>
      <c r="AB1874" s="330"/>
      <c r="AC1874" s="330"/>
      <c r="AD1874" s="330"/>
      <c r="AE1874" s="330"/>
      <c r="AF1874" s="330"/>
      <c r="AG1874" s="330"/>
      <c r="AH1874" s="330"/>
      <c r="AI1874" s="330"/>
      <c r="AJ1874" s="330"/>
      <c r="AK1874" s="331" t="str">
        <f t="shared" si="306"/>
        <v/>
      </c>
      <c r="AL1874" s="331"/>
      <c r="AM1874" s="331"/>
      <c r="AN1874" s="331"/>
      <c r="AO1874" s="331"/>
      <c r="AP1874" s="331"/>
      <c r="AQ1874" s="331"/>
      <c r="AR1874" s="331"/>
      <c r="AS1874" s="331"/>
      <c r="AT1874" s="331"/>
      <c r="AU1874" s="331"/>
      <c r="AV1874" s="331"/>
      <c r="AW1874" s="332"/>
      <c r="AX1874" s="332"/>
      <c r="AY1874" s="332"/>
      <c r="AZ1874" s="332"/>
      <c r="BA1874" s="332"/>
      <c r="BB1874" s="332"/>
      <c r="BC1874" s="332"/>
      <c r="BD1874" s="332"/>
      <c r="BE1874" s="332"/>
      <c r="BF1874" s="332"/>
      <c r="BG1874" s="332"/>
      <c r="BH1874" s="332"/>
      <c r="BI1874" s="332"/>
      <c r="BJ1874" s="332"/>
      <c r="BK1874" s="332"/>
      <c r="BL1874" s="332"/>
      <c r="BM1874" s="332"/>
      <c r="BN1874" s="332"/>
      <c r="BO1874" s="333" t="str">
        <f t="shared" si="307"/>
        <v/>
      </c>
      <c r="BP1874" s="333"/>
      <c r="BQ1874" s="333"/>
      <c r="BR1874" s="333"/>
      <c r="BS1874" s="333"/>
      <c r="BT1874" s="333"/>
      <c r="BU1874" s="333"/>
      <c r="BV1874" s="333"/>
      <c r="BW1874" s="333"/>
      <c r="BX1874" s="333"/>
      <c r="BY1874" s="333"/>
      <c r="BZ1874" s="334"/>
      <c r="CA1874" s="281"/>
      <c r="CB1874" s="3" t="str">
        <f t="shared" si="299"/>
        <v>Riadok bude skrytý.</v>
      </c>
      <c r="CC1874" s="271" t="s">
        <v>832</v>
      </c>
      <c r="CW1874" s="30">
        <f t="shared" ref="CW1874:CW1883" si="309">+IF($J$1810="neeviduje",0,1)</f>
        <v>0</v>
      </c>
      <c r="CX1874" s="30">
        <f t="shared" ref="CX1874:CX1881" si="310">+IF(B1874="",IF(M1874="",IF(X1874="",IF(AW1874="",0,1),1),1),1)</f>
        <v>0</v>
      </c>
      <c r="CZ1874" s="30">
        <f t="shared" si="308"/>
        <v>1</v>
      </c>
      <c r="DA1874" s="52">
        <f t="shared" si="294"/>
        <v>0</v>
      </c>
      <c r="DB1874" s="140">
        <f t="shared" ref="DB1874:DB1883" si="311">+DA1874</f>
        <v>0</v>
      </c>
      <c r="DZ1874" s="131"/>
    </row>
    <row r="1875" spans="1:130" hidden="1" x14ac:dyDescent="0.25">
      <c r="A1875" s="141"/>
      <c r="B1875" s="328"/>
      <c r="C1875" s="329"/>
      <c r="D1875" s="329"/>
      <c r="E1875" s="329"/>
      <c r="F1875" s="329"/>
      <c r="G1875" s="329"/>
      <c r="H1875" s="329"/>
      <c r="I1875" s="329"/>
      <c r="J1875" s="329"/>
      <c r="K1875" s="329"/>
      <c r="L1875" s="329"/>
      <c r="M1875" s="330"/>
      <c r="N1875" s="330"/>
      <c r="O1875" s="330"/>
      <c r="P1875" s="330"/>
      <c r="Q1875" s="330"/>
      <c r="R1875" s="330"/>
      <c r="S1875" s="330"/>
      <c r="T1875" s="330"/>
      <c r="U1875" s="330"/>
      <c r="V1875" s="330"/>
      <c r="W1875" s="330"/>
      <c r="X1875" s="330"/>
      <c r="Y1875" s="330"/>
      <c r="Z1875" s="330"/>
      <c r="AA1875" s="330"/>
      <c r="AB1875" s="330"/>
      <c r="AC1875" s="330"/>
      <c r="AD1875" s="330"/>
      <c r="AE1875" s="330"/>
      <c r="AF1875" s="330"/>
      <c r="AG1875" s="330"/>
      <c r="AH1875" s="330"/>
      <c r="AI1875" s="330"/>
      <c r="AJ1875" s="330"/>
      <c r="AK1875" s="331" t="str">
        <f t="shared" si="306"/>
        <v/>
      </c>
      <c r="AL1875" s="331"/>
      <c r="AM1875" s="331"/>
      <c r="AN1875" s="331"/>
      <c r="AO1875" s="331"/>
      <c r="AP1875" s="331"/>
      <c r="AQ1875" s="331"/>
      <c r="AR1875" s="331"/>
      <c r="AS1875" s="331"/>
      <c r="AT1875" s="331"/>
      <c r="AU1875" s="331"/>
      <c r="AV1875" s="331"/>
      <c r="AW1875" s="332"/>
      <c r="AX1875" s="332"/>
      <c r="AY1875" s="332"/>
      <c r="AZ1875" s="332"/>
      <c r="BA1875" s="332"/>
      <c r="BB1875" s="332"/>
      <c r="BC1875" s="332"/>
      <c r="BD1875" s="332"/>
      <c r="BE1875" s="332"/>
      <c r="BF1875" s="332"/>
      <c r="BG1875" s="332"/>
      <c r="BH1875" s="332"/>
      <c r="BI1875" s="332"/>
      <c r="BJ1875" s="332"/>
      <c r="BK1875" s="332"/>
      <c r="BL1875" s="332"/>
      <c r="BM1875" s="332"/>
      <c r="BN1875" s="332"/>
      <c r="BO1875" s="333" t="str">
        <f t="shared" si="307"/>
        <v/>
      </c>
      <c r="BP1875" s="333"/>
      <c r="BQ1875" s="333"/>
      <c r="BR1875" s="333"/>
      <c r="BS1875" s="333"/>
      <c r="BT1875" s="333"/>
      <c r="BU1875" s="333"/>
      <c r="BV1875" s="333"/>
      <c r="BW1875" s="333"/>
      <c r="BX1875" s="333"/>
      <c r="BY1875" s="333"/>
      <c r="BZ1875" s="334"/>
      <c r="CA1875" s="281"/>
      <c r="CB1875" s="3" t="str">
        <f t="shared" si="299"/>
        <v>Riadok bude skrytý.</v>
      </c>
      <c r="CC1875" s="271" t="s">
        <v>832</v>
      </c>
      <c r="CW1875" s="30">
        <f t="shared" si="309"/>
        <v>0</v>
      </c>
      <c r="CX1875" s="30">
        <f t="shared" si="310"/>
        <v>0</v>
      </c>
      <c r="CZ1875" s="30">
        <f t="shared" si="308"/>
        <v>1</v>
      </c>
      <c r="DA1875" s="52">
        <f t="shared" ref="DA1875:DA1882" si="312">+IF(CW1875*CX1875=0,0,IF(CZ1875=0,0,1))</f>
        <v>0</v>
      </c>
      <c r="DB1875" s="140">
        <f t="shared" si="311"/>
        <v>0</v>
      </c>
      <c r="DZ1875" s="131"/>
    </row>
    <row r="1876" spans="1:130" hidden="1" x14ac:dyDescent="0.25">
      <c r="A1876" s="141"/>
      <c r="B1876" s="328"/>
      <c r="C1876" s="329"/>
      <c r="D1876" s="329"/>
      <c r="E1876" s="329"/>
      <c r="F1876" s="329"/>
      <c r="G1876" s="329"/>
      <c r="H1876" s="329"/>
      <c r="I1876" s="329"/>
      <c r="J1876" s="329"/>
      <c r="K1876" s="329"/>
      <c r="L1876" s="329"/>
      <c r="M1876" s="330"/>
      <c r="N1876" s="330"/>
      <c r="O1876" s="330"/>
      <c r="P1876" s="330"/>
      <c r="Q1876" s="330"/>
      <c r="R1876" s="330"/>
      <c r="S1876" s="330"/>
      <c r="T1876" s="330"/>
      <c r="U1876" s="330"/>
      <c r="V1876" s="330"/>
      <c r="W1876" s="330"/>
      <c r="X1876" s="330"/>
      <c r="Y1876" s="330"/>
      <c r="Z1876" s="330"/>
      <c r="AA1876" s="330"/>
      <c r="AB1876" s="330"/>
      <c r="AC1876" s="330"/>
      <c r="AD1876" s="330"/>
      <c r="AE1876" s="330"/>
      <c r="AF1876" s="330"/>
      <c r="AG1876" s="330"/>
      <c r="AH1876" s="330"/>
      <c r="AI1876" s="330"/>
      <c r="AJ1876" s="330"/>
      <c r="AK1876" s="331" t="str">
        <f t="shared" si="306"/>
        <v/>
      </c>
      <c r="AL1876" s="331"/>
      <c r="AM1876" s="331"/>
      <c r="AN1876" s="331"/>
      <c r="AO1876" s="331"/>
      <c r="AP1876" s="331"/>
      <c r="AQ1876" s="331"/>
      <c r="AR1876" s="331"/>
      <c r="AS1876" s="331"/>
      <c r="AT1876" s="331"/>
      <c r="AU1876" s="331"/>
      <c r="AV1876" s="331"/>
      <c r="AW1876" s="332"/>
      <c r="AX1876" s="332"/>
      <c r="AY1876" s="332"/>
      <c r="AZ1876" s="332"/>
      <c r="BA1876" s="332"/>
      <c r="BB1876" s="332"/>
      <c r="BC1876" s="332"/>
      <c r="BD1876" s="332"/>
      <c r="BE1876" s="332"/>
      <c r="BF1876" s="332"/>
      <c r="BG1876" s="332"/>
      <c r="BH1876" s="332"/>
      <c r="BI1876" s="332"/>
      <c r="BJ1876" s="332"/>
      <c r="BK1876" s="332"/>
      <c r="BL1876" s="332"/>
      <c r="BM1876" s="332"/>
      <c r="BN1876" s="332"/>
      <c r="BO1876" s="333" t="str">
        <f t="shared" si="307"/>
        <v/>
      </c>
      <c r="BP1876" s="333"/>
      <c r="BQ1876" s="333"/>
      <c r="BR1876" s="333"/>
      <c r="BS1876" s="333"/>
      <c r="BT1876" s="333"/>
      <c r="BU1876" s="333"/>
      <c r="BV1876" s="333"/>
      <c r="BW1876" s="333"/>
      <c r="BX1876" s="333"/>
      <c r="BY1876" s="333"/>
      <c r="BZ1876" s="334"/>
      <c r="CA1876" s="281"/>
      <c r="CB1876" s="3" t="str">
        <f t="shared" si="299"/>
        <v>Riadok bude skrytý.</v>
      </c>
      <c r="CC1876" s="271" t="s">
        <v>832</v>
      </c>
      <c r="CW1876" s="30">
        <f t="shared" si="309"/>
        <v>0</v>
      </c>
      <c r="CX1876" s="30">
        <f t="shared" si="310"/>
        <v>0</v>
      </c>
      <c r="CZ1876" s="30">
        <f t="shared" si="308"/>
        <v>1</v>
      </c>
      <c r="DA1876" s="52">
        <f t="shared" si="312"/>
        <v>0</v>
      </c>
      <c r="DB1876" s="140">
        <f t="shared" si="311"/>
        <v>0</v>
      </c>
      <c r="DZ1876" s="131"/>
    </row>
    <row r="1877" spans="1:130" hidden="1" x14ac:dyDescent="0.25">
      <c r="A1877" s="141"/>
      <c r="B1877" s="328"/>
      <c r="C1877" s="329"/>
      <c r="D1877" s="329"/>
      <c r="E1877" s="329"/>
      <c r="F1877" s="329"/>
      <c r="G1877" s="329"/>
      <c r="H1877" s="329"/>
      <c r="I1877" s="329"/>
      <c r="J1877" s="329"/>
      <c r="K1877" s="329"/>
      <c r="L1877" s="329"/>
      <c r="M1877" s="330"/>
      <c r="N1877" s="330"/>
      <c r="O1877" s="330"/>
      <c r="P1877" s="330"/>
      <c r="Q1877" s="330"/>
      <c r="R1877" s="330"/>
      <c r="S1877" s="330"/>
      <c r="T1877" s="330"/>
      <c r="U1877" s="330"/>
      <c r="V1877" s="330"/>
      <c r="W1877" s="330"/>
      <c r="X1877" s="330"/>
      <c r="Y1877" s="330"/>
      <c r="Z1877" s="330"/>
      <c r="AA1877" s="330"/>
      <c r="AB1877" s="330"/>
      <c r="AC1877" s="330"/>
      <c r="AD1877" s="330"/>
      <c r="AE1877" s="330"/>
      <c r="AF1877" s="330"/>
      <c r="AG1877" s="330"/>
      <c r="AH1877" s="330"/>
      <c r="AI1877" s="330"/>
      <c r="AJ1877" s="330"/>
      <c r="AK1877" s="331" t="str">
        <f t="shared" si="306"/>
        <v/>
      </c>
      <c r="AL1877" s="331"/>
      <c r="AM1877" s="331"/>
      <c r="AN1877" s="331"/>
      <c r="AO1877" s="331"/>
      <c r="AP1877" s="331"/>
      <c r="AQ1877" s="331"/>
      <c r="AR1877" s="331"/>
      <c r="AS1877" s="331"/>
      <c r="AT1877" s="331"/>
      <c r="AU1877" s="331"/>
      <c r="AV1877" s="331"/>
      <c r="AW1877" s="332"/>
      <c r="AX1877" s="332"/>
      <c r="AY1877" s="332"/>
      <c r="AZ1877" s="332"/>
      <c r="BA1877" s="332"/>
      <c r="BB1877" s="332"/>
      <c r="BC1877" s="332"/>
      <c r="BD1877" s="332"/>
      <c r="BE1877" s="332"/>
      <c r="BF1877" s="332"/>
      <c r="BG1877" s="332"/>
      <c r="BH1877" s="332"/>
      <c r="BI1877" s="332"/>
      <c r="BJ1877" s="332"/>
      <c r="BK1877" s="332"/>
      <c r="BL1877" s="332"/>
      <c r="BM1877" s="332"/>
      <c r="BN1877" s="332"/>
      <c r="BO1877" s="333" t="str">
        <f t="shared" si="307"/>
        <v/>
      </c>
      <c r="BP1877" s="333"/>
      <c r="BQ1877" s="333"/>
      <c r="BR1877" s="333"/>
      <c r="BS1877" s="333"/>
      <c r="BT1877" s="333"/>
      <c r="BU1877" s="333"/>
      <c r="BV1877" s="333"/>
      <c r="BW1877" s="333"/>
      <c r="BX1877" s="333"/>
      <c r="BY1877" s="333"/>
      <c r="BZ1877" s="334"/>
      <c r="CA1877" s="281"/>
      <c r="CB1877" s="3" t="str">
        <f t="shared" si="299"/>
        <v>Riadok bude skrytý.</v>
      </c>
      <c r="CC1877" s="271" t="s">
        <v>832</v>
      </c>
      <c r="CW1877" s="30">
        <f t="shared" si="309"/>
        <v>0</v>
      </c>
      <c r="CX1877" s="30">
        <f t="shared" si="310"/>
        <v>0</v>
      </c>
      <c r="CZ1877" s="30">
        <f t="shared" si="308"/>
        <v>1</v>
      </c>
      <c r="DA1877" s="52">
        <f t="shared" si="312"/>
        <v>0</v>
      </c>
      <c r="DB1877" s="140">
        <f t="shared" si="311"/>
        <v>0</v>
      </c>
      <c r="DZ1877" s="131"/>
    </row>
    <row r="1878" spans="1:130" hidden="1" x14ac:dyDescent="0.25">
      <c r="A1878" s="141"/>
      <c r="B1878" s="328"/>
      <c r="C1878" s="329"/>
      <c r="D1878" s="329"/>
      <c r="E1878" s="329"/>
      <c r="F1878" s="329"/>
      <c r="G1878" s="329"/>
      <c r="H1878" s="329"/>
      <c r="I1878" s="329"/>
      <c r="J1878" s="329"/>
      <c r="K1878" s="329"/>
      <c r="L1878" s="329"/>
      <c r="M1878" s="330"/>
      <c r="N1878" s="330"/>
      <c r="O1878" s="330"/>
      <c r="P1878" s="330"/>
      <c r="Q1878" s="330"/>
      <c r="R1878" s="330"/>
      <c r="S1878" s="330"/>
      <c r="T1878" s="330"/>
      <c r="U1878" s="330"/>
      <c r="V1878" s="330"/>
      <c r="W1878" s="330"/>
      <c r="X1878" s="330"/>
      <c r="Y1878" s="330"/>
      <c r="Z1878" s="330"/>
      <c r="AA1878" s="330"/>
      <c r="AB1878" s="330"/>
      <c r="AC1878" s="330"/>
      <c r="AD1878" s="330"/>
      <c r="AE1878" s="330"/>
      <c r="AF1878" s="330"/>
      <c r="AG1878" s="330"/>
      <c r="AH1878" s="330"/>
      <c r="AI1878" s="330"/>
      <c r="AJ1878" s="330"/>
      <c r="AK1878" s="331" t="str">
        <f t="shared" si="306"/>
        <v/>
      </c>
      <c r="AL1878" s="331"/>
      <c r="AM1878" s="331"/>
      <c r="AN1878" s="331"/>
      <c r="AO1878" s="331"/>
      <c r="AP1878" s="331"/>
      <c r="AQ1878" s="331"/>
      <c r="AR1878" s="331"/>
      <c r="AS1878" s="331"/>
      <c r="AT1878" s="331"/>
      <c r="AU1878" s="331"/>
      <c r="AV1878" s="331"/>
      <c r="AW1878" s="332"/>
      <c r="AX1878" s="332"/>
      <c r="AY1878" s="332"/>
      <c r="AZ1878" s="332"/>
      <c r="BA1878" s="332"/>
      <c r="BB1878" s="332"/>
      <c r="BC1878" s="332"/>
      <c r="BD1878" s="332"/>
      <c r="BE1878" s="332"/>
      <c r="BF1878" s="332"/>
      <c r="BG1878" s="332"/>
      <c r="BH1878" s="332"/>
      <c r="BI1878" s="332"/>
      <c r="BJ1878" s="332"/>
      <c r="BK1878" s="332"/>
      <c r="BL1878" s="332"/>
      <c r="BM1878" s="332"/>
      <c r="BN1878" s="332"/>
      <c r="BO1878" s="333" t="str">
        <f t="shared" si="307"/>
        <v/>
      </c>
      <c r="BP1878" s="333"/>
      <c r="BQ1878" s="333"/>
      <c r="BR1878" s="333"/>
      <c r="BS1878" s="333"/>
      <c r="BT1878" s="333"/>
      <c r="BU1878" s="333"/>
      <c r="BV1878" s="333"/>
      <c r="BW1878" s="333"/>
      <c r="BX1878" s="333"/>
      <c r="BY1878" s="333"/>
      <c r="BZ1878" s="334"/>
      <c r="CA1878" s="281"/>
      <c r="CB1878" s="3" t="str">
        <f t="shared" si="299"/>
        <v>Riadok bude skrytý.</v>
      </c>
      <c r="CC1878" s="271" t="s">
        <v>832</v>
      </c>
      <c r="CW1878" s="30">
        <f t="shared" si="309"/>
        <v>0</v>
      </c>
      <c r="CX1878" s="30">
        <f t="shared" si="310"/>
        <v>0</v>
      </c>
      <c r="CZ1878" s="30">
        <f t="shared" si="308"/>
        <v>1</v>
      </c>
      <c r="DA1878" s="52">
        <f t="shared" si="312"/>
        <v>0</v>
      </c>
      <c r="DB1878" s="140">
        <f t="shared" si="311"/>
        <v>0</v>
      </c>
      <c r="DZ1878" s="131"/>
    </row>
    <row r="1879" spans="1:130" hidden="1" x14ac:dyDescent="0.25">
      <c r="A1879" s="141"/>
      <c r="B1879" s="328"/>
      <c r="C1879" s="329"/>
      <c r="D1879" s="329"/>
      <c r="E1879" s="329"/>
      <c r="F1879" s="329"/>
      <c r="G1879" s="329"/>
      <c r="H1879" s="329"/>
      <c r="I1879" s="329"/>
      <c r="J1879" s="329"/>
      <c r="K1879" s="329"/>
      <c r="L1879" s="329"/>
      <c r="M1879" s="330"/>
      <c r="N1879" s="330"/>
      <c r="O1879" s="330"/>
      <c r="P1879" s="330"/>
      <c r="Q1879" s="330"/>
      <c r="R1879" s="330"/>
      <c r="S1879" s="330"/>
      <c r="T1879" s="330"/>
      <c r="U1879" s="330"/>
      <c r="V1879" s="330"/>
      <c r="W1879" s="330"/>
      <c r="X1879" s="330"/>
      <c r="Y1879" s="330"/>
      <c r="Z1879" s="330"/>
      <c r="AA1879" s="330"/>
      <c r="AB1879" s="330"/>
      <c r="AC1879" s="330"/>
      <c r="AD1879" s="330"/>
      <c r="AE1879" s="330"/>
      <c r="AF1879" s="330"/>
      <c r="AG1879" s="330"/>
      <c r="AH1879" s="330"/>
      <c r="AI1879" s="330"/>
      <c r="AJ1879" s="330"/>
      <c r="AK1879" s="331" t="str">
        <f t="shared" si="306"/>
        <v/>
      </c>
      <c r="AL1879" s="331"/>
      <c r="AM1879" s="331"/>
      <c r="AN1879" s="331"/>
      <c r="AO1879" s="331"/>
      <c r="AP1879" s="331"/>
      <c r="AQ1879" s="331"/>
      <c r="AR1879" s="331"/>
      <c r="AS1879" s="331"/>
      <c r="AT1879" s="331"/>
      <c r="AU1879" s="331"/>
      <c r="AV1879" s="331"/>
      <c r="AW1879" s="332"/>
      <c r="AX1879" s="332"/>
      <c r="AY1879" s="332"/>
      <c r="AZ1879" s="332"/>
      <c r="BA1879" s="332"/>
      <c r="BB1879" s="332"/>
      <c r="BC1879" s="332"/>
      <c r="BD1879" s="332"/>
      <c r="BE1879" s="332"/>
      <c r="BF1879" s="332"/>
      <c r="BG1879" s="332"/>
      <c r="BH1879" s="332"/>
      <c r="BI1879" s="332"/>
      <c r="BJ1879" s="332"/>
      <c r="BK1879" s="332"/>
      <c r="BL1879" s="332"/>
      <c r="BM1879" s="332"/>
      <c r="BN1879" s="332"/>
      <c r="BO1879" s="333" t="str">
        <f t="shared" si="307"/>
        <v/>
      </c>
      <c r="BP1879" s="333"/>
      <c r="BQ1879" s="333"/>
      <c r="BR1879" s="333"/>
      <c r="BS1879" s="333"/>
      <c r="BT1879" s="333"/>
      <c r="BU1879" s="333"/>
      <c r="BV1879" s="333"/>
      <c r="BW1879" s="333"/>
      <c r="BX1879" s="333"/>
      <c r="BY1879" s="333"/>
      <c r="BZ1879" s="334"/>
      <c r="CA1879" s="281"/>
      <c r="CB1879" s="3" t="str">
        <f t="shared" si="299"/>
        <v>Riadok bude skrytý.</v>
      </c>
      <c r="CC1879" s="271" t="s">
        <v>832</v>
      </c>
      <c r="CW1879" s="30">
        <f t="shared" si="309"/>
        <v>0</v>
      </c>
      <c r="CX1879" s="30">
        <f t="shared" si="310"/>
        <v>0</v>
      </c>
      <c r="CZ1879" s="30">
        <f t="shared" si="308"/>
        <v>1</v>
      </c>
      <c r="DA1879" s="52">
        <f t="shared" si="312"/>
        <v>0</v>
      </c>
      <c r="DB1879" s="140">
        <f t="shared" si="311"/>
        <v>0</v>
      </c>
      <c r="DZ1879" s="131"/>
    </row>
    <row r="1880" spans="1:130" hidden="1" x14ac:dyDescent="0.25">
      <c r="A1880" s="141"/>
      <c r="B1880" s="328"/>
      <c r="C1880" s="329"/>
      <c r="D1880" s="329"/>
      <c r="E1880" s="329"/>
      <c r="F1880" s="329"/>
      <c r="G1880" s="329"/>
      <c r="H1880" s="329"/>
      <c r="I1880" s="329"/>
      <c r="J1880" s="329"/>
      <c r="K1880" s="329"/>
      <c r="L1880" s="329"/>
      <c r="M1880" s="330"/>
      <c r="N1880" s="330"/>
      <c r="O1880" s="330"/>
      <c r="P1880" s="330"/>
      <c r="Q1880" s="330"/>
      <c r="R1880" s="330"/>
      <c r="S1880" s="330"/>
      <c r="T1880" s="330"/>
      <c r="U1880" s="330"/>
      <c r="V1880" s="330"/>
      <c r="W1880" s="330"/>
      <c r="X1880" s="330"/>
      <c r="Y1880" s="330"/>
      <c r="Z1880" s="330"/>
      <c r="AA1880" s="330"/>
      <c r="AB1880" s="330"/>
      <c r="AC1880" s="330"/>
      <c r="AD1880" s="330"/>
      <c r="AE1880" s="330"/>
      <c r="AF1880" s="330"/>
      <c r="AG1880" s="330"/>
      <c r="AH1880" s="330"/>
      <c r="AI1880" s="330"/>
      <c r="AJ1880" s="330"/>
      <c r="AK1880" s="331" t="str">
        <f t="shared" si="306"/>
        <v/>
      </c>
      <c r="AL1880" s="331"/>
      <c r="AM1880" s="331"/>
      <c r="AN1880" s="331"/>
      <c r="AO1880" s="331"/>
      <c r="AP1880" s="331"/>
      <c r="AQ1880" s="331"/>
      <c r="AR1880" s="331"/>
      <c r="AS1880" s="331"/>
      <c r="AT1880" s="331"/>
      <c r="AU1880" s="331"/>
      <c r="AV1880" s="331"/>
      <c r="AW1880" s="332"/>
      <c r="AX1880" s="332"/>
      <c r="AY1880" s="332"/>
      <c r="AZ1880" s="332"/>
      <c r="BA1880" s="332"/>
      <c r="BB1880" s="332"/>
      <c r="BC1880" s="332"/>
      <c r="BD1880" s="332"/>
      <c r="BE1880" s="332"/>
      <c r="BF1880" s="332"/>
      <c r="BG1880" s="332"/>
      <c r="BH1880" s="332"/>
      <c r="BI1880" s="332"/>
      <c r="BJ1880" s="332"/>
      <c r="BK1880" s="332"/>
      <c r="BL1880" s="332"/>
      <c r="BM1880" s="332"/>
      <c r="BN1880" s="332"/>
      <c r="BO1880" s="333" t="str">
        <f t="shared" si="307"/>
        <v/>
      </c>
      <c r="BP1880" s="333"/>
      <c r="BQ1880" s="333"/>
      <c r="BR1880" s="333"/>
      <c r="BS1880" s="333"/>
      <c r="BT1880" s="333"/>
      <c r="BU1880" s="333"/>
      <c r="BV1880" s="333"/>
      <c r="BW1880" s="333"/>
      <c r="BX1880" s="333"/>
      <c r="BY1880" s="333"/>
      <c r="BZ1880" s="334"/>
      <c r="CA1880" s="281"/>
      <c r="CB1880" s="3" t="str">
        <f t="shared" si="299"/>
        <v>Riadok bude skrytý.</v>
      </c>
      <c r="CC1880" s="271" t="s">
        <v>832</v>
      </c>
      <c r="CW1880" s="30">
        <f t="shared" si="309"/>
        <v>0</v>
      </c>
      <c r="CX1880" s="30">
        <f t="shared" si="310"/>
        <v>0</v>
      </c>
      <c r="CZ1880" s="30">
        <f t="shared" si="308"/>
        <v>1</v>
      </c>
      <c r="DA1880" s="52">
        <f t="shared" si="312"/>
        <v>0</v>
      </c>
      <c r="DB1880" s="140">
        <f t="shared" si="311"/>
        <v>0</v>
      </c>
      <c r="DZ1880" s="131"/>
    </row>
    <row r="1881" spans="1:130" hidden="1" x14ac:dyDescent="0.25">
      <c r="A1881" s="141"/>
      <c r="B1881" s="328"/>
      <c r="C1881" s="329"/>
      <c r="D1881" s="329"/>
      <c r="E1881" s="329"/>
      <c r="F1881" s="329"/>
      <c r="G1881" s="329"/>
      <c r="H1881" s="329"/>
      <c r="I1881" s="329"/>
      <c r="J1881" s="329"/>
      <c r="K1881" s="329"/>
      <c r="L1881" s="329"/>
      <c r="M1881" s="330"/>
      <c r="N1881" s="330"/>
      <c r="O1881" s="330"/>
      <c r="P1881" s="330"/>
      <c r="Q1881" s="330"/>
      <c r="R1881" s="330"/>
      <c r="S1881" s="330"/>
      <c r="T1881" s="330"/>
      <c r="U1881" s="330"/>
      <c r="V1881" s="330"/>
      <c r="W1881" s="330"/>
      <c r="X1881" s="330"/>
      <c r="Y1881" s="330"/>
      <c r="Z1881" s="330"/>
      <c r="AA1881" s="330"/>
      <c r="AB1881" s="330"/>
      <c r="AC1881" s="330"/>
      <c r="AD1881" s="330"/>
      <c r="AE1881" s="330"/>
      <c r="AF1881" s="330"/>
      <c r="AG1881" s="330"/>
      <c r="AH1881" s="330"/>
      <c r="AI1881" s="330"/>
      <c r="AJ1881" s="330"/>
      <c r="AK1881" s="331" t="str">
        <f t="shared" si="306"/>
        <v/>
      </c>
      <c r="AL1881" s="331"/>
      <c r="AM1881" s="331"/>
      <c r="AN1881" s="331"/>
      <c r="AO1881" s="331"/>
      <c r="AP1881" s="331"/>
      <c r="AQ1881" s="331"/>
      <c r="AR1881" s="331"/>
      <c r="AS1881" s="331"/>
      <c r="AT1881" s="331"/>
      <c r="AU1881" s="331"/>
      <c r="AV1881" s="331"/>
      <c r="AW1881" s="332"/>
      <c r="AX1881" s="332"/>
      <c r="AY1881" s="332"/>
      <c r="AZ1881" s="332"/>
      <c r="BA1881" s="332"/>
      <c r="BB1881" s="332"/>
      <c r="BC1881" s="332"/>
      <c r="BD1881" s="332"/>
      <c r="BE1881" s="332"/>
      <c r="BF1881" s="332"/>
      <c r="BG1881" s="332"/>
      <c r="BH1881" s="332"/>
      <c r="BI1881" s="332"/>
      <c r="BJ1881" s="332"/>
      <c r="BK1881" s="332"/>
      <c r="BL1881" s="332"/>
      <c r="BM1881" s="332"/>
      <c r="BN1881" s="332"/>
      <c r="BO1881" s="333" t="str">
        <f t="shared" si="307"/>
        <v/>
      </c>
      <c r="BP1881" s="333"/>
      <c r="BQ1881" s="333"/>
      <c r="BR1881" s="333"/>
      <c r="BS1881" s="333"/>
      <c r="BT1881" s="333"/>
      <c r="BU1881" s="333"/>
      <c r="BV1881" s="333"/>
      <c r="BW1881" s="333"/>
      <c r="BX1881" s="333"/>
      <c r="BY1881" s="333"/>
      <c r="BZ1881" s="334"/>
      <c r="CA1881" s="281"/>
      <c r="CB1881" s="3" t="str">
        <f t="shared" si="299"/>
        <v>Riadok bude skrytý.</v>
      </c>
      <c r="CC1881" s="271" t="s">
        <v>832</v>
      </c>
      <c r="CW1881" s="30">
        <f t="shared" si="309"/>
        <v>0</v>
      </c>
      <c r="CX1881" s="30">
        <f t="shared" si="310"/>
        <v>0</v>
      </c>
      <c r="CZ1881" s="30">
        <f t="shared" si="308"/>
        <v>1</v>
      </c>
      <c r="DA1881" s="52">
        <f t="shared" si="312"/>
        <v>0</v>
      </c>
      <c r="DB1881" s="140">
        <f t="shared" si="311"/>
        <v>0</v>
      </c>
      <c r="DZ1881" s="131"/>
    </row>
    <row r="1882" spans="1:130" hidden="1" x14ac:dyDescent="0.25">
      <c r="A1882" s="141"/>
      <c r="B1882" s="335"/>
      <c r="C1882" s="336"/>
      <c r="D1882" s="336"/>
      <c r="E1882" s="336"/>
      <c r="F1882" s="336"/>
      <c r="G1882" s="336"/>
      <c r="H1882" s="336"/>
      <c r="I1882" s="336"/>
      <c r="J1882" s="336"/>
      <c r="K1882" s="336"/>
      <c r="L1882" s="336"/>
      <c r="M1882" s="337"/>
      <c r="N1882" s="337"/>
      <c r="O1882" s="337"/>
      <c r="P1882" s="337"/>
      <c r="Q1882" s="337"/>
      <c r="R1882" s="337"/>
      <c r="S1882" s="337"/>
      <c r="T1882" s="337"/>
      <c r="U1882" s="337"/>
      <c r="V1882" s="337"/>
      <c r="W1882" s="337"/>
      <c r="X1882" s="337"/>
      <c r="Y1882" s="337"/>
      <c r="Z1882" s="337"/>
      <c r="AA1882" s="337"/>
      <c r="AB1882" s="337"/>
      <c r="AC1882" s="337"/>
      <c r="AD1882" s="337"/>
      <c r="AE1882" s="337"/>
      <c r="AF1882" s="337"/>
      <c r="AG1882" s="337"/>
      <c r="AH1882" s="337"/>
      <c r="AI1882" s="337"/>
      <c r="AJ1882" s="337"/>
      <c r="AK1882" s="338" t="str">
        <f t="shared" si="306"/>
        <v/>
      </c>
      <c r="AL1882" s="338"/>
      <c r="AM1882" s="338"/>
      <c r="AN1882" s="338"/>
      <c r="AO1882" s="338"/>
      <c r="AP1882" s="338"/>
      <c r="AQ1882" s="338"/>
      <c r="AR1882" s="338"/>
      <c r="AS1882" s="338"/>
      <c r="AT1882" s="338"/>
      <c r="AU1882" s="338"/>
      <c r="AV1882" s="338"/>
      <c r="AW1882" s="339"/>
      <c r="AX1882" s="339"/>
      <c r="AY1882" s="339"/>
      <c r="AZ1882" s="339"/>
      <c r="BA1882" s="339"/>
      <c r="BB1882" s="339"/>
      <c r="BC1882" s="339"/>
      <c r="BD1882" s="339"/>
      <c r="BE1882" s="339"/>
      <c r="BF1882" s="339"/>
      <c r="BG1882" s="339"/>
      <c r="BH1882" s="339"/>
      <c r="BI1882" s="339"/>
      <c r="BJ1882" s="339"/>
      <c r="BK1882" s="339"/>
      <c r="BL1882" s="339"/>
      <c r="BM1882" s="339"/>
      <c r="BN1882" s="339"/>
      <c r="BO1882" s="340" t="str">
        <f t="shared" si="307"/>
        <v/>
      </c>
      <c r="BP1882" s="340"/>
      <c r="BQ1882" s="340"/>
      <c r="BR1882" s="340"/>
      <c r="BS1882" s="340"/>
      <c r="BT1882" s="340"/>
      <c r="BU1882" s="340"/>
      <c r="BV1882" s="340"/>
      <c r="BW1882" s="340"/>
      <c r="BX1882" s="340"/>
      <c r="BY1882" s="340"/>
      <c r="BZ1882" s="341"/>
      <c r="CA1882" s="281"/>
      <c r="CB1882" s="3" t="str">
        <f t="shared" si="299"/>
        <v>Riadok bude skrytý.</v>
      </c>
      <c r="CC1882" s="271" t="s">
        <v>832</v>
      </c>
      <c r="CW1882" s="30">
        <f t="shared" si="309"/>
        <v>0</v>
      </c>
      <c r="CX1882" s="30">
        <f>+IF(SUM(CX1873:CX1881)=0,0,1)</f>
        <v>0</v>
      </c>
      <c r="CZ1882" s="30">
        <f t="shared" si="308"/>
        <v>1</v>
      </c>
      <c r="DA1882" s="52">
        <f t="shared" si="312"/>
        <v>0</v>
      </c>
      <c r="DB1882" s="140">
        <f t="shared" si="311"/>
        <v>0</v>
      </c>
      <c r="DZ1882" s="131"/>
    </row>
    <row r="1883" spans="1:130" hidden="1" x14ac:dyDescent="0.25">
      <c r="A1883" s="141"/>
      <c r="CA1883" s="281"/>
      <c r="CB1883" s="3" t="str">
        <f t="shared" si="299"/>
        <v>Riadok bude skrytý.</v>
      </c>
      <c r="CC1883" s="271" t="s">
        <v>832</v>
      </c>
      <c r="CW1883" s="30">
        <f t="shared" si="309"/>
        <v>0</v>
      </c>
      <c r="CZ1883" s="30">
        <f t="shared" si="308"/>
        <v>1</v>
      </c>
      <c r="DA1883" s="30">
        <f t="shared" ref="DA1883:DA1893" si="313">+IF(CW1883+CX1883+CY1883=0,0,IF(CZ1883=0,0,1))</f>
        <v>0</v>
      </c>
      <c r="DB1883" s="140">
        <f t="shared" si="311"/>
        <v>0</v>
      </c>
      <c r="DZ1883" s="131"/>
    </row>
    <row r="1884" spans="1:130" hidden="1" x14ac:dyDescent="0.25">
      <c r="A1884" s="141"/>
      <c r="B1884" s="289" t="s">
        <v>1024</v>
      </c>
      <c r="C1884" s="288"/>
      <c r="D1884" s="288"/>
      <c r="E1884" s="288"/>
      <c r="F1884" s="288"/>
      <c r="G1884" s="289" t="str">
        <f>+IF($S$52&lt;&gt;"",IF((CODE(MID($S$52,1,1))/100)&lt;10,IF(COMBIN(LEN(SI!J3),2)=DS1884,"Časové rozlíšenie","NEPOVOLENÉ POUŽITIE !"),"NEPOVOLENÉ POUŽITIE!"),"NEPOVOLENÉ POUŽITIE !")</f>
        <v>Časové rozlíšenie</v>
      </c>
      <c r="H1884" s="289"/>
      <c r="I1884" s="288"/>
      <c r="J1884" s="288"/>
      <c r="K1884" s="288"/>
      <c r="L1884" s="288"/>
      <c r="M1884" s="288"/>
      <c r="N1884" s="288"/>
      <c r="O1884" s="288"/>
      <c r="P1884" s="288"/>
      <c r="Q1884" s="288"/>
      <c r="R1884" s="288"/>
      <c r="S1884" s="288"/>
      <c r="T1884" s="288"/>
      <c r="U1884" s="288"/>
      <c r="V1884" s="288"/>
      <c r="W1884" s="288"/>
      <c r="X1884" s="288"/>
      <c r="Y1884" s="288"/>
      <c r="Z1884" s="288"/>
      <c r="AA1884" s="288"/>
      <c r="AB1884" s="288"/>
      <c r="AC1884" s="288"/>
      <c r="AD1884" s="288"/>
      <c r="AE1884" s="288"/>
      <c r="AF1884" s="288"/>
      <c r="AG1884" s="288"/>
      <c r="AH1884" s="288"/>
      <c r="AI1884" s="288"/>
      <c r="AJ1884" s="288"/>
      <c r="AK1884" s="288"/>
      <c r="AL1884" s="288"/>
      <c r="AM1884" s="288"/>
      <c r="AN1884" s="288"/>
      <c r="AO1884" s="288"/>
      <c r="AP1884" s="288"/>
      <c r="AQ1884" s="288"/>
      <c r="AR1884" s="288"/>
      <c r="AS1884" s="288"/>
      <c r="AT1884" s="288"/>
      <c r="AU1884" s="288"/>
      <c r="AV1884" s="288"/>
      <c r="AW1884" s="288"/>
      <c r="AX1884" s="288"/>
      <c r="AY1884" s="288"/>
      <c r="AZ1884" s="288"/>
      <c r="BA1884" s="288"/>
      <c r="BB1884" s="288"/>
      <c r="BC1884" s="288"/>
      <c r="BD1884" s="288"/>
      <c r="BE1884" s="288"/>
      <c r="BF1884" s="288"/>
      <c r="BG1884" s="288"/>
      <c r="BH1884" s="288"/>
      <c r="BI1884" s="288"/>
      <c r="BJ1884" s="288"/>
      <c r="BK1884" s="288"/>
      <c r="BL1884" s="288"/>
      <c r="BM1884" s="288"/>
      <c r="BN1884" s="288"/>
      <c r="BO1884" s="288"/>
      <c r="BP1884" s="288"/>
      <c r="BQ1884" s="288"/>
      <c r="BR1884" s="288"/>
      <c r="BS1884" s="288"/>
      <c r="BT1884" s="288"/>
      <c r="BU1884" s="288"/>
      <c r="BV1884" s="288"/>
      <c r="BW1884" s="288"/>
      <c r="BX1884" s="288"/>
      <c r="BY1884" s="288"/>
      <c r="BZ1884" s="288"/>
      <c r="CA1884" s="265" t="s">
        <v>773</v>
      </c>
      <c r="CB1884" s="3" t="str">
        <f t="shared" si="299"/>
        <v>Riadok bude skrytý.</v>
      </c>
      <c r="CW1884" s="49">
        <v>1</v>
      </c>
      <c r="CZ1884" s="30">
        <f t="shared" ref="CZ1884:CZ1898" si="314">IF(CC1884="",1,IF(CC1884="Chcem skryť riadok.",0,1))</f>
        <v>1</v>
      </c>
      <c r="DA1884" s="30">
        <f t="shared" si="313"/>
        <v>1</v>
      </c>
      <c r="DB1884" s="2">
        <f t="shared" ref="DB1884:DB1947" si="315">+IF($CD$1="malé",0,DA1884)</f>
        <v>0</v>
      </c>
      <c r="DS1884" s="130">
        <f>SI!BY1884</f>
        <v>10</v>
      </c>
      <c r="DZ1884" s="131">
        <f>SI!BZ1884</f>
        <v>0</v>
      </c>
    </row>
    <row r="1885" spans="1:130" hidden="1" x14ac:dyDescent="0.25">
      <c r="A1885" s="141"/>
      <c r="B1885" s="7"/>
      <c r="G1885" s="7"/>
      <c r="H1885" s="7"/>
      <c r="CA1885" s="142"/>
      <c r="CB1885" s="3" t="str">
        <f t="shared" si="299"/>
        <v>Riadok bude skrytý.</v>
      </c>
      <c r="CW1885" s="49">
        <v>1</v>
      </c>
      <c r="CZ1885" s="30">
        <f t="shared" si="314"/>
        <v>1</v>
      </c>
      <c r="DA1885" s="30">
        <f t="shared" si="313"/>
        <v>1</v>
      </c>
      <c r="DB1885" s="2">
        <f t="shared" si="315"/>
        <v>0</v>
      </c>
      <c r="DS1885" s="130">
        <f>SI!BY1885</f>
        <v>156</v>
      </c>
      <c r="DZ1885" s="131">
        <f>SI!BZ1885</f>
        <v>0</v>
      </c>
    </row>
    <row r="1886" spans="1:130" hidden="1" x14ac:dyDescent="0.25">
      <c r="A1886" s="141"/>
      <c r="B1886" s="14" t="s">
        <v>96</v>
      </c>
      <c r="C1886" s="14"/>
      <c r="D1886" s="14"/>
      <c r="E1886" s="14"/>
      <c r="F1886" s="14"/>
      <c r="G1886" s="14"/>
      <c r="H1886" s="14"/>
      <c r="I1886" s="14"/>
      <c r="J1886" s="378" t="s">
        <v>152</v>
      </c>
      <c r="K1886" s="378"/>
      <c r="L1886" s="378"/>
      <c r="M1886" s="378"/>
      <c r="N1886" s="378"/>
      <c r="O1886" s="378"/>
      <c r="P1886" s="378"/>
      <c r="Q1886" s="378"/>
      <c r="R1886" s="378"/>
      <c r="S1886" s="137" t="str">
        <f>+IF($C$52&lt;&gt;"",IF(CODE(MID($C$52,1,1))*0+LEN(SI!J2)=DS1886,"zostatky na účtoch časového rozlíšenia.","NEPOVOLENÉ POUŽITIE!"),"NEPOVOLENÉ POUŽITIE!")</f>
        <v>zostatky na účtoch časového rozlíšenia.</v>
      </c>
      <c r="T1886" s="38"/>
      <c r="CA1886" s="142"/>
      <c r="CB1886" s="3" t="str">
        <f t="shared" si="299"/>
        <v>Riadok bude skrytý.</v>
      </c>
      <c r="CC1886" s="271" t="s">
        <v>832</v>
      </c>
      <c r="CF1886" s="13"/>
      <c r="CW1886" s="49">
        <v>1</v>
      </c>
      <c r="CY1886" s="43"/>
      <c r="CZ1886" s="30">
        <f t="shared" si="314"/>
        <v>1</v>
      </c>
      <c r="DA1886" s="30">
        <f t="shared" si="313"/>
        <v>1</v>
      </c>
      <c r="DB1886" s="2">
        <f t="shared" si="315"/>
        <v>0</v>
      </c>
      <c r="DS1886" s="130">
        <f>SI!BY1886</f>
        <v>13</v>
      </c>
      <c r="DZ1886" s="131">
        <f>SI!BZ1886</f>
        <v>0</v>
      </c>
    </row>
    <row r="1887" spans="1:130" hidden="1" x14ac:dyDescent="0.25">
      <c r="A1887" s="141"/>
      <c r="B1887" s="137" t="str">
        <f>+IF($U$52&lt;&gt;"",IF((ROUNDDOWN(CODE(MID($U$52,1,1)),0)-(BIN2DEC(1010)/10))*(IF(SI!EE1887="",1,SI!EE1887-1))+(LEN(SI!J2)+LEN(SI!J5))=DS1887,IF(J1886="neeviduje","Spoločnosť nemá pre túto časť poznámok obsahovú náplň.","K časovému rozlíšeniu na strane aktív Spoločnosť uvádza nasledujúce informácie:"),"NEPOVOLENÉ POUŽITIE!"),"NEPOVOLENÉ POUŽITIE!")</f>
        <v>K časovému rozlíšeniu na strane aktív Spoločnosť uvádza nasledujúce informácie:</v>
      </c>
      <c r="CA1887" s="142"/>
      <c r="CB1887" s="3" t="str">
        <f t="shared" si="299"/>
        <v>Riadok bude skrytý.</v>
      </c>
      <c r="CC1887" s="271" t="s">
        <v>832</v>
      </c>
      <c r="CW1887" s="49">
        <v>1</v>
      </c>
      <c r="CZ1887" s="30">
        <f t="shared" si="314"/>
        <v>1</v>
      </c>
      <c r="DA1887" s="30">
        <f t="shared" si="313"/>
        <v>1</v>
      </c>
      <c r="DB1887" s="2">
        <f t="shared" si="315"/>
        <v>0</v>
      </c>
      <c r="DS1887" s="130">
        <f>SI!BY1887</f>
        <v>28</v>
      </c>
      <c r="DZ1887" s="131">
        <f>SI!BZ1887</f>
        <v>0</v>
      </c>
    </row>
    <row r="1888" spans="1:130" hidden="1" x14ac:dyDescent="0.25">
      <c r="A1888" s="141"/>
      <c r="CA1888" s="270"/>
      <c r="CB1888" s="3" t="str">
        <f t="shared" si="299"/>
        <v>Riadok bude skrytý.</v>
      </c>
      <c r="CC1888" s="271" t="s">
        <v>832</v>
      </c>
      <c r="CW1888" s="30">
        <f t="shared" ref="CW1888:CW1919" si="316">+IF($J$1886="neeviduje",0,1)</f>
        <v>1</v>
      </c>
      <c r="CZ1888" s="30">
        <f t="shared" si="314"/>
        <v>1</v>
      </c>
      <c r="DA1888" s="30">
        <f t="shared" si="313"/>
        <v>1</v>
      </c>
      <c r="DB1888" s="2">
        <f t="shared" si="315"/>
        <v>0</v>
      </c>
      <c r="DS1888" s="130">
        <f>SI!BY1888</f>
        <v>199</v>
      </c>
      <c r="DZ1888" s="131">
        <f>SI!BZ1888</f>
        <v>0</v>
      </c>
    </row>
    <row r="1889" spans="1:130" ht="14.95" hidden="1" customHeight="1" x14ac:dyDescent="0.25">
      <c r="A1889" s="141"/>
      <c r="B1889" s="439" t="s">
        <v>231</v>
      </c>
      <c r="C1889" s="440"/>
      <c r="D1889" s="440"/>
      <c r="E1889" s="440"/>
      <c r="F1889" s="440"/>
      <c r="G1889" s="440"/>
      <c r="H1889" s="440"/>
      <c r="I1889" s="440"/>
      <c r="J1889" s="440"/>
      <c r="K1889" s="440"/>
      <c r="L1889" s="440"/>
      <c r="M1889" s="440"/>
      <c r="N1889" s="440"/>
      <c r="O1889" s="440"/>
      <c r="P1889" s="440"/>
      <c r="Q1889" s="440"/>
      <c r="R1889" s="440"/>
      <c r="S1889" s="440"/>
      <c r="T1889" s="440"/>
      <c r="U1889" s="440"/>
      <c r="V1889" s="440"/>
      <c r="W1889" s="440"/>
      <c r="X1889" s="440"/>
      <c r="Y1889" s="440"/>
      <c r="Z1889" s="440"/>
      <c r="AA1889" s="440"/>
      <c r="AB1889" s="440"/>
      <c r="AC1889" s="440"/>
      <c r="AD1889" s="440"/>
      <c r="AE1889" s="440"/>
      <c r="AF1889" s="440"/>
      <c r="AG1889" s="440"/>
      <c r="AH1889" s="440"/>
      <c r="AI1889" s="440"/>
      <c r="AJ1889" s="440"/>
      <c r="AK1889" s="441"/>
      <c r="AL1889" s="1434">
        <f>+AJ141</f>
        <v>2021</v>
      </c>
      <c r="AM1889" s="1435"/>
      <c r="AN1889" s="1435"/>
      <c r="AO1889" s="1435"/>
      <c r="AP1889" s="1435"/>
      <c r="AQ1889" s="1435"/>
      <c r="AR1889" s="1435"/>
      <c r="AS1889" s="1435"/>
      <c r="AT1889" s="1435"/>
      <c r="AU1889" s="1435"/>
      <c r="AV1889" s="1435"/>
      <c r="AW1889" s="1435"/>
      <c r="AX1889" s="1435"/>
      <c r="AY1889" s="1435"/>
      <c r="AZ1889" s="1435"/>
      <c r="BA1889" s="1435"/>
      <c r="BB1889" s="1435"/>
      <c r="BC1889" s="1435"/>
      <c r="BD1889" s="1435"/>
      <c r="BE1889" s="1435"/>
      <c r="BF1889" s="1436"/>
      <c r="BG1889" s="492">
        <f>+BE141</f>
        <v>2020</v>
      </c>
      <c r="BH1889" s="493"/>
      <c r="BI1889" s="493"/>
      <c r="BJ1889" s="493"/>
      <c r="BK1889" s="493"/>
      <c r="BL1889" s="493"/>
      <c r="BM1889" s="493"/>
      <c r="BN1889" s="493"/>
      <c r="BO1889" s="493"/>
      <c r="BP1889" s="493"/>
      <c r="BQ1889" s="493"/>
      <c r="BR1889" s="493"/>
      <c r="BS1889" s="493"/>
      <c r="BT1889" s="493"/>
      <c r="BU1889" s="493"/>
      <c r="BV1889" s="493"/>
      <c r="BW1889" s="493"/>
      <c r="BX1889" s="493"/>
      <c r="BY1889" s="493"/>
      <c r="BZ1889" s="494"/>
      <c r="CA1889" s="265" t="s">
        <v>773</v>
      </c>
      <c r="CB1889" s="3" t="str">
        <f t="shared" si="299"/>
        <v>Riadok bude skrytý.</v>
      </c>
      <c r="CC1889" s="271" t="s">
        <v>832</v>
      </c>
      <c r="CD1889" s="4"/>
      <c r="CE1889" s="4"/>
      <c r="CF1889" s="4"/>
      <c r="CG1889" s="4"/>
      <c r="CH1889" s="4"/>
      <c r="CI1889" s="4"/>
      <c r="CJ1889" s="4"/>
      <c r="CK1889" s="4"/>
      <c r="CL1889" s="4"/>
      <c r="CM1889" s="4"/>
      <c r="CN1889" s="4"/>
      <c r="CO1889" s="4"/>
      <c r="CW1889" s="30">
        <f t="shared" si="316"/>
        <v>1</v>
      </c>
      <c r="CZ1889" s="30">
        <f t="shared" si="314"/>
        <v>1</v>
      </c>
      <c r="DA1889" s="30">
        <f t="shared" si="313"/>
        <v>1</v>
      </c>
      <c r="DB1889" s="2">
        <f t="shared" si="315"/>
        <v>0</v>
      </c>
      <c r="DS1889" s="130">
        <f>SI!BY1889</f>
        <v>161</v>
      </c>
      <c r="DZ1889" s="131">
        <f>SI!BZ1889</f>
        <v>0</v>
      </c>
    </row>
    <row r="1890" spans="1:130" hidden="1" x14ac:dyDescent="0.25">
      <c r="A1890" s="141"/>
      <c r="B1890" s="442"/>
      <c r="C1890" s="443"/>
      <c r="D1890" s="443"/>
      <c r="E1890" s="443"/>
      <c r="F1890" s="443"/>
      <c r="G1890" s="443"/>
      <c r="H1890" s="443"/>
      <c r="I1890" s="443"/>
      <c r="J1890" s="443"/>
      <c r="K1890" s="443"/>
      <c r="L1890" s="443"/>
      <c r="M1890" s="443"/>
      <c r="N1890" s="443"/>
      <c r="O1890" s="443"/>
      <c r="P1890" s="443"/>
      <c r="Q1890" s="443"/>
      <c r="R1890" s="443"/>
      <c r="S1890" s="443"/>
      <c r="T1890" s="443"/>
      <c r="U1890" s="443"/>
      <c r="V1890" s="443"/>
      <c r="W1890" s="443"/>
      <c r="X1890" s="443"/>
      <c r="Y1890" s="443"/>
      <c r="Z1890" s="443"/>
      <c r="AA1890" s="443"/>
      <c r="AB1890" s="443"/>
      <c r="AC1890" s="443"/>
      <c r="AD1890" s="443"/>
      <c r="AE1890" s="443"/>
      <c r="AF1890" s="443"/>
      <c r="AG1890" s="443"/>
      <c r="AH1890" s="443"/>
      <c r="AI1890" s="443"/>
      <c r="AJ1890" s="443"/>
      <c r="AK1890" s="444"/>
      <c r="AL1890" s="639"/>
      <c r="AM1890" s="640"/>
      <c r="AN1890" s="640"/>
      <c r="AO1890" s="640"/>
      <c r="AP1890" s="640"/>
      <c r="AQ1890" s="640"/>
      <c r="AR1890" s="640"/>
      <c r="AS1890" s="640"/>
      <c r="AT1890" s="640"/>
      <c r="AU1890" s="640"/>
      <c r="AV1890" s="640"/>
      <c r="AW1890" s="640"/>
      <c r="AX1890" s="640"/>
      <c r="AY1890" s="640"/>
      <c r="AZ1890" s="640"/>
      <c r="BA1890" s="640"/>
      <c r="BB1890" s="640"/>
      <c r="BC1890" s="640"/>
      <c r="BD1890" s="640"/>
      <c r="BE1890" s="640"/>
      <c r="BF1890" s="641"/>
      <c r="BG1890" s="495"/>
      <c r="BH1890" s="496"/>
      <c r="BI1890" s="496"/>
      <c r="BJ1890" s="496"/>
      <c r="BK1890" s="496"/>
      <c r="BL1890" s="496"/>
      <c r="BM1890" s="496"/>
      <c r="BN1890" s="496"/>
      <c r="BO1890" s="496"/>
      <c r="BP1890" s="496"/>
      <c r="BQ1890" s="496"/>
      <c r="BR1890" s="496"/>
      <c r="BS1890" s="496"/>
      <c r="BT1890" s="496"/>
      <c r="BU1890" s="496"/>
      <c r="BV1890" s="496"/>
      <c r="BW1890" s="496"/>
      <c r="BX1890" s="496"/>
      <c r="BY1890" s="496"/>
      <c r="BZ1890" s="497"/>
      <c r="CA1890" s="142"/>
      <c r="CB1890" s="3" t="str">
        <f t="shared" si="299"/>
        <v>Riadok bude skrytý.</v>
      </c>
      <c r="CC1890" s="271" t="s">
        <v>832</v>
      </c>
      <c r="CW1890" s="30">
        <f t="shared" si="316"/>
        <v>1</v>
      </c>
      <c r="CZ1890" s="30">
        <f t="shared" si="314"/>
        <v>1</v>
      </c>
      <c r="DA1890" s="30">
        <f t="shared" si="313"/>
        <v>1</v>
      </c>
      <c r="DB1890" s="2">
        <f t="shared" si="315"/>
        <v>0</v>
      </c>
      <c r="DS1890" s="130">
        <f>SI!BY1890</f>
        <v>120</v>
      </c>
      <c r="DZ1890" s="131">
        <f>SI!BZ1890</f>
        <v>0</v>
      </c>
    </row>
    <row r="1891" spans="1:130" hidden="1" x14ac:dyDescent="0.25">
      <c r="A1891" s="141"/>
      <c r="B1891" s="524" t="s">
        <v>0</v>
      </c>
      <c r="C1891" s="525"/>
      <c r="D1891" s="525"/>
      <c r="E1891" s="525"/>
      <c r="F1891" s="525"/>
      <c r="G1891" s="525"/>
      <c r="H1891" s="525"/>
      <c r="I1891" s="525"/>
      <c r="J1891" s="525"/>
      <c r="K1891" s="525"/>
      <c r="L1891" s="525"/>
      <c r="M1891" s="525"/>
      <c r="N1891" s="525"/>
      <c r="O1891" s="525"/>
      <c r="P1891" s="525"/>
      <c r="Q1891" s="525"/>
      <c r="R1891" s="525"/>
      <c r="S1891" s="525"/>
      <c r="T1891" s="525"/>
      <c r="U1891" s="525"/>
      <c r="V1891" s="525"/>
      <c r="W1891" s="525"/>
      <c r="X1891" s="525"/>
      <c r="Y1891" s="525"/>
      <c r="Z1891" s="525"/>
      <c r="AA1891" s="525"/>
      <c r="AB1891" s="525"/>
      <c r="AC1891" s="525"/>
      <c r="AD1891" s="525"/>
      <c r="AE1891" s="525"/>
      <c r="AF1891" s="525"/>
      <c r="AG1891" s="525"/>
      <c r="AH1891" s="525"/>
      <c r="AI1891" s="525"/>
      <c r="AJ1891" s="525"/>
      <c r="AK1891" s="723"/>
      <c r="AL1891" s="524" t="s">
        <v>1</v>
      </c>
      <c r="AM1891" s="525"/>
      <c r="AN1891" s="525"/>
      <c r="AO1891" s="525"/>
      <c r="AP1891" s="525"/>
      <c r="AQ1891" s="525"/>
      <c r="AR1891" s="525"/>
      <c r="AS1891" s="525"/>
      <c r="AT1891" s="525"/>
      <c r="AU1891" s="525"/>
      <c r="AV1891" s="525"/>
      <c r="AW1891" s="525"/>
      <c r="AX1891" s="525"/>
      <c r="AY1891" s="525"/>
      <c r="AZ1891" s="525"/>
      <c r="BA1891" s="525"/>
      <c r="BB1891" s="525"/>
      <c r="BC1891" s="525"/>
      <c r="BD1891" s="525"/>
      <c r="BE1891" s="525"/>
      <c r="BF1891" s="525"/>
      <c r="BG1891" s="524" t="s">
        <v>2</v>
      </c>
      <c r="BH1891" s="525"/>
      <c r="BI1891" s="525"/>
      <c r="BJ1891" s="525"/>
      <c r="BK1891" s="525"/>
      <c r="BL1891" s="525"/>
      <c r="BM1891" s="525"/>
      <c r="BN1891" s="525"/>
      <c r="BO1891" s="525"/>
      <c r="BP1891" s="525"/>
      <c r="BQ1891" s="525"/>
      <c r="BR1891" s="525"/>
      <c r="BS1891" s="525"/>
      <c r="BT1891" s="525"/>
      <c r="BU1891" s="525"/>
      <c r="BV1891" s="525"/>
      <c r="BW1891" s="525"/>
      <c r="BX1891" s="525"/>
      <c r="BY1891" s="525"/>
      <c r="BZ1891" s="723"/>
      <c r="CA1891" s="142"/>
      <c r="CB1891" s="3" t="str">
        <f t="shared" si="299"/>
        <v>Riadok bude skrytý.</v>
      </c>
      <c r="CC1891" s="271" t="s">
        <v>832</v>
      </c>
      <c r="CW1891" s="30">
        <f t="shared" si="316"/>
        <v>1</v>
      </c>
      <c r="CZ1891" s="30">
        <f t="shared" si="314"/>
        <v>1</v>
      </c>
      <c r="DA1891" s="30">
        <f t="shared" si="313"/>
        <v>1</v>
      </c>
      <c r="DB1891" s="2">
        <f t="shared" si="315"/>
        <v>0</v>
      </c>
      <c r="DS1891" s="130">
        <f>SI!BY1891</f>
        <v>177</v>
      </c>
      <c r="DZ1891" s="131">
        <f>SI!BZ1891</f>
        <v>0</v>
      </c>
    </row>
    <row r="1892" spans="1:130" hidden="1" x14ac:dyDescent="0.25">
      <c r="A1892" s="141"/>
      <c r="B1892" s="401" t="s">
        <v>232</v>
      </c>
      <c r="C1892" s="402"/>
      <c r="D1892" s="402"/>
      <c r="E1892" s="402"/>
      <c r="F1892" s="402"/>
      <c r="G1892" s="402"/>
      <c r="H1892" s="402"/>
      <c r="I1892" s="402"/>
      <c r="J1892" s="402"/>
      <c r="K1892" s="402"/>
      <c r="L1892" s="402"/>
      <c r="M1892" s="402"/>
      <c r="N1892" s="402"/>
      <c r="O1892" s="402"/>
      <c r="P1892" s="402"/>
      <c r="Q1892" s="402"/>
      <c r="R1892" s="402"/>
      <c r="S1892" s="402"/>
      <c r="T1892" s="402"/>
      <c r="U1892" s="402"/>
      <c r="V1892" s="402"/>
      <c r="W1892" s="402"/>
      <c r="X1892" s="402"/>
      <c r="Y1892" s="402"/>
      <c r="Z1892" s="402"/>
      <c r="AA1892" s="402"/>
      <c r="AB1892" s="402"/>
      <c r="AC1892" s="402"/>
      <c r="AD1892" s="402"/>
      <c r="AE1892" s="402"/>
      <c r="AF1892" s="402"/>
      <c r="AG1892" s="402"/>
      <c r="AH1892" s="402"/>
      <c r="AI1892" s="402"/>
      <c r="AJ1892" s="402"/>
      <c r="AK1892" s="776"/>
      <c r="AL1892" s="423">
        <f>+SUM(AL1893:BF1902)</f>
        <v>0</v>
      </c>
      <c r="AM1892" s="424"/>
      <c r="AN1892" s="424"/>
      <c r="AO1892" s="424"/>
      <c r="AP1892" s="424"/>
      <c r="AQ1892" s="424"/>
      <c r="AR1892" s="424"/>
      <c r="AS1892" s="424"/>
      <c r="AT1892" s="424"/>
      <c r="AU1892" s="424"/>
      <c r="AV1892" s="424"/>
      <c r="AW1892" s="424"/>
      <c r="AX1892" s="424"/>
      <c r="AY1892" s="424"/>
      <c r="AZ1892" s="424"/>
      <c r="BA1892" s="424"/>
      <c r="BB1892" s="424"/>
      <c r="BC1892" s="424"/>
      <c r="BD1892" s="424"/>
      <c r="BE1892" s="424"/>
      <c r="BF1892" s="424"/>
      <c r="BG1892" s="710">
        <f>+SUM(BG1893:BZ1902)</f>
        <v>0</v>
      </c>
      <c r="BH1892" s="711"/>
      <c r="BI1892" s="711"/>
      <c r="BJ1892" s="711"/>
      <c r="BK1892" s="711"/>
      <c r="BL1892" s="711"/>
      <c r="BM1892" s="711"/>
      <c r="BN1892" s="711"/>
      <c r="BO1892" s="711"/>
      <c r="BP1892" s="711"/>
      <c r="BQ1892" s="711"/>
      <c r="BR1892" s="711"/>
      <c r="BS1892" s="711"/>
      <c r="BT1892" s="711"/>
      <c r="BU1892" s="711"/>
      <c r="BV1892" s="711"/>
      <c r="BW1892" s="711"/>
      <c r="BX1892" s="711"/>
      <c r="BY1892" s="711"/>
      <c r="BZ1892" s="712"/>
      <c r="CA1892" s="142"/>
      <c r="CB1892" s="3" t="str">
        <f t="shared" si="299"/>
        <v>Riadok bude skrytý.</v>
      </c>
      <c r="CC1892" s="271" t="s">
        <v>832</v>
      </c>
      <c r="CD1892" s="4" t="s">
        <v>757</v>
      </c>
      <c r="CW1892" s="30">
        <f t="shared" si="316"/>
        <v>1</v>
      </c>
      <c r="CZ1892" s="30">
        <f t="shared" si="314"/>
        <v>1</v>
      </c>
      <c r="DA1892" s="30">
        <f t="shared" si="313"/>
        <v>1</v>
      </c>
      <c r="DB1892" s="2">
        <f t="shared" si="315"/>
        <v>0</v>
      </c>
      <c r="DS1892" s="130">
        <f>SI!BY1892</f>
        <v>178</v>
      </c>
      <c r="DZ1892" s="131">
        <f>SI!BZ1892</f>
        <v>0</v>
      </c>
    </row>
    <row r="1893" spans="1:130" hidden="1" x14ac:dyDescent="0.25">
      <c r="A1893" s="141"/>
      <c r="B1893" s="1149"/>
      <c r="C1893" s="1150"/>
      <c r="D1893" s="1150"/>
      <c r="E1893" s="1150"/>
      <c r="F1893" s="1150"/>
      <c r="G1893" s="1150"/>
      <c r="H1893" s="1150"/>
      <c r="I1893" s="1150"/>
      <c r="J1893" s="1150"/>
      <c r="K1893" s="1150"/>
      <c r="L1893" s="1150"/>
      <c r="M1893" s="1150"/>
      <c r="N1893" s="1150"/>
      <c r="O1893" s="1150"/>
      <c r="P1893" s="1150"/>
      <c r="Q1893" s="1150"/>
      <c r="R1893" s="1150"/>
      <c r="S1893" s="1150"/>
      <c r="T1893" s="1150"/>
      <c r="U1893" s="1150"/>
      <c r="V1893" s="1150"/>
      <c r="W1893" s="1150"/>
      <c r="X1893" s="1150"/>
      <c r="Y1893" s="1150"/>
      <c r="Z1893" s="1150"/>
      <c r="AA1893" s="1150"/>
      <c r="AB1893" s="1150"/>
      <c r="AC1893" s="1150"/>
      <c r="AD1893" s="1150"/>
      <c r="AE1893" s="1150"/>
      <c r="AF1893" s="1150"/>
      <c r="AG1893" s="1150"/>
      <c r="AH1893" s="1150"/>
      <c r="AI1893" s="1150"/>
      <c r="AJ1893" s="1150"/>
      <c r="AK1893" s="1151"/>
      <c r="AL1893" s="535"/>
      <c r="AM1893" s="536"/>
      <c r="AN1893" s="536"/>
      <c r="AO1893" s="536"/>
      <c r="AP1893" s="536"/>
      <c r="AQ1893" s="536"/>
      <c r="AR1893" s="536"/>
      <c r="AS1893" s="536"/>
      <c r="AT1893" s="536"/>
      <c r="AU1893" s="536"/>
      <c r="AV1893" s="536"/>
      <c r="AW1893" s="536"/>
      <c r="AX1893" s="536"/>
      <c r="AY1893" s="536"/>
      <c r="AZ1893" s="536"/>
      <c r="BA1893" s="536"/>
      <c r="BB1893" s="536"/>
      <c r="BC1893" s="536"/>
      <c r="BD1893" s="536"/>
      <c r="BE1893" s="536"/>
      <c r="BF1893" s="713"/>
      <c r="BG1893" s="535"/>
      <c r="BH1893" s="536"/>
      <c r="BI1893" s="536"/>
      <c r="BJ1893" s="536"/>
      <c r="BK1893" s="536"/>
      <c r="BL1893" s="536"/>
      <c r="BM1893" s="536"/>
      <c r="BN1893" s="536"/>
      <c r="BO1893" s="536"/>
      <c r="BP1893" s="536"/>
      <c r="BQ1893" s="536"/>
      <c r="BR1893" s="536"/>
      <c r="BS1893" s="536"/>
      <c r="BT1893" s="536"/>
      <c r="BU1893" s="536"/>
      <c r="BV1893" s="536"/>
      <c r="BW1893" s="536"/>
      <c r="BX1893" s="536"/>
      <c r="BY1893" s="536"/>
      <c r="BZ1893" s="537"/>
      <c r="CA1893" s="142"/>
      <c r="CB1893" s="3" t="str">
        <f t="shared" si="299"/>
        <v>Riadok bude skrytý.</v>
      </c>
      <c r="CC1893" s="271" t="s">
        <v>832</v>
      </c>
      <c r="CW1893" s="30">
        <f t="shared" si="316"/>
        <v>1</v>
      </c>
      <c r="CZ1893" s="30">
        <f t="shared" si="314"/>
        <v>1</v>
      </c>
      <c r="DA1893" s="30">
        <f t="shared" si="313"/>
        <v>1</v>
      </c>
      <c r="DB1893" s="2">
        <f t="shared" si="315"/>
        <v>0</v>
      </c>
      <c r="DS1893" s="130">
        <f>SI!BY1893</f>
        <v>106</v>
      </c>
      <c r="DZ1893" s="131">
        <f>SI!BZ1893</f>
        <v>0</v>
      </c>
    </row>
    <row r="1894" spans="1:130" hidden="1" x14ac:dyDescent="0.25">
      <c r="A1894" s="141"/>
      <c r="B1894" s="1158"/>
      <c r="C1894" s="1159"/>
      <c r="D1894" s="1159"/>
      <c r="E1894" s="1159"/>
      <c r="F1894" s="1159"/>
      <c r="G1894" s="1159"/>
      <c r="H1894" s="1159"/>
      <c r="I1894" s="1159"/>
      <c r="J1894" s="1159"/>
      <c r="K1894" s="1159"/>
      <c r="L1894" s="1159"/>
      <c r="M1894" s="1159"/>
      <c r="N1894" s="1159"/>
      <c r="O1894" s="1159"/>
      <c r="P1894" s="1159"/>
      <c r="Q1894" s="1159"/>
      <c r="R1894" s="1159"/>
      <c r="S1894" s="1159"/>
      <c r="T1894" s="1159"/>
      <c r="U1894" s="1159"/>
      <c r="V1894" s="1159"/>
      <c r="W1894" s="1159"/>
      <c r="X1894" s="1159"/>
      <c r="Y1894" s="1159"/>
      <c r="Z1894" s="1159"/>
      <c r="AA1894" s="1159"/>
      <c r="AB1894" s="1159"/>
      <c r="AC1894" s="1159"/>
      <c r="AD1894" s="1159"/>
      <c r="AE1894" s="1159"/>
      <c r="AF1894" s="1159"/>
      <c r="AG1894" s="1159"/>
      <c r="AH1894" s="1159"/>
      <c r="AI1894" s="1159"/>
      <c r="AJ1894" s="1159"/>
      <c r="AK1894" s="1160"/>
      <c r="AL1894" s="363"/>
      <c r="AM1894" s="364"/>
      <c r="AN1894" s="364"/>
      <c r="AO1894" s="364"/>
      <c r="AP1894" s="364"/>
      <c r="AQ1894" s="364"/>
      <c r="AR1894" s="364"/>
      <c r="AS1894" s="364"/>
      <c r="AT1894" s="364"/>
      <c r="AU1894" s="364"/>
      <c r="AV1894" s="364"/>
      <c r="AW1894" s="364"/>
      <c r="AX1894" s="364"/>
      <c r="AY1894" s="364"/>
      <c r="AZ1894" s="364"/>
      <c r="BA1894" s="364"/>
      <c r="BB1894" s="364"/>
      <c r="BC1894" s="364"/>
      <c r="BD1894" s="364"/>
      <c r="BE1894" s="364"/>
      <c r="BF1894" s="475"/>
      <c r="BG1894" s="363"/>
      <c r="BH1894" s="364"/>
      <c r="BI1894" s="364"/>
      <c r="BJ1894" s="364"/>
      <c r="BK1894" s="364"/>
      <c r="BL1894" s="364"/>
      <c r="BM1894" s="364"/>
      <c r="BN1894" s="364"/>
      <c r="BO1894" s="364"/>
      <c r="BP1894" s="364"/>
      <c r="BQ1894" s="364"/>
      <c r="BR1894" s="364"/>
      <c r="BS1894" s="364"/>
      <c r="BT1894" s="364"/>
      <c r="BU1894" s="364"/>
      <c r="BV1894" s="364"/>
      <c r="BW1894" s="364"/>
      <c r="BX1894" s="364"/>
      <c r="BY1894" s="364"/>
      <c r="BZ1894" s="387"/>
      <c r="CA1894" s="270"/>
      <c r="CB1894" s="3" t="str">
        <f t="shared" si="299"/>
        <v>Riadok bude skrytý.</v>
      </c>
      <c r="CC1894" s="271" t="s">
        <v>832</v>
      </c>
      <c r="CW1894" s="30">
        <f t="shared" si="316"/>
        <v>1</v>
      </c>
      <c r="CX1894" s="30">
        <f t="shared" ref="CX1894:CX1901" si="317">+IF(B1894="",0,1)</f>
        <v>0</v>
      </c>
      <c r="CZ1894" s="30">
        <f t="shared" si="314"/>
        <v>1</v>
      </c>
      <c r="DA1894" s="52">
        <f t="shared" ref="DA1894:DA1901" si="318">+IF(CW1894*CX1894=0,0,IF(CZ1894=0,0,1))</f>
        <v>0</v>
      </c>
      <c r="DB1894" s="2">
        <f t="shared" si="315"/>
        <v>0</v>
      </c>
      <c r="DS1894" s="130">
        <f>SI!BY1894</f>
        <v>112</v>
      </c>
      <c r="DZ1894" s="131">
        <f>SI!BZ1894</f>
        <v>0</v>
      </c>
    </row>
    <row r="1895" spans="1:130" hidden="1" x14ac:dyDescent="0.25">
      <c r="A1895" s="141"/>
      <c r="B1895" s="1158"/>
      <c r="C1895" s="1159"/>
      <c r="D1895" s="1159"/>
      <c r="E1895" s="1159"/>
      <c r="F1895" s="1159"/>
      <c r="G1895" s="1159"/>
      <c r="H1895" s="1159"/>
      <c r="I1895" s="1159"/>
      <c r="J1895" s="1159"/>
      <c r="K1895" s="1159"/>
      <c r="L1895" s="1159"/>
      <c r="M1895" s="1159"/>
      <c r="N1895" s="1159"/>
      <c r="O1895" s="1159"/>
      <c r="P1895" s="1159"/>
      <c r="Q1895" s="1159"/>
      <c r="R1895" s="1159"/>
      <c r="S1895" s="1159"/>
      <c r="T1895" s="1159"/>
      <c r="U1895" s="1159"/>
      <c r="V1895" s="1159"/>
      <c r="W1895" s="1159"/>
      <c r="X1895" s="1159"/>
      <c r="Y1895" s="1159"/>
      <c r="Z1895" s="1159"/>
      <c r="AA1895" s="1159"/>
      <c r="AB1895" s="1159"/>
      <c r="AC1895" s="1159"/>
      <c r="AD1895" s="1159"/>
      <c r="AE1895" s="1159"/>
      <c r="AF1895" s="1159"/>
      <c r="AG1895" s="1159"/>
      <c r="AH1895" s="1159"/>
      <c r="AI1895" s="1159"/>
      <c r="AJ1895" s="1159"/>
      <c r="AK1895" s="1160"/>
      <c r="AL1895" s="363"/>
      <c r="AM1895" s="364"/>
      <c r="AN1895" s="364"/>
      <c r="AO1895" s="364"/>
      <c r="AP1895" s="364"/>
      <c r="AQ1895" s="364"/>
      <c r="AR1895" s="364"/>
      <c r="AS1895" s="364"/>
      <c r="AT1895" s="364"/>
      <c r="AU1895" s="364"/>
      <c r="AV1895" s="364"/>
      <c r="AW1895" s="364"/>
      <c r="AX1895" s="364"/>
      <c r="AY1895" s="364"/>
      <c r="AZ1895" s="364"/>
      <c r="BA1895" s="364"/>
      <c r="BB1895" s="364"/>
      <c r="BC1895" s="364"/>
      <c r="BD1895" s="364"/>
      <c r="BE1895" s="364"/>
      <c r="BF1895" s="475"/>
      <c r="BG1895" s="363"/>
      <c r="BH1895" s="364"/>
      <c r="BI1895" s="364"/>
      <c r="BJ1895" s="364"/>
      <c r="BK1895" s="364"/>
      <c r="BL1895" s="364"/>
      <c r="BM1895" s="364"/>
      <c r="BN1895" s="364"/>
      <c r="BO1895" s="364"/>
      <c r="BP1895" s="364"/>
      <c r="BQ1895" s="364"/>
      <c r="BR1895" s="364"/>
      <c r="BS1895" s="364"/>
      <c r="BT1895" s="364"/>
      <c r="BU1895" s="364"/>
      <c r="BV1895" s="364"/>
      <c r="BW1895" s="364"/>
      <c r="BX1895" s="364"/>
      <c r="BY1895" s="364"/>
      <c r="BZ1895" s="387"/>
      <c r="CA1895" s="270"/>
      <c r="CB1895" s="3" t="str">
        <f t="shared" si="299"/>
        <v>Riadok bude skrytý.</v>
      </c>
      <c r="CC1895" s="271" t="s">
        <v>832</v>
      </c>
      <c r="CW1895" s="30">
        <f t="shared" si="316"/>
        <v>1</v>
      </c>
      <c r="CX1895" s="30">
        <f t="shared" si="317"/>
        <v>0</v>
      </c>
      <c r="CZ1895" s="30">
        <f t="shared" si="314"/>
        <v>1</v>
      </c>
      <c r="DA1895" s="52">
        <f t="shared" si="318"/>
        <v>0</v>
      </c>
      <c r="DB1895" s="2">
        <f t="shared" si="315"/>
        <v>0</v>
      </c>
      <c r="DS1895" s="130">
        <f>SI!BY1895</f>
        <v>179</v>
      </c>
      <c r="DZ1895" s="131">
        <f>SI!BZ1895</f>
        <v>0</v>
      </c>
    </row>
    <row r="1896" spans="1:130" hidden="1" x14ac:dyDescent="0.25">
      <c r="A1896" s="141"/>
      <c r="B1896" s="1158"/>
      <c r="C1896" s="1159"/>
      <c r="D1896" s="1159"/>
      <c r="E1896" s="1159"/>
      <c r="F1896" s="1159"/>
      <c r="G1896" s="1159"/>
      <c r="H1896" s="1159"/>
      <c r="I1896" s="1159"/>
      <c r="J1896" s="1159"/>
      <c r="K1896" s="1159"/>
      <c r="L1896" s="1159"/>
      <c r="M1896" s="1159"/>
      <c r="N1896" s="1159"/>
      <c r="O1896" s="1159"/>
      <c r="P1896" s="1159"/>
      <c r="Q1896" s="1159"/>
      <c r="R1896" s="1159"/>
      <c r="S1896" s="1159"/>
      <c r="T1896" s="1159"/>
      <c r="U1896" s="1159"/>
      <c r="V1896" s="1159"/>
      <c r="W1896" s="1159"/>
      <c r="X1896" s="1159"/>
      <c r="Y1896" s="1159"/>
      <c r="Z1896" s="1159"/>
      <c r="AA1896" s="1159"/>
      <c r="AB1896" s="1159"/>
      <c r="AC1896" s="1159"/>
      <c r="AD1896" s="1159"/>
      <c r="AE1896" s="1159"/>
      <c r="AF1896" s="1159"/>
      <c r="AG1896" s="1159"/>
      <c r="AH1896" s="1159"/>
      <c r="AI1896" s="1159"/>
      <c r="AJ1896" s="1159"/>
      <c r="AK1896" s="1160"/>
      <c r="AL1896" s="363"/>
      <c r="AM1896" s="364"/>
      <c r="AN1896" s="364"/>
      <c r="AO1896" s="364"/>
      <c r="AP1896" s="364"/>
      <c r="AQ1896" s="364"/>
      <c r="AR1896" s="364"/>
      <c r="AS1896" s="364"/>
      <c r="AT1896" s="364"/>
      <c r="AU1896" s="364"/>
      <c r="AV1896" s="364"/>
      <c r="AW1896" s="364"/>
      <c r="AX1896" s="364"/>
      <c r="AY1896" s="364"/>
      <c r="AZ1896" s="364"/>
      <c r="BA1896" s="364"/>
      <c r="BB1896" s="364"/>
      <c r="BC1896" s="364"/>
      <c r="BD1896" s="364"/>
      <c r="BE1896" s="364"/>
      <c r="BF1896" s="475"/>
      <c r="BG1896" s="363"/>
      <c r="BH1896" s="364"/>
      <c r="BI1896" s="364"/>
      <c r="BJ1896" s="364"/>
      <c r="BK1896" s="364"/>
      <c r="BL1896" s="364"/>
      <c r="BM1896" s="364"/>
      <c r="BN1896" s="364"/>
      <c r="BO1896" s="364"/>
      <c r="BP1896" s="364"/>
      <c r="BQ1896" s="364"/>
      <c r="BR1896" s="364"/>
      <c r="BS1896" s="364"/>
      <c r="BT1896" s="364"/>
      <c r="BU1896" s="364"/>
      <c r="BV1896" s="364"/>
      <c r="BW1896" s="364"/>
      <c r="BX1896" s="364"/>
      <c r="BY1896" s="364"/>
      <c r="BZ1896" s="387"/>
      <c r="CA1896" s="270"/>
      <c r="CB1896" s="3" t="str">
        <f t="shared" si="299"/>
        <v>Riadok bude skrytý.</v>
      </c>
      <c r="CC1896" s="271" t="s">
        <v>832</v>
      </c>
      <c r="CW1896" s="30">
        <f t="shared" si="316"/>
        <v>1</v>
      </c>
      <c r="CX1896" s="30">
        <f t="shared" si="317"/>
        <v>0</v>
      </c>
      <c r="CZ1896" s="30">
        <f t="shared" si="314"/>
        <v>1</v>
      </c>
      <c r="DA1896" s="52">
        <f t="shared" si="318"/>
        <v>0</v>
      </c>
      <c r="DB1896" s="2">
        <f t="shared" si="315"/>
        <v>0</v>
      </c>
      <c r="DS1896" s="130">
        <f>SI!BY1896</f>
        <v>169</v>
      </c>
      <c r="DZ1896" s="131">
        <f>SI!BZ1896</f>
        <v>0</v>
      </c>
    </row>
    <row r="1897" spans="1:130" hidden="1" x14ac:dyDescent="0.25">
      <c r="A1897" s="141"/>
      <c r="B1897" s="1158"/>
      <c r="C1897" s="1159"/>
      <c r="D1897" s="1159"/>
      <c r="E1897" s="1159"/>
      <c r="F1897" s="1159"/>
      <c r="G1897" s="1159"/>
      <c r="H1897" s="1159"/>
      <c r="I1897" s="1159"/>
      <c r="J1897" s="1159"/>
      <c r="K1897" s="1159"/>
      <c r="L1897" s="1159"/>
      <c r="M1897" s="1159"/>
      <c r="N1897" s="1159"/>
      <c r="O1897" s="1159"/>
      <c r="P1897" s="1159"/>
      <c r="Q1897" s="1159"/>
      <c r="R1897" s="1159"/>
      <c r="S1897" s="1159"/>
      <c r="T1897" s="1159"/>
      <c r="U1897" s="1159"/>
      <c r="V1897" s="1159"/>
      <c r="W1897" s="1159"/>
      <c r="X1897" s="1159"/>
      <c r="Y1897" s="1159"/>
      <c r="Z1897" s="1159"/>
      <c r="AA1897" s="1159"/>
      <c r="AB1897" s="1159"/>
      <c r="AC1897" s="1159"/>
      <c r="AD1897" s="1159"/>
      <c r="AE1897" s="1159"/>
      <c r="AF1897" s="1159"/>
      <c r="AG1897" s="1159"/>
      <c r="AH1897" s="1159"/>
      <c r="AI1897" s="1159"/>
      <c r="AJ1897" s="1159"/>
      <c r="AK1897" s="1160"/>
      <c r="AL1897" s="363"/>
      <c r="AM1897" s="364"/>
      <c r="AN1897" s="364"/>
      <c r="AO1897" s="364"/>
      <c r="AP1897" s="364"/>
      <c r="AQ1897" s="364"/>
      <c r="AR1897" s="364"/>
      <c r="AS1897" s="364"/>
      <c r="AT1897" s="364"/>
      <c r="AU1897" s="364"/>
      <c r="AV1897" s="364"/>
      <c r="AW1897" s="364"/>
      <c r="AX1897" s="364"/>
      <c r="AY1897" s="364"/>
      <c r="AZ1897" s="364"/>
      <c r="BA1897" s="364"/>
      <c r="BB1897" s="364"/>
      <c r="BC1897" s="364"/>
      <c r="BD1897" s="364"/>
      <c r="BE1897" s="364"/>
      <c r="BF1897" s="475"/>
      <c r="BG1897" s="363"/>
      <c r="BH1897" s="364"/>
      <c r="BI1897" s="364"/>
      <c r="BJ1897" s="364"/>
      <c r="BK1897" s="364"/>
      <c r="BL1897" s="364"/>
      <c r="BM1897" s="364"/>
      <c r="BN1897" s="364"/>
      <c r="BO1897" s="364"/>
      <c r="BP1897" s="364"/>
      <c r="BQ1897" s="364"/>
      <c r="BR1897" s="364"/>
      <c r="BS1897" s="364"/>
      <c r="BT1897" s="364"/>
      <c r="BU1897" s="364"/>
      <c r="BV1897" s="364"/>
      <c r="BW1897" s="364"/>
      <c r="BX1897" s="364"/>
      <c r="BY1897" s="364"/>
      <c r="BZ1897" s="387"/>
      <c r="CA1897" s="270"/>
      <c r="CB1897" s="3" t="str">
        <f t="shared" si="299"/>
        <v>Riadok bude skrytý.</v>
      </c>
      <c r="CC1897" s="271" t="s">
        <v>832</v>
      </c>
      <c r="CW1897" s="30">
        <f t="shared" si="316"/>
        <v>1</v>
      </c>
      <c r="CX1897" s="30">
        <f t="shared" si="317"/>
        <v>0</v>
      </c>
      <c r="CZ1897" s="30">
        <f t="shared" si="314"/>
        <v>1</v>
      </c>
      <c r="DA1897" s="52">
        <f t="shared" si="318"/>
        <v>0</v>
      </c>
      <c r="DB1897" s="2">
        <f t="shared" si="315"/>
        <v>0</v>
      </c>
      <c r="DS1897" s="130">
        <f>SI!BY1897</f>
        <v>150</v>
      </c>
      <c r="DZ1897" s="131">
        <f>SI!BZ1897</f>
        <v>0</v>
      </c>
    </row>
    <row r="1898" spans="1:130" hidden="1" x14ac:dyDescent="0.25">
      <c r="A1898" s="141"/>
      <c r="B1898" s="1158"/>
      <c r="C1898" s="1159"/>
      <c r="D1898" s="1159"/>
      <c r="E1898" s="1159"/>
      <c r="F1898" s="1159"/>
      <c r="G1898" s="1159"/>
      <c r="H1898" s="1159"/>
      <c r="I1898" s="1159"/>
      <c r="J1898" s="1159"/>
      <c r="K1898" s="1159"/>
      <c r="L1898" s="1159"/>
      <c r="M1898" s="1159"/>
      <c r="N1898" s="1159"/>
      <c r="O1898" s="1159"/>
      <c r="P1898" s="1159"/>
      <c r="Q1898" s="1159"/>
      <c r="R1898" s="1159"/>
      <c r="S1898" s="1159"/>
      <c r="T1898" s="1159"/>
      <c r="U1898" s="1159"/>
      <c r="V1898" s="1159"/>
      <c r="W1898" s="1159"/>
      <c r="X1898" s="1159"/>
      <c r="Y1898" s="1159"/>
      <c r="Z1898" s="1159"/>
      <c r="AA1898" s="1159"/>
      <c r="AB1898" s="1159"/>
      <c r="AC1898" s="1159"/>
      <c r="AD1898" s="1159"/>
      <c r="AE1898" s="1159"/>
      <c r="AF1898" s="1159"/>
      <c r="AG1898" s="1159"/>
      <c r="AH1898" s="1159"/>
      <c r="AI1898" s="1159"/>
      <c r="AJ1898" s="1159"/>
      <c r="AK1898" s="1160"/>
      <c r="AL1898" s="363"/>
      <c r="AM1898" s="364"/>
      <c r="AN1898" s="364"/>
      <c r="AO1898" s="364"/>
      <c r="AP1898" s="364"/>
      <c r="AQ1898" s="364"/>
      <c r="AR1898" s="364"/>
      <c r="AS1898" s="364"/>
      <c r="AT1898" s="364"/>
      <c r="AU1898" s="364"/>
      <c r="AV1898" s="364"/>
      <c r="AW1898" s="364"/>
      <c r="AX1898" s="364"/>
      <c r="AY1898" s="364"/>
      <c r="AZ1898" s="364"/>
      <c r="BA1898" s="364"/>
      <c r="BB1898" s="364"/>
      <c r="BC1898" s="364"/>
      <c r="BD1898" s="364"/>
      <c r="BE1898" s="364"/>
      <c r="BF1898" s="475"/>
      <c r="BG1898" s="363"/>
      <c r="BH1898" s="364"/>
      <c r="BI1898" s="364"/>
      <c r="BJ1898" s="364"/>
      <c r="BK1898" s="364"/>
      <c r="BL1898" s="364"/>
      <c r="BM1898" s="364"/>
      <c r="BN1898" s="364"/>
      <c r="BO1898" s="364"/>
      <c r="BP1898" s="364"/>
      <c r="BQ1898" s="364"/>
      <c r="BR1898" s="364"/>
      <c r="BS1898" s="364"/>
      <c r="BT1898" s="364"/>
      <c r="BU1898" s="364"/>
      <c r="BV1898" s="364"/>
      <c r="BW1898" s="364"/>
      <c r="BX1898" s="364"/>
      <c r="BY1898" s="364"/>
      <c r="BZ1898" s="387"/>
      <c r="CA1898" s="270"/>
      <c r="CB1898" s="3" t="str">
        <f t="shared" si="299"/>
        <v>Riadok bude skrytý.</v>
      </c>
      <c r="CC1898" s="271" t="s">
        <v>832</v>
      </c>
      <c r="CW1898" s="30">
        <f t="shared" si="316"/>
        <v>1</v>
      </c>
      <c r="CX1898" s="30">
        <f t="shared" si="317"/>
        <v>0</v>
      </c>
      <c r="CZ1898" s="30">
        <f t="shared" si="314"/>
        <v>1</v>
      </c>
      <c r="DA1898" s="52">
        <f t="shared" si="318"/>
        <v>0</v>
      </c>
      <c r="DB1898" s="2">
        <f t="shared" si="315"/>
        <v>0</v>
      </c>
      <c r="DS1898" s="130">
        <f>SI!BY1898</f>
        <v>140</v>
      </c>
      <c r="DZ1898" s="131">
        <f>SI!BZ1898</f>
        <v>0</v>
      </c>
    </row>
    <row r="1899" spans="1:130" hidden="1" x14ac:dyDescent="0.25">
      <c r="A1899" s="141"/>
      <c r="B1899" s="1158"/>
      <c r="C1899" s="1159"/>
      <c r="D1899" s="1159"/>
      <c r="E1899" s="1159"/>
      <c r="F1899" s="1159"/>
      <c r="G1899" s="1159"/>
      <c r="H1899" s="1159"/>
      <c r="I1899" s="1159"/>
      <c r="J1899" s="1159"/>
      <c r="K1899" s="1159"/>
      <c r="L1899" s="1159"/>
      <c r="M1899" s="1159"/>
      <c r="N1899" s="1159"/>
      <c r="O1899" s="1159"/>
      <c r="P1899" s="1159"/>
      <c r="Q1899" s="1159"/>
      <c r="R1899" s="1159"/>
      <c r="S1899" s="1159"/>
      <c r="T1899" s="1159"/>
      <c r="U1899" s="1159"/>
      <c r="V1899" s="1159"/>
      <c r="W1899" s="1159"/>
      <c r="X1899" s="1159"/>
      <c r="Y1899" s="1159"/>
      <c r="Z1899" s="1159"/>
      <c r="AA1899" s="1159"/>
      <c r="AB1899" s="1159"/>
      <c r="AC1899" s="1159"/>
      <c r="AD1899" s="1159"/>
      <c r="AE1899" s="1159"/>
      <c r="AF1899" s="1159"/>
      <c r="AG1899" s="1159"/>
      <c r="AH1899" s="1159"/>
      <c r="AI1899" s="1159"/>
      <c r="AJ1899" s="1159"/>
      <c r="AK1899" s="1160"/>
      <c r="AL1899" s="363"/>
      <c r="AM1899" s="364"/>
      <c r="AN1899" s="364"/>
      <c r="AO1899" s="364"/>
      <c r="AP1899" s="364"/>
      <c r="AQ1899" s="364"/>
      <c r="AR1899" s="364"/>
      <c r="AS1899" s="364"/>
      <c r="AT1899" s="364"/>
      <c r="AU1899" s="364"/>
      <c r="AV1899" s="364"/>
      <c r="AW1899" s="364"/>
      <c r="AX1899" s="364"/>
      <c r="AY1899" s="364"/>
      <c r="AZ1899" s="364"/>
      <c r="BA1899" s="364"/>
      <c r="BB1899" s="364"/>
      <c r="BC1899" s="364"/>
      <c r="BD1899" s="364"/>
      <c r="BE1899" s="364"/>
      <c r="BF1899" s="475"/>
      <c r="BG1899" s="363"/>
      <c r="BH1899" s="364"/>
      <c r="BI1899" s="364"/>
      <c r="BJ1899" s="364"/>
      <c r="BK1899" s="364"/>
      <c r="BL1899" s="364"/>
      <c r="BM1899" s="364"/>
      <c r="BN1899" s="364"/>
      <c r="BO1899" s="364"/>
      <c r="BP1899" s="364"/>
      <c r="BQ1899" s="364"/>
      <c r="BR1899" s="364"/>
      <c r="BS1899" s="364"/>
      <c r="BT1899" s="364"/>
      <c r="BU1899" s="364"/>
      <c r="BV1899" s="364"/>
      <c r="BW1899" s="364"/>
      <c r="BX1899" s="364"/>
      <c r="BY1899" s="364"/>
      <c r="BZ1899" s="387"/>
      <c r="CA1899" s="270"/>
      <c r="CB1899" s="3" t="str">
        <f t="shared" si="299"/>
        <v>Riadok bude skrytý.</v>
      </c>
      <c r="CC1899" s="271" t="s">
        <v>832</v>
      </c>
      <c r="CW1899" s="30">
        <f t="shared" si="316"/>
        <v>1</v>
      </c>
      <c r="CX1899" s="30">
        <f t="shared" si="317"/>
        <v>0</v>
      </c>
      <c r="CZ1899" s="30">
        <f t="shared" ref="CZ1899:CZ1962" si="319">IF(CC1899="",1,IF(CC1899="Chcem skryť riadok.",0,1))</f>
        <v>1</v>
      </c>
      <c r="DA1899" s="52">
        <f t="shared" si="318"/>
        <v>0</v>
      </c>
      <c r="DB1899" s="2">
        <f t="shared" si="315"/>
        <v>0</v>
      </c>
      <c r="DS1899" s="130">
        <f>SI!BY1899</f>
        <v>129</v>
      </c>
      <c r="DZ1899" s="131">
        <f>SI!BZ1899</f>
        <v>0</v>
      </c>
    </row>
    <row r="1900" spans="1:130" hidden="1" x14ac:dyDescent="0.25">
      <c r="A1900" s="141"/>
      <c r="B1900" s="1158"/>
      <c r="C1900" s="1159"/>
      <c r="D1900" s="1159"/>
      <c r="E1900" s="1159"/>
      <c r="F1900" s="1159"/>
      <c r="G1900" s="1159"/>
      <c r="H1900" s="1159"/>
      <c r="I1900" s="1159"/>
      <c r="J1900" s="1159"/>
      <c r="K1900" s="1159"/>
      <c r="L1900" s="1159"/>
      <c r="M1900" s="1159"/>
      <c r="N1900" s="1159"/>
      <c r="O1900" s="1159"/>
      <c r="P1900" s="1159"/>
      <c r="Q1900" s="1159"/>
      <c r="R1900" s="1159"/>
      <c r="S1900" s="1159"/>
      <c r="T1900" s="1159"/>
      <c r="U1900" s="1159"/>
      <c r="V1900" s="1159"/>
      <c r="W1900" s="1159"/>
      <c r="X1900" s="1159"/>
      <c r="Y1900" s="1159"/>
      <c r="Z1900" s="1159"/>
      <c r="AA1900" s="1159"/>
      <c r="AB1900" s="1159"/>
      <c r="AC1900" s="1159"/>
      <c r="AD1900" s="1159"/>
      <c r="AE1900" s="1159"/>
      <c r="AF1900" s="1159"/>
      <c r="AG1900" s="1159"/>
      <c r="AH1900" s="1159"/>
      <c r="AI1900" s="1159"/>
      <c r="AJ1900" s="1159"/>
      <c r="AK1900" s="1160"/>
      <c r="AL1900" s="363"/>
      <c r="AM1900" s="364"/>
      <c r="AN1900" s="364"/>
      <c r="AO1900" s="364"/>
      <c r="AP1900" s="364"/>
      <c r="AQ1900" s="364"/>
      <c r="AR1900" s="364"/>
      <c r="AS1900" s="364"/>
      <c r="AT1900" s="364"/>
      <c r="AU1900" s="364"/>
      <c r="AV1900" s="364"/>
      <c r="AW1900" s="364"/>
      <c r="AX1900" s="364"/>
      <c r="AY1900" s="364"/>
      <c r="AZ1900" s="364"/>
      <c r="BA1900" s="364"/>
      <c r="BB1900" s="364"/>
      <c r="BC1900" s="364"/>
      <c r="BD1900" s="364"/>
      <c r="BE1900" s="364"/>
      <c r="BF1900" s="475"/>
      <c r="BG1900" s="363"/>
      <c r="BH1900" s="364"/>
      <c r="BI1900" s="364"/>
      <c r="BJ1900" s="364"/>
      <c r="BK1900" s="364"/>
      <c r="BL1900" s="364"/>
      <c r="BM1900" s="364"/>
      <c r="BN1900" s="364"/>
      <c r="BO1900" s="364"/>
      <c r="BP1900" s="364"/>
      <c r="BQ1900" s="364"/>
      <c r="BR1900" s="364"/>
      <c r="BS1900" s="364"/>
      <c r="BT1900" s="364"/>
      <c r="BU1900" s="364"/>
      <c r="BV1900" s="364"/>
      <c r="BW1900" s="364"/>
      <c r="BX1900" s="364"/>
      <c r="BY1900" s="364"/>
      <c r="BZ1900" s="387"/>
      <c r="CA1900" s="270"/>
      <c r="CB1900" s="3" t="str">
        <f t="shared" si="299"/>
        <v>Riadok bude skrytý.</v>
      </c>
      <c r="CC1900" s="271" t="s">
        <v>832</v>
      </c>
      <c r="CW1900" s="30">
        <f t="shared" si="316"/>
        <v>1</v>
      </c>
      <c r="CX1900" s="30">
        <f t="shared" si="317"/>
        <v>0</v>
      </c>
      <c r="CZ1900" s="30">
        <f t="shared" si="319"/>
        <v>1</v>
      </c>
      <c r="DA1900" s="52">
        <f t="shared" si="318"/>
        <v>0</v>
      </c>
      <c r="DB1900" s="2">
        <f t="shared" si="315"/>
        <v>0</v>
      </c>
      <c r="DS1900" s="130">
        <f>SI!BY1900</f>
        <v>159</v>
      </c>
      <c r="DZ1900" s="131">
        <f>SI!BZ1900</f>
        <v>0</v>
      </c>
    </row>
    <row r="1901" spans="1:130" hidden="1" x14ac:dyDescent="0.25">
      <c r="A1901" s="141"/>
      <c r="B1901" s="1158"/>
      <c r="C1901" s="1159"/>
      <c r="D1901" s="1159"/>
      <c r="E1901" s="1159"/>
      <c r="F1901" s="1159"/>
      <c r="G1901" s="1159"/>
      <c r="H1901" s="1159"/>
      <c r="I1901" s="1159"/>
      <c r="J1901" s="1159"/>
      <c r="K1901" s="1159"/>
      <c r="L1901" s="1159"/>
      <c r="M1901" s="1159"/>
      <c r="N1901" s="1159"/>
      <c r="O1901" s="1159"/>
      <c r="P1901" s="1159"/>
      <c r="Q1901" s="1159"/>
      <c r="R1901" s="1159"/>
      <c r="S1901" s="1159"/>
      <c r="T1901" s="1159"/>
      <c r="U1901" s="1159"/>
      <c r="V1901" s="1159"/>
      <c r="W1901" s="1159"/>
      <c r="X1901" s="1159"/>
      <c r="Y1901" s="1159"/>
      <c r="Z1901" s="1159"/>
      <c r="AA1901" s="1159"/>
      <c r="AB1901" s="1159"/>
      <c r="AC1901" s="1159"/>
      <c r="AD1901" s="1159"/>
      <c r="AE1901" s="1159"/>
      <c r="AF1901" s="1159"/>
      <c r="AG1901" s="1159"/>
      <c r="AH1901" s="1159"/>
      <c r="AI1901" s="1159"/>
      <c r="AJ1901" s="1159"/>
      <c r="AK1901" s="1160"/>
      <c r="AL1901" s="363"/>
      <c r="AM1901" s="364"/>
      <c r="AN1901" s="364"/>
      <c r="AO1901" s="364"/>
      <c r="AP1901" s="364"/>
      <c r="AQ1901" s="364"/>
      <c r="AR1901" s="364"/>
      <c r="AS1901" s="364"/>
      <c r="AT1901" s="364"/>
      <c r="AU1901" s="364"/>
      <c r="AV1901" s="364"/>
      <c r="AW1901" s="364"/>
      <c r="AX1901" s="364"/>
      <c r="AY1901" s="364"/>
      <c r="AZ1901" s="364"/>
      <c r="BA1901" s="364"/>
      <c r="BB1901" s="364"/>
      <c r="BC1901" s="364"/>
      <c r="BD1901" s="364"/>
      <c r="BE1901" s="364"/>
      <c r="BF1901" s="475"/>
      <c r="BG1901" s="363"/>
      <c r="BH1901" s="364"/>
      <c r="BI1901" s="364"/>
      <c r="BJ1901" s="364"/>
      <c r="BK1901" s="364"/>
      <c r="BL1901" s="364"/>
      <c r="BM1901" s="364"/>
      <c r="BN1901" s="364"/>
      <c r="BO1901" s="364"/>
      <c r="BP1901" s="364"/>
      <c r="BQ1901" s="364"/>
      <c r="BR1901" s="364"/>
      <c r="BS1901" s="364"/>
      <c r="BT1901" s="364"/>
      <c r="BU1901" s="364"/>
      <c r="BV1901" s="364"/>
      <c r="BW1901" s="364"/>
      <c r="BX1901" s="364"/>
      <c r="BY1901" s="364"/>
      <c r="BZ1901" s="387"/>
      <c r="CA1901" s="270"/>
      <c r="CB1901" s="3" t="str">
        <f t="shared" si="299"/>
        <v>Riadok bude skrytý.</v>
      </c>
      <c r="CC1901" s="271" t="s">
        <v>832</v>
      </c>
      <c r="CW1901" s="30">
        <f t="shared" si="316"/>
        <v>1</v>
      </c>
      <c r="CX1901" s="30">
        <f t="shared" si="317"/>
        <v>0</v>
      </c>
      <c r="CZ1901" s="30">
        <f t="shared" si="319"/>
        <v>1</v>
      </c>
      <c r="DA1901" s="52">
        <f t="shared" si="318"/>
        <v>0</v>
      </c>
      <c r="DB1901" s="2">
        <f t="shared" si="315"/>
        <v>0</v>
      </c>
      <c r="DS1901" s="130">
        <f>SI!BY1901</f>
        <v>195</v>
      </c>
      <c r="DZ1901" s="131">
        <f>SI!BZ1901</f>
        <v>0</v>
      </c>
    </row>
    <row r="1902" spans="1:130" hidden="1" x14ac:dyDescent="0.25">
      <c r="A1902" s="141"/>
      <c r="B1902" s="1206" t="s">
        <v>700</v>
      </c>
      <c r="C1902" s="1207"/>
      <c r="D1902" s="1207"/>
      <c r="E1902" s="1207"/>
      <c r="F1902" s="1207"/>
      <c r="G1902" s="1207"/>
      <c r="H1902" s="1207"/>
      <c r="I1902" s="1207"/>
      <c r="J1902" s="1207"/>
      <c r="K1902" s="1207"/>
      <c r="L1902" s="1207"/>
      <c r="M1902" s="1207"/>
      <c r="N1902" s="1207"/>
      <c r="O1902" s="1207"/>
      <c r="P1902" s="1207"/>
      <c r="Q1902" s="1207"/>
      <c r="R1902" s="1207"/>
      <c r="S1902" s="1207"/>
      <c r="T1902" s="1207"/>
      <c r="U1902" s="1207"/>
      <c r="V1902" s="1207"/>
      <c r="W1902" s="1207"/>
      <c r="X1902" s="1207"/>
      <c r="Y1902" s="1207"/>
      <c r="Z1902" s="1207"/>
      <c r="AA1902" s="1207"/>
      <c r="AB1902" s="1207"/>
      <c r="AC1902" s="1207"/>
      <c r="AD1902" s="1207"/>
      <c r="AE1902" s="1207"/>
      <c r="AF1902" s="1207"/>
      <c r="AG1902" s="1207"/>
      <c r="AH1902" s="1207"/>
      <c r="AI1902" s="1207"/>
      <c r="AJ1902" s="1207"/>
      <c r="AK1902" s="1208"/>
      <c r="AL1902" s="367"/>
      <c r="AM1902" s="368"/>
      <c r="AN1902" s="368"/>
      <c r="AO1902" s="368"/>
      <c r="AP1902" s="368"/>
      <c r="AQ1902" s="368"/>
      <c r="AR1902" s="368"/>
      <c r="AS1902" s="368"/>
      <c r="AT1902" s="368"/>
      <c r="AU1902" s="368"/>
      <c r="AV1902" s="368"/>
      <c r="AW1902" s="368"/>
      <c r="AX1902" s="368"/>
      <c r="AY1902" s="368"/>
      <c r="AZ1902" s="368"/>
      <c r="BA1902" s="368"/>
      <c r="BB1902" s="368"/>
      <c r="BC1902" s="368"/>
      <c r="BD1902" s="368"/>
      <c r="BE1902" s="368"/>
      <c r="BF1902" s="458"/>
      <c r="BG1902" s="367"/>
      <c r="BH1902" s="368"/>
      <c r="BI1902" s="368"/>
      <c r="BJ1902" s="368"/>
      <c r="BK1902" s="368"/>
      <c r="BL1902" s="368"/>
      <c r="BM1902" s="368"/>
      <c r="BN1902" s="368"/>
      <c r="BO1902" s="368"/>
      <c r="BP1902" s="368"/>
      <c r="BQ1902" s="368"/>
      <c r="BR1902" s="368"/>
      <c r="BS1902" s="368"/>
      <c r="BT1902" s="368"/>
      <c r="BU1902" s="368"/>
      <c r="BV1902" s="368"/>
      <c r="BW1902" s="368"/>
      <c r="BX1902" s="368"/>
      <c r="BY1902" s="368"/>
      <c r="BZ1902" s="438"/>
      <c r="CA1902" s="142"/>
      <c r="CB1902" s="3" t="str">
        <f t="shared" si="299"/>
        <v>Riadok bude skrytý.</v>
      </c>
      <c r="CC1902" s="271" t="s">
        <v>832</v>
      </c>
      <c r="CW1902" s="30">
        <f t="shared" si="316"/>
        <v>1</v>
      </c>
      <c r="CZ1902" s="30">
        <f t="shared" si="319"/>
        <v>1</v>
      </c>
      <c r="DA1902" s="30">
        <f>+IF(CW1902+CX1902+CY1902=0,0,IF(CZ1902=0,0,1))</f>
        <v>1</v>
      </c>
      <c r="DB1902" s="2">
        <f t="shared" si="315"/>
        <v>0</v>
      </c>
      <c r="DS1902" s="130">
        <f>SI!BY1902</f>
        <v>130</v>
      </c>
      <c r="DZ1902" s="131">
        <f>SI!BZ1902</f>
        <v>0</v>
      </c>
    </row>
    <row r="1903" spans="1:130" hidden="1" x14ac:dyDescent="0.25">
      <c r="A1903" s="141"/>
      <c r="B1903" s="401" t="s">
        <v>233</v>
      </c>
      <c r="C1903" s="402"/>
      <c r="D1903" s="402"/>
      <c r="E1903" s="402"/>
      <c r="F1903" s="402"/>
      <c r="G1903" s="402"/>
      <c r="H1903" s="402"/>
      <c r="I1903" s="402"/>
      <c r="J1903" s="402"/>
      <c r="K1903" s="402"/>
      <c r="L1903" s="402"/>
      <c r="M1903" s="402"/>
      <c r="N1903" s="402"/>
      <c r="O1903" s="402"/>
      <c r="P1903" s="402"/>
      <c r="Q1903" s="402"/>
      <c r="R1903" s="402"/>
      <c r="S1903" s="402"/>
      <c r="T1903" s="402"/>
      <c r="U1903" s="402"/>
      <c r="V1903" s="402"/>
      <c r="W1903" s="402"/>
      <c r="X1903" s="402"/>
      <c r="Y1903" s="402"/>
      <c r="Z1903" s="402"/>
      <c r="AA1903" s="402"/>
      <c r="AB1903" s="402"/>
      <c r="AC1903" s="402"/>
      <c r="AD1903" s="402"/>
      <c r="AE1903" s="402"/>
      <c r="AF1903" s="402"/>
      <c r="AG1903" s="402"/>
      <c r="AH1903" s="402"/>
      <c r="AI1903" s="402"/>
      <c r="AJ1903" s="402"/>
      <c r="AK1903" s="776"/>
      <c r="AL1903" s="423">
        <f>+SUM(AL1904:BF1913)</f>
        <v>0</v>
      </c>
      <c r="AM1903" s="424"/>
      <c r="AN1903" s="424"/>
      <c r="AO1903" s="424"/>
      <c r="AP1903" s="424"/>
      <c r="AQ1903" s="424"/>
      <c r="AR1903" s="424"/>
      <c r="AS1903" s="424"/>
      <c r="AT1903" s="424"/>
      <c r="AU1903" s="424"/>
      <c r="AV1903" s="424"/>
      <c r="AW1903" s="424"/>
      <c r="AX1903" s="424"/>
      <c r="AY1903" s="424"/>
      <c r="AZ1903" s="424"/>
      <c r="BA1903" s="424"/>
      <c r="BB1903" s="424"/>
      <c r="BC1903" s="424"/>
      <c r="BD1903" s="424"/>
      <c r="BE1903" s="424"/>
      <c r="BF1903" s="424"/>
      <c r="BG1903" s="710">
        <f>+SUM(BG1904:BZ1913)</f>
        <v>0</v>
      </c>
      <c r="BH1903" s="711"/>
      <c r="BI1903" s="711"/>
      <c r="BJ1903" s="711"/>
      <c r="BK1903" s="711"/>
      <c r="BL1903" s="711"/>
      <c r="BM1903" s="711"/>
      <c r="BN1903" s="711"/>
      <c r="BO1903" s="711"/>
      <c r="BP1903" s="711"/>
      <c r="BQ1903" s="711"/>
      <c r="BR1903" s="711"/>
      <c r="BS1903" s="711"/>
      <c r="BT1903" s="711"/>
      <c r="BU1903" s="711"/>
      <c r="BV1903" s="711"/>
      <c r="BW1903" s="711"/>
      <c r="BX1903" s="711"/>
      <c r="BY1903" s="711"/>
      <c r="BZ1903" s="712"/>
      <c r="CA1903" s="142"/>
      <c r="CB1903" s="3" t="str">
        <f t="shared" si="299"/>
        <v>Riadok bude skrytý.</v>
      </c>
      <c r="CC1903" s="271" t="s">
        <v>832</v>
      </c>
      <c r="CD1903" s="4" t="s">
        <v>757</v>
      </c>
      <c r="CW1903" s="30">
        <f t="shared" si="316"/>
        <v>1</v>
      </c>
      <c r="CX1903" s="35"/>
      <c r="CZ1903" s="30">
        <f t="shared" si="319"/>
        <v>1</v>
      </c>
      <c r="DA1903" s="30">
        <f>+IF(CW1903+CX1903+CY1903=0,0,IF(CZ1903=0,0,1))</f>
        <v>1</v>
      </c>
      <c r="DB1903" s="2">
        <f t="shared" si="315"/>
        <v>0</v>
      </c>
      <c r="DS1903" s="130">
        <f>SI!BY1903</f>
        <v>207</v>
      </c>
      <c r="DZ1903" s="131">
        <f>SI!BZ1903</f>
        <v>0</v>
      </c>
    </row>
    <row r="1904" spans="1:130" hidden="1" x14ac:dyDescent="0.25">
      <c r="A1904" s="141"/>
      <c r="B1904" s="1149"/>
      <c r="C1904" s="1150"/>
      <c r="D1904" s="1150"/>
      <c r="E1904" s="1150"/>
      <c r="F1904" s="1150"/>
      <c r="G1904" s="1150"/>
      <c r="H1904" s="1150"/>
      <c r="I1904" s="1150"/>
      <c r="J1904" s="1150"/>
      <c r="K1904" s="1150"/>
      <c r="L1904" s="1150"/>
      <c r="M1904" s="1150"/>
      <c r="N1904" s="1150"/>
      <c r="O1904" s="1150"/>
      <c r="P1904" s="1150"/>
      <c r="Q1904" s="1150"/>
      <c r="R1904" s="1150"/>
      <c r="S1904" s="1150"/>
      <c r="T1904" s="1150"/>
      <c r="U1904" s="1150"/>
      <c r="V1904" s="1150"/>
      <c r="W1904" s="1150"/>
      <c r="X1904" s="1150"/>
      <c r="Y1904" s="1150"/>
      <c r="Z1904" s="1150"/>
      <c r="AA1904" s="1150"/>
      <c r="AB1904" s="1150"/>
      <c r="AC1904" s="1150"/>
      <c r="AD1904" s="1150"/>
      <c r="AE1904" s="1150"/>
      <c r="AF1904" s="1150"/>
      <c r="AG1904" s="1150"/>
      <c r="AH1904" s="1150"/>
      <c r="AI1904" s="1150"/>
      <c r="AJ1904" s="1150"/>
      <c r="AK1904" s="1151"/>
      <c r="AL1904" s="535"/>
      <c r="AM1904" s="536"/>
      <c r="AN1904" s="536"/>
      <c r="AO1904" s="536"/>
      <c r="AP1904" s="536"/>
      <c r="AQ1904" s="536"/>
      <c r="AR1904" s="536"/>
      <c r="AS1904" s="536"/>
      <c r="AT1904" s="536"/>
      <c r="AU1904" s="536"/>
      <c r="AV1904" s="536"/>
      <c r="AW1904" s="536"/>
      <c r="AX1904" s="536"/>
      <c r="AY1904" s="536"/>
      <c r="AZ1904" s="536"/>
      <c r="BA1904" s="536"/>
      <c r="BB1904" s="536"/>
      <c r="BC1904" s="536"/>
      <c r="BD1904" s="536"/>
      <c r="BE1904" s="536"/>
      <c r="BF1904" s="713"/>
      <c r="BG1904" s="535"/>
      <c r="BH1904" s="536"/>
      <c r="BI1904" s="536"/>
      <c r="BJ1904" s="536"/>
      <c r="BK1904" s="536"/>
      <c r="BL1904" s="536"/>
      <c r="BM1904" s="536"/>
      <c r="BN1904" s="536"/>
      <c r="BO1904" s="536"/>
      <c r="BP1904" s="536"/>
      <c r="BQ1904" s="536"/>
      <c r="BR1904" s="536"/>
      <c r="BS1904" s="536"/>
      <c r="BT1904" s="536"/>
      <c r="BU1904" s="536"/>
      <c r="BV1904" s="536"/>
      <c r="BW1904" s="536"/>
      <c r="BX1904" s="536"/>
      <c r="BY1904" s="536"/>
      <c r="BZ1904" s="537"/>
      <c r="CA1904" s="142"/>
      <c r="CB1904" s="3" t="str">
        <f t="shared" si="299"/>
        <v>Riadok bude skrytý.</v>
      </c>
      <c r="CC1904" s="271" t="s">
        <v>832</v>
      </c>
      <c r="CW1904" s="30">
        <f t="shared" si="316"/>
        <v>1</v>
      </c>
      <c r="CX1904" s="40"/>
      <c r="CZ1904" s="30">
        <f t="shared" si="319"/>
        <v>1</v>
      </c>
      <c r="DA1904" s="30">
        <f>+IF(CW1904+CX1904+CY1904=0,0,IF(CZ1904=0,0,1))</f>
        <v>1</v>
      </c>
      <c r="DB1904" s="2">
        <f t="shared" si="315"/>
        <v>0</v>
      </c>
      <c r="DS1904" s="130">
        <f>SI!BY1904</f>
        <v>116</v>
      </c>
      <c r="DZ1904" s="131">
        <f>SI!BZ1904</f>
        <v>0</v>
      </c>
    </row>
    <row r="1905" spans="1:130" hidden="1" x14ac:dyDescent="0.25">
      <c r="A1905" s="141"/>
      <c r="B1905" s="1158"/>
      <c r="C1905" s="1159"/>
      <c r="D1905" s="1159"/>
      <c r="E1905" s="1159"/>
      <c r="F1905" s="1159"/>
      <c r="G1905" s="1159"/>
      <c r="H1905" s="1159"/>
      <c r="I1905" s="1159"/>
      <c r="J1905" s="1159"/>
      <c r="K1905" s="1159"/>
      <c r="L1905" s="1159"/>
      <c r="M1905" s="1159"/>
      <c r="N1905" s="1159"/>
      <c r="O1905" s="1159"/>
      <c r="P1905" s="1159"/>
      <c r="Q1905" s="1159"/>
      <c r="R1905" s="1159"/>
      <c r="S1905" s="1159"/>
      <c r="T1905" s="1159"/>
      <c r="U1905" s="1159"/>
      <c r="V1905" s="1159"/>
      <c r="W1905" s="1159"/>
      <c r="X1905" s="1159"/>
      <c r="Y1905" s="1159"/>
      <c r="Z1905" s="1159"/>
      <c r="AA1905" s="1159"/>
      <c r="AB1905" s="1159"/>
      <c r="AC1905" s="1159"/>
      <c r="AD1905" s="1159"/>
      <c r="AE1905" s="1159"/>
      <c r="AF1905" s="1159"/>
      <c r="AG1905" s="1159"/>
      <c r="AH1905" s="1159"/>
      <c r="AI1905" s="1159"/>
      <c r="AJ1905" s="1159"/>
      <c r="AK1905" s="1160"/>
      <c r="AL1905" s="363"/>
      <c r="AM1905" s="364"/>
      <c r="AN1905" s="364"/>
      <c r="AO1905" s="364"/>
      <c r="AP1905" s="364"/>
      <c r="AQ1905" s="364"/>
      <c r="AR1905" s="364"/>
      <c r="AS1905" s="364"/>
      <c r="AT1905" s="364"/>
      <c r="AU1905" s="364"/>
      <c r="AV1905" s="364"/>
      <c r="AW1905" s="364"/>
      <c r="AX1905" s="364"/>
      <c r="AY1905" s="364"/>
      <c r="AZ1905" s="364"/>
      <c r="BA1905" s="364"/>
      <c r="BB1905" s="364"/>
      <c r="BC1905" s="364"/>
      <c r="BD1905" s="364"/>
      <c r="BE1905" s="364"/>
      <c r="BF1905" s="475"/>
      <c r="BG1905" s="363"/>
      <c r="BH1905" s="364"/>
      <c r="BI1905" s="364"/>
      <c r="BJ1905" s="364"/>
      <c r="BK1905" s="364"/>
      <c r="BL1905" s="364"/>
      <c r="BM1905" s="364"/>
      <c r="BN1905" s="364"/>
      <c r="BO1905" s="364"/>
      <c r="BP1905" s="364"/>
      <c r="BQ1905" s="364"/>
      <c r="BR1905" s="364"/>
      <c r="BS1905" s="364"/>
      <c r="BT1905" s="364"/>
      <c r="BU1905" s="364"/>
      <c r="BV1905" s="364"/>
      <c r="BW1905" s="364"/>
      <c r="BX1905" s="364"/>
      <c r="BY1905" s="364"/>
      <c r="BZ1905" s="387"/>
      <c r="CA1905" s="270"/>
      <c r="CB1905" s="3" t="str">
        <f t="shared" si="299"/>
        <v>Riadok bude skrytý.</v>
      </c>
      <c r="CC1905" s="271" t="s">
        <v>832</v>
      </c>
      <c r="CW1905" s="30">
        <f t="shared" si="316"/>
        <v>1</v>
      </c>
      <c r="CX1905" s="30">
        <f t="shared" ref="CX1905:CX1912" si="320">+IF(B1905="",0,1)</f>
        <v>0</v>
      </c>
      <c r="CZ1905" s="30">
        <f t="shared" si="319"/>
        <v>1</v>
      </c>
      <c r="DA1905" s="52">
        <f t="shared" ref="DA1905:DA1912" si="321">+IF(CW1905*CX1905=0,0,IF(CZ1905=0,0,1))</f>
        <v>0</v>
      </c>
      <c r="DB1905" s="2">
        <f t="shared" si="315"/>
        <v>0</v>
      </c>
      <c r="DS1905" s="130">
        <f>SI!BY1905</f>
        <v>116</v>
      </c>
      <c r="DZ1905" s="131">
        <f>SI!BZ1905</f>
        <v>0</v>
      </c>
    </row>
    <row r="1906" spans="1:130" hidden="1" x14ac:dyDescent="0.25">
      <c r="A1906" s="141"/>
      <c r="B1906" s="1158"/>
      <c r="C1906" s="1159"/>
      <c r="D1906" s="1159"/>
      <c r="E1906" s="1159"/>
      <c r="F1906" s="1159"/>
      <c r="G1906" s="1159"/>
      <c r="H1906" s="1159"/>
      <c r="I1906" s="1159"/>
      <c r="J1906" s="1159"/>
      <c r="K1906" s="1159"/>
      <c r="L1906" s="1159"/>
      <c r="M1906" s="1159"/>
      <c r="N1906" s="1159"/>
      <c r="O1906" s="1159"/>
      <c r="P1906" s="1159"/>
      <c r="Q1906" s="1159"/>
      <c r="R1906" s="1159"/>
      <c r="S1906" s="1159"/>
      <c r="T1906" s="1159"/>
      <c r="U1906" s="1159"/>
      <c r="V1906" s="1159"/>
      <c r="W1906" s="1159"/>
      <c r="X1906" s="1159"/>
      <c r="Y1906" s="1159"/>
      <c r="Z1906" s="1159"/>
      <c r="AA1906" s="1159"/>
      <c r="AB1906" s="1159"/>
      <c r="AC1906" s="1159"/>
      <c r="AD1906" s="1159"/>
      <c r="AE1906" s="1159"/>
      <c r="AF1906" s="1159"/>
      <c r="AG1906" s="1159"/>
      <c r="AH1906" s="1159"/>
      <c r="AI1906" s="1159"/>
      <c r="AJ1906" s="1159"/>
      <c r="AK1906" s="1160"/>
      <c r="AL1906" s="363"/>
      <c r="AM1906" s="364"/>
      <c r="AN1906" s="364"/>
      <c r="AO1906" s="364"/>
      <c r="AP1906" s="364"/>
      <c r="AQ1906" s="364"/>
      <c r="AR1906" s="364"/>
      <c r="AS1906" s="364"/>
      <c r="AT1906" s="364"/>
      <c r="AU1906" s="364"/>
      <c r="AV1906" s="364"/>
      <c r="AW1906" s="364"/>
      <c r="AX1906" s="364"/>
      <c r="AY1906" s="364"/>
      <c r="AZ1906" s="364"/>
      <c r="BA1906" s="364"/>
      <c r="BB1906" s="364"/>
      <c r="BC1906" s="364"/>
      <c r="BD1906" s="364"/>
      <c r="BE1906" s="364"/>
      <c r="BF1906" s="475"/>
      <c r="BG1906" s="363"/>
      <c r="BH1906" s="364"/>
      <c r="BI1906" s="364"/>
      <c r="BJ1906" s="364"/>
      <c r="BK1906" s="364"/>
      <c r="BL1906" s="364"/>
      <c r="BM1906" s="364"/>
      <c r="BN1906" s="364"/>
      <c r="BO1906" s="364"/>
      <c r="BP1906" s="364"/>
      <c r="BQ1906" s="364"/>
      <c r="BR1906" s="364"/>
      <c r="BS1906" s="364"/>
      <c r="BT1906" s="364"/>
      <c r="BU1906" s="364"/>
      <c r="BV1906" s="364"/>
      <c r="BW1906" s="364"/>
      <c r="BX1906" s="364"/>
      <c r="BY1906" s="364"/>
      <c r="BZ1906" s="387"/>
      <c r="CA1906" s="270"/>
      <c r="CB1906" s="3" t="str">
        <f t="shared" si="299"/>
        <v>Riadok bude skrytý.</v>
      </c>
      <c r="CC1906" s="271" t="s">
        <v>832</v>
      </c>
      <c r="CW1906" s="30">
        <f t="shared" si="316"/>
        <v>1</v>
      </c>
      <c r="CX1906" s="30">
        <f t="shared" si="320"/>
        <v>0</v>
      </c>
      <c r="CZ1906" s="30">
        <f t="shared" si="319"/>
        <v>1</v>
      </c>
      <c r="DA1906" s="52">
        <f t="shared" si="321"/>
        <v>0</v>
      </c>
      <c r="DB1906" s="2">
        <f t="shared" si="315"/>
        <v>0</v>
      </c>
      <c r="DS1906" s="130">
        <f>SI!BY1906</f>
        <v>113</v>
      </c>
      <c r="DZ1906" s="131">
        <f>SI!BZ1906</f>
        <v>0</v>
      </c>
    </row>
    <row r="1907" spans="1:130" hidden="1" x14ac:dyDescent="0.25">
      <c r="A1907" s="141"/>
      <c r="B1907" s="1158"/>
      <c r="C1907" s="1159"/>
      <c r="D1907" s="1159"/>
      <c r="E1907" s="1159"/>
      <c r="F1907" s="1159"/>
      <c r="G1907" s="1159"/>
      <c r="H1907" s="1159"/>
      <c r="I1907" s="1159"/>
      <c r="J1907" s="1159"/>
      <c r="K1907" s="1159"/>
      <c r="L1907" s="1159"/>
      <c r="M1907" s="1159"/>
      <c r="N1907" s="1159"/>
      <c r="O1907" s="1159"/>
      <c r="P1907" s="1159"/>
      <c r="Q1907" s="1159"/>
      <c r="R1907" s="1159"/>
      <c r="S1907" s="1159"/>
      <c r="T1907" s="1159"/>
      <c r="U1907" s="1159"/>
      <c r="V1907" s="1159"/>
      <c r="W1907" s="1159"/>
      <c r="X1907" s="1159"/>
      <c r="Y1907" s="1159"/>
      <c r="Z1907" s="1159"/>
      <c r="AA1907" s="1159"/>
      <c r="AB1907" s="1159"/>
      <c r="AC1907" s="1159"/>
      <c r="AD1907" s="1159"/>
      <c r="AE1907" s="1159"/>
      <c r="AF1907" s="1159"/>
      <c r="AG1907" s="1159"/>
      <c r="AH1907" s="1159"/>
      <c r="AI1907" s="1159"/>
      <c r="AJ1907" s="1159"/>
      <c r="AK1907" s="1160"/>
      <c r="AL1907" s="363"/>
      <c r="AM1907" s="364"/>
      <c r="AN1907" s="364"/>
      <c r="AO1907" s="364"/>
      <c r="AP1907" s="364"/>
      <c r="AQ1907" s="364"/>
      <c r="AR1907" s="364"/>
      <c r="AS1907" s="364"/>
      <c r="AT1907" s="364"/>
      <c r="AU1907" s="364"/>
      <c r="AV1907" s="364"/>
      <c r="AW1907" s="364"/>
      <c r="AX1907" s="364"/>
      <c r="AY1907" s="364"/>
      <c r="AZ1907" s="364"/>
      <c r="BA1907" s="364"/>
      <c r="BB1907" s="364"/>
      <c r="BC1907" s="364"/>
      <c r="BD1907" s="364"/>
      <c r="BE1907" s="364"/>
      <c r="BF1907" s="475"/>
      <c r="BG1907" s="363"/>
      <c r="BH1907" s="364"/>
      <c r="BI1907" s="364"/>
      <c r="BJ1907" s="364"/>
      <c r="BK1907" s="364"/>
      <c r="BL1907" s="364"/>
      <c r="BM1907" s="364"/>
      <c r="BN1907" s="364"/>
      <c r="BO1907" s="364"/>
      <c r="BP1907" s="364"/>
      <c r="BQ1907" s="364"/>
      <c r="BR1907" s="364"/>
      <c r="BS1907" s="364"/>
      <c r="BT1907" s="364"/>
      <c r="BU1907" s="364"/>
      <c r="BV1907" s="364"/>
      <c r="BW1907" s="364"/>
      <c r="BX1907" s="364"/>
      <c r="BY1907" s="364"/>
      <c r="BZ1907" s="387"/>
      <c r="CA1907" s="270"/>
      <c r="CB1907" s="3" t="str">
        <f t="shared" ref="CB1907:CB1970" si="322">+IF(DB1907=0,"Riadok bude skrytý.","Riadok bude vidieť.")</f>
        <v>Riadok bude skrytý.</v>
      </c>
      <c r="CC1907" s="271" t="s">
        <v>832</v>
      </c>
      <c r="CW1907" s="30">
        <f t="shared" si="316"/>
        <v>1</v>
      </c>
      <c r="CX1907" s="30">
        <f t="shared" si="320"/>
        <v>0</v>
      </c>
      <c r="CZ1907" s="30">
        <f t="shared" si="319"/>
        <v>1</v>
      </c>
      <c r="DA1907" s="52">
        <f t="shared" si="321"/>
        <v>0</v>
      </c>
      <c r="DB1907" s="2">
        <f t="shared" si="315"/>
        <v>0</v>
      </c>
      <c r="DS1907" s="130">
        <f>SI!BY1907</f>
        <v>139</v>
      </c>
      <c r="DZ1907" s="131">
        <f>SI!BZ1907</f>
        <v>0</v>
      </c>
    </row>
    <row r="1908" spans="1:130" hidden="1" x14ac:dyDescent="0.25">
      <c r="A1908" s="141"/>
      <c r="B1908" s="1158"/>
      <c r="C1908" s="1159"/>
      <c r="D1908" s="1159"/>
      <c r="E1908" s="1159"/>
      <c r="F1908" s="1159"/>
      <c r="G1908" s="1159"/>
      <c r="H1908" s="1159"/>
      <c r="I1908" s="1159"/>
      <c r="J1908" s="1159"/>
      <c r="K1908" s="1159"/>
      <c r="L1908" s="1159"/>
      <c r="M1908" s="1159"/>
      <c r="N1908" s="1159"/>
      <c r="O1908" s="1159"/>
      <c r="P1908" s="1159"/>
      <c r="Q1908" s="1159"/>
      <c r="R1908" s="1159"/>
      <c r="S1908" s="1159"/>
      <c r="T1908" s="1159"/>
      <c r="U1908" s="1159"/>
      <c r="V1908" s="1159"/>
      <c r="W1908" s="1159"/>
      <c r="X1908" s="1159"/>
      <c r="Y1908" s="1159"/>
      <c r="Z1908" s="1159"/>
      <c r="AA1908" s="1159"/>
      <c r="AB1908" s="1159"/>
      <c r="AC1908" s="1159"/>
      <c r="AD1908" s="1159"/>
      <c r="AE1908" s="1159"/>
      <c r="AF1908" s="1159"/>
      <c r="AG1908" s="1159"/>
      <c r="AH1908" s="1159"/>
      <c r="AI1908" s="1159"/>
      <c r="AJ1908" s="1159"/>
      <c r="AK1908" s="1160"/>
      <c r="AL1908" s="363"/>
      <c r="AM1908" s="364"/>
      <c r="AN1908" s="364"/>
      <c r="AO1908" s="364"/>
      <c r="AP1908" s="364"/>
      <c r="AQ1908" s="364"/>
      <c r="AR1908" s="364"/>
      <c r="AS1908" s="364"/>
      <c r="AT1908" s="364"/>
      <c r="AU1908" s="364"/>
      <c r="AV1908" s="364"/>
      <c r="AW1908" s="364"/>
      <c r="AX1908" s="364"/>
      <c r="AY1908" s="364"/>
      <c r="AZ1908" s="364"/>
      <c r="BA1908" s="364"/>
      <c r="BB1908" s="364"/>
      <c r="BC1908" s="364"/>
      <c r="BD1908" s="364"/>
      <c r="BE1908" s="364"/>
      <c r="BF1908" s="475"/>
      <c r="BG1908" s="363"/>
      <c r="BH1908" s="364"/>
      <c r="BI1908" s="364"/>
      <c r="BJ1908" s="364"/>
      <c r="BK1908" s="364"/>
      <c r="BL1908" s="364"/>
      <c r="BM1908" s="364"/>
      <c r="BN1908" s="364"/>
      <c r="BO1908" s="364"/>
      <c r="BP1908" s="364"/>
      <c r="BQ1908" s="364"/>
      <c r="BR1908" s="364"/>
      <c r="BS1908" s="364"/>
      <c r="BT1908" s="364"/>
      <c r="BU1908" s="364"/>
      <c r="BV1908" s="364"/>
      <c r="BW1908" s="364"/>
      <c r="BX1908" s="364"/>
      <c r="BY1908" s="364"/>
      <c r="BZ1908" s="387"/>
      <c r="CA1908" s="270"/>
      <c r="CB1908" s="3" t="str">
        <f t="shared" si="322"/>
        <v>Riadok bude skrytý.</v>
      </c>
      <c r="CC1908" s="271" t="s">
        <v>832</v>
      </c>
      <c r="CW1908" s="30">
        <f t="shared" si="316"/>
        <v>1</v>
      </c>
      <c r="CX1908" s="30">
        <f t="shared" si="320"/>
        <v>0</v>
      </c>
      <c r="CZ1908" s="30">
        <f t="shared" si="319"/>
        <v>1</v>
      </c>
      <c r="DA1908" s="52">
        <f t="shared" si="321"/>
        <v>0</v>
      </c>
      <c r="DB1908" s="2">
        <f t="shared" si="315"/>
        <v>0</v>
      </c>
      <c r="DS1908" s="130">
        <f>SI!BY1908</f>
        <v>200</v>
      </c>
      <c r="DZ1908" s="131">
        <f>SI!BZ1908</f>
        <v>0</v>
      </c>
    </row>
    <row r="1909" spans="1:130" hidden="1" x14ac:dyDescent="0.25">
      <c r="A1909" s="141"/>
      <c r="B1909" s="1158"/>
      <c r="C1909" s="1159"/>
      <c r="D1909" s="1159"/>
      <c r="E1909" s="1159"/>
      <c r="F1909" s="1159"/>
      <c r="G1909" s="1159"/>
      <c r="H1909" s="1159"/>
      <c r="I1909" s="1159"/>
      <c r="J1909" s="1159"/>
      <c r="K1909" s="1159"/>
      <c r="L1909" s="1159"/>
      <c r="M1909" s="1159"/>
      <c r="N1909" s="1159"/>
      <c r="O1909" s="1159"/>
      <c r="P1909" s="1159"/>
      <c r="Q1909" s="1159"/>
      <c r="R1909" s="1159"/>
      <c r="S1909" s="1159"/>
      <c r="T1909" s="1159"/>
      <c r="U1909" s="1159"/>
      <c r="V1909" s="1159"/>
      <c r="W1909" s="1159"/>
      <c r="X1909" s="1159"/>
      <c r="Y1909" s="1159"/>
      <c r="Z1909" s="1159"/>
      <c r="AA1909" s="1159"/>
      <c r="AB1909" s="1159"/>
      <c r="AC1909" s="1159"/>
      <c r="AD1909" s="1159"/>
      <c r="AE1909" s="1159"/>
      <c r="AF1909" s="1159"/>
      <c r="AG1909" s="1159"/>
      <c r="AH1909" s="1159"/>
      <c r="AI1909" s="1159"/>
      <c r="AJ1909" s="1159"/>
      <c r="AK1909" s="1160"/>
      <c r="AL1909" s="363"/>
      <c r="AM1909" s="364"/>
      <c r="AN1909" s="364"/>
      <c r="AO1909" s="364"/>
      <c r="AP1909" s="364"/>
      <c r="AQ1909" s="364"/>
      <c r="AR1909" s="364"/>
      <c r="AS1909" s="364"/>
      <c r="AT1909" s="364"/>
      <c r="AU1909" s="364"/>
      <c r="AV1909" s="364"/>
      <c r="AW1909" s="364"/>
      <c r="AX1909" s="364"/>
      <c r="AY1909" s="364"/>
      <c r="AZ1909" s="364"/>
      <c r="BA1909" s="364"/>
      <c r="BB1909" s="364"/>
      <c r="BC1909" s="364"/>
      <c r="BD1909" s="364"/>
      <c r="BE1909" s="364"/>
      <c r="BF1909" s="475"/>
      <c r="BG1909" s="363"/>
      <c r="BH1909" s="364"/>
      <c r="BI1909" s="364"/>
      <c r="BJ1909" s="364"/>
      <c r="BK1909" s="364"/>
      <c r="BL1909" s="364"/>
      <c r="BM1909" s="364"/>
      <c r="BN1909" s="364"/>
      <c r="BO1909" s="364"/>
      <c r="BP1909" s="364"/>
      <c r="BQ1909" s="364"/>
      <c r="BR1909" s="364"/>
      <c r="BS1909" s="364"/>
      <c r="BT1909" s="364"/>
      <c r="BU1909" s="364"/>
      <c r="BV1909" s="364"/>
      <c r="BW1909" s="364"/>
      <c r="BX1909" s="364"/>
      <c r="BY1909" s="364"/>
      <c r="BZ1909" s="387"/>
      <c r="CA1909" s="270"/>
      <c r="CB1909" s="3" t="str">
        <f t="shared" si="322"/>
        <v>Riadok bude skrytý.</v>
      </c>
      <c r="CC1909" s="271" t="s">
        <v>832</v>
      </c>
      <c r="CW1909" s="30">
        <f t="shared" si="316"/>
        <v>1</v>
      </c>
      <c r="CX1909" s="30">
        <f t="shared" si="320"/>
        <v>0</v>
      </c>
      <c r="CZ1909" s="30">
        <f t="shared" si="319"/>
        <v>1</v>
      </c>
      <c r="DA1909" s="52">
        <f t="shared" si="321"/>
        <v>0</v>
      </c>
      <c r="DB1909" s="2">
        <f t="shared" si="315"/>
        <v>0</v>
      </c>
      <c r="DS1909" s="130">
        <f>SI!BY1909</f>
        <v>141</v>
      </c>
      <c r="DZ1909" s="131">
        <f>SI!BZ1909</f>
        <v>0</v>
      </c>
    </row>
    <row r="1910" spans="1:130" hidden="1" x14ac:dyDescent="0.25">
      <c r="A1910" s="141"/>
      <c r="B1910" s="1158"/>
      <c r="C1910" s="1159"/>
      <c r="D1910" s="1159"/>
      <c r="E1910" s="1159"/>
      <c r="F1910" s="1159"/>
      <c r="G1910" s="1159"/>
      <c r="H1910" s="1159"/>
      <c r="I1910" s="1159"/>
      <c r="J1910" s="1159"/>
      <c r="K1910" s="1159"/>
      <c r="L1910" s="1159"/>
      <c r="M1910" s="1159"/>
      <c r="N1910" s="1159"/>
      <c r="O1910" s="1159"/>
      <c r="P1910" s="1159"/>
      <c r="Q1910" s="1159"/>
      <c r="R1910" s="1159"/>
      <c r="S1910" s="1159"/>
      <c r="T1910" s="1159"/>
      <c r="U1910" s="1159"/>
      <c r="V1910" s="1159"/>
      <c r="W1910" s="1159"/>
      <c r="X1910" s="1159"/>
      <c r="Y1910" s="1159"/>
      <c r="Z1910" s="1159"/>
      <c r="AA1910" s="1159"/>
      <c r="AB1910" s="1159"/>
      <c r="AC1910" s="1159"/>
      <c r="AD1910" s="1159"/>
      <c r="AE1910" s="1159"/>
      <c r="AF1910" s="1159"/>
      <c r="AG1910" s="1159"/>
      <c r="AH1910" s="1159"/>
      <c r="AI1910" s="1159"/>
      <c r="AJ1910" s="1159"/>
      <c r="AK1910" s="1160"/>
      <c r="AL1910" s="363"/>
      <c r="AM1910" s="364"/>
      <c r="AN1910" s="364"/>
      <c r="AO1910" s="364"/>
      <c r="AP1910" s="364"/>
      <c r="AQ1910" s="364"/>
      <c r="AR1910" s="364"/>
      <c r="AS1910" s="364"/>
      <c r="AT1910" s="364"/>
      <c r="AU1910" s="364"/>
      <c r="AV1910" s="364"/>
      <c r="AW1910" s="364"/>
      <c r="AX1910" s="364"/>
      <c r="AY1910" s="364"/>
      <c r="AZ1910" s="364"/>
      <c r="BA1910" s="364"/>
      <c r="BB1910" s="364"/>
      <c r="BC1910" s="364"/>
      <c r="BD1910" s="364"/>
      <c r="BE1910" s="364"/>
      <c r="BF1910" s="475"/>
      <c r="BG1910" s="363"/>
      <c r="BH1910" s="364"/>
      <c r="BI1910" s="364"/>
      <c r="BJ1910" s="364"/>
      <c r="BK1910" s="364"/>
      <c r="BL1910" s="364"/>
      <c r="BM1910" s="364"/>
      <c r="BN1910" s="364"/>
      <c r="BO1910" s="364"/>
      <c r="BP1910" s="364"/>
      <c r="BQ1910" s="364"/>
      <c r="BR1910" s="364"/>
      <c r="BS1910" s="364"/>
      <c r="BT1910" s="364"/>
      <c r="BU1910" s="364"/>
      <c r="BV1910" s="364"/>
      <c r="BW1910" s="364"/>
      <c r="BX1910" s="364"/>
      <c r="BY1910" s="364"/>
      <c r="BZ1910" s="387"/>
      <c r="CA1910" s="270"/>
      <c r="CB1910" s="3" t="str">
        <f t="shared" si="322"/>
        <v>Riadok bude skrytý.</v>
      </c>
      <c r="CC1910" s="271" t="s">
        <v>832</v>
      </c>
      <c r="CW1910" s="30">
        <f t="shared" si="316"/>
        <v>1</v>
      </c>
      <c r="CX1910" s="30">
        <f t="shared" si="320"/>
        <v>0</v>
      </c>
      <c r="CZ1910" s="30">
        <f t="shared" si="319"/>
        <v>1</v>
      </c>
      <c r="DA1910" s="52">
        <f t="shared" si="321"/>
        <v>0</v>
      </c>
      <c r="DB1910" s="2">
        <f t="shared" si="315"/>
        <v>0</v>
      </c>
      <c r="DS1910" s="130">
        <f>SI!BY1910</f>
        <v>176</v>
      </c>
      <c r="DZ1910" s="131">
        <f>SI!BZ1910</f>
        <v>0</v>
      </c>
    </row>
    <row r="1911" spans="1:130" hidden="1" x14ac:dyDescent="0.25">
      <c r="A1911" s="141"/>
      <c r="B1911" s="1158"/>
      <c r="C1911" s="1159"/>
      <c r="D1911" s="1159"/>
      <c r="E1911" s="1159"/>
      <c r="F1911" s="1159"/>
      <c r="G1911" s="1159"/>
      <c r="H1911" s="1159"/>
      <c r="I1911" s="1159"/>
      <c r="J1911" s="1159"/>
      <c r="K1911" s="1159"/>
      <c r="L1911" s="1159"/>
      <c r="M1911" s="1159"/>
      <c r="N1911" s="1159"/>
      <c r="O1911" s="1159"/>
      <c r="P1911" s="1159"/>
      <c r="Q1911" s="1159"/>
      <c r="R1911" s="1159"/>
      <c r="S1911" s="1159"/>
      <c r="T1911" s="1159"/>
      <c r="U1911" s="1159"/>
      <c r="V1911" s="1159"/>
      <c r="W1911" s="1159"/>
      <c r="X1911" s="1159"/>
      <c r="Y1911" s="1159"/>
      <c r="Z1911" s="1159"/>
      <c r="AA1911" s="1159"/>
      <c r="AB1911" s="1159"/>
      <c r="AC1911" s="1159"/>
      <c r="AD1911" s="1159"/>
      <c r="AE1911" s="1159"/>
      <c r="AF1911" s="1159"/>
      <c r="AG1911" s="1159"/>
      <c r="AH1911" s="1159"/>
      <c r="AI1911" s="1159"/>
      <c r="AJ1911" s="1159"/>
      <c r="AK1911" s="1160"/>
      <c r="AL1911" s="363"/>
      <c r="AM1911" s="364"/>
      <c r="AN1911" s="364"/>
      <c r="AO1911" s="364"/>
      <c r="AP1911" s="364"/>
      <c r="AQ1911" s="364"/>
      <c r="AR1911" s="364"/>
      <c r="AS1911" s="364"/>
      <c r="AT1911" s="364"/>
      <c r="AU1911" s="364"/>
      <c r="AV1911" s="364"/>
      <c r="AW1911" s="364"/>
      <c r="AX1911" s="364"/>
      <c r="AY1911" s="364"/>
      <c r="AZ1911" s="364"/>
      <c r="BA1911" s="364"/>
      <c r="BB1911" s="364"/>
      <c r="BC1911" s="364"/>
      <c r="BD1911" s="364"/>
      <c r="BE1911" s="364"/>
      <c r="BF1911" s="475"/>
      <c r="BG1911" s="363"/>
      <c r="BH1911" s="364"/>
      <c r="BI1911" s="364"/>
      <c r="BJ1911" s="364"/>
      <c r="BK1911" s="364"/>
      <c r="BL1911" s="364"/>
      <c r="BM1911" s="364"/>
      <c r="BN1911" s="364"/>
      <c r="BO1911" s="364"/>
      <c r="BP1911" s="364"/>
      <c r="BQ1911" s="364"/>
      <c r="BR1911" s="364"/>
      <c r="BS1911" s="364"/>
      <c r="BT1911" s="364"/>
      <c r="BU1911" s="364"/>
      <c r="BV1911" s="364"/>
      <c r="BW1911" s="364"/>
      <c r="BX1911" s="364"/>
      <c r="BY1911" s="364"/>
      <c r="BZ1911" s="387"/>
      <c r="CA1911" s="270"/>
      <c r="CB1911" s="3" t="str">
        <f t="shared" si="322"/>
        <v>Riadok bude skrytý.</v>
      </c>
      <c r="CC1911" s="271" t="s">
        <v>832</v>
      </c>
      <c r="CW1911" s="30">
        <f t="shared" si="316"/>
        <v>1</v>
      </c>
      <c r="CX1911" s="30">
        <f t="shared" si="320"/>
        <v>0</v>
      </c>
      <c r="CZ1911" s="30">
        <f t="shared" si="319"/>
        <v>1</v>
      </c>
      <c r="DA1911" s="52">
        <f t="shared" si="321"/>
        <v>0</v>
      </c>
      <c r="DB1911" s="2">
        <f t="shared" si="315"/>
        <v>0</v>
      </c>
      <c r="DS1911" s="130">
        <f>SI!BY1911</f>
        <v>177</v>
      </c>
      <c r="DZ1911" s="131">
        <f>SI!BZ1911</f>
        <v>0</v>
      </c>
    </row>
    <row r="1912" spans="1:130" hidden="1" x14ac:dyDescent="0.25">
      <c r="A1912" s="141"/>
      <c r="B1912" s="1158"/>
      <c r="C1912" s="1159"/>
      <c r="D1912" s="1159"/>
      <c r="E1912" s="1159"/>
      <c r="F1912" s="1159"/>
      <c r="G1912" s="1159"/>
      <c r="H1912" s="1159"/>
      <c r="I1912" s="1159"/>
      <c r="J1912" s="1159"/>
      <c r="K1912" s="1159"/>
      <c r="L1912" s="1159"/>
      <c r="M1912" s="1159"/>
      <c r="N1912" s="1159"/>
      <c r="O1912" s="1159"/>
      <c r="P1912" s="1159"/>
      <c r="Q1912" s="1159"/>
      <c r="R1912" s="1159"/>
      <c r="S1912" s="1159"/>
      <c r="T1912" s="1159"/>
      <c r="U1912" s="1159"/>
      <c r="V1912" s="1159"/>
      <c r="W1912" s="1159"/>
      <c r="X1912" s="1159"/>
      <c r="Y1912" s="1159"/>
      <c r="Z1912" s="1159"/>
      <c r="AA1912" s="1159"/>
      <c r="AB1912" s="1159"/>
      <c r="AC1912" s="1159"/>
      <c r="AD1912" s="1159"/>
      <c r="AE1912" s="1159"/>
      <c r="AF1912" s="1159"/>
      <c r="AG1912" s="1159"/>
      <c r="AH1912" s="1159"/>
      <c r="AI1912" s="1159"/>
      <c r="AJ1912" s="1159"/>
      <c r="AK1912" s="1160"/>
      <c r="AL1912" s="363"/>
      <c r="AM1912" s="364"/>
      <c r="AN1912" s="364"/>
      <c r="AO1912" s="364"/>
      <c r="AP1912" s="364"/>
      <c r="AQ1912" s="364"/>
      <c r="AR1912" s="364"/>
      <c r="AS1912" s="364"/>
      <c r="AT1912" s="364"/>
      <c r="AU1912" s="364"/>
      <c r="AV1912" s="364"/>
      <c r="AW1912" s="364"/>
      <c r="AX1912" s="364"/>
      <c r="AY1912" s="364"/>
      <c r="AZ1912" s="364"/>
      <c r="BA1912" s="364"/>
      <c r="BB1912" s="364"/>
      <c r="BC1912" s="364"/>
      <c r="BD1912" s="364"/>
      <c r="BE1912" s="364"/>
      <c r="BF1912" s="475"/>
      <c r="BG1912" s="363"/>
      <c r="BH1912" s="364"/>
      <c r="BI1912" s="364"/>
      <c r="BJ1912" s="364"/>
      <c r="BK1912" s="364"/>
      <c r="BL1912" s="364"/>
      <c r="BM1912" s="364"/>
      <c r="BN1912" s="364"/>
      <c r="BO1912" s="364"/>
      <c r="BP1912" s="364"/>
      <c r="BQ1912" s="364"/>
      <c r="BR1912" s="364"/>
      <c r="BS1912" s="364"/>
      <c r="BT1912" s="364"/>
      <c r="BU1912" s="364"/>
      <c r="BV1912" s="364"/>
      <c r="BW1912" s="364"/>
      <c r="BX1912" s="364"/>
      <c r="BY1912" s="364"/>
      <c r="BZ1912" s="387"/>
      <c r="CA1912" s="270"/>
      <c r="CB1912" s="3" t="str">
        <f t="shared" si="322"/>
        <v>Riadok bude skrytý.</v>
      </c>
      <c r="CC1912" s="271" t="s">
        <v>832</v>
      </c>
      <c r="CW1912" s="30">
        <f t="shared" si="316"/>
        <v>1</v>
      </c>
      <c r="CX1912" s="30">
        <f t="shared" si="320"/>
        <v>0</v>
      </c>
      <c r="CZ1912" s="30">
        <f t="shared" si="319"/>
        <v>1</v>
      </c>
      <c r="DA1912" s="52">
        <f t="shared" si="321"/>
        <v>0</v>
      </c>
      <c r="DB1912" s="2">
        <f t="shared" si="315"/>
        <v>0</v>
      </c>
      <c r="DS1912" s="130">
        <f>SI!BY1912</f>
        <v>167</v>
      </c>
      <c r="DZ1912" s="131">
        <f>SI!BZ1912</f>
        <v>0</v>
      </c>
    </row>
    <row r="1913" spans="1:130" hidden="1" x14ac:dyDescent="0.25">
      <c r="A1913" s="141"/>
      <c r="B1913" s="1206" t="s">
        <v>700</v>
      </c>
      <c r="C1913" s="1207"/>
      <c r="D1913" s="1207"/>
      <c r="E1913" s="1207"/>
      <c r="F1913" s="1207"/>
      <c r="G1913" s="1207"/>
      <c r="H1913" s="1207"/>
      <c r="I1913" s="1207"/>
      <c r="J1913" s="1207"/>
      <c r="K1913" s="1207"/>
      <c r="L1913" s="1207"/>
      <c r="M1913" s="1207"/>
      <c r="N1913" s="1207"/>
      <c r="O1913" s="1207"/>
      <c r="P1913" s="1207"/>
      <c r="Q1913" s="1207"/>
      <c r="R1913" s="1207"/>
      <c r="S1913" s="1207"/>
      <c r="T1913" s="1207"/>
      <c r="U1913" s="1207"/>
      <c r="V1913" s="1207"/>
      <c r="W1913" s="1207"/>
      <c r="X1913" s="1207"/>
      <c r="Y1913" s="1207"/>
      <c r="Z1913" s="1207"/>
      <c r="AA1913" s="1207"/>
      <c r="AB1913" s="1207"/>
      <c r="AC1913" s="1207"/>
      <c r="AD1913" s="1207"/>
      <c r="AE1913" s="1207"/>
      <c r="AF1913" s="1207"/>
      <c r="AG1913" s="1207"/>
      <c r="AH1913" s="1207"/>
      <c r="AI1913" s="1207"/>
      <c r="AJ1913" s="1207"/>
      <c r="AK1913" s="1208"/>
      <c r="AL1913" s="367"/>
      <c r="AM1913" s="368"/>
      <c r="AN1913" s="368"/>
      <c r="AO1913" s="368"/>
      <c r="AP1913" s="368"/>
      <c r="AQ1913" s="368"/>
      <c r="AR1913" s="368"/>
      <c r="AS1913" s="368"/>
      <c r="AT1913" s="368"/>
      <c r="AU1913" s="368"/>
      <c r="AV1913" s="368"/>
      <c r="AW1913" s="368"/>
      <c r="AX1913" s="368"/>
      <c r="AY1913" s="368"/>
      <c r="AZ1913" s="368"/>
      <c r="BA1913" s="368"/>
      <c r="BB1913" s="368"/>
      <c r="BC1913" s="368"/>
      <c r="BD1913" s="368"/>
      <c r="BE1913" s="368"/>
      <c r="BF1913" s="458"/>
      <c r="BG1913" s="367"/>
      <c r="BH1913" s="368"/>
      <c r="BI1913" s="368"/>
      <c r="BJ1913" s="368"/>
      <c r="BK1913" s="368"/>
      <c r="BL1913" s="368"/>
      <c r="BM1913" s="368"/>
      <c r="BN1913" s="368"/>
      <c r="BO1913" s="368"/>
      <c r="BP1913" s="368"/>
      <c r="BQ1913" s="368"/>
      <c r="BR1913" s="368"/>
      <c r="BS1913" s="368"/>
      <c r="BT1913" s="368"/>
      <c r="BU1913" s="368"/>
      <c r="BV1913" s="368"/>
      <c r="BW1913" s="368"/>
      <c r="BX1913" s="368"/>
      <c r="BY1913" s="368"/>
      <c r="BZ1913" s="438"/>
      <c r="CA1913" s="142"/>
      <c r="CB1913" s="3" t="str">
        <f t="shared" si="322"/>
        <v>Riadok bude skrytý.</v>
      </c>
      <c r="CC1913" s="271" t="s">
        <v>832</v>
      </c>
      <c r="CW1913" s="30">
        <f t="shared" si="316"/>
        <v>1</v>
      </c>
      <c r="CZ1913" s="30">
        <f t="shared" si="319"/>
        <v>1</v>
      </c>
      <c r="DA1913" s="30">
        <f>+IF(CW1913+CX1913+CY1913=0,0,IF(CZ1913=0,0,1))</f>
        <v>1</v>
      </c>
      <c r="DB1913" s="2">
        <f t="shared" si="315"/>
        <v>0</v>
      </c>
      <c r="DS1913" s="130">
        <f>SI!BY1913</f>
        <v>97</v>
      </c>
      <c r="DZ1913" s="131">
        <f>SI!BZ1913</f>
        <v>0</v>
      </c>
    </row>
    <row r="1914" spans="1:130" hidden="1" x14ac:dyDescent="0.25">
      <c r="A1914" s="141"/>
      <c r="B1914" s="401" t="s">
        <v>234</v>
      </c>
      <c r="C1914" s="402"/>
      <c r="D1914" s="402"/>
      <c r="E1914" s="402"/>
      <c r="F1914" s="402"/>
      <c r="G1914" s="402"/>
      <c r="H1914" s="402"/>
      <c r="I1914" s="402"/>
      <c r="J1914" s="402"/>
      <c r="K1914" s="402"/>
      <c r="L1914" s="402"/>
      <c r="M1914" s="402"/>
      <c r="N1914" s="402"/>
      <c r="O1914" s="402"/>
      <c r="P1914" s="402"/>
      <c r="Q1914" s="402"/>
      <c r="R1914" s="402"/>
      <c r="S1914" s="402"/>
      <c r="T1914" s="402"/>
      <c r="U1914" s="402"/>
      <c r="V1914" s="402"/>
      <c r="W1914" s="402"/>
      <c r="X1914" s="402"/>
      <c r="Y1914" s="402"/>
      <c r="Z1914" s="402"/>
      <c r="AA1914" s="402"/>
      <c r="AB1914" s="402"/>
      <c r="AC1914" s="402"/>
      <c r="AD1914" s="402"/>
      <c r="AE1914" s="402"/>
      <c r="AF1914" s="402"/>
      <c r="AG1914" s="402"/>
      <c r="AH1914" s="402"/>
      <c r="AI1914" s="402"/>
      <c r="AJ1914" s="402"/>
      <c r="AK1914" s="776"/>
      <c r="AL1914" s="423">
        <f>+SUM(AL1915:BF1924)</f>
        <v>0</v>
      </c>
      <c r="AM1914" s="424"/>
      <c r="AN1914" s="424"/>
      <c r="AO1914" s="424"/>
      <c r="AP1914" s="424"/>
      <c r="AQ1914" s="424"/>
      <c r="AR1914" s="424"/>
      <c r="AS1914" s="424"/>
      <c r="AT1914" s="424"/>
      <c r="AU1914" s="424"/>
      <c r="AV1914" s="424"/>
      <c r="AW1914" s="424"/>
      <c r="AX1914" s="424"/>
      <c r="AY1914" s="424"/>
      <c r="AZ1914" s="424"/>
      <c r="BA1914" s="424"/>
      <c r="BB1914" s="424"/>
      <c r="BC1914" s="424"/>
      <c r="BD1914" s="424"/>
      <c r="BE1914" s="424"/>
      <c r="BF1914" s="424"/>
      <c r="BG1914" s="710">
        <f>+SUM(BG1915:BZ1924)</f>
        <v>0</v>
      </c>
      <c r="BH1914" s="711"/>
      <c r="BI1914" s="711"/>
      <c r="BJ1914" s="711"/>
      <c r="BK1914" s="711"/>
      <c r="BL1914" s="711"/>
      <c r="BM1914" s="711"/>
      <c r="BN1914" s="711"/>
      <c r="BO1914" s="711"/>
      <c r="BP1914" s="711"/>
      <c r="BQ1914" s="711"/>
      <c r="BR1914" s="711"/>
      <c r="BS1914" s="711"/>
      <c r="BT1914" s="711"/>
      <c r="BU1914" s="711"/>
      <c r="BV1914" s="711"/>
      <c r="BW1914" s="711"/>
      <c r="BX1914" s="711"/>
      <c r="BY1914" s="711"/>
      <c r="BZ1914" s="712"/>
      <c r="CA1914" s="142"/>
      <c r="CB1914" s="3" t="str">
        <f t="shared" si="322"/>
        <v>Riadok bude skrytý.</v>
      </c>
      <c r="CC1914" s="271" t="s">
        <v>832</v>
      </c>
      <c r="CD1914" s="4" t="s">
        <v>757</v>
      </c>
      <c r="CW1914" s="30">
        <f t="shared" si="316"/>
        <v>1</v>
      </c>
      <c r="CX1914" s="35"/>
      <c r="CZ1914" s="30">
        <f t="shared" si="319"/>
        <v>1</v>
      </c>
      <c r="DA1914" s="30">
        <f>+IF(CW1914+CX1914+CY1914=0,0,IF(CZ1914=0,0,1))</f>
        <v>1</v>
      </c>
      <c r="DB1914" s="2">
        <f t="shared" si="315"/>
        <v>0</v>
      </c>
      <c r="DS1914" s="130">
        <f>SI!BY1914</f>
        <v>178</v>
      </c>
      <c r="DZ1914" s="131">
        <f>SI!BZ1914</f>
        <v>0</v>
      </c>
    </row>
    <row r="1915" spans="1:130" hidden="1" x14ac:dyDescent="0.25">
      <c r="A1915" s="141"/>
      <c r="B1915" s="1149"/>
      <c r="C1915" s="1150"/>
      <c r="D1915" s="1150"/>
      <c r="E1915" s="1150"/>
      <c r="F1915" s="1150"/>
      <c r="G1915" s="1150"/>
      <c r="H1915" s="1150"/>
      <c r="I1915" s="1150"/>
      <c r="J1915" s="1150"/>
      <c r="K1915" s="1150"/>
      <c r="L1915" s="1150"/>
      <c r="M1915" s="1150"/>
      <c r="N1915" s="1150"/>
      <c r="O1915" s="1150"/>
      <c r="P1915" s="1150"/>
      <c r="Q1915" s="1150"/>
      <c r="R1915" s="1150"/>
      <c r="S1915" s="1150"/>
      <c r="T1915" s="1150"/>
      <c r="U1915" s="1150"/>
      <c r="V1915" s="1150"/>
      <c r="W1915" s="1150"/>
      <c r="X1915" s="1150"/>
      <c r="Y1915" s="1150"/>
      <c r="Z1915" s="1150"/>
      <c r="AA1915" s="1150"/>
      <c r="AB1915" s="1150"/>
      <c r="AC1915" s="1150"/>
      <c r="AD1915" s="1150"/>
      <c r="AE1915" s="1150"/>
      <c r="AF1915" s="1150"/>
      <c r="AG1915" s="1150"/>
      <c r="AH1915" s="1150"/>
      <c r="AI1915" s="1150"/>
      <c r="AJ1915" s="1150"/>
      <c r="AK1915" s="1151"/>
      <c r="AL1915" s="535"/>
      <c r="AM1915" s="536"/>
      <c r="AN1915" s="536"/>
      <c r="AO1915" s="536"/>
      <c r="AP1915" s="536"/>
      <c r="AQ1915" s="536"/>
      <c r="AR1915" s="536"/>
      <c r="AS1915" s="536"/>
      <c r="AT1915" s="536"/>
      <c r="AU1915" s="536"/>
      <c r="AV1915" s="536"/>
      <c r="AW1915" s="536"/>
      <c r="AX1915" s="536"/>
      <c r="AY1915" s="536"/>
      <c r="AZ1915" s="536"/>
      <c r="BA1915" s="536"/>
      <c r="BB1915" s="536"/>
      <c r="BC1915" s="536"/>
      <c r="BD1915" s="536"/>
      <c r="BE1915" s="536"/>
      <c r="BF1915" s="713"/>
      <c r="BG1915" s="535"/>
      <c r="BH1915" s="536"/>
      <c r="BI1915" s="536"/>
      <c r="BJ1915" s="536"/>
      <c r="BK1915" s="536"/>
      <c r="BL1915" s="536"/>
      <c r="BM1915" s="536"/>
      <c r="BN1915" s="536"/>
      <c r="BO1915" s="536"/>
      <c r="BP1915" s="536"/>
      <c r="BQ1915" s="536"/>
      <c r="BR1915" s="536"/>
      <c r="BS1915" s="536"/>
      <c r="BT1915" s="536"/>
      <c r="BU1915" s="536"/>
      <c r="BV1915" s="536"/>
      <c r="BW1915" s="536"/>
      <c r="BX1915" s="536"/>
      <c r="BY1915" s="536"/>
      <c r="BZ1915" s="537"/>
      <c r="CA1915" s="142"/>
      <c r="CB1915" s="3" t="str">
        <f t="shared" si="322"/>
        <v>Riadok bude skrytý.</v>
      </c>
      <c r="CC1915" s="271" t="s">
        <v>832</v>
      </c>
      <c r="CW1915" s="30">
        <f t="shared" si="316"/>
        <v>1</v>
      </c>
      <c r="CX1915" s="40"/>
      <c r="CZ1915" s="30">
        <f t="shared" si="319"/>
        <v>1</v>
      </c>
      <c r="DA1915" s="30">
        <f>+IF(CW1915+CX1915+CY1915=0,0,IF(CZ1915=0,0,1))</f>
        <v>1</v>
      </c>
      <c r="DB1915" s="2">
        <f t="shared" si="315"/>
        <v>0</v>
      </c>
      <c r="DS1915" s="130">
        <f>SI!BY1915</f>
        <v>651</v>
      </c>
      <c r="DZ1915" s="131">
        <f>SI!BZ1915</f>
        <v>0</v>
      </c>
    </row>
    <row r="1916" spans="1:130" hidden="1" x14ac:dyDescent="0.25">
      <c r="A1916" s="141"/>
      <c r="B1916" s="1158"/>
      <c r="C1916" s="1159"/>
      <c r="D1916" s="1159"/>
      <c r="E1916" s="1159"/>
      <c r="F1916" s="1159"/>
      <c r="G1916" s="1159"/>
      <c r="H1916" s="1159"/>
      <c r="I1916" s="1159"/>
      <c r="J1916" s="1159"/>
      <c r="K1916" s="1159"/>
      <c r="L1916" s="1159"/>
      <c r="M1916" s="1159"/>
      <c r="N1916" s="1159"/>
      <c r="O1916" s="1159"/>
      <c r="P1916" s="1159"/>
      <c r="Q1916" s="1159"/>
      <c r="R1916" s="1159"/>
      <c r="S1916" s="1159"/>
      <c r="T1916" s="1159"/>
      <c r="U1916" s="1159"/>
      <c r="V1916" s="1159"/>
      <c r="W1916" s="1159"/>
      <c r="X1916" s="1159"/>
      <c r="Y1916" s="1159"/>
      <c r="Z1916" s="1159"/>
      <c r="AA1916" s="1159"/>
      <c r="AB1916" s="1159"/>
      <c r="AC1916" s="1159"/>
      <c r="AD1916" s="1159"/>
      <c r="AE1916" s="1159"/>
      <c r="AF1916" s="1159"/>
      <c r="AG1916" s="1159"/>
      <c r="AH1916" s="1159"/>
      <c r="AI1916" s="1159"/>
      <c r="AJ1916" s="1159"/>
      <c r="AK1916" s="1160"/>
      <c r="AL1916" s="363"/>
      <c r="AM1916" s="364"/>
      <c r="AN1916" s="364"/>
      <c r="AO1916" s="364"/>
      <c r="AP1916" s="364"/>
      <c r="AQ1916" s="364"/>
      <c r="AR1916" s="364"/>
      <c r="AS1916" s="364"/>
      <c r="AT1916" s="364"/>
      <c r="AU1916" s="364"/>
      <c r="AV1916" s="364"/>
      <c r="AW1916" s="364"/>
      <c r="AX1916" s="364"/>
      <c r="AY1916" s="364"/>
      <c r="AZ1916" s="364"/>
      <c r="BA1916" s="364"/>
      <c r="BB1916" s="364"/>
      <c r="BC1916" s="364"/>
      <c r="BD1916" s="364"/>
      <c r="BE1916" s="364"/>
      <c r="BF1916" s="475"/>
      <c r="BG1916" s="363"/>
      <c r="BH1916" s="364"/>
      <c r="BI1916" s="364"/>
      <c r="BJ1916" s="364"/>
      <c r="BK1916" s="364"/>
      <c r="BL1916" s="364"/>
      <c r="BM1916" s="364"/>
      <c r="BN1916" s="364"/>
      <c r="BO1916" s="364"/>
      <c r="BP1916" s="364"/>
      <c r="BQ1916" s="364"/>
      <c r="BR1916" s="364"/>
      <c r="BS1916" s="364"/>
      <c r="BT1916" s="364"/>
      <c r="BU1916" s="364"/>
      <c r="BV1916" s="364"/>
      <c r="BW1916" s="364"/>
      <c r="BX1916" s="364"/>
      <c r="BY1916" s="364"/>
      <c r="BZ1916" s="387"/>
      <c r="CA1916" s="270"/>
      <c r="CB1916" s="3" t="str">
        <f t="shared" si="322"/>
        <v>Riadok bude skrytý.</v>
      </c>
      <c r="CC1916" s="271" t="s">
        <v>832</v>
      </c>
      <c r="CW1916" s="30">
        <f t="shared" si="316"/>
        <v>1</v>
      </c>
      <c r="CX1916" s="30">
        <f t="shared" ref="CX1916:CX1923" si="323">+IF(B1916="",0,1)</f>
        <v>0</v>
      </c>
      <c r="CZ1916" s="30">
        <f t="shared" si="319"/>
        <v>1</v>
      </c>
      <c r="DA1916" s="52">
        <f t="shared" ref="DA1916:DA1923" si="324">+IF(CW1916*CX1916=0,0,IF(CZ1916=0,0,1))</f>
        <v>0</v>
      </c>
      <c r="DB1916" s="2">
        <f t="shared" si="315"/>
        <v>0</v>
      </c>
      <c r="DS1916" s="130">
        <f>SI!BY1916</f>
        <v>133</v>
      </c>
      <c r="DZ1916" s="131">
        <f>SI!BZ1916</f>
        <v>0</v>
      </c>
    </row>
    <row r="1917" spans="1:130" hidden="1" x14ac:dyDescent="0.25">
      <c r="A1917" s="141"/>
      <c r="B1917" s="1158"/>
      <c r="C1917" s="1159"/>
      <c r="D1917" s="1159"/>
      <c r="E1917" s="1159"/>
      <c r="F1917" s="1159"/>
      <c r="G1917" s="1159"/>
      <c r="H1917" s="1159"/>
      <c r="I1917" s="1159"/>
      <c r="J1917" s="1159"/>
      <c r="K1917" s="1159"/>
      <c r="L1917" s="1159"/>
      <c r="M1917" s="1159"/>
      <c r="N1917" s="1159"/>
      <c r="O1917" s="1159"/>
      <c r="P1917" s="1159"/>
      <c r="Q1917" s="1159"/>
      <c r="R1917" s="1159"/>
      <c r="S1917" s="1159"/>
      <c r="T1917" s="1159"/>
      <c r="U1917" s="1159"/>
      <c r="V1917" s="1159"/>
      <c r="W1917" s="1159"/>
      <c r="X1917" s="1159"/>
      <c r="Y1917" s="1159"/>
      <c r="Z1917" s="1159"/>
      <c r="AA1917" s="1159"/>
      <c r="AB1917" s="1159"/>
      <c r="AC1917" s="1159"/>
      <c r="AD1917" s="1159"/>
      <c r="AE1917" s="1159"/>
      <c r="AF1917" s="1159"/>
      <c r="AG1917" s="1159"/>
      <c r="AH1917" s="1159"/>
      <c r="AI1917" s="1159"/>
      <c r="AJ1917" s="1159"/>
      <c r="AK1917" s="1160"/>
      <c r="AL1917" s="363"/>
      <c r="AM1917" s="364"/>
      <c r="AN1917" s="364"/>
      <c r="AO1917" s="364"/>
      <c r="AP1917" s="364"/>
      <c r="AQ1917" s="364"/>
      <c r="AR1917" s="364"/>
      <c r="AS1917" s="364"/>
      <c r="AT1917" s="364"/>
      <c r="AU1917" s="364"/>
      <c r="AV1917" s="364"/>
      <c r="AW1917" s="364"/>
      <c r="AX1917" s="364"/>
      <c r="AY1917" s="364"/>
      <c r="AZ1917" s="364"/>
      <c r="BA1917" s="364"/>
      <c r="BB1917" s="364"/>
      <c r="BC1917" s="364"/>
      <c r="BD1917" s="364"/>
      <c r="BE1917" s="364"/>
      <c r="BF1917" s="475"/>
      <c r="BG1917" s="363"/>
      <c r="BH1917" s="364"/>
      <c r="BI1917" s="364"/>
      <c r="BJ1917" s="364"/>
      <c r="BK1917" s="364"/>
      <c r="BL1917" s="364"/>
      <c r="BM1917" s="364"/>
      <c r="BN1917" s="364"/>
      <c r="BO1917" s="364"/>
      <c r="BP1917" s="364"/>
      <c r="BQ1917" s="364"/>
      <c r="BR1917" s="364"/>
      <c r="BS1917" s="364"/>
      <c r="BT1917" s="364"/>
      <c r="BU1917" s="364"/>
      <c r="BV1917" s="364"/>
      <c r="BW1917" s="364"/>
      <c r="BX1917" s="364"/>
      <c r="BY1917" s="364"/>
      <c r="BZ1917" s="387"/>
      <c r="CA1917" s="270"/>
      <c r="CB1917" s="3" t="str">
        <f t="shared" si="322"/>
        <v>Riadok bude skrytý.</v>
      </c>
      <c r="CC1917" s="271" t="s">
        <v>832</v>
      </c>
      <c r="CW1917" s="30">
        <f t="shared" si="316"/>
        <v>1</v>
      </c>
      <c r="CX1917" s="30">
        <f t="shared" si="323"/>
        <v>0</v>
      </c>
      <c r="CZ1917" s="30">
        <f t="shared" si="319"/>
        <v>1</v>
      </c>
      <c r="DA1917" s="52">
        <f t="shared" si="324"/>
        <v>0</v>
      </c>
      <c r="DB1917" s="2">
        <f t="shared" si="315"/>
        <v>0</v>
      </c>
      <c r="DS1917" s="130">
        <f>SI!BY1917</f>
        <v>1047</v>
      </c>
      <c r="DZ1917" s="131">
        <f>SI!BZ1917</f>
        <v>0</v>
      </c>
    </row>
    <row r="1918" spans="1:130" hidden="1" x14ac:dyDescent="0.25">
      <c r="A1918" s="141"/>
      <c r="B1918" s="1158"/>
      <c r="C1918" s="1159"/>
      <c r="D1918" s="1159"/>
      <c r="E1918" s="1159"/>
      <c r="F1918" s="1159"/>
      <c r="G1918" s="1159"/>
      <c r="H1918" s="1159"/>
      <c r="I1918" s="1159"/>
      <c r="J1918" s="1159"/>
      <c r="K1918" s="1159"/>
      <c r="L1918" s="1159"/>
      <c r="M1918" s="1159"/>
      <c r="N1918" s="1159"/>
      <c r="O1918" s="1159"/>
      <c r="P1918" s="1159"/>
      <c r="Q1918" s="1159"/>
      <c r="R1918" s="1159"/>
      <c r="S1918" s="1159"/>
      <c r="T1918" s="1159"/>
      <c r="U1918" s="1159"/>
      <c r="V1918" s="1159"/>
      <c r="W1918" s="1159"/>
      <c r="X1918" s="1159"/>
      <c r="Y1918" s="1159"/>
      <c r="Z1918" s="1159"/>
      <c r="AA1918" s="1159"/>
      <c r="AB1918" s="1159"/>
      <c r="AC1918" s="1159"/>
      <c r="AD1918" s="1159"/>
      <c r="AE1918" s="1159"/>
      <c r="AF1918" s="1159"/>
      <c r="AG1918" s="1159"/>
      <c r="AH1918" s="1159"/>
      <c r="AI1918" s="1159"/>
      <c r="AJ1918" s="1159"/>
      <c r="AK1918" s="1160"/>
      <c r="AL1918" s="363"/>
      <c r="AM1918" s="364"/>
      <c r="AN1918" s="364"/>
      <c r="AO1918" s="364"/>
      <c r="AP1918" s="364"/>
      <c r="AQ1918" s="364"/>
      <c r="AR1918" s="364"/>
      <c r="AS1918" s="364"/>
      <c r="AT1918" s="364"/>
      <c r="AU1918" s="364"/>
      <c r="AV1918" s="364"/>
      <c r="AW1918" s="364"/>
      <c r="AX1918" s="364"/>
      <c r="AY1918" s="364"/>
      <c r="AZ1918" s="364"/>
      <c r="BA1918" s="364"/>
      <c r="BB1918" s="364"/>
      <c r="BC1918" s="364"/>
      <c r="BD1918" s="364"/>
      <c r="BE1918" s="364"/>
      <c r="BF1918" s="475"/>
      <c r="BG1918" s="363"/>
      <c r="BH1918" s="364"/>
      <c r="BI1918" s="364"/>
      <c r="BJ1918" s="364"/>
      <c r="BK1918" s="364"/>
      <c r="BL1918" s="364"/>
      <c r="BM1918" s="364"/>
      <c r="BN1918" s="364"/>
      <c r="BO1918" s="364"/>
      <c r="BP1918" s="364"/>
      <c r="BQ1918" s="364"/>
      <c r="BR1918" s="364"/>
      <c r="BS1918" s="364"/>
      <c r="BT1918" s="364"/>
      <c r="BU1918" s="364"/>
      <c r="BV1918" s="364"/>
      <c r="BW1918" s="364"/>
      <c r="BX1918" s="364"/>
      <c r="BY1918" s="364"/>
      <c r="BZ1918" s="387"/>
      <c r="CA1918" s="270"/>
      <c r="CB1918" s="3" t="str">
        <f t="shared" si="322"/>
        <v>Riadok bude skrytý.</v>
      </c>
      <c r="CC1918" s="271" t="s">
        <v>832</v>
      </c>
      <c r="CW1918" s="30">
        <f t="shared" si="316"/>
        <v>1</v>
      </c>
      <c r="CX1918" s="30">
        <f t="shared" si="323"/>
        <v>0</v>
      </c>
      <c r="CZ1918" s="30">
        <f t="shared" si="319"/>
        <v>1</v>
      </c>
      <c r="DA1918" s="52">
        <f t="shared" si="324"/>
        <v>0</v>
      </c>
      <c r="DB1918" s="2">
        <f t="shared" si="315"/>
        <v>0</v>
      </c>
      <c r="DS1918" s="130">
        <f>SI!BY1918</f>
        <v>165</v>
      </c>
      <c r="DZ1918" s="131">
        <f>SI!BZ1918</f>
        <v>0</v>
      </c>
    </row>
    <row r="1919" spans="1:130" hidden="1" x14ac:dyDescent="0.25">
      <c r="A1919" s="141"/>
      <c r="B1919" s="1158"/>
      <c r="C1919" s="1159"/>
      <c r="D1919" s="1159"/>
      <c r="E1919" s="1159"/>
      <c r="F1919" s="1159"/>
      <c r="G1919" s="1159"/>
      <c r="H1919" s="1159"/>
      <c r="I1919" s="1159"/>
      <c r="J1919" s="1159"/>
      <c r="K1919" s="1159"/>
      <c r="L1919" s="1159"/>
      <c r="M1919" s="1159"/>
      <c r="N1919" s="1159"/>
      <c r="O1919" s="1159"/>
      <c r="P1919" s="1159"/>
      <c r="Q1919" s="1159"/>
      <c r="R1919" s="1159"/>
      <c r="S1919" s="1159"/>
      <c r="T1919" s="1159"/>
      <c r="U1919" s="1159"/>
      <c r="V1919" s="1159"/>
      <c r="W1919" s="1159"/>
      <c r="X1919" s="1159"/>
      <c r="Y1919" s="1159"/>
      <c r="Z1919" s="1159"/>
      <c r="AA1919" s="1159"/>
      <c r="AB1919" s="1159"/>
      <c r="AC1919" s="1159"/>
      <c r="AD1919" s="1159"/>
      <c r="AE1919" s="1159"/>
      <c r="AF1919" s="1159"/>
      <c r="AG1919" s="1159"/>
      <c r="AH1919" s="1159"/>
      <c r="AI1919" s="1159"/>
      <c r="AJ1919" s="1159"/>
      <c r="AK1919" s="1160"/>
      <c r="AL1919" s="363"/>
      <c r="AM1919" s="364"/>
      <c r="AN1919" s="364"/>
      <c r="AO1919" s="364"/>
      <c r="AP1919" s="364"/>
      <c r="AQ1919" s="364"/>
      <c r="AR1919" s="364"/>
      <c r="AS1919" s="364"/>
      <c r="AT1919" s="364"/>
      <c r="AU1919" s="364"/>
      <c r="AV1919" s="364"/>
      <c r="AW1919" s="364"/>
      <c r="AX1919" s="364"/>
      <c r="AY1919" s="364"/>
      <c r="AZ1919" s="364"/>
      <c r="BA1919" s="364"/>
      <c r="BB1919" s="364"/>
      <c r="BC1919" s="364"/>
      <c r="BD1919" s="364"/>
      <c r="BE1919" s="364"/>
      <c r="BF1919" s="475"/>
      <c r="BG1919" s="363"/>
      <c r="BH1919" s="364"/>
      <c r="BI1919" s="364"/>
      <c r="BJ1919" s="364"/>
      <c r="BK1919" s="364"/>
      <c r="BL1919" s="364"/>
      <c r="BM1919" s="364"/>
      <c r="BN1919" s="364"/>
      <c r="BO1919" s="364"/>
      <c r="BP1919" s="364"/>
      <c r="BQ1919" s="364"/>
      <c r="BR1919" s="364"/>
      <c r="BS1919" s="364"/>
      <c r="BT1919" s="364"/>
      <c r="BU1919" s="364"/>
      <c r="BV1919" s="364"/>
      <c r="BW1919" s="364"/>
      <c r="BX1919" s="364"/>
      <c r="BY1919" s="364"/>
      <c r="BZ1919" s="387"/>
      <c r="CA1919" s="270"/>
      <c r="CB1919" s="3" t="str">
        <f t="shared" si="322"/>
        <v>Riadok bude skrytý.</v>
      </c>
      <c r="CC1919" s="271" t="s">
        <v>832</v>
      </c>
      <c r="CW1919" s="30">
        <f t="shared" si="316"/>
        <v>1</v>
      </c>
      <c r="CX1919" s="30">
        <f t="shared" si="323"/>
        <v>0</v>
      </c>
      <c r="CZ1919" s="30">
        <f t="shared" si="319"/>
        <v>1</v>
      </c>
      <c r="DA1919" s="52">
        <f t="shared" si="324"/>
        <v>0</v>
      </c>
      <c r="DB1919" s="2">
        <f t="shared" si="315"/>
        <v>0</v>
      </c>
      <c r="DS1919" s="130">
        <f>SI!BY1919</f>
        <v>1030</v>
      </c>
      <c r="DZ1919" s="131">
        <f>SI!BZ1919</f>
        <v>0</v>
      </c>
    </row>
    <row r="1920" spans="1:130" hidden="1" x14ac:dyDescent="0.25">
      <c r="A1920" s="141"/>
      <c r="B1920" s="1158"/>
      <c r="C1920" s="1159"/>
      <c r="D1920" s="1159"/>
      <c r="E1920" s="1159"/>
      <c r="F1920" s="1159"/>
      <c r="G1920" s="1159"/>
      <c r="H1920" s="1159"/>
      <c r="I1920" s="1159"/>
      <c r="J1920" s="1159"/>
      <c r="K1920" s="1159"/>
      <c r="L1920" s="1159"/>
      <c r="M1920" s="1159"/>
      <c r="N1920" s="1159"/>
      <c r="O1920" s="1159"/>
      <c r="P1920" s="1159"/>
      <c r="Q1920" s="1159"/>
      <c r="R1920" s="1159"/>
      <c r="S1920" s="1159"/>
      <c r="T1920" s="1159"/>
      <c r="U1920" s="1159"/>
      <c r="V1920" s="1159"/>
      <c r="W1920" s="1159"/>
      <c r="X1920" s="1159"/>
      <c r="Y1920" s="1159"/>
      <c r="Z1920" s="1159"/>
      <c r="AA1920" s="1159"/>
      <c r="AB1920" s="1159"/>
      <c r="AC1920" s="1159"/>
      <c r="AD1920" s="1159"/>
      <c r="AE1920" s="1159"/>
      <c r="AF1920" s="1159"/>
      <c r="AG1920" s="1159"/>
      <c r="AH1920" s="1159"/>
      <c r="AI1920" s="1159"/>
      <c r="AJ1920" s="1159"/>
      <c r="AK1920" s="1160"/>
      <c r="AL1920" s="363"/>
      <c r="AM1920" s="364"/>
      <c r="AN1920" s="364"/>
      <c r="AO1920" s="364"/>
      <c r="AP1920" s="364"/>
      <c r="AQ1920" s="364"/>
      <c r="AR1920" s="364"/>
      <c r="AS1920" s="364"/>
      <c r="AT1920" s="364"/>
      <c r="AU1920" s="364"/>
      <c r="AV1920" s="364"/>
      <c r="AW1920" s="364"/>
      <c r="AX1920" s="364"/>
      <c r="AY1920" s="364"/>
      <c r="AZ1920" s="364"/>
      <c r="BA1920" s="364"/>
      <c r="BB1920" s="364"/>
      <c r="BC1920" s="364"/>
      <c r="BD1920" s="364"/>
      <c r="BE1920" s="364"/>
      <c r="BF1920" s="475"/>
      <c r="BG1920" s="363"/>
      <c r="BH1920" s="364"/>
      <c r="BI1920" s="364"/>
      <c r="BJ1920" s="364"/>
      <c r="BK1920" s="364"/>
      <c r="BL1920" s="364"/>
      <c r="BM1920" s="364"/>
      <c r="BN1920" s="364"/>
      <c r="BO1920" s="364"/>
      <c r="BP1920" s="364"/>
      <c r="BQ1920" s="364"/>
      <c r="BR1920" s="364"/>
      <c r="BS1920" s="364"/>
      <c r="BT1920" s="364"/>
      <c r="BU1920" s="364"/>
      <c r="BV1920" s="364"/>
      <c r="BW1920" s="364"/>
      <c r="BX1920" s="364"/>
      <c r="BY1920" s="364"/>
      <c r="BZ1920" s="387"/>
      <c r="CA1920" s="270"/>
      <c r="CB1920" s="3" t="str">
        <f t="shared" si="322"/>
        <v>Riadok bude skrytý.</v>
      </c>
      <c r="CC1920" s="271" t="s">
        <v>832</v>
      </c>
      <c r="CW1920" s="30">
        <f t="shared" ref="CW1920:CW1951" si="325">+IF($J$1886="neeviduje",0,1)</f>
        <v>1</v>
      </c>
      <c r="CX1920" s="30">
        <f t="shared" si="323"/>
        <v>0</v>
      </c>
      <c r="CZ1920" s="30">
        <f t="shared" si="319"/>
        <v>1</v>
      </c>
      <c r="DA1920" s="52">
        <f t="shared" si="324"/>
        <v>0</v>
      </c>
      <c r="DB1920" s="2">
        <f t="shared" si="315"/>
        <v>0</v>
      </c>
      <c r="DS1920" s="130">
        <f>SI!BY1920</f>
        <v>153</v>
      </c>
      <c r="DZ1920" s="131">
        <f>SI!BZ1920</f>
        <v>0</v>
      </c>
    </row>
    <row r="1921" spans="1:130" hidden="1" x14ac:dyDescent="0.25">
      <c r="A1921" s="141"/>
      <c r="B1921" s="1158"/>
      <c r="C1921" s="1159"/>
      <c r="D1921" s="1159"/>
      <c r="E1921" s="1159"/>
      <c r="F1921" s="1159"/>
      <c r="G1921" s="1159"/>
      <c r="H1921" s="1159"/>
      <c r="I1921" s="1159"/>
      <c r="J1921" s="1159"/>
      <c r="K1921" s="1159"/>
      <c r="L1921" s="1159"/>
      <c r="M1921" s="1159"/>
      <c r="N1921" s="1159"/>
      <c r="O1921" s="1159"/>
      <c r="P1921" s="1159"/>
      <c r="Q1921" s="1159"/>
      <c r="R1921" s="1159"/>
      <c r="S1921" s="1159"/>
      <c r="T1921" s="1159"/>
      <c r="U1921" s="1159"/>
      <c r="V1921" s="1159"/>
      <c r="W1921" s="1159"/>
      <c r="X1921" s="1159"/>
      <c r="Y1921" s="1159"/>
      <c r="Z1921" s="1159"/>
      <c r="AA1921" s="1159"/>
      <c r="AB1921" s="1159"/>
      <c r="AC1921" s="1159"/>
      <c r="AD1921" s="1159"/>
      <c r="AE1921" s="1159"/>
      <c r="AF1921" s="1159"/>
      <c r="AG1921" s="1159"/>
      <c r="AH1921" s="1159"/>
      <c r="AI1921" s="1159"/>
      <c r="AJ1921" s="1159"/>
      <c r="AK1921" s="1160"/>
      <c r="AL1921" s="363"/>
      <c r="AM1921" s="364"/>
      <c r="AN1921" s="364"/>
      <c r="AO1921" s="364"/>
      <c r="AP1921" s="364"/>
      <c r="AQ1921" s="364"/>
      <c r="AR1921" s="364"/>
      <c r="AS1921" s="364"/>
      <c r="AT1921" s="364"/>
      <c r="AU1921" s="364"/>
      <c r="AV1921" s="364"/>
      <c r="AW1921" s="364"/>
      <c r="AX1921" s="364"/>
      <c r="AY1921" s="364"/>
      <c r="AZ1921" s="364"/>
      <c r="BA1921" s="364"/>
      <c r="BB1921" s="364"/>
      <c r="BC1921" s="364"/>
      <c r="BD1921" s="364"/>
      <c r="BE1921" s="364"/>
      <c r="BF1921" s="475"/>
      <c r="BG1921" s="363"/>
      <c r="BH1921" s="364"/>
      <c r="BI1921" s="364"/>
      <c r="BJ1921" s="364"/>
      <c r="BK1921" s="364"/>
      <c r="BL1921" s="364"/>
      <c r="BM1921" s="364"/>
      <c r="BN1921" s="364"/>
      <c r="BO1921" s="364"/>
      <c r="BP1921" s="364"/>
      <c r="BQ1921" s="364"/>
      <c r="BR1921" s="364"/>
      <c r="BS1921" s="364"/>
      <c r="BT1921" s="364"/>
      <c r="BU1921" s="364"/>
      <c r="BV1921" s="364"/>
      <c r="BW1921" s="364"/>
      <c r="BX1921" s="364"/>
      <c r="BY1921" s="364"/>
      <c r="BZ1921" s="387"/>
      <c r="CA1921" s="270"/>
      <c r="CB1921" s="3" t="str">
        <f t="shared" si="322"/>
        <v>Riadok bude skrytý.</v>
      </c>
      <c r="CC1921" s="271" t="s">
        <v>832</v>
      </c>
      <c r="CW1921" s="30">
        <f t="shared" si="325"/>
        <v>1</v>
      </c>
      <c r="CX1921" s="30">
        <f t="shared" si="323"/>
        <v>0</v>
      </c>
      <c r="CZ1921" s="30">
        <f t="shared" si="319"/>
        <v>1</v>
      </c>
      <c r="DA1921" s="52">
        <f t="shared" si="324"/>
        <v>0</v>
      </c>
      <c r="DB1921" s="2">
        <f t="shared" si="315"/>
        <v>0</v>
      </c>
      <c r="DS1921" s="130">
        <f>SI!BY1921</f>
        <v>153</v>
      </c>
      <c r="DZ1921" s="131">
        <f>SI!BZ1921</f>
        <v>0</v>
      </c>
    </row>
    <row r="1922" spans="1:130" hidden="1" x14ac:dyDescent="0.25">
      <c r="A1922" s="141"/>
      <c r="B1922" s="1158"/>
      <c r="C1922" s="1159"/>
      <c r="D1922" s="1159"/>
      <c r="E1922" s="1159"/>
      <c r="F1922" s="1159"/>
      <c r="G1922" s="1159"/>
      <c r="H1922" s="1159"/>
      <c r="I1922" s="1159"/>
      <c r="J1922" s="1159"/>
      <c r="K1922" s="1159"/>
      <c r="L1922" s="1159"/>
      <c r="M1922" s="1159"/>
      <c r="N1922" s="1159"/>
      <c r="O1922" s="1159"/>
      <c r="P1922" s="1159"/>
      <c r="Q1922" s="1159"/>
      <c r="R1922" s="1159"/>
      <c r="S1922" s="1159"/>
      <c r="T1922" s="1159"/>
      <c r="U1922" s="1159"/>
      <c r="V1922" s="1159"/>
      <c r="W1922" s="1159"/>
      <c r="X1922" s="1159"/>
      <c r="Y1922" s="1159"/>
      <c r="Z1922" s="1159"/>
      <c r="AA1922" s="1159"/>
      <c r="AB1922" s="1159"/>
      <c r="AC1922" s="1159"/>
      <c r="AD1922" s="1159"/>
      <c r="AE1922" s="1159"/>
      <c r="AF1922" s="1159"/>
      <c r="AG1922" s="1159"/>
      <c r="AH1922" s="1159"/>
      <c r="AI1922" s="1159"/>
      <c r="AJ1922" s="1159"/>
      <c r="AK1922" s="1160"/>
      <c r="AL1922" s="363"/>
      <c r="AM1922" s="364"/>
      <c r="AN1922" s="364"/>
      <c r="AO1922" s="364"/>
      <c r="AP1922" s="364"/>
      <c r="AQ1922" s="364"/>
      <c r="AR1922" s="364"/>
      <c r="AS1922" s="364"/>
      <c r="AT1922" s="364"/>
      <c r="AU1922" s="364"/>
      <c r="AV1922" s="364"/>
      <c r="AW1922" s="364"/>
      <c r="AX1922" s="364"/>
      <c r="AY1922" s="364"/>
      <c r="AZ1922" s="364"/>
      <c r="BA1922" s="364"/>
      <c r="BB1922" s="364"/>
      <c r="BC1922" s="364"/>
      <c r="BD1922" s="364"/>
      <c r="BE1922" s="364"/>
      <c r="BF1922" s="475"/>
      <c r="BG1922" s="363"/>
      <c r="BH1922" s="364"/>
      <c r="BI1922" s="364"/>
      <c r="BJ1922" s="364"/>
      <c r="BK1922" s="364"/>
      <c r="BL1922" s="364"/>
      <c r="BM1922" s="364"/>
      <c r="BN1922" s="364"/>
      <c r="BO1922" s="364"/>
      <c r="BP1922" s="364"/>
      <c r="BQ1922" s="364"/>
      <c r="BR1922" s="364"/>
      <c r="BS1922" s="364"/>
      <c r="BT1922" s="364"/>
      <c r="BU1922" s="364"/>
      <c r="BV1922" s="364"/>
      <c r="BW1922" s="364"/>
      <c r="BX1922" s="364"/>
      <c r="BY1922" s="364"/>
      <c r="BZ1922" s="387"/>
      <c r="CA1922" s="270"/>
      <c r="CB1922" s="3" t="str">
        <f t="shared" si="322"/>
        <v>Riadok bude skrytý.</v>
      </c>
      <c r="CC1922" s="271" t="s">
        <v>832</v>
      </c>
      <c r="CW1922" s="30">
        <f t="shared" si="325"/>
        <v>1</v>
      </c>
      <c r="CX1922" s="30">
        <f t="shared" si="323"/>
        <v>0</v>
      </c>
      <c r="CZ1922" s="30">
        <f t="shared" si="319"/>
        <v>1</v>
      </c>
      <c r="DA1922" s="52">
        <f t="shared" si="324"/>
        <v>0</v>
      </c>
      <c r="DB1922" s="2">
        <f t="shared" si="315"/>
        <v>0</v>
      </c>
      <c r="DS1922" s="130">
        <f>SI!BY1922</f>
        <v>175</v>
      </c>
      <c r="DZ1922" s="131">
        <f>SI!BZ1922</f>
        <v>0</v>
      </c>
    </row>
    <row r="1923" spans="1:130" hidden="1" x14ac:dyDescent="0.25">
      <c r="A1923" s="141"/>
      <c r="B1923" s="1158"/>
      <c r="C1923" s="1159"/>
      <c r="D1923" s="1159"/>
      <c r="E1923" s="1159"/>
      <c r="F1923" s="1159"/>
      <c r="G1923" s="1159"/>
      <c r="H1923" s="1159"/>
      <c r="I1923" s="1159"/>
      <c r="J1923" s="1159"/>
      <c r="K1923" s="1159"/>
      <c r="L1923" s="1159"/>
      <c r="M1923" s="1159"/>
      <c r="N1923" s="1159"/>
      <c r="O1923" s="1159"/>
      <c r="P1923" s="1159"/>
      <c r="Q1923" s="1159"/>
      <c r="R1923" s="1159"/>
      <c r="S1923" s="1159"/>
      <c r="T1923" s="1159"/>
      <c r="U1923" s="1159"/>
      <c r="V1923" s="1159"/>
      <c r="W1923" s="1159"/>
      <c r="X1923" s="1159"/>
      <c r="Y1923" s="1159"/>
      <c r="Z1923" s="1159"/>
      <c r="AA1923" s="1159"/>
      <c r="AB1923" s="1159"/>
      <c r="AC1923" s="1159"/>
      <c r="AD1923" s="1159"/>
      <c r="AE1923" s="1159"/>
      <c r="AF1923" s="1159"/>
      <c r="AG1923" s="1159"/>
      <c r="AH1923" s="1159"/>
      <c r="AI1923" s="1159"/>
      <c r="AJ1923" s="1159"/>
      <c r="AK1923" s="1160"/>
      <c r="AL1923" s="363"/>
      <c r="AM1923" s="364"/>
      <c r="AN1923" s="364"/>
      <c r="AO1923" s="364"/>
      <c r="AP1923" s="364"/>
      <c r="AQ1923" s="364"/>
      <c r="AR1923" s="364"/>
      <c r="AS1923" s="364"/>
      <c r="AT1923" s="364"/>
      <c r="AU1923" s="364"/>
      <c r="AV1923" s="364"/>
      <c r="AW1923" s="364"/>
      <c r="AX1923" s="364"/>
      <c r="AY1923" s="364"/>
      <c r="AZ1923" s="364"/>
      <c r="BA1923" s="364"/>
      <c r="BB1923" s="364"/>
      <c r="BC1923" s="364"/>
      <c r="BD1923" s="364"/>
      <c r="BE1923" s="364"/>
      <c r="BF1923" s="475"/>
      <c r="BG1923" s="363"/>
      <c r="BH1923" s="364"/>
      <c r="BI1923" s="364"/>
      <c r="BJ1923" s="364"/>
      <c r="BK1923" s="364"/>
      <c r="BL1923" s="364"/>
      <c r="BM1923" s="364"/>
      <c r="BN1923" s="364"/>
      <c r="BO1923" s="364"/>
      <c r="BP1923" s="364"/>
      <c r="BQ1923" s="364"/>
      <c r="BR1923" s="364"/>
      <c r="BS1923" s="364"/>
      <c r="BT1923" s="364"/>
      <c r="BU1923" s="364"/>
      <c r="BV1923" s="364"/>
      <c r="BW1923" s="364"/>
      <c r="BX1923" s="364"/>
      <c r="BY1923" s="364"/>
      <c r="BZ1923" s="387"/>
      <c r="CA1923" s="270"/>
      <c r="CB1923" s="3" t="str">
        <f t="shared" si="322"/>
        <v>Riadok bude skrytý.</v>
      </c>
      <c r="CC1923" s="271" t="s">
        <v>832</v>
      </c>
      <c r="CW1923" s="30">
        <f t="shared" si="325"/>
        <v>1</v>
      </c>
      <c r="CX1923" s="30">
        <f t="shared" si="323"/>
        <v>0</v>
      </c>
      <c r="CZ1923" s="30">
        <f t="shared" si="319"/>
        <v>1</v>
      </c>
      <c r="DA1923" s="52">
        <f t="shared" si="324"/>
        <v>0</v>
      </c>
      <c r="DB1923" s="2">
        <f t="shared" si="315"/>
        <v>0</v>
      </c>
      <c r="DS1923" s="130">
        <f>SI!BY1923</f>
        <v>794</v>
      </c>
      <c r="DZ1923" s="131">
        <f>SI!BZ1923</f>
        <v>0</v>
      </c>
    </row>
    <row r="1924" spans="1:130" hidden="1" x14ac:dyDescent="0.25">
      <c r="A1924" s="141"/>
      <c r="B1924" s="1206" t="s">
        <v>700</v>
      </c>
      <c r="C1924" s="1207"/>
      <c r="D1924" s="1207"/>
      <c r="E1924" s="1207"/>
      <c r="F1924" s="1207"/>
      <c r="G1924" s="1207"/>
      <c r="H1924" s="1207"/>
      <c r="I1924" s="1207"/>
      <c r="J1924" s="1207"/>
      <c r="K1924" s="1207"/>
      <c r="L1924" s="1207"/>
      <c r="M1924" s="1207"/>
      <c r="N1924" s="1207"/>
      <c r="O1924" s="1207"/>
      <c r="P1924" s="1207"/>
      <c r="Q1924" s="1207"/>
      <c r="R1924" s="1207"/>
      <c r="S1924" s="1207"/>
      <c r="T1924" s="1207"/>
      <c r="U1924" s="1207"/>
      <c r="V1924" s="1207"/>
      <c r="W1924" s="1207"/>
      <c r="X1924" s="1207"/>
      <c r="Y1924" s="1207"/>
      <c r="Z1924" s="1207"/>
      <c r="AA1924" s="1207"/>
      <c r="AB1924" s="1207"/>
      <c r="AC1924" s="1207"/>
      <c r="AD1924" s="1207"/>
      <c r="AE1924" s="1207"/>
      <c r="AF1924" s="1207"/>
      <c r="AG1924" s="1207"/>
      <c r="AH1924" s="1207"/>
      <c r="AI1924" s="1207"/>
      <c r="AJ1924" s="1207"/>
      <c r="AK1924" s="1208"/>
      <c r="AL1924" s="367"/>
      <c r="AM1924" s="368"/>
      <c r="AN1924" s="368"/>
      <c r="AO1924" s="368"/>
      <c r="AP1924" s="368"/>
      <c r="AQ1924" s="368"/>
      <c r="AR1924" s="368"/>
      <c r="AS1924" s="368"/>
      <c r="AT1924" s="368"/>
      <c r="AU1924" s="368"/>
      <c r="AV1924" s="368"/>
      <c r="AW1924" s="368"/>
      <c r="AX1924" s="368"/>
      <c r="AY1924" s="368"/>
      <c r="AZ1924" s="368"/>
      <c r="BA1924" s="368"/>
      <c r="BB1924" s="368"/>
      <c r="BC1924" s="368"/>
      <c r="BD1924" s="368"/>
      <c r="BE1924" s="368"/>
      <c r="BF1924" s="458"/>
      <c r="BG1924" s="367"/>
      <c r="BH1924" s="368"/>
      <c r="BI1924" s="368"/>
      <c r="BJ1924" s="368"/>
      <c r="BK1924" s="368"/>
      <c r="BL1924" s="368"/>
      <c r="BM1924" s="368"/>
      <c r="BN1924" s="368"/>
      <c r="BO1924" s="368"/>
      <c r="BP1924" s="368"/>
      <c r="BQ1924" s="368"/>
      <c r="BR1924" s="368"/>
      <c r="BS1924" s="368"/>
      <c r="BT1924" s="368"/>
      <c r="BU1924" s="368"/>
      <c r="BV1924" s="368"/>
      <c r="BW1924" s="368"/>
      <c r="BX1924" s="368"/>
      <c r="BY1924" s="368"/>
      <c r="BZ1924" s="438"/>
      <c r="CA1924" s="142"/>
      <c r="CB1924" s="3" t="str">
        <f t="shared" si="322"/>
        <v>Riadok bude skrytý.</v>
      </c>
      <c r="CC1924" s="271" t="s">
        <v>832</v>
      </c>
      <c r="CW1924" s="30">
        <f t="shared" si="325"/>
        <v>1</v>
      </c>
      <c r="CZ1924" s="30">
        <f t="shared" si="319"/>
        <v>1</v>
      </c>
      <c r="DA1924" s="30">
        <f>+IF(CW1924+CX1924+CY1924=0,0,IF(CZ1924=0,0,1))</f>
        <v>1</v>
      </c>
      <c r="DB1924" s="2">
        <f t="shared" si="315"/>
        <v>0</v>
      </c>
      <c r="DS1924" s="130">
        <f>SI!BY1924</f>
        <v>633</v>
      </c>
      <c r="DZ1924" s="131">
        <f>SI!BZ1924</f>
        <v>0</v>
      </c>
    </row>
    <row r="1925" spans="1:130" hidden="1" x14ac:dyDescent="0.25">
      <c r="A1925" s="141"/>
      <c r="B1925" s="401" t="s">
        <v>235</v>
      </c>
      <c r="C1925" s="402"/>
      <c r="D1925" s="402"/>
      <c r="E1925" s="402"/>
      <c r="F1925" s="402"/>
      <c r="G1925" s="402"/>
      <c r="H1925" s="402"/>
      <c r="I1925" s="402"/>
      <c r="J1925" s="402"/>
      <c r="K1925" s="402"/>
      <c r="L1925" s="402"/>
      <c r="M1925" s="402"/>
      <c r="N1925" s="402"/>
      <c r="O1925" s="402"/>
      <c r="P1925" s="402"/>
      <c r="Q1925" s="402"/>
      <c r="R1925" s="402"/>
      <c r="S1925" s="402"/>
      <c r="T1925" s="402"/>
      <c r="U1925" s="402"/>
      <c r="V1925" s="402"/>
      <c r="W1925" s="402"/>
      <c r="X1925" s="402"/>
      <c r="Y1925" s="402"/>
      <c r="Z1925" s="402"/>
      <c r="AA1925" s="402"/>
      <c r="AB1925" s="402"/>
      <c r="AC1925" s="402"/>
      <c r="AD1925" s="402"/>
      <c r="AE1925" s="402"/>
      <c r="AF1925" s="402"/>
      <c r="AG1925" s="402"/>
      <c r="AH1925" s="402"/>
      <c r="AI1925" s="402"/>
      <c r="AJ1925" s="402"/>
      <c r="AK1925" s="776"/>
      <c r="AL1925" s="423">
        <f>+SUM(AL1926:BF1935)</f>
        <v>0</v>
      </c>
      <c r="AM1925" s="424"/>
      <c r="AN1925" s="424"/>
      <c r="AO1925" s="424"/>
      <c r="AP1925" s="424"/>
      <c r="AQ1925" s="424"/>
      <c r="AR1925" s="424"/>
      <c r="AS1925" s="424"/>
      <c r="AT1925" s="424"/>
      <c r="AU1925" s="424"/>
      <c r="AV1925" s="424"/>
      <c r="AW1925" s="424"/>
      <c r="AX1925" s="424"/>
      <c r="AY1925" s="424"/>
      <c r="AZ1925" s="424"/>
      <c r="BA1925" s="424"/>
      <c r="BB1925" s="424"/>
      <c r="BC1925" s="424"/>
      <c r="BD1925" s="424"/>
      <c r="BE1925" s="424"/>
      <c r="BF1925" s="424"/>
      <c r="BG1925" s="710">
        <f>+SUM(BG1926:BZ1935)</f>
        <v>0</v>
      </c>
      <c r="BH1925" s="711"/>
      <c r="BI1925" s="711"/>
      <c r="BJ1925" s="711"/>
      <c r="BK1925" s="711"/>
      <c r="BL1925" s="711"/>
      <c r="BM1925" s="711"/>
      <c r="BN1925" s="711"/>
      <c r="BO1925" s="711"/>
      <c r="BP1925" s="711"/>
      <c r="BQ1925" s="711"/>
      <c r="BR1925" s="711"/>
      <c r="BS1925" s="711"/>
      <c r="BT1925" s="711"/>
      <c r="BU1925" s="711"/>
      <c r="BV1925" s="711"/>
      <c r="BW1925" s="711"/>
      <c r="BX1925" s="711"/>
      <c r="BY1925" s="711"/>
      <c r="BZ1925" s="712"/>
      <c r="CA1925" s="142"/>
      <c r="CB1925" s="3" t="str">
        <f t="shared" si="322"/>
        <v>Riadok bude skrytý.</v>
      </c>
      <c r="CC1925" s="271" t="s">
        <v>832</v>
      </c>
      <c r="CD1925" s="4" t="s">
        <v>757</v>
      </c>
      <c r="CW1925" s="30">
        <f t="shared" si="325"/>
        <v>1</v>
      </c>
      <c r="CX1925" s="35"/>
      <c r="CZ1925" s="30">
        <f t="shared" si="319"/>
        <v>1</v>
      </c>
      <c r="DA1925" s="30">
        <f>+IF(CW1925+CX1925+CY1925=0,0,IF(CZ1925=0,0,1))</f>
        <v>1</v>
      </c>
      <c r="DB1925" s="2">
        <f t="shared" si="315"/>
        <v>0</v>
      </c>
      <c r="DS1925" s="130">
        <f>SI!BY1925</f>
        <v>174</v>
      </c>
      <c r="DZ1925" s="131">
        <f>SI!BZ1925</f>
        <v>0</v>
      </c>
    </row>
    <row r="1926" spans="1:130" hidden="1" x14ac:dyDescent="0.25">
      <c r="A1926" s="141"/>
      <c r="B1926" s="1149"/>
      <c r="C1926" s="1150"/>
      <c r="D1926" s="1150"/>
      <c r="E1926" s="1150"/>
      <c r="F1926" s="1150"/>
      <c r="G1926" s="1150"/>
      <c r="H1926" s="1150"/>
      <c r="I1926" s="1150"/>
      <c r="J1926" s="1150"/>
      <c r="K1926" s="1150"/>
      <c r="L1926" s="1150"/>
      <c r="M1926" s="1150"/>
      <c r="N1926" s="1150"/>
      <c r="O1926" s="1150"/>
      <c r="P1926" s="1150"/>
      <c r="Q1926" s="1150"/>
      <c r="R1926" s="1150"/>
      <c r="S1926" s="1150"/>
      <c r="T1926" s="1150"/>
      <c r="U1926" s="1150"/>
      <c r="V1926" s="1150"/>
      <c r="W1926" s="1150"/>
      <c r="X1926" s="1150"/>
      <c r="Y1926" s="1150"/>
      <c r="Z1926" s="1150"/>
      <c r="AA1926" s="1150"/>
      <c r="AB1926" s="1150"/>
      <c r="AC1926" s="1150"/>
      <c r="AD1926" s="1150"/>
      <c r="AE1926" s="1150"/>
      <c r="AF1926" s="1150"/>
      <c r="AG1926" s="1150"/>
      <c r="AH1926" s="1150"/>
      <c r="AI1926" s="1150"/>
      <c r="AJ1926" s="1150"/>
      <c r="AK1926" s="1151"/>
      <c r="AL1926" s="535"/>
      <c r="AM1926" s="536"/>
      <c r="AN1926" s="536"/>
      <c r="AO1926" s="536"/>
      <c r="AP1926" s="536"/>
      <c r="AQ1926" s="536"/>
      <c r="AR1926" s="536"/>
      <c r="AS1926" s="536"/>
      <c r="AT1926" s="536"/>
      <c r="AU1926" s="536"/>
      <c r="AV1926" s="536"/>
      <c r="AW1926" s="536"/>
      <c r="AX1926" s="536"/>
      <c r="AY1926" s="536"/>
      <c r="AZ1926" s="536"/>
      <c r="BA1926" s="536"/>
      <c r="BB1926" s="536"/>
      <c r="BC1926" s="536"/>
      <c r="BD1926" s="536"/>
      <c r="BE1926" s="536"/>
      <c r="BF1926" s="713"/>
      <c r="BG1926" s="535"/>
      <c r="BH1926" s="536"/>
      <c r="BI1926" s="536"/>
      <c r="BJ1926" s="536"/>
      <c r="BK1926" s="536"/>
      <c r="BL1926" s="536"/>
      <c r="BM1926" s="536"/>
      <c r="BN1926" s="536"/>
      <c r="BO1926" s="536"/>
      <c r="BP1926" s="536"/>
      <c r="BQ1926" s="536"/>
      <c r="BR1926" s="536"/>
      <c r="BS1926" s="536"/>
      <c r="BT1926" s="536"/>
      <c r="BU1926" s="536"/>
      <c r="BV1926" s="536"/>
      <c r="BW1926" s="536"/>
      <c r="BX1926" s="536"/>
      <c r="BY1926" s="536"/>
      <c r="BZ1926" s="537"/>
      <c r="CA1926" s="142"/>
      <c r="CB1926" s="3" t="str">
        <f t="shared" si="322"/>
        <v>Riadok bude skrytý.</v>
      </c>
      <c r="CC1926" s="271" t="s">
        <v>832</v>
      </c>
      <c r="CW1926" s="30">
        <f t="shared" si="325"/>
        <v>1</v>
      </c>
      <c r="CX1926" s="40"/>
      <c r="CZ1926" s="30">
        <f t="shared" si="319"/>
        <v>1</v>
      </c>
      <c r="DA1926" s="30">
        <f>+IF(CW1926+CX1926+CY1926=0,0,IF(CZ1926=0,0,1))</f>
        <v>1</v>
      </c>
      <c r="DB1926" s="2">
        <f t="shared" si="315"/>
        <v>0</v>
      </c>
      <c r="DS1926" s="130">
        <f>SI!BY1926</f>
        <v>564</v>
      </c>
      <c r="DZ1926" s="131">
        <f>SI!BZ1926</f>
        <v>0</v>
      </c>
    </row>
    <row r="1927" spans="1:130" hidden="1" x14ac:dyDescent="0.25">
      <c r="A1927" s="141"/>
      <c r="B1927" s="1158"/>
      <c r="C1927" s="1159"/>
      <c r="D1927" s="1159"/>
      <c r="E1927" s="1159"/>
      <c r="F1927" s="1159"/>
      <c r="G1927" s="1159"/>
      <c r="H1927" s="1159"/>
      <c r="I1927" s="1159"/>
      <c r="J1927" s="1159"/>
      <c r="K1927" s="1159"/>
      <c r="L1927" s="1159"/>
      <c r="M1927" s="1159"/>
      <c r="N1927" s="1159"/>
      <c r="O1927" s="1159"/>
      <c r="P1927" s="1159"/>
      <c r="Q1927" s="1159"/>
      <c r="R1927" s="1159"/>
      <c r="S1927" s="1159"/>
      <c r="T1927" s="1159"/>
      <c r="U1927" s="1159"/>
      <c r="V1927" s="1159"/>
      <c r="W1927" s="1159"/>
      <c r="X1927" s="1159"/>
      <c r="Y1927" s="1159"/>
      <c r="Z1927" s="1159"/>
      <c r="AA1927" s="1159"/>
      <c r="AB1927" s="1159"/>
      <c r="AC1927" s="1159"/>
      <c r="AD1927" s="1159"/>
      <c r="AE1927" s="1159"/>
      <c r="AF1927" s="1159"/>
      <c r="AG1927" s="1159"/>
      <c r="AH1927" s="1159"/>
      <c r="AI1927" s="1159"/>
      <c r="AJ1927" s="1159"/>
      <c r="AK1927" s="1160"/>
      <c r="AL1927" s="363"/>
      <c r="AM1927" s="364"/>
      <c r="AN1927" s="364"/>
      <c r="AO1927" s="364"/>
      <c r="AP1927" s="364"/>
      <c r="AQ1927" s="364"/>
      <c r="AR1927" s="364"/>
      <c r="AS1927" s="364"/>
      <c r="AT1927" s="364"/>
      <c r="AU1927" s="364"/>
      <c r="AV1927" s="364"/>
      <c r="AW1927" s="364"/>
      <c r="AX1927" s="364"/>
      <c r="AY1927" s="364"/>
      <c r="AZ1927" s="364"/>
      <c r="BA1927" s="364"/>
      <c r="BB1927" s="364"/>
      <c r="BC1927" s="364"/>
      <c r="BD1927" s="364"/>
      <c r="BE1927" s="364"/>
      <c r="BF1927" s="475"/>
      <c r="BG1927" s="363"/>
      <c r="BH1927" s="364"/>
      <c r="BI1927" s="364"/>
      <c r="BJ1927" s="364"/>
      <c r="BK1927" s="364"/>
      <c r="BL1927" s="364"/>
      <c r="BM1927" s="364"/>
      <c r="BN1927" s="364"/>
      <c r="BO1927" s="364"/>
      <c r="BP1927" s="364"/>
      <c r="BQ1927" s="364"/>
      <c r="BR1927" s="364"/>
      <c r="BS1927" s="364"/>
      <c r="BT1927" s="364"/>
      <c r="BU1927" s="364"/>
      <c r="BV1927" s="364"/>
      <c r="BW1927" s="364"/>
      <c r="BX1927" s="364"/>
      <c r="BY1927" s="364"/>
      <c r="BZ1927" s="387"/>
      <c r="CA1927" s="270"/>
      <c r="CB1927" s="3" t="str">
        <f t="shared" si="322"/>
        <v>Riadok bude skrytý.</v>
      </c>
      <c r="CC1927" s="271" t="s">
        <v>832</v>
      </c>
      <c r="CW1927" s="30">
        <f t="shared" si="325"/>
        <v>1</v>
      </c>
      <c r="CX1927" s="30">
        <f t="shared" ref="CX1927:CX1934" si="326">+IF(B1927="",0,1)</f>
        <v>0</v>
      </c>
      <c r="CZ1927" s="30">
        <f t="shared" si="319"/>
        <v>1</v>
      </c>
      <c r="DA1927" s="52">
        <f t="shared" ref="DA1927:DA1934" si="327">+IF(CW1927*CX1927=0,0,IF(CZ1927=0,0,1))</f>
        <v>0</v>
      </c>
      <c r="DB1927" s="2">
        <f t="shared" si="315"/>
        <v>0</v>
      </c>
      <c r="DS1927" s="130">
        <f>SI!BY1927</f>
        <v>148</v>
      </c>
      <c r="DZ1927" s="131">
        <f>SI!BZ1927</f>
        <v>0</v>
      </c>
    </row>
    <row r="1928" spans="1:130" hidden="1" x14ac:dyDescent="0.25">
      <c r="A1928" s="141"/>
      <c r="B1928" s="1158"/>
      <c r="C1928" s="1159"/>
      <c r="D1928" s="1159"/>
      <c r="E1928" s="1159"/>
      <c r="F1928" s="1159"/>
      <c r="G1928" s="1159"/>
      <c r="H1928" s="1159"/>
      <c r="I1928" s="1159"/>
      <c r="J1928" s="1159"/>
      <c r="K1928" s="1159"/>
      <c r="L1928" s="1159"/>
      <c r="M1928" s="1159"/>
      <c r="N1928" s="1159"/>
      <c r="O1928" s="1159"/>
      <c r="P1928" s="1159"/>
      <c r="Q1928" s="1159"/>
      <c r="R1928" s="1159"/>
      <c r="S1928" s="1159"/>
      <c r="T1928" s="1159"/>
      <c r="U1928" s="1159"/>
      <c r="V1928" s="1159"/>
      <c r="W1928" s="1159"/>
      <c r="X1928" s="1159"/>
      <c r="Y1928" s="1159"/>
      <c r="Z1928" s="1159"/>
      <c r="AA1928" s="1159"/>
      <c r="AB1928" s="1159"/>
      <c r="AC1928" s="1159"/>
      <c r="AD1928" s="1159"/>
      <c r="AE1928" s="1159"/>
      <c r="AF1928" s="1159"/>
      <c r="AG1928" s="1159"/>
      <c r="AH1928" s="1159"/>
      <c r="AI1928" s="1159"/>
      <c r="AJ1928" s="1159"/>
      <c r="AK1928" s="1160"/>
      <c r="AL1928" s="363"/>
      <c r="AM1928" s="364"/>
      <c r="AN1928" s="364"/>
      <c r="AO1928" s="364"/>
      <c r="AP1928" s="364"/>
      <c r="AQ1928" s="364"/>
      <c r="AR1928" s="364"/>
      <c r="AS1928" s="364"/>
      <c r="AT1928" s="364"/>
      <c r="AU1928" s="364"/>
      <c r="AV1928" s="364"/>
      <c r="AW1928" s="364"/>
      <c r="AX1928" s="364"/>
      <c r="AY1928" s="364"/>
      <c r="AZ1928" s="364"/>
      <c r="BA1928" s="364"/>
      <c r="BB1928" s="364"/>
      <c r="BC1928" s="364"/>
      <c r="BD1928" s="364"/>
      <c r="BE1928" s="364"/>
      <c r="BF1928" s="475"/>
      <c r="BG1928" s="363"/>
      <c r="BH1928" s="364"/>
      <c r="BI1928" s="364"/>
      <c r="BJ1928" s="364"/>
      <c r="BK1928" s="364"/>
      <c r="BL1928" s="364"/>
      <c r="BM1928" s="364"/>
      <c r="BN1928" s="364"/>
      <c r="BO1928" s="364"/>
      <c r="BP1928" s="364"/>
      <c r="BQ1928" s="364"/>
      <c r="BR1928" s="364"/>
      <c r="BS1928" s="364"/>
      <c r="BT1928" s="364"/>
      <c r="BU1928" s="364"/>
      <c r="BV1928" s="364"/>
      <c r="BW1928" s="364"/>
      <c r="BX1928" s="364"/>
      <c r="BY1928" s="364"/>
      <c r="BZ1928" s="387"/>
      <c r="CA1928" s="270"/>
      <c r="CB1928" s="3" t="str">
        <f t="shared" si="322"/>
        <v>Riadok bude skrytý.</v>
      </c>
      <c r="CC1928" s="271" t="s">
        <v>832</v>
      </c>
      <c r="CW1928" s="30">
        <f t="shared" si="325"/>
        <v>1</v>
      </c>
      <c r="CX1928" s="30">
        <f t="shared" si="326"/>
        <v>0</v>
      </c>
      <c r="CZ1928" s="30">
        <f t="shared" si="319"/>
        <v>1</v>
      </c>
      <c r="DA1928" s="52">
        <f t="shared" si="327"/>
        <v>0</v>
      </c>
      <c r="DB1928" s="2">
        <f t="shared" si="315"/>
        <v>0</v>
      </c>
      <c r="DS1928" s="130">
        <f>SI!BY1928</f>
        <v>193</v>
      </c>
      <c r="DZ1928" s="131">
        <f>SI!BZ1928</f>
        <v>0</v>
      </c>
    </row>
    <row r="1929" spans="1:130" hidden="1" x14ac:dyDescent="0.25">
      <c r="A1929" s="141"/>
      <c r="B1929" s="1158"/>
      <c r="C1929" s="1159"/>
      <c r="D1929" s="1159"/>
      <c r="E1929" s="1159"/>
      <c r="F1929" s="1159"/>
      <c r="G1929" s="1159"/>
      <c r="H1929" s="1159"/>
      <c r="I1929" s="1159"/>
      <c r="J1929" s="1159"/>
      <c r="K1929" s="1159"/>
      <c r="L1929" s="1159"/>
      <c r="M1929" s="1159"/>
      <c r="N1929" s="1159"/>
      <c r="O1929" s="1159"/>
      <c r="P1929" s="1159"/>
      <c r="Q1929" s="1159"/>
      <c r="R1929" s="1159"/>
      <c r="S1929" s="1159"/>
      <c r="T1929" s="1159"/>
      <c r="U1929" s="1159"/>
      <c r="V1929" s="1159"/>
      <c r="W1929" s="1159"/>
      <c r="X1929" s="1159"/>
      <c r="Y1929" s="1159"/>
      <c r="Z1929" s="1159"/>
      <c r="AA1929" s="1159"/>
      <c r="AB1929" s="1159"/>
      <c r="AC1929" s="1159"/>
      <c r="AD1929" s="1159"/>
      <c r="AE1929" s="1159"/>
      <c r="AF1929" s="1159"/>
      <c r="AG1929" s="1159"/>
      <c r="AH1929" s="1159"/>
      <c r="AI1929" s="1159"/>
      <c r="AJ1929" s="1159"/>
      <c r="AK1929" s="1160"/>
      <c r="AL1929" s="363"/>
      <c r="AM1929" s="364"/>
      <c r="AN1929" s="364"/>
      <c r="AO1929" s="364"/>
      <c r="AP1929" s="364"/>
      <c r="AQ1929" s="364"/>
      <c r="AR1929" s="364"/>
      <c r="AS1929" s="364"/>
      <c r="AT1929" s="364"/>
      <c r="AU1929" s="364"/>
      <c r="AV1929" s="364"/>
      <c r="AW1929" s="364"/>
      <c r="AX1929" s="364"/>
      <c r="AY1929" s="364"/>
      <c r="AZ1929" s="364"/>
      <c r="BA1929" s="364"/>
      <c r="BB1929" s="364"/>
      <c r="BC1929" s="364"/>
      <c r="BD1929" s="364"/>
      <c r="BE1929" s="364"/>
      <c r="BF1929" s="475"/>
      <c r="BG1929" s="363"/>
      <c r="BH1929" s="364"/>
      <c r="BI1929" s="364"/>
      <c r="BJ1929" s="364"/>
      <c r="BK1929" s="364"/>
      <c r="BL1929" s="364"/>
      <c r="BM1929" s="364"/>
      <c r="BN1929" s="364"/>
      <c r="BO1929" s="364"/>
      <c r="BP1929" s="364"/>
      <c r="BQ1929" s="364"/>
      <c r="BR1929" s="364"/>
      <c r="BS1929" s="364"/>
      <c r="BT1929" s="364"/>
      <c r="BU1929" s="364"/>
      <c r="BV1929" s="364"/>
      <c r="BW1929" s="364"/>
      <c r="BX1929" s="364"/>
      <c r="BY1929" s="364"/>
      <c r="BZ1929" s="387"/>
      <c r="CA1929" s="270"/>
      <c r="CB1929" s="3" t="str">
        <f t="shared" si="322"/>
        <v>Riadok bude skrytý.</v>
      </c>
      <c r="CC1929" s="271" t="s">
        <v>832</v>
      </c>
      <c r="CW1929" s="30">
        <f t="shared" si="325"/>
        <v>1</v>
      </c>
      <c r="CX1929" s="30">
        <f t="shared" si="326"/>
        <v>0</v>
      </c>
      <c r="CZ1929" s="30">
        <f t="shared" si="319"/>
        <v>1</v>
      </c>
      <c r="DA1929" s="52">
        <f t="shared" si="327"/>
        <v>0</v>
      </c>
      <c r="DB1929" s="2">
        <f t="shared" si="315"/>
        <v>0</v>
      </c>
      <c r="DS1929" s="130">
        <f>SI!BY1929</f>
        <v>133</v>
      </c>
      <c r="DZ1929" s="131">
        <f>SI!BZ1929</f>
        <v>0</v>
      </c>
    </row>
    <row r="1930" spans="1:130" hidden="1" x14ac:dyDescent="0.25">
      <c r="A1930" s="141"/>
      <c r="B1930" s="1158"/>
      <c r="C1930" s="1159"/>
      <c r="D1930" s="1159"/>
      <c r="E1930" s="1159"/>
      <c r="F1930" s="1159"/>
      <c r="G1930" s="1159"/>
      <c r="H1930" s="1159"/>
      <c r="I1930" s="1159"/>
      <c r="J1930" s="1159"/>
      <c r="K1930" s="1159"/>
      <c r="L1930" s="1159"/>
      <c r="M1930" s="1159"/>
      <c r="N1930" s="1159"/>
      <c r="O1930" s="1159"/>
      <c r="P1930" s="1159"/>
      <c r="Q1930" s="1159"/>
      <c r="R1930" s="1159"/>
      <c r="S1930" s="1159"/>
      <c r="T1930" s="1159"/>
      <c r="U1930" s="1159"/>
      <c r="V1930" s="1159"/>
      <c r="W1930" s="1159"/>
      <c r="X1930" s="1159"/>
      <c r="Y1930" s="1159"/>
      <c r="Z1930" s="1159"/>
      <c r="AA1930" s="1159"/>
      <c r="AB1930" s="1159"/>
      <c r="AC1930" s="1159"/>
      <c r="AD1930" s="1159"/>
      <c r="AE1930" s="1159"/>
      <c r="AF1930" s="1159"/>
      <c r="AG1930" s="1159"/>
      <c r="AH1930" s="1159"/>
      <c r="AI1930" s="1159"/>
      <c r="AJ1930" s="1159"/>
      <c r="AK1930" s="1160"/>
      <c r="AL1930" s="363"/>
      <c r="AM1930" s="364"/>
      <c r="AN1930" s="364"/>
      <c r="AO1930" s="364"/>
      <c r="AP1930" s="364"/>
      <c r="AQ1930" s="364"/>
      <c r="AR1930" s="364"/>
      <c r="AS1930" s="364"/>
      <c r="AT1930" s="364"/>
      <c r="AU1930" s="364"/>
      <c r="AV1930" s="364"/>
      <c r="AW1930" s="364"/>
      <c r="AX1930" s="364"/>
      <c r="AY1930" s="364"/>
      <c r="AZ1930" s="364"/>
      <c r="BA1930" s="364"/>
      <c r="BB1930" s="364"/>
      <c r="BC1930" s="364"/>
      <c r="BD1930" s="364"/>
      <c r="BE1930" s="364"/>
      <c r="BF1930" s="475"/>
      <c r="BG1930" s="363"/>
      <c r="BH1930" s="364"/>
      <c r="BI1930" s="364"/>
      <c r="BJ1930" s="364"/>
      <c r="BK1930" s="364"/>
      <c r="BL1930" s="364"/>
      <c r="BM1930" s="364"/>
      <c r="BN1930" s="364"/>
      <c r="BO1930" s="364"/>
      <c r="BP1930" s="364"/>
      <c r="BQ1930" s="364"/>
      <c r="BR1930" s="364"/>
      <c r="BS1930" s="364"/>
      <c r="BT1930" s="364"/>
      <c r="BU1930" s="364"/>
      <c r="BV1930" s="364"/>
      <c r="BW1930" s="364"/>
      <c r="BX1930" s="364"/>
      <c r="BY1930" s="364"/>
      <c r="BZ1930" s="387"/>
      <c r="CA1930" s="270"/>
      <c r="CB1930" s="3" t="str">
        <f t="shared" si="322"/>
        <v>Riadok bude skrytý.</v>
      </c>
      <c r="CC1930" s="271" t="s">
        <v>832</v>
      </c>
      <c r="CW1930" s="30">
        <f t="shared" si="325"/>
        <v>1</v>
      </c>
      <c r="CX1930" s="30">
        <f t="shared" si="326"/>
        <v>0</v>
      </c>
      <c r="CZ1930" s="30">
        <f t="shared" si="319"/>
        <v>1</v>
      </c>
      <c r="DA1930" s="52">
        <f t="shared" si="327"/>
        <v>0</v>
      </c>
      <c r="DB1930" s="2">
        <f t="shared" si="315"/>
        <v>0</v>
      </c>
      <c r="DS1930" s="130">
        <f>SI!BY1930</f>
        <v>859</v>
      </c>
      <c r="DZ1930" s="131">
        <f>SI!BZ1930</f>
        <v>0</v>
      </c>
    </row>
    <row r="1931" spans="1:130" hidden="1" x14ac:dyDescent="0.25">
      <c r="A1931" s="141"/>
      <c r="B1931" s="1158"/>
      <c r="C1931" s="1159"/>
      <c r="D1931" s="1159"/>
      <c r="E1931" s="1159"/>
      <c r="F1931" s="1159"/>
      <c r="G1931" s="1159"/>
      <c r="H1931" s="1159"/>
      <c r="I1931" s="1159"/>
      <c r="J1931" s="1159"/>
      <c r="K1931" s="1159"/>
      <c r="L1931" s="1159"/>
      <c r="M1931" s="1159"/>
      <c r="N1931" s="1159"/>
      <c r="O1931" s="1159"/>
      <c r="P1931" s="1159"/>
      <c r="Q1931" s="1159"/>
      <c r="R1931" s="1159"/>
      <c r="S1931" s="1159"/>
      <c r="T1931" s="1159"/>
      <c r="U1931" s="1159"/>
      <c r="V1931" s="1159"/>
      <c r="W1931" s="1159"/>
      <c r="X1931" s="1159"/>
      <c r="Y1931" s="1159"/>
      <c r="Z1931" s="1159"/>
      <c r="AA1931" s="1159"/>
      <c r="AB1931" s="1159"/>
      <c r="AC1931" s="1159"/>
      <c r="AD1931" s="1159"/>
      <c r="AE1931" s="1159"/>
      <c r="AF1931" s="1159"/>
      <c r="AG1931" s="1159"/>
      <c r="AH1931" s="1159"/>
      <c r="AI1931" s="1159"/>
      <c r="AJ1931" s="1159"/>
      <c r="AK1931" s="1160"/>
      <c r="AL1931" s="363"/>
      <c r="AM1931" s="364"/>
      <c r="AN1931" s="364"/>
      <c r="AO1931" s="364"/>
      <c r="AP1931" s="364"/>
      <c r="AQ1931" s="364"/>
      <c r="AR1931" s="364"/>
      <c r="AS1931" s="364"/>
      <c r="AT1931" s="364"/>
      <c r="AU1931" s="364"/>
      <c r="AV1931" s="364"/>
      <c r="AW1931" s="364"/>
      <c r="AX1931" s="364"/>
      <c r="AY1931" s="364"/>
      <c r="AZ1931" s="364"/>
      <c r="BA1931" s="364"/>
      <c r="BB1931" s="364"/>
      <c r="BC1931" s="364"/>
      <c r="BD1931" s="364"/>
      <c r="BE1931" s="364"/>
      <c r="BF1931" s="475"/>
      <c r="BG1931" s="363"/>
      <c r="BH1931" s="364"/>
      <c r="BI1931" s="364"/>
      <c r="BJ1931" s="364"/>
      <c r="BK1931" s="364"/>
      <c r="BL1931" s="364"/>
      <c r="BM1931" s="364"/>
      <c r="BN1931" s="364"/>
      <c r="BO1931" s="364"/>
      <c r="BP1931" s="364"/>
      <c r="BQ1931" s="364"/>
      <c r="BR1931" s="364"/>
      <c r="BS1931" s="364"/>
      <c r="BT1931" s="364"/>
      <c r="BU1931" s="364"/>
      <c r="BV1931" s="364"/>
      <c r="BW1931" s="364"/>
      <c r="BX1931" s="364"/>
      <c r="BY1931" s="364"/>
      <c r="BZ1931" s="387"/>
      <c r="CA1931" s="270"/>
      <c r="CB1931" s="3" t="str">
        <f t="shared" si="322"/>
        <v>Riadok bude skrytý.</v>
      </c>
      <c r="CC1931" s="271" t="s">
        <v>832</v>
      </c>
      <c r="CW1931" s="30">
        <f t="shared" si="325"/>
        <v>1</v>
      </c>
      <c r="CX1931" s="30">
        <f t="shared" si="326"/>
        <v>0</v>
      </c>
      <c r="CZ1931" s="30">
        <f t="shared" si="319"/>
        <v>1</v>
      </c>
      <c r="DA1931" s="52">
        <f t="shared" si="327"/>
        <v>0</v>
      </c>
      <c r="DB1931" s="2">
        <f t="shared" si="315"/>
        <v>0</v>
      </c>
      <c r="DS1931" s="130">
        <f>SI!BY1931</f>
        <v>102</v>
      </c>
      <c r="DZ1931" s="131">
        <f>SI!BZ1931</f>
        <v>0</v>
      </c>
    </row>
    <row r="1932" spans="1:130" hidden="1" x14ac:dyDescent="0.25">
      <c r="A1932" s="141"/>
      <c r="B1932" s="1158"/>
      <c r="C1932" s="1159"/>
      <c r="D1932" s="1159"/>
      <c r="E1932" s="1159"/>
      <c r="F1932" s="1159"/>
      <c r="G1932" s="1159"/>
      <c r="H1932" s="1159"/>
      <c r="I1932" s="1159"/>
      <c r="J1932" s="1159"/>
      <c r="K1932" s="1159"/>
      <c r="L1932" s="1159"/>
      <c r="M1932" s="1159"/>
      <c r="N1932" s="1159"/>
      <c r="O1932" s="1159"/>
      <c r="P1932" s="1159"/>
      <c r="Q1932" s="1159"/>
      <c r="R1932" s="1159"/>
      <c r="S1932" s="1159"/>
      <c r="T1932" s="1159"/>
      <c r="U1932" s="1159"/>
      <c r="V1932" s="1159"/>
      <c r="W1932" s="1159"/>
      <c r="X1932" s="1159"/>
      <c r="Y1932" s="1159"/>
      <c r="Z1932" s="1159"/>
      <c r="AA1932" s="1159"/>
      <c r="AB1932" s="1159"/>
      <c r="AC1932" s="1159"/>
      <c r="AD1932" s="1159"/>
      <c r="AE1932" s="1159"/>
      <c r="AF1932" s="1159"/>
      <c r="AG1932" s="1159"/>
      <c r="AH1932" s="1159"/>
      <c r="AI1932" s="1159"/>
      <c r="AJ1932" s="1159"/>
      <c r="AK1932" s="1160"/>
      <c r="AL1932" s="363"/>
      <c r="AM1932" s="364"/>
      <c r="AN1932" s="364"/>
      <c r="AO1932" s="364"/>
      <c r="AP1932" s="364"/>
      <c r="AQ1932" s="364"/>
      <c r="AR1932" s="364"/>
      <c r="AS1932" s="364"/>
      <c r="AT1932" s="364"/>
      <c r="AU1932" s="364"/>
      <c r="AV1932" s="364"/>
      <c r="AW1932" s="364"/>
      <c r="AX1932" s="364"/>
      <c r="AY1932" s="364"/>
      <c r="AZ1932" s="364"/>
      <c r="BA1932" s="364"/>
      <c r="BB1932" s="364"/>
      <c r="BC1932" s="364"/>
      <c r="BD1932" s="364"/>
      <c r="BE1932" s="364"/>
      <c r="BF1932" s="475"/>
      <c r="BG1932" s="363"/>
      <c r="BH1932" s="364"/>
      <c r="BI1932" s="364"/>
      <c r="BJ1932" s="364"/>
      <c r="BK1932" s="364"/>
      <c r="BL1932" s="364"/>
      <c r="BM1932" s="364"/>
      <c r="BN1932" s="364"/>
      <c r="BO1932" s="364"/>
      <c r="BP1932" s="364"/>
      <c r="BQ1932" s="364"/>
      <c r="BR1932" s="364"/>
      <c r="BS1932" s="364"/>
      <c r="BT1932" s="364"/>
      <c r="BU1932" s="364"/>
      <c r="BV1932" s="364"/>
      <c r="BW1932" s="364"/>
      <c r="BX1932" s="364"/>
      <c r="BY1932" s="364"/>
      <c r="BZ1932" s="387"/>
      <c r="CA1932" s="270"/>
      <c r="CB1932" s="3" t="str">
        <f t="shared" si="322"/>
        <v>Riadok bude skrytý.</v>
      </c>
      <c r="CC1932" s="271" t="s">
        <v>832</v>
      </c>
      <c r="CW1932" s="30">
        <f t="shared" si="325"/>
        <v>1</v>
      </c>
      <c r="CX1932" s="30">
        <f t="shared" si="326"/>
        <v>0</v>
      </c>
      <c r="CZ1932" s="30">
        <f t="shared" si="319"/>
        <v>1</v>
      </c>
      <c r="DA1932" s="52">
        <f t="shared" si="327"/>
        <v>0</v>
      </c>
      <c r="DB1932" s="2">
        <f t="shared" si="315"/>
        <v>0</v>
      </c>
      <c r="DS1932" s="130">
        <f>SI!BY1932</f>
        <v>546</v>
      </c>
      <c r="DZ1932" s="131">
        <f>SI!BZ1932</f>
        <v>0</v>
      </c>
    </row>
    <row r="1933" spans="1:130" hidden="1" x14ac:dyDescent="0.25">
      <c r="A1933" s="141"/>
      <c r="B1933" s="1158"/>
      <c r="C1933" s="1159"/>
      <c r="D1933" s="1159"/>
      <c r="E1933" s="1159"/>
      <c r="F1933" s="1159"/>
      <c r="G1933" s="1159"/>
      <c r="H1933" s="1159"/>
      <c r="I1933" s="1159"/>
      <c r="J1933" s="1159"/>
      <c r="K1933" s="1159"/>
      <c r="L1933" s="1159"/>
      <c r="M1933" s="1159"/>
      <c r="N1933" s="1159"/>
      <c r="O1933" s="1159"/>
      <c r="P1933" s="1159"/>
      <c r="Q1933" s="1159"/>
      <c r="R1933" s="1159"/>
      <c r="S1933" s="1159"/>
      <c r="T1933" s="1159"/>
      <c r="U1933" s="1159"/>
      <c r="V1933" s="1159"/>
      <c r="W1933" s="1159"/>
      <c r="X1933" s="1159"/>
      <c r="Y1933" s="1159"/>
      <c r="Z1933" s="1159"/>
      <c r="AA1933" s="1159"/>
      <c r="AB1933" s="1159"/>
      <c r="AC1933" s="1159"/>
      <c r="AD1933" s="1159"/>
      <c r="AE1933" s="1159"/>
      <c r="AF1933" s="1159"/>
      <c r="AG1933" s="1159"/>
      <c r="AH1933" s="1159"/>
      <c r="AI1933" s="1159"/>
      <c r="AJ1933" s="1159"/>
      <c r="AK1933" s="1160"/>
      <c r="AL1933" s="363"/>
      <c r="AM1933" s="364"/>
      <c r="AN1933" s="364"/>
      <c r="AO1933" s="364"/>
      <c r="AP1933" s="364"/>
      <c r="AQ1933" s="364"/>
      <c r="AR1933" s="364"/>
      <c r="AS1933" s="364"/>
      <c r="AT1933" s="364"/>
      <c r="AU1933" s="364"/>
      <c r="AV1933" s="364"/>
      <c r="AW1933" s="364"/>
      <c r="AX1933" s="364"/>
      <c r="AY1933" s="364"/>
      <c r="AZ1933" s="364"/>
      <c r="BA1933" s="364"/>
      <c r="BB1933" s="364"/>
      <c r="BC1933" s="364"/>
      <c r="BD1933" s="364"/>
      <c r="BE1933" s="364"/>
      <c r="BF1933" s="475"/>
      <c r="BG1933" s="363"/>
      <c r="BH1933" s="364"/>
      <c r="BI1933" s="364"/>
      <c r="BJ1933" s="364"/>
      <c r="BK1933" s="364"/>
      <c r="BL1933" s="364"/>
      <c r="BM1933" s="364"/>
      <c r="BN1933" s="364"/>
      <c r="BO1933" s="364"/>
      <c r="BP1933" s="364"/>
      <c r="BQ1933" s="364"/>
      <c r="BR1933" s="364"/>
      <c r="BS1933" s="364"/>
      <c r="BT1933" s="364"/>
      <c r="BU1933" s="364"/>
      <c r="BV1933" s="364"/>
      <c r="BW1933" s="364"/>
      <c r="BX1933" s="364"/>
      <c r="BY1933" s="364"/>
      <c r="BZ1933" s="387"/>
      <c r="CA1933" s="270"/>
      <c r="CB1933" s="3" t="str">
        <f t="shared" si="322"/>
        <v>Riadok bude skrytý.</v>
      </c>
      <c r="CC1933" s="271" t="s">
        <v>832</v>
      </c>
      <c r="CW1933" s="30">
        <f t="shared" si="325"/>
        <v>1</v>
      </c>
      <c r="CX1933" s="30">
        <f t="shared" si="326"/>
        <v>0</v>
      </c>
      <c r="CZ1933" s="30">
        <f t="shared" si="319"/>
        <v>1</v>
      </c>
      <c r="DA1933" s="52">
        <f t="shared" si="327"/>
        <v>0</v>
      </c>
      <c r="DB1933" s="2">
        <f t="shared" si="315"/>
        <v>0</v>
      </c>
      <c r="DS1933" s="130">
        <f>SI!BY1933</f>
        <v>188</v>
      </c>
      <c r="DZ1933" s="131">
        <f>SI!BZ1933</f>
        <v>0</v>
      </c>
    </row>
    <row r="1934" spans="1:130" hidden="1" x14ac:dyDescent="0.25">
      <c r="A1934" s="141"/>
      <c r="B1934" s="1158"/>
      <c r="C1934" s="1159"/>
      <c r="D1934" s="1159"/>
      <c r="E1934" s="1159"/>
      <c r="F1934" s="1159"/>
      <c r="G1934" s="1159"/>
      <c r="H1934" s="1159"/>
      <c r="I1934" s="1159"/>
      <c r="J1934" s="1159"/>
      <c r="K1934" s="1159"/>
      <c r="L1934" s="1159"/>
      <c r="M1934" s="1159"/>
      <c r="N1934" s="1159"/>
      <c r="O1934" s="1159"/>
      <c r="P1934" s="1159"/>
      <c r="Q1934" s="1159"/>
      <c r="R1934" s="1159"/>
      <c r="S1934" s="1159"/>
      <c r="T1934" s="1159"/>
      <c r="U1934" s="1159"/>
      <c r="V1934" s="1159"/>
      <c r="W1934" s="1159"/>
      <c r="X1934" s="1159"/>
      <c r="Y1934" s="1159"/>
      <c r="Z1934" s="1159"/>
      <c r="AA1934" s="1159"/>
      <c r="AB1934" s="1159"/>
      <c r="AC1934" s="1159"/>
      <c r="AD1934" s="1159"/>
      <c r="AE1934" s="1159"/>
      <c r="AF1934" s="1159"/>
      <c r="AG1934" s="1159"/>
      <c r="AH1934" s="1159"/>
      <c r="AI1934" s="1159"/>
      <c r="AJ1934" s="1159"/>
      <c r="AK1934" s="1160"/>
      <c r="AL1934" s="363"/>
      <c r="AM1934" s="364"/>
      <c r="AN1934" s="364"/>
      <c r="AO1934" s="364"/>
      <c r="AP1934" s="364"/>
      <c r="AQ1934" s="364"/>
      <c r="AR1934" s="364"/>
      <c r="AS1934" s="364"/>
      <c r="AT1934" s="364"/>
      <c r="AU1934" s="364"/>
      <c r="AV1934" s="364"/>
      <c r="AW1934" s="364"/>
      <c r="AX1934" s="364"/>
      <c r="AY1934" s="364"/>
      <c r="AZ1934" s="364"/>
      <c r="BA1934" s="364"/>
      <c r="BB1934" s="364"/>
      <c r="BC1934" s="364"/>
      <c r="BD1934" s="364"/>
      <c r="BE1934" s="364"/>
      <c r="BF1934" s="475"/>
      <c r="BG1934" s="363"/>
      <c r="BH1934" s="364"/>
      <c r="BI1934" s="364"/>
      <c r="BJ1934" s="364"/>
      <c r="BK1934" s="364"/>
      <c r="BL1934" s="364"/>
      <c r="BM1934" s="364"/>
      <c r="BN1934" s="364"/>
      <c r="BO1934" s="364"/>
      <c r="BP1934" s="364"/>
      <c r="BQ1934" s="364"/>
      <c r="BR1934" s="364"/>
      <c r="BS1934" s="364"/>
      <c r="BT1934" s="364"/>
      <c r="BU1934" s="364"/>
      <c r="BV1934" s="364"/>
      <c r="BW1934" s="364"/>
      <c r="BX1934" s="364"/>
      <c r="BY1934" s="364"/>
      <c r="BZ1934" s="387"/>
      <c r="CA1934" s="270"/>
      <c r="CB1934" s="3" t="str">
        <f t="shared" si="322"/>
        <v>Riadok bude skrytý.</v>
      </c>
      <c r="CC1934" s="271" t="s">
        <v>832</v>
      </c>
      <c r="CW1934" s="30">
        <f t="shared" si="325"/>
        <v>1</v>
      </c>
      <c r="CX1934" s="30">
        <f t="shared" si="326"/>
        <v>0</v>
      </c>
      <c r="CZ1934" s="30">
        <f t="shared" si="319"/>
        <v>1</v>
      </c>
      <c r="DA1934" s="52">
        <f t="shared" si="327"/>
        <v>0</v>
      </c>
      <c r="DB1934" s="2">
        <f t="shared" si="315"/>
        <v>0</v>
      </c>
      <c r="DS1934" s="130">
        <f>SI!BY1934</f>
        <v>882</v>
      </c>
      <c r="DZ1934" s="131">
        <f>SI!BZ1934</f>
        <v>0</v>
      </c>
    </row>
    <row r="1935" spans="1:130" hidden="1" x14ac:dyDescent="0.25">
      <c r="A1935" s="141"/>
      <c r="B1935" s="1206" t="s">
        <v>700</v>
      </c>
      <c r="C1935" s="1207"/>
      <c r="D1935" s="1207"/>
      <c r="E1935" s="1207"/>
      <c r="F1935" s="1207"/>
      <c r="G1935" s="1207"/>
      <c r="H1935" s="1207"/>
      <c r="I1935" s="1207"/>
      <c r="J1935" s="1207"/>
      <c r="K1935" s="1207"/>
      <c r="L1935" s="1207"/>
      <c r="M1935" s="1207"/>
      <c r="N1935" s="1207"/>
      <c r="O1935" s="1207"/>
      <c r="P1935" s="1207"/>
      <c r="Q1935" s="1207"/>
      <c r="R1935" s="1207"/>
      <c r="S1935" s="1207"/>
      <c r="T1935" s="1207"/>
      <c r="U1935" s="1207"/>
      <c r="V1935" s="1207"/>
      <c r="W1935" s="1207"/>
      <c r="X1935" s="1207"/>
      <c r="Y1935" s="1207"/>
      <c r="Z1935" s="1207"/>
      <c r="AA1935" s="1207"/>
      <c r="AB1935" s="1207"/>
      <c r="AC1935" s="1207"/>
      <c r="AD1935" s="1207"/>
      <c r="AE1935" s="1207"/>
      <c r="AF1935" s="1207"/>
      <c r="AG1935" s="1207"/>
      <c r="AH1935" s="1207"/>
      <c r="AI1935" s="1207"/>
      <c r="AJ1935" s="1207"/>
      <c r="AK1935" s="1208"/>
      <c r="AL1935" s="367"/>
      <c r="AM1935" s="368"/>
      <c r="AN1935" s="368"/>
      <c r="AO1935" s="368"/>
      <c r="AP1935" s="368"/>
      <c r="AQ1935" s="368"/>
      <c r="AR1935" s="368"/>
      <c r="AS1935" s="368"/>
      <c r="AT1935" s="368"/>
      <c r="AU1935" s="368"/>
      <c r="AV1935" s="368"/>
      <c r="AW1935" s="368"/>
      <c r="AX1935" s="368"/>
      <c r="AY1935" s="368"/>
      <c r="AZ1935" s="368"/>
      <c r="BA1935" s="368"/>
      <c r="BB1935" s="368"/>
      <c r="BC1935" s="368"/>
      <c r="BD1935" s="368"/>
      <c r="BE1935" s="368"/>
      <c r="BF1935" s="458"/>
      <c r="BG1935" s="367"/>
      <c r="BH1935" s="368"/>
      <c r="BI1935" s="368"/>
      <c r="BJ1935" s="368"/>
      <c r="BK1935" s="368"/>
      <c r="BL1935" s="368"/>
      <c r="BM1935" s="368"/>
      <c r="BN1935" s="368"/>
      <c r="BO1935" s="368"/>
      <c r="BP1935" s="368"/>
      <c r="BQ1935" s="368"/>
      <c r="BR1935" s="368"/>
      <c r="BS1935" s="368"/>
      <c r="BT1935" s="368"/>
      <c r="BU1935" s="368"/>
      <c r="BV1935" s="368"/>
      <c r="BW1935" s="368"/>
      <c r="BX1935" s="368"/>
      <c r="BY1935" s="368"/>
      <c r="BZ1935" s="438"/>
      <c r="CA1935" s="142"/>
      <c r="CB1935" s="3" t="str">
        <f t="shared" si="322"/>
        <v>Riadok bude skrytý.</v>
      </c>
      <c r="CC1935" s="271" t="s">
        <v>832</v>
      </c>
      <c r="CW1935" s="30">
        <f t="shared" si="325"/>
        <v>1</v>
      </c>
      <c r="CX1935" s="35"/>
      <c r="CZ1935" s="30">
        <f t="shared" si="319"/>
        <v>1</v>
      </c>
      <c r="DA1935" s="30">
        <f>+IF(CW1935+CX1935+CY1935=0,0,IF(CZ1935=0,0,1))</f>
        <v>1</v>
      </c>
      <c r="DB1935" s="2">
        <f t="shared" si="315"/>
        <v>0</v>
      </c>
      <c r="DS1935" s="130">
        <f>SI!BY1935</f>
        <v>5</v>
      </c>
      <c r="DZ1935" s="131">
        <f>SI!BZ1935</f>
        <v>0</v>
      </c>
    </row>
    <row r="1936" spans="1:130" hidden="1" x14ac:dyDescent="0.25">
      <c r="A1936" s="141"/>
      <c r="CA1936" s="142"/>
      <c r="CB1936" s="3" t="str">
        <f t="shared" si="322"/>
        <v>Riadok bude skrytý.</v>
      </c>
      <c r="CC1936" s="271" t="s">
        <v>832</v>
      </c>
      <c r="CW1936" s="30">
        <f t="shared" si="325"/>
        <v>1</v>
      </c>
      <c r="CX1936" s="30">
        <f>+IF(B1938="",0,1)</f>
        <v>0</v>
      </c>
      <c r="CZ1936" s="30">
        <f t="shared" si="319"/>
        <v>1</v>
      </c>
      <c r="DA1936" s="52">
        <f t="shared" ref="DA1936:DA1957" si="328">+IF(CW1936*CX1936=0,0,IF(CZ1936=0,0,1))</f>
        <v>0</v>
      </c>
      <c r="DB1936" s="2">
        <f t="shared" si="315"/>
        <v>0</v>
      </c>
      <c r="DS1936" s="130">
        <f>SI!BY1936</f>
        <v>178</v>
      </c>
      <c r="DZ1936" s="131">
        <f>SI!BZ1936</f>
        <v>0</v>
      </c>
    </row>
    <row r="1937" spans="1:130" hidden="1" x14ac:dyDescent="0.25">
      <c r="A1937" s="141"/>
      <c r="B1937" s="137" t="str">
        <f>+IF($O$52&lt;&gt;"",IF(CODE(MID($O$52,1,1))*0+ROUNDDOWN(LEN(SI!J5)/2,0)=DS1937,"Spoločnosť uvádza k časovému rozlíšeniu ďalšie doplňujúce informácie:","NEPOVOLENÉ POUŽITIE!"),"NEPOVOLENÉ POUŽITIE!")</f>
        <v>Spoločnosť uvádza k časovému rozlíšeniu ďalšie doplňujúce informácie:</v>
      </c>
      <c r="C1937" s="7"/>
      <c r="D1937" s="7"/>
      <c r="E1937" s="7"/>
      <c r="F1937" s="7"/>
      <c r="CA1937" s="265" t="s">
        <v>773</v>
      </c>
      <c r="CB1937" s="3" t="str">
        <f t="shared" si="322"/>
        <v>Riadok bude skrytý.</v>
      </c>
      <c r="CC1937" s="271" t="s">
        <v>832</v>
      </c>
      <c r="CW1937" s="30">
        <f t="shared" si="325"/>
        <v>1</v>
      </c>
      <c r="CX1937" s="30">
        <f>+IF(B1938="",0,1)</f>
        <v>0</v>
      </c>
      <c r="CZ1937" s="30">
        <f t="shared" si="319"/>
        <v>1</v>
      </c>
      <c r="DA1937" s="52">
        <f t="shared" si="328"/>
        <v>0</v>
      </c>
      <c r="DB1937" s="2">
        <f t="shared" si="315"/>
        <v>0</v>
      </c>
      <c r="DS1937" s="130">
        <f>SI!BY1937</f>
        <v>7</v>
      </c>
      <c r="DZ1937" s="131">
        <f>SI!BZ1937</f>
        <v>0</v>
      </c>
    </row>
    <row r="1938" spans="1:130" hidden="1" x14ac:dyDescent="0.25">
      <c r="A1938" s="141"/>
      <c r="B1938" s="379"/>
      <c r="C1938" s="379"/>
      <c r="D1938" s="379"/>
      <c r="E1938" s="379"/>
      <c r="F1938" s="379"/>
      <c r="G1938" s="379"/>
      <c r="H1938" s="379"/>
      <c r="I1938" s="379"/>
      <c r="J1938" s="379"/>
      <c r="K1938" s="379"/>
      <c r="L1938" s="379"/>
      <c r="M1938" s="379"/>
      <c r="N1938" s="379"/>
      <c r="O1938" s="379"/>
      <c r="P1938" s="379"/>
      <c r="Q1938" s="379"/>
      <c r="R1938" s="379"/>
      <c r="S1938" s="379"/>
      <c r="T1938" s="379"/>
      <c r="U1938" s="379"/>
      <c r="V1938" s="379"/>
      <c r="W1938" s="379"/>
      <c r="X1938" s="379"/>
      <c r="Y1938" s="379"/>
      <c r="Z1938" s="379"/>
      <c r="AA1938" s="379"/>
      <c r="AB1938" s="379"/>
      <c r="AC1938" s="379"/>
      <c r="AD1938" s="379"/>
      <c r="AE1938" s="379"/>
      <c r="AF1938" s="379"/>
      <c r="AG1938" s="379"/>
      <c r="AH1938" s="379"/>
      <c r="AI1938" s="379"/>
      <c r="AJ1938" s="379"/>
      <c r="AK1938" s="379"/>
      <c r="AL1938" s="379"/>
      <c r="AM1938" s="379"/>
      <c r="AN1938" s="379"/>
      <c r="AO1938" s="379"/>
      <c r="AP1938" s="379"/>
      <c r="AQ1938" s="379"/>
      <c r="AR1938" s="379"/>
      <c r="AS1938" s="379"/>
      <c r="AT1938" s="379"/>
      <c r="AU1938" s="379"/>
      <c r="AV1938" s="379"/>
      <c r="AW1938" s="379"/>
      <c r="AX1938" s="379"/>
      <c r="AY1938" s="379"/>
      <c r="AZ1938" s="379"/>
      <c r="BA1938" s="379"/>
      <c r="BB1938" s="379"/>
      <c r="BC1938" s="379"/>
      <c r="BD1938" s="379"/>
      <c r="BE1938" s="379"/>
      <c r="BF1938" s="379"/>
      <c r="BG1938" s="379"/>
      <c r="BH1938" s="379"/>
      <c r="BI1938" s="379"/>
      <c r="BJ1938" s="379"/>
      <c r="BK1938" s="379"/>
      <c r="BL1938" s="379"/>
      <c r="BM1938" s="379"/>
      <c r="BN1938" s="379"/>
      <c r="BO1938" s="379"/>
      <c r="BP1938" s="379"/>
      <c r="BQ1938" s="379"/>
      <c r="BR1938" s="379"/>
      <c r="BS1938" s="379"/>
      <c r="BT1938" s="379"/>
      <c r="BU1938" s="379"/>
      <c r="BV1938" s="379"/>
      <c r="BW1938" s="379"/>
      <c r="BX1938" s="379"/>
      <c r="BY1938" s="379"/>
      <c r="BZ1938" s="379"/>
      <c r="CA1938" s="270"/>
      <c r="CB1938" s="3" t="str">
        <f t="shared" si="322"/>
        <v>Riadok bude skrytý.</v>
      </c>
      <c r="CC1938" s="271" t="s">
        <v>832</v>
      </c>
      <c r="CW1938" s="30">
        <f t="shared" si="325"/>
        <v>1</v>
      </c>
      <c r="CX1938" s="30">
        <f t="shared" ref="CX1938:CX1957" si="329">+IF(B1938="",0,1)</f>
        <v>0</v>
      </c>
      <c r="CZ1938" s="30">
        <f t="shared" si="319"/>
        <v>1</v>
      </c>
      <c r="DA1938" s="52">
        <f t="shared" si="328"/>
        <v>0</v>
      </c>
      <c r="DB1938" s="2">
        <f t="shared" si="315"/>
        <v>0</v>
      </c>
      <c r="DS1938" s="130">
        <f>SI!BY1938</f>
        <v>763</v>
      </c>
      <c r="DZ1938" s="131">
        <f>SI!BZ1938</f>
        <v>0</v>
      </c>
    </row>
    <row r="1939" spans="1:130" hidden="1" x14ac:dyDescent="0.25">
      <c r="A1939" s="141"/>
      <c r="B1939" s="379"/>
      <c r="C1939" s="379"/>
      <c r="D1939" s="379"/>
      <c r="E1939" s="379"/>
      <c r="F1939" s="379"/>
      <c r="G1939" s="379"/>
      <c r="H1939" s="379"/>
      <c r="I1939" s="379"/>
      <c r="J1939" s="379"/>
      <c r="K1939" s="379"/>
      <c r="L1939" s="379"/>
      <c r="M1939" s="379"/>
      <c r="N1939" s="379"/>
      <c r="O1939" s="379"/>
      <c r="P1939" s="379"/>
      <c r="Q1939" s="379"/>
      <c r="R1939" s="379"/>
      <c r="S1939" s="379"/>
      <c r="T1939" s="379"/>
      <c r="U1939" s="379"/>
      <c r="V1939" s="379"/>
      <c r="W1939" s="379"/>
      <c r="X1939" s="379"/>
      <c r="Y1939" s="379"/>
      <c r="Z1939" s="379"/>
      <c r="AA1939" s="379"/>
      <c r="AB1939" s="379"/>
      <c r="AC1939" s="379"/>
      <c r="AD1939" s="379"/>
      <c r="AE1939" s="379"/>
      <c r="AF1939" s="379"/>
      <c r="AG1939" s="379"/>
      <c r="AH1939" s="379"/>
      <c r="AI1939" s="379"/>
      <c r="AJ1939" s="379"/>
      <c r="AK1939" s="379"/>
      <c r="AL1939" s="379"/>
      <c r="AM1939" s="379"/>
      <c r="AN1939" s="379"/>
      <c r="AO1939" s="379"/>
      <c r="AP1939" s="379"/>
      <c r="AQ1939" s="379"/>
      <c r="AR1939" s="379"/>
      <c r="AS1939" s="379"/>
      <c r="AT1939" s="379"/>
      <c r="AU1939" s="379"/>
      <c r="AV1939" s="379"/>
      <c r="AW1939" s="379"/>
      <c r="AX1939" s="379"/>
      <c r="AY1939" s="379"/>
      <c r="AZ1939" s="379"/>
      <c r="BA1939" s="379"/>
      <c r="BB1939" s="379"/>
      <c r="BC1939" s="379"/>
      <c r="BD1939" s="379"/>
      <c r="BE1939" s="379"/>
      <c r="BF1939" s="379"/>
      <c r="BG1939" s="379"/>
      <c r="BH1939" s="379"/>
      <c r="BI1939" s="379"/>
      <c r="BJ1939" s="379"/>
      <c r="BK1939" s="379"/>
      <c r="BL1939" s="379"/>
      <c r="BM1939" s="379"/>
      <c r="BN1939" s="379"/>
      <c r="BO1939" s="379"/>
      <c r="BP1939" s="379"/>
      <c r="BQ1939" s="379"/>
      <c r="BR1939" s="379"/>
      <c r="BS1939" s="379"/>
      <c r="BT1939" s="379"/>
      <c r="BU1939" s="379"/>
      <c r="BV1939" s="379"/>
      <c r="BW1939" s="379"/>
      <c r="BX1939" s="379"/>
      <c r="BY1939" s="379"/>
      <c r="BZ1939" s="379"/>
      <c r="CA1939" s="270"/>
      <c r="CB1939" s="3" t="str">
        <f t="shared" si="322"/>
        <v>Riadok bude skrytý.</v>
      </c>
      <c r="CC1939" s="271" t="s">
        <v>832</v>
      </c>
      <c r="CW1939" s="30">
        <f t="shared" si="325"/>
        <v>1</v>
      </c>
      <c r="CX1939" s="30">
        <f t="shared" si="329"/>
        <v>0</v>
      </c>
      <c r="CZ1939" s="30">
        <f t="shared" si="319"/>
        <v>1</v>
      </c>
      <c r="DA1939" s="52">
        <f t="shared" si="328"/>
        <v>0</v>
      </c>
      <c r="DB1939" s="2">
        <f t="shared" si="315"/>
        <v>0</v>
      </c>
      <c r="DS1939" s="130">
        <f>SI!BY1939</f>
        <v>127</v>
      </c>
      <c r="DZ1939" s="131">
        <f>SI!BZ1939</f>
        <v>0</v>
      </c>
    </row>
    <row r="1940" spans="1:130" hidden="1" x14ac:dyDescent="0.25">
      <c r="A1940" s="141"/>
      <c r="B1940" s="379"/>
      <c r="C1940" s="379"/>
      <c r="D1940" s="379"/>
      <c r="E1940" s="379"/>
      <c r="F1940" s="379"/>
      <c r="G1940" s="379"/>
      <c r="H1940" s="379"/>
      <c r="I1940" s="379"/>
      <c r="J1940" s="379"/>
      <c r="K1940" s="379"/>
      <c r="L1940" s="379"/>
      <c r="M1940" s="379"/>
      <c r="N1940" s="379"/>
      <c r="O1940" s="379"/>
      <c r="P1940" s="379"/>
      <c r="Q1940" s="379"/>
      <c r="R1940" s="379"/>
      <c r="S1940" s="379"/>
      <c r="T1940" s="379"/>
      <c r="U1940" s="379"/>
      <c r="V1940" s="379"/>
      <c r="W1940" s="379"/>
      <c r="X1940" s="379"/>
      <c r="Y1940" s="379"/>
      <c r="Z1940" s="379"/>
      <c r="AA1940" s="379"/>
      <c r="AB1940" s="379"/>
      <c r="AC1940" s="379"/>
      <c r="AD1940" s="379"/>
      <c r="AE1940" s="379"/>
      <c r="AF1940" s="379"/>
      <c r="AG1940" s="379"/>
      <c r="AH1940" s="379"/>
      <c r="AI1940" s="379"/>
      <c r="AJ1940" s="379"/>
      <c r="AK1940" s="379"/>
      <c r="AL1940" s="379"/>
      <c r="AM1940" s="379"/>
      <c r="AN1940" s="379"/>
      <c r="AO1940" s="379"/>
      <c r="AP1940" s="379"/>
      <c r="AQ1940" s="379"/>
      <c r="AR1940" s="379"/>
      <c r="AS1940" s="379"/>
      <c r="AT1940" s="379"/>
      <c r="AU1940" s="379"/>
      <c r="AV1940" s="379"/>
      <c r="AW1940" s="379"/>
      <c r="AX1940" s="379"/>
      <c r="AY1940" s="379"/>
      <c r="AZ1940" s="379"/>
      <c r="BA1940" s="379"/>
      <c r="BB1940" s="379"/>
      <c r="BC1940" s="379"/>
      <c r="BD1940" s="379"/>
      <c r="BE1940" s="379"/>
      <c r="BF1940" s="379"/>
      <c r="BG1940" s="379"/>
      <c r="BH1940" s="379"/>
      <c r="BI1940" s="379"/>
      <c r="BJ1940" s="379"/>
      <c r="BK1940" s="379"/>
      <c r="BL1940" s="379"/>
      <c r="BM1940" s="379"/>
      <c r="BN1940" s="379"/>
      <c r="BO1940" s="379"/>
      <c r="BP1940" s="379"/>
      <c r="BQ1940" s="379"/>
      <c r="BR1940" s="379"/>
      <c r="BS1940" s="379"/>
      <c r="BT1940" s="379"/>
      <c r="BU1940" s="379"/>
      <c r="BV1940" s="379"/>
      <c r="BW1940" s="379"/>
      <c r="BX1940" s="379"/>
      <c r="BY1940" s="379"/>
      <c r="BZ1940" s="379"/>
      <c r="CA1940" s="270"/>
      <c r="CB1940" s="3" t="str">
        <f t="shared" si="322"/>
        <v>Riadok bude skrytý.</v>
      </c>
      <c r="CC1940" s="271" t="s">
        <v>832</v>
      </c>
      <c r="CW1940" s="30">
        <f t="shared" si="325"/>
        <v>1</v>
      </c>
      <c r="CX1940" s="30">
        <f t="shared" si="329"/>
        <v>0</v>
      </c>
      <c r="CZ1940" s="30">
        <f t="shared" si="319"/>
        <v>1</v>
      </c>
      <c r="DA1940" s="52">
        <f t="shared" si="328"/>
        <v>0</v>
      </c>
      <c r="DB1940" s="2">
        <f t="shared" si="315"/>
        <v>0</v>
      </c>
      <c r="DS1940" s="130">
        <f>SI!BY1940</f>
        <v>401</v>
      </c>
      <c r="DZ1940" s="131">
        <f>SI!BZ1940</f>
        <v>0</v>
      </c>
    </row>
    <row r="1941" spans="1:130" hidden="1" x14ac:dyDescent="0.25">
      <c r="A1941" s="141"/>
      <c r="B1941" s="379"/>
      <c r="C1941" s="379"/>
      <c r="D1941" s="379"/>
      <c r="E1941" s="379"/>
      <c r="F1941" s="379"/>
      <c r="G1941" s="379"/>
      <c r="H1941" s="379"/>
      <c r="I1941" s="379"/>
      <c r="J1941" s="379"/>
      <c r="K1941" s="379"/>
      <c r="L1941" s="379"/>
      <c r="M1941" s="379"/>
      <c r="N1941" s="379"/>
      <c r="O1941" s="379"/>
      <c r="P1941" s="379"/>
      <c r="Q1941" s="379"/>
      <c r="R1941" s="379"/>
      <c r="S1941" s="379"/>
      <c r="T1941" s="379"/>
      <c r="U1941" s="379"/>
      <c r="V1941" s="379"/>
      <c r="W1941" s="379"/>
      <c r="X1941" s="379"/>
      <c r="Y1941" s="379"/>
      <c r="Z1941" s="379"/>
      <c r="AA1941" s="379"/>
      <c r="AB1941" s="379"/>
      <c r="AC1941" s="379"/>
      <c r="AD1941" s="379"/>
      <c r="AE1941" s="379"/>
      <c r="AF1941" s="379"/>
      <c r="AG1941" s="379"/>
      <c r="AH1941" s="379"/>
      <c r="AI1941" s="379"/>
      <c r="AJ1941" s="379"/>
      <c r="AK1941" s="379"/>
      <c r="AL1941" s="379"/>
      <c r="AM1941" s="379"/>
      <c r="AN1941" s="379"/>
      <c r="AO1941" s="379"/>
      <c r="AP1941" s="379"/>
      <c r="AQ1941" s="379"/>
      <c r="AR1941" s="379"/>
      <c r="AS1941" s="379"/>
      <c r="AT1941" s="379"/>
      <c r="AU1941" s="379"/>
      <c r="AV1941" s="379"/>
      <c r="AW1941" s="379"/>
      <c r="AX1941" s="379"/>
      <c r="AY1941" s="379"/>
      <c r="AZ1941" s="379"/>
      <c r="BA1941" s="379"/>
      <c r="BB1941" s="379"/>
      <c r="BC1941" s="379"/>
      <c r="BD1941" s="379"/>
      <c r="BE1941" s="379"/>
      <c r="BF1941" s="379"/>
      <c r="BG1941" s="379"/>
      <c r="BH1941" s="379"/>
      <c r="BI1941" s="379"/>
      <c r="BJ1941" s="379"/>
      <c r="BK1941" s="379"/>
      <c r="BL1941" s="379"/>
      <c r="BM1941" s="379"/>
      <c r="BN1941" s="379"/>
      <c r="BO1941" s="379"/>
      <c r="BP1941" s="379"/>
      <c r="BQ1941" s="379"/>
      <c r="BR1941" s="379"/>
      <c r="BS1941" s="379"/>
      <c r="BT1941" s="379"/>
      <c r="BU1941" s="379"/>
      <c r="BV1941" s="379"/>
      <c r="BW1941" s="379"/>
      <c r="BX1941" s="379"/>
      <c r="BY1941" s="379"/>
      <c r="BZ1941" s="379"/>
      <c r="CA1941" s="270"/>
      <c r="CB1941" s="3" t="str">
        <f t="shared" si="322"/>
        <v>Riadok bude skrytý.</v>
      </c>
      <c r="CC1941" s="271" t="s">
        <v>832</v>
      </c>
      <c r="CW1941" s="30">
        <f t="shared" si="325"/>
        <v>1</v>
      </c>
      <c r="CX1941" s="30">
        <f t="shared" si="329"/>
        <v>0</v>
      </c>
      <c r="CZ1941" s="30">
        <f t="shared" si="319"/>
        <v>1</v>
      </c>
      <c r="DA1941" s="52">
        <f t="shared" si="328"/>
        <v>0</v>
      </c>
      <c r="DB1941" s="2">
        <f t="shared" si="315"/>
        <v>0</v>
      </c>
      <c r="DS1941" s="130">
        <f>SI!BY1941</f>
        <v>167</v>
      </c>
      <c r="DZ1941" s="131">
        <f>SI!BZ1941</f>
        <v>0</v>
      </c>
    </row>
    <row r="1942" spans="1:130" hidden="1" x14ac:dyDescent="0.25">
      <c r="A1942" s="141"/>
      <c r="B1942" s="379"/>
      <c r="C1942" s="379"/>
      <c r="D1942" s="379"/>
      <c r="E1942" s="379"/>
      <c r="F1942" s="379"/>
      <c r="G1942" s="379"/>
      <c r="H1942" s="379"/>
      <c r="I1942" s="379"/>
      <c r="J1942" s="379"/>
      <c r="K1942" s="379"/>
      <c r="L1942" s="379"/>
      <c r="M1942" s="379"/>
      <c r="N1942" s="379"/>
      <c r="O1942" s="379"/>
      <c r="P1942" s="379"/>
      <c r="Q1942" s="379"/>
      <c r="R1942" s="379"/>
      <c r="S1942" s="379"/>
      <c r="T1942" s="379"/>
      <c r="U1942" s="379"/>
      <c r="V1942" s="379"/>
      <c r="W1942" s="379"/>
      <c r="X1942" s="379"/>
      <c r="Y1942" s="379"/>
      <c r="Z1942" s="379"/>
      <c r="AA1942" s="379"/>
      <c r="AB1942" s="379"/>
      <c r="AC1942" s="379"/>
      <c r="AD1942" s="379"/>
      <c r="AE1942" s="379"/>
      <c r="AF1942" s="379"/>
      <c r="AG1942" s="379"/>
      <c r="AH1942" s="379"/>
      <c r="AI1942" s="379"/>
      <c r="AJ1942" s="379"/>
      <c r="AK1942" s="379"/>
      <c r="AL1942" s="379"/>
      <c r="AM1942" s="379"/>
      <c r="AN1942" s="379"/>
      <c r="AO1942" s="379"/>
      <c r="AP1942" s="379"/>
      <c r="AQ1942" s="379"/>
      <c r="AR1942" s="379"/>
      <c r="AS1942" s="379"/>
      <c r="AT1942" s="379"/>
      <c r="AU1942" s="379"/>
      <c r="AV1942" s="379"/>
      <c r="AW1942" s="379"/>
      <c r="AX1942" s="379"/>
      <c r="AY1942" s="379"/>
      <c r="AZ1942" s="379"/>
      <c r="BA1942" s="379"/>
      <c r="BB1942" s="379"/>
      <c r="BC1942" s="379"/>
      <c r="BD1942" s="379"/>
      <c r="BE1942" s="379"/>
      <c r="BF1942" s="379"/>
      <c r="BG1942" s="379"/>
      <c r="BH1942" s="379"/>
      <c r="BI1942" s="379"/>
      <c r="BJ1942" s="379"/>
      <c r="BK1942" s="379"/>
      <c r="BL1942" s="379"/>
      <c r="BM1942" s="379"/>
      <c r="BN1942" s="379"/>
      <c r="BO1942" s="379"/>
      <c r="BP1942" s="379"/>
      <c r="BQ1942" s="379"/>
      <c r="BR1942" s="379"/>
      <c r="BS1942" s="379"/>
      <c r="BT1942" s="379"/>
      <c r="BU1942" s="379"/>
      <c r="BV1942" s="379"/>
      <c r="BW1942" s="379"/>
      <c r="BX1942" s="379"/>
      <c r="BY1942" s="379"/>
      <c r="BZ1942" s="379"/>
      <c r="CA1942" s="270"/>
      <c r="CB1942" s="3" t="str">
        <f t="shared" si="322"/>
        <v>Riadok bude skrytý.</v>
      </c>
      <c r="CC1942" s="271" t="s">
        <v>832</v>
      </c>
      <c r="CW1942" s="30">
        <f t="shared" si="325"/>
        <v>1</v>
      </c>
      <c r="CX1942" s="30">
        <f t="shared" si="329"/>
        <v>0</v>
      </c>
      <c r="CZ1942" s="30">
        <f t="shared" si="319"/>
        <v>1</v>
      </c>
      <c r="DA1942" s="52">
        <f t="shared" si="328"/>
        <v>0</v>
      </c>
      <c r="DB1942" s="2">
        <f t="shared" si="315"/>
        <v>0</v>
      </c>
      <c r="DS1942" s="130">
        <f>SI!BY1942</f>
        <v>189</v>
      </c>
      <c r="DZ1942" s="131">
        <f>SI!BZ1942</f>
        <v>0</v>
      </c>
    </row>
    <row r="1943" spans="1:130" hidden="1" x14ac:dyDescent="0.25">
      <c r="A1943" s="141"/>
      <c r="B1943" s="379"/>
      <c r="C1943" s="379"/>
      <c r="D1943" s="379"/>
      <c r="E1943" s="379"/>
      <c r="F1943" s="379"/>
      <c r="G1943" s="379"/>
      <c r="H1943" s="379"/>
      <c r="I1943" s="379"/>
      <c r="J1943" s="379"/>
      <c r="K1943" s="379"/>
      <c r="L1943" s="379"/>
      <c r="M1943" s="379"/>
      <c r="N1943" s="379"/>
      <c r="O1943" s="379"/>
      <c r="P1943" s="379"/>
      <c r="Q1943" s="379"/>
      <c r="R1943" s="379"/>
      <c r="S1943" s="379"/>
      <c r="T1943" s="379"/>
      <c r="U1943" s="379"/>
      <c r="V1943" s="379"/>
      <c r="W1943" s="379"/>
      <c r="X1943" s="379"/>
      <c r="Y1943" s="379"/>
      <c r="Z1943" s="379"/>
      <c r="AA1943" s="379"/>
      <c r="AB1943" s="379"/>
      <c r="AC1943" s="379"/>
      <c r="AD1943" s="379"/>
      <c r="AE1943" s="379"/>
      <c r="AF1943" s="379"/>
      <c r="AG1943" s="379"/>
      <c r="AH1943" s="379"/>
      <c r="AI1943" s="379"/>
      <c r="AJ1943" s="379"/>
      <c r="AK1943" s="379"/>
      <c r="AL1943" s="379"/>
      <c r="AM1943" s="379"/>
      <c r="AN1943" s="379"/>
      <c r="AO1943" s="379"/>
      <c r="AP1943" s="379"/>
      <c r="AQ1943" s="379"/>
      <c r="AR1943" s="379"/>
      <c r="AS1943" s="379"/>
      <c r="AT1943" s="379"/>
      <c r="AU1943" s="379"/>
      <c r="AV1943" s="379"/>
      <c r="AW1943" s="379"/>
      <c r="AX1943" s="379"/>
      <c r="AY1943" s="379"/>
      <c r="AZ1943" s="379"/>
      <c r="BA1943" s="379"/>
      <c r="BB1943" s="379"/>
      <c r="BC1943" s="379"/>
      <c r="BD1943" s="379"/>
      <c r="BE1943" s="379"/>
      <c r="BF1943" s="379"/>
      <c r="BG1943" s="379"/>
      <c r="BH1943" s="379"/>
      <c r="BI1943" s="379"/>
      <c r="BJ1943" s="379"/>
      <c r="BK1943" s="379"/>
      <c r="BL1943" s="379"/>
      <c r="BM1943" s="379"/>
      <c r="BN1943" s="379"/>
      <c r="BO1943" s="379"/>
      <c r="BP1943" s="379"/>
      <c r="BQ1943" s="379"/>
      <c r="BR1943" s="379"/>
      <c r="BS1943" s="379"/>
      <c r="BT1943" s="379"/>
      <c r="BU1943" s="379"/>
      <c r="BV1943" s="379"/>
      <c r="BW1943" s="379"/>
      <c r="BX1943" s="379"/>
      <c r="BY1943" s="379"/>
      <c r="BZ1943" s="379"/>
      <c r="CA1943" s="270"/>
      <c r="CB1943" s="3" t="str">
        <f t="shared" si="322"/>
        <v>Riadok bude skrytý.</v>
      </c>
      <c r="CC1943" s="271" t="s">
        <v>832</v>
      </c>
      <c r="CW1943" s="30">
        <f t="shared" si="325"/>
        <v>1</v>
      </c>
      <c r="CX1943" s="30">
        <f t="shared" si="329"/>
        <v>0</v>
      </c>
      <c r="CZ1943" s="30">
        <f t="shared" si="319"/>
        <v>1</v>
      </c>
      <c r="DA1943" s="52">
        <f t="shared" si="328"/>
        <v>0</v>
      </c>
      <c r="DB1943" s="2">
        <f t="shared" si="315"/>
        <v>0</v>
      </c>
      <c r="DS1943" s="130">
        <f>SI!BY1943</f>
        <v>105</v>
      </c>
      <c r="DZ1943" s="131">
        <f>SI!BZ1943</f>
        <v>0</v>
      </c>
    </row>
    <row r="1944" spans="1:130" hidden="1" x14ac:dyDescent="0.25">
      <c r="A1944" s="141"/>
      <c r="B1944" s="379"/>
      <c r="C1944" s="379"/>
      <c r="D1944" s="379"/>
      <c r="E1944" s="379"/>
      <c r="F1944" s="379"/>
      <c r="G1944" s="379"/>
      <c r="H1944" s="379"/>
      <c r="I1944" s="379"/>
      <c r="J1944" s="379"/>
      <c r="K1944" s="379"/>
      <c r="L1944" s="379"/>
      <c r="M1944" s="379"/>
      <c r="N1944" s="379"/>
      <c r="O1944" s="379"/>
      <c r="P1944" s="379"/>
      <c r="Q1944" s="379"/>
      <c r="R1944" s="379"/>
      <c r="S1944" s="379"/>
      <c r="T1944" s="379"/>
      <c r="U1944" s="379"/>
      <c r="V1944" s="379"/>
      <c r="W1944" s="379"/>
      <c r="X1944" s="379"/>
      <c r="Y1944" s="379"/>
      <c r="Z1944" s="379"/>
      <c r="AA1944" s="379"/>
      <c r="AB1944" s="379"/>
      <c r="AC1944" s="379"/>
      <c r="AD1944" s="379"/>
      <c r="AE1944" s="379"/>
      <c r="AF1944" s="379"/>
      <c r="AG1944" s="379"/>
      <c r="AH1944" s="379"/>
      <c r="AI1944" s="379"/>
      <c r="AJ1944" s="379"/>
      <c r="AK1944" s="379"/>
      <c r="AL1944" s="379"/>
      <c r="AM1944" s="379"/>
      <c r="AN1944" s="379"/>
      <c r="AO1944" s="379"/>
      <c r="AP1944" s="379"/>
      <c r="AQ1944" s="379"/>
      <c r="AR1944" s="379"/>
      <c r="AS1944" s="379"/>
      <c r="AT1944" s="379"/>
      <c r="AU1944" s="379"/>
      <c r="AV1944" s="379"/>
      <c r="AW1944" s="379"/>
      <c r="AX1944" s="379"/>
      <c r="AY1944" s="379"/>
      <c r="AZ1944" s="379"/>
      <c r="BA1944" s="379"/>
      <c r="BB1944" s="379"/>
      <c r="BC1944" s="379"/>
      <c r="BD1944" s="379"/>
      <c r="BE1944" s="379"/>
      <c r="BF1944" s="379"/>
      <c r="BG1944" s="379"/>
      <c r="BH1944" s="379"/>
      <c r="BI1944" s="379"/>
      <c r="BJ1944" s="379"/>
      <c r="BK1944" s="379"/>
      <c r="BL1944" s="379"/>
      <c r="BM1944" s="379"/>
      <c r="BN1944" s="379"/>
      <c r="BO1944" s="379"/>
      <c r="BP1944" s="379"/>
      <c r="BQ1944" s="379"/>
      <c r="BR1944" s="379"/>
      <c r="BS1944" s="379"/>
      <c r="BT1944" s="379"/>
      <c r="BU1944" s="379"/>
      <c r="BV1944" s="379"/>
      <c r="BW1944" s="379"/>
      <c r="BX1944" s="379"/>
      <c r="BY1944" s="379"/>
      <c r="BZ1944" s="379"/>
      <c r="CA1944" s="270"/>
      <c r="CB1944" s="3" t="str">
        <f t="shared" si="322"/>
        <v>Riadok bude skrytý.</v>
      </c>
      <c r="CC1944" s="271" t="s">
        <v>832</v>
      </c>
      <c r="CW1944" s="30">
        <f t="shared" si="325"/>
        <v>1</v>
      </c>
      <c r="CX1944" s="30">
        <f t="shared" si="329"/>
        <v>0</v>
      </c>
      <c r="CZ1944" s="30">
        <f t="shared" si="319"/>
        <v>1</v>
      </c>
      <c r="DA1944" s="52">
        <f t="shared" si="328"/>
        <v>0</v>
      </c>
      <c r="DB1944" s="2">
        <f t="shared" si="315"/>
        <v>0</v>
      </c>
      <c r="DS1944" s="130">
        <f>SI!BY1944</f>
        <v>1014</v>
      </c>
      <c r="DZ1944" s="131">
        <f>SI!BZ1944</f>
        <v>0</v>
      </c>
    </row>
    <row r="1945" spans="1:130" hidden="1" x14ac:dyDescent="0.25">
      <c r="A1945" s="141"/>
      <c r="B1945" s="379"/>
      <c r="C1945" s="379"/>
      <c r="D1945" s="379"/>
      <c r="E1945" s="379"/>
      <c r="F1945" s="379"/>
      <c r="G1945" s="379"/>
      <c r="H1945" s="379"/>
      <c r="I1945" s="379"/>
      <c r="J1945" s="379"/>
      <c r="K1945" s="379"/>
      <c r="L1945" s="379"/>
      <c r="M1945" s="379"/>
      <c r="N1945" s="379"/>
      <c r="O1945" s="379"/>
      <c r="P1945" s="379"/>
      <c r="Q1945" s="379"/>
      <c r="R1945" s="379"/>
      <c r="S1945" s="379"/>
      <c r="T1945" s="379"/>
      <c r="U1945" s="379"/>
      <c r="V1945" s="379"/>
      <c r="W1945" s="379"/>
      <c r="X1945" s="379"/>
      <c r="Y1945" s="379"/>
      <c r="Z1945" s="379"/>
      <c r="AA1945" s="379"/>
      <c r="AB1945" s="379"/>
      <c r="AC1945" s="379"/>
      <c r="AD1945" s="379"/>
      <c r="AE1945" s="379"/>
      <c r="AF1945" s="379"/>
      <c r="AG1945" s="379"/>
      <c r="AH1945" s="379"/>
      <c r="AI1945" s="379"/>
      <c r="AJ1945" s="379"/>
      <c r="AK1945" s="379"/>
      <c r="AL1945" s="379"/>
      <c r="AM1945" s="379"/>
      <c r="AN1945" s="379"/>
      <c r="AO1945" s="379"/>
      <c r="AP1945" s="379"/>
      <c r="AQ1945" s="379"/>
      <c r="AR1945" s="379"/>
      <c r="AS1945" s="379"/>
      <c r="AT1945" s="379"/>
      <c r="AU1945" s="379"/>
      <c r="AV1945" s="379"/>
      <c r="AW1945" s="379"/>
      <c r="AX1945" s="379"/>
      <c r="AY1945" s="379"/>
      <c r="AZ1945" s="379"/>
      <c r="BA1945" s="379"/>
      <c r="BB1945" s="379"/>
      <c r="BC1945" s="379"/>
      <c r="BD1945" s="379"/>
      <c r="BE1945" s="379"/>
      <c r="BF1945" s="379"/>
      <c r="BG1945" s="379"/>
      <c r="BH1945" s="379"/>
      <c r="BI1945" s="379"/>
      <c r="BJ1945" s="379"/>
      <c r="BK1945" s="379"/>
      <c r="BL1945" s="379"/>
      <c r="BM1945" s="379"/>
      <c r="BN1945" s="379"/>
      <c r="BO1945" s="379"/>
      <c r="BP1945" s="379"/>
      <c r="BQ1945" s="379"/>
      <c r="BR1945" s="379"/>
      <c r="BS1945" s="379"/>
      <c r="BT1945" s="379"/>
      <c r="BU1945" s="379"/>
      <c r="BV1945" s="379"/>
      <c r="BW1945" s="379"/>
      <c r="BX1945" s="379"/>
      <c r="BY1945" s="379"/>
      <c r="BZ1945" s="379"/>
      <c r="CA1945" s="270"/>
      <c r="CB1945" s="3" t="str">
        <f t="shared" si="322"/>
        <v>Riadok bude skrytý.</v>
      </c>
      <c r="CC1945" s="271" t="s">
        <v>832</v>
      </c>
      <c r="CW1945" s="30">
        <f t="shared" si="325"/>
        <v>1</v>
      </c>
      <c r="CX1945" s="30">
        <f t="shared" si="329"/>
        <v>0</v>
      </c>
      <c r="CZ1945" s="30">
        <f t="shared" si="319"/>
        <v>1</v>
      </c>
      <c r="DA1945" s="52">
        <f t="shared" si="328"/>
        <v>0</v>
      </c>
      <c r="DB1945" s="2">
        <f t="shared" si="315"/>
        <v>0</v>
      </c>
      <c r="DS1945" s="130">
        <f>SI!BY1945</f>
        <v>4</v>
      </c>
      <c r="DZ1945" s="131">
        <f>SI!BZ1945</f>
        <v>0</v>
      </c>
    </row>
    <row r="1946" spans="1:130" hidden="1" x14ac:dyDescent="0.25">
      <c r="A1946" s="141"/>
      <c r="B1946" s="379"/>
      <c r="C1946" s="379"/>
      <c r="D1946" s="379"/>
      <c r="E1946" s="379"/>
      <c r="F1946" s="379"/>
      <c r="G1946" s="379"/>
      <c r="H1946" s="379"/>
      <c r="I1946" s="379"/>
      <c r="J1946" s="379"/>
      <c r="K1946" s="379"/>
      <c r="L1946" s="379"/>
      <c r="M1946" s="379"/>
      <c r="N1946" s="379"/>
      <c r="O1946" s="379"/>
      <c r="P1946" s="379"/>
      <c r="Q1946" s="379"/>
      <c r="R1946" s="379"/>
      <c r="S1946" s="379"/>
      <c r="T1946" s="379"/>
      <c r="U1946" s="379"/>
      <c r="V1946" s="379"/>
      <c r="W1946" s="379"/>
      <c r="X1946" s="379"/>
      <c r="Y1946" s="379"/>
      <c r="Z1946" s="379"/>
      <c r="AA1946" s="379"/>
      <c r="AB1946" s="379"/>
      <c r="AC1946" s="379"/>
      <c r="AD1946" s="379"/>
      <c r="AE1946" s="379"/>
      <c r="AF1946" s="379"/>
      <c r="AG1946" s="379"/>
      <c r="AH1946" s="379"/>
      <c r="AI1946" s="379"/>
      <c r="AJ1946" s="379"/>
      <c r="AK1946" s="379"/>
      <c r="AL1946" s="379"/>
      <c r="AM1946" s="379"/>
      <c r="AN1946" s="379"/>
      <c r="AO1946" s="379"/>
      <c r="AP1946" s="379"/>
      <c r="AQ1946" s="379"/>
      <c r="AR1946" s="379"/>
      <c r="AS1946" s="379"/>
      <c r="AT1946" s="379"/>
      <c r="AU1946" s="379"/>
      <c r="AV1946" s="379"/>
      <c r="AW1946" s="379"/>
      <c r="AX1946" s="379"/>
      <c r="AY1946" s="379"/>
      <c r="AZ1946" s="379"/>
      <c r="BA1946" s="379"/>
      <c r="BB1946" s="379"/>
      <c r="BC1946" s="379"/>
      <c r="BD1946" s="379"/>
      <c r="BE1946" s="379"/>
      <c r="BF1946" s="379"/>
      <c r="BG1946" s="379"/>
      <c r="BH1946" s="379"/>
      <c r="BI1946" s="379"/>
      <c r="BJ1946" s="379"/>
      <c r="BK1946" s="379"/>
      <c r="BL1946" s="379"/>
      <c r="BM1946" s="379"/>
      <c r="BN1946" s="379"/>
      <c r="BO1946" s="379"/>
      <c r="BP1946" s="379"/>
      <c r="BQ1946" s="379"/>
      <c r="BR1946" s="379"/>
      <c r="BS1946" s="379"/>
      <c r="BT1946" s="379"/>
      <c r="BU1946" s="379"/>
      <c r="BV1946" s="379"/>
      <c r="BW1946" s="379"/>
      <c r="BX1946" s="379"/>
      <c r="BY1946" s="379"/>
      <c r="BZ1946" s="379"/>
      <c r="CA1946" s="270"/>
      <c r="CB1946" s="3" t="str">
        <f t="shared" si="322"/>
        <v>Riadok bude skrytý.</v>
      </c>
      <c r="CC1946" s="271" t="s">
        <v>832</v>
      </c>
      <c r="CW1946" s="30">
        <f t="shared" si="325"/>
        <v>1</v>
      </c>
      <c r="CX1946" s="30">
        <f t="shared" si="329"/>
        <v>0</v>
      </c>
      <c r="CZ1946" s="30">
        <f t="shared" si="319"/>
        <v>1</v>
      </c>
      <c r="DA1946" s="52">
        <f t="shared" si="328"/>
        <v>0</v>
      </c>
      <c r="DB1946" s="2">
        <f t="shared" si="315"/>
        <v>0</v>
      </c>
      <c r="DS1946" s="130">
        <f>SI!BY1946</f>
        <v>163</v>
      </c>
      <c r="DZ1946" s="131">
        <f>SI!BZ1946</f>
        <v>0</v>
      </c>
    </row>
    <row r="1947" spans="1:130" hidden="1" x14ac:dyDescent="0.25">
      <c r="A1947" s="141"/>
      <c r="B1947" s="379"/>
      <c r="C1947" s="379"/>
      <c r="D1947" s="379"/>
      <c r="E1947" s="379"/>
      <c r="F1947" s="379"/>
      <c r="G1947" s="379"/>
      <c r="H1947" s="379"/>
      <c r="I1947" s="379"/>
      <c r="J1947" s="379"/>
      <c r="K1947" s="379"/>
      <c r="L1947" s="379"/>
      <c r="M1947" s="379"/>
      <c r="N1947" s="379"/>
      <c r="O1947" s="379"/>
      <c r="P1947" s="379"/>
      <c r="Q1947" s="379"/>
      <c r="R1947" s="379"/>
      <c r="S1947" s="379"/>
      <c r="T1947" s="379"/>
      <c r="U1947" s="379"/>
      <c r="V1947" s="379"/>
      <c r="W1947" s="379"/>
      <c r="X1947" s="379"/>
      <c r="Y1947" s="379"/>
      <c r="Z1947" s="379"/>
      <c r="AA1947" s="379"/>
      <c r="AB1947" s="379"/>
      <c r="AC1947" s="379"/>
      <c r="AD1947" s="379"/>
      <c r="AE1947" s="379"/>
      <c r="AF1947" s="379"/>
      <c r="AG1947" s="379"/>
      <c r="AH1947" s="379"/>
      <c r="AI1947" s="379"/>
      <c r="AJ1947" s="379"/>
      <c r="AK1947" s="379"/>
      <c r="AL1947" s="379"/>
      <c r="AM1947" s="379"/>
      <c r="AN1947" s="379"/>
      <c r="AO1947" s="379"/>
      <c r="AP1947" s="379"/>
      <c r="AQ1947" s="379"/>
      <c r="AR1947" s="379"/>
      <c r="AS1947" s="379"/>
      <c r="AT1947" s="379"/>
      <c r="AU1947" s="379"/>
      <c r="AV1947" s="379"/>
      <c r="AW1947" s="379"/>
      <c r="AX1947" s="379"/>
      <c r="AY1947" s="379"/>
      <c r="AZ1947" s="379"/>
      <c r="BA1947" s="379"/>
      <c r="BB1947" s="379"/>
      <c r="BC1947" s="379"/>
      <c r="BD1947" s="379"/>
      <c r="BE1947" s="379"/>
      <c r="BF1947" s="379"/>
      <c r="BG1947" s="379"/>
      <c r="BH1947" s="379"/>
      <c r="BI1947" s="379"/>
      <c r="BJ1947" s="379"/>
      <c r="BK1947" s="379"/>
      <c r="BL1947" s="379"/>
      <c r="BM1947" s="379"/>
      <c r="BN1947" s="379"/>
      <c r="BO1947" s="379"/>
      <c r="BP1947" s="379"/>
      <c r="BQ1947" s="379"/>
      <c r="BR1947" s="379"/>
      <c r="BS1947" s="379"/>
      <c r="BT1947" s="379"/>
      <c r="BU1947" s="379"/>
      <c r="BV1947" s="379"/>
      <c r="BW1947" s="379"/>
      <c r="BX1947" s="379"/>
      <c r="BY1947" s="379"/>
      <c r="BZ1947" s="379"/>
      <c r="CA1947" s="270"/>
      <c r="CB1947" s="3" t="str">
        <f t="shared" si="322"/>
        <v>Riadok bude skrytý.</v>
      </c>
      <c r="CC1947" s="271" t="s">
        <v>832</v>
      </c>
      <c r="CW1947" s="30">
        <f t="shared" si="325"/>
        <v>1</v>
      </c>
      <c r="CX1947" s="30">
        <f t="shared" si="329"/>
        <v>0</v>
      </c>
      <c r="CZ1947" s="30">
        <f t="shared" si="319"/>
        <v>1</v>
      </c>
      <c r="DA1947" s="52">
        <f t="shared" si="328"/>
        <v>0</v>
      </c>
      <c r="DB1947" s="2">
        <f t="shared" si="315"/>
        <v>0</v>
      </c>
      <c r="DS1947" s="130">
        <f>SI!BY1947</f>
        <v>133</v>
      </c>
      <c r="DZ1947" s="131">
        <f>SI!BZ1947</f>
        <v>0</v>
      </c>
    </row>
    <row r="1948" spans="1:130" hidden="1" x14ac:dyDescent="0.25">
      <c r="A1948" s="141"/>
      <c r="B1948" s="379"/>
      <c r="C1948" s="379"/>
      <c r="D1948" s="379"/>
      <c r="E1948" s="379"/>
      <c r="F1948" s="379"/>
      <c r="G1948" s="379"/>
      <c r="H1948" s="379"/>
      <c r="I1948" s="379"/>
      <c r="J1948" s="379"/>
      <c r="K1948" s="379"/>
      <c r="L1948" s="379"/>
      <c r="M1948" s="379"/>
      <c r="N1948" s="379"/>
      <c r="O1948" s="379"/>
      <c r="P1948" s="379"/>
      <c r="Q1948" s="379"/>
      <c r="R1948" s="379"/>
      <c r="S1948" s="379"/>
      <c r="T1948" s="379"/>
      <c r="U1948" s="379"/>
      <c r="V1948" s="379"/>
      <c r="W1948" s="379"/>
      <c r="X1948" s="379"/>
      <c r="Y1948" s="379"/>
      <c r="Z1948" s="379"/>
      <c r="AA1948" s="379"/>
      <c r="AB1948" s="379"/>
      <c r="AC1948" s="379"/>
      <c r="AD1948" s="379"/>
      <c r="AE1948" s="379"/>
      <c r="AF1948" s="379"/>
      <c r="AG1948" s="379"/>
      <c r="AH1948" s="379"/>
      <c r="AI1948" s="379"/>
      <c r="AJ1948" s="379"/>
      <c r="AK1948" s="379"/>
      <c r="AL1948" s="379"/>
      <c r="AM1948" s="379"/>
      <c r="AN1948" s="379"/>
      <c r="AO1948" s="379"/>
      <c r="AP1948" s="379"/>
      <c r="AQ1948" s="379"/>
      <c r="AR1948" s="379"/>
      <c r="AS1948" s="379"/>
      <c r="AT1948" s="379"/>
      <c r="AU1948" s="379"/>
      <c r="AV1948" s="379"/>
      <c r="AW1948" s="379"/>
      <c r="AX1948" s="379"/>
      <c r="AY1948" s="379"/>
      <c r="AZ1948" s="379"/>
      <c r="BA1948" s="379"/>
      <c r="BB1948" s="379"/>
      <c r="BC1948" s="379"/>
      <c r="BD1948" s="379"/>
      <c r="BE1948" s="379"/>
      <c r="BF1948" s="379"/>
      <c r="BG1948" s="379"/>
      <c r="BH1948" s="379"/>
      <c r="BI1948" s="379"/>
      <c r="BJ1948" s="379"/>
      <c r="BK1948" s="379"/>
      <c r="BL1948" s="379"/>
      <c r="BM1948" s="379"/>
      <c r="BN1948" s="379"/>
      <c r="BO1948" s="379"/>
      <c r="BP1948" s="379"/>
      <c r="BQ1948" s="379"/>
      <c r="BR1948" s="379"/>
      <c r="BS1948" s="379"/>
      <c r="BT1948" s="379"/>
      <c r="BU1948" s="379"/>
      <c r="BV1948" s="379"/>
      <c r="BW1948" s="379"/>
      <c r="BX1948" s="379"/>
      <c r="BY1948" s="379"/>
      <c r="BZ1948" s="379"/>
      <c r="CA1948" s="270"/>
      <c r="CB1948" s="3" t="str">
        <f t="shared" si="322"/>
        <v>Riadok bude skrytý.</v>
      </c>
      <c r="CC1948" s="271" t="s">
        <v>832</v>
      </c>
      <c r="CW1948" s="30">
        <f t="shared" si="325"/>
        <v>1</v>
      </c>
      <c r="CX1948" s="30">
        <f t="shared" si="329"/>
        <v>0</v>
      </c>
      <c r="CZ1948" s="30">
        <f t="shared" si="319"/>
        <v>1</v>
      </c>
      <c r="DA1948" s="52">
        <f t="shared" si="328"/>
        <v>0</v>
      </c>
      <c r="DB1948" s="2">
        <f t="shared" ref="DB1948:DB2011" si="330">+IF($CD$1="malé",0,DA1948)</f>
        <v>0</v>
      </c>
      <c r="DS1948" s="130">
        <f>SI!BY1948</f>
        <v>314</v>
      </c>
      <c r="DZ1948" s="131">
        <f>SI!BZ1948</f>
        <v>0</v>
      </c>
    </row>
    <row r="1949" spans="1:130" hidden="1" x14ac:dyDescent="0.25">
      <c r="A1949" s="141"/>
      <c r="B1949" s="379"/>
      <c r="C1949" s="379"/>
      <c r="D1949" s="379"/>
      <c r="E1949" s="379"/>
      <c r="F1949" s="379"/>
      <c r="G1949" s="379"/>
      <c r="H1949" s="379"/>
      <c r="I1949" s="379"/>
      <c r="J1949" s="379"/>
      <c r="K1949" s="379"/>
      <c r="L1949" s="379"/>
      <c r="M1949" s="379"/>
      <c r="N1949" s="379"/>
      <c r="O1949" s="379"/>
      <c r="P1949" s="379"/>
      <c r="Q1949" s="379"/>
      <c r="R1949" s="379"/>
      <c r="S1949" s="379"/>
      <c r="T1949" s="379"/>
      <c r="U1949" s="379"/>
      <c r="V1949" s="379"/>
      <c r="W1949" s="379"/>
      <c r="X1949" s="379"/>
      <c r="Y1949" s="379"/>
      <c r="Z1949" s="379"/>
      <c r="AA1949" s="379"/>
      <c r="AB1949" s="379"/>
      <c r="AC1949" s="379"/>
      <c r="AD1949" s="379"/>
      <c r="AE1949" s="379"/>
      <c r="AF1949" s="379"/>
      <c r="AG1949" s="379"/>
      <c r="AH1949" s="379"/>
      <c r="AI1949" s="379"/>
      <c r="AJ1949" s="379"/>
      <c r="AK1949" s="379"/>
      <c r="AL1949" s="379"/>
      <c r="AM1949" s="379"/>
      <c r="AN1949" s="379"/>
      <c r="AO1949" s="379"/>
      <c r="AP1949" s="379"/>
      <c r="AQ1949" s="379"/>
      <c r="AR1949" s="379"/>
      <c r="AS1949" s="379"/>
      <c r="AT1949" s="379"/>
      <c r="AU1949" s="379"/>
      <c r="AV1949" s="379"/>
      <c r="AW1949" s="379"/>
      <c r="AX1949" s="379"/>
      <c r="AY1949" s="379"/>
      <c r="AZ1949" s="379"/>
      <c r="BA1949" s="379"/>
      <c r="BB1949" s="379"/>
      <c r="BC1949" s="379"/>
      <c r="BD1949" s="379"/>
      <c r="BE1949" s="379"/>
      <c r="BF1949" s="379"/>
      <c r="BG1949" s="379"/>
      <c r="BH1949" s="379"/>
      <c r="BI1949" s="379"/>
      <c r="BJ1949" s="379"/>
      <c r="BK1949" s="379"/>
      <c r="BL1949" s="379"/>
      <c r="BM1949" s="379"/>
      <c r="BN1949" s="379"/>
      <c r="BO1949" s="379"/>
      <c r="BP1949" s="379"/>
      <c r="BQ1949" s="379"/>
      <c r="BR1949" s="379"/>
      <c r="BS1949" s="379"/>
      <c r="BT1949" s="379"/>
      <c r="BU1949" s="379"/>
      <c r="BV1949" s="379"/>
      <c r="BW1949" s="379"/>
      <c r="BX1949" s="379"/>
      <c r="BY1949" s="379"/>
      <c r="BZ1949" s="379"/>
      <c r="CA1949" s="270"/>
      <c r="CB1949" s="3" t="str">
        <f t="shared" si="322"/>
        <v>Riadok bude skrytý.</v>
      </c>
      <c r="CC1949" s="271" t="s">
        <v>832</v>
      </c>
      <c r="CW1949" s="30">
        <f t="shared" si="325"/>
        <v>1</v>
      </c>
      <c r="CX1949" s="30">
        <f t="shared" si="329"/>
        <v>0</v>
      </c>
      <c r="CZ1949" s="30">
        <f t="shared" si="319"/>
        <v>1</v>
      </c>
      <c r="DA1949" s="52">
        <f t="shared" si="328"/>
        <v>0</v>
      </c>
      <c r="DB1949" s="2">
        <f t="shared" si="330"/>
        <v>0</v>
      </c>
      <c r="DS1949" s="130">
        <f>SI!BY1949</f>
        <v>151</v>
      </c>
      <c r="DZ1949" s="131">
        <f>SI!BZ1949</f>
        <v>0</v>
      </c>
    </row>
    <row r="1950" spans="1:130" hidden="1" x14ac:dyDescent="0.25">
      <c r="A1950" s="141"/>
      <c r="B1950" s="379"/>
      <c r="C1950" s="379"/>
      <c r="D1950" s="379"/>
      <c r="E1950" s="379"/>
      <c r="F1950" s="379"/>
      <c r="G1950" s="379"/>
      <c r="H1950" s="379"/>
      <c r="I1950" s="379"/>
      <c r="J1950" s="379"/>
      <c r="K1950" s="379"/>
      <c r="L1950" s="379"/>
      <c r="M1950" s="379"/>
      <c r="N1950" s="379"/>
      <c r="O1950" s="379"/>
      <c r="P1950" s="379"/>
      <c r="Q1950" s="379"/>
      <c r="R1950" s="379"/>
      <c r="S1950" s="379"/>
      <c r="T1950" s="379"/>
      <c r="U1950" s="379"/>
      <c r="V1950" s="379"/>
      <c r="W1950" s="379"/>
      <c r="X1950" s="379"/>
      <c r="Y1950" s="379"/>
      <c r="Z1950" s="379"/>
      <c r="AA1950" s="379"/>
      <c r="AB1950" s="379"/>
      <c r="AC1950" s="379"/>
      <c r="AD1950" s="379"/>
      <c r="AE1950" s="379"/>
      <c r="AF1950" s="379"/>
      <c r="AG1950" s="379"/>
      <c r="AH1950" s="379"/>
      <c r="AI1950" s="379"/>
      <c r="AJ1950" s="379"/>
      <c r="AK1950" s="379"/>
      <c r="AL1950" s="379"/>
      <c r="AM1950" s="379"/>
      <c r="AN1950" s="379"/>
      <c r="AO1950" s="379"/>
      <c r="AP1950" s="379"/>
      <c r="AQ1950" s="379"/>
      <c r="AR1950" s="379"/>
      <c r="AS1950" s="379"/>
      <c r="AT1950" s="379"/>
      <c r="AU1950" s="379"/>
      <c r="AV1950" s="379"/>
      <c r="AW1950" s="379"/>
      <c r="AX1950" s="379"/>
      <c r="AY1950" s="379"/>
      <c r="AZ1950" s="379"/>
      <c r="BA1950" s="379"/>
      <c r="BB1950" s="379"/>
      <c r="BC1950" s="379"/>
      <c r="BD1950" s="379"/>
      <c r="BE1950" s="379"/>
      <c r="BF1950" s="379"/>
      <c r="BG1950" s="379"/>
      <c r="BH1950" s="379"/>
      <c r="BI1950" s="379"/>
      <c r="BJ1950" s="379"/>
      <c r="BK1950" s="379"/>
      <c r="BL1950" s="379"/>
      <c r="BM1950" s="379"/>
      <c r="BN1950" s="379"/>
      <c r="BO1950" s="379"/>
      <c r="BP1950" s="379"/>
      <c r="BQ1950" s="379"/>
      <c r="BR1950" s="379"/>
      <c r="BS1950" s="379"/>
      <c r="BT1950" s="379"/>
      <c r="BU1950" s="379"/>
      <c r="BV1950" s="379"/>
      <c r="BW1950" s="379"/>
      <c r="BX1950" s="379"/>
      <c r="BY1950" s="379"/>
      <c r="BZ1950" s="379"/>
      <c r="CA1950" s="270"/>
      <c r="CB1950" s="3" t="str">
        <f t="shared" si="322"/>
        <v>Riadok bude skrytý.</v>
      </c>
      <c r="CC1950" s="271" t="s">
        <v>832</v>
      </c>
      <c r="CW1950" s="30">
        <f t="shared" si="325"/>
        <v>1</v>
      </c>
      <c r="CX1950" s="30">
        <f t="shared" si="329"/>
        <v>0</v>
      </c>
      <c r="CZ1950" s="30">
        <f t="shared" si="319"/>
        <v>1</v>
      </c>
      <c r="DA1950" s="52">
        <f t="shared" si="328"/>
        <v>0</v>
      </c>
      <c r="DB1950" s="2">
        <f t="shared" si="330"/>
        <v>0</v>
      </c>
      <c r="DS1950" s="130">
        <f>SI!BY1950</f>
        <v>132</v>
      </c>
      <c r="DZ1950" s="131">
        <f>SI!BZ1950</f>
        <v>0</v>
      </c>
    </row>
    <row r="1951" spans="1:130" hidden="1" x14ac:dyDescent="0.25">
      <c r="A1951" s="141"/>
      <c r="B1951" s="379"/>
      <c r="C1951" s="379"/>
      <c r="D1951" s="379"/>
      <c r="E1951" s="379"/>
      <c r="F1951" s="379"/>
      <c r="G1951" s="379"/>
      <c r="H1951" s="379"/>
      <c r="I1951" s="379"/>
      <c r="J1951" s="379"/>
      <c r="K1951" s="379"/>
      <c r="L1951" s="379"/>
      <c r="M1951" s="379"/>
      <c r="N1951" s="379"/>
      <c r="O1951" s="379"/>
      <c r="P1951" s="379"/>
      <c r="Q1951" s="379"/>
      <c r="R1951" s="379"/>
      <c r="S1951" s="379"/>
      <c r="T1951" s="379"/>
      <c r="U1951" s="379"/>
      <c r="V1951" s="379"/>
      <c r="W1951" s="379"/>
      <c r="X1951" s="379"/>
      <c r="Y1951" s="379"/>
      <c r="Z1951" s="379"/>
      <c r="AA1951" s="379"/>
      <c r="AB1951" s="379"/>
      <c r="AC1951" s="379"/>
      <c r="AD1951" s="379"/>
      <c r="AE1951" s="379"/>
      <c r="AF1951" s="379"/>
      <c r="AG1951" s="379"/>
      <c r="AH1951" s="379"/>
      <c r="AI1951" s="379"/>
      <c r="AJ1951" s="379"/>
      <c r="AK1951" s="379"/>
      <c r="AL1951" s="379"/>
      <c r="AM1951" s="379"/>
      <c r="AN1951" s="379"/>
      <c r="AO1951" s="379"/>
      <c r="AP1951" s="379"/>
      <c r="AQ1951" s="379"/>
      <c r="AR1951" s="379"/>
      <c r="AS1951" s="379"/>
      <c r="AT1951" s="379"/>
      <c r="AU1951" s="379"/>
      <c r="AV1951" s="379"/>
      <c r="AW1951" s="379"/>
      <c r="AX1951" s="379"/>
      <c r="AY1951" s="379"/>
      <c r="AZ1951" s="379"/>
      <c r="BA1951" s="379"/>
      <c r="BB1951" s="379"/>
      <c r="BC1951" s="379"/>
      <c r="BD1951" s="379"/>
      <c r="BE1951" s="379"/>
      <c r="BF1951" s="379"/>
      <c r="BG1951" s="379"/>
      <c r="BH1951" s="379"/>
      <c r="BI1951" s="379"/>
      <c r="BJ1951" s="379"/>
      <c r="BK1951" s="379"/>
      <c r="BL1951" s="379"/>
      <c r="BM1951" s="379"/>
      <c r="BN1951" s="379"/>
      <c r="BO1951" s="379"/>
      <c r="BP1951" s="379"/>
      <c r="BQ1951" s="379"/>
      <c r="BR1951" s="379"/>
      <c r="BS1951" s="379"/>
      <c r="BT1951" s="379"/>
      <c r="BU1951" s="379"/>
      <c r="BV1951" s="379"/>
      <c r="BW1951" s="379"/>
      <c r="BX1951" s="379"/>
      <c r="BY1951" s="379"/>
      <c r="BZ1951" s="379"/>
      <c r="CA1951" s="270"/>
      <c r="CB1951" s="3" t="str">
        <f t="shared" si="322"/>
        <v>Riadok bude skrytý.</v>
      </c>
      <c r="CC1951" s="271" t="s">
        <v>832</v>
      </c>
      <c r="CW1951" s="30">
        <f t="shared" si="325"/>
        <v>1</v>
      </c>
      <c r="CX1951" s="30">
        <f t="shared" si="329"/>
        <v>0</v>
      </c>
      <c r="CZ1951" s="30">
        <f t="shared" si="319"/>
        <v>1</v>
      </c>
      <c r="DA1951" s="52">
        <f t="shared" si="328"/>
        <v>0</v>
      </c>
      <c r="DB1951" s="2">
        <f t="shared" si="330"/>
        <v>0</v>
      </c>
      <c r="DS1951" s="130">
        <f>SI!BY1951</f>
        <v>781</v>
      </c>
      <c r="DZ1951" s="131">
        <f>SI!BZ1951</f>
        <v>0</v>
      </c>
    </row>
    <row r="1952" spans="1:130" hidden="1" x14ac:dyDescent="0.25">
      <c r="A1952" s="141"/>
      <c r="B1952" s="379"/>
      <c r="C1952" s="379"/>
      <c r="D1952" s="379"/>
      <c r="E1952" s="379"/>
      <c r="F1952" s="379"/>
      <c r="G1952" s="379"/>
      <c r="H1952" s="379"/>
      <c r="I1952" s="379"/>
      <c r="J1952" s="379"/>
      <c r="K1952" s="379"/>
      <c r="L1952" s="379"/>
      <c r="M1952" s="379"/>
      <c r="N1952" s="379"/>
      <c r="O1952" s="379"/>
      <c r="P1952" s="379"/>
      <c r="Q1952" s="379"/>
      <c r="R1952" s="379"/>
      <c r="S1952" s="379"/>
      <c r="T1952" s="379"/>
      <c r="U1952" s="379"/>
      <c r="V1952" s="379"/>
      <c r="W1952" s="379"/>
      <c r="X1952" s="379"/>
      <c r="Y1952" s="379"/>
      <c r="Z1952" s="379"/>
      <c r="AA1952" s="379"/>
      <c r="AB1952" s="379"/>
      <c r="AC1952" s="379"/>
      <c r="AD1952" s="379"/>
      <c r="AE1952" s="379"/>
      <c r="AF1952" s="379"/>
      <c r="AG1952" s="379"/>
      <c r="AH1952" s="379"/>
      <c r="AI1952" s="379"/>
      <c r="AJ1952" s="379"/>
      <c r="AK1952" s="379"/>
      <c r="AL1952" s="379"/>
      <c r="AM1952" s="379"/>
      <c r="AN1952" s="379"/>
      <c r="AO1952" s="379"/>
      <c r="AP1952" s="379"/>
      <c r="AQ1952" s="379"/>
      <c r="AR1952" s="379"/>
      <c r="AS1952" s="379"/>
      <c r="AT1952" s="379"/>
      <c r="AU1952" s="379"/>
      <c r="AV1952" s="379"/>
      <c r="AW1952" s="379"/>
      <c r="AX1952" s="379"/>
      <c r="AY1952" s="379"/>
      <c r="AZ1952" s="379"/>
      <c r="BA1952" s="379"/>
      <c r="BB1952" s="379"/>
      <c r="BC1952" s="379"/>
      <c r="BD1952" s="379"/>
      <c r="BE1952" s="379"/>
      <c r="BF1952" s="379"/>
      <c r="BG1952" s="379"/>
      <c r="BH1952" s="379"/>
      <c r="BI1952" s="379"/>
      <c r="BJ1952" s="379"/>
      <c r="BK1952" s="379"/>
      <c r="BL1952" s="379"/>
      <c r="BM1952" s="379"/>
      <c r="BN1952" s="379"/>
      <c r="BO1952" s="379"/>
      <c r="BP1952" s="379"/>
      <c r="BQ1952" s="379"/>
      <c r="BR1952" s="379"/>
      <c r="BS1952" s="379"/>
      <c r="BT1952" s="379"/>
      <c r="BU1952" s="379"/>
      <c r="BV1952" s="379"/>
      <c r="BW1952" s="379"/>
      <c r="BX1952" s="379"/>
      <c r="BY1952" s="379"/>
      <c r="BZ1952" s="379"/>
      <c r="CA1952" s="270"/>
      <c r="CB1952" s="3" t="str">
        <f t="shared" si="322"/>
        <v>Riadok bude skrytý.</v>
      </c>
      <c r="CC1952" s="271" t="s">
        <v>832</v>
      </c>
      <c r="CW1952" s="30">
        <f t="shared" ref="CW1952:CW1957" si="331">+IF($J$1886="neeviduje",0,1)</f>
        <v>1</v>
      </c>
      <c r="CX1952" s="30">
        <f t="shared" si="329"/>
        <v>0</v>
      </c>
      <c r="CZ1952" s="30">
        <f t="shared" si="319"/>
        <v>1</v>
      </c>
      <c r="DA1952" s="52">
        <f t="shared" si="328"/>
        <v>0</v>
      </c>
      <c r="DB1952" s="2">
        <f t="shared" si="330"/>
        <v>0</v>
      </c>
      <c r="DS1952" s="130">
        <f>SI!BY1952</f>
        <v>183</v>
      </c>
      <c r="DZ1952" s="131">
        <f>SI!BZ1952</f>
        <v>0</v>
      </c>
    </row>
    <row r="1953" spans="1:130" hidden="1" x14ac:dyDescent="0.25">
      <c r="A1953" s="141"/>
      <c r="B1953" s="379"/>
      <c r="C1953" s="379"/>
      <c r="D1953" s="379"/>
      <c r="E1953" s="379"/>
      <c r="F1953" s="379"/>
      <c r="G1953" s="379"/>
      <c r="H1953" s="379"/>
      <c r="I1953" s="379"/>
      <c r="J1953" s="379"/>
      <c r="K1953" s="379"/>
      <c r="L1953" s="379"/>
      <c r="M1953" s="379"/>
      <c r="N1953" s="379"/>
      <c r="O1953" s="379"/>
      <c r="P1953" s="379"/>
      <c r="Q1953" s="379"/>
      <c r="R1953" s="379"/>
      <c r="S1953" s="379"/>
      <c r="T1953" s="379"/>
      <c r="U1953" s="379"/>
      <c r="V1953" s="379"/>
      <c r="W1953" s="379"/>
      <c r="X1953" s="379"/>
      <c r="Y1953" s="379"/>
      <c r="Z1953" s="379"/>
      <c r="AA1953" s="379"/>
      <c r="AB1953" s="379"/>
      <c r="AC1953" s="379"/>
      <c r="AD1953" s="379"/>
      <c r="AE1953" s="379"/>
      <c r="AF1953" s="379"/>
      <c r="AG1953" s="379"/>
      <c r="AH1953" s="379"/>
      <c r="AI1953" s="379"/>
      <c r="AJ1953" s="379"/>
      <c r="AK1953" s="379"/>
      <c r="AL1953" s="379"/>
      <c r="AM1953" s="379"/>
      <c r="AN1953" s="379"/>
      <c r="AO1953" s="379"/>
      <c r="AP1953" s="379"/>
      <c r="AQ1953" s="379"/>
      <c r="AR1953" s="379"/>
      <c r="AS1953" s="379"/>
      <c r="AT1953" s="379"/>
      <c r="AU1953" s="379"/>
      <c r="AV1953" s="379"/>
      <c r="AW1953" s="379"/>
      <c r="AX1953" s="379"/>
      <c r="AY1953" s="379"/>
      <c r="AZ1953" s="379"/>
      <c r="BA1953" s="379"/>
      <c r="BB1953" s="379"/>
      <c r="BC1953" s="379"/>
      <c r="BD1953" s="379"/>
      <c r="BE1953" s="379"/>
      <c r="BF1953" s="379"/>
      <c r="BG1953" s="379"/>
      <c r="BH1953" s="379"/>
      <c r="BI1953" s="379"/>
      <c r="BJ1953" s="379"/>
      <c r="BK1953" s="379"/>
      <c r="BL1953" s="379"/>
      <c r="BM1953" s="379"/>
      <c r="BN1953" s="379"/>
      <c r="BO1953" s="379"/>
      <c r="BP1953" s="379"/>
      <c r="BQ1953" s="379"/>
      <c r="BR1953" s="379"/>
      <c r="BS1953" s="379"/>
      <c r="BT1953" s="379"/>
      <c r="BU1953" s="379"/>
      <c r="BV1953" s="379"/>
      <c r="BW1953" s="379"/>
      <c r="BX1953" s="379"/>
      <c r="BY1953" s="379"/>
      <c r="BZ1953" s="379"/>
      <c r="CA1953" s="270"/>
      <c r="CB1953" s="3" t="str">
        <f t="shared" si="322"/>
        <v>Riadok bude skrytý.</v>
      </c>
      <c r="CC1953" s="271" t="s">
        <v>832</v>
      </c>
      <c r="CW1953" s="30">
        <f t="shared" si="331"/>
        <v>1</v>
      </c>
      <c r="CX1953" s="30">
        <f t="shared" si="329"/>
        <v>0</v>
      </c>
      <c r="CZ1953" s="30">
        <f t="shared" si="319"/>
        <v>1</v>
      </c>
      <c r="DA1953" s="52">
        <f t="shared" si="328"/>
        <v>0</v>
      </c>
      <c r="DB1953" s="2">
        <f t="shared" si="330"/>
        <v>0</v>
      </c>
      <c r="DS1953" s="130">
        <f>SI!BY1953</f>
        <v>506</v>
      </c>
      <c r="DZ1953" s="131">
        <f>SI!BZ1953</f>
        <v>0</v>
      </c>
    </row>
    <row r="1954" spans="1:130" hidden="1" x14ac:dyDescent="0.25">
      <c r="A1954" s="141"/>
      <c r="B1954" s="379"/>
      <c r="C1954" s="379"/>
      <c r="D1954" s="379"/>
      <c r="E1954" s="379"/>
      <c r="F1954" s="379"/>
      <c r="G1954" s="379"/>
      <c r="H1954" s="379"/>
      <c r="I1954" s="379"/>
      <c r="J1954" s="379"/>
      <c r="K1954" s="379"/>
      <c r="L1954" s="379"/>
      <c r="M1954" s="379"/>
      <c r="N1954" s="379"/>
      <c r="O1954" s="379"/>
      <c r="P1954" s="379"/>
      <c r="Q1954" s="379"/>
      <c r="R1954" s="379"/>
      <c r="S1954" s="379"/>
      <c r="T1954" s="379"/>
      <c r="U1954" s="379"/>
      <c r="V1954" s="379"/>
      <c r="W1954" s="379"/>
      <c r="X1954" s="379"/>
      <c r="Y1954" s="379"/>
      <c r="Z1954" s="379"/>
      <c r="AA1954" s="379"/>
      <c r="AB1954" s="379"/>
      <c r="AC1954" s="379"/>
      <c r="AD1954" s="379"/>
      <c r="AE1954" s="379"/>
      <c r="AF1954" s="379"/>
      <c r="AG1954" s="379"/>
      <c r="AH1954" s="379"/>
      <c r="AI1954" s="379"/>
      <c r="AJ1954" s="379"/>
      <c r="AK1954" s="379"/>
      <c r="AL1954" s="379"/>
      <c r="AM1954" s="379"/>
      <c r="AN1954" s="379"/>
      <c r="AO1954" s="379"/>
      <c r="AP1954" s="379"/>
      <c r="AQ1954" s="379"/>
      <c r="AR1954" s="379"/>
      <c r="AS1954" s="379"/>
      <c r="AT1954" s="379"/>
      <c r="AU1954" s="379"/>
      <c r="AV1954" s="379"/>
      <c r="AW1954" s="379"/>
      <c r="AX1954" s="379"/>
      <c r="AY1954" s="379"/>
      <c r="AZ1954" s="379"/>
      <c r="BA1954" s="379"/>
      <c r="BB1954" s="379"/>
      <c r="BC1954" s="379"/>
      <c r="BD1954" s="379"/>
      <c r="BE1954" s="379"/>
      <c r="BF1954" s="379"/>
      <c r="BG1954" s="379"/>
      <c r="BH1954" s="379"/>
      <c r="BI1954" s="379"/>
      <c r="BJ1954" s="379"/>
      <c r="BK1954" s="379"/>
      <c r="BL1954" s="379"/>
      <c r="BM1954" s="379"/>
      <c r="BN1954" s="379"/>
      <c r="BO1954" s="379"/>
      <c r="BP1954" s="379"/>
      <c r="BQ1954" s="379"/>
      <c r="BR1954" s="379"/>
      <c r="BS1954" s="379"/>
      <c r="BT1954" s="379"/>
      <c r="BU1954" s="379"/>
      <c r="BV1954" s="379"/>
      <c r="BW1954" s="379"/>
      <c r="BX1954" s="379"/>
      <c r="BY1954" s="379"/>
      <c r="BZ1954" s="379"/>
      <c r="CA1954" s="270"/>
      <c r="CB1954" s="3" t="str">
        <f t="shared" si="322"/>
        <v>Riadok bude skrytý.</v>
      </c>
      <c r="CC1954" s="271" t="s">
        <v>832</v>
      </c>
      <c r="CW1954" s="30">
        <f t="shared" si="331"/>
        <v>1</v>
      </c>
      <c r="CX1954" s="30">
        <f t="shared" si="329"/>
        <v>0</v>
      </c>
      <c r="CZ1954" s="30">
        <f t="shared" si="319"/>
        <v>1</v>
      </c>
      <c r="DA1954" s="52">
        <f t="shared" si="328"/>
        <v>0</v>
      </c>
      <c r="DB1954" s="2">
        <f t="shared" si="330"/>
        <v>0</v>
      </c>
      <c r="DS1954" s="130">
        <f>SI!BY1954</f>
        <v>200</v>
      </c>
      <c r="DZ1954" s="131">
        <f>SI!BZ1954</f>
        <v>0</v>
      </c>
    </row>
    <row r="1955" spans="1:130" hidden="1" x14ac:dyDescent="0.25">
      <c r="A1955" s="141"/>
      <c r="B1955" s="379"/>
      <c r="C1955" s="379"/>
      <c r="D1955" s="379"/>
      <c r="E1955" s="379"/>
      <c r="F1955" s="379"/>
      <c r="G1955" s="379"/>
      <c r="H1955" s="379"/>
      <c r="I1955" s="379"/>
      <c r="J1955" s="379"/>
      <c r="K1955" s="379"/>
      <c r="L1955" s="379"/>
      <c r="M1955" s="379"/>
      <c r="N1955" s="379"/>
      <c r="O1955" s="379"/>
      <c r="P1955" s="379"/>
      <c r="Q1955" s="379"/>
      <c r="R1955" s="379"/>
      <c r="S1955" s="379"/>
      <c r="T1955" s="379"/>
      <c r="U1955" s="379"/>
      <c r="V1955" s="379"/>
      <c r="W1955" s="379"/>
      <c r="X1955" s="379"/>
      <c r="Y1955" s="379"/>
      <c r="Z1955" s="379"/>
      <c r="AA1955" s="379"/>
      <c r="AB1955" s="379"/>
      <c r="AC1955" s="379"/>
      <c r="AD1955" s="379"/>
      <c r="AE1955" s="379"/>
      <c r="AF1955" s="379"/>
      <c r="AG1955" s="379"/>
      <c r="AH1955" s="379"/>
      <c r="AI1955" s="379"/>
      <c r="AJ1955" s="379"/>
      <c r="AK1955" s="379"/>
      <c r="AL1955" s="379"/>
      <c r="AM1955" s="379"/>
      <c r="AN1955" s="379"/>
      <c r="AO1955" s="379"/>
      <c r="AP1955" s="379"/>
      <c r="AQ1955" s="379"/>
      <c r="AR1955" s="379"/>
      <c r="AS1955" s="379"/>
      <c r="AT1955" s="379"/>
      <c r="AU1955" s="379"/>
      <c r="AV1955" s="379"/>
      <c r="AW1955" s="379"/>
      <c r="AX1955" s="379"/>
      <c r="AY1955" s="379"/>
      <c r="AZ1955" s="379"/>
      <c r="BA1955" s="379"/>
      <c r="BB1955" s="379"/>
      <c r="BC1955" s="379"/>
      <c r="BD1955" s="379"/>
      <c r="BE1955" s="379"/>
      <c r="BF1955" s="379"/>
      <c r="BG1955" s="379"/>
      <c r="BH1955" s="379"/>
      <c r="BI1955" s="379"/>
      <c r="BJ1955" s="379"/>
      <c r="BK1955" s="379"/>
      <c r="BL1955" s="379"/>
      <c r="BM1955" s="379"/>
      <c r="BN1955" s="379"/>
      <c r="BO1955" s="379"/>
      <c r="BP1955" s="379"/>
      <c r="BQ1955" s="379"/>
      <c r="BR1955" s="379"/>
      <c r="BS1955" s="379"/>
      <c r="BT1955" s="379"/>
      <c r="BU1955" s="379"/>
      <c r="BV1955" s="379"/>
      <c r="BW1955" s="379"/>
      <c r="BX1955" s="379"/>
      <c r="BY1955" s="379"/>
      <c r="BZ1955" s="379"/>
      <c r="CA1955" s="270"/>
      <c r="CB1955" s="3" t="str">
        <f t="shared" si="322"/>
        <v>Riadok bude skrytý.</v>
      </c>
      <c r="CC1955" s="271" t="s">
        <v>832</v>
      </c>
      <c r="CW1955" s="30">
        <f t="shared" si="331"/>
        <v>1</v>
      </c>
      <c r="CX1955" s="30">
        <f t="shared" si="329"/>
        <v>0</v>
      </c>
      <c r="CZ1955" s="30">
        <f t="shared" si="319"/>
        <v>1</v>
      </c>
      <c r="DA1955" s="52">
        <f t="shared" si="328"/>
        <v>0</v>
      </c>
      <c r="DB1955" s="2">
        <f t="shared" si="330"/>
        <v>0</v>
      </c>
      <c r="DS1955" s="130">
        <f>SI!BY1955</f>
        <v>449</v>
      </c>
      <c r="DZ1955" s="131">
        <f>SI!BZ1955</f>
        <v>0</v>
      </c>
    </row>
    <row r="1956" spans="1:130" hidden="1" x14ac:dyDescent="0.25">
      <c r="A1956" s="141"/>
      <c r="B1956" s="379"/>
      <c r="C1956" s="379"/>
      <c r="D1956" s="379"/>
      <c r="E1956" s="379"/>
      <c r="F1956" s="379"/>
      <c r="G1956" s="379"/>
      <c r="H1956" s="379"/>
      <c r="I1956" s="379"/>
      <c r="J1956" s="379"/>
      <c r="K1956" s="379"/>
      <c r="L1956" s="379"/>
      <c r="M1956" s="379"/>
      <c r="N1956" s="379"/>
      <c r="O1956" s="379"/>
      <c r="P1956" s="379"/>
      <c r="Q1956" s="379"/>
      <c r="R1956" s="379"/>
      <c r="S1956" s="379"/>
      <c r="T1956" s="379"/>
      <c r="U1956" s="379"/>
      <c r="V1956" s="379"/>
      <c r="W1956" s="379"/>
      <c r="X1956" s="379"/>
      <c r="Y1956" s="379"/>
      <c r="Z1956" s="379"/>
      <c r="AA1956" s="379"/>
      <c r="AB1956" s="379"/>
      <c r="AC1956" s="379"/>
      <c r="AD1956" s="379"/>
      <c r="AE1956" s="379"/>
      <c r="AF1956" s="379"/>
      <c r="AG1956" s="379"/>
      <c r="AH1956" s="379"/>
      <c r="AI1956" s="379"/>
      <c r="AJ1956" s="379"/>
      <c r="AK1956" s="379"/>
      <c r="AL1956" s="379"/>
      <c r="AM1956" s="379"/>
      <c r="AN1956" s="379"/>
      <c r="AO1956" s="379"/>
      <c r="AP1956" s="379"/>
      <c r="AQ1956" s="379"/>
      <c r="AR1956" s="379"/>
      <c r="AS1956" s="379"/>
      <c r="AT1956" s="379"/>
      <c r="AU1956" s="379"/>
      <c r="AV1956" s="379"/>
      <c r="AW1956" s="379"/>
      <c r="AX1956" s="379"/>
      <c r="AY1956" s="379"/>
      <c r="AZ1956" s="379"/>
      <c r="BA1956" s="379"/>
      <c r="BB1956" s="379"/>
      <c r="BC1956" s="379"/>
      <c r="BD1956" s="379"/>
      <c r="BE1956" s="379"/>
      <c r="BF1956" s="379"/>
      <c r="BG1956" s="379"/>
      <c r="BH1956" s="379"/>
      <c r="BI1956" s="379"/>
      <c r="BJ1956" s="379"/>
      <c r="BK1956" s="379"/>
      <c r="BL1956" s="379"/>
      <c r="BM1956" s="379"/>
      <c r="BN1956" s="379"/>
      <c r="BO1956" s="379"/>
      <c r="BP1956" s="379"/>
      <c r="BQ1956" s="379"/>
      <c r="BR1956" s="379"/>
      <c r="BS1956" s="379"/>
      <c r="BT1956" s="379"/>
      <c r="BU1956" s="379"/>
      <c r="BV1956" s="379"/>
      <c r="BW1956" s="379"/>
      <c r="BX1956" s="379"/>
      <c r="BY1956" s="379"/>
      <c r="BZ1956" s="379"/>
      <c r="CA1956" s="270"/>
      <c r="CB1956" s="3" t="str">
        <f t="shared" si="322"/>
        <v>Riadok bude skrytý.</v>
      </c>
      <c r="CC1956" s="271" t="s">
        <v>832</v>
      </c>
      <c r="CW1956" s="30">
        <f t="shared" si="331"/>
        <v>1</v>
      </c>
      <c r="CX1956" s="30">
        <f t="shared" si="329"/>
        <v>0</v>
      </c>
      <c r="CZ1956" s="30">
        <f t="shared" si="319"/>
        <v>1</v>
      </c>
      <c r="DA1956" s="52">
        <f t="shared" si="328"/>
        <v>0</v>
      </c>
      <c r="DB1956" s="2">
        <f t="shared" si="330"/>
        <v>0</v>
      </c>
      <c r="DS1956" s="130">
        <f>SI!BY1956</f>
        <v>159</v>
      </c>
      <c r="DZ1956" s="131">
        <f>SI!BZ1956</f>
        <v>0</v>
      </c>
    </row>
    <row r="1957" spans="1:130" hidden="1" x14ac:dyDescent="0.25">
      <c r="A1957" s="141"/>
      <c r="B1957" s="379"/>
      <c r="C1957" s="379"/>
      <c r="D1957" s="379"/>
      <c r="E1957" s="379"/>
      <c r="F1957" s="379"/>
      <c r="G1957" s="379"/>
      <c r="H1957" s="379"/>
      <c r="I1957" s="379"/>
      <c r="J1957" s="379"/>
      <c r="K1957" s="379"/>
      <c r="L1957" s="379"/>
      <c r="M1957" s="379"/>
      <c r="N1957" s="379"/>
      <c r="O1957" s="379"/>
      <c r="P1957" s="379"/>
      <c r="Q1957" s="379"/>
      <c r="R1957" s="379"/>
      <c r="S1957" s="379"/>
      <c r="T1957" s="379"/>
      <c r="U1957" s="379"/>
      <c r="V1957" s="379"/>
      <c r="W1957" s="379"/>
      <c r="X1957" s="379"/>
      <c r="Y1957" s="379"/>
      <c r="Z1957" s="379"/>
      <c r="AA1957" s="379"/>
      <c r="AB1957" s="379"/>
      <c r="AC1957" s="379"/>
      <c r="AD1957" s="379"/>
      <c r="AE1957" s="379"/>
      <c r="AF1957" s="379"/>
      <c r="AG1957" s="379"/>
      <c r="AH1957" s="379"/>
      <c r="AI1957" s="379"/>
      <c r="AJ1957" s="379"/>
      <c r="AK1957" s="379"/>
      <c r="AL1957" s="379"/>
      <c r="AM1957" s="379"/>
      <c r="AN1957" s="379"/>
      <c r="AO1957" s="379"/>
      <c r="AP1957" s="379"/>
      <c r="AQ1957" s="379"/>
      <c r="AR1957" s="379"/>
      <c r="AS1957" s="379"/>
      <c r="AT1957" s="379"/>
      <c r="AU1957" s="379"/>
      <c r="AV1957" s="379"/>
      <c r="AW1957" s="379"/>
      <c r="AX1957" s="379"/>
      <c r="AY1957" s="379"/>
      <c r="AZ1957" s="379"/>
      <c r="BA1957" s="379"/>
      <c r="BB1957" s="379"/>
      <c r="BC1957" s="379"/>
      <c r="BD1957" s="379"/>
      <c r="BE1957" s="379"/>
      <c r="BF1957" s="379"/>
      <c r="BG1957" s="379"/>
      <c r="BH1957" s="379"/>
      <c r="BI1957" s="379"/>
      <c r="BJ1957" s="379"/>
      <c r="BK1957" s="379"/>
      <c r="BL1957" s="379"/>
      <c r="BM1957" s="379"/>
      <c r="BN1957" s="379"/>
      <c r="BO1957" s="379"/>
      <c r="BP1957" s="379"/>
      <c r="BQ1957" s="379"/>
      <c r="BR1957" s="379"/>
      <c r="BS1957" s="379"/>
      <c r="BT1957" s="379"/>
      <c r="BU1957" s="379"/>
      <c r="BV1957" s="379"/>
      <c r="BW1957" s="379"/>
      <c r="BX1957" s="379"/>
      <c r="BY1957" s="379"/>
      <c r="BZ1957" s="379"/>
      <c r="CA1957" s="270"/>
      <c r="CB1957" s="3" t="str">
        <f t="shared" si="322"/>
        <v>Riadok bude skrytý.</v>
      </c>
      <c r="CC1957" s="271" t="s">
        <v>832</v>
      </c>
      <c r="CW1957" s="30">
        <f t="shared" si="331"/>
        <v>1</v>
      </c>
      <c r="CX1957" s="30">
        <f t="shared" si="329"/>
        <v>0</v>
      </c>
      <c r="CZ1957" s="30">
        <f t="shared" si="319"/>
        <v>1</v>
      </c>
      <c r="DA1957" s="52">
        <f t="shared" si="328"/>
        <v>0</v>
      </c>
      <c r="DB1957" s="2">
        <f t="shared" si="330"/>
        <v>0</v>
      </c>
      <c r="DS1957" s="130">
        <f>SI!BY1957</f>
        <v>569</v>
      </c>
      <c r="DZ1957" s="131">
        <f>SI!BZ1957</f>
        <v>0</v>
      </c>
    </row>
    <row r="1958" spans="1:130" hidden="1" x14ac:dyDescent="0.25">
      <c r="A1958" s="141"/>
      <c r="CA1958" s="270"/>
      <c r="CB1958" s="3" t="str">
        <f t="shared" si="322"/>
        <v>Riadok bude skrytý.</v>
      </c>
      <c r="CC1958" s="271" t="s">
        <v>832</v>
      </c>
      <c r="CW1958" s="49">
        <v>1</v>
      </c>
      <c r="CZ1958" s="30">
        <f t="shared" si="319"/>
        <v>1</v>
      </c>
      <c r="DA1958" s="30">
        <f t="shared" ref="DA1958:DA2005" si="332">+IF(CW1958+CX1958+CY1958=0,0,IF(CZ1958=0,0,1))</f>
        <v>1</v>
      </c>
      <c r="DB1958" s="2">
        <f t="shared" si="330"/>
        <v>0</v>
      </c>
      <c r="DS1958" s="130">
        <f>SI!BY1958</f>
        <v>123</v>
      </c>
      <c r="DZ1958" s="131">
        <f>SI!BZ1958</f>
        <v>0</v>
      </c>
    </row>
    <row r="1959" spans="1:130" ht="17" hidden="1" thickBot="1" x14ac:dyDescent="0.35">
      <c r="A1959" s="141"/>
      <c r="B1959" s="21"/>
      <c r="C1959" s="268"/>
      <c r="D1959" s="268"/>
      <c r="E1959" s="22" t="s">
        <v>271</v>
      </c>
      <c r="F1959" s="268"/>
      <c r="G1959" s="125"/>
      <c r="H1959" s="22"/>
      <c r="I1959" s="268"/>
      <c r="J1959" s="268"/>
      <c r="K1959" s="268"/>
      <c r="L1959" s="268"/>
      <c r="M1959" s="268"/>
      <c r="N1959" s="268"/>
      <c r="O1959" s="268"/>
      <c r="P1959" s="268"/>
      <c r="Q1959" s="268"/>
      <c r="R1959" s="268"/>
      <c r="S1959" s="268"/>
      <c r="T1959" s="268"/>
      <c r="U1959" s="268"/>
      <c r="V1959" s="268"/>
      <c r="W1959" s="268"/>
      <c r="X1959" s="268"/>
      <c r="Y1959" s="268"/>
      <c r="Z1959" s="268"/>
      <c r="AA1959" s="268"/>
      <c r="AB1959" s="268"/>
      <c r="AC1959" s="268"/>
      <c r="AD1959" s="268"/>
      <c r="AE1959" s="268"/>
      <c r="AF1959" s="268"/>
      <c r="AG1959" s="268"/>
      <c r="AH1959" s="268"/>
      <c r="AI1959" s="268"/>
      <c r="AJ1959" s="268"/>
      <c r="AK1959" s="276"/>
      <c r="AL1959" s="276"/>
      <c r="AM1959" s="276"/>
      <c r="AN1959" s="276"/>
      <c r="AO1959" s="276"/>
      <c r="AP1959" s="276"/>
      <c r="AQ1959" s="276"/>
      <c r="AR1959" s="276"/>
      <c r="AS1959" s="276"/>
      <c r="AT1959" s="276"/>
      <c r="AU1959" s="276"/>
      <c r="AV1959" s="276"/>
      <c r="AW1959" s="276"/>
      <c r="AX1959" s="276"/>
      <c r="AY1959" s="276"/>
      <c r="AZ1959" s="276"/>
      <c r="BA1959" s="276"/>
      <c r="BB1959" s="276"/>
      <c r="BC1959" s="276"/>
      <c r="BD1959" s="932" t="str">
        <f>+SI!J2</f>
        <v>Resumo s.r.o.</v>
      </c>
      <c r="BE1959" s="932"/>
      <c r="BF1959" s="932"/>
      <c r="BG1959" s="932"/>
      <c r="BH1959" s="932"/>
      <c r="BI1959" s="932"/>
      <c r="BJ1959" s="932"/>
      <c r="BK1959" s="932"/>
      <c r="BL1959" s="932"/>
      <c r="BM1959" s="932"/>
      <c r="BN1959" s="932"/>
      <c r="BO1959" s="932"/>
      <c r="BP1959" s="932"/>
      <c r="BQ1959" s="932"/>
      <c r="BR1959" s="932"/>
      <c r="BS1959" s="932"/>
      <c r="BT1959" s="932"/>
      <c r="BU1959" s="932"/>
      <c r="BV1959" s="932"/>
      <c r="BW1959" s="932"/>
      <c r="BX1959" s="932"/>
      <c r="BY1959" s="932"/>
      <c r="BZ1959" s="933"/>
      <c r="CA1959" s="265" t="s">
        <v>773</v>
      </c>
      <c r="CB1959" s="3" t="str">
        <f t="shared" si="322"/>
        <v>Riadok bude skrytý.</v>
      </c>
      <c r="CW1959" s="49">
        <v>1</v>
      </c>
      <c r="CZ1959" s="30">
        <f t="shared" si="319"/>
        <v>1</v>
      </c>
      <c r="DA1959" s="30">
        <f t="shared" si="332"/>
        <v>1</v>
      </c>
      <c r="DB1959" s="2">
        <f t="shared" si="330"/>
        <v>0</v>
      </c>
      <c r="DS1959" s="130">
        <f>SI!BY1959</f>
        <v>703</v>
      </c>
      <c r="DZ1959" s="131">
        <f>SI!BZ1959</f>
        <v>0</v>
      </c>
    </row>
    <row r="1960" spans="1:130" hidden="1" x14ac:dyDescent="0.25">
      <c r="A1960" s="141"/>
      <c r="CA1960" s="142"/>
      <c r="CB1960" s="3" t="str">
        <f t="shared" si="322"/>
        <v>Riadok bude skrytý.</v>
      </c>
      <c r="CW1960" s="49">
        <v>1</v>
      </c>
      <c r="CZ1960" s="30">
        <f t="shared" si="319"/>
        <v>1</v>
      </c>
      <c r="DA1960" s="30">
        <f t="shared" si="332"/>
        <v>1</v>
      </c>
      <c r="DB1960" s="2">
        <f t="shared" si="330"/>
        <v>0</v>
      </c>
      <c r="DS1960" s="130">
        <f>SI!BY1960</f>
        <v>165</v>
      </c>
      <c r="DZ1960" s="131">
        <f>SI!BZ1960</f>
        <v>0</v>
      </c>
    </row>
    <row r="1961" spans="1:130" hidden="1" x14ac:dyDescent="0.25">
      <c r="A1961" s="141"/>
      <c r="B1961" s="289" t="s">
        <v>94</v>
      </c>
      <c r="C1961" s="288"/>
      <c r="D1961" s="288"/>
      <c r="E1961" s="288"/>
      <c r="F1961" s="288"/>
      <c r="G1961" s="289" t="s">
        <v>243</v>
      </c>
      <c r="H1961" s="289"/>
      <c r="I1961" s="288"/>
      <c r="J1961" s="288"/>
      <c r="K1961" s="288"/>
      <c r="L1961" s="288"/>
      <c r="M1961" s="288"/>
      <c r="N1961" s="288"/>
      <c r="O1961" s="288"/>
      <c r="P1961" s="288"/>
      <c r="Q1961" s="288"/>
      <c r="R1961" s="288"/>
      <c r="S1961" s="288"/>
      <c r="T1961" s="288"/>
      <c r="U1961" s="288"/>
      <c r="V1961" s="288"/>
      <c r="W1961" s="288"/>
      <c r="X1961" s="288"/>
      <c r="Y1961" s="288"/>
      <c r="Z1961" s="288"/>
      <c r="AA1961" s="288"/>
      <c r="AB1961" s="288"/>
      <c r="AC1961" s="288"/>
      <c r="AD1961" s="288"/>
      <c r="AE1961" s="288"/>
      <c r="AF1961" s="288"/>
      <c r="AG1961" s="288"/>
      <c r="AH1961" s="288"/>
      <c r="AI1961" s="288"/>
      <c r="AJ1961" s="288"/>
      <c r="AK1961" s="288"/>
      <c r="AL1961" s="288"/>
      <c r="AM1961" s="288"/>
      <c r="AN1961" s="288"/>
      <c r="AO1961" s="288"/>
      <c r="AP1961" s="288"/>
      <c r="AQ1961" s="288"/>
      <c r="AR1961" s="288"/>
      <c r="AS1961" s="288"/>
      <c r="AT1961" s="288"/>
      <c r="AU1961" s="288"/>
      <c r="AV1961" s="288"/>
      <c r="AW1961" s="288"/>
      <c r="AX1961" s="288"/>
      <c r="AY1961" s="288"/>
      <c r="AZ1961" s="288"/>
      <c r="BA1961" s="288"/>
      <c r="BB1961" s="288"/>
      <c r="BC1961" s="288"/>
      <c r="BD1961" s="288"/>
      <c r="BE1961" s="288"/>
      <c r="BF1961" s="288"/>
      <c r="BG1961" s="288"/>
      <c r="BH1961" s="288"/>
      <c r="BI1961" s="288"/>
      <c r="BJ1961" s="288"/>
      <c r="BK1961" s="288"/>
      <c r="BL1961" s="288"/>
      <c r="BM1961" s="288"/>
      <c r="BN1961" s="288"/>
      <c r="BO1961" s="288"/>
      <c r="BP1961" s="288"/>
      <c r="BQ1961" s="288"/>
      <c r="BR1961" s="288"/>
      <c r="BS1961" s="288"/>
      <c r="BT1961" s="288"/>
      <c r="BU1961" s="288"/>
      <c r="BV1961" s="288"/>
      <c r="BW1961" s="288"/>
      <c r="BX1961" s="288"/>
      <c r="BY1961" s="288"/>
      <c r="BZ1961" s="288"/>
      <c r="CA1961" s="142"/>
      <c r="CB1961" s="3" t="str">
        <f t="shared" si="322"/>
        <v>Riadok bude skrytý.</v>
      </c>
      <c r="CW1961" s="49">
        <v>1</v>
      </c>
      <c r="CZ1961" s="30">
        <f t="shared" si="319"/>
        <v>1</v>
      </c>
      <c r="DA1961" s="30">
        <f t="shared" si="332"/>
        <v>1</v>
      </c>
      <c r="DB1961" s="2">
        <f t="shared" si="330"/>
        <v>0</v>
      </c>
      <c r="DS1961" s="130">
        <f>SI!BY1961</f>
        <v>1125</v>
      </c>
      <c r="DZ1961" s="131">
        <f>SI!BZ1961</f>
        <v>0</v>
      </c>
    </row>
    <row r="1962" spans="1:130" hidden="1" x14ac:dyDescent="0.25">
      <c r="A1962" s="141"/>
      <c r="B1962" s="7"/>
      <c r="G1962" s="7"/>
      <c r="H1962" s="7"/>
      <c r="CA1962" s="142"/>
      <c r="CB1962" s="3" t="str">
        <f t="shared" si="322"/>
        <v>Riadok bude skrytý.</v>
      </c>
      <c r="CW1962" s="49">
        <v>1</v>
      </c>
      <c r="CZ1962" s="30">
        <f t="shared" si="319"/>
        <v>1</v>
      </c>
      <c r="DA1962" s="30">
        <f t="shared" si="332"/>
        <v>1</v>
      </c>
      <c r="DB1962" s="2">
        <f t="shared" si="330"/>
        <v>0</v>
      </c>
      <c r="DS1962" s="130">
        <f>SI!BY1962</f>
        <v>186</v>
      </c>
      <c r="DZ1962" s="131">
        <f>SI!BZ1962</f>
        <v>0</v>
      </c>
    </row>
    <row r="1963" spans="1:130" hidden="1" x14ac:dyDescent="0.25">
      <c r="A1963" s="141"/>
      <c r="B1963" s="704" t="str">
        <f>+IF($K$52&lt;&gt;"",IF(INT(SQRT((CODE(MID($K$52,1,1)))))*0+LEN(SI!J5)=DS1963,"Výška základného imania: ","NEPOVOLENÉ POUŽITIE!"),"NEPOVOLENÉ POUŽITIE!")</f>
        <v xml:space="preserve">Výška základného imania: </v>
      </c>
      <c r="C1963" s="705"/>
      <c r="D1963" s="705"/>
      <c r="E1963" s="705"/>
      <c r="F1963" s="705"/>
      <c r="G1963" s="705"/>
      <c r="H1963" s="705"/>
      <c r="I1963" s="705"/>
      <c r="J1963" s="705"/>
      <c r="K1963" s="705"/>
      <c r="L1963" s="705"/>
      <c r="M1963" s="705"/>
      <c r="N1963" s="705"/>
      <c r="O1963" s="705"/>
      <c r="P1963" s="705"/>
      <c r="Q1963" s="705"/>
      <c r="R1963" s="705"/>
      <c r="S1963" s="705"/>
      <c r="T1963" s="705"/>
      <c r="U1963" s="705"/>
      <c r="V1963" s="705"/>
      <c r="W1963" s="705"/>
      <c r="X1963" s="705"/>
      <c r="Y1963" s="705"/>
      <c r="Z1963" s="705"/>
      <c r="AA1963" s="705"/>
      <c r="AB1963" s="705"/>
      <c r="AC1963" s="705"/>
      <c r="AD1963" s="705"/>
      <c r="AE1963" s="705"/>
      <c r="AF1963" s="705"/>
      <c r="AG1963" s="705"/>
      <c r="AH1963" s="705"/>
      <c r="AI1963" s="705"/>
      <c r="AJ1963" s="705"/>
      <c r="AK1963" s="705"/>
      <c r="AL1963" s="705"/>
      <c r="AM1963" s="705"/>
      <c r="AN1963" s="705"/>
      <c r="AO1963" s="705"/>
      <c r="AP1963" s="705"/>
      <c r="AQ1963" s="705"/>
      <c r="AR1963" s="705"/>
      <c r="AS1963" s="706"/>
      <c r="AT1963" s="700"/>
      <c r="AU1963" s="700"/>
      <c r="AV1963" s="700"/>
      <c r="AW1963" s="700"/>
      <c r="AX1963" s="700"/>
      <c r="AY1963" s="700"/>
      <c r="AZ1963" s="700"/>
      <c r="BA1963" s="700"/>
      <c r="BB1963" s="700"/>
      <c r="BC1963" s="700"/>
      <c r="BD1963" s="700"/>
      <c r="BE1963" s="700"/>
      <c r="BF1963" s="700"/>
      <c r="BG1963" s="700"/>
      <c r="BH1963" s="700"/>
      <c r="BI1963" s="700"/>
      <c r="BJ1963" s="700"/>
      <c r="BK1963" s="700"/>
      <c r="BL1963" s="700"/>
      <c r="BM1963" s="700"/>
      <c r="BN1963" s="700"/>
      <c r="BO1963" s="700"/>
      <c r="BP1963" s="700"/>
      <c r="BQ1963" s="700"/>
      <c r="BR1963" s="700"/>
      <c r="BS1963" s="700"/>
      <c r="BT1963" s="700"/>
      <c r="BU1963" s="700"/>
      <c r="BV1963" s="700"/>
      <c r="BW1963" s="700"/>
      <c r="BX1963" s="700"/>
      <c r="BY1963" s="700"/>
      <c r="BZ1963" s="701"/>
      <c r="CA1963" s="142"/>
      <c r="CB1963" s="3" t="str">
        <f t="shared" si="322"/>
        <v>Riadok bude skrytý.</v>
      </c>
      <c r="CC1963" s="271" t="s">
        <v>832</v>
      </c>
      <c r="CD1963" s="4"/>
      <c r="CE1963" s="4"/>
      <c r="CW1963" s="30">
        <f>+IF(AT1963="",0,1)</f>
        <v>0</v>
      </c>
      <c r="CZ1963" s="30">
        <f t="shared" ref="CZ1963:CZ2026" si="333">IF(CC1963="",1,IF(CC1963="Chcem skryť riadok.",0,1))</f>
        <v>1</v>
      </c>
      <c r="DA1963" s="30">
        <f t="shared" si="332"/>
        <v>0</v>
      </c>
      <c r="DB1963" s="2">
        <f t="shared" si="330"/>
        <v>0</v>
      </c>
      <c r="DS1963" s="130">
        <f>SI!BY1963</f>
        <v>15</v>
      </c>
      <c r="DZ1963" s="131">
        <f>SI!BZ1963</f>
        <v>0</v>
      </c>
    </row>
    <row r="1964" spans="1:130" hidden="1" x14ac:dyDescent="0.25">
      <c r="A1964" s="141"/>
      <c r="B1964" s="707" t="str">
        <f>+IF($Q$52&lt;&gt;"",IF((CODE(MID($Q$52,1,1)))*(GCD(121,132))*0+(LEN(SI!J5)+LEN(SI!J6))=DS1964,"Hodnota upísaného vlastného imania:","NEPOVOLENÉ POUŽITIE!"),"NEPOVOLENÉ POUŽITIE!")</f>
        <v>Hodnota upísaného vlastného imania:</v>
      </c>
      <c r="C1964" s="708"/>
      <c r="D1964" s="708"/>
      <c r="E1964" s="708"/>
      <c r="F1964" s="708"/>
      <c r="G1964" s="708"/>
      <c r="H1964" s="708"/>
      <c r="I1964" s="708"/>
      <c r="J1964" s="708"/>
      <c r="K1964" s="708"/>
      <c r="L1964" s="708"/>
      <c r="M1964" s="708"/>
      <c r="N1964" s="708"/>
      <c r="O1964" s="708"/>
      <c r="P1964" s="708"/>
      <c r="Q1964" s="708"/>
      <c r="R1964" s="708"/>
      <c r="S1964" s="708"/>
      <c r="T1964" s="708"/>
      <c r="U1964" s="708"/>
      <c r="V1964" s="708"/>
      <c r="W1964" s="708"/>
      <c r="X1964" s="708"/>
      <c r="Y1964" s="708"/>
      <c r="Z1964" s="708"/>
      <c r="AA1964" s="708"/>
      <c r="AB1964" s="708"/>
      <c r="AC1964" s="708"/>
      <c r="AD1964" s="708"/>
      <c r="AE1964" s="708"/>
      <c r="AF1964" s="708"/>
      <c r="AG1964" s="708"/>
      <c r="AH1964" s="708"/>
      <c r="AI1964" s="708"/>
      <c r="AJ1964" s="708"/>
      <c r="AK1964" s="708"/>
      <c r="AL1964" s="708"/>
      <c r="AM1964" s="708"/>
      <c r="AN1964" s="708"/>
      <c r="AO1964" s="708"/>
      <c r="AP1964" s="708"/>
      <c r="AQ1964" s="708"/>
      <c r="AR1964" s="708"/>
      <c r="AS1964" s="709"/>
      <c r="AT1964" s="702"/>
      <c r="AU1964" s="702"/>
      <c r="AV1964" s="702"/>
      <c r="AW1964" s="702"/>
      <c r="AX1964" s="702"/>
      <c r="AY1964" s="702"/>
      <c r="AZ1964" s="702"/>
      <c r="BA1964" s="702"/>
      <c r="BB1964" s="702"/>
      <c r="BC1964" s="702"/>
      <c r="BD1964" s="702"/>
      <c r="BE1964" s="702"/>
      <c r="BF1964" s="702"/>
      <c r="BG1964" s="702"/>
      <c r="BH1964" s="702"/>
      <c r="BI1964" s="702"/>
      <c r="BJ1964" s="702"/>
      <c r="BK1964" s="702"/>
      <c r="BL1964" s="702"/>
      <c r="BM1964" s="702"/>
      <c r="BN1964" s="702"/>
      <c r="BO1964" s="702"/>
      <c r="BP1964" s="702"/>
      <c r="BQ1964" s="702"/>
      <c r="BR1964" s="702"/>
      <c r="BS1964" s="702"/>
      <c r="BT1964" s="702"/>
      <c r="BU1964" s="702"/>
      <c r="BV1964" s="702"/>
      <c r="BW1964" s="702"/>
      <c r="BX1964" s="702"/>
      <c r="BY1964" s="702"/>
      <c r="BZ1964" s="703"/>
      <c r="CA1964" s="142"/>
      <c r="CB1964" s="3" t="str">
        <f t="shared" si="322"/>
        <v>Riadok bude skrytý.</v>
      </c>
      <c r="CC1964" s="271" t="s">
        <v>832</v>
      </c>
      <c r="CD1964" s="4"/>
      <c r="CE1964" s="4"/>
      <c r="CW1964" s="30">
        <f>+IF(AT1964="",0,1)</f>
        <v>0</v>
      </c>
      <c r="CZ1964" s="30">
        <f t="shared" si="333"/>
        <v>1</v>
      </c>
      <c r="DA1964" s="30">
        <f t="shared" si="332"/>
        <v>0</v>
      </c>
      <c r="DB1964" s="2">
        <f t="shared" si="330"/>
        <v>0</v>
      </c>
      <c r="DS1964" s="130">
        <f>SI!BY1964</f>
        <v>20</v>
      </c>
      <c r="DZ1964" s="131">
        <f>SI!BZ1964</f>
        <v>0</v>
      </c>
    </row>
    <row r="1965" spans="1:130" hidden="1" x14ac:dyDescent="0.25">
      <c r="A1965" s="141"/>
      <c r="CA1965" s="142"/>
      <c r="CB1965" s="3" t="str">
        <f t="shared" si="322"/>
        <v>Riadok bude skrytý.</v>
      </c>
      <c r="CC1965" s="271" t="s">
        <v>832</v>
      </c>
      <c r="CW1965" s="30">
        <f>+IF(CW1963+CW1964=0,0,1)</f>
        <v>0</v>
      </c>
      <c r="CZ1965" s="30">
        <f t="shared" si="333"/>
        <v>1</v>
      </c>
      <c r="DA1965" s="30">
        <f t="shared" si="332"/>
        <v>0</v>
      </c>
      <c r="DB1965" s="2">
        <f t="shared" si="330"/>
        <v>0</v>
      </c>
      <c r="DS1965" s="130">
        <f>SI!BY1965</f>
        <v>184</v>
      </c>
      <c r="DZ1965" s="131">
        <f>SI!BZ1965</f>
        <v>0</v>
      </c>
    </row>
    <row r="1966" spans="1:130" hidden="1" x14ac:dyDescent="0.25">
      <c r="A1966" s="141"/>
      <c r="B1966" s="137" t="s">
        <v>96</v>
      </c>
      <c r="J1966" s="385" t="s">
        <v>824</v>
      </c>
      <c r="K1966" s="385"/>
      <c r="L1966" s="385"/>
      <c r="M1966" s="385"/>
      <c r="N1966" s="385"/>
      <c r="O1966" s="137" t="str">
        <f>+IF($G$52&lt;&gt;"",IF(ROUNDDOWN(CODE(MID($G$52,1,1))*2,0)*(IF(SI!EE1966="",1,SI!EE1966-1+1))+(LEN(SI!J2)+LEN(SI!J3))=DS1966,IF(J1966="nie je","akciovou spoločnosťou.","akciovou spoločnosťou a uvádza nasledujúce informácie:"),"NEPOVOLENÉ POUŽITIE!"),"NEPOVOLENÉ POUŽITIE!")</f>
        <v>akciovou spoločnosťou a uvádza nasledujúce informácie:</v>
      </c>
      <c r="P1966" s="38"/>
      <c r="CA1966" s="270"/>
      <c r="CB1966" s="3" t="str">
        <f t="shared" si="322"/>
        <v>Riadok bude skrytý.</v>
      </c>
      <c r="CC1966" s="271" t="s">
        <v>832</v>
      </c>
      <c r="CW1966" s="30">
        <f t="shared" ref="CW1966:CW1978" si="334">+IF($J$1966="nie je",0,1)</f>
        <v>1</v>
      </c>
      <c r="CZ1966" s="30">
        <f t="shared" si="333"/>
        <v>1</v>
      </c>
      <c r="DA1966" s="30">
        <f t="shared" si="332"/>
        <v>1</v>
      </c>
      <c r="DB1966" s="2">
        <f t="shared" si="330"/>
        <v>0</v>
      </c>
      <c r="DS1966" s="130">
        <f>SI!BY1966</f>
        <v>18</v>
      </c>
      <c r="DZ1966" s="131">
        <f>SI!BZ1966</f>
        <v>0</v>
      </c>
    </row>
    <row r="1967" spans="1:130" hidden="1" x14ac:dyDescent="0.25">
      <c r="A1967" s="141"/>
      <c r="CA1967" s="270"/>
      <c r="CB1967" s="3" t="str">
        <f t="shared" si="322"/>
        <v>Riadok bude skrytý.</v>
      </c>
      <c r="CC1967" s="271" t="s">
        <v>832</v>
      </c>
      <c r="CW1967" s="30">
        <f t="shared" si="334"/>
        <v>1</v>
      </c>
      <c r="CZ1967" s="30">
        <f t="shared" si="333"/>
        <v>1</v>
      </c>
      <c r="DA1967" s="30">
        <f t="shared" si="332"/>
        <v>1</v>
      </c>
      <c r="DB1967" s="2">
        <f t="shared" si="330"/>
        <v>0</v>
      </c>
      <c r="DS1967" s="130">
        <f>SI!BY1967</f>
        <v>187</v>
      </c>
      <c r="DZ1967" s="131">
        <f>SI!BZ1967</f>
        <v>0</v>
      </c>
    </row>
    <row r="1968" spans="1:130" ht="14.95" hidden="1" customHeight="1" x14ac:dyDescent="0.25">
      <c r="A1968" s="141"/>
      <c r="B1968" s="736"/>
      <c r="C1968" s="737"/>
      <c r="D1968" s="737"/>
      <c r="E1968" s="737"/>
      <c r="F1968" s="737"/>
      <c r="G1968" s="737"/>
      <c r="H1968" s="737"/>
      <c r="I1968" s="737"/>
      <c r="J1968" s="737"/>
      <c r="K1968" s="737"/>
      <c r="L1968" s="737"/>
      <c r="M1968" s="737"/>
      <c r="N1968" s="737"/>
      <c r="O1968" s="737"/>
      <c r="P1968" s="737"/>
      <c r="Q1968" s="737"/>
      <c r="R1968" s="737"/>
      <c r="S1968" s="737"/>
      <c r="T1968" s="737"/>
      <c r="U1968" s="737"/>
      <c r="V1968" s="737"/>
      <c r="W1968" s="737"/>
      <c r="X1968" s="737"/>
      <c r="Y1968" s="737"/>
      <c r="Z1968" s="737"/>
      <c r="AA1968" s="737"/>
      <c r="AB1968" s="737"/>
      <c r="AC1968" s="737"/>
      <c r="AD1968" s="737"/>
      <c r="AE1968" s="737"/>
      <c r="AF1968" s="737"/>
      <c r="AG1968" s="737"/>
      <c r="AH1968" s="737"/>
      <c r="AI1968" s="737"/>
      <c r="AJ1968" s="737"/>
      <c r="AK1968" s="737"/>
      <c r="AL1968" s="737"/>
      <c r="AM1968" s="737"/>
      <c r="AN1968" s="737"/>
      <c r="AO1968" s="737"/>
      <c r="AP1968" s="737"/>
      <c r="AQ1968" s="738"/>
      <c r="AR1968" s="1216" t="s">
        <v>788</v>
      </c>
      <c r="AS1968" s="1217"/>
      <c r="AT1968" s="1217"/>
      <c r="AU1968" s="1217"/>
      <c r="AV1968" s="1217"/>
      <c r="AW1968" s="1217"/>
      <c r="AX1968" s="1217"/>
      <c r="AY1968" s="1217"/>
      <c r="AZ1968" s="1217"/>
      <c r="BA1968" s="1217"/>
      <c r="BB1968" s="1217"/>
      <c r="BC1968" s="1217"/>
      <c r="BD1968" s="1217"/>
      <c r="BE1968" s="1217"/>
      <c r="BF1968" s="1217"/>
      <c r="BG1968" s="1217"/>
      <c r="BH1968" s="1217"/>
      <c r="BI1968" s="1217"/>
      <c r="BJ1968" s="1217"/>
      <c r="BK1968" s="1217"/>
      <c r="BL1968" s="1217"/>
      <c r="BM1968" s="1217"/>
      <c r="BN1968" s="1217"/>
      <c r="BO1968" s="1217"/>
      <c r="BP1968" s="1217"/>
      <c r="BQ1968" s="1217"/>
      <c r="BR1968" s="1217"/>
      <c r="BS1968" s="1217"/>
      <c r="BT1968" s="1217"/>
      <c r="BU1968" s="1217"/>
      <c r="BV1968" s="1217"/>
      <c r="BW1968" s="1217"/>
      <c r="BX1968" s="1217"/>
      <c r="BY1968" s="1217"/>
      <c r="BZ1968" s="1218"/>
      <c r="CA1968" s="265" t="s">
        <v>773</v>
      </c>
      <c r="CB1968" s="3" t="str">
        <f t="shared" si="322"/>
        <v>Riadok bude skrytý.</v>
      </c>
      <c r="CC1968" s="271" t="s">
        <v>832</v>
      </c>
      <c r="CW1968" s="30">
        <f t="shared" si="334"/>
        <v>1</v>
      </c>
      <c r="CZ1968" s="30">
        <f t="shared" si="333"/>
        <v>1</v>
      </c>
      <c r="DA1968" s="30">
        <f t="shared" si="332"/>
        <v>1</v>
      </c>
      <c r="DB1968" s="2">
        <f t="shared" si="330"/>
        <v>0</v>
      </c>
      <c r="DS1968" s="130">
        <f>SI!BY1968</f>
        <v>487</v>
      </c>
      <c r="DZ1968" s="131">
        <f>SI!BZ1968</f>
        <v>0</v>
      </c>
    </row>
    <row r="1969" spans="1:130" hidden="1" x14ac:dyDescent="0.25">
      <c r="A1969" s="141"/>
      <c r="B1969" s="739"/>
      <c r="C1969" s="740"/>
      <c r="D1969" s="740"/>
      <c r="E1969" s="740"/>
      <c r="F1969" s="740"/>
      <c r="G1969" s="740"/>
      <c r="H1969" s="740"/>
      <c r="I1969" s="740"/>
      <c r="J1969" s="740"/>
      <c r="K1969" s="740"/>
      <c r="L1969" s="740"/>
      <c r="M1969" s="740"/>
      <c r="N1969" s="740"/>
      <c r="O1969" s="740"/>
      <c r="P1969" s="740"/>
      <c r="Q1969" s="740"/>
      <c r="R1969" s="740"/>
      <c r="S1969" s="740"/>
      <c r="T1969" s="740"/>
      <c r="U1969" s="740"/>
      <c r="V1969" s="740"/>
      <c r="W1969" s="740"/>
      <c r="X1969" s="740"/>
      <c r="Y1969" s="740"/>
      <c r="Z1969" s="740"/>
      <c r="AA1969" s="740"/>
      <c r="AB1969" s="740"/>
      <c r="AC1969" s="740"/>
      <c r="AD1969" s="740"/>
      <c r="AE1969" s="740"/>
      <c r="AF1969" s="740"/>
      <c r="AG1969" s="740"/>
      <c r="AH1969" s="740"/>
      <c r="AI1969" s="740"/>
      <c r="AJ1969" s="740"/>
      <c r="AK1969" s="740"/>
      <c r="AL1969" s="740"/>
      <c r="AM1969" s="740"/>
      <c r="AN1969" s="740"/>
      <c r="AO1969" s="740"/>
      <c r="AP1969" s="740"/>
      <c r="AQ1969" s="741"/>
      <c r="AR1969" s="688">
        <f>+AJ141</f>
        <v>2021</v>
      </c>
      <c r="AS1969" s="689"/>
      <c r="AT1969" s="689"/>
      <c r="AU1969" s="689"/>
      <c r="AV1969" s="689"/>
      <c r="AW1969" s="689"/>
      <c r="AX1969" s="689"/>
      <c r="AY1969" s="689"/>
      <c r="AZ1969" s="689"/>
      <c r="BA1969" s="689"/>
      <c r="BB1969" s="689"/>
      <c r="BC1969" s="689"/>
      <c r="BD1969" s="689"/>
      <c r="BE1969" s="689"/>
      <c r="BF1969" s="689"/>
      <c r="BG1969" s="689"/>
      <c r="BH1969" s="689"/>
      <c r="BI1969" s="690"/>
      <c r="BJ1969" s="1212">
        <f>+BE141</f>
        <v>2020</v>
      </c>
      <c r="BK1969" s="689"/>
      <c r="BL1969" s="689"/>
      <c r="BM1969" s="689"/>
      <c r="BN1969" s="689"/>
      <c r="BO1969" s="689"/>
      <c r="BP1969" s="689"/>
      <c r="BQ1969" s="689"/>
      <c r="BR1969" s="689"/>
      <c r="BS1969" s="689"/>
      <c r="BT1969" s="689"/>
      <c r="BU1969" s="689"/>
      <c r="BV1969" s="689"/>
      <c r="BW1969" s="689"/>
      <c r="BX1969" s="689"/>
      <c r="BY1969" s="689"/>
      <c r="BZ1969" s="1213"/>
      <c r="CA1969" s="270"/>
      <c r="CB1969" s="3" t="str">
        <f t="shared" si="322"/>
        <v>Riadok bude skrytý.</v>
      </c>
      <c r="CC1969" s="271" t="s">
        <v>832</v>
      </c>
      <c r="CW1969" s="30">
        <f t="shared" si="334"/>
        <v>1</v>
      </c>
      <c r="CZ1969" s="30">
        <f t="shared" si="333"/>
        <v>1</v>
      </c>
      <c r="DA1969" s="30">
        <f t="shared" si="332"/>
        <v>1</v>
      </c>
      <c r="DB1969" s="2">
        <f t="shared" si="330"/>
        <v>0</v>
      </c>
      <c r="DS1969" s="130">
        <f>SI!BY1969</f>
        <v>160</v>
      </c>
      <c r="DZ1969" s="131">
        <f>SI!BZ1969</f>
        <v>0</v>
      </c>
    </row>
    <row r="1970" spans="1:130" hidden="1" x14ac:dyDescent="0.25">
      <c r="A1970" s="141"/>
      <c r="B1970" s="1219" t="str">
        <f>+IF(LEN(SI!$J$4)=Poznamky_k_UZ!DZ1970,"Základné imanie celkom","")</f>
        <v>Základné imanie celkom</v>
      </c>
      <c r="C1970" s="1220"/>
      <c r="D1970" s="1220"/>
      <c r="E1970" s="1220"/>
      <c r="F1970" s="1220"/>
      <c r="G1970" s="1220"/>
      <c r="H1970" s="1220"/>
      <c r="I1970" s="1220"/>
      <c r="J1970" s="1220"/>
      <c r="K1970" s="1220"/>
      <c r="L1970" s="1220"/>
      <c r="M1970" s="1220"/>
      <c r="N1970" s="1220"/>
      <c r="O1970" s="1220"/>
      <c r="P1970" s="1220"/>
      <c r="Q1970" s="1220"/>
      <c r="R1970" s="1220"/>
      <c r="S1970" s="1220"/>
      <c r="T1970" s="1220"/>
      <c r="U1970" s="1220"/>
      <c r="V1970" s="1220"/>
      <c r="W1970" s="1220"/>
      <c r="X1970" s="1220"/>
      <c r="Y1970" s="1220"/>
      <c r="Z1970" s="1220"/>
      <c r="AA1970" s="1220"/>
      <c r="AB1970" s="1220"/>
      <c r="AC1970" s="1220"/>
      <c r="AD1970" s="1220"/>
      <c r="AE1970" s="1220"/>
      <c r="AF1970" s="1220"/>
      <c r="AG1970" s="1220"/>
      <c r="AH1970" s="1220"/>
      <c r="AI1970" s="1220"/>
      <c r="AJ1970" s="1220"/>
      <c r="AK1970" s="1220"/>
      <c r="AL1970" s="1220"/>
      <c r="AM1970" s="1220"/>
      <c r="AN1970" s="1220"/>
      <c r="AO1970" s="1220"/>
      <c r="AP1970" s="1220"/>
      <c r="AQ1970" s="1221"/>
      <c r="AR1970" s="694">
        <f>+AR1971*AR1972+AR1973*AR1974+AR1975*AR1976</f>
        <v>0</v>
      </c>
      <c r="AS1970" s="695"/>
      <c r="AT1970" s="695"/>
      <c r="AU1970" s="695"/>
      <c r="AV1970" s="695"/>
      <c r="AW1970" s="695"/>
      <c r="AX1970" s="695"/>
      <c r="AY1970" s="695"/>
      <c r="AZ1970" s="695"/>
      <c r="BA1970" s="695"/>
      <c r="BB1970" s="695"/>
      <c r="BC1970" s="695"/>
      <c r="BD1970" s="695"/>
      <c r="BE1970" s="695"/>
      <c r="BF1970" s="695"/>
      <c r="BG1970" s="695"/>
      <c r="BH1970" s="695"/>
      <c r="BI1970" s="696"/>
      <c r="BJ1970" s="694">
        <f>+BJ1971*BJ1972+BJ1973*BJ1974+BJ1975*BJ1976</f>
        <v>0</v>
      </c>
      <c r="BK1970" s="695"/>
      <c r="BL1970" s="695"/>
      <c r="BM1970" s="695"/>
      <c r="BN1970" s="695"/>
      <c r="BO1970" s="695"/>
      <c r="BP1970" s="695"/>
      <c r="BQ1970" s="695"/>
      <c r="BR1970" s="695"/>
      <c r="BS1970" s="695"/>
      <c r="BT1970" s="695"/>
      <c r="BU1970" s="695"/>
      <c r="BV1970" s="695"/>
      <c r="BW1970" s="695"/>
      <c r="BX1970" s="695"/>
      <c r="BY1970" s="695"/>
      <c r="BZ1970" s="696"/>
      <c r="CA1970" s="270"/>
      <c r="CB1970" s="3" t="str">
        <f t="shared" si="322"/>
        <v>Riadok bude skrytý.</v>
      </c>
      <c r="CC1970" s="271" t="s">
        <v>832</v>
      </c>
      <c r="CW1970" s="30">
        <f t="shared" si="334"/>
        <v>1</v>
      </c>
      <c r="CZ1970" s="30">
        <f t="shared" si="333"/>
        <v>1</v>
      </c>
      <c r="DA1970" s="30">
        <f t="shared" si="332"/>
        <v>1</v>
      </c>
      <c r="DB1970" s="2">
        <f t="shared" si="330"/>
        <v>0</v>
      </c>
      <c r="DS1970" s="130">
        <f>SI!BY1970</f>
        <v>806</v>
      </c>
      <c r="DZ1970" s="131">
        <f>SI!BZ1970</f>
        <v>2</v>
      </c>
    </row>
    <row r="1971" spans="1:130" hidden="1" x14ac:dyDescent="0.25">
      <c r="A1971" s="141"/>
      <c r="B1971" s="685" t="str">
        <f>+IF(LEN(SI!$J$4)=Poznamky_k_UZ!DZ1971,"Počet akcií (a.s.)","")</f>
        <v>Počet akcií (a.s.)</v>
      </c>
      <c r="C1971" s="686"/>
      <c r="D1971" s="686"/>
      <c r="E1971" s="686"/>
      <c r="F1971" s="686"/>
      <c r="G1971" s="686"/>
      <c r="H1971" s="686"/>
      <c r="I1971" s="686"/>
      <c r="J1971" s="686"/>
      <c r="K1971" s="686"/>
      <c r="L1971" s="686"/>
      <c r="M1971" s="686"/>
      <c r="N1971" s="686"/>
      <c r="O1971" s="686"/>
      <c r="P1971" s="686"/>
      <c r="Q1971" s="686"/>
      <c r="R1971" s="686"/>
      <c r="S1971" s="686"/>
      <c r="T1971" s="686"/>
      <c r="U1971" s="686"/>
      <c r="V1971" s="686"/>
      <c r="W1971" s="686"/>
      <c r="X1971" s="686"/>
      <c r="Y1971" s="686"/>
      <c r="Z1971" s="686"/>
      <c r="AA1971" s="686"/>
      <c r="AB1971" s="686"/>
      <c r="AC1971" s="686"/>
      <c r="AD1971" s="686"/>
      <c r="AE1971" s="686"/>
      <c r="AF1971" s="686"/>
      <c r="AG1971" s="686"/>
      <c r="AH1971" s="686"/>
      <c r="AI1971" s="686"/>
      <c r="AJ1971" s="686"/>
      <c r="AK1971" s="686"/>
      <c r="AL1971" s="686"/>
      <c r="AM1971" s="686"/>
      <c r="AN1971" s="686"/>
      <c r="AO1971" s="686"/>
      <c r="AP1971" s="686"/>
      <c r="AQ1971" s="687"/>
      <c r="AR1971" s="691"/>
      <c r="AS1971" s="692"/>
      <c r="AT1971" s="692"/>
      <c r="AU1971" s="692"/>
      <c r="AV1971" s="692"/>
      <c r="AW1971" s="692"/>
      <c r="AX1971" s="692"/>
      <c r="AY1971" s="692"/>
      <c r="AZ1971" s="692"/>
      <c r="BA1971" s="692"/>
      <c r="BB1971" s="692"/>
      <c r="BC1971" s="692"/>
      <c r="BD1971" s="692"/>
      <c r="BE1971" s="692"/>
      <c r="BF1971" s="692"/>
      <c r="BG1971" s="692"/>
      <c r="BH1971" s="692"/>
      <c r="BI1971" s="693"/>
      <c r="BJ1971" s="691"/>
      <c r="BK1971" s="692"/>
      <c r="BL1971" s="692"/>
      <c r="BM1971" s="692"/>
      <c r="BN1971" s="692"/>
      <c r="BO1971" s="692"/>
      <c r="BP1971" s="692"/>
      <c r="BQ1971" s="692"/>
      <c r="BR1971" s="692"/>
      <c r="BS1971" s="692"/>
      <c r="BT1971" s="692"/>
      <c r="BU1971" s="692"/>
      <c r="BV1971" s="692"/>
      <c r="BW1971" s="692"/>
      <c r="BX1971" s="692"/>
      <c r="BY1971" s="692"/>
      <c r="BZ1971" s="693"/>
      <c r="CA1971" s="270"/>
      <c r="CB1971" s="3" t="str">
        <f t="shared" ref="CB1971:CB2034" si="335">+IF(DB1971=0,"Riadok bude skrytý.","Riadok bude vidieť.")</f>
        <v>Riadok bude skrytý.</v>
      </c>
      <c r="CC1971" s="271" t="s">
        <v>832</v>
      </c>
      <c r="CW1971" s="30">
        <f t="shared" si="334"/>
        <v>1</v>
      </c>
      <c r="CZ1971" s="30">
        <f t="shared" si="333"/>
        <v>1</v>
      </c>
      <c r="DA1971" s="30">
        <f t="shared" si="332"/>
        <v>1</v>
      </c>
      <c r="DB1971" s="2">
        <f t="shared" si="330"/>
        <v>0</v>
      </c>
      <c r="DS1971" s="130">
        <f>SI!BY1971</f>
        <v>199</v>
      </c>
      <c r="DZ1971" s="131">
        <f>SI!BZ1971</f>
        <v>2</v>
      </c>
    </row>
    <row r="1972" spans="1:130" hidden="1" x14ac:dyDescent="0.25">
      <c r="A1972" s="141"/>
      <c r="B1972" s="682" t="str">
        <f>+IF(LEN(SI!$J$4)=Poznamky_k_UZ!DZ1972,"Nominálna hodnota 1 akcie (a.s.)","")</f>
        <v>Nominálna hodnota 1 akcie (a.s.)</v>
      </c>
      <c r="C1972" s="683"/>
      <c r="D1972" s="683"/>
      <c r="E1972" s="683"/>
      <c r="F1972" s="683"/>
      <c r="G1972" s="683"/>
      <c r="H1972" s="683"/>
      <c r="I1972" s="683"/>
      <c r="J1972" s="683"/>
      <c r="K1972" s="683"/>
      <c r="L1972" s="683"/>
      <c r="M1972" s="683"/>
      <c r="N1972" s="683"/>
      <c r="O1972" s="683"/>
      <c r="P1972" s="683"/>
      <c r="Q1972" s="683"/>
      <c r="R1972" s="683"/>
      <c r="S1972" s="683"/>
      <c r="T1972" s="683"/>
      <c r="U1972" s="683"/>
      <c r="V1972" s="683"/>
      <c r="W1972" s="683"/>
      <c r="X1972" s="683"/>
      <c r="Y1972" s="683"/>
      <c r="Z1972" s="683"/>
      <c r="AA1972" s="683"/>
      <c r="AB1972" s="683"/>
      <c r="AC1972" s="683"/>
      <c r="AD1972" s="683"/>
      <c r="AE1972" s="683"/>
      <c r="AF1972" s="683"/>
      <c r="AG1972" s="683"/>
      <c r="AH1972" s="683"/>
      <c r="AI1972" s="683"/>
      <c r="AJ1972" s="683"/>
      <c r="AK1972" s="683"/>
      <c r="AL1972" s="683"/>
      <c r="AM1972" s="683"/>
      <c r="AN1972" s="683"/>
      <c r="AO1972" s="683"/>
      <c r="AP1972" s="683"/>
      <c r="AQ1972" s="684"/>
      <c r="AR1972" s="677"/>
      <c r="AS1972" s="678"/>
      <c r="AT1972" s="678"/>
      <c r="AU1972" s="678"/>
      <c r="AV1972" s="678"/>
      <c r="AW1972" s="678"/>
      <c r="AX1972" s="678"/>
      <c r="AY1972" s="678"/>
      <c r="AZ1972" s="678"/>
      <c r="BA1972" s="678"/>
      <c r="BB1972" s="678"/>
      <c r="BC1972" s="678"/>
      <c r="BD1972" s="678"/>
      <c r="BE1972" s="678"/>
      <c r="BF1972" s="678"/>
      <c r="BG1972" s="678"/>
      <c r="BH1972" s="678"/>
      <c r="BI1972" s="679"/>
      <c r="BJ1972" s="677"/>
      <c r="BK1972" s="678"/>
      <c r="BL1972" s="678"/>
      <c r="BM1972" s="678"/>
      <c r="BN1972" s="678"/>
      <c r="BO1972" s="678"/>
      <c r="BP1972" s="678"/>
      <c r="BQ1972" s="678"/>
      <c r="BR1972" s="678"/>
      <c r="BS1972" s="678"/>
      <c r="BT1972" s="678"/>
      <c r="BU1972" s="678"/>
      <c r="BV1972" s="678"/>
      <c r="BW1972" s="678"/>
      <c r="BX1972" s="678"/>
      <c r="BY1972" s="678"/>
      <c r="BZ1972" s="679"/>
      <c r="CA1972" s="270"/>
      <c r="CB1972" s="3" t="str">
        <f t="shared" si="335"/>
        <v>Riadok bude skrytý.</v>
      </c>
      <c r="CC1972" s="271" t="s">
        <v>832</v>
      </c>
      <c r="CW1972" s="30">
        <f t="shared" si="334"/>
        <v>1</v>
      </c>
      <c r="CZ1972" s="30">
        <f t="shared" si="333"/>
        <v>1</v>
      </c>
      <c r="DA1972" s="30">
        <f t="shared" si="332"/>
        <v>1</v>
      </c>
      <c r="DB1972" s="2">
        <f t="shared" si="330"/>
        <v>0</v>
      </c>
      <c r="DS1972" s="130">
        <f>SI!BY1972</f>
        <v>827</v>
      </c>
      <c r="DZ1972" s="131">
        <f>SI!BZ1972</f>
        <v>2</v>
      </c>
    </row>
    <row r="1973" spans="1:130" hidden="1" x14ac:dyDescent="0.25">
      <c r="A1973" s="141"/>
      <c r="B1973" s="674" t="str">
        <f>+IF(LEN(SI!$J$4)=Poznamky_k_UZ!DZ1973,"Počet akcií (a.s.)","")</f>
        <v>Počet akcií (a.s.)</v>
      </c>
      <c r="C1973" s="675"/>
      <c r="D1973" s="675"/>
      <c r="E1973" s="675"/>
      <c r="F1973" s="675"/>
      <c r="G1973" s="675"/>
      <c r="H1973" s="675"/>
      <c r="I1973" s="675"/>
      <c r="J1973" s="675"/>
      <c r="K1973" s="675"/>
      <c r="L1973" s="675"/>
      <c r="M1973" s="675"/>
      <c r="N1973" s="675"/>
      <c r="O1973" s="675"/>
      <c r="P1973" s="675"/>
      <c r="Q1973" s="675"/>
      <c r="R1973" s="675"/>
      <c r="S1973" s="675"/>
      <c r="T1973" s="675"/>
      <c r="U1973" s="675"/>
      <c r="V1973" s="675"/>
      <c r="W1973" s="675"/>
      <c r="X1973" s="675"/>
      <c r="Y1973" s="675"/>
      <c r="Z1973" s="675"/>
      <c r="AA1973" s="675"/>
      <c r="AB1973" s="675"/>
      <c r="AC1973" s="675"/>
      <c r="AD1973" s="675"/>
      <c r="AE1973" s="675"/>
      <c r="AF1973" s="675"/>
      <c r="AG1973" s="675"/>
      <c r="AH1973" s="675"/>
      <c r="AI1973" s="675"/>
      <c r="AJ1973" s="675"/>
      <c r="AK1973" s="675"/>
      <c r="AL1973" s="675"/>
      <c r="AM1973" s="675"/>
      <c r="AN1973" s="675"/>
      <c r="AO1973" s="675"/>
      <c r="AP1973" s="675"/>
      <c r="AQ1973" s="676"/>
      <c r="AR1973" s="663"/>
      <c r="AS1973" s="664"/>
      <c r="AT1973" s="664"/>
      <c r="AU1973" s="664"/>
      <c r="AV1973" s="664"/>
      <c r="AW1973" s="664"/>
      <c r="AX1973" s="664"/>
      <c r="AY1973" s="664"/>
      <c r="AZ1973" s="664"/>
      <c r="BA1973" s="664"/>
      <c r="BB1973" s="664"/>
      <c r="BC1973" s="664"/>
      <c r="BD1973" s="664"/>
      <c r="BE1973" s="664"/>
      <c r="BF1973" s="664"/>
      <c r="BG1973" s="664"/>
      <c r="BH1973" s="664"/>
      <c r="BI1973" s="665"/>
      <c r="BJ1973" s="663"/>
      <c r="BK1973" s="664"/>
      <c r="BL1973" s="664"/>
      <c r="BM1973" s="664"/>
      <c r="BN1973" s="664"/>
      <c r="BO1973" s="664"/>
      <c r="BP1973" s="664"/>
      <c r="BQ1973" s="664"/>
      <c r="BR1973" s="664"/>
      <c r="BS1973" s="664"/>
      <c r="BT1973" s="664"/>
      <c r="BU1973" s="664"/>
      <c r="BV1973" s="664"/>
      <c r="BW1973" s="664"/>
      <c r="BX1973" s="664"/>
      <c r="BY1973" s="664"/>
      <c r="BZ1973" s="665"/>
      <c r="CA1973" s="270"/>
      <c r="CB1973" s="3" t="str">
        <f t="shared" si="335"/>
        <v>Riadok bude skrytý.</v>
      </c>
      <c r="CC1973" s="271" t="s">
        <v>832</v>
      </c>
      <c r="CW1973" s="30">
        <f t="shared" si="334"/>
        <v>1</v>
      </c>
      <c r="CZ1973" s="30">
        <f t="shared" si="333"/>
        <v>1</v>
      </c>
      <c r="DA1973" s="30">
        <f t="shared" si="332"/>
        <v>1</v>
      </c>
      <c r="DB1973" s="2">
        <f t="shared" si="330"/>
        <v>0</v>
      </c>
      <c r="DS1973" s="130">
        <f>SI!BY1973</f>
        <v>156</v>
      </c>
      <c r="DZ1973" s="131">
        <f>SI!BZ1973</f>
        <v>2</v>
      </c>
    </row>
    <row r="1974" spans="1:130" hidden="1" x14ac:dyDescent="0.25">
      <c r="A1974" s="141"/>
      <c r="B1974" s="682" t="str">
        <f>+IF(LEN(SI!$J$4)=Poznamky_k_UZ!DZ1974,"Nominálna hodnota 1 akcie (a.s.)","")</f>
        <v>Nominálna hodnota 1 akcie (a.s.)</v>
      </c>
      <c r="C1974" s="683"/>
      <c r="D1974" s="683"/>
      <c r="E1974" s="683"/>
      <c r="F1974" s="683"/>
      <c r="G1974" s="683"/>
      <c r="H1974" s="683"/>
      <c r="I1974" s="683"/>
      <c r="J1974" s="683"/>
      <c r="K1974" s="683"/>
      <c r="L1974" s="683"/>
      <c r="M1974" s="683"/>
      <c r="N1974" s="683"/>
      <c r="O1974" s="683"/>
      <c r="P1974" s="683"/>
      <c r="Q1974" s="683"/>
      <c r="R1974" s="683"/>
      <c r="S1974" s="683"/>
      <c r="T1974" s="683"/>
      <c r="U1974" s="683"/>
      <c r="V1974" s="683"/>
      <c r="W1974" s="683"/>
      <c r="X1974" s="683"/>
      <c r="Y1974" s="683"/>
      <c r="Z1974" s="683"/>
      <c r="AA1974" s="683"/>
      <c r="AB1974" s="683"/>
      <c r="AC1974" s="683"/>
      <c r="AD1974" s="683"/>
      <c r="AE1974" s="683"/>
      <c r="AF1974" s="683"/>
      <c r="AG1974" s="683"/>
      <c r="AH1974" s="683"/>
      <c r="AI1974" s="683"/>
      <c r="AJ1974" s="683"/>
      <c r="AK1974" s="683"/>
      <c r="AL1974" s="683"/>
      <c r="AM1974" s="683"/>
      <c r="AN1974" s="683"/>
      <c r="AO1974" s="683"/>
      <c r="AP1974" s="683"/>
      <c r="AQ1974" s="684"/>
      <c r="AR1974" s="677"/>
      <c r="AS1974" s="678"/>
      <c r="AT1974" s="678"/>
      <c r="AU1974" s="678"/>
      <c r="AV1974" s="678"/>
      <c r="AW1974" s="678"/>
      <c r="AX1974" s="678"/>
      <c r="AY1974" s="678"/>
      <c r="AZ1974" s="678"/>
      <c r="BA1974" s="678"/>
      <c r="BB1974" s="678"/>
      <c r="BC1974" s="678"/>
      <c r="BD1974" s="678"/>
      <c r="BE1974" s="678"/>
      <c r="BF1974" s="678"/>
      <c r="BG1974" s="678"/>
      <c r="BH1974" s="678"/>
      <c r="BI1974" s="679"/>
      <c r="BJ1974" s="677"/>
      <c r="BK1974" s="678"/>
      <c r="BL1974" s="678"/>
      <c r="BM1974" s="678"/>
      <c r="BN1974" s="678"/>
      <c r="BO1974" s="678"/>
      <c r="BP1974" s="678"/>
      <c r="BQ1974" s="678"/>
      <c r="BR1974" s="678"/>
      <c r="BS1974" s="678"/>
      <c r="BT1974" s="678"/>
      <c r="BU1974" s="678"/>
      <c r="BV1974" s="678"/>
      <c r="BW1974" s="678"/>
      <c r="BX1974" s="678"/>
      <c r="BY1974" s="678"/>
      <c r="BZ1974" s="679"/>
      <c r="CA1974" s="270"/>
      <c r="CB1974" s="3" t="str">
        <f t="shared" si="335"/>
        <v>Riadok bude skrytý.</v>
      </c>
      <c r="CC1974" s="271" t="s">
        <v>832</v>
      </c>
      <c r="CW1974" s="30">
        <f t="shared" si="334"/>
        <v>1</v>
      </c>
      <c r="CZ1974" s="30">
        <f t="shared" si="333"/>
        <v>1</v>
      </c>
      <c r="DA1974" s="30">
        <f t="shared" si="332"/>
        <v>1</v>
      </c>
      <c r="DB1974" s="2">
        <f t="shared" si="330"/>
        <v>0</v>
      </c>
      <c r="DS1974" s="130">
        <f>SI!BY1974</f>
        <v>1134</v>
      </c>
      <c r="DZ1974" s="131">
        <f>SI!BZ1974</f>
        <v>2</v>
      </c>
    </row>
    <row r="1975" spans="1:130" hidden="1" x14ac:dyDescent="0.25">
      <c r="A1975" s="141"/>
      <c r="B1975" s="674" t="str">
        <f>+IF(LEN(SI!$J$4)=Poznamky_k_UZ!DZ1975,"Počet akcií (a.s.)","")</f>
        <v>Počet akcií (a.s.)</v>
      </c>
      <c r="C1975" s="675"/>
      <c r="D1975" s="675"/>
      <c r="E1975" s="675"/>
      <c r="F1975" s="675"/>
      <c r="G1975" s="675"/>
      <c r="H1975" s="675"/>
      <c r="I1975" s="675"/>
      <c r="J1975" s="675"/>
      <c r="K1975" s="675"/>
      <c r="L1975" s="675"/>
      <c r="M1975" s="675"/>
      <c r="N1975" s="675"/>
      <c r="O1975" s="675"/>
      <c r="P1975" s="675"/>
      <c r="Q1975" s="675"/>
      <c r="R1975" s="675"/>
      <c r="S1975" s="675"/>
      <c r="T1975" s="675"/>
      <c r="U1975" s="675"/>
      <c r="V1975" s="675"/>
      <c r="W1975" s="675"/>
      <c r="X1975" s="675"/>
      <c r="Y1975" s="675"/>
      <c r="Z1975" s="675"/>
      <c r="AA1975" s="675"/>
      <c r="AB1975" s="675"/>
      <c r="AC1975" s="675"/>
      <c r="AD1975" s="675"/>
      <c r="AE1975" s="675"/>
      <c r="AF1975" s="675"/>
      <c r="AG1975" s="675"/>
      <c r="AH1975" s="675"/>
      <c r="AI1975" s="675"/>
      <c r="AJ1975" s="675"/>
      <c r="AK1975" s="675"/>
      <c r="AL1975" s="675"/>
      <c r="AM1975" s="675"/>
      <c r="AN1975" s="675"/>
      <c r="AO1975" s="675"/>
      <c r="AP1975" s="675"/>
      <c r="AQ1975" s="676"/>
      <c r="AR1975" s="663"/>
      <c r="AS1975" s="664"/>
      <c r="AT1975" s="664"/>
      <c r="AU1975" s="664"/>
      <c r="AV1975" s="664"/>
      <c r="AW1975" s="664"/>
      <c r="AX1975" s="664"/>
      <c r="AY1975" s="664"/>
      <c r="AZ1975" s="664"/>
      <c r="BA1975" s="664"/>
      <c r="BB1975" s="664"/>
      <c r="BC1975" s="664"/>
      <c r="BD1975" s="664"/>
      <c r="BE1975" s="664"/>
      <c r="BF1975" s="664"/>
      <c r="BG1975" s="664"/>
      <c r="BH1975" s="664"/>
      <c r="BI1975" s="665"/>
      <c r="BJ1975" s="663"/>
      <c r="BK1975" s="664"/>
      <c r="BL1975" s="664"/>
      <c r="BM1975" s="664"/>
      <c r="BN1975" s="664"/>
      <c r="BO1975" s="664"/>
      <c r="BP1975" s="664"/>
      <c r="BQ1975" s="664"/>
      <c r="BR1975" s="664"/>
      <c r="BS1975" s="664"/>
      <c r="BT1975" s="664"/>
      <c r="BU1975" s="664"/>
      <c r="BV1975" s="664"/>
      <c r="BW1975" s="664"/>
      <c r="BX1975" s="664"/>
      <c r="BY1975" s="664"/>
      <c r="BZ1975" s="665"/>
      <c r="CA1975" s="270"/>
      <c r="CB1975" s="3" t="str">
        <f t="shared" si="335"/>
        <v>Riadok bude skrytý.</v>
      </c>
      <c r="CC1975" s="271" t="s">
        <v>832</v>
      </c>
      <c r="CW1975" s="30">
        <f t="shared" si="334"/>
        <v>1</v>
      </c>
      <c r="CZ1975" s="30">
        <f t="shared" si="333"/>
        <v>1</v>
      </c>
      <c r="DA1975" s="30">
        <f t="shared" si="332"/>
        <v>1</v>
      </c>
      <c r="DB1975" s="2">
        <f t="shared" si="330"/>
        <v>0</v>
      </c>
      <c r="DS1975" s="130">
        <f>SI!BY1975</f>
        <v>143</v>
      </c>
      <c r="DZ1975" s="131">
        <f>SI!BZ1975</f>
        <v>2</v>
      </c>
    </row>
    <row r="1976" spans="1:130" hidden="1" x14ac:dyDescent="0.25">
      <c r="A1976" s="141"/>
      <c r="B1976" s="682" t="str">
        <f>+IF(LEN(SI!$J$4)=Poznamky_k_UZ!DZ1976,"Nominálna hodnota 1 akcie (a.s.)","")</f>
        <v>Nominálna hodnota 1 akcie (a.s.)</v>
      </c>
      <c r="C1976" s="683"/>
      <c r="D1976" s="683"/>
      <c r="E1976" s="683"/>
      <c r="F1976" s="683"/>
      <c r="G1976" s="683"/>
      <c r="H1976" s="683"/>
      <c r="I1976" s="683"/>
      <c r="J1976" s="683"/>
      <c r="K1976" s="683"/>
      <c r="L1976" s="683"/>
      <c r="M1976" s="683"/>
      <c r="N1976" s="683"/>
      <c r="O1976" s="683"/>
      <c r="P1976" s="683"/>
      <c r="Q1976" s="683"/>
      <c r="R1976" s="683"/>
      <c r="S1976" s="683"/>
      <c r="T1976" s="683"/>
      <c r="U1976" s="683"/>
      <c r="V1976" s="683"/>
      <c r="W1976" s="683"/>
      <c r="X1976" s="683"/>
      <c r="Y1976" s="683"/>
      <c r="Z1976" s="683"/>
      <c r="AA1976" s="683"/>
      <c r="AB1976" s="683"/>
      <c r="AC1976" s="683"/>
      <c r="AD1976" s="683"/>
      <c r="AE1976" s="683"/>
      <c r="AF1976" s="683"/>
      <c r="AG1976" s="683"/>
      <c r="AH1976" s="683"/>
      <c r="AI1976" s="683"/>
      <c r="AJ1976" s="683"/>
      <c r="AK1976" s="683"/>
      <c r="AL1976" s="683"/>
      <c r="AM1976" s="683"/>
      <c r="AN1976" s="683"/>
      <c r="AO1976" s="683"/>
      <c r="AP1976" s="683"/>
      <c r="AQ1976" s="684"/>
      <c r="AR1976" s="677"/>
      <c r="AS1976" s="678"/>
      <c r="AT1976" s="678"/>
      <c r="AU1976" s="678"/>
      <c r="AV1976" s="678"/>
      <c r="AW1976" s="678"/>
      <c r="AX1976" s="678"/>
      <c r="AY1976" s="678"/>
      <c r="AZ1976" s="678"/>
      <c r="BA1976" s="678"/>
      <c r="BB1976" s="678"/>
      <c r="BC1976" s="678"/>
      <c r="BD1976" s="678"/>
      <c r="BE1976" s="678"/>
      <c r="BF1976" s="678"/>
      <c r="BG1976" s="678"/>
      <c r="BH1976" s="678"/>
      <c r="BI1976" s="679"/>
      <c r="BJ1976" s="677"/>
      <c r="BK1976" s="678"/>
      <c r="BL1976" s="678"/>
      <c r="BM1976" s="678"/>
      <c r="BN1976" s="678"/>
      <c r="BO1976" s="678"/>
      <c r="BP1976" s="678"/>
      <c r="BQ1976" s="678"/>
      <c r="BR1976" s="678"/>
      <c r="BS1976" s="678"/>
      <c r="BT1976" s="678"/>
      <c r="BU1976" s="678"/>
      <c r="BV1976" s="678"/>
      <c r="BW1976" s="678"/>
      <c r="BX1976" s="678"/>
      <c r="BY1976" s="678"/>
      <c r="BZ1976" s="679"/>
      <c r="CA1976" s="270"/>
      <c r="CB1976" s="3" t="str">
        <f t="shared" si="335"/>
        <v>Riadok bude skrytý.</v>
      </c>
      <c r="CC1976" s="271" t="s">
        <v>832</v>
      </c>
      <c r="CW1976" s="30">
        <f t="shared" si="334"/>
        <v>1</v>
      </c>
      <c r="CZ1976" s="30">
        <f t="shared" si="333"/>
        <v>1</v>
      </c>
      <c r="DA1976" s="30">
        <f t="shared" si="332"/>
        <v>1</v>
      </c>
      <c r="DB1976" s="2">
        <f t="shared" si="330"/>
        <v>0</v>
      </c>
      <c r="DS1976" s="130">
        <f>SI!BY1976</f>
        <v>162</v>
      </c>
      <c r="DZ1976" s="131">
        <f>SI!BZ1976</f>
        <v>2</v>
      </c>
    </row>
    <row r="1977" spans="1:130" hidden="1" x14ac:dyDescent="0.25">
      <c r="A1977" s="141"/>
      <c r="B1977" s="697" t="str">
        <f>+IF(LEN(SI!$J$4)=Poznamky_k_UZ!DZ1977,"zisk /+/,  strata /-/ účtovného obdobia","")</f>
        <v>zisk /+/,  strata /-/ účtovného obdobia</v>
      </c>
      <c r="C1977" s="698"/>
      <c r="D1977" s="698"/>
      <c r="E1977" s="698"/>
      <c r="F1977" s="698"/>
      <c r="G1977" s="698"/>
      <c r="H1977" s="698"/>
      <c r="I1977" s="698"/>
      <c r="J1977" s="698"/>
      <c r="K1977" s="698"/>
      <c r="L1977" s="698"/>
      <c r="M1977" s="698"/>
      <c r="N1977" s="698"/>
      <c r="O1977" s="698"/>
      <c r="P1977" s="698"/>
      <c r="Q1977" s="698"/>
      <c r="R1977" s="698"/>
      <c r="S1977" s="698"/>
      <c r="T1977" s="698"/>
      <c r="U1977" s="698"/>
      <c r="V1977" s="698"/>
      <c r="W1977" s="698"/>
      <c r="X1977" s="698"/>
      <c r="Y1977" s="698"/>
      <c r="Z1977" s="698"/>
      <c r="AA1977" s="698"/>
      <c r="AB1977" s="698"/>
      <c r="AC1977" s="698"/>
      <c r="AD1977" s="698"/>
      <c r="AE1977" s="698"/>
      <c r="AF1977" s="698"/>
      <c r="AG1977" s="698"/>
      <c r="AH1977" s="698"/>
      <c r="AI1977" s="698"/>
      <c r="AJ1977" s="698"/>
      <c r="AK1977" s="698"/>
      <c r="AL1977" s="698"/>
      <c r="AM1977" s="698"/>
      <c r="AN1977" s="698"/>
      <c r="AO1977" s="698"/>
      <c r="AP1977" s="698"/>
      <c r="AQ1977" s="699"/>
      <c r="AR1977" s="666"/>
      <c r="AS1977" s="667"/>
      <c r="AT1977" s="667"/>
      <c r="AU1977" s="667"/>
      <c r="AV1977" s="667"/>
      <c r="AW1977" s="667"/>
      <c r="AX1977" s="667"/>
      <c r="AY1977" s="667"/>
      <c r="AZ1977" s="667"/>
      <c r="BA1977" s="667"/>
      <c r="BB1977" s="667"/>
      <c r="BC1977" s="667"/>
      <c r="BD1977" s="667"/>
      <c r="BE1977" s="667"/>
      <c r="BF1977" s="667"/>
      <c r="BG1977" s="667"/>
      <c r="BH1977" s="667"/>
      <c r="BI1977" s="668"/>
      <c r="BJ1977" s="666"/>
      <c r="BK1977" s="667"/>
      <c r="BL1977" s="667"/>
      <c r="BM1977" s="667"/>
      <c r="BN1977" s="667"/>
      <c r="BO1977" s="667"/>
      <c r="BP1977" s="667"/>
      <c r="BQ1977" s="667"/>
      <c r="BR1977" s="667"/>
      <c r="BS1977" s="667"/>
      <c r="BT1977" s="667"/>
      <c r="BU1977" s="667"/>
      <c r="BV1977" s="667"/>
      <c r="BW1977" s="667"/>
      <c r="BX1977" s="667"/>
      <c r="BY1977" s="667"/>
      <c r="BZ1977" s="668"/>
      <c r="CA1977" s="270"/>
      <c r="CB1977" s="3" t="str">
        <f t="shared" si="335"/>
        <v>Riadok bude skrytý.</v>
      </c>
      <c r="CC1977" s="271" t="s">
        <v>832</v>
      </c>
      <c r="CW1977" s="30">
        <f t="shared" si="334"/>
        <v>1</v>
      </c>
      <c r="CZ1977" s="30">
        <f t="shared" si="333"/>
        <v>1</v>
      </c>
      <c r="DA1977" s="30">
        <f t="shared" si="332"/>
        <v>1</v>
      </c>
      <c r="DB1977" s="2">
        <f t="shared" si="330"/>
        <v>0</v>
      </c>
      <c r="DS1977" s="130">
        <f>SI!BY1977</f>
        <v>190</v>
      </c>
      <c r="DZ1977" s="131">
        <f>SI!BZ1977</f>
        <v>2</v>
      </c>
    </row>
    <row r="1978" spans="1:130" hidden="1" x14ac:dyDescent="0.25">
      <c r="A1978" s="141"/>
      <c r="B1978" s="697" t="str">
        <f>+IF(LEN(SI!$J$4)=Poznamky_k_UZ!DZ1978,IF(AR1973+BJ1973=0,(IF(AR1975+BJ1975=0,"zisk /+/,  strata /-/ na akciu","zisk /+/,  strata /-/ na 1 € základného imania")),"zisk /+/,  strata /-/ na 1 € základného imania"),"")</f>
        <v>zisk /+/,  strata /-/ na akciu</v>
      </c>
      <c r="C1978" s="698"/>
      <c r="D1978" s="698"/>
      <c r="E1978" s="698"/>
      <c r="F1978" s="698"/>
      <c r="G1978" s="698"/>
      <c r="H1978" s="698"/>
      <c r="I1978" s="698"/>
      <c r="J1978" s="698"/>
      <c r="K1978" s="698"/>
      <c r="L1978" s="698"/>
      <c r="M1978" s="698"/>
      <c r="N1978" s="698"/>
      <c r="O1978" s="698"/>
      <c r="P1978" s="698"/>
      <c r="Q1978" s="698"/>
      <c r="R1978" s="698"/>
      <c r="S1978" s="698"/>
      <c r="T1978" s="698"/>
      <c r="U1978" s="698"/>
      <c r="V1978" s="698"/>
      <c r="W1978" s="698"/>
      <c r="X1978" s="698"/>
      <c r="Y1978" s="698"/>
      <c r="Z1978" s="698"/>
      <c r="AA1978" s="698"/>
      <c r="AB1978" s="698"/>
      <c r="AC1978" s="698"/>
      <c r="AD1978" s="698"/>
      <c r="AE1978" s="698"/>
      <c r="AF1978" s="698"/>
      <c r="AG1978" s="698"/>
      <c r="AH1978" s="698"/>
      <c r="AI1978" s="698"/>
      <c r="AJ1978" s="698"/>
      <c r="AK1978" s="698"/>
      <c r="AL1978" s="698"/>
      <c r="AM1978" s="698"/>
      <c r="AN1978" s="698"/>
      <c r="AO1978" s="698"/>
      <c r="AP1978" s="698"/>
      <c r="AQ1978" s="699"/>
      <c r="AR1978" s="669" t="str">
        <f>IF(B1978="zisk /+/,  strata /-/ na akciu",IF(AR1971=0,"",AR1977/AR1971),IF(AR1970=0,"",AR1977/AR1970))</f>
        <v/>
      </c>
      <c r="AS1978" s="670"/>
      <c r="AT1978" s="670"/>
      <c r="AU1978" s="670"/>
      <c r="AV1978" s="670"/>
      <c r="AW1978" s="670"/>
      <c r="AX1978" s="670"/>
      <c r="AY1978" s="670"/>
      <c r="AZ1978" s="670"/>
      <c r="BA1978" s="670"/>
      <c r="BB1978" s="670"/>
      <c r="BC1978" s="670"/>
      <c r="BD1978" s="670"/>
      <c r="BE1978" s="670"/>
      <c r="BF1978" s="670"/>
      <c r="BG1978" s="670"/>
      <c r="BH1978" s="670"/>
      <c r="BI1978" s="671"/>
      <c r="BJ1978" s="669" t="str">
        <f>IF(B1978="zisk /+/,  strata /-/ na akciu",IF(BJ1971=0,"",BJ1977/BJ1971),IF(BJ1970=0,"",BJ1977/BJ1970))</f>
        <v/>
      </c>
      <c r="BK1978" s="670"/>
      <c r="BL1978" s="670"/>
      <c r="BM1978" s="670"/>
      <c r="BN1978" s="670"/>
      <c r="BO1978" s="670"/>
      <c r="BP1978" s="670"/>
      <c r="BQ1978" s="670"/>
      <c r="BR1978" s="670"/>
      <c r="BS1978" s="670"/>
      <c r="BT1978" s="670"/>
      <c r="BU1978" s="670"/>
      <c r="BV1978" s="670"/>
      <c r="BW1978" s="670"/>
      <c r="BX1978" s="670"/>
      <c r="BY1978" s="670"/>
      <c r="BZ1978" s="671"/>
      <c r="CA1978" s="270"/>
      <c r="CB1978" s="3" t="str">
        <f t="shared" si="335"/>
        <v>Riadok bude skrytý.</v>
      </c>
      <c r="CC1978" s="271" t="s">
        <v>832</v>
      </c>
      <c r="CW1978" s="30">
        <f t="shared" si="334"/>
        <v>1</v>
      </c>
      <c r="CZ1978" s="30">
        <f t="shared" si="333"/>
        <v>1</v>
      </c>
      <c r="DA1978" s="30">
        <f t="shared" si="332"/>
        <v>1</v>
      </c>
      <c r="DB1978" s="2">
        <f t="shared" si="330"/>
        <v>0</v>
      </c>
      <c r="DS1978" s="130">
        <f>SI!BY1978</f>
        <v>1008</v>
      </c>
      <c r="DZ1978" s="131">
        <f>SI!BZ1978</f>
        <v>2</v>
      </c>
    </row>
    <row r="1979" spans="1:130" hidden="1" x14ac:dyDescent="0.25">
      <c r="A1979" s="141"/>
      <c r="CA1979" s="270"/>
      <c r="CB1979" s="3" t="str">
        <f t="shared" si="335"/>
        <v>Riadok bude skrytý.</v>
      </c>
      <c r="CC1979" s="271" t="s">
        <v>832</v>
      </c>
      <c r="CW1979" s="30">
        <f>+IF(B1981="",0,1)</f>
        <v>0</v>
      </c>
      <c r="CZ1979" s="30">
        <f t="shared" si="333"/>
        <v>1</v>
      </c>
      <c r="DA1979" s="30">
        <f t="shared" si="332"/>
        <v>0</v>
      </c>
      <c r="DB1979" s="2">
        <f t="shared" si="330"/>
        <v>0</v>
      </c>
      <c r="DS1979" s="130">
        <f>SI!BY1979</f>
        <v>153</v>
      </c>
      <c r="DZ1979" s="131">
        <f>SI!BZ1979</f>
        <v>0</v>
      </c>
    </row>
    <row r="1980" spans="1:130" hidden="1" x14ac:dyDescent="0.25">
      <c r="A1980" s="141"/>
      <c r="B1980" s="137" t="str">
        <f>+IF($I$52&lt;&gt;"",IF((ROUNDDOWN(CODE(MID($I$52,1,1))*3,0)+DAY(36167))*0+(2*LEN(SI!J3))=DS1980,"K vlastnému imaniu uvádza Spoločnosť, okrem údajov uvedených v časti P, ďalšie doplňujúce informácie:","NEPOVOLENÉ POUŽITIE!"),"NEPOVOLENÉ POUŽITIE!")</f>
        <v>K vlastnému imaniu uvádza Spoločnosť, okrem údajov uvedených v časti P, ďalšie doplňujúce informácie:</v>
      </c>
      <c r="C1980" s="7"/>
      <c r="D1980" s="7"/>
      <c r="E1980" s="7"/>
      <c r="F1980" s="7"/>
      <c r="CA1980" s="270"/>
      <c r="CB1980" s="3" t="str">
        <f t="shared" si="335"/>
        <v>Riadok bude skrytý.</v>
      </c>
      <c r="CC1980" s="271" t="s">
        <v>832</v>
      </c>
      <c r="CW1980" s="30">
        <f>+IF(B1981="",0,1)</f>
        <v>0</v>
      </c>
      <c r="CZ1980" s="30">
        <f t="shared" si="333"/>
        <v>1</v>
      </c>
      <c r="DA1980" s="30">
        <f t="shared" si="332"/>
        <v>0</v>
      </c>
      <c r="DB1980" s="2">
        <f t="shared" si="330"/>
        <v>0</v>
      </c>
      <c r="DS1980" s="130">
        <f>SI!BY1980</f>
        <v>10</v>
      </c>
      <c r="DZ1980" s="131">
        <f>SI!BZ1980</f>
        <v>0</v>
      </c>
    </row>
    <row r="1981" spans="1:130" hidden="1" x14ac:dyDescent="0.25">
      <c r="A1981" s="141"/>
      <c r="B1981" s="379"/>
      <c r="C1981" s="379"/>
      <c r="D1981" s="379"/>
      <c r="E1981" s="379"/>
      <c r="F1981" s="379"/>
      <c r="G1981" s="379"/>
      <c r="H1981" s="379"/>
      <c r="I1981" s="379"/>
      <c r="J1981" s="379"/>
      <c r="K1981" s="379"/>
      <c r="L1981" s="379"/>
      <c r="M1981" s="379"/>
      <c r="N1981" s="379"/>
      <c r="O1981" s="379"/>
      <c r="P1981" s="379"/>
      <c r="Q1981" s="379"/>
      <c r="R1981" s="379"/>
      <c r="S1981" s="379"/>
      <c r="T1981" s="379"/>
      <c r="U1981" s="379"/>
      <c r="V1981" s="379"/>
      <c r="W1981" s="379"/>
      <c r="X1981" s="379"/>
      <c r="Y1981" s="379"/>
      <c r="Z1981" s="379"/>
      <c r="AA1981" s="379"/>
      <c r="AB1981" s="379"/>
      <c r="AC1981" s="379"/>
      <c r="AD1981" s="379"/>
      <c r="AE1981" s="379"/>
      <c r="AF1981" s="379"/>
      <c r="AG1981" s="379"/>
      <c r="AH1981" s="379"/>
      <c r="AI1981" s="379"/>
      <c r="AJ1981" s="379"/>
      <c r="AK1981" s="379"/>
      <c r="AL1981" s="379"/>
      <c r="AM1981" s="379"/>
      <c r="AN1981" s="379"/>
      <c r="AO1981" s="379"/>
      <c r="AP1981" s="379"/>
      <c r="AQ1981" s="379"/>
      <c r="AR1981" s="379"/>
      <c r="AS1981" s="379"/>
      <c r="AT1981" s="379"/>
      <c r="AU1981" s="379"/>
      <c r="AV1981" s="379"/>
      <c r="AW1981" s="379"/>
      <c r="AX1981" s="379"/>
      <c r="AY1981" s="379"/>
      <c r="AZ1981" s="379"/>
      <c r="BA1981" s="379"/>
      <c r="BB1981" s="379"/>
      <c r="BC1981" s="379"/>
      <c r="BD1981" s="379"/>
      <c r="BE1981" s="379"/>
      <c r="BF1981" s="379"/>
      <c r="BG1981" s="379"/>
      <c r="BH1981" s="379"/>
      <c r="BI1981" s="379"/>
      <c r="BJ1981" s="379"/>
      <c r="BK1981" s="379"/>
      <c r="BL1981" s="379"/>
      <c r="BM1981" s="379"/>
      <c r="BN1981" s="379"/>
      <c r="BO1981" s="379"/>
      <c r="BP1981" s="379"/>
      <c r="BQ1981" s="379"/>
      <c r="BR1981" s="379"/>
      <c r="BS1981" s="379"/>
      <c r="BT1981" s="379"/>
      <c r="BU1981" s="379"/>
      <c r="BV1981" s="379"/>
      <c r="BW1981" s="379"/>
      <c r="BX1981" s="379"/>
      <c r="BY1981" s="379"/>
      <c r="BZ1981" s="379"/>
      <c r="CA1981" s="270"/>
      <c r="CB1981" s="3" t="str">
        <f t="shared" si="335"/>
        <v>Riadok bude skrytý.</v>
      </c>
      <c r="CC1981" s="271" t="s">
        <v>832</v>
      </c>
      <c r="CW1981" s="30">
        <f t="shared" ref="CW1981:CW2000" si="336">+IF(B1981="",0,1)</f>
        <v>0</v>
      </c>
      <c r="CZ1981" s="30">
        <f t="shared" si="333"/>
        <v>1</v>
      </c>
      <c r="DA1981" s="30">
        <f t="shared" si="332"/>
        <v>0</v>
      </c>
      <c r="DB1981" s="2">
        <f t="shared" si="330"/>
        <v>0</v>
      </c>
      <c r="DS1981" s="130">
        <f>SI!BY1981</f>
        <v>194</v>
      </c>
      <c r="DZ1981" s="131">
        <f>SI!BZ1981</f>
        <v>0</v>
      </c>
    </row>
    <row r="1982" spans="1:130" hidden="1" x14ac:dyDescent="0.25">
      <c r="A1982" s="141"/>
      <c r="B1982" s="379"/>
      <c r="C1982" s="379"/>
      <c r="D1982" s="379"/>
      <c r="E1982" s="379"/>
      <c r="F1982" s="379"/>
      <c r="G1982" s="379"/>
      <c r="H1982" s="379"/>
      <c r="I1982" s="379"/>
      <c r="J1982" s="379"/>
      <c r="K1982" s="379"/>
      <c r="L1982" s="379"/>
      <c r="M1982" s="379"/>
      <c r="N1982" s="379"/>
      <c r="O1982" s="379"/>
      <c r="P1982" s="379"/>
      <c r="Q1982" s="379"/>
      <c r="R1982" s="379"/>
      <c r="S1982" s="379"/>
      <c r="T1982" s="379"/>
      <c r="U1982" s="379"/>
      <c r="V1982" s="379"/>
      <c r="W1982" s="379"/>
      <c r="X1982" s="379"/>
      <c r="Y1982" s="379"/>
      <c r="Z1982" s="379"/>
      <c r="AA1982" s="379"/>
      <c r="AB1982" s="379"/>
      <c r="AC1982" s="379"/>
      <c r="AD1982" s="379"/>
      <c r="AE1982" s="379"/>
      <c r="AF1982" s="379"/>
      <c r="AG1982" s="379"/>
      <c r="AH1982" s="379"/>
      <c r="AI1982" s="379"/>
      <c r="AJ1982" s="379"/>
      <c r="AK1982" s="379"/>
      <c r="AL1982" s="379"/>
      <c r="AM1982" s="379"/>
      <c r="AN1982" s="379"/>
      <c r="AO1982" s="379"/>
      <c r="AP1982" s="379"/>
      <c r="AQ1982" s="379"/>
      <c r="AR1982" s="379"/>
      <c r="AS1982" s="379"/>
      <c r="AT1982" s="379"/>
      <c r="AU1982" s="379"/>
      <c r="AV1982" s="379"/>
      <c r="AW1982" s="379"/>
      <c r="AX1982" s="379"/>
      <c r="AY1982" s="379"/>
      <c r="AZ1982" s="379"/>
      <c r="BA1982" s="379"/>
      <c r="BB1982" s="379"/>
      <c r="BC1982" s="379"/>
      <c r="BD1982" s="379"/>
      <c r="BE1982" s="379"/>
      <c r="BF1982" s="379"/>
      <c r="BG1982" s="379"/>
      <c r="BH1982" s="379"/>
      <c r="BI1982" s="379"/>
      <c r="BJ1982" s="379"/>
      <c r="BK1982" s="379"/>
      <c r="BL1982" s="379"/>
      <c r="BM1982" s="379"/>
      <c r="BN1982" s="379"/>
      <c r="BO1982" s="379"/>
      <c r="BP1982" s="379"/>
      <c r="BQ1982" s="379"/>
      <c r="BR1982" s="379"/>
      <c r="BS1982" s="379"/>
      <c r="BT1982" s="379"/>
      <c r="BU1982" s="379"/>
      <c r="BV1982" s="379"/>
      <c r="BW1982" s="379"/>
      <c r="BX1982" s="379"/>
      <c r="BY1982" s="379"/>
      <c r="BZ1982" s="379"/>
      <c r="CA1982" s="270"/>
      <c r="CB1982" s="3" t="str">
        <f t="shared" si="335"/>
        <v>Riadok bude skrytý.</v>
      </c>
      <c r="CC1982" s="271" t="s">
        <v>832</v>
      </c>
      <c r="CW1982" s="30">
        <f t="shared" si="336"/>
        <v>0</v>
      </c>
      <c r="CZ1982" s="30">
        <f t="shared" si="333"/>
        <v>1</v>
      </c>
      <c r="DA1982" s="30">
        <f t="shared" si="332"/>
        <v>0</v>
      </c>
      <c r="DB1982" s="2">
        <f t="shared" si="330"/>
        <v>0</v>
      </c>
      <c r="DS1982" s="130">
        <f>SI!BY1982</f>
        <v>152</v>
      </c>
      <c r="DZ1982" s="131">
        <f>SI!BZ1982</f>
        <v>0</v>
      </c>
    </row>
    <row r="1983" spans="1:130" hidden="1" x14ac:dyDescent="0.25">
      <c r="A1983" s="141"/>
      <c r="B1983" s="379"/>
      <c r="C1983" s="379"/>
      <c r="D1983" s="379"/>
      <c r="E1983" s="379"/>
      <c r="F1983" s="379"/>
      <c r="G1983" s="379"/>
      <c r="H1983" s="379"/>
      <c r="I1983" s="379"/>
      <c r="J1983" s="379"/>
      <c r="K1983" s="379"/>
      <c r="L1983" s="379"/>
      <c r="M1983" s="379"/>
      <c r="N1983" s="379"/>
      <c r="O1983" s="379"/>
      <c r="P1983" s="379"/>
      <c r="Q1983" s="379"/>
      <c r="R1983" s="379"/>
      <c r="S1983" s="379"/>
      <c r="T1983" s="379"/>
      <c r="U1983" s="379"/>
      <c r="V1983" s="379"/>
      <c r="W1983" s="379"/>
      <c r="X1983" s="379"/>
      <c r="Y1983" s="379"/>
      <c r="Z1983" s="379"/>
      <c r="AA1983" s="379"/>
      <c r="AB1983" s="379"/>
      <c r="AC1983" s="379"/>
      <c r="AD1983" s="379"/>
      <c r="AE1983" s="379"/>
      <c r="AF1983" s="379"/>
      <c r="AG1983" s="379"/>
      <c r="AH1983" s="379"/>
      <c r="AI1983" s="379"/>
      <c r="AJ1983" s="379"/>
      <c r="AK1983" s="379"/>
      <c r="AL1983" s="379"/>
      <c r="AM1983" s="379"/>
      <c r="AN1983" s="379"/>
      <c r="AO1983" s="379"/>
      <c r="AP1983" s="379"/>
      <c r="AQ1983" s="379"/>
      <c r="AR1983" s="379"/>
      <c r="AS1983" s="379"/>
      <c r="AT1983" s="379"/>
      <c r="AU1983" s="379"/>
      <c r="AV1983" s="379"/>
      <c r="AW1983" s="379"/>
      <c r="AX1983" s="379"/>
      <c r="AY1983" s="379"/>
      <c r="AZ1983" s="379"/>
      <c r="BA1983" s="379"/>
      <c r="BB1983" s="379"/>
      <c r="BC1983" s="379"/>
      <c r="BD1983" s="379"/>
      <c r="BE1983" s="379"/>
      <c r="BF1983" s="379"/>
      <c r="BG1983" s="379"/>
      <c r="BH1983" s="379"/>
      <c r="BI1983" s="379"/>
      <c r="BJ1983" s="379"/>
      <c r="BK1983" s="379"/>
      <c r="BL1983" s="379"/>
      <c r="BM1983" s="379"/>
      <c r="BN1983" s="379"/>
      <c r="BO1983" s="379"/>
      <c r="BP1983" s="379"/>
      <c r="BQ1983" s="379"/>
      <c r="BR1983" s="379"/>
      <c r="BS1983" s="379"/>
      <c r="BT1983" s="379"/>
      <c r="BU1983" s="379"/>
      <c r="BV1983" s="379"/>
      <c r="BW1983" s="379"/>
      <c r="BX1983" s="379"/>
      <c r="BY1983" s="379"/>
      <c r="BZ1983" s="379"/>
      <c r="CA1983" s="270"/>
      <c r="CB1983" s="3" t="str">
        <f t="shared" si="335"/>
        <v>Riadok bude skrytý.</v>
      </c>
      <c r="CC1983" s="271" t="s">
        <v>832</v>
      </c>
      <c r="CW1983" s="30">
        <f t="shared" si="336"/>
        <v>0</v>
      </c>
      <c r="CZ1983" s="30">
        <f t="shared" si="333"/>
        <v>1</v>
      </c>
      <c r="DA1983" s="30">
        <f t="shared" si="332"/>
        <v>0</v>
      </c>
      <c r="DB1983" s="2">
        <f t="shared" si="330"/>
        <v>0</v>
      </c>
      <c r="DS1983" s="130">
        <f>SI!BY1983</f>
        <v>172</v>
      </c>
      <c r="DZ1983" s="131">
        <f>SI!BZ1983</f>
        <v>0</v>
      </c>
    </row>
    <row r="1984" spans="1:130" hidden="1" x14ac:dyDescent="0.25">
      <c r="A1984" s="141"/>
      <c r="B1984" s="379"/>
      <c r="C1984" s="379"/>
      <c r="D1984" s="379"/>
      <c r="E1984" s="379"/>
      <c r="F1984" s="379"/>
      <c r="G1984" s="379"/>
      <c r="H1984" s="379"/>
      <c r="I1984" s="379"/>
      <c r="J1984" s="379"/>
      <c r="K1984" s="379"/>
      <c r="L1984" s="379"/>
      <c r="M1984" s="379"/>
      <c r="N1984" s="379"/>
      <c r="O1984" s="379"/>
      <c r="P1984" s="379"/>
      <c r="Q1984" s="379"/>
      <c r="R1984" s="379"/>
      <c r="S1984" s="379"/>
      <c r="T1984" s="379"/>
      <c r="U1984" s="379"/>
      <c r="V1984" s="379"/>
      <c r="W1984" s="379"/>
      <c r="X1984" s="379"/>
      <c r="Y1984" s="379"/>
      <c r="Z1984" s="379"/>
      <c r="AA1984" s="379"/>
      <c r="AB1984" s="379"/>
      <c r="AC1984" s="379"/>
      <c r="AD1984" s="379"/>
      <c r="AE1984" s="379"/>
      <c r="AF1984" s="379"/>
      <c r="AG1984" s="379"/>
      <c r="AH1984" s="379"/>
      <c r="AI1984" s="379"/>
      <c r="AJ1984" s="379"/>
      <c r="AK1984" s="379"/>
      <c r="AL1984" s="379"/>
      <c r="AM1984" s="379"/>
      <c r="AN1984" s="379"/>
      <c r="AO1984" s="379"/>
      <c r="AP1984" s="379"/>
      <c r="AQ1984" s="379"/>
      <c r="AR1984" s="379"/>
      <c r="AS1984" s="379"/>
      <c r="AT1984" s="379"/>
      <c r="AU1984" s="379"/>
      <c r="AV1984" s="379"/>
      <c r="AW1984" s="379"/>
      <c r="AX1984" s="379"/>
      <c r="AY1984" s="379"/>
      <c r="AZ1984" s="379"/>
      <c r="BA1984" s="379"/>
      <c r="BB1984" s="379"/>
      <c r="BC1984" s="379"/>
      <c r="BD1984" s="379"/>
      <c r="BE1984" s="379"/>
      <c r="BF1984" s="379"/>
      <c r="BG1984" s="379"/>
      <c r="BH1984" s="379"/>
      <c r="BI1984" s="379"/>
      <c r="BJ1984" s="379"/>
      <c r="BK1984" s="379"/>
      <c r="BL1984" s="379"/>
      <c r="BM1984" s="379"/>
      <c r="BN1984" s="379"/>
      <c r="BO1984" s="379"/>
      <c r="BP1984" s="379"/>
      <c r="BQ1984" s="379"/>
      <c r="BR1984" s="379"/>
      <c r="BS1984" s="379"/>
      <c r="BT1984" s="379"/>
      <c r="BU1984" s="379"/>
      <c r="BV1984" s="379"/>
      <c r="BW1984" s="379"/>
      <c r="BX1984" s="379"/>
      <c r="BY1984" s="379"/>
      <c r="BZ1984" s="379"/>
      <c r="CA1984" s="270"/>
      <c r="CB1984" s="3" t="str">
        <f t="shared" si="335"/>
        <v>Riadok bude skrytý.</v>
      </c>
      <c r="CC1984" s="271" t="s">
        <v>832</v>
      </c>
      <c r="CW1984" s="30">
        <f t="shared" si="336"/>
        <v>0</v>
      </c>
      <c r="CZ1984" s="30">
        <f t="shared" si="333"/>
        <v>1</v>
      </c>
      <c r="DA1984" s="30">
        <f t="shared" si="332"/>
        <v>0</v>
      </c>
      <c r="DB1984" s="2">
        <f t="shared" si="330"/>
        <v>0</v>
      </c>
      <c r="DS1984" s="130">
        <f>SI!BY1984</f>
        <v>652</v>
      </c>
      <c r="DZ1984" s="131">
        <f>SI!BZ1984</f>
        <v>0</v>
      </c>
    </row>
    <row r="1985" spans="1:130" hidden="1" x14ac:dyDescent="0.25">
      <c r="A1985" s="141"/>
      <c r="B1985" s="379"/>
      <c r="C1985" s="379"/>
      <c r="D1985" s="379"/>
      <c r="E1985" s="379"/>
      <c r="F1985" s="379"/>
      <c r="G1985" s="379"/>
      <c r="H1985" s="379"/>
      <c r="I1985" s="379"/>
      <c r="J1985" s="379"/>
      <c r="K1985" s="379"/>
      <c r="L1985" s="379"/>
      <c r="M1985" s="379"/>
      <c r="N1985" s="379"/>
      <c r="O1985" s="379"/>
      <c r="P1985" s="379"/>
      <c r="Q1985" s="379"/>
      <c r="R1985" s="379"/>
      <c r="S1985" s="379"/>
      <c r="T1985" s="379"/>
      <c r="U1985" s="379"/>
      <c r="V1985" s="379"/>
      <c r="W1985" s="379"/>
      <c r="X1985" s="379"/>
      <c r="Y1985" s="379"/>
      <c r="Z1985" s="379"/>
      <c r="AA1985" s="379"/>
      <c r="AB1985" s="379"/>
      <c r="AC1985" s="379"/>
      <c r="AD1985" s="379"/>
      <c r="AE1985" s="379"/>
      <c r="AF1985" s="379"/>
      <c r="AG1985" s="379"/>
      <c r="AH1985" s="379"/>
      <c r="AI1985" s="379"/>
      <c r="AJ1985" s="379"/>
      <c r="AK1985" s="379"/>
      <c r="AL1985" s="379"/>
      <c r="AM1985" s="379"/>
      <c r="AN1985" s="379"/>
      <c r="AO1985" s="379"/>
      <c r="AP1985" s="379"/>
      <c r="AQ1985" s="379"/>
      <c r="AR1985" s="379"/>
      <c r="AS1985" s="379"/>
      <c r="AT1985" s="379"/>
      <c r="AU1985" s="379"/>
      <c r="AV1985" s="379"/>
      <c r="AW1985" s="379"/>
      <c r="AX1985" s="379"/>
      <c r="AY1985" s="379"/>
      <c r="AZ1985" s="379"/>
      <c r="BA1985" s="379"/>
      <c r="BB1985" s="379"/>
      <c r="BC1985" s="379"/>
      <c r="BD1985" s="379"/>
      <c r="BE1985" s="379"/>
      <c r="BF1985" s="379"/>
      <c r="BG1985" s="379"/>
      <c r="BH1985" s="379"/>
      <c r="BI1985" s="379"/>
      <c r="BJ1985" s="379"/>
      <c r="BK1985" s="379"/>
      <c r="BL1985" s="379"/>
      <c r="BM1985" s="379"/>
      <c r="BN1985" s="379"/>
      <c r="BO1985" s="379"/>
      <c r="BP1985" s="379"/>
      <c r="BQ1985" s="379"/>
      <c r="BR1985" s="379"/>
      <c r="BS1985" s="379"/>
      <c r="BT1985" s="379"/>
      <c r="BU1985" s="379"/>
      <c r="BV1985" s="379"/>
      <c r="BW1985" s="379"/>
      <c r="BX1985" s="379"/>
      <c r="BY1985" s="379"/>
      <c r="BZ1985" s="379"/>
      <c r="CA1985" s="270"/>
      <c r="CB1985" s="3" t="str">
        <f t="shared" si="335"/>
        <v>Riadok bude skrytý.</v>
      </c>
      <c r="CC1985" s="271" t="s">
        <v>832</v>
      </c>
      <c r="CW1985" s="30">
        <f t="shared" si="336"/>
        <v>0</v>
      </c>
      <c r="CZ1985" s="30">
        <f t="shared" si="333"/>
        <v>1</v>
      </c>
      <c r="DA1985" s="30">
        <f t="shared" si="332"/>
        <v>0</v>
      </c>
      <c r="DB1985" s="2">
        <f t="shared" si="330"/>
        <v>0</v>
      </c>
      <c r="DS1985" s="130">
        <f>SI!BY1985</f>
        <v>965</v>
      </c>
      <c r="DZ1985" s="131">
        <f>SI!BZ1985</f>
        <v>0</v>
      </c>
    </row>
    <row r="1986" spans="1:130" hidden="1" x14ac:dyDescent="0.25">
      <c r="A1986" s="141"/>
      <c r="B1986" s="379"/>
      <c r="C1986" s="379"/>
      <c r="D1986" s="379"/>
      <c r="E1986" s="379"/>
      <c r="F1986" s="379"/>
      <c r="G1986" s="379"/>
      <c r="H1986" s="379"/>
      <c r="I1986" s="379"/>
      <c r="J1986" s="379"/>
      <c r="K1986" s="379"/>
      <c r="L1986" s="379"/>
      <c r="M1986" s="379"/>
      <c r="N1986" s="379"/>
      <c r="O1986" s="379"/>
      <c r="P1986" s="379"/>
      <c r="Q1986" s="379"/>
      <c r="R1986" s="379"/>
      <c r="S1986" s="379"/>
      <c r="T1986" s="379"/>
      <c r="U1986" s="379"/>
      <c r="V1986" s="379"/>
      <c r="W1986" s="379"/>
      <c r="X1986" s="379"/>
      <c r="Y1986" s="379"/>
      <c r="Z1986" s="379"/>
      <c r="AA1986" s="379"/>
      <c r="AB1986" s="379"/>
      <c r="AC1986" s="379"/>
      <c r="AD1986" s="379"/>
      <c r="AE1986" s="379"/>
      <c r="AF1986" s="379"/>
      <c r="AG1986" s="379"/>
      <c r="AH1986" s="379"/>
      <c r="AI1986" s="379"/>
      <c r="AJ1986" s="379"/>
      <c r="AK1986" s="379"/>
      <c r="AL1986" s="379"/>
      <c r="AM1986" s="379"/>
      <c r="AN1986" s="379"/>
      <c r="AO1986" s="379"/>
      <c r="AP1986" s="379"/>
      <c r="AQ1986" s="379"/>
      <c r="AR1986" s="379"/>
      <c r="AS1986" s="379"/>
      <c r="AT1986" s="379"/>
      <c r="AU1986" s="379"/>
      <c r="AV1986" s="379"/>
      <c r="AW1986" s="379"/>
      <c r="AX1986" s="379"/>
      <c r="AY1986" s="379"/>
      <c r="AZ1986" s="379"/>
      <c r="BA1986" s="379"/>
      <c r="BB1986" s="379"/>
      <c r="BC1986" s="379"/>
      <c r="BD1986" s="379"/>
      <c r="BE1986" s="379"/>
      <c r="BF1986" s="379"/>
      <c r="BG1986" s="379"/>
      <c r="BH1986" s="379"/>
      <c r="BI1986" s="379"/>
      <c r="BJ1986" s="379"/>
      <c r="BK1986" s="379"/>
      <c r="BL1986" s="379"/>
      <c r="BM1986" s="379"/>
      <c r="BN1986" s="379"/>
      <c r="BO1986" s="379"/>
      <c r="BP1986" s="379"/>
      <c r="BQ1986" s="379"/>
      <c r="BR1986" s="379"/>
      <c r="BS1986" s="379"/>
      <c r="BT1986" s="379"/>
      <c r="BU1986" s="379"/>
      <c r="BV1986" s="379"/>
      <c r="BW1986" s="379"/>
      <c r="BX1986" s="379"/>
      <c r="BY1986" s="379"/>
      <c r="BZ1986" s="379"/>
      <c r="CA1986" s="270"/>
      <c r="CB1986" s="3" t="str">
        <f t="shared" si="335"/>
        <v>Riadok bude skrytý.</v>
      </c>
      <c r="CC1986" s="271" t="s">
        <v>832</v>
      </c>
      <c r="CW1986" s="30">
        <f t="shared" si="336"/>
        <v>0</v>
      </c>
      <c r="CZ1986" s="30">
        <f t="shared" si="333"/>
        <v>1</v>
      </c>
      <c r="DA1986" s="30">
        <f t="shared" si="332"/>
        <v>0</v>
      </c>
      <c r="DB1986" s="2">
        <f t="shared" si="330"/>
        <v>0</v>
      </c>
      <c r="DS1986" s="130">
        <f>SI!BY1986</f>
        <v>205</v>
      </c>
      <c r="DZ1986" s="131">
        <f>SI!BZ1986</f>
        <v>0</v>
      </c>
    </row>
    <row r="1987" spans="1:130" hidden="1" x14ac:dyDescent="0.25">
      <c r="A1987" s="141"/>
      <c r="B1987" s="379"/>
      <c r="C1987" s="379"/>
      <c r="D1987" s="379"/>
      <c r="E1987" s="379"/>
      <c r="F1987" s="379"/>
      <c r="G1987" s="379"/>
      <c r="H1987" s="379"/>
      <c r="I1987" s="379"/>
      <c r="J1987" s="379"/>
      <c r="K1987" s="379"/>
      <c r="L1987" s="379"/>
      <c r="M1987" s="379"/>
      <c r="N1987" s="379"/>
      <c r="O1987" s="379"/>
      <c r="P1987" s="379"/>
      <c r="Q1987" s="379"/>
      <c r="R1987" s="379"/>
      <c r="S1987" s="379"/>
      <c r="T1987" s="379"/>
      <c r="U1987" s="379"/>
      <c r="V1987" s="379"/>
      <c r="W1987" s="379"/>
      <c r="X1987" s="379"/>
      <c r="Y1987" s="379"/>
      <c r="Z1987" s="379"/>
      <c r="AA1987" s="379"/>
      <c r="AB1987" s="379"/>
      <c r="AC1987" s="379"/>
      <c r="AD1987" s="379"/>
      <c r="AE1987" s="379"/>
      <c r="AF1987" s="379"/>
      <c r="AG1987" s="379"/>
      <c r="AH1987" s="379"/>
      <c r="AI1987" s="379"/>
      <c r="AJ1987" s="379"/>
      <c r="AK1987" s="379"/>
      <c r="AL1987" s="379"/>
      <c r="AM1987" s="379"/>
      <c r="AN1987" s="379"/>
      <c r="AO1987" s="379"/>
      <c r="AP1987" s="379"/>
      <c r="AQ1987" s="379"/>
      <c r="AR1987" s="379"/>
      <c r="AS1987" s="379"/>
      <c r="AT1987" s="379"/>
      <c r="AU1987" s="379"/>
      <c r="AV1987" s="379"/>
      <c r="AW1987" s="379"/>
      <c r="AX1987" s="379"/>
      <c r="AY1987" s="379"/>
      <c r="AZ1987" s="379"/>
      <c r="BA1987" s="379"/>
      <c r="BB1987" s="379"/>
      <c r="BC1987" s="379"/>
      <c r="BD1987" s="379"/>
      <c r="BE1987" s="379"/>
      <c r="BF1987" s="379"/>
      <c r="BG1987" s="379"/>
      <c r="BH1987" s="379"/>
      <c r="BI1987" s="379"/>
      <c r="BJ1987" s="379"/>
      <c r="BK1987" s="379"/>
      <c r="BL1987" s="379"/>
      <c r="BM1987" s="379"/>
      <c r="BN1987" s="379"/>
      <c r="BO1987" s="379"/>
      <c r="BP1987" s="379"/>
      <c r="BQ1987" s="379"/>
      <c r="BR1987" s="379"/>
      <c r="BS1987" s="379"/>
      <c r="BT1987" s="379"/>
      <c r="BU1987" s="379"/>
      <c r="BV1987" s="379"/>
      <c r="BW1987" s="379"/>
      <c r="BX1987" s="379"/>
      <c r="BY1987" s="379"/>
      <c r="BZ1987" s="379"/>
      <c r="CA1987" s="270"/>
      <c r="CB1987" s="3" t="str">
        <f t="shared" si="335"/>
        <v>Riadok bude skrytý.</v>
      </c>
      <c r="CC1987" s="271" t="s">
        <v>832</v>
      </c>
      <c r="CW1987" s="30">
        <f t="shared" si="336"/>
        <v>0</v>
      </c>
      <c r="CZ1987" s="30">
        <f t="shared" si="333"/>
        <v>1</v>
      </c>
      <c r="DA1987" s="30">
        <f t="shared" si="332"/>
        <v>0</v>
      </c>
      <c r="DB1987" s="2">
        <f t="shared" si="330"/>
        <v>0</v>
      </c>
      <c r="DS1987" s="130">
        <f>SI!BY1987</f>
        <v>446</v>
      </c>
      <c r="DZ1987" s="131">
        <f>SI!BZ1987</f>
        <v>0</v>
      </c>
    </row>
    <row r="1988" spans="1:130" hidden="1" x14ac:dyDescent="0.25">
      <c r="A1988" s="141"/>
      <c r="B1988" s="379"/>
      <c r="C1988" s="379"/>
      <c r="D1988" s="379"/>
      <c r="E1988" s="379"/>
      <c r="F1988" s="379"/>
      <c r="G1988" s="379"/>
      <c r="H1988" s="379"/>
      <c r="I1988" s="379"/>
      <c r="J1988" s="379"/>
      <c r="K1988" s="379"/>
      <c r="L1988" s="379"/>
      <c r="M1988" s="379"/>
      <c r="N1988" s="379"/>
      <c r="O1988" s="379"/>
      <c r="P1988" s="379"/>
      <c r="Q1988" s="379"/>
      <c r="R1988" s="379"/>
      <c r="S1988" s="379"/>
      <c r="T1988" s="379"/>
      <c r="U1988" s="379"/>
      <c r="V1988" s="379"/>
      <c r="W1988" s="379"/>
      <c r="X1988" s="379"/>
      <c r="Y1988" s="379"/>
      <c r="Z1988" s="379"/>
      <c r="AA1988" s="379"/>
      <c r="AB1988" s="379"/>
      <c r="AC1988" s="379"/>
      <c r="AD1988" s="379"/>
      <c r="AE1988" s="379"/>
      <c r="AF1988" s="379"/>
      <c r="AG1988" s="379"/>
      <c r="AH1988" s="379"/>
      <c r="AI1988" s="379"/>
      <c r="AJ1988" s="379"/>
      <c r="AK1988" s="379"/>
      <c r="AL1988" s="379"/>
      <c r="AM1988" s="379"/>
      <c r="AN1988" s="379"/>
      <c r="AO1988" s="379"/>
      <c r="AP1988" s="379"/>
      <c r="AQ1988" s="379"/>
      <c r="AR1988" s="379"/>
      <c r="AS1988" s="379"/>
      <c r="AT1988" s="379"/>
      <c r="AU1988" s="379"/>
      <c r="AV1988" s="379"/>
      <c r="AW1988" s="379"/>
      <c r="AX1988" s="379"/>
      <c r="AY1988" s="379"/>
      <c r="AZ1988" s="379"/>
      <c r="BA1988" s="379"/>
      <c r="BB1988" s="379"/>
      <c r="BC1988" s="379"/>
      <c r="BD1988" s="379"/>
      <c r="BE1988" s="379"/>
      <c r="BF1988" s="379"/>
      <c r="BG1988" s="379"/>
      <c r="BH1988" s="379"/>
      <c r="BI1988" s="379"/>
      <c r="BJ1988" s="379"/>
      <c r="BK1988" s="379"/>
      <c r="BL1988" s="379"/>
      <c r="BM1988" s="379"/>
      <c r="BN1988" s="379"/>
      <c r="BO1988" s="379"/>
      <c r="BP1988" s="379"/>
      <c r="BQ1988" s="379"/>
      <c r="BR1988" s="379"/>
      <c r="BS1988" s="379"/>
      <c r="BT1988" s="379"/>
      <c r="BU1988" s="379"/>
      <c r="BV1988" s="379"/>
      <c r="BW1988" s="379"/>
      <c r="BX1988" s="379"/>
      <c r="BY1988" s="379"/>
      <c r="BZ1988" s="379"/>
      <c r="CA1988" s="270"/>
      <c r="CB1988" s="3" t="str">
        <f t="shared" si="335"/>
        <v>Riadok bude skrytý.</v>
      </c>
      <c r="CC1988" s="271" t="s">
        <v>832</v>
      </c>
      <c r="CW1988" s="30">
        <f t="shared" si="336"/>
        <v>0</v>
      </c>
      <c r="CZ1988" s="30">
        <f t="shared" si="333"/>
        <v>1</v>
      </c>
      <c r="DA1988" s="30">
        <f t="shared" si="332"/>
        <v>0</v>
      </c>
      <c r="DB1988" s="2">
        <f t="shared" si="330"/>
        <v>0</v>
      </c>
      <c r="DS1988" s="130">
        <f>SI!BY1988</f>
        <v>129</v>
      </c>
      <c r="DZ1988" s="131">
        <f>SI!BZ1988</f>
        <v>0</v>
      </c>
    </row>
    <row r="1989" spans="1:130" hidden="1" x14ac:dyDescent="0.25">
      <c r="A1989" s="141"/>
      <c r="B1989" s="379"/>
      <c r="C1989" s="379"/>
      <c r="D1989" s="379"/>
      <c r="E1989" s="379"/>
      <c r="F1989" s="379"/>
      <c r="G1989" s="379"/>
      <c r="H1989" s="379"/>
      <c r="I1989" s="379"/>
      <c r="J1989" s="379"/>
      <c r="K1989" s="379"/>
      <c r="L1989" s="379"/>
      <c r="M1989" s="379"/>
      <c r="N1989" s="379"/>
      <c r="O1989" s="379"/>
      <c r="P1989" s="379"/>
      <c r="Q1989" s="379"/>
      <c r="R1989" s="379"/>
      <c r="S1989" s="379"/>
      <c r="T1989" s="379"/>
      <c r="U1989" s="379"/>
      <c r="V1989" s="379"/>
      <c r="W1989" s="379"/>
      <c r="X1989" s="379"/>
      <c r="Y1989" s="379"/>
      <c r="Z1989" s="379"/>
      <c r="AA1989" s="379"/>
      <c r="AB1989" s="379"/>
      <c r="AC1989" s="379"/>
      <c r="AD1989" s="379"/>
      <c r="AE1989" s="379"/>
      <c r="AF1989" s="379"/>
      <c r="AG1989" s="379"/>
      <c r="AH1989" s="379"/>
      <c r="AI1989" s="379"/>
      <c r="AJ1989" s="379"/>
      <c r="AK1989" s="379"/>
      <c r="AL1989" s="379"/>
      <c r="AM1989" s="379"/>
      <c r="AN1989" s="379"/>
      <c r="AO1989" s="379"/>
      <c r="AP1989" s="379"/>
      <c r="AQ1989" s="379"/>
      <c r="AR1989" s="379"/>
      <c r="AS1989" s="379"/>
      <c r="AT1989" s="379"/>
      <c r="AU1989" s="379"/>
      <c r="AV1989" s="379"/>
      <c r="AW1989" s="379"/>
      <c r="AX1989" s="379"/>
      <c r="AY1989" s="379"/>
      <c r="AZ1989" s="379"/>
      <c r="BA1989" s="379"/>
      <c r="BB1989" s="379"/>
      <c r="BC1989" s="379"/>
      <c r="BD1989" s="379"/>
      <c r="BE1989" s="379"/>
      <c r="BF1989" s="379"/>
      <c r="BG1989" s="379"/>
      <c r="BH1989" s="379"/>
      <c r="BI1989" s="379"/>
      <c r="BJ1989" s="379"/>
      <c r="BK1989" s="379"/>
      <c r="BL1989" s="379"/>
      <c r="BM1989" s="379"/>
      <c r="BN1989" s="379"/>
      <c r="BO1989" s="379"/>
      <c r="BP1989" s="379"/>
      <c r="BQ1989" s="379"/>
      <c r="BR1989" s="379"/>
      <c r="BS1989" s="379"/>
      <c r="BT1989" s="379"/>
      <c r="BU1989" s="379"/>
      <c r="BV1989" s="379"/>
      <c r="BW1989" s="379"/>
      <c r="BX1989" s="379"/>
      <c r="BY1989" s="379"/>
      <c r="BZ1989" s="379"/>
      <c r="CA1989" s="270"/>
      <c r="CB1989" s="3" t="str">
        <f t="shared" si="335"/>
        <v>Riadok bude skrytý.</v>
      </c>
      <c r="CC1989" s="271" t="s">
        <v>832</v>
      </c>
      <c r="CW1989" s="30">
        <f t="shared" si="336"/>
        <v>0</v>
      </c>
      <c r="CZ1989" s="30">
        <f t="shared" si="333"/>
        <v>1</v>
      </c>
      <c r="DA1989" s="30">
        <f t="shared" si="332"/>
        <v>0</v>
      </c>
      <c r="DB1989" s="2">
        <f t="shared" si="330"/>
        <v>0</v>
      </c>
      <c r="DS1989" s="130">
        <f>SI!BY1989</f>
        <v>547</v>
      </c>
      <c r="DZ1989" s="131">
        <f>SI!BZ1989</f>
        <v>0</v>
      </c>
    </row>
    <row r="1990" spans="1:130" hidden="1" x14ac:dyDescent="0.25">
      <c r="A1990" s="141"/>
      <c r="B1990" s="379"/>
      <c r="C1990" s="379"/>
      <c r="D1990" s="379"/>
      <c r="E1990" s="379"/>
      <c r="F1990" s="379"/>
      <c r="G1990" s="379"/>
      <c r="H1990" s="379"/>
      <c r="I1990" s="379"/>
      <c r="J1990" s="379"/>
      <c r="K1990" s="379"/>
      <c r="L1990" s="379"/>
      <c r="M1990" s="379"/>
      <c r="N1990" s="379"/>
      <c r="O1990" s="379"/>
      <c r="P1990" s="379"/>
      <c r="Q1990" s="379"/>
      <c r="R1990" s="379"/>
      <c r="S1990" s="379"/>
      <c r="T1990" s="379"/>
      <c r="U1990" s="379"/>
      <c r="V1990" s="379"/>
      <c r="W1990" s="379"/>
      <c r="X1990" s="379"/>
      <c r="Y1990" s="379"/>
      <c r="Z1990" s="379"/>
      <c r="AA1990" s="379"/>
      <c r="AB1990" s="379"/>
      <c r="AC1990" s="379"/>
      <c r="AD1990" s="379"/>
      <c r="AE1990" s="379"/>
      <c r="AF1990" s="379"/>
      <c r="AG1990" s="379"/>
      <c r="AH1990" s="379"/>
      <c r="AI1990" s="379"/>
      <c r="AJ1990" s="379"/>
      <c r="AK1990" s="379"/>
      <c r="AL1990" s="379"/>
      <c r="AM1990" s="379"/>
      <c r="AN1990" s="379"/>
      <c r="AO1990" s="379"/>
      <c r="AP1990" s="379"/>
      <c r="AQ1990" s="379"/>
      <c r="AR1990" s="379"/>
      <c r="AS1990" s="379"/>
      <c r="AT1990" s="379"/>
      <c r="AU1990" s="379"/>
      <c r="AV1990" s="379"/>
      <c r="AW1990" s="379"/>
      <c r="AX1990" s="379"/>
      <c r="AY1990" s="379"/>
      <c r="AZ1990" s="379"/>
      <c r="BA1990" s="379"/>
      <c r="BB1990" s="379"/>
      <c r="BC1990" s="379"/>
      <c r="BD1990" s="379"/>
      <c r="BE1990" s="379"/>
      <c r="BF1990" s="379"/>
      <c r="BG1990" s="379"/>
      <c r="BH1990" s="379"/>
      <c r="BI1990" s="379"/>
      <c r="BJ1990" s="379"/>
      <c r="BK1990" s="379"/>
      <c r="BL1990" s="379"/>
      <c r="BM1990" s="379"/>
      <c r="BN1990" s="379"/>
      <c r="BO1990" s="379"/>
      <c r="BP1990" s="379"/>
      <c r="BQ1990" s="379"/>
      <c r="BR1990" s="379"/>
      <c r="BS1990" s="379"/>
      <c r="BT1990" s="379"/>
      <c r="BU1990" s="379"/>
      <c r="BV1990" s="379"/>
      <c r="BW1990" s="379"/>
      <c r="BX1990" s="379"/>
      <c r="BY1990" s="379"/>
      <c r="BZ1990" s="379"/>
      <c r="CA1990" s="270"/>
      <c r="CB1990" s="3" t="str">
        <f t="shared" si="335"/>
        <v>Riadok bude skrytý.</v>
      </c>
      <c r="CC1990" s="271" t="s">
        <v>832</v>
      </c>
      <c r="CW1990" s="30">
        <f t="shared" si="336"/>
        <v>0</v>
      </c>
      <c r="CZ1990" s="30">
        <f t="shared" si="333"/>
        <v>1</v>
      </c>
      <c r="DA1990" s="30">
        <f t="shared" si="332"/>
        <v>0</v>
      </c>
      <c r="DB1990" s="2">
        <f t="shared" si="330"/>
        <v>0</v>
      </c>
      <c r="DS1990" s="130">
        <f>SI!BY1990</f>
        <v>124</v>
      </c>
      <c r="DZ1990" s="131">
        <f>SI!BZ1990</f>
        <v>0</v>
      </c>
    </row>
    <row r="1991" spans="1:130" hidden="1" x14ac:dyDescent="0.25">
      <c r="A1991" s="141"/>
      <c r="B1991" s="379"/>
      <c r="C1991" s="379"/>
      <c r="D1991" s="379"/>
      <c r="E1991" s="379"/>
      <c r="F1991" s="379"/>
      <c r="G1991" s="379"/>
      <c r="H1991" s="379"/>
      <c r="I1991" s="379"/>
      <c r="J1991" s="379"/>
      <c r="K1991" s="379"/>
      <c r="L1991" s="379"/>
      <c r="M1991" s="379"/>
      <c r="N1991" s="379"/>
      <c r="O1991" s="379"/>
      <c r="P1991" s="379"/>
      <c r="Q1991" s="379"/>
      <c r="R1991" s="379"/>
      <c r="S1991" s="379"/>
      <c r="T1991" s="379"/>
      <c r="U1991" s="379"/>
      <c r="V1991" s="379"/>
      <c r="W1991" s="379"/>
      <c r="X1991" s="379"/>
      <c r="Y1991" s="379"/>
      <c r="Z1991" s="379"/>
      <c r="AA1991" s="379"/>
      <c r="AB1991" s="379"/>
      <c r="AC1991" s="379"/>
      <c r="AD1991" s="379"/>
      <c r="AE1991" s="379"/>
      <c r="AF1991" s="379"/>
      <c r="AG1991" s="379"/>
      <c r="AH1991" s="379"/>
      <c r="AI1991" s="379"/>
      <c r="AJ1991" s="379"/>
      <c r="AK1991" s="379"/>
      <c r="AL1991" s="379"/>
      <c r="AM1991" s="379"/>
      <c r="AN1991" s="379"/>
      <c r="AO1991" s="379"/>
      <c r="AP1991" s="379"/>
      <c r="AQ1991" s="379"/>
      <c r="AR1991" s="379"/>
      <c r="AS1991" s="379"/>
      <c r="AT1991" s="379"/>
      <c r="AU1991" s="379"/>
      <c r="AV1991" s="379"/>
      <c r="AW1991" s="379"/>
      <c r="AX1991" s="379"/>
      <c r="AY1991" s="379"/>
      <c r="AZ1991" s="379"/>
      <c r="BA1991" s="379"/>
      <c r="BB1991" s="379"/>
      <c r="BC1991" s="379"/>
      <c r="BD1991" s="379"/>
      <c r="BE1991" s="379"/>
      <c r="BF1991" s="379"/>
      <c r="BG1991" s="379"/>
      <c r="BH1991" s="379"/>
      <c r="BI1991" s="379"/>
      <c r="BJ1991" s="379"/>
      <c r="BK1991" s="379"/>
      <c r="BL1991" s="379"/>
      <c r="BM1991" s="379"/>
      <c r="BN1991" s="379"/>
      <c r="BO1991" s="379"/>
      <c r="BP1991" s="379"/>
      <c r="BQ1991" s="379"/>
      <c r="BR1991" s="379"/>
      <c r="BS1991" s="379"/>
      <c r="BT1991" s="379"/>
      <c r="BU1991" s="379"/>
      <c r="BV1991" s="379"/>
      <c r="BW1991" s="379"/>
      <c r="BX1991" s="379"/>
      <c r="BY1991" s="379"/>
      <c r="BZ1991" s="379"/>
      <c r="CA1991" s="270"/>
      <c r="CB1991" s="3" t="str">
        <f t="shared" si="335"/>
        <v>Riadok bude skrytý.</v>
      </c>
      <c r="CC1991" s="271" t="s">
        <v>832</v>
      </c>
      <c r="CW1991" s="30">
        <f t="shared" si="336"/>
        <v>0</v>
      </c>
      <c r="CZ1991" s="30">
        <f t="shared" si="333"/>
        <v>1</v>
      </c>
      <c r="DA1991" s="30">
        <f t="shared" si="332"/>
        <v>0</v>
      </c>
      <c r="DB1991" s="2">
        <f t="shared" si="330"/>
        <v>0</v>
      </c>
      <c r="DS1991" s="130">
        <f>SI!BY1991</f>
        <v>619</v>
      </c>
      <c r="DZ1991" s="131">
        <f>SI!BZ1991</f>
        <v>0</v>
      </c>
    </row>
    <row r="1992" spans="1:130" hidden="1" x14ac:dyDescent="0.25">
      <c r="A1992" s="141"/>
      <c r="B1992" s="379"/>
      <c r="C1992" s="379"/>
      <c r="D1992" s="379"/>
      <c r="E1992" s="379"/>
      <c r="F1992" s="379"/>
      <c r="G1992" s="379"/>
      <c r="H1992" s="379"/>
      <c r="I1992" s="379"/>
      <c r="J1992" s="379"/>
      <c r="K1992" s="379"/>
      <c r="L1992" s="379"/>
      <c r="M1992" s="379"/>
      <c r="N1992" s="379"/>
      <c r="O1992" s="379"/>
      <c r="P1992" s="379"/>
      <c r="Q1992" s="379"/>
      <c r="R1992" s="379"/>
      <c r="S1992" s="379"/>
      <c r="T1992" s="379"/>
      <c r="U1992" s="379"/>
      <c r="V1992" s="379"/>
      <c r="W1992" s="379"/>
      <c r="X1992" s="379"/>
      <c r="Y1992" s="379"/>
      <c r="Z1992" s="379"/>
      <c r="AA1992" s="379"/>
      <c r="AB1992" s="379"/>
      <c r="AC1992" s="379"/>
      <c r="AD1992" s="379"/>
      <c r="AE1992" s="379"/>
      <c r="AF1992" s="379"/>
      <c r="AG1992" s="379"/>
      <c r="AH1992" s="379"/>
      <c r="AI1992" s="379"/>
      <c r="AJ1992" s="379"/>
      <c r="AK1992" s="379"/>
      <c r="AL1992" s="379"/>
      <c r="AM1992" s="379"/>
      <c r="AN1992" s="379"/>
      <c r="AO1992" s="379"/>
      <c r="AP1992" s="379"/>
      <c r="AQ1992" s="379"/>
      <c r="AR1992" s="379"/>
      <c r="AS1992" s="379"/>
      <c r="AT1992" s="379"/>
      <c r="AU1992" s="379"/>
      <c r="AV1992" s="379"/>
      <c r="AW1992" s="379"/>
      <c r="AX1992" s="379"/>
      <c r="AY1992" s="379"/>
      <c r="AZ1992" s="379"/>
      <c r="BA1992" s="379"/>
      <c r="BB1992" s="379"/>
      <c r="BC1992" s="379"/>
      <c r="BD1992" s="379"/>
      <c r="BE1992" s="379"/>
      <c r="BF1992" s="379"/>
      <c r="BG1992" s="379"/>
      <c r="BH1992" s="379"/>
      <c r="BI1992" s="379"/>
      <c r="BJ1992" s="379"/>
      <c r="BK1992" s="379"/>
      <c r="BL1992" s="379"/>
      <c r="BM1992" s="379"/>
      <c r="BN1992" s="379"/>
      <c r="BO1992" s="379"/>
      <c r="BP1992" s="379"/>
      <c r="BQ1992" s="379"/>
      <c r="BR1992" s="379"/>
      <c r="BS1992" s="379"/>
      <c r="BT1992" s="379"/>
      <c r="BU1992" s="379"/>
      <c r="BV1992" s="379"/>
      <c r="BW1992" s="379"/>
      <c r="BX1992" s="379"/>
      <c r="BY1992" s="379"/>
      <c r="BZ1992" s="379"/>
      <c r="CA1992" s="270"/>
      <c r="CB1992" s="3" t="str">
        <f t="shared" si="335"/>
        <v>Riadok bude skrytý.</v>
      </c>
      <c r="CC1992" s="271" t="s">
        <v>832</v>
      </c>
      <c r="CW1992" s="30">
        <f t="shared" si="336"/>
        <v>0</v>
      </c>
      <c r="CZ1992" s="30">
        <f t="shared" si="333"/>
        <v>1</v>
      </c>
      <c r="DA1992" s="30">
        <f t="shared" si="332"/>
        <v>0</v>
      </c>
      <c r="DB1992" s="2">
        <f t="shared" si="330"/>
        <v>0</v>
      </c>
      <c r="DS1992" s="130">
        <f>SI!BY1992</f>
        <v>198</v>
      </c>
      <c r="DZ1992" s="131">
        <f>SI!BZ1992</f>
        <v>0</v>
      </c>
    </row>
    <row r="1993" spans="1:130" hidden="1" x14ac:dyDescent="0.25">
      <c r="A1993" s="141"/>
      <c r="B1993" s="379"/>
      <c r="C1993" s="379"/>
      <c r="D1993" s="379"/>
      <c r="E1993" s="379"/>
      <c r="F1993" s="379"/>
      <c r="G1993" s="379"/>
      <c r="H1993" s="379"/>
      <c r="I1993" s="379"/>
      <c r="J1993" s="379"/>
      <c r="K1993" s="379"/>
      <c r="L1993" s="379"/>
      <c r="M1993" s="379"/>
      <c r="N1993" s="379"/>
      <c r="O1993" s="379"/>
      <c r="P1993" s="379"/>
      <c r="Q1993" s="379"/>
      <c r="R1993" s="379"/>
      <c r="S1993" s="379"/>
      <c r="T1993" s="379"/>
      <c r="U1993" s="379"/>
      <c r="V1993" s="379"/>
      <c r="W1993" s="379"/>
      <c r="X1993" s="379"/>
      <c r="Y1993" s="379"/>
      <c r="Z1993" s="379"/>
      <c r="AA1993" s="379"/>
      <c r="AB1993" s="379"/>
      <c r="AC1993" s="379"/>
      <c r="AD1993" s="379"/>
      <c r="AE1993" s="379"/>
      <c r="AF1993" s="379"/>
      <c r="AG1993" s="379"/>
      <c r="AH1993" s="379"/>
      <c r="AI1993" s="379"/>
      <c r="AJ1993" s="379"/>
      <c r="AK1993" s="379"/>
      <c r="AL1993" s="379"/>
      <c r="AM1993" s="379"/>
      <c r="AN1993" s="379"/>
      <c r="AO1993" s="379"/>
      <c r="AP1993" s="379"/>
      <c r="AQ1993" s="379"/>
      <c r="AR1993" s="379"/>
      <c r="AS1993" s="379"/>
      <c r="AT1993" s="379"/>
      <c r="AU1993" s="379"/>
      <c r="AV1993" s="379"/>
      <c r="AW1993" s="379"/>
      <c r="AX1993" s="379"/>
      <c r="AY1993" s="379"/>
      <c r="AZ1993" s="379"/>
      <c r="BA1993" s="379"/>
      <c r="BB1993" s="379"/>
      <c r="BC1993" s="379"/>
      <c r="BD1993" s="379"/>
      <c r="BE1993" s="379"/>
      <c r="BF1993" s="379"/>
      <c r="BG1993" s="379"/>
      <c r="BH1993" s="379"/>
      <c r="BI1993" s="379"/>
      <c r="BJ1993" s="379"/>
      <c r="BK1993" s="379"/>
      <c r="BL1993" s="379"/>
      <c r="BM1993" s="379"/>
      <c r="BN1993" s="379"/>
      <c r="BO1993" s="379"/>
      <c r="BP1993" s="379"/>
      <c r="BQ1993" s="379"/>
      <c r="BR1993" s="379"/>
      <c r="BS1993" s="379"/>
      <c r="BT1993" s="379"/>
      <c r="BU1993" s="379"/>
      <c r="BV1993" s="379"/>
      <c r="BW1993" s="379"/>
      <c r="BX1993" s="379"/>
      <c r="BY1993" s="379"/>
      <c r="BZ1993" s="379"/>
      <c r="CA1993" s="270"/>
      <c r="CB1993" s="3" t="str">
        <f t="shared" si="335"/>
        <v>Riadok bude skrytý.</v>
      </c>
      <c r="CC1993" s="271" t="s">
        <v>832</v>
      </c>
      <c r="CW1993" s="30">
        <f t="shared" si="336"/>
        <v>0</v>
      </c>
      <c r="CZ1993" s="30">
        <f t="shared" si="333"/>
        <v>1</v>
      </c>
      <c r="DA1993" s="30">
        <f t="shared" si="332"/>
        <v>0</v>
      </c>
      <c r="DB1993" s="2">
        <f t="shared" si="330"/>
        <v>0</v>
      </c>
      <c r="DS1993" s="130">
        <f>SI!BY1993</f>
        <v>944</v>
      </c>
      <c r="DZ1993" s="131">
        <f>SI!BZ1993</f>
        <v>0</v>
      </c>
    </row>
    <row r="1994" spans="1:130" hidden="1" x14ac:dyDescent="0.25">
      <c r="A1994" s="141"/>
      <c r="B1994" s="379"/>
      <c r="C1994" s="379"/>
      <c r="D1994" s="379"/>
      <c r="E1994" s="379"/>
      <c r="F1994" s="379"/>
      <c r="G1994" s="379"/>
      <c r="H1994" s="379"/>
      <c r="I1994" s="379"/>
      <c r="J1994" s="379"/>
      <c r="K1994" s="379"/>
      <c r="L1994" s="379"/>
      <c r="M1994" s="379"/>
      <c r="N1994" s="379"/>
      <c r="O1994" s="379"/>
      <c r="P1994" s="379"/>
      <c r="Q1994" s="379"/>
      <c r="R1994" s="379"/>
      <c r="S1994" s="379"/>
      <c r="T1994" s="379"/>
      <c r="U1994" s="379"/>
      <c r="V1994" s="379"/>
      <c r="W1994" s="379"/>
      <c r="X1994" s="379"/>
      <c r="Y1994" s="379"/>
      <c r="Z1994" s="379"/>
      <c r="AA1994" s="379"/>
      <c r="AB1994" s="379"/>
      <c r="AC1994" s="379"/>
      <c r="AD1994" s="379"/>
      <c r="AE1994" s="379"/>
      <c r="AF1994" s="379"/>
      <c r="AG1994" s="379"/>
      <c r="AH1994" s="379"/>
      <c r="AI1994" s="379"/>
      <c r="AJ1994" s="379"/>
      <c r="AK1994" s="379"/>
      <c r="AL1994" s="379"/>
      <c r="AM1994" s="379"/>
      <c r="AN1994" s="379"/>
      <c r="AO1994" s="379"/>
      <c r="AP1994" s="379"/>
      <c r="AQ1994" s="379"/>
      <c r="AR1994" s="379"/>
      <c r="AS1994" s="379"/>
      <c r="AT1994" s="379"/>
      <c r="AU1994" s="379"/>
      <c r="AV1994" s="379"/>
      <c r="AW1994" s="379"/>
      <c r="AX1994" s="379"/>
      <c r="AY1994" s="379"/>
      <c r="AZ1994" s="379"/>
      <c r="BA1994" s="379"/>
      <c r="BB1994" s="379"/>
      <c r="BC1994" s="379"/>
      <c r="BD1994" s="379"/>
      <c r="BE1994" s="379"/>
      <c r="BF1994" s="379"/>
      <c r="BG1994" s="379"/>
      <c r="BH1994" s="379"/>
      <c r="BI1994" s="379"/>
      <c r="BJ1994" s="379"/>
      <c r="BK1994" s="379"/>
      <c r="BL1994" s="379"/>
      <c r="BM1994" s="379"/>
      <c r="BN1994" s="379"/>
      <c r="BO1994" s="379"/>
      <c r="BP1994" s="379"/>
      <c r="BQ1994" s="379"/>
      <c r="BR1994" s="379"/>
      <c r="BS1994" s="379"/>
      <c r="BT1994" s="379"/>
      <c r="BU1994" s="379"/>
      <c r="BV1994" s="379"/>
      <c r="BW1994" s="379"/>
      <c r="BX1994" s="379"/>
      <c r="BY1994" s="379"/>
      <c r="BZ1994" s="379"/>
      <c r="CA1994" s="270"/>
      <c r="CB1994" s="3" t="str">
        <f t="shared" si="335"/>
        <v>Riadok bude skrytý.</v>
      </c>
      <c r="CC1994" s="271" t="s">
        <v>832</v>
      </c>
      <c r="CW1994" s="30">
        <f t="shared" si="336"/>
        <v>0</v>
      </c>
      <c r="CZ1994" s="30">
        <f t="shared" si="333"/>
        <v>1</v>
      </c>
      <c r="DA1994" s="30">
        <f t="shared" si="332"/>
        <v>0</v>
      </c>
      <c r="DB1994" s="2">
        <f t="shared" si="330"/>
        <v>0</v>
      </c>
      <c r="DS1994" s="130">
        <f>SI!BY1994</f>
        <v>143</v>
      </c>
      <c r="DZ1994" s="131">
        <f>SI!BZ1994</f>
        <v>0</v>
      </c>
    </row>
    <row r="1995" spans="1:130" hidden="1" x14ac:dyDescent="0.25">
      <c r="A1995" s="141"/>
      <c r="B1995" s="379"/>
      <c r="C1995" s="379"/>
      <c r="D1995" s="379"/>
      <c r="E1995" s="379"/>
      <c r="F1995" s="379"/>
      <c r="G1995" s="379"/>
      <c r="H1995" s="379"/>
      <c r="I1995" s="379"/>
      <c r="J1995" s="379"/>
      <c r="K1995" s="379"/>
      <c r="L1995" s="379"/>
      <c r="M1995" s="379"/>
      <c r="N1995" s="379"/>
      <c r="O1995" s="379"/>
      <c r="P1995" s="379"/>
      <c r="Q1995" s="379"/>
      <c r="R1995" s="379"/>
      <c r="S1995" s="379"/>
      <c r="T1995" s="379"/>
      <c r="U1995" s="379"/>
      <c r="V1995" s="379"/>
      <c r="W1995" s="379"/>
      <c r="X1995" s="379"/>
      <c r="Y1995" s="379"/>
      <c r="Z1995" s="379"/>
      <c r="AA1995" s="379"/>
      <c r="AB1995" s="379"/>
      <c r="AC1995" s="379"/>
      <c r="AD1995" s="379"/>
      <c r="AE1995" s="379"/>
      <c r="AF1995" s="379"/>
      <c r="AG1995" s="379"/>
      <c r="AH1995" s="379"/>
      <c r="AI1995" s="379"/>
      <c r="AJ1995" s="379"/>
      <c r="AK1995" s="379"/>
      <c r="AL1995" s="379"/>
      <c r="AM1995" s="379"/>
      <c r="AN1995" s="379"/>
      <c r="AO1995" s="379"/>
      <c r="AP1995" s="379"/>
      <c r="AQ1995" s="379"/>
      <c r="AR1995" s="379"/>
      <c r="AS1995" s="379"/>
      <c r="AT1995" s="379"/>
      <c r="AU1995" s="379"/>
      <c r="AV1995" s="379"/>
      <c r="AW1995" s="379"/>
      <c r="AX1995" s="379"/>
      <c r="AY1995" s="379"/>
      <c r="AZ1995" s="379"/>
      <c r="BA1995" s="379"/>
      <c r="BB1995" s="379"/>
      <c r="BC1995" s="379"/>
      <c r="BD1995" s="379"/>
      <c r="BE1995" s="379"/>
      <c r="BF1995" s="379"/>
      <c r="BG1995" s="379"/>
      <c r="BH1995" s="379"/>
      <c r="BI1995" s="379"/>
      <c r="BJ1995" s="379"/>
      <c r="BK1995" s="379"/>
      <c r="BL1995" s="379"/>
      <c r="BM1995" s="379"/>
      <c r="BN1995" s="379"/>
      <c r="BO1995" s="379"/>
      <c r="BP1995" s="379"/>
      <c r="BQ1995" s="379"/>
      <c r="BR1995" s="379"/>
      <c r="BS1995" s="379"/>
      <c r="BT1995" s="379"/>
      <c r="BU1995" s="379"/>
      <c r="BV1995" s="379"/>
      <c r="BW1995" s="379"/>
      <c r="BX1995" s="379"/>
      <c r="BY1995" s="379"/>
      <c r="BZ1995" s="379"/>
      <c r="CA1995" s="270"/>
      <c r="CB1995" s="3" t="str">
        <f t="shared" si="335"/>
        <v>Riadok bude skrytý.</v>
      </c>
      <c r="CC1995" s="271" t="s">
        <v>832</v>
      </c>
      <c r="CW1995" s="30">
        <f t="shared" si="336"/>
        <v>0</v>
      </c>
      <c r="CZ1995" s="30">
        <f t="shared" si="333"/>
        <v>1</v>
      </c>
      <c r="DA1995" s="30">
        <f t="shared" si="332"/>
        <v>0</v>
      </c>
      <c r="DB1995" s="2">
        <f t="shared" si="330"/>
        <v>0</v>
      </c>
      <c r="DS1995" s="130">
        <f>SI!BY1995</f>
        <v>281</v>
      </c>
      <c r="DZ1995" s="131">
        <f>SI!BZ1995</f>
        <v>0</v>
      </c>
    </row>
    <row r="1996" spans="1:130" hidden="1" x14ac:dyDescent="0.25">
      <c r="A1996" s="141"/>
      <c r="B1996" s="379"/>
      <c r="C1996" s="379"/>
      <c r="D1996" s="379"/>
      <c r="E1996" s="379"/>
      <c r="F1996" s="379"/>
      <c r="G1996" s="379"/>
      <c r="H1996" s="379"/>
      <c r="I1996" s="379"/>
      <c r="J1996" s="379"/>
      <c r="K1996" s="379"/>
      <c r="L1996" s="379"/>
      <c r="M1996" s="379"/>
      <c r="N1996" s="379"/>
      <c r="O1996" s="379"/>
      <c r="P1996" s="379"/>
      <c r="Q1996" s="379"/>
      <c r="R1996" s="379"/>
      <c r="S1996" s="379"/>
      <c r="T1996" s="379"/>
      <c r="U1996" s="379"/>
      <c r="V1996" s="379"/>
      <c r="W1996" s="379"/>
      <c r="X1996" s="379"/>
      <c r="Y1996" s="379"/>
      <c r="Z1996" s="379"/>
      <c r="AA1996" s="379"/>
      <c r="AB1996" s="379"/>
      <c r="AC1996" s="379"/>
      <c r="AD1996" s="379"/>
      <c r="AE1996" s="379"/>
      <c r="AF1996" s="379"/>
      <c r="AG1996" s="379"/>
      <c r="AH1996" s="379"/>
      <c r="AI1996" s="379"/>
      <c r="AJ1996" s="379"/>
      <c r="AK1996" s="379"/>
      <c r="AL1996" s="379"/>
      <c r="AM1996" s="379"/>
      <c r="AN1996" s="379"/>
      <c r="AO1996" s="379"/>
      <c r="AP1996" s="379"/>
      <c r="AQ1996" s="379"/>
      <c r="AR1996" s="379"/>
      <c r="AS1996" s="379"/>
      <c r="AT1996" s="379"/>
      <c r="AU1996" s="379"/>
      <c r="AV1996" s="379"/>
      <c r="AW1996" s="379"/>
      <c r="AX1996" s="379"/>
      <c r="AY1996" s="379"/>
      <c r="AZ1996" s="379"/>
      <c r="BA1996" s="379"/>
      <c r="BB1996" s="379"/>
      <c r="BC1996" s="379"/>
      <c r="BD1996" s="379"/>
      <c r="BE1996" s="379"/>
      <c r="BF1996" s="379"/>
      <c r="BG1996" s="379"/>
      <c r="BH1996" s="379"/>
      <c r="BI1996" s="379"/>
      <c r="BJ1996" s="379"/>
      <c r="BK1996" s="379"/>
      <c r="BL1996" s="379"/>
      <c r="BM1996" s="379"/>
      <c r="BN1996" s="379"/>
      <c r="BO1996" s="379"/>
      <c r="BP1996" s="379"/>
      <c r="BQ1996" s="379"/>
      <c r="BR1996" s="379"/>
      <c r="BS1996" s="379"/>
      <c r="BT1996" s="379"/>
      <c r="BU1996" s="379"/>
      <c r="BV1996" s="379"/>
      <c r="BW1996" s="379"/>
      <c r="BX1996" s="379"/>
      <c r="BY1996" s="379"/>
      <c r="BZ1996" s="379"/>
      <c r="CA1996" s="270"/>
      <c r="CB1996" s="3" t="str">
        <f t="shared" si="335"/>
        <v>Riadok bude skrytý.</v>
      </c>
      <c r="CC1996" s="271" t="s">
        <v>832</v>
      </c>
      <c r="CW1996" s="30">
        <f t="shared" si="336"/>
        <v>0</v>
      </c>
      <c r="CZ1996" s="30">
        <f t="shared" si="333"/>
        <v>1</v>
      </c>
      <c r="DA1996" s="30">
        <f t="shared" si="332"/>
        <v>0</v>
      </c>
      <c r="DB1996" s="2">
        <f t="shared" si="330"/>
        <v>0</v>
      </c>
      <c r="DS1996" s="130">
        <f>SI!BY1996</f>
        <v>146</v>
      </c>
      <c r="DZ1996" s="131">
        <f>SI!BZ1996</f>
        <v>0</v>
      </c>
    </row>
    <row r="1997" spans="1:130" hidden="1" x14ac:dyDescent="0.25">
      <c r="A1997" s="141"/>
      <c r="B1997" s="379"/>
      <c r="C1997" s="379"/>
      <c r="D1997" s="379"/>
      <c r="E1997" s="379"/>
      <c r="F1997" s="379"/>
      <c r="G1997" s="379"/>
      <c r="H1997" s="379"/>
      <c r="I1997" s="379"/>
      <c r="J1997" s="379"/>
      <c r="K1997" s="379"/>
      <c r="L1997" s="379"/>
      <c r="M1997" s="379"/>
      <c r="N1997" s="379"/>
      <c r="O1997" s="379"/>
      <c r="P1997" s="379"/>
      <c r="Q1997" s="379"/>
      <c r="R1997" s="379"/>
      <c r="S1997" s="379"/>
      <c r="T1997" s="379"/>
      <c r="U1997" s="379"/>
      <c r="V1997" s="379"/>
      <c r="W1997" s="379"/>
      <c r="X1997" s="379"/>
      <c r="Y1997" s="379"/>
      <c r="Z1997" s="379"/>
      <c r="AA1997" s="379"/>
      <c r="AB1997" s="379"/>
      <c r="AC1997" s="379"/>
      <c r="AD1997" s="379"/>
      <c r="AE1997" s="379"/>
      <c r="AF1997" s="379"/>
      <c r="AG1997" s="379"/>
      <c r="AH1997" s="379"/>
      <c r="AI1997" s="379"/>
      <c r="AJ1997" s="379"/>
      <c r="AK1997" s="379"/>
      <c r="AL1997" s="379"/>
      <c r="AM1997" s="379"/>
      <c r="AN1997" s="379"/>
      <c r="AO1997" s="379"/>
      <c r="AP1997" s="379"/>
      <c r="AQ1997" s="379"/>
      <c r="AR1997" s="379"/>
      <c r="AS1997" s="379"/>
      <c r="AT1997" s="379"/>
      <c r="AU1997" s="379"/>
      <c r="AV1997" s="379"/>
      <c r="AW1997" s="379"/>
      <c r="AX1997" s="379"/>
      <c r="AY1997" s="379"/>
      <c r="AZ1997" s="379"/>
      <c r="BA1997" s="379"/>
      <c r="BB1997" s="379"/>
      <c r="BC1997" s="379"/>
      <c r="BD1997" s="379"/>
      <c r="BE1997" s="379"/>
      <c r="BF1997" s="379"/>
      <c r="BG1997" s="379"/>
      <c r="BH1997" s="379"/>
      <c r="BI1997" s="379"/>
      <c r="BJ1997" s="379"/>
      <c r="BK1997" s="379"/>
      <c r="BL1997" s="379"/>
      <c r="BM1997" s="379"/>
      <c r="BN1997" s="379"/>
      <c r="BO1997" s="379"/>
      <c r="BP1997" s="379"/>
      <c r="BQ1997" s="379"/>
      <c r="BR1997" s="379"/>
      <c r="BS1997" s="379"/>
      <c r="BT1997" s="379"/>
      <c r="BU1997" s="379"/>
      <c r="BV1997" s="379"/>
      <c r="BW1997" s="379"/>
      <c r="BX1997" s="379"/>
      <c r="BY1997" s="379"/>
      <c r="BZ1997" s="379"/>
      <c r="CA1997" s="270"/>
      <c r="CB1997" s="3" t="str">
        <f t="shared" si="335"/>
        <v>Riadok bude skrytý.</v>
      </c>
      <c r="CC1997" s="271" t="s">
        <v>832</v>
      </c>
      <c r="CW1997" s="30">
        <f t="shared" si="336"/>
        <v>0</v>
      </c>
      <c r="CZ1997" s="30">
        <f t="shared" si="333"/>
        <v>1</v>
      </c>
      <c r="DA1997" s="30">
        <f t="shared" si="332"/>
        <v>0</v>
      </c>
      <c r="DB1997" s="2">
        <f t="shared" si="330"/>
        <v>0</v>
      </c>
      <c r="DS1997" s="130">
        <f>SI!BY1997</f>
        <v>931</v>
      </c>
      <c r="DZ1997" s="131">
        <f>SI!BZ1997</f>
        <v>0</v>
      </c>
    </row>
    <row r="1998" spans="1:130" hidden="1" x14ac:dyDescent="0.25">
      <c r="A1998" s="141"/>
      <c r="B1998" s="379"/>
      <c r="C1998" s="379"/>
      <c r="D1998" s="379"/>
      <c r="E1998" s="379"/>
      <c r="F1998" s="379"/>
      <c r="G1998" s="379"/>
      <c r="H1998" s="379"/>
      <c r="I1998" s="379"/>
      <c r="J1998" s="379"/>
      <c r="K1998" s="379"/>
      <c r="L1998" s="379"/>
      <c r="M1998" s="379"/>
      <c r="N1998" s="379"/>
      <c r="O1998" s="379"/>
      <c r="P1998" s="379"/>
      <c r="Q1998" s="379"/>
      <c r="R1998" s="379"/>
      <c r="S1998" s="379"/>
      <c r="T1998" s="379"/>
      <c r="U1998" s="379"/>
      <c r="V1998" s="379"/>
      <c r="W1998" s="379"/>
      <c r="X1998" s="379"/>
      <c r="Y1998" s="379"/>
      <c r="Z1998" s="379"/>
      <c r="AA1998" s="379"/>
      <c r="AB1998" s="379"/>
      <c r="AC1998" s="379"/>
      <c r="AD1998" s="379"/>
      <c r="AE1998" s="379"/>
      <c r="AF1998" s="379"/>
      <c r="AG1998" s="379"/>
      <c r="AH1998" s="379"/>
      <c r="AI1998" s="379"/>
      <c r="AJ1998" s="379"/>
      <c r="AK1998" s="379"/>
      <c r="AL1998" s="379"/>
      <c r="AM1998" s="379"/>
      <c r="AN1998" s="379"/>
      <c r="AO1998" s="379"/>
      <c r="AP1998" s="379"/>
      <c r="AQ1998" s="379"/>
      <c r="AR1998" s="379"/>
      <c r="AS1998" s="379"/>
      <c r="AT1998" s="379"/>
      <c r="AU1998" s="379"/>
      <c r="AV1998" s="379"/>
      <c r="AW1998" s="379"/>
      <c r="AX1998" s="379"/>
      <c r="AY1998" s="379"/>
      <c r="AZ1998" s="379"/>
      <c r="BA1998" s="379"/>
      <c r="BB1998" s="379"/>
      <c r="BC1998" s="379"/>
      <c r="BD1998" s="379"/>
      <c r="BE1998" s="379"/>
      <c r="BF1998" s="379"/>
      <c r="BG1998" s="379"/>
      <c r="BH1998" s="379"/>
      <c r="BI1998" s="379"/>
      <c r="BJ1998" s="379"/>
      <c r="BK1998" s="379"/>
      <c r="BL1998" s="379"/>
      <c r="BM1998" s="379"/>
      <c r="BN1998" s="379"/>
      <c r="BO1998" s="379"/>
      <c r="BP1998" s="379"/>
      <c r="BQ1998" s="379"/>
      <c r="BR1998" s="379"/>
      <c r="BS1998" s="379"/>
      <c r="BT1998" s="379"/>
      <c r="BU1998" s="379"/>
      <c r="BV1998" s="379"/>
      <c r="BW1998" s="379"/>
      <c r="BX1998" s="379"/>
      <c r="BY1998" s="379"/>
      <c r="BZ1998" s="379"/>
      <c r="CA1998" s="270"/>
      <c r="CB1998" s="3" t="str">
        <f t="shared" si="335"/>
        <v>Riadok bude skrytý.</v>
      </c>
      <c r="CC1998" s="271" t="s">
        <v>832</v>
      </c>
      <c r="CW1998" s="30">
        <f t="shared" si="336"/>
        <v>0</v>
      </c>
      <c r="CZ1998" s="30">
        <f t="shared" si="333"/>
        <v>1</v>
      </c>
      <c r="DA1998" s="30">
        <f t="shared" si="332"/>
        <v>0</v>
      </c>
      <c r="DB1998" s="2">
        <f t="shared" si="330"/>
        <v>0</v>
      </c>
      <c r="DS1998" s="130">
        <f>SI!BY1998</f>
        <v>392</v>
      </c>
      <c r="DZ1998" s="131">
        <f>SI!BZ1998</f>
        <v>0</v>
      </c>
    </row>
    <row r="1999" spans="1:130" hidden="1" x14ac:dyDescent="0.25">
      <c r="A1999" s="141"/>
      <c r="B1999" s="379"/>
      <c r="C1999" s="379"/>
      <c r="D1999" s="379"/>
      <c r="E1999" s="379"/>
      <c r="F1999" s="379"/>
      <c r="G1999" s="379"/>
      <c r="H1999" s="379"/>
      <c r="I1999" s="379"/>
      <c r="J1999" s="379"/>
      <c r="K1999" s="379"/>
      <c r="L1999" s="379"/>
      <c r="M1999" s="379"/>
      <c r="N1999" s="379"/>
      <c r="O1999" s="379"/>
      <c r="P1999" s="379"/>
      <c r="Q1999" s="379"/>
      <c r="R1999" s="379"/>
      <c r="S1999" s="379"/>
      <c r="T1999" s="379"/>
      <c r="U1999" s="379"/>
      <c r="V1999" s="379"/>
      <c r="W1999" s="379"/>
      <c r="X1999" s="379"/>
      <c r="Y1999" s="379"/>
      <c r="Z1999" s="379"/>
      <c r="AA1999" s="379"/>
      <c r="AB1999" s="379"/>
      <c r="AC1999" s="379"/>
      <c r="AD1999" s="379"/>
      <c r="AE1999" s="379"/>
      <c r="AF1999" s="379"/>
      <c r="AG1999" s="379"/>
      <c r="AH1999" s="379"/>
      <c r="AI1999" s="379"/>
      <c r="AJ1999" s="379"/>
      <c r="AK1999" s="379"/>
      <c r="AL1999" s="379"/>
      <c r="AM1999" s="379"/>
      <c r="AN1999" s="379"/>
      <c r="AO1999" s="379"/>
      <c r="AP1999" s="379"/>
      <c r="AQ1999" s="379"/>
      <c r="AR1999" s="379"/>
      <c r="AS1999" s="379"/>
      <c r="AT1999" s="379"/>
      <c r="AU1999" s="379"/>
      <c r="AV1999" s="379"/>
      <c r="AW1999" s="379"/>
      <c r="AX1999" s="379"/>
      <c r="AY1999" s="379"/>
      <c r="AZ1999" s="379"/>
      <c r="BA1999" s="379"/>
      <c r="BB1999" s="379"/>
      <c r="BC1999" s="379"/>
      <c r="BD1999" s="379"/>
      <c r="BE1999" s="379"/>
      <c r="BF1999" s="379"/>
      <c r="BG1999" s="379"/>
      <c r="BH1999" s="379"/>
      <c r="BI1999" s="379"/>
      <c r="BJ1999" s="379"/>
      <c r="BK1999" s="379"/>
      <c r="BL1999" s="379"/>
      <c r="BM1999" s="379"/>
      <c r="BN1999" s="379"/>
      <c r="BO1999" s="379"/>
      <c r="BP1999" s="379"/>
      <c r="BQ1999" s="379"/>
      <c r="BR1999" s="379"/>
      <c r="BS1999" s="379"/>
      <c r="BT1999" s="379"/>
      <c r="BU1999" s="379"/>
      <c r="BV1999" s="379"/>
      <c r="BW1999" s="379"/>
      <c r="BX1999" s="379"/>
      <c r="BY1999" s="379"/>
      <c r="BZ1999" s="379"/>
      <c r="CA1999" s="270"/>
      <c r="CB1999" s="3" t="str">
        <f t="shared" si="335"/>
        <v>Riadok bude skrytý.</v>
      </c>
      <c r="CC1999" s="271" t="s">
        <v>832</v>
      </c>
      <c r="CW1999" s="30">
        <f t="shared" si="336"/>
        <v>0</v>
      </c>
      <c r="CZ1999" s="30">
        <f t="shared" si="333"/>
        <v>1</v>
      </c>
      <c r="DA1999" s="30">
        <f t="shared" si="332"/>
        <v>0</v>
      </c>
      <c r="DB1999" s="2">
        <f t="shared" si="330"/>
        <v>0</v>
      </c>
      <c r="DS1999" s="130">
        <f>SI!BY1999</f>
        <v>120</v>
      </c>
      <c r="DZ1999" s="131">
        <f>SI!BZ1999</f>
        <v>0</v>
      </c>
    </row>
    <row r="2000" spans="1:130" hidden="1" x14ac:dyDescent="0.25">
      <c r="A2000" s="141"/>
      <c r="B2000" s="379"/>
      <c r="C2000" s="379"/>
      <c r="D2000" s="379"/>
      <c r="E2000" s="379"/>
      <c r="F2000" s="379"/>
      <c r="G2000" s="379"/>
      <c r="H2000" s="379"/>
      <c r="I2000" s="379"/>
      <c r="J2000" s="379"/>
      <c r="K2000" s="379"/>
      <c r="L2000" s="379"/>
      <c r="M2000" s="379"/>
      <c r="N2000" s="379"/>
      <c r="O2000" s="379"/>
      <c r="P2000" s="379"/>
      <c r="Q2000" s="379"/>
      <c r="R2000" s="379"/>
      <c r="S2000" s="379"/>
      <c r="T2000" s="379"/>
      <c r="U2000" s="379"/>
      <c r="V2000" s="379"/>
      <c r="W2000" s="379"/>
      <c r="X2000" s="379"/>
      <c r="Y2000" s="379"/>
      <c r="Z2000" s="379"/>
      <c r="AA2000" s="379"/>
      <c r="AB2000" s="379"/>
      <c r="AC2000" s="379"/>
      <c r="AD2000" s="379"/>
      <c r="AE2000" s="379"/>
      <c r="AF2000" s="379"/>
      <c r="AG2000" s="379"/>
      <c r="AH2000" s="379"/>
      <c r="AI2000" s="379"/>
      <c r="AJ2000" s="379"/>
      <c r="AK2000" s="379"/>
      <c r="AL2000" s="379"/>
      <c r="AM2000" s="379"/>
      <c r="AN2000" s="379"/>
      <c r="AO2000" s="379"/>
      <c r="AP2000" s="379"/>
      <c r="AQ2000" s="379"/>
      <c r="AR2000" s="379"/>
      <c r="AS2000" s="379"/>
      <c r="AT2000" s="379"/>
      <c r="AU2000" s="379"/>
      <c r="AV2000" s="379"/>
      <c r="AW2000" s="379"/>
      <c r="AX2000" s="379"/>
      <c r="AY2000" s="379"/>
      <c r="AZ2000" s="379"/>
      <c r="BA2000" s="379"/>
      <c r="BB2000" s="379"/>
      <c r="BC2000" s="379"/>
      <c r="BD2000" s="379"/>
      <c r="BE2000" s="379"/>
      <c r="BF2000" s="379"/>
      <c r="BG2000" s="379"/>
      <c r="BH2000" s="379"/>
      <c r="BI2000" s="379"/>
      <c r="BJ2000" s="379"/>
      <c r="BK2000" s="379"/>
      <c r="BL2000" s="379"/>
      <c r="BM2000" s="379"/>
      <c r="BN2000" s="379"/>
      <c r="BO2000" s="379"/>
      <c r="BP2000" s="379"/>
      <c r="BQ2000" s="379"/>
      <c r="BR2000" s="379"/>
      <c r="BS2000" s="379"/>
      <c r="BT2000" s="379"/>
      <c r="BU2000" s="379"/>
      <c r="BV2000" s="379"/>
      <c r="BW2000" s="379"/>
      <c r="BX2000" s="379"/>
      <c r="BY2000" s="379"/>
      <c r="BZ2000" s="379"/>
      <c r="CA2000" s="270"/>
      <c r="CB2000" s="3" t="str">
        <f t="shared" si="335"/>
        <v>Riadok bude skrytý.</v>
      </c>
      <c r="CC2000" s="271" t="s">
        <v>832</v>
      </c>
      <c r="CW2000" s="30">
        <f t="shared" si="336"/>
        <v>0</v>
      </c>
      <c r="CZ2000" s="30">
        <f t="shared" si="333"/>
        <v>1</v>
      </c>
      <c r="DA2000" s="30">
        <f t="shared" si="332"/>
        <v>0</v>
      </c>
      <c r="DB2000" s="2">
        <f t="shared" si="330"/>
        <v>0</v>
      </c>
      <c r="DS2000" s="130">
        <f>SI!BY2000</f>
        <v>329</v>
      </c>
      <c r="DZ2000" s="131">
        <f>SI!BZ2000</f>
        <v>0</v>
      </c>
    </row>
    <row r="2001" spans="1:130" hidden="1" x14ac:dyDescent="0.25">
      <c r="A2001" s="141"/>
      <c r="CA2001" s="270"/>
      <c r="CB2001" s="3" t="str">
        <f t="shared" si="335"/>
        <v>Riadok bude skrytý.</v>
      </c>
      <c r="CC2001" s="271" t="s">
        <v>832</v>
      </c>
      <c r="CW2001" s="49">
        <v>1</v>
      </c>
      <c r="CZ2001" s="30">
        <f t="shared" si="333"/>
        <v>1</v>
      </c>
      <c r="DA2001" s="30">
        <f t="shared" si="332"/>
        <v>1</v>
      </c>
      <c r="DB2001" s="2">
        <f t="shared" si="330"/>
        <v>0</v>
      </c>
      <c r="DS2001" s="130">
        <f>SI!BY2001</f>
        <v>200</v>
      </c>
      <c r="DZ2001" s="131">
        <f>SI!BZ2001</f>
        <v>0</v>
      </c>
    </row>
    <row r="2002" spans="1:130" hidden="1" x14ac:dyDescent="0.25">
      <c r="A2002" s="141"/>
      <c r="B2002" s="289" t="s">
        <v>149</v>
      </c>
      <c r="C2002" s="288"/>
      <c r="D2002" s="288"/>
      <c r="E2002" s="288"/>
      <c r="F2002" s="288"/>
      <c r="G2002" s="289" t="str">
        <f>+IF($O$52&lt;&gt;"",IF(CODE(MID($O$52,1,1))*(IF(SI!EE2002="",1,SI!EE2002-1))+ROUNDDOWN(LEN(SI!J5)/2,0)=DS2002,"Informácia o rozdelení zisku alebo vysporiadaní účtovnej straty","NEPOVOLENÉ POUŽITIE!"),"NEPOVOLENÉ POUŽITIE!")</f>
        <v>Informácia o rozdelení zisku alebo vysporiadaní účtovnej straty</v>
      </c>
      <c r="H2002" s="289"/>
      <c r="I2002" s="288"/>
      <c r="J2002" s="288"/>
      <c r="K2002" s="288"/>
      <c r="L2002" s="288"/>
      <c r="M2002" s="288"/>
      <c r="N2002" s="288"/>
      <c r="O2002" s="288"/>
      <c r="P2002" s="288"/>
      <c r="Q2002" s="288"/>
      <c r="R2002" s="288"/>
      <c r="S2002" s="288"/>
      <c r="T2002" s="288"/>
      <c r="U2002" s="288"/>
      <c r="V2002" s="288"/>
      <c r="W2002" s="288"/>
      <c r="X2002" s="288"/>
      <c r="Y2002" s="288"/>
      <c r="Z2002" s="288"/>
      <c r="AA2002" s="288"/>
      <c r="AB2002" s="288"/>
      <c r="AC2002" s="288"/>
      <c r="AD2002" s="288"/>
      <c r="AE2002" s="288"/>
      <c r="AF2002" s="288"/>
      <c r="AG2002" s="288"/>
      <c r="AH2002" s="288"/>
      <c r="AI2002" s="288"/>
      <c r="AJ2002" s="288"/>
      <c r="AK2002" s="288"/>
      <c r="AL2002" s="288"/>
      <c r="AM2002" s="288"/>
      <c r="AN2002" s="288"/>
      <c r="AO2002" s="288"/>
      <c r="AP2002" s="288"/>
      <c r="AQ2002" s="288"/>
      <c r="AR2002" s="288"/>
      <c r="AS2002" s="288"/>
      <c r="AT2002" s="288"/>
      <c r="AU2002" s="288"/>
      <c r="AV2002" s="288"/>
      <c r="AW2002" s="288"/>
      <c r="AX2002" s="288"/>
      <c r="AY2002" s="288"/>
      <c r="AZ2002" s="288"/>
      <c r="BA2002" s="288"/>
      <c r="BB2002" s="288"/>
      <c r="BC2002" s="288"/>
      <c r="BD2002" s="288"/>
      <c r="BE2002" s="288"/>
      <c r="BF2002" s="288"/>
      <c r="BG2002" s="288"/>
      <c r="BH2002" s="288"/>
      <c r="BI2002" s="288"/>
      <c r="BJ2002" s="288"/>
      <c r="BK2002" s="288"/>
      <c r="BL2002" s="288"/>
      <c r="BM2002" s="288"/>
      <c r="BN2002" s="288"/>
      <c r="BO2002" s="288"/>
      <c r="BP2002" s="288"/>
      <c r="BQ2002" s="288"/>
      <c r="BR2002" s="288"/>
      <c r="BS2002" s="288"/>
      <c r="BT2002" s="288"/>
      <c r="BU2002" s="288"/>
      <c r="BV2002" s="288"/>
      <c r="BW2002" s="288"/>
      <c r="BX2002" s="288"/>
      <c r="BY2002" s="288"/>
      <c r="BZ2002" s="288"/>
      <c r="CA2002" s="265" t="s">
        <v>773</v>
      </c>
      <c r="CB2002" s="3" t="str">
        <f t="shared" si="335"/>
        <v>Riadok bude skrytý.</v>
      </c>
      <c r="CW2002" s="49">
        <v>1</v>
      </c>
      <c r="CZ2002" s="30">
        <f t="shared" si="333"/>
        <v>1</v>
      </c>
      <c r="DA2002" s="30">
        <f t="shared" si="332"/>
        <v>1</v>
      </c>
      <c r="DB2002" s="2">
        <f t="shared" si="330"/>
        <v>0</v>
      </c>
      <c r="DS2002" s="130">
        <f>SI!BY2002</f>
        <v>7</v>
      </c>
      <c r="DZ2002" s="131">
        <f>SI!BZ2002</f>
        <v>0</v>
      </c>
    </row>
    <row r="2003" spans="1:130" hidden="1" x14ac:dyDescent="0.25">
      <c r="A2003" s="141"/>
      <c r="B2003" s="7"/>
      <c r="G2003" s="7"/>
      <c r="H2003" s="7"/>
      <c r="CA2003" s="142"/>
      <c r="CB2003" s="3" t="str">
        <f t="shared" si="335"/>
        <v>Riadok bude skrytý.</v>
      </c>
      <c r="CW2003" s="49">
        <v>1</v>
      </c>
      <c r="CZ2003" s="30">
        <f t="shared" si="333"/>
        <v>1</v>
      </c>
      <c r="DA2003" s="30">
        <f t="shared" si="332"/>
        <v>1</v>
      </c>
      <c r="DB2003" s="2">
        <f t="shared" si="330"/>
        <v>0</v>
      </c>
      <c r="DS2003" s="130">
        <f>SI!BY2003</f>
        <v>202</v>
      </c>
      <c r="DZ2003" s="131">
        <f>SI!BZ2003</f>
        <v>0</v>
      </c>
    </row>
    <row r="2004" spans="1:130" hidden="1" x14ac:dyDescent="0.25">
      <c r="A2004" s="141"/>
      <c r="B2004" s="286" t="str">
        <f>+IF(YEAR(AW123)=YEAR(DC4),"Spoločnosť  vznikla v tomto účtovnom období.","")</f>
        <v/>
      </c>
      <c r="G2004" s="7"/>
      <c r="H2004" s="7"/>
      <c r="CA2004" s="270"/>
      <c r="CB2004" s="3" t="str">
        <f t="shared" si="335"/>
        <v>Riadok bude skrytý.</v>
      </c>
      <c r="CC2004" s="271" t="s">
        <v>832</v>
      </c>
      <c r="CW2004" s="30">
        <f>+IF(B2004="",0,1)</f>
        <v>0</v>
      </c>
      <c r="CZ2004" s="30">
        <f t="shared" si="333"/>
        <v>1</v>
      </c>
      <c r="DA2004" s="30">
        <f t="shared" si="332"/>
        <v>0</v>
      </c>
      <c r="DB2004" s="2">
        <f t="shared" si="330"/>
        <v>0</v>
      </c>
      <c r="DS2004" s="130">
        <f>SI!BY2004</f>
        <v>797</v>
      </c>
      <c r="DZ2004" s="131">
        <f>SI!BZ2004</f>
        <v>0</v>
      </c>
    </row>
    <row r="2005" spans="1:130" hidden="1" x14ac:dyDescent="0.25">
      <c r="A2005" s="141"/>
      <c r="B2005" s="286" t="str">
        <f>+IF($Q$52&lt;&gt;"",IF((CODE(MID($Q$52,1,1)))*(GCD(121,132))*(IF(SI!EE2005="",1,SI!EE2005-1-1-1))+(LEN(SI!J5)+LEN(SI!J6))=DS2005,IF(YEAR(AW123)=YEAR(DC4),"","Spoločnosť v predchádzajúcom účtovnom období hospodárila s"),"NEPOVOLENÉ POUŽITIE!"),"NEPOVOLENÉ POUŽITIE!")</f>
        <v>Spoločnosť v predchádzajúcom účtovnom období hospodárila s</v>
      </c>
      <c r="G2005" s="7"/>
      <c r="H2005" s="7"/>
      <c r="AW2005" s="378" t="s">
        <v>875</v>
      </c>
      <c r="AX2005" s="378"/>
      <c r="AY2005" s="378"/>
      <c r="AZ2005" s="378"/>
      <c r="BA2005" s="378"/>
      <c r="BB2005" s="378"/>
      <c r="BC2005" s="378"/>
      <c r="BD2005" s="378"/>
      <c r="BE2005" s="378"/>
      <c r="BF2005" s="378"/>
      <c r="BG2005" s="378"/>
      <c r="BH2005" s="378"/>
      <c r="BI2005" s="378"/>
      <c r="BJ2005" s="378"/>
      <c r="BK2005" s="378"/>
      <c r="BN2005" s="38"/>
      <c r="CA2005" s="270"/>
      <c r="CB2005" s="3" t="str">
        <f t="shared" si="335"/>
        <v>Riadok bude skrytý.</v>
      </c>
      <c r="CC2005" s="271" t="s">
        <v>832</v>
      </c>
      <c r="CW2005" s="30">
        <f t="shared" ref="CW2005:CW2034" si="337">+IF(YEAR($AW$123)=YEAR($DC$4),0,1)</f>
        <v>1</v>
      </c>
      <c r="CZ2005" s="30">
        <f t="shared" si="333"/>
        <v>1</v>
      </c>
      <c r="DA2005" s="30">
        <f t="shared" si="332"/>
        <v>1</v>
      </c>
      <c r="DB2005" s="2">
        <f t="shared" si="330"/>
        <v>0</v>
      </c>
      <c r="DS2005" s="130">
        <f>SI!BY2005</f>
        <v>20</v>
      </c>
      <c r="DZ2005" s="131">
        <f>SI!BZ2005</f>
        <v>0</v>
      </c>
    </row>
    <row r="2006" spans="1:130" hidden="1" x14ac:dyDescent="0.25">
      <c r="A2006" s="141"/>
      <c r="B2006" s="286" t="str">
        <f>+IF(AW2005="účtovným ziskom.","Údaje o rozdelení zisku predošlého účtovného obdobia sú uvedené v tabuľke:","")</f>
        <v>Údaje o rozdelení zisku predošlého účtovného obdobia sú uvedené v tabuľke:</v>
      </c>
      <c r="G2006" s="7"/>
      <c r="H2006" s="7"/>
      <c r="CA2006" s="270"/>
      <c r="CB2006" s="3" t="str">
        <f t="shared" si="335"/>
        <v>Riadok bude skrytý.</v>
      </c>
      <c r="CC2006" s="271" t="s">
        <v>832</v>
      </c>
      <c r="CW2006" s="30">
        <f t="shared" si="337"/>
        <v>1</v>
      </c>
      <c r="CX2006" s="30">
        <f t="shared" ref="CX2006:CX2021" si="338">+IF($AW$2005="účtovnou stratou.",0,1)</f>
        <v>1</v>
      </c>
      <c r="CZ2006" s="30">
        <f t="shared" si="333"/>
        <v>1</v>
      </c>
      <c r="DA2006" s="52">
        <f t="shared" ref="DA2006:DA2034" si="339">+IF(CW2006*CX2006=0,0,IF(CZ2006=0,0,1))</f>
        <v>1</v>
      </c>
      <c r="DB2006" s="2">
        <f t="shared" si="330"/>
        <v>0</v>
      </c>
      <c r="DS2006" s="130">
        <f>SI!BY2006</f>
        <v>1078</v>
      </c>
      <c r="DZ2006" s="131">
        <f>SI!BZ2006</f>
        <v>0</v>
      </c>
    </row>
    <row r="2007" spans="1:130" hidden="1" x14ac:dyDescent="0.25">
      <c r="A2007" s="141"/>
      <c r="CA2007" s="270"/>
      <c r="CB2007" s="3" t="str">
        <f t="shared" si="335"/>
        <v>Riadok bude skrytý.</v>
      </c>
      <c r="CC2007" s="271" t="s">
        <v>832</v>
      </c>
      <c r="CW2007" s="30">
        <f t="shared" si="337"/>
        <v>1</v>
      </c>
      <c r="CX2007" s="30">
        <f t="shared" si="338"/>
        <v>1</v>
      </c>
      <c r="CZ2007" s="30">
        <f t="shared" si="333"/>
        <v>1</v>
      </c>
      <c r="DA2007" s="52">
        <f t="shared" si="339"/>
        <v>1</v>
      </c>
      <c r="DB2007" s="2">
        <f t="shared" si="330"/>
        <v>0</v>
      </c>
      <c r="DS2007" s="130">
        <f>SI!BY2007</f>
        <v>183</v>
      </c>
      <c r="DZ2007" s="131">
        <f>SI!BZ2007</f>
        <v>0</v>
      </c>
    </row>
    <row r="2008" spans="1:130" hidden="1" x14ac:dyDescent="0.25">
      <c r="A2008" s="141"/>
      <c r="B2008" s="659" t="s">
        <v>171</v>
      </c>
      <c r="C2008" s="660"/>
      <c r="D2008" s="660"/>
      <c r="E2008" s="660"/>
      <c r="F2008" s="660"/>
      <c r="G2008" s="660"/>
      <c r="H2008" s="660"/>
      <c r="I2008" s="660"/>
      <c r="J2008" s="660"/>
      <c r="K2008" s="660"/>
      <c r="L2008" s="660"/>
      <c r="M2008" s="660"/>
      <c r="N2008" s="660"/>
      <c r="O2008" s="660"/>
      <c r="P2008" s="660"/>
      <c r="Q2008" s="660"/>
      <c r="R2008" s="660"/>
      <c r="S2008" s="660"/>
      <c r="T2008" s="660"/>
      <c r="U2008" s="660"/>
      <c r="V2008" s="660"/>
      <c r="W2008" s="660"/>
      <c r="X2008" s="660"/>
      <c r="Y2008" s="660"/>
      <c r="Z2008" s="660"/>
      <c r="AA2008" s="660"/>
      <c r="AB2008" s="660"/>
      <c r="AC2008" s="660"/>
      <c r="AD2008" s="660"/>
      <c r="AE2008" s="660"/>
      <c r="AF2008" s="660"/>
      <c r="AG2008" s="660"/>
      <c r="AH2008" s="660"/>
      <c r="AI2008" s="660"/>
      <c r="AJ2008" s="660"/>
      <c r="AK2008" s="660"/>
      <c r="AL2008" s="660"/>
      <c r="AM2008" s="660"/>
      <c r="AN2008" s="660"/>
      <c r="AO2008" s="660"/>
      <c r="AP2008" s="660"/>
      <c r="AQ2008" s="660"/>
      <c r="AR2008" s="660"/>
      <c r="AS2008" s="660"/>
      <c r="AT2008" s="660"/>
      <c r="AU2008" s="660"/>
      <c r="AV2008" s="660"/>
      <c r="AW2008" s="660"/>
      <c r="AX2008" s="660"/>
      <c r="AY2008" s="660"/>
      <c r="AZ2008" s="660"/>
      <c r="BA2008" s="660"/>
      <c r="BB2008" s="636" t="s">
        <v>949</v>
      </c>
      <c r="BC2008" s="637"/>
      <c r="BD2008" s="637"/>
      <c r="BE2008" s="637"/>
      <c r="BF2008" s="637"/>
      <c r="BG2008" s="637"/>
      <c r="BH2008" s="637"/>
      <c r="BI2008" s="637"/>
      <c r="BJ2008" s="637"/>
      <c r="BK2008" s="637"/>
      <c r="BL2008" s="637"/>
      <c r="BM2008" s="637"/>
      <c r="BN2008" s="637"/>
      <c r="BO2008" s="637"/>
      <c r="BP2008" s="637"/>
      <c r="BQ2008" s="637"/>
      <c r="BR2008" s="637"/>
      <c r="BS2008" s="637"/>
      <c r="BT2008" s="637"/>
      <c r="BU2008" s="637"/>
      <c r="BV2008" s="637"/>
      <c r="BW2008" s="637"/>
      <c r="BX2008" s="637"/>
      <c r="BY2008" s="637"/>
      <c r="BZ2008" s="638"/>
      <c r="CA2008" s="265" t="s">
        <v>773</v>
      </c>
      <c r="CB2008" s="3" t="str">
        <f t="shared" si="335"/>
        <v>Riadok bude skrytý.</v>
      </c>
      <c r="CC2008" s="271" t="s">
        <v>832</v>
      </c>
      <c r="CD2008" s="4"/>
      <c r="CW2008" s="30">
        <f t="shared" si="337"/>
        <v>1</v>
      </c>
      <c r="CX2008" s="30">
        <f t="shared" si="338"/>
        <v>1</v>
      </c>
      <c r="CZ2008" s="30">
        <f t="shared" si="333"/>
        <v>1</v>
      </c>
      <c r="DA2008" s="52">
        <f t="shared" si="339"/>
        <v>1</v>
      </c>
      <c r="DB2008" s="2">
        <f t="shared" si="330"/>
        <v>0</v>
      </c>
      <c r="DS2008" s="130">
        <f>SI!BY2008</f>
        <v>461</v>
      </c>
      <c r="DZ2008" s="131">
        <f>SI!BZ2008</f>
        <v>0</v>
      </c>
    </row>
    <row r="2009" spans="1:130" hidden="1" x14ac:dyDescent="0.25">
      <c r="A2009" s="141"/>
      <c r="B2009" s="661"/>
      <c r="C2009" s="662"/>
      <c r="D2009" s="662"/>
      <c r="E2009" s="662"/>
      <c r="F2009" s="662"/>
      <c r="G2009" s="662"/>
      <c r="H2009" s="662"/>
      <c r="I2009" s="662"/>
      <c r="J2009" s="662"/>
      <c r="K2009" s="662"/>
      <c r="L2009" s="662"/>
      <c r="M2009" s="662"/>
      <c r="N2009" s="662"/>
      <c r="O2009" s="662"/>
      <c r="P2009" s="662"/>
      <c r="Q2009" s="662"/>
      <c r="R2009" s="662"/>
      <c r="S2009" s="662"/>
      <c r="T2009" s="662"/>
      <c r="U2009" s="662"/>
      <c r="V2009" s="662"/>
      <c r="W2009" s="662"/>
      <c r="X2009" s="662"/>
      <c r="Y2009" s="662"/>
      <c r="Z2009" s="662"/>
      <c r="AA2009" s="662"/>
      <c r="AB2009" s="662"/>
      <c r="AC2009" s="662"/>
      <c r="AD2009" s="662"/>
      <c r="AE2009" s="662"/>
      <c r="AF2009" s="662"/>
      <c r="AG2009" s="662"/>
      <c r="AH2009" s="662"/>
      <c r="AI2009" s="662"/>
      <c r="AJ2009" s="662"/>
      <c r="AK2009" s="662"/>
      <c r="AL2009" s="662"/>
      <c r="AM2009" s="662"/>
      <c r="AN2009" s="662"/>
      <c r="AO2009" s="662"/>
      <c r="AP2009" s="662"/>
      <c r="AQ2009" s="662"/>
      <c r="AR2009" s="662"/>
      <c r="AS2009" s="662"/>
      <c r="AT2009" s="662"/>
      <c r="AU2009" s="662"/>
      <c r="AV2009" s="662"/>
      <c r="AW2009" s="662"/>
      <c r="AX2009" s="662"/>
      <c r="AY2009" s="662"/>
      <c r="AZ2009" s="662"/>
      <c r="BA2009" s="662"/>
      <c r="BB2009" s="495">
        <f>+BE141</f>
        <v>2020</v>
      </c>
      <c r="BC2009" s="496"/>
      <c r="BD2009" s="496"/>
      <c r="BE2009" s="496"/>
      <c r="BF2009" s="496"/>
      <c r="BG2009" s="496"/>
      <c r="BH2009" s="496"/>
      <c r="BI2009" s="496"/>
      <c r="BJ2009" s="496"/>
      <c r="BK2009" s="496"/>
      <c r="BL2009" s="496"/>
      <c r="BM2009" s="496"/>
      <c r="BN2009" s="496"/>
      <c r="BO2009" s="496"/>
      <c r="BP2009" s="496"/>
      <c r="BQ2009" s="496"/>
      <c r="BR2009" s="496"/>
      <c r="BS2009" s="496"/>
      <c r="BT2009" s="496"/>
      <c r="BU2009" s="496"/>
      <c r="BV2009" s="496"/>
      <c r="BW2009" s="496"/>
      <c r="BX2009" s="496"/>
      <c r="BY2009" s="496"/>
      <c r="BZ2009" s="497"/>
      <c r="CA2009" s="270"/>
      <c r="CB2009" s="3" t="str">
        <f t="shared" si="335"/>
        <v>Riadok bude skrytý.</v>
      </c>
      <c r="CC2009" s="271" t="s">
        <v>832</v>
      </c>
      <c r="CW2009" s="30">
        <f t="shared" si="337"/>
        <v>1</v>
      </c>
      <c r="CX2009" s="30">
        <f t="shared" si="338"/>
        <v>1</v>
      </c>
      <c r="CZ2009" s="30">
        <f t="shared" si="333"/>
        <v>1</v>
      </c>
      <c r="DA2009" s="52">
        <f t="shared" si="339"/>
        <v>1</v>
      </c>
      <c r="DB2009" s="2">
        <f t="shared" si="330"/>
        <v>0</v>
      </c>
      <c r="DS2009" s="130">
        <f>SI!BY2009</f>
        <v>168</v>
      </c>
      <c r="DZ2009" s="131">
        <f>SI!BZ2009</f>
        <v>0</v>
      </c>
    </row>
    <row r="2010" spans="1:130" hidden="1" x14ac:dyDescent="0.25">
      <c r="A2010" s="141"/>
      <c r="B2010" s="579" t="s">
        <v>245</v>
      </c>
      <c r="C2010" s="580"/>
      <c r="D2010" s="580"/>
      <c r="E2010" s="580"/>
      <c r="F2010" s="580"/>
      <c r="G2010" s="580"/>
      <c r="H2010" s="580"/>
      <c r="I2010" s="580"/>
      <c r="J2010" s="580"/>
      <c r="K2010" s="580"/>
      <c r="L2010" s="580"/>
      <c r="M2010" s="580"/>
      <c r="N2010" s="580"/>
      <c r="O2010" s="580"/>
      <c r="P2010" s="580"/>
      <c r="Q2010" s="580"/>
      <c r="R2010" s="580"/>
      <c r="S2010" s="580"/>
      <c r="T2010" s="580"/>
      <c r="U2010" s="580"/>
      <c r="V2010" s="580"/>
      <c r="W2010" s="580"/>
      <c r="X2010" s="580"/>
      <c r="Y2010" s="580"/>
      <c r="Z2010" s="580"/>
      <c r="AA2010" s="580"/>
      <c r="AB2010" s="580"/>
      <c r="AC2010" s="580"/>
      <c r="AD2010" s="580"/>
      <c r="AE2010" s="580"/>
      <c r="AF2010" s="580"/>
      <c r="AG2010" s="580"/>
      <c r="AH2010" s="580"/>
      <c r="AI2010" s="580"/>
      <c r="AJ2010" s="580"/>
      <c r="AK2010" s="580"/>
      <c r="AL2010" s="580"/>
      <c r="AM2010" s="580"/>
      <c r="AN2010" s="580"/>
      <c r="AO2010" s="580"/>
      <c r="AP2010" s="580"/>
      <c r="AQ2010" s="580"/>
      <c r="AR2010" s="580"/>
      <c r="AS2010" s="580"/>
      <c r="AT2010" s="580"/>
      <c r="AU2010" s="580"/>
      <c r="AV2010" s="580"/>
      <c r="AW2010" s="580"/>
      <c r="AX2010" s="580"/>
      <c r="AY2010" s="580"/>
      <c r="AZ2010" s="580"/>
      <c r="BA2010" s="580"/>
      <c r="BB2010" s="472"/>
      <c r="BC2010" s="473"/>
      <c r="BD2010" s="473"/>
      <c r="BE2010" s="473"/>
      <c r="BF2010" s="473"/>
      <c r="BG2010" s="473"/>
      <c r="BH2010" s="473"/>
      <c r="BI2010" s="473"/>
      <c r="BJ2010" s="473"/>
      <c r="BK2010" s="473"/>
      <c r="BL2010" s="473"/>
      <c r="BM2010" s="473"/>
      <c r="BN2010" s="473"/>
      <c r="BO2010" s="473"/>
      <c r="BP2010" s="473"/>
      <c r="BQ2010" s="473"/>
      <c r="BR2010" s="473"/>
      <c r="BS2010" s="473"/>
      <c r="BT2010" s="473"/>
      <c r="BU2010" s="473"/>
      <c r="BV2010" s="473"/>
      <c r="BW2010" s="473"/>
      <c r="BX2010" s="473"/>
      <c r="BY2010" s="473"/>
      <c r="BZ2010" s="474"/>
      <c r="CA2010" s="270"/>
      <c r="CB2010" s="3" t="str">
        <f t="shared" si="335"/>
        <v>Riadok bude skrytý.</v>
      </c>
      <c r="CC2010" s="271" t="s">
        <v>832</v>
      </c>
      <c r="CW2010" s="30">
        <f t="shared" si="337"/>
        <v>1</v>
      </c>
      <c r="CX2010" s="30">
        <f t="shared" si="338"/>
        <v>1</v>
      </c>
      <c r="CZ2010" s="30">
        <f t="shared" si="333"/>
        <v>1</v>
      </c>
      <c r="DA2010" s="52">
        <f t="shared" si="339"/>
        <v>1</v>
      </c>
      <c r="DB2010" s="2">
        <f t="shared" si="330"/>
        <v>0</v>
      </c>
      <c r="DS2010" s="130">
        <f>SI!BY2010</f>
        <v>136</v>
      </c>
      <c r="DZ2010" s="131">
        <f>SI!BZ2010</f>
        <v>0</v>
      </c>
    </row>
    <row r="2011" spans="1:130" hidden="1" x14ac:dyDescent="0.25">
      <c r="A2011" s="141"/>
      <c r="B2011" s="579" t="s">
        <v>246</v>
      </c>
      <c r="C2011" s="580"/>
      <c r="D2011" s="580"/>
      <c r="E2011" s="580"/>
      <c r="F2011" s="580"/>
      <c r="G2011" s="580"/>
      <c r="H2011" s="580"/>
      <c r="I2011" s="580"/>
      <c r="J2011" s="580"/>
      <c r="K2011" s="580"/>
      <c r="L2011" s="580"/>
      <c r="M2011" s="580"/>
      <c r="N2011" s="580"/>
      <c r="O2011" s="580"/>
      <c r="P2011" s="580"/>
      <c r="Q2011" s="580"/>
      <c r="R2011" s="580"/>
      <c r="S2011" s="580"/>
      <c r="T2011" s="580"/>
      <c r="U2011" s="580"/>
      <c r="V2011" s="580"/>
      <c r="W2011" s="580"/>
      <c r="X2011" s="580"/>
      <c r="Y2011" s="580"/>
      <c r="Z2011" s="580"/>
      <c r="AA2011" s="580"/>
      <c r="AB2011" s="580"/>
      <c r="AC2011" s="580"/>
      <c r="AD2011" s="580"/>
      <c r="AE2011" s="580"/>
      <c r="AF2011" s="580"/>
      <c r="AG2011" s="580"/>
      <c r="AH2011" s="580"/>
      <c r="AI2011" s="580"/>
      <c r="AJ2011" s="580"/>
      <c r="AK2011" s="580"/>
      <c r="AL2011" s="580"/>
      <c r="AM2011" s="580"/>
      <c r="AN2011" s="580"/>
      <c r="AO2011" s="580"/>
      <c r="AP2011" s="580"/>
      <c r="AQ2011" s="580"/>
      <c r="AR2011" s="580"/>
      <c r="AS2011" s="580"/>
      <c r="AT2011" s="580"/>
      <c r="AU2011" s="580"/>
      <c r="AV2011" s="580"/>
      <c r="AW2011" s="580"/>
      <c r="AX2011" s="580"/>
      <c r="AY2011" s="580"/>
      <c r="AZ2011" s="580"/>
      <c r="BA2011" s="580"/>
      <c r="BB2011" s="445">
        <f>+AJ141</f>
        <v>2021</v>
      </c>
      <c r="BC2011" s="446"/>
      <c r="BD2011" s="446"/>
      <c r="BE2011" s="446"/>
      <c r="BF2011" s="446"/>
      <c r="BG2011" s="446"/>
      <c r="BH2011" s="446"/>
      <c r="BI2011" s="446"/>
      <c r="BJ2011" s="446"/>
      <c r="BK2011" s="446"/>
      <c r="BL2011" s="446"/>
      <c r="BM2011" s="446"/>
      <c r="BN2011" s="446"/>
      <c r="BO2011" s="446"/>
      <c r="BP2011" s="446"/>
      <c r="BQ2011" s="446"/>
      <c r="BR2011" s="446"/>
      <c r="BS2011" s="446"/>
      <c r="BT2011" s="446"/>
      <c r="BU2011" s="446"/>
      <c r="BV2011" s="446"/>
      <c r="BW2011" s="446"/>
      <c r="BX2011" s="446"/>
      <c r="BY2011" s="446"/>
      <c r="BZ2011" s="447"/>
      <c r="CA2011" s="270"/>
      <c r="CB2011" s="3" t="str">
        <f t="shared" si="335"/>
        <v>Riadok bude skrytý.</v>
      </c>
      <c r="CC2011" s="271" t="s">
        <v>832</v>
      </c>
      <c r="CW2011" s="30">
        <f t="shared" si="337"/>
        <v>1</v>
      </c>
      <c r="CX2011" s="30">
        <f t="shared" si="338"/>
        <v>1</v>
      </c>
      <c r="CZ2011" s="30">
        <f t="shared" si="333"/>
        <v>1</v>
      </c>
      <c r="DA2011" s="52">
        <f t="shared" si="339"/>
        <v>1</v>
      </c>
      <c r="DB2011" s="2">
        <f t="shared" si="330"/>
        <v>0</v>
      </c>
      <c r="DS2011" s="130">
        <f>SI!BY2011</f>
        <v>160</v>
      </c>
      <c r="DZ2011" s="131">
        <f>SI!BZ2011</f>
        <v>0</v>
      </c>
    </row>
    <row r="2012" spans="1:130" hidden="1" x14ac:dyDescent="0.25">
      <c r="A2012" s="141"/>
      <c r="B2012" s="672" t="s">
        <v>247</v>
      </c>
      <c r="C2012" s="673"/>
      <c r="D2012" s="673"/>
      <c r="E2012" s="673"/>
      <c r="F2012" s="673"/>
      <c r="G2012" s="673"/>
      <c r="H2012" s="673"/>
      <c r="I2012" s="673"/>
      <c r="J2012" s="673"/>
      <c r="K2012" s="673"/>
      <c r="L2012" s="673"/>
      <c r="M2012" s="673"/>
      <c r="N2012" s="673"/>
      <c r="O2012" s="673"/>
      <c r="P2012" s="673"/>
      <c r="Q2012" s="673"/>
      <c r="R2012" s="673"/>
      <c r="S2012" s="673"/>
      <c r="T2012" s="673"/>
      <c r="U2012" s="673"/>
      <c r="V2012" s="673"/>
      <c r="W2012" s="673"/>
      <c r="X2012" s="673"/>
      <c r="Y2012" s="673"/>
      <c r="Z2012" s="673"/>
      <c r="AA2012" s="673"/>
      <c r="AB2012" s="673"/>
      <c r="AC2012" s="673"/>
      <c r="AD2012" s="673"/>
      <c r="AE2012" s="673"/>
      <c r="AF2012" s="673"/>
      <c r="AG2012" s="673"/>
      <c r="AH2012" s="673"/>
      <c r="AI2012" s="673"/>
      <c r="AJ2012" s="673"/>
      <c r="AK2012" s="673"/>
      <c r="AL2012" s="673"/>
      <c r="AM2012" s="673"/>
      <c r="AN2012" s="673"/>
      <c r="AO2012" s="673"/>
      <c r="AP2012" s="673"/>
      <c r="AQ2012" s="673"/>
      <c r="AR2012" s="673"/>
      <c r="AS2012" s="673"/>
      <c r="AT2012" s="673"/>
      <c r="AU2012" s="673"/>
      <c r="AV2012" s="673"/>
      <c r="AW2012" s="673"/>
      <c r="AX2012" s="673"/>
      <c r="AY2012" s="673"/>
      <c r="AZ2012" s="673"/>
      <c r="BA2012" s="673"/>
      <c r="BB2012" s="1228"/>
      <c r="BC2012" s="503"/>
      <c r="BD2012" s="503"/>
      <c r="BE2012" s="503"/>
      <c r="BF2012" s="503"/>
      <c r="BG2012" s="503"/>
      <c r="BH2012" s="503"/>
      <c r="BI2012" s="503"/>
      <c r="BJ2012" s="503"/>
      <c r="BK2012" s="503"/>
      <c r="BL2012" s="503"/>
      <c r="BM2012" s="503"/>
      <c r="BN2012" s="503"/>
      <c r="BO2012" s="503"/>
      <c r="BP2012" s="503"/>
      <c r="BQ2012" s="503"/>
      <c r="BR2012" s="503"/>
      <c r="BS2012" s="503"/>
      <c r="BT2012" s="503"/>
      <c r="BU2012" s="503"/>
      <c r="BV2012" s="503"/>
      <c r="BW2012" s="503"/>
      <c r="BX2012" s="503"/>
      <c r="BY2012" s="503"/>
      <c r="BZ2012" s="504"/>
      <c r="CA2012" s="270"/>
      <c r="CB2012" s="3" t="str">
        <f t="shared" si="335"/>
        <v>Riadok bude skrytý.</v>
      </c>
      <c r="CC2012" s="271" t="s">
        <v>832</v>
      </c>
      <c r="CW2012" s="30">
        <f t="shared" si="337"/>
        <v>1</v>
      </c>
      <c r="CX2012" s="30">
        <f t="shared" si="338"/>
        <v>1</v>
      </c>
      <c r="CZ2012" s="30">
        <f t="shared" si="333"/>
        <v>1</v>
      </c>
      <c r="DA2012" s="52">
        <f t="shared" si="339"/>
        <v>1</v>
      </c>
      <c r="DB2012" s="2">
        <f t="shared" ref="DB2012:DB2075" si="340">+IF($CD$1="malé",0,DA2012)</f>
        <v>0</v>
      </c>
      <c r="DS2012" s="130">
        <f>SI!BY2012</f>
        <v>828</v>
      </c>
      <c r="DZ2012" s="131">
        <f>SI!BZ2012</f>
        <v>0</v>
      </c>
    </row>
    <row r="2013" spans="1:130" hidden="1" x14ac:dyDescent="0.25">
      <c r="A2013" s="141"/>
      <c r="B2013" s="680" t="s">
        <v>248</v>
      </c>
      <c r="C2013" s="681"/>
      <c r="D2013" s="681"/>
      <c r="E2013" s="681"/>
      <c r="F2013" s="681"/>
      <c r="G2013" s="681"/>
      <c r="H2013" s="681"/>
      <c r="I2013" s="681"/>
      <c r="J2013" s="681"/>
      <c r="K2013" s="681"/>
      <c r="L2013" s="681"/>
      <c r="M2013" s="681"/>
      <c r="N2013" s="681"/>
      <c r="O2013" s="681"/>
      <c r="P2013" s="681"/>
      <c r="Q2013" s="681"/>
      <c r="R2013" s="681"/>
      <c r="S2013" s="681"/>
      <c r="T2013" s="681"/>
      <c r="U2013" s="681"/>
      <c r="V2013" s="681"/>
      <c r="W2013" s="681"/>
      <c r="X2013" s="681"/>
      <c r="Y2013" s="681"/>
      <c r="Z2013" s="681"/>
      <c r="AA2013" s="681"/>
      <c r="AB2013" s="681"/>
      <c r="AC2013" s="681"/>
      <c r="AD2013" s="681"/>
      <c r="AE2013" s="681"/>
      <c r="AF2013" s="681"/>
      <c r="AG2013" s="681"/>
      <c r="AH2013" s="681"/>
      <c r="AI2013" s="681"/>
      <c r="AJ2013" s="681"/>
      <c r="AK2013" s="681"/>
      <c r="AL2013" s="681"/>
      <c r="AM2013" s="681"/>
      <c r="AN2013" s="681"/>
      <c r="AO2013" s="681"/>
      <c r="AP2013" s="681"/>
      <c r="AQ2013" s="681"/>
      <c r="AR2013" s="681"/>
      <c r="AS2013" s="681"/>
      <c r="AT2013" s="681"/>
      <c r="AU2013" s="681"/>
      <c r="AV2013" s="681"/>
      <c r="AW2013" s="681"/>
      <c r="AX2013" s="681"/>
      <c r="AY2013" s="681"/>
      <c r="AZ2013" s="681"/>
      <c r="BA2013" s="681"/>
      <c r="BB2013" s="511"/>
      <c r="BC2013" s="482"/>
      <c r="BD2013" s="482"/>
      <c r="BE2013" s="482"/>
      <c r="BF2013" s="482"/>
      <c r="BG2013" s="482"/>
      <c r="BH2013" s="482"/>
      <c r="BI2013" s="482"/>
      <c r="BJ2013" s="482"/>
      <c r="BK2013" s="482"/>
      <c r="BL2013" s="482"/>
      <c r="BM2013" s="482"/>
      <c r="BN2013" s="482"/>
      <c r="BO2013" s="482"/>
      <c r="BP2013" s="482"/>
      <c r="BQ2013" s="482"/>
      <c r="BR2013" s="482"/>
      <c r="BS2013" s="482"/>
      <c r="BT2013" s="482"/>
      <c r="BU2013" s="482"/>
      <c r="BV2013" s="482"/>
      <c r="BW2013" s="482"/>
      <c r="BX2013" s="482"/>
      <c r="BY2013" s="482"/>
      <c r="BZ2013" s="483"/>
      <c r="CA2013" s="270"/>
      <c r="CB2013" s="3" t="str">
        <f t="shared" si="335"/>
        <v>Riadok bude skrytý.</v>
      </c>
      <c r="CC2013" s="271" t="s">
        <v>832</v>
      </c>
      <c r="CW2013" s="30">
        <f t="shared" si="337"/>
        <v>1</v>
      </c>
      <c r="CX2013" s="30">
        <f t="shared" si="338"/>
        <v>1</v>
      </c>
      <c r="CZ2013" s="30">
        <f t="shared" si="333"/>
        <v>1</v>
      </c>
      <c r="DA2013" s="52">
        <f t="shared" si="339"/>
        <v>1</v>
      </c>
      <c r="DB2013" s="2">
        <f t="shared" si="340"/>
        <v>0</v>
      </c>
      <c r="DS2013" s="130">
        <f>SI!BY2013</f>
        <v>156</v>
      </c>
      <c r="DZ2013" s="131">
        <f>SI!BZ2013</f>
        <v>0</v>
      </c>
    </row>
    <row r="2014" spans="1:130" hidden="1" x14ac:dyDescent="0.25">
      <c r="A2014" s="141"/>
      <c r="B2014" s="680" t="s">
        <v>249</v>
      </c>
      <c r="C2014" s="681"/>
      <c r="D2014" s="681"/>
      <c r="E2014" s="681"/>
      <c r="F2014" s="681"/>
      <c r="G2014" s="681"/>
      <c r="H2014" s="681"/>
      <c r="I2014" s="681"/>
      <c r="J2014" s="681"/>
      <c r="K2014" s="681"/>
      <c r="L2014" s="681"/>
      <c r="M2014" s="681"/>
      <c r="N2014" s="681"/>
      <c r="O2014" s="681"/>
      <c r="P2014" s="681"/>
      <c r="Q2014" s="681"/>
      <c r="R2014" s="681"/>
      <c r="S2014" s="681"/>
      <c r="T2014" s="681"/>
      <c r="U2014" s="681"/>
      <c r="V2014" s="681"/>
      <c r="W2014" s="681"/>
      <c r="X2014" s="681"/>
      <c r="Y2014" s="681"/>
      <c r="Z2014" s="681"/>
      <c r="AA2014" s="681"/>
      <c r="AB2014" s="681"/>
      <c r="AC2014" s="681"/>
      <c r="AD2014" s="681"/>
      <c r="AE2014" s="681"/>
      <c r="AF2014" s="681"/>
      <c r="AG2014" s="681"/>
      <c r="AH2014" s="681"/>
      <c r="AI2014" s="681"/>
      <c r="AJ2014" s="681"/>
      <c r="AK2014" s="681"/>
      <c r="AL2014" s="681"/>
      <c r="AM2014" s="681"/>
      <c r="AN2014" s="681"/>
      <c r="AO2014" s="681"/>
      <c r="AP2014" s="681"/>
      <c r="AQ2014" s="681"/>
      <c r="AR2014" s="681"/>
      <c r="AS2014" s="681"/>
      <c r="AT2014" s="681"/>
      <c r="AU2014" s="681"/>
      <c r="AV2014" s="681"/>
      <c r="AW2014" s="681"/>
      <c r="AX2014" s="681"/>
      <c r="AY2014" s="681"/>
      <c r="AZ2014" s="681"/>
      <c r="BA2014" s="681"/>
      <c r="BB2014" s="511"/>
      <c r="BC2014" s="482"/>
      <c r="BD2014" s="482"/>
      <c r="BE2014" s="482"/>
      <c r="BF2014" s="482"/>
      <c r="BG2014" s="482"/>
      <c r="BH2014" s="482"/>
      <c r="BI2014" s="482"/>
      <c r="BJ2014" s="482"/>
      <c r="BK2014" s="482"/>
      <c r="BL2014" s="482"/>
      <c r="BM2014" s="482"/>
      <c r="BN2014" s="482"/>
      <c r="BO2014" s="482"/>
      <c r="BP2014" s="482"/>
      <c r="BQ2014" s="482"/>
      <c r="BR2014" s="482"/>
      <c r="BS2014" s="482"/>
      <c r="BT2014" s="482"/>
      <c r="BU2014" s="482"/>
      <c r="BV2014" s="482"/>
      <c r="BW2014" s="482"/>
      <c r="BX2014" s="482"/>
      <c r="BY2014" s="482"/>
      <c r="BZ2014" s="483"/>
      <c r="CA2014" s="270"/>
      <c r="CB2014" s="3" t="str">
        <f t="shared" si="335"/>
        <v>Riadok bude skrytý.</v>
      </c>
      <c r="CC2014" s="271" t="s">
        <v>832</v>
      </c>
      <c r="CW2014" s="30">
        <f t="shared" si="337"/>
        <v>1</v>
      </c>
      <c r="CX2014" s="30">
        <f t="shared" si="338"/>
        <v>1</v>
      </c>
      <c r="CZ2014" s="30">
        <f t="shared" si="333"/>
        <v>1</v>
      </c>
      <c r="DA2014" s="52">
        <f t="shared" si="339"/>
        <v>1</v>
      </c>
      <c r="DB2014" s="2">
        <f t="shared" si="340"/>
        <v>0</v>
      </c>
      <c r="DS2014" s="130">
        <f>SI!BY2014</f>
        <v>775</v>
      </c>
      <c r="DZ2014" s="131">
        <f>SI!BZ2014</f>
        <v>0</v>
      </c>
    </row>
    <row r="2015" spans="1:130" hidden="1" x14ac:dyDescent="0.25">
      <c r="A2015" s="141"/>
      <c r="B2015" s="680" t="s">
        <v>250</v>
      </c>
      <c r="C2015" s="681"/>
      <c r="D2015" s="681"/>
      <c r="E2015" s="681"/>
      <c r="F2015" s="681"/>
      <c r="G2015" s="681"/>
      <c r="H2015" s="681"/>
      <c r="I2015" s="681"/>
      <c r="J2015" s="681"/>
      <c r="K2015" s="681"/>
      <c r="L2015" s="681"/>
      <c r="M2015" s="681"/>
      <c r="N2015" s="681"/>
      <c r="O2015" s="681"/>
      <c r="P2015" s="681"/>
      <c r="Q2015" s="681"/>
      <c r="R2015" s="681"/>
      <c r="S2015" s="681"/>
      <c r="T2015" s="681"/>
      <c r="U2015" s="681"/>
      <c r="V2015" s="681"/>
      <c r="W2015" s="681"/>
      <c r="X2015" s="681"/>
      <c r="Y2015" s="681"/>
      <c r="Z2015" s="681"/>
      <c r="AA2015" s="681"/>
      <c r="AB2015" s="681"/>
      <c r="AC2015" s="681"/>
      <c r="AD2015" s="681"/>
      <c r="AE2015" s="681"/>
      <c r="AF2015" s="681"/>
      <c r="AG2015" s="681"/>
      <c r="AH2015" s="681"/>
      <c r="AI2015" s="681"/>
      <c r="AJ2015" s="681"/>
      <c r="AK2015" s="681"/>
      <c r="AL2015" s="681"/>
      <c r="AM2015" s="681"/>
      <c r="AN2015" s="681"/>
      <c r="AO2015" s="681"/>
      <c r="AP2015" s="681"/>
      <c r="AQ2015" s="681"/>
      <c r="AR2015" s="681"/>
      <c r="AS2015" s="681"/>
      <c r="AT2015" s="681"/>
      <c r="AU2015" s="681"/>
      <c r="AV2015" s="681"/>
      <c r="AW2015" s="681"/>
      <c r="AX2015" s="681"/>
      <c r="AY2015" s="681"/>
      <c r="AZ2015" s="681"/>
      <c r="BA2015" s="681"/>
      <c r="BB2015" s="511"/>
      <c r="BC2015" s="482"/>
      <c r="BD2015" s="482"/>
      <c r="BE2015" s="482"/>
      <c r="BF2015" s="482"/>
      <c r="BG2015" s="482"/>
      <c r="BH2015" s="482"/>
      <c r="BI2015" s="482"/>
      <c r="BJ2015" s="482"/>
      <c r="BK2015" s="482"/>
      <c r="BL2015" s="482"/>
      <c r="BM2015" s="482"/>
      <c r="BN2015" s="482"/>
      <c r="BO2015" s="482"/>
      <c r="BP2015" s="482"/>
      <c r="BQ2015" s="482"/>
      <c r="BR2015" s="482"/>
      <c r="BS2015" s="482"/>
      <c r="BT2015" s="482"/>
      <c r="BU2015" s="482"/>
      <c r="BV2015" s="482"/>
      <c r="BW2015" s="482"/>
      <c r="BX2015" s="482"/>
      <c r="BY2015" s="482"/>
      <c r="BZ2015" s="483"/>
      <c r="CA2015" s="270"/>
      <c r="CB2015" s="3" t="str">
        <f t="shared" si="335"/>
        <v>Riadok bude skrytý.</v>
      </c>
      <c r="CC2015" s="271" t="s">
        <v>832</v>
      </c>
      <c r="CW2015" s="30">
        <f t="shared" si="337"/>
        <v>1</v>
      </c>
      <c r="CX2015" s="30">
        <f t="shared" si="338"/>
        <v>1</v>
      </c>
      <c r="CZ2015" s="30">
        <f t="shared" si="333"/>
        <v>1</v>
      </c>
      <c r="DA2015" s="52">
        <f t="shared" si="339"/>
        <v>1</v>
      </c>
      <c r="DB2015" s="2">
        <f t="shared" si="340"/>
        <v>0</v>
      </c>
      <c r="DS2015" s="130">
        <f>SI!BY2015</f>
        <v>103</v>
      </c>
      <c r="DZ2015" s="131">
        <f>SI!BZ2015</f>
        <v>0</v>
      </c>
    </row>
    <row r="2016" spans="1:130" hidden="1" x14ac:dyDescent="0.25">
      <c r="A2016" s="141"/>
      <c r="B2016" s="680" t="s">
        <v>251</v>
      </c>
      <c r="C2016" s="681"/>
      <c r="D2016" s="681"/>
      <c r="E2016" s="681"/>
      <c r="F2016" s="681"/>
      <c r="G2016" s="681"/>
      <c r="H2016" s="681"/>
      <c r="I2016" s="681"/>
      <c r="J2016" s="681"/>
      <c r="K2016" s="681"/>
      <c r="L2016" s="681"/>
      <c r="M2016" s="681"/>
      <c r="N2016" s="681"/>
      <c r="O2016" s="681"/>
      <c r="P2016" s="681"/>
      <c r="Q2016" s="681"/>
      <c r="R2016" s="681"/>
      <c r="S2016" s="681"/>
      <c r="T2016" s="681"/>
      <c r="U2016" s="681"/>
      <c r="V2016" s="681"/>
      <c r="W2016" s="681"/>
      <c r="X2016" s="681"/>
      <c r="Y2016" s="681"/>
      <c r="Z2016" s="681"/>
      <c r="AA2016" s="681"/>
      <c r="AB2016" s="681"/>
      <c r="AC2016" s="681"/>
      <c r="AD2016" s="681"/>
      <c r="AE2016" s="681"/>
      <c r="AF2016" s="681"/>
      <c r="AG2016" s="681"/>
      <c r="AH2016" s="681"/>
      <c r="AI2016" s="681"/>
      <c r="AJ2016" s="681"/>
      <c r="AK2016" s="681"/>
      <c r="AL2016" s="681"/>
      <c r="AM2016" s="681"/>
      <c r="AN2016" s="681"/>
      <c r="AO2016" s="681"/>
      <c r="AP2016" s="681"/>
      <c r="AQ2016" s="681"/>
      <c r="AR2016" s="681"/>
      <c r="AS2016" s="681"/>
      <c r="AT2016" s="681"/>
      <c r="AU2016" s="681"/>
      <c r="AV2016" s="681"/>
      <c r="AW2016" s="681"/>
      <c r="AX2016" s="681"/>
      <c r="AY2016" s="681"/>
      <c r="AZ2016" s="681"/>
      <c r="BA2016" s="681"/>
      <c r="BB2016" s="511"/>
      <c r="BC2016" s="482"/>
      <c r="BD2016" s="482"/>
      <c r="BE2016" s="482"/>
      <c r="BF2016" s="482"/>
      <c r="BG2016" s="482"/>
      <c r="BH2016" s="482"/>
      <c r="BI2016" s="482"/>
      <c r="BJ2016" s="482"/>
      <c r="BK2016" s="482"/>
      <c r="BL2016" s="482"/>
      <c r="BM2016" s="482"/>
      <c r="BN2016" s="482"/>
      <c r="BO2016" s="482"/>
      <c r="BP2016" s="482"/>
      <c r="BQ2016" s="482"/>
      <c r="BR2016" s="482"/>
      <c r="BS2016" s="482"/>
      <c r="BT2016" s="482"/>
      <c r="BU2016" s="482"/>
      <c r="BV2016" s="482"/>
      <c r="BW2016" s="482"/>
      <c r="BX2016" s="482"/>
      <c r="BY2016" s="482"/>
      <c r="BZ2016" s="483"/>
      <c r="CA2016" s="270"/>
      <c r="CB2016" s="3" t="str">
        <f t="shared" si="335"/>
        <v>Riadok bude skrytý.</v>
      </c>
      <c r="CC2016" s="271" t="s">
        <v>832</v>
      </c>
      <c r="CW2016" s="30">
        <f t="shared" si="337"/>
        <v>1</v>
      </c>
      <c r="CX2016" s="30">
        <f t="shared" si="338"/>
        <v>1</v>
      </c>
      <c r="CZ2016" s="30">
        <f t="shared" si="333"/>
        <v>1</v>
      </c>
      <c r="DA2016" s="52">
        <f t="shared" si="339"/>
        <v>1</v>
      </c>
      <c r="DB2016" s="2">
        <f t="shared" si="340"/>
        <v>0</v>
      </c>
      <c r="DS2016" s="130">
        <f>SI!BY2016</f>
        <v>405</v>
      </c>
      <c r="DZ2016" s="131">
        <f>SI!BZ2016</f>
        <v>0</v>
      </c>
    </row>
    <row r="2017" spans="1:130" hidden="1" x14ac:dyDescent="0.25">
      <c r="A2017" s="141"/>
      <c r="B2017" s="680" t="s">
        <v>252</v>
      </c>
      <c r="C2017" s="681"/>
      <c r="D2017" s="681"/>
      <c r="E2017" s="681"/>
      <c r="F2017" s="681"/>
      <c r="G2017" s="681"/>
      <c r="H2017" s="681"/>
      <c r="I2017" s="681"/>
      <c r="J2017" s="681"/>
      <c r="K2017" s="681"/>
      <c r="L2017" s="681"/>
      <c r="M2017" s="681"/>
      <c r="N2017" s="681"/>
      <c r="O2017" s="681"/>
      <c r="P2017" s="681"/>
      <c r="Q2017" s="681"/>
      <c r="R2017" s="681"/>
      <c r="S2017" s="681"/>
      <c r="T2017" s="681"/>
      <c r="U2017" s="681"/>
      <c r="V2017" s="681"/>
      <c r="W2017" s="681"/>
      <c r="X2017" s="681"/>
      <c r="Y2017" s="681"/>
      <c r="Z2017" s="681"/>
      <c r="AA2017" s="681"/>
      <c r="AB2017" s="681"/>
      <c r="AC2017" s="681"/>
      <c r="AD2017" s="681"/>
      <c r="AE2017" s="681"/>
      <c r="AF2017" s="681"/>
      <c r="AG2017" s="681"/>
      <c r="AH2017" s="681"/>
      <c r="AI2017" s="681"/>
      <c r="AJ2017" s="681"/>
      <c r="AK2017" s="681"/>
      <c r="AL2017" s="681"/>
      <c r="AM2017" s="681"/>
      <c r="AN2017" s="681"/>
      <c r="AO2017" s="681"/>
      <c r="AP2017" s="681"/>
      <c r="AQ2017" s="681"/>
      <c r="AR2017" s="681"/>
      <c r="AS2017" s="681"/>
      <c r="AT2017" s="681"/>
      <c r="AU2017" s="681"/>
      <c r="AV2017" s="681"/>
      <c r="AW2017" s="681"/>
      <c r="AX2017" s="681"/>
      <c r="AY2017" s="681"/>
      <c r="AZ2017" s="681"/>
      <c r="BA2017" s="681"/>
      <c r="BB2017" s="511"/>
      <c r="BC2017" s="482"/>
      <c r="BD2017" s="482"/>
      <c r="BE2017" s="482"/>
      <c r="BF2017" s="482"/>
      <c r="BG2017" s="482"/>
      <c r="BH2017" s="482"/>
      <c r="BI2017" s="482"/>
      <c r="BJ2017" s="482"/>
      <c r="BK2017" s="482"/>
      <c r="BL2017" s="482"/>
      <c r="BM2017" s="482"/>
      <c r="BN2017" s="482"/>
      <c r="BO2017" s="482"/>
      <c r="BP2017" s="482"/>
      <c r="BQ2017" s="482"/>
      <c r="BR2017" s="482"/>
      <c r="BS2017" s="482"/>
      <c r="BT2017" s="482"/>
      <c r="BU2017" s="482"/>
      <c r="BV2017" s="482"/>
      <c r="BW2017" s="482"/>
      <c r="BX2017" s="482"/>
      <c r="BY2017" s="482"/>
      <c r="BZ2017" s="483"/>
      <c r="CA2017" s="270"/>
      <c r="CB2017" s="3" t="str">
        <f t="shared" si="335"/>
        <v>Riadok bude skrytý.</v>
      </c>
      <c r="CC2017" s="271" t="s">
        <v>832</v>
      </c>
      <c r="CW2017" s="30">
        <f t="shared" si="337"/>
        <v>1</v>
      </c>
      <c r="CX2017" s="30">
        <f t="shared" si="338"/>
        <v>1</v>
      </c>
      <c r="CZ2017" s="30">
        <f t="shared" si="333"/>
        <v>1</v>
      </c>
      <c r="DA2017" s="52">
        <f t="shared" si="339"/>
        <v>1</v>
      </c>
      <c r="DB2017" s="2">
        <f t="shared" si="340"/>
        <v>0</v>
      </c>
      <c r="DS2017" s="130">
        <f>SI!BY2017</f>
        <v>95</v>
      </c>
      <c r="DZ2017" s="131">
        <f>SI!BZ2017</f>
        <v>0</v>
      </c>
    </row>
    <row r="2018" spans="1:130" hidden="1" x14ac:dyDescent="0.25">
      <c r="A2018" s="141"/>
      <c r="B2018" s="680" t="s">
        <v>253</v>
      </c>
      <c r="C2018" s="681"/>
      <c r="D2018" s="681"/>
      <c r="E2018" s="681"/>
      <c r="F2018" s="681"/>
      <c r="G2018" s="681"/>
      <c r="H2018" s="681"/>
      <c r="I2018" s="681"/>
      <c r="J2018" s="681"/>
      <c r="K2018" s="681"/>
      <c r="L2018" s="681"/>
      <c r="M2018" s="681"/>
      <c r="N2018" s="681"/>
      <c r="O2018" s="681"/>
      <c r="P2018" s="681"/>
      <c r="Q2018" s="681"/>
      <c r="R2018" s="681"/>
      <c r="S2018" s="681"/>
      <c r="T2018" s="681"/>
      <c r="U2018" s="681"/>
      <c r="V2018" s="681"/>
      <c r="W2018" s="681"/>
      <c r="X2018" s="681"/>
      <c r="Y2018" s="681"/>
      <c r="Z2018" s="681"/>
      <c r="AA2018" s="681"/>
      <c r="AB2018" s="681"/>
      <c r="AC2018" s="681"/>
      <c r="AD2018" s="681"/>
      <c r="AE2018" s="681"/>
      <c r="AF2018" s="681"/>
      <c r="AG2018" s="681"/>
      <c r="AH2018" s="681"/>
      <c r="AI2018" s="681"/>
      <c r="AJ2018" s="681"/>
      <c r="AK2018" s="681"/>
      <c r="AL2018" s="681"/>
      <c r="AM2018" s="681"/>
      <c r="AN2018" s="681"/>
      <c r="AO2018" s="681"/>
      <c r="AP2018" s="681"/>
      <c r="AQ2018" s="681"/>
      <c r="AR2018" s="681"/>
      <c r="AS2018" s="681"/>
      <c r="AT2018" s="681"/>
      <c r="AU2018" s="681"/>
      <c r="AV2018" s="681"/>
      <c r="AW2018" s="681"/>
      <c r="AX2018" s="681"/>
      <c r="AY2018" s="681"/>
      <c r="AZ2018" s="681"/>
      <c r="BA2018" s="681"/>
      <c r="BB2018" s="511"/>
      <c r="BC2018" s="482"/>
      <c r="BD2018" s="482"/>
      <c r="BE2018" s="482"/>
      <c r="BF2018" s="482"/>
      <c r="BG2018" s="482"/>
      <c r="BH2018" s="482"/>
      <c r="BI2018" s="482"/>
      <c r="BJ2018" s="482"/>
      <c r="BK2018" s="482"/>
      <c r="BL2018" s="482"/>
      <c r="BM2018" s="482"/>
      <c r="BN2018" s="482"/>
      <c r="BO2018" s="482"/>
      <c r="BP2018" s="482"/>
      <c r="BQ2018" s="482"/>
      <c r="BR2018" s="482"/>
      <c r="BS2018" s="482"/>
      <c r="BT2018" s="482"/>
      <c r="BU2018" s="482"/>
      <c r="BV2018" s="482"/>
      <c r="BW2018" s="482"/>
      <c r="BX2018" s="482"/>
      <c r="BY2018" s="482"/>
      <c r="BZ2018" s="483"/>
      <c r="CA2018" s="270"/>
      <c r="CB2018" s="3" t="str">
        <f t="shared" si="335"/>
        <v>Riadok bude skrytý.</v>
      </c>
      <c r="CC2018" s="271" t="s">
        <v>832</v>
      </c>
      <c r="CW2018" s="30">
        <f t="shared" si="337"/>
        <v>1</v>
      </c>
      <c r="CX2018" s="30">
        <f t="shared" si="338"/>
        <v>1</v>
      </c>
      <c r="CZ2018" s="30">
        <f t="shared" si="333"/>
        <v>1</v>
      </c>
      <c r="DA2018" s="52">
        <f t="shared" si="339"/>
        <v>1</v>
      </c>
      <c r="DB2018" s="2">
        <f t="shared" si="340"/>
        <v>0</v>
      </c>
      <c r="DS2018" s="130">
        <f>SI!BY2018</f>
        <v>98</v>
      </c>
      <c r="DZ2018" s="131">
        <f>SI!BZ2018</f>
        <v>0</v>
      </c>
    </row>
    <row r="2019" spans="1:130" hidden="1" x14ac:dyDescent="0.25">
      <c r="A2019" s="141"/>
      <c r="B2019" s="1214" t="s">
        <v>254</v>
      </c>
      <c r="C2019" s="1215"/>
      <c r="D2019" s="1215"/>
      <c r="E2019" s="1215"/>
      <c r="F2019" s="1215"/>
      <c r="G2019" s="1215"/>
      <c r="H2019" s="1215"/>
      <c r="I2019" s="1215"/>
      <c r="J2019" s="1215"/>
      <c r="K2019" s="1215"/>
      <c r="L2019" s="1215"/>
      <c r="M2019" s="1215"/>
      <c r="N2019" s="1215"/>
      <c r="O2019" s="1215"/>
      <c r="P2019" s="1215"/>
      <c r="Q2019" s="1215"/>
      <c r="R2019" s="1215"/>
      <c r="S2019" s="1215"/>
      <c r="T2019" s="1215"/>
      <c r="U2019" s="1215"/>
      <c r="V2019" s="1215"/>
      <c r="W2019" s="1215"/>
      <c r="X2019" s="1215"/>
      <c r="Y2019" s="1215"/>
      <c r="Z2019" s="1215"/>
      <c r="AA2019" s="1215"/>
      <c r="AB2019" s="1215"/>
      <c r="AC2019" s="1215"/>
      <c r="AD2019" s="1215"/>
      <c r="AE2019" s="1215"/>
      <c r="AF2019" s="1215"/>
      <c r="AG2019" s="1215"/>
      <c r="AH2019" s="1215"/>
      <c r="AI2019" s="1215"/>
      <c r="AJ2019" s="1215"/>
      <c r="AK2019" s="1215"/>
      <c r="AL2019" s="1215"/>
      <c r="AM2019" s="1215"/>
      <c r="AN2019" s="1215"/>
      <c r="AO2019" s="1215"/>
      <c r="AP2019" s="1215"/>
      <c r="AQ2019" s="1215"/>
      <c r="AR2019" s="1215"/>
      <c r="AS2019" s="1215"/>
      <c r="AT2019" s="1215"/>
      <c r="AU2019" s="1215"/>
      <c r="AV2019" s="1215"/>
      <c r="AW2019" s="1215"/>
      <c r="AX2019" s="1215"/>
      <c r="AY2019" s="1215"/>
      <c r="AZ2019" s="1215"/>
      <c r="BA2019" s="1215"/>
      <c r="BB2019" s="420"/>
      <c r="BC2019" s="421"/>
      <c r="BD2019" s="421"/>
      <c r="BE2019" s="421"/>
      <c r="BF2019" s="421"/>
      <c r="BG2019" s="421"/>
      <c r="BH2019" s="421"/>
      <c r="BI2019" s="421"/>
      <c r="BJ2019" s="421"/>
      <c r="BK2019" s="421"/>
      <c r="BL2019" s="421"/>
      <c r="BM2019" s="421"/>
      <c r="BN2019" s="421"/>
      <c r="BO2019" s="421"/>
      <c r="BP2019" s="421"/>
      <c r="BQ2019" s="421"/>
      <c r="BR2019" s="421"/>
      <c r="BS2019" s="421"/>
      <c r="BT2019" s="421"/>
      <c r="BU2019" s="421"/>
      <c r="BV2019" s="421"/>
      <c r="BW2019" s="421"/>
      <c r="BX2019" s="421"/>
      <c r="BY2019" s="421"/>
      <c r="BZ2019" s="422"/>
      <c r="CA2019" s="270"/>
      <c r="CB2019" s="3" t="str">
        <f t="shared" si="335"/>
        <v>Riadok bude skrytý.</v>
      </c>
      <c r="CC2019" s="271" t="s">
        <v>832</v>
      </c>
      <c r="CW2019" s="30">
        <f t="shared" si="337"/>
        <v>1</v>
      </c>
      <c r="CX2019" s="30">
        <f t="shared" si="338"/>
        <v>1</v>
      </c>
      <c r="CZ2019" s="30">
        <f t="shared" si="333"/>
        <v>1</v>
      </c>
      <c r="DA2019" s="52">
        <f t="shared" si="339"/>
        <v>1</v>
      </c>
      <c r="DB2019" s="2">
        <f t="shared" si="340"/>
        <v>0</v>
      </c>
      <c r="DS2019" s="130">
        <f>SI!BY2019</f>
        <v>3</v>
      </c>
      <c r="DZ2019" s="131">
        <f>SI!BZ2019</f>
        <v>0</v>
      </c>
    </row>
    <row r="2020" spans="1:130" hidden="1" x14ac:dyDescent="0.25">
      <c r="A2020" s="141"/>
      <c r="B2020" s="579" t="s">
        <v>45</v>
      </c>
      <c r="C2020" s="580"/>
      <c r="D2020" s="580"/>
      <c r="E2020" s="580"/>
      <c r="F2020" s="580"/>
      <c r="G2020" s="580"/>
      <c r="H2020" s="580"/>
      <c r="I2020" s="580"/>
      <c r="J2020" s="580"/>
      <c r="K2020" s="580"/>
      <c r="L2020" s="580"/>
      <c r="M2020" s="580"/>
      <c r="N2020" s="580"/>
      <c r="O2020" s="580"/>
      <c r="P2020" s="580"/>
      <c r="Q2020" s="580"/>
      <c r="R2020" s="580"/>
      <c r="S2020" s="580"/>
      <c r="T2020" s="580"/>
      <c r="U2020" s="580"/>
      <c r="V2020" s="580"/>
      <c r="W2020" s="580"/>
      <c r="X2020" s="580"/>
      <c r="Y2020" s="580"/>
      <c r="Z2020" s="580"/>
      <c r="AA2020" s="580"/>
      <c r="AB2020" s="580"/>
      <c r="AC2020" s="580"/>
      <c r="AD2020" s="580"/>
      <c r="AE2020" s="580"/>
      <c r="AF2020" s="580"/>
      <c r="AG2020" s="580"/>
      <c r="AH2020" s="580"/>
      <c r="AI2020" s="580"/>
      <c r="AJ2020" s="580"/>
      <c r="AK2020" s="580"/>
      <c r="AL2020" s="580"/>
      <c r="AM2020" s="580"/>
      <c r="AN2020" s="580"/>
      <c r="AO2020" s="580"/>
      <c r="AP2020" s="580"/>
      <c r="AQ2020" s="580"/>
      <c r="AR2020" s="580"/>
      <c r="AS2020" s="580"/>
      <c r="AT2020" s="580"/>
      <c r="AU2020" s="580"/>
      <c r="AV2020" s="580"/>
      <c r="AW2020" s="580"/>
      <c r="AX2020" s="580"/>
      <c r="AY2020" s="580"/>
      <c r="AZ2020" s="580"/>
      <c r="BA2020" s="580"/>
      <c r="BB2020" s="423">
        <f>+SUM(BB2012:BZ2019)</f>
        <v>0</v>
      </c>
      <c r="BC2020" s="424"/>
      <c r="BD2020" s="424"/>
      <c r="BE2020" s="424"/>
      <c r="BF2020" s="424"/>
      <c r="BG2020" s="424"/>
      <c r="BH2020" s="424"/>
      <c r="BI2020" s="424"/>
      <c r="BJ2020" s="424"/>
      <c r="BK2020" s="424"/>
      <c r="BL2020" s="424"/>
      <c r="BM2020" s="424"/>
      <c r="BN2020" s="424"/>
      <c r="BO2020" s="424"/>
      <c r="BP2020" s="424"/>
      <c r="BQ2020" s="424"/>
      <c r="BR2020" s="424"/>
      <c r="BS2020" s="424"/>
      <c r="BT2020" s="424"/>
      <c r="BU2020" s="424"/>
      <c r="BV2020" s="424"/>
      <c r="BW2020" s="424"/>
      <c r="BX2020" s="424"/>
      <c r="BY2020" s="424"/>
      <c r="BZ2020" s="425"/>
      <c r="CA2020" s="270"/>
      <c r="CB2020" s="3" t="str">
        <f t="shared" si="335"/>
        <v>Riadok bude skrytý.</v>
      </c>
      <c r="CC2020" s="271" t="s">
        <v>832</v>
      </c>
      <c r="CD2020" s="4" t="str">
        <f>+IF(BB2010-BB2020&lt;&gt;0,"POZOR ! Je tam rozdiel.","Rozdelenie - OK")</f>
        <v>Rozdelenie - OK</v>
      </c>
      <c r="CW2020" s="30">
        <f t="shared" si="337"/>
        <v>1</v>
      </c>
      <c r="CX2020" s="30">
        <f t="shared" si="338"/>
        <v>1</v>
      </c>
      <c r="CZ2020" s="30">
        <f t="shared" si="333"/>
        <v>1</v>
      </c>
      <c r="DA2020" s="52">
        <f t="shared" si="339"/>
        <v>1</v>
      </c>
      <c r="DB2020" s="2">
        <f t="shared" si="340"/>
        <v>0</v>
      </c>
      <c r="DS2020" s="130">
        <f>SI!BY2020</f>
        <v>526</v>
      </c>
      <c r="DZ2020" s="131">
        <f>SI!BZ2020</f>
        <v>0</v>
      </c>
    </row>
    <row r="2021" spans="1:130" hidden="1" x14ac:dyDescent="0.25">
      <c r="A2021" s="141"/>
      <c r="CA2021" s="270"/>
      <c r="CB2021" s="3" t="str">
        <f t="shared" si="335"/>
        <v>Riadok bude skrytý.</v>
      </c>
      <c r="CC2021" s="271" t="s">
        <v>832</v>
      </c>
      <c r="CW2021" s="30">
        <f t="shared" si="337"/>
        <v>1</v>
      </c>
      <c r="CX2021" s="30">
        <f t="shared" si="338"/>
        <v>1</v>
      </c>
      <c r="CZ2021" s="30">
        <f t="shared" si="333"/>
        <v>1</v>
      </c>
      <c r="DA2021" s="52">
        <f t="shared" si="339"/>
        <v>1</v>
      </c>
      <c r="DB2021" s="2">
        <f t="shared" si="340"/>
        <v>0</v>
      </c>
      <c r="DS2021" s="130">
        <f>SI!BY2021</f>
        <v>199</v>
      </c>
      <c r="DZ2021" s="131">
        <f>SI!BZ2021</f>
        <v>0</v>
      </c>
    </row>
    <row r="2022" spans="1:130" hidden="1" x14ac:dyDescent="0.25">
      <c r="A2022" s="141"/>
      <c r="B2022" s="286" t="str">
        <f>+IF($U$52&lt;&gt;"",IF((ROUNDDOWN(CODE(MID($U$52,1,1)),0)-(BIN2DEC(1010)/10))*0+(LEN(SI!J2)+LEN(SI!J5))=DS2022,IF(AW2005="účtovnou stratou.","Údaje o vysporiadaní straty predošlého účtovného obdobia sú uvedené v tabuľke:",""),"NEPOVOLENÉ POUŽITIE!"),"NEPOVOLENÉ POUŽITIE!")</f>
        <v/>
      </c>
      <c r="CA2022" s="265" t="s">
        <v>773</v>
      </c>
      <c r="CB2022" s="3" t="str">
        <f t="shared" si="335"/>
        <v>Riadok bude skrytý.</v>
      </c>
      <c r="CC2022" s="271" t="s">
        <v>832</v>
      </c>
      <c r="CW2022" s="30">
        <f t="shared" si="337"/>
        <v>1</v>
      </c>
      <c r="CX2022" s="30">
        <f t="shared" ref="CX2022:CX2034" si="341">+IF($AW$2005="účtovným ziskom.",0,1)</f>
        <v>0</v>
      </c>
      <c r="CZ2022" s="30">
        <f t="shared" si="333"/>
        <v>1</v>
      </c>
      <c r="DA2022" s="52">
        <f t="shared" si="339"/>
        <v>0</v>
      </c>
      <c r="DB2022" s="2">
        <f t="shared" si="340"/>
        <v>0</v>
      </c>
      <c r="DS2022" s="130">
        <f>SI!BY2022</f>
        <v>28</v>
      </c>
      <c r="DZ2022" s="131">
        <f>SI!BZ2022</f>
        <v>0</v>
      </c>
    </row>
    <row r="2023" spans="1:130" hidden="1" x14ac:dyDescent="0.25">
      <c r="A2023" s="141"/>
      <c r="CA2023" s="270"/>
      <c r="CB2023" s="3" t="str">
        <f t="shared" si="335"/>
        <v>Riadok bude skrytý.</v>
      </c>
      <c r="CC2023" s="271" t="s">
        <v>832</v>
      </c>
      <c r="CW2023" s="30">
        <f t="shared" si="337"/>
        <v>1</v>
      </c>
      <c r="CX2023" s="30">
        <f t="shared" si="341"/>
        <v>0</v>
      </c>
      <c r="CZ2023" s="30">
        <f t="shared" si="333"/>
        <v>1</v>
      </c>
      <c r="DA2023" s="52">
        <f t="shared" si="339"/>
        <v>0</v>
      </c>
      <c r="DB2023" s="2">
        <f t="shared" si="340"/>
        <v>0</v>
      </c>
      <c r="DS2023" s="130">
        <f>SI!BY2023</f>
        <v>182</v>
      </c>
      <c r="DZ2023" s="131">
        <f>SI!BZ2023</f>
        <v>0</v>
      </c>
    </row>
    <row r="2024" spans="1:130" ht="14.95" hidden="1" customHeight="1" x14ac:dyDescent="0.25">
      <c r="A2024" s="141"/>
      <c r="B2024" s="659" t="s">
        <v>171</v>
      </c>
      <c r="C2024" s="660"/>
      <c r="D2024" s="660"/>
      <c r="E2024" s="660"/>
      <c r="F2024" s="660"/>
      <c r="G2024" s="660"/>
      <c r="H2024" s="660"/>
      <c r="I2024" s="660"/>
      <c r="J2024" s="660"/>
      <c r="K2024" s="660"/>
      <c r="L2024" s="660"/>
      <c r="M2024" s="660"/>
      <c r="N2024" s="660"/>
      <c r="O2024" s="660"/>
      <c r="P2024" s="660"/>
      <c r="Q2024" s="660"/>
      <c r="R2024" s="660"/>
      <c r="S2024" s="660"/>
      <c r="T2024" s="660"/>
      <c r="U2024" s="660"/>
      <c r="V2024" s="660"/>
      <c r="W2024" s="660"/>
      <c r="X2024" s="660"/>
      <c r="Y2024" s="660"/>
      <c r="Z2024" s="660"/>
      <c r="AA2024" s="660"/>
      <c r="AB2024" s="660"/>
      <c r="AC2024" s="660"/>
      <c r="AD2024" s="660"/>
      <c r="AE2024" s="660"/>
      <c r="AF2024" s="660"/>
      <c r="AG2024" s="660"/>
      <c r="AH2024" s="660"/>
      <c r="AI2024" s="660"/>
      <c r="AJ2024" s="660"/>
      <c r="AK2024" s="660"/>
      <c r="AL2024" s="660"/>
      <c r="AM2024" s="660"/>
      <c r="AN2024" s="660"/>
      <c r="AO2024" s="660"/>
      <c r="AP2024" s="660"/>
      <c r="AQ2024" s="660"/>
      <c r="AR2024" s="660"/>
      <c r="AS2024" s="660"/>
      <c r="AT2024" s="660"/>
      <c r="AU2024" s="660"/>
      <c r="AV2024" s="660"/>
      <c r="AW2024" s="660"/>
      <c r="AX2024" s="660"/>
      <c r="AY2024" s="660"/>
      <c r="AZ2024" s="660"/>
      <c r="BA2024" s="660"/>
      <c r="BB2024" s="636" t="s">
        <v>949</v>
      </c>
      <c r="BC2024" s="637"/>
      <c r="BD2024" s="637"/>
      <c r="BE2024" s="637"/>
      <c r="BF2024" s="637"/>
      <c r="BG2024" s="637"/>
      <c r="BH2024" s="637"/>
      <c r="BI2024" s="637"/>
      <c r="BJ2024" s="637"/>
      <c r="BK2024" s="637"/>
      <c r="BL2024" s="637"/>
      <c r="BM2024" s="637"/>
      <c r="BN2024" s="637"/>
      <c r="BO2024" s="637"/>
      <c r="BP2024" s="637"/>
      <c r="BQ2024" s="637"/>
      <c r="BR2024" s="637"/>
      <c r="BS2024" s="637"/>
      <c r="BT2024" s="637"/>
      <c r="BU2024" s="637"/>
      <c r="BV2024" s="637"/>
      <c r="BW2024" s="637"/>
      <c r="BX2024" s="637"/>
      <c r="BY2024" s="637"/>
      <c r="BZ2024" s="638"/>
      <c r="CA2024" s="265" t="s">
        <v>773</v>
      </c>
      <c r="CB2024" s="3" t="str">
        <f t="shared" si="335"/>
        <v>Riadok bude skrytý.</v>
      </c>
      <c r="CC2024" s="271" t="s">
        <v>832</v>
      </c>
      <c r="CD2024" s="4"/>
      <c r="CW2024" s="30">
        <f t="shared" si="337"/>
        <v>1</v>
      </c>
      <c r="CX2024" s="30">
        <f t="shared" si="341"/>
        <v>0</v>
      </c>
      <c r="CZ2024" s="30">
        <f t="shared" si="333"/>
        <v>1</v>
      </c>
      <c r="DA2024" s="52">
        <f t="shared" si="339"/>
        <v>0</v>
      </c>
      <c r="DB2024" s="2">
        <f t="shared" si="340"/>
        <v>0</v>
      </c>
      <c r="DS2024" s="130">
        <f>SI!BY2024</f>
        <v>167</v>
      </c>
      <c r="DZ2024" s="131">
        <f>SI!BZ2024</f>
        <v>0</v>
      </c>
    </row>
    <row r="2025" spans="1:130" hidden="1" x14ac:dyDescent="0.25">
      <c r="A2025" s="141"/>
      <c r="B2025" s="661"/>
      <c r="C2025" s="662"/>
      <c r="D2025" s="662"/>
      <c r="E2025" s="662"/>
      <c r="F2025" s="662"/>
      <c r="G2025" s="662"/>
      <c r="H2025" s="662"/>
      <c r="I2025" s="662"/>
      <c r="J2025" s="662"/>
      <c r="K2025" s="662"/>
      <c r="L2025" s="662"/>
      <c r="M2025" s="662"/>
      <c r="N2025" s="662"/>
      <c r="O2025" s="662"/>
      <c r="P2025" s="662"/>
      <c r="Q2025" s="662"/>
      <c r="R2025" s="662"/>
      <c r="S2025" s="662"/>
      <c r="T2025" s="662"/>
      <c r="U2025" s="662"/>
      <c r="V2025" s="662"/>
      <c r="W2025" s="662"/>
      <c r="X2025" s="662"/>
      <c r="Y2025" s="662"/>
      <c r="Z2025" s="662"/>
      <c r="AA2025" s="662"/>
      <c r="AB2025" s="662"/>
      <c r="AC2025" s="662"/>
      <c r="AD2025" s="662"/>
      <c r="AE2025" s="662"/>
      <c r="AF2025" s="662"/>
      <c r="AG2025" s="662"/>
      <c r="AH2025" s="662"/>
      <c r="AI2025" s="662"/>
      <c r="AJ2025" s="662"/>
      <c r="AK2025" s="662"/>
      <c r="AL2025" s="662"/>
      <c r="AM2025" s="662"/>
      <c r="AN2025" s="662"/>
      <c r="AO2025" s="662"/>
      <c r="AP2025" s="662"/>
      <c r="AQ2025" s="662"/>
      <c r="AR2025" s="662"/>
      <c r="AS2025" s="662"/>
      <c r="AT2025" s="662"/>
      <c r="AU2025" s="662"/>
      <c r="AV2025" s="662"/>
      <c r="AW2025" s="662"/>
      <c r="AX2025" s="662"/>
      <c r="AY2025" s="662"/>
      <c r="AZ2025" s="662"/>
      <c r="BA2025" s="662"/>
      <c r="BB2025" s="495">
        <f>+BE141</f>
        <v>2020</v>
      </c>
      <c r="BC2025" s="496"/>
      <c r="BD2025" s="496"/>
      <c r="BE2025" s="496"/>
      <c r="BF2025" s="496"/>
      <c r="BG2025" s="496"/>
      <c r="BH2025" s="496"/>
      <c r="BI2025" s="496"/>
      <c r="BJ2025" s="496"/>
      <c r="BK2025" s="496"/>
      <c r="BL2025" s="496"/>
      <c r="BM2025" s="496"/>
      <c r="BN2025" s="496"/>
      <c r="BO2025" s="496"/>
      <c r="BP2025" s="496"/>
      <c r="BQ2025" s="496"/>
      <c r="BR2025" s="496"/>
      <c r="BS2025" s="496"/>
      <c r="BT2025" s="496"/>
      <c r="BU2025" s="496"/>
      <c r="BV2025" s="496"/>
      <c r="BW2025" s="496"/>
      <c r="BX2025" s="496"/>
      <c r="BY2025" s="496"/>
      <c r="BZ2025" s="497"/>
      <c r="CA2025" s="270"/>
      <c r="CB2025" s="3" t="str">
        <f t="shared" si="335"/>
        <v>Riadok bude skrytý.</v>
      </c>
      <c r="CC2025" s="271" t="s">
        <v>832</v>
      </c>
      <c r="CW2025" s="30">
        <f t="shared" si="337"/>
        <v>1</v>
      </c>
      <c r="CX2025" s="30">
        <f t="shared" si="341"/>
        <v>0</v>
      </c>
      <c r="CZ2025" s="30">
        <f t="shared" si="333"/>
        <v>1</v>
      </c>
      <c r="DA2025" s="52">
        <f t="shared" si="339"/>
        <v>0</v>
      </c>
      <c r="DB2025" s="2">
        <f t="shared" si="340"/>
        <v>0</v>
      </c>
      <c r="DS2025" s="130">
        <f>SI!BY2025</f>
        <v>160</v>
      </c>
      <c r="DZ2025" s="131">
        <f>SI!BZ2025</f>
        <v>0</v>
      </c>
    </row>
    <row r="2026" spans="1:130" hidden="1" x14ac:dyDescent="0.25">
      <c r="A2026" s="141"/>
      <c r="B2026" s="579" t="s">
        <v>255</v>
      </c>
      <c r="C2026" s="580"/>
      <c r="D2026" s="580"/>
      <c r="E2026" s="580"/>
      <c r="F2026" s="580"/>
      <c r="G2026" s="580"/>
      <c r="H2026" s="580"/>
      <c r="I2026" s="580"/>
      <c r="J2026" s="580"/>
      <c r="K2026" s="580"/>
      <c r="L2026" s="580"/>
      <c r="M2026" s="580"/>
      <c r="N2026" s="580"/>
      <c r="O2026" s="580"/>
      <c r="P2026" s="580"/>
      <c r="Q2026" s="580"/>
      <c r="R2026" s="580"/>
      <c r="S2026" s="580"/>
      <c r="T2026" s="580"/>
      <c r="U2026" s="580"/>
      <c r="V2026" s="580"/>
      <c r="W2026" s="580"/>
      <c r="X2026" s="580"/>
      <c r="Y2026" s="580"/>
      <c r="Z2026" s="580"/>
      <c r="AA2026" s="580"/>
      <c r="AB2026" s="580"/>
      <c r="AC2026" s="580"/>
      <c r="AD2026" s="580"/>
      <c r="AE2026" s="580"/>
      <c r="AF2026" s="580"/>
      <c r="AG2026" s="580"/>
      <c r="AH2026" s="580"/>
      <c r="AI2026" s="580"/>
      <c r="AJ2026" s="580"/>
      <c r="AK2026" s="580"/>
      <c r="AL2026" s="580"/>
      <c r="AM2026" s="580"/>
      <c r="AN2026" s="580"/>
      <c r="AO2026" s="580"/>
      <c r="AP2026" s="580"/>
      <c r="AQ2026" s="580"/>
      <c r="AR2026" s="580"/>
      <c r="AS2026" s="580"/>
      <c r="AT2026" s="580"/>
      <c r="AU2026" s="580"/>
      <c r="AV2026" s="580"/>
      <c r="AW2026" s="580"/>
      <c r="AX2026" s="580"/>
      <c r="AY2026" s="580"/>
      <c r="AZ2026" s="580"/>
      <c r="BA2026" s="580"/>
      <c r="BB2026" s="472"/>
      <c r="BC2026" s="473"/>
      <c r="BD2026" s="473"/>
      <c r="BE2026" s="473"/>
      <c r="BF2026" s="473"/>
      <c r="BG2026" s="473"/>
      <c r="BH2026" s="473"/>
      <c r="BI2026" s="473"/>
      <c r="BJ2026" s="473"/>
      <c r="BK2026" s="473"/>
      <c r="BL2026" s="473"/>
      <c r="BM2026" s="473"/>
      <c r="BN2026" s="473"/>
      <c r="BO2026" s="473"/>
      <c r="BP2026" s="473"/>
      <c r="BQ2026" s="473"/>
      <c r="BR2026" s="473"/>
      <c r="BS2026" s="473"/>
      <c r="BT2026" s="473"/>
      <c r="BU2026" s="473"/>
      <c r="BV2026" s="473"/>
      <c r="BW2026" s="473"/>
      <c r="BX2026" s="473"/>
      <c r="BY2026" s="473"/>
      <c r="BZ2026" s="474"/>
      <c r="CA2026" s="270"/>
      <c r="CB2026" s="3" t="str">
        <f t="shared" si="335"/>
        <v>Riadok bude skrytý.</v>
      </c>
      <c r="CC2026" s="271" t="s">
        <v>832</v>
      </c>
      <c r="CW2026" s="30">
        <f t="shared" si="337"/>
        <v>1</v>
      </c>
      <c r="CX2026" s="30">
        <f t="shared" si="341"/>
        <v>0</v>
      </c>
      <c r="CZ2026" s="30">
        <f t="shared" si="333"/>
        <v>1</v>
      </c>
      <c r="DA2026" s="52">
        <f t="shared" si="339"/>
        <v>0</v>
      </c>
      <c r="DB2026" s="2">
        <f t="shared" si="340"/>
        <v>0</v>
      </c>
      <c r="DS2026" s="130">
        <f>SI!BY2026</f>
        <v>116</v>
      </c>
      <c r="DZ2026" s="131">
        <f>SI!BZ2026</f>
        <v>0</v>
      </c>
    </row>
    <row r="2027" spans="1:130" hidden="1" x14ac:dyDescent="0.25">
      <c r="A2027" s="141"/>
      <c r="B2027" s="579" t="s">
        <v>259</v>
      </c>
      <c r="C2027" s="580"/>
      <c r="D2027" s="580"/>
      <c r="E2027" s="580"/>
      <c r="F2027" s="580"/>
      <c r="G2027" s="580"/>
      <c r="H2027" s="580"/>
      <c r="I2027" s="580"/>
      <c r="J2027" s="580"/>
      <c r="K2027" s="580"/>
      <c r="L2027" s="580"/>
      <c r="M2027" s="580"/>
      <c r="N2027" s="580"/>
      <c r="O2027" s="580"/>
      <c r="P2027" s="580"/>
      <c r="Q2027" s="580"/>
      <c r="R2027" s="580"/>
      <c r="S2027" s="580"/>
      <c r="T2027" s="580"/>
      <c r="U2027" s="580"/>
      <c r="V2027" s="580"/>
      <c r="W2027" s="580"/>
      <c r="X2027" s="580"/>
      <c r="Y2027" s="580"/>
      <c r="Z2027" s="580"/>
      <c r="AA2027" s="580"/>
      <c r="AB2027" s="580"/>
      <c r="AC2027" s="580"/>
      <c r="AD2027" s="580"/>
      <c r="AE2027" s="580"/>
      <c r="AF2027" s="580"/>
      <c r="AG2027" s="580"/>
      <c r="AH2027" s="580"/>
      <c r="AI2027" s="580"/>
      <c r="AJ2027" s="580"/>
      <c r="AK2027" s="580"/>
      <c r="AL2027" s="580"/>
      <c r="AM2027" s="580"/>
      <c r="AN2027" s="580"/>
      <c r="AO2027" s="580"/>
      <c r="AP2027" s="580"/>
      <c r="AQ2027" s="580"/>
      <c r="AR2027" s="580"/>
      <c r="AS2027" s="580"/>
      <c r="AT2027" s="580"/>
      <c r="AU2027" s="580"/>
      <c r="AV2027" s="580"/>
      <c r="AW2027" s="580"/>
      <c r="AX2027" s="580"/>
      <c r="AY2027" s="580"/>
      <c r="AZ2027" s="580"/>
      <c r="BA2027" s="580"/>
      <c r="BB2027" s="445">
        <f>+AJ141</f>
        <v>2021</v>
      </c>
      <c r="BC2027" s="446"/>
      <c r="BD2027" s="446"/>
      <c r="BE2027" s="446"/>
      <c r="BF2027" s="446"/>
      <c r="BG2027" s="446"/>
      <c r="BH2027" s="446"/>
      <c r="BI2027" s="446"/>
      <c r="BJ2027" s="446"/>
      <c r="BK2027" s="446"/>
      <c r="BL2027" s="446"/>
      <c r="BM2027" s="446"/>
      <c r="BN2027" s="446"/>
      <c r="BO2027" s="446"/>
      <c r="BP2027" s="446"/>
      <c r="BQ2027" s="446"/>
      <c r="BR2027" s="446"/>
      <c r="BS2027" s="446"/>
      <c r="BT2027" s="446"/>
      <c r="BU2027" s="446"/>
      <c r="BV2027" s="446"/>
      <c r="BW2027" s="446"/>
      <c r="BX2027" s="446"/>
      <c r="BY2027" s="446"/>
      <c r="BZ2027" s="447"/>
      <c r="CA2027" s="270"/>
      <c r="CB2027" s="3" t="str">
        <f t="shared" si="335"/>
        <v>Riadok bude skrytý.</v>
      </c>
      <c r="CC2027" s="271" t="s">
        <v>832</v>
      </c>
      <c r="CW2027" s="30">
        <f t="shared" si="337"/>
        <v>1</v>
      </c>
      <c r="CX2027" s="30">
        <f t="shared" si="341"/>
        <v>0</v>
      </c>
      <c r="CZ2027" s="30">
        <f t="shared" ref="CZ2027:CZ2090" si="342">IF(CC2027="",1,IF(CC2027="Chcem skryť riadok.",0,1))</f>
        <v>1</v>
      </c>
      <c r="DA2027" s="52">
        <f t="shared" si="339"/>
        <v>0</v>
      </c>
      <c r="DB2027" s="2">
        <f t="shared" si="340"/>
        <v>0</v>
      </c>
      <c r="DS2027" s="130">
        <f>SI!BY2027</f>
        <v>1167</v>
      </c>
      <c r="DZ2027" s="131">
        <f>SI!BZ2027</f>
        <v>0</v>
      </c>
    </row>
    <row r="2028" spans="1:130" hidden="1" x14ac:dyDescent="0.25">
      <c r="A2028" s="141"/>
      <c r="B2028" s="672" t="s">
        <v>256</v>
      </c>
      <c r="C2028" s="673"/>
      <c r="D2028" s="673"/>
      <c r="E2028" s="673"/>
      <c r="F2028" s="673"/>
      <c r="G2028" s="673"/>
      <c r="H2028" s="673"/>
      <c r="I2028" s="673"/>
      <c r="J2028" s="673"/>
      <c r="K2028" s="673"/>
      <c r="L2028" s="673"/>
      <c r="M2028" s="673"/>
      <c r="N2028" s="673"/>
      <c r="O2028" s="673"/>
      <c r="P2028" s="673"/>
      <c r="Q2028" s="673"/>
      <c r="R2028" s="673"/>
      <c r="S2028" s="673"/>
      <c r="T2028" s="673"/>
      <c r="U2028" s="673"/>
      <c r="V2028" s="673"/>
      <c r="W2028" s="673"/>
      <c r="X2028" s="673"/>
      <c r="Y2028" s="673"/>
      <c r="Z2028" s="673"/>
      <c r="AA2028" s="673"/>
      <c r="AB2028" s="673"/>
      <c r="AC2028" s="673"/>
      <c r="AD2028" s="673"/>
      <c r="AE2028" s="673"/>
      <c r="AF2028" s="673"/>
      <c r="AG2028" s="673"/>
      <c r="AH2028" s="673"/>
      <c r="AI2028" s="673"/>
      <c r="AJ2028" s="673"/>
      <c r="AK2028" s="673"/>
      <c r="AL2028" s="673"/>
      <c r="AM2028" s="673"/>
      <c r="AN2028" s="673"/>
      <c r="AO2028" s="673"/>
      <c r="AP2028" s="673"/>
      <c r="AQ2028" s="673"/>
      <c r="AR2028" s="673"/>
      <c r="AS2028" s="673"/>
      <c r="AT2028" s="673"/>
      <c r="AU2028" s="673"/>
      <c r="AV2028" s="673"/>
      <c r="AW2028" s="673"/>
      <c r="AX2028" s="673"/>
      <c r="AY2028" s="673"/>
      <c r="AZ2028" s="673"/>
      <c r="BA2028" s="673"/>
      <c r="BB2028" s="1228"/>
      <c r="BC2028" s="503"/>
      <c r="BD2028" s="503"/>
      <c r="BE2028" s="503"/>
      <c r="BF2028" s="503"/>
      <c r="BG2028" s="503"/>
      <c r="BH2028" s="503"/>
      <c r="BI2028" s="503"/>
      <c r="BJ2028" s="503"/>
      <c r="BK2028" s="503"/>
      <c r="BL2028" s="503"/>
      <c r="BM2028" s="503"/>
      <c r="BN2028" s="503"/>
      <c r="BO2028" s="503"/>
      <c r="BP2028" s="503"/>
      <c r="BQ2028" s="503"/>
      <c r="BR2028" s="503"/>
      <c r="BS2028" s="503"/>
      <c r="BT2028" s="503"/>
      <c r="BU2028" s="503"/>
      <c r="BV2028" s="503"/>
      <c r="BW2028" s="503"/>
      <c r="BX2028" s="503"/>
      <c r="BY2028" s="503"/>
      <c r="BZ2028" s="504"/>
      <c r="CA2028" s="270"/>
      <c r="CB2028" s="3" t="str">
        <f t="shared" si="335"/>
        <v>Riadok bude skrytý.</v>
      </c>
      <c r="CC2028" s="271" t="s">
        <v>832</v>
      </c>
      <c r="CW2028" s="30">
        <f t="shared" si="337"/>
        <v>1</v>
      </c>
      <c r="CX2028" s="30">
        <f t="shared" si="341"/>
        <v>0</v>
      </c>
      <c r="CZ2028" s="30">
        <f t="shared" si="342"/>
        <v>1</v>
      </c>
      <c r="DA2028" s="52">
        <f t="shared" si="339"/>
        <v>0</v>
      </c>
      <c r="DB2028" s="2">
        <f t="shared" si="340"/>
        <v>0</v>
      </c>
      <c r="DS2028" s="130">
        <f>SI!BY2028</f>
        <v>165</v>
      </c>
      <c r="DZ2028" s="131">
        <f>SI!BZ2028</f>
        <v>0</v>
      </c>
    </row>
    <row r="2029" spans="1:130" hidden="1" x14ac:dyDescent="0.25">
      <c r="A2029" s="141"/>
      <c r="B2029" s="680" t="s">
        <v>257</v>
      </c>
      <c r="C2029" s="681"/>
      <c r="D2029" s="681"/>
      <c r="E2029" s="681"/>
      <c r="F2029" s="681"/>
      <c r="G2029" s="681"/>
      <c r="H2029" s="681"/>
      <c r="I2029" s="681"/>
      <c r="J2029" s="681"/>
      <c r="K2029" s="681"/>
      <c r="L2029" s="681"/>
      <c r="M2029" s="681"/>
      <c r="N2029" s="681"/>
      <c r="O2029" s="681"/>
      <c r="P2029" s="681"/>
      <c r="Q2029" s="681"/>
      <c r="R2029" s="681"/>
      <c r="S2029" s="681"/>
      <c r="T2029" s="681"/>
      <c r="U2029" s="681"/>
      <c r="V2029" s="681"/>
      <c r="W2029" s="681"/>
      <c r="X2029" s="681"/>
      <c r="Y2029" s="681"/>
      <c r="Z2029" s="681"/>
      <c r="AA2029" s="681"/>
      <c r="AB2029" s="681"/>
      <c r="AC2029" s="681"/>
      <c r="AD2029" s="681"/>
      <c r="AE2029" s="681"/>
      <c r="AF2029" s="681"/>
      <c r="AG2029" s="681"/>
      <c r="AH2029" s="681"/>
      <c r="AI2029" s="681"/>
      <c r="AJ2029" s="681"/>
      <c r="AK2029" s="681"/>
      <c r="AL2029" s="681"/>
      <c r="AM2029" s="681"/>
      <c r="AN2029" s="681"/>
      <c r="AO2029" s="681"/>
      <c r="AP2029" s="681"/>
      <c r="AQ2029" s="681"/>
      <c r="AR2029" s="681"/>
      <c r="AS2029" s="681"/>
      <c r="AT2029" s="681"/>
      <c r="AU2029" s="681"/>
      <c r="AV2029" s="681"/>
      <c r="AW2029" s="681"/>
      <c r="AX2029" s="681"/>
      <c r="AY2029" s="681"/>
      <c r="AZ2029" s="681"/>
      <c r="BA2029" s="681"/>
      <c r="BB2029" s="511"/>
      <c r="BC2029" s="482"/>
      <c r="BD2029" s="482"/>
      <c r="BE2029" s="482"/>
      <c r="BF2029" s="482"/>
      <c r="BG2029" s="482"/>
      <c r="BH2029" s="482"/>
      <c r="BI2029" s="482"/>
      <c r="BJ2029" s="482"/>
      <c r="BK2029" s="482"/>
      <c r="BL2029" s="482"/>
      <c r="BM2029" s="482"/>
      <c r="BN2029" s="482"/>
      <c r="BO2029" s="482"/>
      <c r="BP2029" s="482"/>
      <c r="BQ2029" s="482"/>
      <c r="BR2029" s="482"/>
      <c r="BS2029" s="482"/>
      <c r="BT2029" s="482"/>
      <c r="BU2029" s="482"/>
      <c r="BV2029" s="482"/>
      <c r="BW2029" s="482"/>
      <c r="BX2029" s="482"/>
      <c r="BY2029" s="482"/>
      <c r="BZ2029" s="483"/>
      <c r="CA2029" s="270"/>
      <c r="CB2029" s="3" t="str">
        <f t="shared" si="335"/>
        <v>Riadok bude skrytý.</v>
      </c>
      <c r="CC2029" s="271" t="s">
        <v>832</v>
      </c>
      <c r="CW2029" s="30">
        <f t="shared" si="337"/>
        <v>1</v>
      </c>
      <c r="CX2029" s="30">
        <f t="shared" si="341"/>
        <v>0</v>
      </c>
      <c r="CZ2029" s="30">
        <f t="shared" si="342"/>
        <v>1</v>
      </c>
      <c r="DA2029" s="52">
        <f t="shared" si="339"/>
        <v>0</v>
      </c>
      <c r="DB2029" s="2">
        <f t="shared" si="340"/>
        <v>0</v>
      </c>
      <c r="DS2029" s="130">
        <f>SI!BY2029</f>
        <v>959</v>
      </c>
      <c r="DZ2029" s="131">
        <f>SI!BZ2029</f>
        <v>0</v>
      </c>
    </row>
    <row r="2030" spans="1:130" hidden="1" x14ac:dyDescent="0.25">
      <c r="A2030" s="141"/>
      <c r="B2030" s="680" t="s">
        <v>258</v>
      </c>
      <c r="C2030" s="681"/>
      <c r="D2030" s="681"/>
      <c r="E2030" s="681"/>
      <c r="F2030" s="681"/>
      <c r="G2030" s="681"/>
      <c r="H2030" s="681"/>
      <c r="I2030" s="681"/>
      <c r="J2030" s="681"/>
      <c r="K2030" s="681"/>
      <c r="L2030" s="681"/>
      <c r="M2030" s="681"/>
      <c r="N2030" s="681"/>
      <c r="O2030" s="681"/>
      <c r="P2030" s="681"/>
      <c r="Q2030" s="681"/>
      <c r="R2030" s="681"/>
      <c r="S2030" s="681"/>
      <c r="T2030" s="681"/>
      <c r="U2030" s="681"/>
      <c r="V2030" s="681"/>
      <c r="W2030" s="681"/>
      <c r="X2030" s="681"/>
      <c r="Y2030" s="681"/>
      <c r="Z2030" s="681"/>
      <c r="AA2030" s="681"/>
      <c r="AB2030" s="681"/>
      <c r="AC2030" s="681"/>
      <c r="AD2030" s="681"/>
      <c r="AE2030" s="681"/>
      <c r="AF2030" s="681"/>
      <c r="AG2030" s="681"/>
      <c r="AH2030" s="681"/>
      <c r="AI2030" s="681"/>
      <c r="AJ2030" s="681"/>
      <c r="AK2030" s="681"/>
      <c r="AL2030" s="681"/>
      <c r="AM2030" s="681"/>
      <c r="AN2030" s="681"/>
      <c r="AO2030" s="681"/>
      <c r="AP2030" s="681"/>
      <c r="AQ2030" s="681"/>
      <c r="AR2030" s="681"/>
      <c r="AS2030" s="681"/>
      <c r="AT2030" s="681"/>
      <c r="AU2030" s="681"/>
      <c r="AV2030" s="681"/>
      <c r="AW2030" s="681"/>
      <c r="AX2030" s="681"/>
      <c r="AY2030" s="681"/>
      <c r="AZ2030" s="681"/>
      <c r="BA2030" s="681"/>
      <c r="BB2030" s="511"/>
      <c r="BC2030" s="482"/>
      <c r="BD2030" s="482"/>
      <c r="BE2030" s="482"/>
      <c r="BF2030" s="482"/>
      <c r="BG2030" s="482"/>
      <c r="BH2030" s="482"/>
      <c r="BI2030" s="482"/>
      <c r="BJ2030" s="482"/>
      <c r="BK2030" s="482"/>
      <c r="BL2030" s="482"/>
      <c r="BM2030" s="482"/>
      <c r="BN2030" s="482"/>
      <c r="BO2030" s="482"/>
      <c r="BP2030" s="482"/>
      <c r="BQ2030" s="482"/>
      <c r="BR2030" s="482"/>
      <c r="BS2030" s="482"/>
      <c r="BT2030" s="482"/>
      <c r="BU2030" s="482"/>
      <c r="BV2030" s="482"/>
      <c r="BW2030" s="482"/>
      <c r="BX2030" s="482"/>
      <c r="BY2030" s="482"/>
      <c r="BZ2030" s="483"/>
      <c r="CA2030" s="270"/>
      <c r="CB2030" s="3" t="str">
        <f t="shared" si="335"/>
        <v>Riadok bude skrytý.</v>
      </c>
      <c r="CC2030" s="271" t="s">
        <v>832</v>
      </c>
      <c r="CW2030" s="30">
        <f t="shared" si="337"/>
        <v>1</v>
      </c>
      <c r="CX2030" s="30">
        <f t="shared" si="341"/>
        <v>0</v>
      </c>
      <c r="CZ2030" s="30">
        <f t="shared" si="342"/>
        <v>1</v>
      </c>
      <c r="DA2030" s="52">
        <f t="shared" si="339"/>
        <v>0</v>
      </c>
      <c r="DB2030" s="2">
        <f t="shared" si="340"/>
        <v>0</v>
      </c>
      <c r="DS2030" s="130">
        <f>SI!BY2030</f>
        <v>190</v>
      </c>
      <c r="DZ2030" s="131">
        <f>SI!BZ2030</f>
        <v>0</v>
      </c>
    </row>
    <row r="2031" spans="1:130" hidden="1" x14ac:dyDescent="0.25">
      <c r="A2031" s="141"/>
      <c r="B2031" s="680" t="s">
        <v>952</v>
      </c>
      <c r="C2031" s="681"/>
      <c r="D2031" s="681"/>
      <c r="E2031" s="681"/>
      <c r="F2031" s="681"/>
      <c r="G2031" s="681"/>
      <c r="H2031" s="681"/>
      <c r="I2031" s="681"/>
      <c r="J2031" s="681"/>
      <c r="K2031" s="681"/>
      <c r="L2031" s="681"/>
      <c r="M2031" s="681"/>
      <c r="N2031" s="681"/>
      <c r="O2031" s="681"/>
      <c r="P2031" s="681"/>
      <c r="Q2031" s="681"/>
      <c r="R2031" s="681"/>
      <c r="S2031" s="681"/>
      <c r="T2031" s="681"/>
      <c r="U2031" s="681"/>
      <c r="V2031" s="681"/>
      <c r="W2031" s="681"/>
      <c r="X2031" s="681"/>
      <c r="Y2031" s="681"/>
      <c r="Z2031" s="681"/>
      <c r="AA2031" s="681"/>
      <c r="AB2031" s="681"/>
      <c r="AC2031" s="681"/>
      <c r="AD2031" s="681"/>
      <c r="AE2031" s="681"/>
      <c r="AF2031" s="681"/>
      <c r="AG2031" s="681"/>
      <c r="AH2031" s="681"/>
      <c r="AI2031" s="681"/>
      <c r="AJ2031" s="681"/>
      <c r="AK2031" s="681"/>
      <c r="AL2031" s="681"/>
      <c r="AM2031" s="681"/>
      <c r="AN2031" s="681"/>
      <c r="AO2031" s="681"/>
      <c r="AP2031" s="681"/>
      <c r="AQ2031" s="681"/>
      <c r="AR2031" s="681"/>
      <c r="AS2031" s="681"/>
      <c r="AT2031" s="681"/>
      <c r="AU2031" s="681"/>
      <c r="AV2031" s="681"/>
      <c r="AW2031" s="681"/>
      <c r="AX2031" s="681"/>
      <c r="AY2031" s="681"/>
      <c r="AZ2031" s="681"/>
      <c r="BA2031" s="681"/>
      <c r="BB2031" s="511"/>
      <c r="BC2031" s="482"/>
      <c r="BD2031" s="482"/>
      <c r="BE2031" s="482"/>
      <c r="BF2031" s="482"/>
      <c r="BG2031" s="482"/>
      <c r="BH2031" s="482"/>
      <c r="BI2031" s="482"/>
      <c r="BJ2031" s="482"/>
      <c r="BK2031" s="482"/>
      <c r="BL2031" s="482"/>
      <c r="BM2031" s="482"/>
      <c r="BN2031" s="482"/>
      <c r="BO2031" s="482"/>
      <c r="BP2031" s="482"/>
      <c r="BQ2031" s="482"/>
      <c r="BR2031" s="482"/>
      <c r="BS2031" s="482"/>
      <c r="BT2031" s="482"/>
      <c r="BU2031" s="482"/>
      <c r="BV2031" s="482"/>
      <c r="BW2031" s="482"/>
      <c r="BX2031" s="482"/>
      <c r="BY2031" s="482"/>
      <c r="BZ2031" s="483"/>
      <c r="CA2031" s="270"/>
      <c r="CB2031" s="3" t="str">
        <f t="shared" si="335"/>
        <v>Riadok bude skrytý.</v>
      </c>
      <c r="CC2031" s="271" t="s">
        <v>832</v>
      </c>
      <c r="CW2031" s="30">
        <f t="shared" si="337"/>
        <v>1</v>
      </c>
      <c r="CX2031" s="30">
        <f t="shared" si="341"/>
        <v>0</v>
      </c>
      <c r="CZ2031" s="30">
        <f t="shared" si="342"/>
        <v>1</v>
      </c>
      <c r="DA2031" s="52">
        <f t="shared" si="339"/>
        <v>0</v>
      </c>
      <c r="DB2031" s="2">
        <f t="shared" si="340"/>
        <v>0</v>
      </c>
      <c r="DS2031" s="130">
        <f>SI!BY2031</f>
        <v>519</v>
      </c>
      <c r="DZ2031" s="131">
        <f>SI!BZ2031</f>
        <v>0</v>
      </c>
    </row>
    <row r="2032" spans="1:130" hidden="1" x14ac:dyDescent="0.25">
      <c r="A2032" s="141"/>
      <c r="B2032" s="680" t="s">
        <v>953</v>
      </c>
      <c r="C2032" s="681"/>
      <c r="D2032" s="681"/>
      <c r="E2032" s="681"/>
      <c r="F2032" s="681"/>
      <c r="G2032" s="681"/>
      <c r="H2032" s="681"/>
      <c r="I2032" s="681"/>
      <c r="J2032" s="681"/>
      <c r="K2032" s="681"/>
      <c r="L2032" s="681"/>
      <c r="M2032" s="681"/>
      <c r="N2032" s="681"/>
      <c r="O2032" s="681"/>
      <c r="P2032" s="681"/>
      <c r="Q2032" s="681"/>
      <c r="R2032" s="681"/>
      <c r="S2032" s="681"/>
      <c r="T2032" s="681"/>
      <c r="U2032" s="681"/>
      <c r="V2032" s="681"/>
      <c r="W2032" s="681"/>
      <c r="X2032" s="681"/>
      <c r="Y2032" s="681"/>
      <c r="Z2032" s="681"/>
      <c r="AA2032" s="681"/>
      <c r="AB2032" s="681"/>
      <c r="AC2032" s="681"/>
      <c r="AD2032" s="681"/>
      <c r="AE2032" s="681"/>
      <c r="AF2032" s="681"/>
      <c r="AG2032" s="681"/>
      <c r="AH2032" s="681"/>
      <c r="AI2032" s="681"/>
      <c r="AJ2032" s="681"/>
      <c r="AK2032" s="681"/>
      <c r="AL2032" s="681"/>
      <c r="AM2032" s="681"/>
      <c r="AN2032" s="681"/>
      <c r="AO2032" s="681"/>
      <c r="AP2032" s="681"/>
      <c r="AQ2032" s="681"/>
      <c r="AR2032" s="681"/>
      <c r="AS2032" s="681"/>
      <c r="AT2032" s="681"/>
      <c r="AU2032" s="681"/>
      <c r="AV2032" s="681"/>
      <c r="AW2032" s="681"/>
      <c r="AX2032" s="681"/>
      <c r="AY2032" s="681"/>
      <c r="AZ2032" s="681"/>
      <c r="BA2032" s="681"/>
      <c r="BB2032" s="511"/>
      <c r="BC2032" s="482"/>
      <c r="BD2032" s="482"/>
      <c r="BE2032" s="482"/>
      <c r="BF2032" s="482"/>
      <c r="BG2032" s="482"/>
      <c r="BH2032" s="482"/>
      <c r="BI2032" s="482"/>
      <c r="BJ2032" s="482"/>
      <c r="BK2032" s="482"/>
      <c r="BL2032" s="482"/>
      <c r="BM2032" s="482"/>
      <c r="BN2032" s="482"/>
      <c r="BO2032" s="482"/>
      <c r="BP2032" s="482"/>
      <c r="BQ2032" s="482"/>
      <c r="BR2032" s="482"/>
      <c r="BS2032" s="482"/>
      <c r="BT2032" s="482"/>
      <c r="BU2032" s="482"/>
      <c r="BV2032" s="482"/>
      <c r="BW2032" s="482"/>
      <c r="BX2032" s="482"/>
      <c r="BY2032" s="482"/>
      <c r="BZ2032" s="483"/>
      <c r="CA2032" s="270"/>
      <c r="CB2032" s="3" t="str">
        <f t="shared" si="335"/>
        <v>Riadok bude skrytý.</v>
      </c>
      <c r="CC2032" s="271" t="s">
        <v>832</v>
      </c>
      <c r="CW2032" s="30">
        <f t="shared" si="337"/>
        <v>1</v>
      </c>
      <c r="CX2032" s="30">
        <f t="shared" si="341"/>
        <v>0</v>
      </c>
      <c r="CZ2032" s="30">
        <f t="shared" si="342"/>
        <v>1</v>
      </c>
      <c r="DA2032" s="52">
        <f t="shared" si="339"/>
        <v>0</v>
      </c>
      <c r="DB2032" s="2">
        <f t="shared" si="340"/>
        <v>0</v>
      </c>
      <c r="DS2032" s="130">
        <f>SI!BY2032</f>
        <v>197</v>
      </c>
      <c r="DZ2032" s="131">
        <f>SI!BZ2032</f>
        <v>0</v>
      </c>
    </row>
    <row r="2033" spans="1:130" hidden="1" x14ac:dyDescent="0.25">
      <c r="A2033" s="141"/>
      <c r="B2033" s="1214" t="s">
        <v>254</v>
      </c>
      <c r="C2033" s="1215"/>
      <c r="D2033" s="1215"/>
      <c r="E2033" s="1215"/>
      <c r="F2033" s="1215"/>
      <c r="G2033" s="1215"/>
      <c r="H2033" s="1215"/>
      <c r="I2033" s="1215"/>
      <c r="J2033" s="1215"/>
      <c r="K2033" s="1215"/>
      <c r="L2033" s="1215"/>
      <c r="M2033" s="1215"/>
      <c r="N2033" s="1215"/>
      <c r="O2033" s="1215"/>
      <c r="P2033" s="1215"/>
      <c r="Q2033" s="1215"/>
      <c r="R2033" s="1215"/>
      <c r="S2033" s="1215"/>
      <c r="T2033" s="1215"/>
      <c r="U2033" s="1215"/>
      <c r="V2033" s="1215"/>
      <c r="W2033" s="1215"/>
      <c r="X2033" s="1215"/>
      <c r="Y2033" s="1215"/>
      <c r="Z2033" s="1215"/>
      <c r="AA2033" s="1215"/>
      <c r="AB2033" s="1215"/>
      <c r="AC2033" s="1215"/>
      <c r="AD2033" s="1215"/>
      <c r="AE2033" s="1215"/>
      <c r="AF2033" s="1215"/>
      <c r="AG2033" s="1215"/>
      <c r="AH2033" s="1215"/>
      <c r="AI2033" s="1215"/>
      <c r="AJ2033" s="1215"/>
      <c r="AK2033" s="1215"/>
      <c r="AL2033" s="1215"/>
      <c r="AM2033" s="1215"/>
      <c r="AN2033" s="1215"/>
      <c r="AO2033" s="1215"/>
      <c r="AP2033" s="1215"/>
      <c r="AQ2033" s="1215"/>
      <c r="AR2033" s="1215"/>
      <c r="AS2033" s="1215"/>
      <c r="AT2033" s="1215"/>
      <c r="AU2033" s="1215"/>
      <c r="AV2033" s="1215"/>
      <c r="AW2033" s="1215"/>
      <c r="AX2033" s="1215"/>
      <c r="AY2033" s="1215"/>
      <c r="AZ2033" s="1215"/>
      <c r="BA2033" s="1215"/>
      <c r="BB2033" s="454"/>
      <c r="BC2033" s="455"/>
      <c r="BD2033" s="455"/>
      <c r="BE2033" s="455"/>
      <c r="BF2033" s="455"/>
      <c r="BG2033" s="455"/>
      <c r="BH2033" s="455"/>
      <c r="BI2033" s="455"/>
      <c r="BJ2033" s="455"/>
      <c r="BK2033" s="455"/>
      <c r="BL2033" s="455"/>
      <c r="BM2033" s="455"/>
      <c r="BN2033" s="455"/>
      <c r="BO2033" s="455"/>
      <c r="BP2033" s="455"/>
      <c r="BQ2033" s="455"/>
      <c r="BR2033" s="455"/>
      <c r="BS2033" s="455"/>
      <c r="BT2033" s="455"/>
      <c r="BU2033" s="455"/>
      <c r="BV2033" s="455"/>
      <c r="BW2033" s="455"/>
      <c r="BX2033" s="455"/>
      <c r="BY2033" s="455"/>
      <c r="BZ2033" s="456"/>
      <c r="CA2033" s="270"/>
      <c r="CB2033" s="3" t="str">
        <f t="shared" si="335"/>
        <v>Riadok bude skrytý.</v>
      </c>
      <c r="CC2033" s="271" t="s">
        <v>832</v>
      </c>
      <c r="CW2033" s="30">
        <f t="shared" si="337"/>
        <v>1</v>
      </c>
      <c r="CX2033" s="30">
        <f t="shared" si="341"/>
        <v>0</v>
      </c>
      <c r="CZ2033" s="30">
        <f t="shared" si="342"/>
        <v>1</v>
      </c>
      <c r="DA2033" s="52">
        <f t="shared" si="339"/>
        <v>0</v>
      </c>
      <c r="DB2033" s="2">
        <f t="shared" si="340"/>
        <v>0</v>
      </c>
      <c r="DS2033" s="130">
        <f>SI!BY2033</f>
        <v>941</v>
      </c>
      <c r="DZ2033" s="131">
        <f>SI!BZ2033</f>
        <v>0</v>
      </c>
    </row>
    <row r="2034" spans="1:130" hidden="1" x14ac:dyDescent="0.25">
      <c r="A2034" s="141"/>
      <c r="B2034" s="579" t="s">
        <v>45</v>
      </c>
      <c r="C2034" s="580"/>
      <c r="D2034" s="580"/>
      <c r="E2034" s="580"/>
      <c r="F2034" s="580"/>
      <c r="G2034" s="580"/>
      <c r="H2034" s="580"/>
      <c r="I2034" s="580"/>
      <c r="J2034" s="580"/>
      <c r="K2034" s="580"/>
      <c r="L2034" s="580"/>
      <c r="M2034" s="580"/>
      <c r="N2034" s="580"/>
      <c r="O2034" s="580"/>
      <c r="P2034" s="580"/>
      <c r="Q2034" s="580"/>
      <c r="R2034" s="580"/>
      <c r="S2034" s="580"/>
      <c r="T2034" s="580"/>
      <c r="U2034" s="580"/>
      <c r="V2034" s="580"/>
      <c r="W2034" s="580"/>
      <c r="X2034" s="580"/>
      <c r="Y2034" s="580"/>
      <c r="Z2034" s="580"/>
      <c r="AA2034" s="580"/>
      <c r="AB2034" s="580"/>
      <c r="AC2034" s="580"/>
      <c r="AD2034" s="580"/>
      <c r="AE2034" s="580"/>
      <c r="AF2034" s="580"/>
      <c r="AG2034" s="580"/>
      <c r="AH2034" s="580"/>
      <c r="AI2034" s="580"/>
      <c r="AJ2034" s="580"/>
      <c r="AK2034" s="580"/>
      <c r="AL2034" s="580"/>
      <c r="AM2034" s="580"/>
      <c r="AN2034" s="580"/>
      <c r="AO2034" s="580"/>
      <c r="AP2034" s="580"/>
      <c r="AQ2034" s="580"/>
      <c r="AR2034" s="580"/>
      <c r="AS2034" s="580"/>
      <c r="AT2034" s="580"/>
      <c r="AU2034" s="580"/>
      <c r="AV2034" s="580"/>
      <c r="AW2034" s="580"/>
      <c r="AX2034" s="580"/>
      <c r="AY2034" s="580"/>
      <c r="AZ2034" s="580"/>
      <c r="BA2034" s="580"/>
      <c r="BB2034" s="423">
        <f>+SUM(BB2028:BZ2033)</f>
        <v>0</v>
      </c>
      <c r="BC2034" s="424"/>
      <c r="BD2034" s="424"/>
      <c r="BE2034" s="424"/>
      <c r="BF2034" s="424"/>
      <c r="BG2034" s="424"/>
      <c r="BH2034" s="424"/>
      <c r="BI2034" s="424"/>
      <c r="BJ2034" s="424"/>
      <c r="BK2034" s="424"/>
      <c r="BL2034" s="424"/>
      <c r="BM2034" s="424"/>
      <c r="BN2034" s="424"/>
      <c r="BO2034" s="424"/>
      <c r="BP2034" s="424"/>
      <c r="BQ2034" s="424"/>
      <c r="BR2034" s="424"/>
      <c r="BS2034" s="424"/>
      <c r="BT2034" s="424"/>
      <c r="BU2034" s="424"/>
      <c r="BV2034" s="424"/>
      <c r="BW2034" s="424"/>
      <c r="BX2034" s="424"/>
      <c r="BY2034" s="424"/>
      <c r="BZ2034" s="425"/>
      <c r="CA2034" s="270"/>
      <c r="CB2034" s="3" t="str">
        <f t="shared" si="335"/>
        <v>Riadok bude skrytý.</v>
      </c>
      <c r="CC2034" s="271" t="s">
        <v>832</v>
      </c>
      <c r="CD2034" s="4" t="str">
        <f>+IF(BK2026-BK2034&lt;&gt;0,"POZOR ! Je tam rozdiel.","Rozdelenie - OK")</f>
        <v>Rozdelenie - OK</v>
      </c>
      <c r="CW2034" s="30">
        <f t="shared" si="337"/>
        <v>1</v>
      </c>
      <c r="CX2034" s="30">
        <f t="shared" si="341"/>
        <v>0</v>
      </c>
      <c r="CZ2034" s="30">
        <f t="shared" si="342"/>
        <v>1</v>
      </c>
      <c r="DA2034" s="52">
        <f t="shared" si="339"/>
        <v>0</v>
      </c>
      <c r="DB2034" s="2">
        <f t="shared" si="340"/>
        <v>0</v>
      </c>
      <c r="DS2034" s="130">
        <f>SI!BY2034</f>
        <v>161</v>
      </c>
      <c r="DZ2034" s="131">
        <f>SI!BZ2034</f>
        <v>0</v>
      </c>
    </row>
    <row r="2035" spans="1:130" hidden="1" x14ac:dyDescent="0.25">
      <c r="A2035" s="141"/>
      <c r="B2035" s="7"/>
      <c r="G2035" s="7"/>
      <c r="H2035" s="7"/>
      <c r="CA2035" s="270"/>
      <c r="CB2035" s="3" t="str">
        <f t="shared" ref="CB2035:CB2098" si="343">+IF(DB2035=0,"Riadok bude skrytý.","Riadok bude vidieť.")</f>
        <v>Riadok bude skrytý.</v>
      </c>
      <c r="CC2035" s="271" t="s">
        <v>832</v>
      </c>
      <c r="CW2035" s="49">
        <v>1</v>
      </c>
      <c r="CX2035" s="32"/>
      <c r="CY2035" s="41"/>
      <c r="CZ2035" s="30">
        <f t="shared" si="342"/>
        <v>1</v>
      </c>
      <c r="DA2035" s="30">
        <f t="shared" ref="DA2035:DA2069" si="344">+IF(CW2035+CX2035+CY2035=0,0,IF(CZ2035=0,0,1))</f>
        <v>1</v>
      </c>
      <c r="DB2035" s="2">
        <f t="shared" si="340"/>
        <v>0</v>
      </c>
      <c r="DS2035" s="130">
        <f>SI!BY2035</f>
        <v>186</v>
      </c>
      <c r="DZ2035" s="131">
        <f>SI!BZ2035</f>
        <v>0</v>
      </c>
    </row>
    <row r="2036" spans="1:130" hidden="1" x14ac:dyDescent="0.25">
      <c r="A2036" s="141"/>
      <c r="B2036" s="286" t="str">
        <f>+IF($O$52&lt;&gt;"",IF(CODE(MID($O$52,1,1))*(IF(SI!EE2036="",1,SI!EE2036-1))+ROUNDDOWN(LEN(SI!J5)/2,0)=DS2036,"Spoločnosť v bežnom účtovnom období hospodárila s","NEPOVOLENÉ POUŽITIE!"),"NEPOVOLENÉ POUŽITIE!")</f>
        <v>Spoločnosť v bežnom účtovnom období hospodárila s</v>
      </c>
      <c r="G2036" s="7"/>
      <c r="H2036" s="7"/>
      <c r="AN2036" s="378" t="s">
        <v>875</v>
      </c>
      <c r="AO2036" s="378"/>
      <c r="AP2036" s="378"/>
      <c r="AQ2036" s="378"/>
      <c r="AR2036" s="378"/>
      <c r="AS2036" s="378"/>
      <c r="AT2036" s="378"/>
      <c r="AU2036" s="378"/>
      <c r="AV2036" s="378"/>
      <c r="AW2036" s="378"/>
      <c r="AX2036" s="378"/>
      <c r="AY2036" s="378"/>
      <c r="AZ2036" s="378"/>
      <c r="BA2036" s="378"/>
      <c r="BB2036" s="378"/>
      <c r="CA2036" s="265" t="s">
        <v>773</v>
      </c>
      <c r="CB2036" s="3" t="str">
        <f t="shared" si="343"/>
        <v>Riadok bude skrytý.</v>
      </c>
      <c r="CC2036" s="271" t="s">
        <v>832</v>
      </c>
      <c r="CW2036" s="49">
        <v>1</v>
      </c>
      <c r="CX2036" s="32"/>
      <c r="CY2036" s="41"/>
      <c r="CZ2036" s="30">
        <f t="shared" si="342"/>
        <v>1</v>
      </c>
      <c r="DA2036" s="30">
        <f t="shared" si="344"/>
        <v>1</v>
      </c>
      <c r="DB2036" s="2">
        <f t="shared" si="340"/>
        <v>0</v>
      </c>
      <c r="DS2036" s="130">
        <f>SI!BY2036</f>
        <v>7</v>
      </c>
      <c r="DZ2036" s="131">
        <f>SI!BZ2036</f>
        <v>0</v>
      </c>
    </row>
    <row r="2037" spans="1:130" hidden="1" x14ac:dyDescent="0.25">
      <c r="A2037" s="141"/>
      <c r="B2037" s="286" t="str">
        <f>+IF(AE121="fyzická","","O rozdelení hospodárskeho výsledku rozhodne valné zhromaždenie, je predpoklad, že:" )</f>
        <v>O rozdelení hospodárskeho výsledku rozhodne valné zhromaždenie, je predpoklad, že:</v>
      </c>
      <c r="G2037" s="7"/>
      <c r="H2037" s="7"/>
      <c r="CA2037" s="270"/>
      <c r="CB2037" s="3" t="str">
        <f t="shared" si="343"/>
        <v>Riadok bude skrytý.</v>
      </c>
      <c r="CC2037" s="271" t="s">
        <v>832</v>
      </c>
      <c r="CW2037" s="30">
        <f t="shared" ref="CW2037:CW2042" si="345">+IF($AE$121="fyzická",0,1)</f>
        <v>1</v>
      </c>
      <c r="CX2037" s="32">
        <f>+IF(B2038="",0,1)</f>
        <v>0</v>
      </c>
      <c r="CY2037" s="41"/>
      <c r="CZ2037" s="30">
        <f t="shared" si="342"/>
        <v>1</v>
      </c>
      <c r="DA2037" s="52">
        <f t="shared" ref="DA2037:DA2042" si="346">+IF(CW2037*CX2037=0,0,IF(CZ2037=0,0,1))</f>
        <v>0</v>
      </c>
      <c r="DB2037" s="2">
        <f t="shared" si="340"/>
        <v>0</v>
      </c>
      <c r="DS2037" s="130">
        <f>SI!BY2037</f>
        <v>790</v>
      </c>
      <c r="DZ2037" s="131">
        <f>SI!BZ2037</f>
        <v>0</v>
      </c>
    </row>
    <row r="2038" spans="1:130" hidden="1" x14ac:dyDescent="0.25">
      <c r="A2038" s="141"/>
      <c r="B2038" s="379"/>
      <c r="C2038" s="379"/>
      <c r="D2038" s="379"/>
      <c r="E2038" s="379"/>
      <c r="F2038" s="379"/>
      <c r="G2038" s="379"/>
      <c r="H2038" s="379"/>
      <c r="I2038" s="379"/>
      <c r="J2038" s="379"/>
      <c r="K2038" s="379"/>
      <c r="L2038" s="379"/>
      <c r="M2038" s="379"/>
      <c r="N2038" s="379"/>
      <c r="O2038" s="379"/>
      <c r="P2038" s="379"/>
      <c r="Q2038" s="379"/>
      <c r="R2038" s="379"/>
      <c r="S2038" s="379"/>
      <c r="T2038" s="379"/>
      <c r="U2038" s="379"/>
      <c r="V2038" s="379"/>
      <c r="W2038" s="379"/>
      <c r="X2038" s="379"/>
      <c r="Y2038" s="379"/>
      <c r="Z2038" s="379"/>
      <c r="AA2038" s="379"/>
      <c r="AB2038" s="379"/>
      <c r="AC2038" s="379"/>
      <c r="AD2038" s="379"/>
      <c r="AE2038" s="379"/>
      <c r="AF2038" s="379"/>
      <c r="AG2038" s="379"/>
      <c r="AH2038" s="379"/>
      <c r="AI2038" s="379"/>
      <c r="AJ2038" s="379"/>
      <c r="AK2038" s="379"/>
      <c r="AL2038" s="379"/>
      <c r="AM2038" s="379"/>
      <c r="AN2038" s="379"/>
      <c r="AO2038" s="379"/>
      <c r="AP2038" s="379"/>
      <c r="AQ2038" s="379"/>
      <c r="AR2038" s="379"/>
      <c r="AS2038" s="379"/>
      <c r="AT2038" s="379"/>
      <c r="AU2038" s="379"/>
      <c r="AV2038" s="379"/>
      <c r="AW2038" s="379"/>
      <c r="AX2038" s="379"/>
      <c r="AY2038" s="379"/>
      <c r="AZ2038" s="379"/>
      <c r="BA2038" s="379"/>
      <c r="BB2038" s="379"/>
      <c r="BC2038" s="379"/>
      <c r="BD2038" s="379"/>
      <c r="BE2038" s="379"/>
      <c r="BF2038" s="379"/>
      <c r="BG2038" s="379"/>
      <c r="BH2038" s="379"/>
      <c r="BI2038" s="379"/>
      <c r="BJ2038" s="379"/>
      <c r="BK2038" s="379"/>
      <c r="BL2038" s="379"/>
      <c r="BM2038" s="379"/>
      <c r="BN2038" s="379"/>
      <c r="BO2038" s="379"/>
      <c r="BP2038" s="379"/>
      <c r="BQ2038" s="379"/>
      <c r="BR2038" s="379"/>
      <c r="BS2038" s="379"/>
      <c r="BT2038" s="379"/>
      <c r="BU2038" s="379"/>
      <c r="BV2038" s="379"/>
      <c r="BW2038" s="379"/>
      <c r="BX2038" s="379"/>
      <c r="BY2038" s="379"/>
      <c r="BZ2038" s="379"/>
      <c r="CA2038" s="270"/>
      <c r="CB2038" s="3" t="str">
        <f t="shared" si="343"/>
        <v>Riadok bude skrytý.</v>
      </c>
      <c r="CC2038" s="271" t="s">
        <v>832</v>
      </c>
      <c r="CW2038" s="30">
        <f t="shared" si="345"/>
        <v>1</v>
      </c>
      <c r="CX2038" s="30">
        <f>+IF(B2038="",0,1)</f>
        <v>0</v>
      </c>
      <c r="CY2038" s="41"/>
      <c r="CZ2038" s="30">
        <f t="shared" si="342"/>
        <v>1</v>
      </c>
      <c r="DA2038" s="52">
        <f t="shared" si="346"/>
        <v>0</v>
      </c>
      <c r="DB2038" s="2">
        <f t="shared" si="340"/>
        <v>0</v>
      </c>
      <c r="DS2038" s="130">
        <f>SI!BY2038</f>
        <v>277</v>
      </c>
      <c r="DZ2038" s="131">
        <f>SI!BZ2038</f>
        <v>0</v>
      </c>
    </row>
    <row r="2039" spans="1:130" hidden="1" x14ac:dyDescent="0.25">
      <c r="A2039" s="141"/>
      <c r="B2039" s="379"/>
      <c r="C2039" s="379"/>
      <c r="D2039" s="379"/>
      <c r="E2039" s="379"/>
      <c r="F2039" s="379"/>
      <c r="G2039" s="379"/>
      <c r="H2039" s="379"/>
      <c r="I2039" s="379"/>
      <c r="J2039" s="379"/>
      <c r="K2039" s="379"/>
      <c r="L2039" s="379"/>
      <c r="M2039" s="379"/>
      <c r="N2039" s="379"/>
      <c r="O2039" s="379"/>
      <c r="P2039" s="379"/>
      <c r="Q2039" s="379"/>
      <c r="R2039" s="379"/>
      <c r="S2039" s="379"/>
      <c r="T2039" s="379"/>
      <c r="U2039" s="379"/>
      <c r="V2039" s="379"/>
      <c r="W2039" s="379"/>
      <c r="X2039" s="379"/>
      <c r="Y2039" s="379"/>
      <c r="Z2039" s="379"/>
      <c r="AA2039" s="379"/>
      <c r="AB2039" s="379"/>
      <c r="AC2039" s="379"/>
      <c r="AD2039" s="379"/>
      <c r="AE2039" s="379"/>
      <c r="AF2039" s="379"/>
      <c r="AG2039" s="379"/>
      <c r="AH2039" s="379"/>
      <c r="AI2039" s="379"/>
      <c r="AJ2039" s="379"/>
      <c r="AK2039" s="379"/>
      <c r="AL2039" s="379"/>
      <c r="AM2039" s="379"/>
      <c r="AN2039" s="379"/>
      <c r="AO2039" s="379"/>
      <c r="AP2039" s="379"/>
      <c r="AQ2039" s="379"/>
      <c r="AR2039" s="379"/>
      <c r="AS2039" s="379"/>
      <c r="AT2039" s="379"/>
      <c r="AU2039" s="379"/>
      <c r="AV2039" s="379"/>
      <c r="AW2039" s="379"/>
      <c r="AX2039" s="379"/>
      <c r="AY2039" s="379"/>
      <c r="AZ2039" s="379"/>
      <c r="BA2039" s="379"/>
      <c r="BB2039" s="379"/>
      <c r="BC2039" s="379"/>
      <c r="BD2039" s="379"/>
      <c r="BE2039" s="379"/>
      <c r="BF2039" s="379"/>
      <c r="BG2039" s="379"/>
      <c r="BH2039" s="379"/>
      <c r="BI2039" s="379"/>
      <c r="BJ2039" s="379"/>
      <c r="BK2039" s="379"/>
      <c r="BL2039" s="379"/>
      <c r="BM2039" s="379"/>
      <c r="BN2039" s="379"/>
      <c r="BO2039" s="379"/>
      <c r="BP2039" s="379"/>
      <c r="BQ2039" s="379"/>
      <c r="BR2039" s="379"/>
      <c r="BS2039" s="379"/>
      <c r="BT2039" s="379"/>
      <c r="BU2039" s="379"/>
      <c r="BV2039" s="379"/>
      <c r="BW2039" s="379"/>
      <c r="BX2039" s="379"/>
      <c r="BY2039" s="379"/>
      <c r="BZ2039" s="379"/>
      <c r="CA2039" s="270"/>
      <c r="CB2039" s="3" t="str">
        <f t="shared" si="343"/>
        <v>Riadok bude skrytý.</v>
      </c>
      <c r="CC2039" s="271" t="s">
        <v>832</v>
      </c>
      <c r="CW2039" s="30">
        <f t="shared" si="345"/>
        <v>1</v>
      </c>
      <c r="CX2039" s="30">
        <f>+IF(B2039="",0,1)</f>
        <v>0</v>
      </c>
      <c r="CY2039" s="41"/>
      <c r="CZ2039" s="30">
        <f t="shared" si="342"/>
        <v>1</v>
      </c>
      <c r="DA2039" s="52">
        <f t="shared" si="346"/>
        <v>0</v>
      </c>
      <c r="DB2039" s="2">
        <f t="shared" si="340"/>
        <v>0</v>
      </c>
      <c r="DS2039" s="130">
        <f>SI!BY2039</f>
        <v>136</v>
      </c>
      <c r="DZ2039" s="131">
        <f>SI!BZ2039</f>
        <v>0</v>
      </c>
    </row>
    <row r="2040" spans="1:130" hidden="1" x14ac:dyDescent="0.25">
      <c r="A2040" s="141"/>
      <c r="B2040" s="379"/>
      <c r="C2040" s="379"/>
      <c r="D2040" s="379"/>
      <c r="E2040" s="379"/>
      <c r="F2040" s="379"/>
      <c r="G2040" s="379"/>
      <c r="H2040" s="379"/>
      <c r="I2040" s="379"/>
      <c r="J2040" s="379"/>
      <c r="K2040" s="379"/>
      <c r="L2040" s="379"/>
      <c r="M2040" s="379"/>
      <c r="N2040" s="379"/>
      <c r="O2040" s="379"/>
      <c r="P2040" s="379"/>
      <c r="Q2040" s="379"/>
      <c r="R2040" s="379"/>
      <c r="S2040" s="379"/>
      <c r="T2040" s="379"/>
      <c r="U2040" s="379"/>
      <c r="V2040" s="379"/>
      <c r="W2040" s="379"/>
      <c r="X2040" s="379"/>
      <c r="Y2040" s="379"/>
      <c r="Z2040" s="379"/>
      <c r="AA2040" s="379"/>
      <c r="AB2040" s="379"/>
      <c r="AC2040" s="379"/>
      <c r="AD2040" s="379"/>
      <c r="AE2040" s="379"/>
      <c r="AF2040" s="379"/>
      <c r="AG2040" s="379"/>
      <c r="AH2040" s="379"/>
      <c r="AI2040" s="379"/>
      <c r="AJ2040" s="379"/>
      <c r="AK2040" s="379"/>
      <c r="AL2040" s="379"/>
      <c r="AM2040" s="379"/>
      <c r="AN2040" s="379"/>
      <c r="AO2040" s="379"/>
      <c r="AP2040" s="379"/>
      <c r="AQ2040" s="379"/>
      <c r="AR2040" s="379"/>
      <c r="AS2040" s="379"/>
      <c r="AT2040" s="379"/>
      <c r="AU2040" s="379"/>
      <c r="AV2040" s="379"/>
      <c r="AW2040" s="379"/>
      <c r="AX2040" s="379"/>
      <c r="AY2040" s="379"/>
      <c r="AZ2040" s="379"/>
      <c r="BA2040" s="379"/>
      <c r="BB2040" s="379"/>
      <c r="BC2040" s="379"/>
      <c r="BD2040" s="379"/>
      <c r="BE2040" s="379"/>
      <c r="BF2040" s="379"/>
      <c r="BG2040" s="379"/>
      <c r="BH2040" s="379"/>
      <c r="BI2040" s="379"/>
      <c r="BJ2040" s="379"/>
      <c r="BK2040" s="379"/>
      <c r="BL2040" s="379"/>
      <c r="BM2040" s="379"/>
      <c r="BN2040" s="379"/>
      <c r="BO2040" s="379"/>
      <c r="BP2040" s="379"/>
      <c r="BQ2040" s="379"/>
      <c r="BR2040" s="379"/>
      <c r="BS2040" s="379"/>
      <c r="BT2040" s="379"/>
      <c r="BU2040" s="379"/>
      <c r="BV2040" s="379"/>
      <c r="BW2040" s="379"/>
      <c r="BX2040" s="379"/>
      <c r="BY2040" s="379"/>
      <c r="BZ2040" s="379"/>
      <c r="CA2040" s="270"/>
      <c r="CB2040" s="3" t="str">
        <f t="shared" si="343"/>
        <v>Riadok bude skrytý.</v>
      </c>
      <c r="CC2040" s="271" t="s">
        <v>832</v>
      </c>
      <c r="CW2040" s="30">
        <f t="shared" si="345"/>
        <v>1</v>
      </c>
      <c r="CX2040" s="30">
        <f>+IF(B2040="",0,1)</f>
        <v>0</v>
      </c>
      <c r="CY2040" s="41"/>
      <c r="CZ2040" s="30">
        <f t="shared" si="342"/>
        <v>1</v>
      </c>
      <c r="DA2040" s="52">
        <f t="shared" si="346"/>
        <v>0</v>
      </c>
      <c r="DB2040" s="2">
        <f t="shared" si="340"/>
        <v>0</v>
      </c>
      <c r="DS2040" s="130">
        <f>SI!BY2040</f>
        <v>15</v>
      </c>
      <c r="DZ2040" s="131">
        <f>SI!BZ2040</f>
        <v>0</v>
      </c>
    </row>
    <row r="2041" spans="1:130" hidden="1" x14ac:dyDescent="0.25">
      <c r="A2041" s="141"/>
      <c r="B2041" s="379"/>
      <c r="C2041" s="379"/>
      <c r="D2041" s="379"/>
      <c r="E2041" s="379"/>
      <c r="F2041" s="379"/>
      <c r="G2041" s="379"/>
      <c r="H2041" s="379"/>
      <c r="I2041" s="379"/>
      <c r="J2041" s="379"/>
      <c r="K2041" s="379"/>
      <c r="L2041" s="379"/>
      <c r="M2041" s="379"/>
      <c r="N2041" s="379"/>
      <c r="O2041" s="379"/>
      <c r="P2041" s="379"/>
      <c r="Q2041" s="379"/>
      <c r="R2041" s="379"/>
      <c r="S2041" s="379"/>
      <c r="T2041" s="379"/>
      <c r="U2041" s="379"/>
      <c r="V2041" s="379"/>
      <c r="W2041" s="379"/>
      <c r="X2041" s="379"/>
      <c r="Y2041" s="379"/>
      <c r="Z2041" s="379"/>
      <c r="AA2041" s="379"/>
      <c r="AB2041" s="379"/>
      <c r="AC2041" s="379"/>
      <c r="AD2041" s="379"/>
      <c r="AE2041" s="379"/>
      <c r="AF2041" s="379"/>
      <c r="AG2041" s="379"/>
      <c r="AH2041" s="379"/>
      <c r="AI2041" s="379"/>
      <c r="AJ2041" s="379"/>
      <c r="AK2041" s="379"/>
      <c r="AL2041" s="379"/>
      <c r="AM2041" s="379"/>
      <c r="AN2041" s="379"/>
      <c r="AO2041" s="379"/>
      <c r="AP2041" s="379"/>
      <c r="AQ2041" s="379"/>
      <c r="AR2041" s="379"/>
      <c r="AS2041" s="379"/>
      <c r="AT2041" s="379"/>
      <c r="AU2041" s="379"/>
      <c r="AV2041" s="379"/>
      <c r="AW2041" s="379"/>
      <c r="AX2041" s="379"/>
      <c r="AY2041" s="379"/>
      <c r="AZ2041" s="379"/>
      <c r="BA2041" s="379"/>
      <c r="BB2041" s="379"/>
      <c r="BC2041" s="379"/>
      <c r="BD2041" s="379"/>
      <c r="BE2041" s="379"/>
      <c r="BF2041" s="379"/>
      <c r="BG2041" s="379"/>
      <c r="BH2041" s="379"/>
      <c r="BI2041" s="379"/>
      <c r="BJ2041" s="379"/>
      <c r="BK2041" s="379"/>
      <c r="BL2041" s="379"/>
      <c r="BM2041" s="379"/>
      <c r="BN2041" s="379"/>
      <c r="BO2041" s="379"/>
      <c r="BP2041" s="379"/>
      <c r="BQ2041" s="379"/>
      <c r="BR2041" s="379"/>
      <c r="BS2041" s="379"/>
      <c r="BT2041" s="379"/>
      <c r="BU2041" s="379"/>
      <c r="BV2041" s="379"/>
      <c r="BW2041" s="379"/>
      <c r="BX2041" s="379"/>
      <c r="BY2041" s="379"/>
      <c r="BZ2041" s="379"/>
      <c r="CA2041" s="270"/>
      <c r="CB2041" s="3" t="str">
        <f t="shared" si="343"/>
        <v>Riadok bude skrytý.</v>
      </c>
      <c r="CC2041" s="271" t="s">
        <v>832</v>
      </c>
      <c r="CW2041" s="30">
        <f t="shared" si="345"/>
        <v>1</v>
      </c>
      <c r="CX2041" s="30">
        <f>+IF(B2041="",0,1)</f>
        <v>0</v>
      </c>
      <c r="CY2041" s="41"/>
      <c r="CZ2041" s="30">
        <f t="shared" si="342"/>
        <v>1</v>
      </c>
      <c r="DA2041" s="52">
        <f t="shared" si="346"/>
        <v>0</v>
      </c>
      <c r="DB2041" s="2">
        <f t="shared" si="340"/>
        <v>0</v>
      </c>
      <c r="DS2041" s="130">
        <f>SI!BY2041</f>
        <v>110</v>
      </c>
      <c r="DZ2041" s="131">
        <f>SI!BZ2041</f>
        <v>0</v>
      </c>
    </row>
    <row r="2042" spans="1:130" hidden="1" x14ac:dyDescent="0.25">
      <c r="A2042" s="141"/>
      <c r="B2042" s="379"/>
      <c r="C2042" s="379"/>
      <c r="D2042" s="379"/>
      <c r="E2042" s="379"/>
      <c r="F2042" s="379"/>
      <c r="G2042" s="379"/>
      <c r="H2042" s="379"/>
      <c r="I2042" s="379"/>
      <c r="J2042" s="379"/>
      <c r="K2042" s="379"/>
      <c r="L2042" s="379"/>
      <c r="M2042" s="379"/>
      <c r="N2042" s="379"/>
      <c r="O2042" s="379"/>
      <c r="P2042" s="379"/>
      <c r="Q2042" s="379"/>
      <c r="R2042" s="379"/>
      <c r="S2042" s="379"/>
      <c r="T2042" s="379"/>
      <c r="U2042" s="379"/>
      <c r="V2042" s="379"/>
      <c r="W2042" s="379"/>
      <c r="X2042" s="379"/>
      <c r="Y2042" s="379"/>
      <c r="Z2042" s="379"/>
      <c r="AA2042" s="379"/>
      <c r="AB2042" s="379"/>
      <c r="AC2042" s="379"/>
      <c r="AD2042" s="379"/>
      <c r="AE2042" s="379"/>
      <c r="AF2042" s="379"/>
      <c r="AG2042" s="379"/>
      <c r="AH2042" s="379"/>
      <c r="AI2042" s="379"/>
      <c r="AJ2042" s="379"/>
      <c r="AK2042" s="379"/>
      <c r="AL2042" s="379"/>
      <c r="AM2042" s="379"/>
      <c r="AN2042" s="379"/>
      <c r="AO2042" s="379"/>
      <c r="AP2042" s="379"/>
      <c r="AQ2042" s="379"/>
      <c r="AR2042" s="379"/>
      <c r="AS2042" s="379"/>
      <c r="AT2042" s="379"/>
      <c r="AU2042" s="379"/>
      <c r="AV2042" s="379"/>
      <c r="AW2042" s="379"/>
      <c r="AX2042" s="379"/>
      <c r="AY2042" s="379"/>
      <c r="AZ2042" s="379"/>
      <c r="BA2042" s="379"/>
      <c r="BB2042" s="379"/>
      <c r="BC2042" s="379"/>
      <c r="BD2042" s="379"/>
      <c r="BE2042" s="379"/>
      <c r="BF2042" s="379"/>
      <c r="BG2042" s="379"/>
      <c r="BH2042" s="379"/>
      <c r="BI2042" s="379"/>
      <c r="BJ2042" s="379"/>
      <c r="BK2042" s="379"/>
      <c r="BL2042" s="379"/>
      <c r="BM2042" s="379"/>
      <c r="BN2042" s="379"/>
      <c r="BO2042" s="379"/>
      <c r="BP2042" s="379"/>
      <c r="BQ2042" s="379"/>
      <c r="BR2042" s="379"/>
      <c r="BS2042" s="379"/>
      <c r="BT2042" s="379"/>
      <c r="BU2042" s="379"/>
      <c r="BV2042" s="379"/>
      <c r="BW2042" s="379"/>
      <c r="BX2042" s="379"/>
      <c r="BY2042" s="379"/>
      <c r="BZ2042" s="379"/>
      <c r="CA2042" s="270"/>
      <c r="CB2042" s="3" t="str">
        <f t="shared" si="343"/>
        <v>Riadok bude skrytý.</v>
      </c>
      <c r="CC2042" s="271" t="s">
        <v>832</v>
      </c>
      <c r="CW2042" s="30">
        <f t="shared" si="345"/>
        <v>1</v>
      </c>
      <c r="CX2042" s="30">
        <f>+IF(B2042="",0,1)</f>
        <v>0</v>
      </c>
      <c r="CY2042" s="41"/>
      <c r="CZ2042" s="30">
        <f t="shared" si="342"/>
        <v>1</v>
      </c>
      <c r="DA2042" s="52">
        <f t="shared" si="346"/>
        <v>0</v>
      </c>
      <c r="DB2042" s="2">
        <f t="shared" si="340"/>
        <v>0</v>
      </c>
      <c r="DS2042" s="130">
        <f>SI!BY2042</f>
        <v>458</v>
      </c>
      <c r="DZ2042" s="131">
        <f>SI!BZ2042</f>
        <v>0</v>
      </c>
    </row>
    <row r="2043" spans="1:130" hidden="1" x14ac:dyDescent="0.25">
      <c r="A2043" s="141"/>
      <c r="B2043" s="7"/>
      <c r="G2043" s="7"/>
      <c r="H2043" s="7"/>
      <c r="CA2043" s="270"/>
      <c r="CB2043" s="3" t="str">
        <f t="shared" si="343"/>
        <v>Riadok bude skrytý.</v>
      </c>
      <c r="CC2043" s="271" t="s">
        <v>832</v>
      </c>
      <c r="CW2043" s="30">
        <f>+IF(B2045="",0,1)</f>
        <v>0</v>
      </c>
      <c r="CX2043" s="32"/>
      <c r="CY2043" s="41"/>
      <c r="CZ2043" s="30">
        <f t="shared" si="342"/>
        <v>1</v>
      </c>
      <c r="DA2043" s="30">
        <f t="shared" si="344"/>
        <v>0</v>
      </c>
      <c r="DB2043" s="2">
        <f t="shared" si="340"/>
        <v>0</v>
      </c>
      <c r="DS2043" s="130">
        <f>SI!BY2043</f>
        <v>194</v>
      </c>
      <c r="DZ2043" s="131">
        <f>SI!BZ2043</f>
        <v>0</v>
      </c>
    </row>
    <row r="2044" spans="1:130" hidden="1" x14ac:dyDescent="0.25">
      <c r="A2044" s="141"/>
      <c r="B2044" s="137" t="str">
        <f>+IF($G$52&lt;&gt;"",IF(ROUNDDOWN(CODE(MID($G$52,1,1))*2,0)*(IF(SI!EE2044="",1,SI!EE2044-1-1))+(LEN(SI!J2)+LEN(SI!J3))=DS2044,"Spoločnosť k rozdeleniu zisku alebo vysporiadaniu straty uvádza ďalšie doplňujúce informácie:","NEPOVOLENÉ POUŽITIE!"),"NEPOVOLENÉ POUŽITIE!")</f>
        <v>Spoločnosť k rozdeleniu zisku alebo vysporiadaniu straty uvádza ďalšie doplňujúce informácie:</v>
      </c>
      <c r="C2044" s="7"/>
      <c r="D2044" s="7"/>
      <c r="E2044" s="7"/>
      <c r="F2044" s="7"/>
      <c r="CA2044" s="265" t="s">
        <v>773</v>
      </c>
      <c r="CB2044" s="3" t="str">
        <f t="shared" si="343"/>
        <v>Riadok bude skrytý.</v>
      </c>
      <c r="CC2044" s="271" t="s">
        <v>832</v>
      </c>
      <c r="CW2044" s="30">
        <f>+IF(B2045="",0,1)</f>
        <v>0</v>
      </c>
      <c r="CZ2044" s="30">
        <f t="shared" si="342"/>
        <v>1</v>
      </c>
      <c r="DA2044" s="30">
        <f t="shared" si="344"/>
        <v>0</v>
      </c>
      <c r="DB2044" s="2">
        <f t="shared" si="340"/>
        <v>0</v>
      </c>
      <c r="DS2044" s="130">
        <f>SI!BY2044</f>
        <v>18</v>
      </c>
      <c r="DZ2044" s="131">
        <f>SI!BZ2044</f>
        <v>0</v>
      </c>
    </row>
    <row r="2045" spans="1:130" hidden="1" x14ac:dyDescent="0.25">
      <c r="A2045" s="141"/>
      <c r="B2045" s="379"/>
      <c r="C2045" s="379"/>
      <c r="D2045" s="379"/>
      <c r="E2045" s="379"/>
      <c r="F2045" s="379"/>
      <c r="G2045" s="379"/>
      <c r="H2045" s="379"/>
      <c r="I2045" s="379"/>
      <c r="J2045" s="379"/>
      <c r="K2045" s="379"/>
      <c r="L2045" s="379"/>
      <c r="M2045" s="379"/>
      <c r="N2045" s="379"/>
      <c r="O2045" s="379"/>
      <c r="P2045" s="379"/>
      <c r="Q2045" s="379"/>
      <c r="R2045" s="379"/>
      <c r="S2045" s="379"/>
      <c r="T2045" s="379"/>
      <c r="U2045" s="379"/>
      <c r="V2045" s="379"/>
      <c r="W2045" s="379"/>
      <c r="X2045" s="379"/>
      <c r="Y2045" s="379"/>
      <c r="Z2045" s="379"/>
      <c r="AA2045" s="379"/>
      <c r="AB2045" s="379"/>
      <c r="AC2045" s="379"/>
      <c r="AD2045" s="379"/>
      <c r="AE2045" s="379"/>
      <c r="AF2045" s="379"/>
      <c r="AG2045" s="379"/>
      <c r="AH2045" s="379"/>
      <c r="AI2045" s="379"/>
      <c r="AJ2045" s="379"/>
      <c r="AK2045" s="379"/>
      <c r="AL2045" s="379"/>
      <c r="AM2045" s="379"/>
      <c r="AN2045" s="379"/>
      <c r="AO2045" s="379"/>
      <c r="AP2045" s="379"/>
      <c r="AQ2045" s="379"/>
      <c r="AR2045" s="379"/>
      <c r="AS2045" s="379"/>
      <c r="AT2045" s="379"/>
      <c r="AU2045" s="379"/>
      <c r="AV2045" s="379"/>
      <c r="AW2045" s="379"/>
      <c r="AX2045" s="379"/>
      <c r="AY2045" s="379"/>
      <c r="AZ2045" s="379"/>
      <c r="BA2045" s="379"/>
      <c r="BB2045" s="379"/>
      <c r="BC2045" s="379"/>
      <c r="BD2045" s="379"/>
      <c r="BE2045" s="379"/>
      <c r="BF2045" s="379"/>
      <c r="BG2045" s="379"/>
      <c r="BH2045" s="379"/>
      <c r="BI2045" s="379"/>
      <c r="BJ2045" s="379"/>
      <c r="BK2045" s="379"/>
      <c r="BL2045" s="379"/>
      <c r="BM2045" s="379"/>
      <c r="BN2045" s="379"/>
      <c r="BO2045" s="379"/>
      <c r="BP2045" s="379"/>
      <c r="BQ2045" s="379"/>
      <c r="BR2045" s="379"/>
      <c r="BS2045" s="379"/>
      <c r="BT2045" s="379"/>
      <c r="BU2045" s="379"/>
      <c r="BV2045" s="379"/>
      <c r="BW2045" s="379"/>
      <c r="BX2045" s="379"/>
      <c r="BY2045" s="379"/>
      <c r="BZ2045" s="379"/>
      <c r="CA2045" s="270"/>
      <c r="CB2045" s="3" t="str">
        <f t="shared" si="343"/>
        <v>Riadok bude skrytý.</v>
      </c>
      <c r="CC2045" s="271" t="s">
        <v>832</v>
      </c>
      <c r="CW2045" s="30">
        <f t="shared" ref="CW2045:CW2064" si="347">+IF(B2045="",0,1)</f>
        <v>0</v>
      </c>
      <c r="CZ2045" s="30">
        <f t="shared" si="342"/>
        <v>1</v>
      </c>
      <c r="DA2045" s="30">
        <f t="shared" si="344"/>
        <v>0</v>
      </c>
      <c r="DB2045" s="2">
        <f t="shared" si="340"/>
        <v>0</v>
      </c>
      <c r="DS2045" s="130">
        <f>SI!BY2045</f>
        <v>159</v>
      </c>
      <c r="DZ2045" s="131">
        <f>SI!BZ2045</f>
        <v>0</v>
      </c>
    </row>
    <row r="2046" spans="1:130" hidden="1" x14ac:dyDescent="0.25">
      <c r="A2046" s="141"/>
      <c r="B2046" s="379"/>
      <c r="C2046" s="379"/>
      <c r="D2046" s="379"/>
      <c r="E2046" s="379"/>
      <c r="F2046" s="379"/>
      <c r="G2046" s="379"/>
      <c r="H2046" s="379"/>
      <c r="I2046" s="379"/>
      <c r="J2046" s="379"/>
      <c r="K2046" s="379"/>
      <c r="L2046" s="379"/>
      <c r="M2046" s="379"/>
      <c r="N2046" s="379"/>
      <c r="O2046" s="379"/>
      <c r="P2046" s="379"/>
      <c r="Q2046" s="379"/>
      <c r="R2046" s="379"/>
      <c r="S2046" s="379"/>
      <c r="T2046" s="379"/>
      <c r="U2046" s="379"/>
      <c r="V2046" s="379"/>
      <c r="W2046" s="379"/>
      <c r="X2046" s="379"/>
      <c r="Y2046" s="379"/>
      <c r="Z2046" s="379"/>
      <c r="AA2046" s="379"/>
      <c r="AB2046" s="379"/>
      <c r="AC2046" s="379"/>
      <c r="AD2046" s="379"/>
      <c r="AE2046" s="379"/>
      <c r="AF2046" s="379"/>
      <c r="AG2046" s="379"/>
      <c r="AH2046" s="379"/>
      <c r="AI2046" s="379"/>
      <c r="AJ2046" s="379"/>
      <c r="AK2046" s="379"/>
      <c r="AL2046" s="379"/>
      <c r="AM2046" s="379"/>
      <c r="AN2046" s="379"/>
      <c r="AO2046" s="379"/>
      <c r="AP2046" s="379"/>
      <c r="AQ2046" s="379"/>
      <c r="AR2046" s="379"/>
      <c r="AS2046" s="379"/>
      <c r="AT2046" s="379"/>
      <c r="AU2046" s="379"/>
      <c r="AV2046" s="379"/>
      <c r="AW2046" s="379"/>
      <c r="AX2046" s="379"/>
      <c r="AY2046" s="379"/>
      <c r="AZ2046" s="379"/>
      <c r="BA2046" s="379"/>
      <c r="BB2046" s="379"/>
      <c r="BC2046" s="379"/>
      <c r="BD2046" s="379"/>
      <c r="BE2046" s="379"/>
      <c r="BF2046" s="379"/>
      <c r="BG2046" s="379"/>
      <c r="BH2046" s="379"/>
      <c r="BI2046" s="379"/>
      <c r="BJ2046" s="379"/>
      <c r="BK2046" s="379"/>
      <c r="BL2046" s="379"/>
      <c r="BM2046" s="379"/>
      <c r="BN2046" s="379"/>
      <c r="BO2046" s="379"/>
      <c r="BP2046" s="379"/>
      <c r="BQ2046" s="379"/>
      <c r="BR2046" s="379"/>
      <c r="BS2046" s="379"/>
      <c r="BT2046" s="379"/>
      <c r="BU2046" s="379"/>
      <c r="BV2046" s="379"/>
      <c r="BW2046" s="379"/>
      <c r="BX2046" s="379"/>
      <c r="BY2046" s="379"/>
      <c r="BZ2046" s="379"/>
      <c r="CA2046" s="270"/>
      <c r="CB2046" s="3" t="str">
        <f t="shared" si="343"/>
        <v>Riadok bude skrytý.</v>
      </c>
      <c r="CC2046" s="271" t="s">
        <v>832</v>
      </c>
      <c r="CW2046" s="30">
        <f t="shared" si="347"/>
        <v>0</v>
      </c>
      <c r="CZ2046" s="30">
        <f t="shared" si="342"/>
        <v>1</v>
      </c>
      <c r="DA2046" s="30">
        <f t="shared" si="344"/>
        <v>0</v>
      </c>
      <c r="DB2046" s="2">
        <f t="shared" si="340"/>
        <v>0</v>
      </c>
      <c r="DS2046" s="130">
        <f>SI!BY2046</f>
        <v>192</v>
      </c>
      <c r="DZ2046" s="131">
        <f>SI!BZ2046</f>
        <v>0</v>
      </c>
    </row>
    <row r="2047" spans="1:130" hidden="1" x14ac:dyDescent="0.25">
      <c r="A2047" s="141"/>
      <c r="B2047" s="379"/>
      <c r="C2047" s="379"/>
      <c r="D2047" s="379"/>
      <c r="E2047" s="379"/>
      <c r="F2047" s="379"/>
      <c r="G2047" s="379"/>
      <c r="H2047" s="379"/>
      <c r="I2047" s="379"/>
      <c r="J2047" s="379"/>
      <c r="K2047" s="379"/>
      <c r="L2047" s="379"/>
      <c r="M2047" s="379"/>
      <c r="N2047" s="379"/>
      <c r="O2047" s="379"/>
      <c r="P2047" s="379"/>
      <c r="Q2047" s="379"/>
      <c r="R2047" s="379"/>
      <c r="S2047" s="379"/>
      <c r="T2047" s="379"/>
      <c r="U2047" s="379"/>
      <c r="V2047" s="379"/>
      <c r="W2047" s="379"/>
      <c r="X2047" s="379"/>
      <c r="Y2047" s="379"/>
      <c r="Z2047" s="379"/>
      <c r="AA2047" s="379"/>
      <c r="AB2047" s="379"/>
      <c r="AC2047" s="379"/>
      <c r="AD2047" s="379"/>
      <c r="AE2047" s="379"/>
      <c r="AF2047" s="379"/>
      <c r="AG2047" s="379"/>
      <c r="AH2047" s="379"/>
      <c r="AI2047" s="379"/>
      <c r="AJ2047" s="379"/>
      <c r="AK2047" s="379"/>
      <c r="AL2047" s="379"/>
      <c r="AM2047" s="379"/>
      <c r="AN2047" s="379"/>
      <c r="AO2047" s="379"/>
      <c r="AP2047" s="379"/>
      <c r="AQ2047" s="379"/>
      <c r="AR2047" s="379"/>
      <c r="AS2047" s="379"/>
      <c r="AT2047" s="379"/>
      <c r="AU2047" s="379"/>
      <c r="AV2047" s="379"/>
      <c r="AW2047" s="379"/>
      <c r="AX2047" s="379"/>
      <c r="AY2047" s="379"/>
      <c r="AZ2047" s="379"/>
      <c r="BA2047" s="379"/>
      <c r="BB2047" s="379"/>
      <c r="BC2047" s="379"/>
      <c r="BD2047" s="379"/>
      <c r="BE2047" s="379"/>
      <c r="BF2047" s="379"/>
      <c r="BG2047" s="379"/>
      <c r="BH2047" s="379"/>
      <c r="BI2047" s="379"/>
      <c r="BJ2047" s="379"/>
      <c r="BK2047" s="379"/>
      <c r="BL2047" s="379"/>
      <c r="BM2047" s="379"/>
      <c r="BN2047" s="379"/>
      <c r="BO2047" s="379"/>
      <c r="BP2047" s="379"/>
      <c r="BQ2047" s="379"/>
      <c r="BR2047" s="379"/>
      <c r="BS2047" s="379"/>
      <c r="BT2047" s="379"/>
      <c r="BU2047" s="379"/>
      <c r="BV2047" s="379"/>
      <c r="BW2047" s="379"/>
      <c r="BX2047" s="379"/>
      <c r="BY2047" s="379"/>
      <c r="BZ2047" s="379"/>
      <c r="CA2047" s="270"/>
      <c r="CB2047" s="3" t="str">
        <f t="shared" si="343"/>
        <v>Riadok bude skrytý.</v>
      </c>
      <c r="CC2047" s="271" t="s">
        <v>832</v>
      </c>
      <c r="CW2047" s="30">
        <f t="shared" si="347"/>
        <v>0</v>
      </c>
      <c r="CZ2047" s="30">
        <f t="shared" si="342"/>
        <v>1</v>
      </c>
      <c r="DA2047" s="30">
        <f t="shared" si="344"/>
        <v>0</v>
      </c>
      <c r="DB2047" s="2">
        <f t="shared" si="340"/>
        <v>0</v>
      </c>
      <c r="DS2047" s="130">
        <f>SI!BY2047</f>
        <v>119</v>
      </c>
      <c r="DZ2047" s="131">
        <f>SI!BZ2047</f>
        <v>0</v>
      </c>
    </row>
    <row r="2048" spans="1:130" hidden="1" x14ac:dyDescent="0.25">
      <c r="A2048" s="141"/>
      <c r="B2048" s="379"/>
      <c r="C2048" s="379"/>
      <c r="D2048" s="379"/>
      <c r="E2048" s="379"/>
      <c r="F2048" s="379"/>
      <c r="G2048" s="379"/>
      <c r="H2048" s="379"/>
      <c r="I2048" s="379"/>
      <c r="J2048" s="379"/>
      <c r="K2048" s="379"/>
      <c r="L2048" s="379"/>
      <c r="M2048" s="379"/>
      <c r="N2048" s="379"/>
      <c r="O2048" s="379"/>
      <c r="P2048" s="379"/>
      <c r="Q2048" s="379"/>
      <c r="R2048" s="379"/>
      <c r="S2048" s="379"/>
      <c r="T2048" s="379"/>
      <c r="U2048" s="379"/>
      <c r="V2048" s="379"/>
      <c r="W2048" s="379"/>
      <c r="X2048" s="379"/>
      <c r="Y2048" s="379"/>
      <c r="Z2048" s="379"/>
      <c r="AA2048" s="379"/>
      <c r="AB2048" s="379"/>
      <c r="AC2048" s="379"/>
      <c r="AD2048" s="379"/>
      <c r="AE2048" s="379"/>
      <c r="AF2048" s="379"/>
      <c r="AG2048" s="379"/>
      <c r="AH2048" s="379"/>
      <c r="AI2048" s="379"/>
      <c r="AJ2048" s="379"/>
      <c r="AK2048" s="379"/>
      <c r="AL2048" s="379"/>
      <c r="AM2048" s="379"/>
      <c r="AN2048" s="379"/>
      <c r="AO2048" s="379"/>
      <c r="AP2048" s="379"/>
      <c r="AQ2048" s="379"/>
      <c r="AR2048" s="379"/>
      <c r="AS2048" s="379"/>
      <c r="AT2048" s="379"/>
      <c r="AU2048" s="379"/>
      <c r="AV2048" s="379"/>
      <c r="AW2048" s="379"/>
      <c r="AX2048" s="379"/>
      <c r="AY2048" s="379"/>
      <c r="AZ2048" s="379"/>
      <c r="BA2048" s="379"/>
      <c r="BB2048" s="379"/>
      <c r="BC2048" s="379"/>
      <c r="BD2048" s="379"/>
      <c r="BE2048" s="379"/>
      <c r="BF2048" s="379"/>
      <c r="BG2048" s="379"/>
      <c r="BH2048" s="379"/>
      <c r="BI2048" s="379"/>
      <c r="BJ2048" s="379"/>
      <c r="BK2048" s="379"/>
      <c r="BL2048" s="379"/>
      <c r="BM2048" s="379"/>
      <c r="BN2048" s="379"/>
      <c r="BO2048" s="379"/>
      <c r="BP2048" s="379"/>
      <c r="BQ2048" s="379"/>
      <c r="BR2048" s="379"/>
      <c r="BS2048" s="379"/>
      <c r="BT2048" s="379"/>
      <c r="BU2048" s="379"/>
      <c r="BV2048" s="379"/>
      <c r="BW2048" s="379"/>
      <c r="BX2048" s="379"/>
      <c r="BY2048" s="379"/>
      <c r="BZ2048" s="379"/>
      <c r="CA2048" s="270"/>
      <c r="CB2048" s="3" t="str">
        <f t="shared" si="343"/>
        <v>Riadok bude skrytý.</v>
      </c>
      <c r="CC2048" s="271" t="s">
        <v>832</v>
      </c>
      <c r="CW2048" s="30">
        <f t="shared" si="347"/>
        <v>0</v>
      </c>
      <c r="CZ2048" s="30">
        <f t="shared" si="342"/>
        <v>1</v>
      </c>
      <c r="DA2048" s="30">
        <f t="shared" si="344"/>
        <v>0</v>
      </c>
      <c r="DB2048" s="2">
        <f t="shared" si="340"/>
        <v>0</v>
      </c>
      <c r="DS2048" s="130">
        <f>SI!BY2048</f>
        <v>1133</v>
      </c>
      <c r="DZ2048" s="131">
        <f>SI!BZ2048</f>
        <v>0</v>
      </c>
    </row>
    <row r="2049" spans="1:130" hidden="1" x14ac:dyDescent="0.25">
      <c r="A2049" s="141"/>
      <c r="B2049" s="379"/>
      <c r="C2049" s="379"/>
      <c r="D2049" s="379"/>
      <c r="E2049" s="379"/>
      <c r="F2049" s="379"/>
      <c r="G2049" s="379"/>
      <c r="H2049" s="379"/>
      <c r="I2049" s="379"/>
      <c r="J2049" s="379"/>
      <c r="K2049" s="379"/>
      <c r="L2049" s="379"/>
      <c r="M2049" s="379"/>
      <c r="N2049" s="379"/>
      <c r="O2049" s="379"/>
      <c r="P2049" s="379"/>
      <c r="Q2049" s="379"/>
      <c r="R2049" s="379"/>
      <c r="S2049" s="379"/>
      <c r="T2049" s="379"/>
      <c r="U2049" s="379"/>
      <c r="V2049" s="379"/>
      <c r="W2049" s="379"/>
      <c r="X2049" s="379"/>
      <c r="Y2049" s="379"/>
      <c r="Z2049" s="379"/>
      <c r="AA2049" s="379"/>
      <c r="AB2049" s="379"/>
      <c r="AC2049" s="379"/>
      <c r="AD2049" s="379"/>
      <c r="AE2049" s="379"/>
      <c r="AF2049" s="379"/>
      <c r="AG2049" s="379"/>
      <c r="AH2049" s="379"/>
      <c r="AI2049" s="379"/>
      <c r="AJ2049" s="379"/>
      <c r="AK2049" s="379"/>
      <c r="AL2049" s="379"/>
      <c r="AM2049" s="379"/>
      <c r="AN2049" s="379"/>
      <c r="AO2049" s="379"/>
      <c r="AP2049" s="379"/>
      <c r="AQ2049" s="379"/>
      <c r="AR2049" s="379"/>
      <c r="AS2049" s="379"/>
      <c r="AT2049" s="379"/>
      <c r="AU2049" s="379"/>
      <c r="AV2049" s="379"/>
      <c r="AW2049" s="379"/>
      <c r="AX2049" s="379"/>
      <c r="AY2049" s="379"/>
      <c r="AZ2049" s="379"/>
      <c r="BA2049" s="379"/>
      <c r="BB2049" s="379"/>
      <c r="BC2049" s="379"/>
      <c r="BD2049" s="379"/>
      <c r="BE2049" s="379"/>
      <c r="BF2049" s="379"/>
      <c r="BG2049" s="379"/>
      <c r="BH2049" s="379"/>
      <c r="BI2049" s="379"/>
      <c r="BJ2049" s="379"/>
      <c r="BK2049" s="379"/>
      <c r="BL2049" s="379"/>
      <c r="BM2049" s="379"/>
      <c r="BN2049" s="379"/>
      <c r="BO2049" s="379"/>
      <c r="BP2049" s="379"/>
      <c r="BQ2049" s="379"/>
      <c r="BR2049" s="379"/>
      <c r="BS2049" s="379"/>
      <c r="BT2049" s="379"/>
      <c r="BU2049" s="379"/>
      <c r="BV2049" s="379"/>
      <c r="BW2049" s="379"/>
      <c r="BX2049" s="379"/>
      <c r="BY2049" s="379"/>
      <c r="BZ2049" s="379"/>
      <c r="CA2049" s="270"/>
      <c r="CB2049" s="3" t="str">
        <f t="shared" si="343"/>
        <v>Riadok bude skrytý.</v>
      </c>
      <c r="CC2049" s="271" t="s">
        <v>832</v>
      </c>
      <c r="CW2049" s="30">
        <f t="shared" si="347"/>
        <v>0</v>
      </c>
      <c r="CZ2049" s="30">
        <f t="shared" si="342"/>
        <v>1</v>
      </c>
      <c r="DA2049" s="30">
        <f t="shared" si="344"/>
        <v>0</v>
      </c>
      <c r="DB2049" s="2">
        <f t="shared" si="340"/>
        <v>0</v>
      </c>
      <c r="DS2049" s="130">
        <f>SI!BY2049</f>
        <v>7</v>
      </c>
      <c r="DZ2049" s="131">
        <f>SI!BZ2049</f>
        <v>0</v>
      </c>
    </row>
    <row r="2050" spans="1:130" hidden="1" x14ac:dyDescent="0.25">
      <c r="A2050" s="141"/>
      <c r="B2050" s="379"/>
      <c r="C2050" s="379"/>
      <c r="D2050" s="379"/>
      <c r="E2050" s="379"/>
      <c r="F2050" s="379"/>
      <c r="G2050" s="379"/>
      <c r="H2050" s="379"/>
      <c r="I2050" s="379"/>
      <c r="J2050" s="379"/>
      <c r="K2050" s="379"/>
      <c r="L2050" s="379"/>
      <c r="M2050" s="379"/>
      <c r="N2050" s="379"/>
      <c r="O2050" s="379"/>
      <c r="P2050" s="379"/>
      <c r="Q2050" s="379"/>
      <c r="R2050" s="379"/>
      <c r="S2050" s="379"/>
      <c r="T2050" s="379"/>
      <c r="U2050" s="379"/>
      <c r="V2050" s="379"/>
      <c r="W2050" s="379"/>
      <c r="X2050" s="379"/>
      <c r="Y2050" s="379"/>
      <c r="Z2050" s="379"/>
      <c r="AA2050" s="379"/>
      <c r="AB2050" s="379"/>
      <c r="AC2050" s="379"/>
      <c r="AD2050" s="379"/>
      <c r="AE2050" s="379"/>
      <c r="AF2050" s="379"/>
      <c r="AG2050" s="379"/>
      <c r="AH2050" s="379"/>
      <c r="AI2050" s="379"/>
      <c r="AJ2050" s="379"/>
      <c r="AK2050" s="379"/>
      <c r="AL2050" s="379"/>
      <c r="AM2050" s="379"/>
      <c r="AN2050" s="379"/>
      <c r="AO2050" s="379"/>
      <c r="AP2050" s="379"/>
      <c r="AQ2050" s="379"/>
      <c r="AR2050" s="379"/>
      <c r="AS2050" s="379"/>
      <c r="AT2050" s="379"/>
      <c r="AU2050" s="379"/>
      <c r="AV2050" s="379"/>
      <c r="AW2050" s="379"/>
      <c r="AX2050" s="379"/>
      <c r="AY2050" s="379"/>
      <c r="AZ2050" s="379"/>
      <c r="BA2050" s="379"/>
      <c r="BB2050" s="379"/>
      <c r="BC2050" s="379"/>
      <c r="BD2050" s="379"/>
      <c r="BE2050" s="379"/>
      <c r="BF2050" s="379"/>
      <c r="BG2050" s="379"/>
      <c r="BH2050" s="379"/>
      <c r="BI2050" s="379"/>
      <c r="BJ2050" s="379"/>
      <c r="BK2050" s="379"/>
      <c r="BL2050" s="379"/>
      <c r="BM2050" s="379"/>
      <c r="BN2050" s="379"/>
      <c r="BO2050" s="379"/>
      <c r="BP2050" s="379"/>
      <c r="BQ2050" s="379"/>
      <c r="BR2050" s="379"/>
      <c r="BS2050" s="379"/>
      <c r="BT2050" s="379"/>
      <c r="BU2050" s="379"/>
      <c r="BV2050" s="379"/>
      <c r="BW2050" s="379"/>
      <c r="BX2050" s="379"/>
      <c r="BY2050" s="379"/>
      <c r="BZ2050" s="379"/>
      <c r="CA2050" s="270"/>
      <c r="CB2050" s="3" t="str">
        <f t="shared" si="343"/>
        <v>Riadok bude skrytý.</v>
      </c>
      <c r="CC2050" s="271" t="s">
        <v>832</v>
      </c>
      <c r="CW2050" s="30">
        <f t="shared" si="347"/>
        <v>0</v>
      </c>
      <c r="CZ2050" s="30">
        <f t="shared" si="342"/>
        <v>1</v>
      </c>
      <c r="DA2050" s="30">
        <f t="shared" si="344"/>
        <v>0</v>
      </c>
      <c r="DB2050" s="2">
        <f t="shared" si="340"/>
        <v>0</v>
      </c>
      <c r="DS2050" s="130">
        <f>SI!BY2050</f>
        <v>181</v>
      </c>
      <c r="DZ2050" s="131">
        <f>SI!BZ2050</f>
        <v>0</v>
      </c>
    </row>
    <row r="2051" spans="1:130" hidden="1" x14ac:dyDescent="0.25">
      <c r="A2051" s="141"/>
      <c r="B2051" s="379"/>
      <c r="C2051" s="379"/>
      <c r="D2051" s="379"/>
      <c r="E2051" s="379"/>
      <c r="F2051" s="379"/>
      <c r="G2051" s="379"/>
      <c r="H2051" s="379"/>
      <c r="I2051" s="379"/>
      <c r="J2051" s="379"/>
      <c r="K2051" s="379"/>
      <c r="L2051" s="379"/>
      <c r="M2051" s="379"/>
      <c r="N2051" s="379"/>
      <c r="O2051" s="379"/>
      <c r="P2051" s="379"/>
      <c r="Q2051" s="379"/>
      <c r="R2051" s="379"/>
      <c r="S2051" s="379"/>
      <c r="T2051" s="379"/>
      <c r="U2051" s="379"/>
      <c r="V2051" s="379"/>
      <c r="W2051" s="379"/>
      <c r="X2051" s="379"/>
      <c r="Y2051" s="379"/>
      <c r="Z2051" s="379"/>
      <c r="AA2051" s="379"/>
      <c r="AB2051" s="379"/>
      <c r="AC2051" s="379"/>
      <c r="AD2051" s="379"/>
      <c r="AE2051" s="379"/>
      <c r="AF2051" s="379"/>
      <c r="AG2051" s="379"/>
      <c r="AH2051" s="379"/>
      <c r="AI2051" s="379"/>
      <c r="AJ2051" s="379"/>
      <c r="AK2051" s="379"/>
      <c r="AL2051" s="379"/>
      <c r="AM2051" s="379"/>
      <c r="AN2051" s="379"/>
      <c r="AO2051" s="379"/>
      <c r="AP2051" s="379"/>
      <c r="AQ2051" s="379"/>
      <c r="AR2051" s="379"/>
      <c r="AS2051" s="379"/>
      <c r="AT2051" s="379"/>
      <c r="AU2051" s="379"/>
      <c r="AV2051" s="379"/>
      <c r="AW2051" s="379"/>
      <c r="AX2051" s="379"/>
      <c r="AY2051" s="379"/>
      <c r="AZ2051" s="379"/>
      <c r="BA2051" s="379"/>
      <c r="BB2051" s="379"/>
      <c r="BC2051" s="379"/>
      <c r="BD2051" s="379"/>
      <c r="BE2051" s="379"/>
      <c r="BF2051" s="379"/>
      <c r="BG2051" s="379"/>
      <c r="BH2051" s="379"/>
      <c r="BI2051" s="379"/>
      <c r="BJ2051" s="379"/>
      <c r="BK2051" s="379"/>
      <c r="BL2051" s="379"/>
      <c r="BM2051" s="379"/>
      <c r="BN2051" s="379"/>
      <c r="BO2051" s="379"/>
      <c r="BP2051" s="379"/>
      <c r="BQ2051" s="379"/>
      <c r="BR2051" s="379"/>
      <c r="BS2051" s="379"/>
      <c r="BT2051" s="379"/>
      <c r="BU2051" s="379"/>
      <c r="BV2051" s="379"/>
      <c r="BW2051" s="379"/>
      <c r="BX2051" s="379"/>
      <c r="BY2051" s="379"/>
      <c r="BZ2051" s="379"/>
      <c r="CA2051" s="270"/>
      <c r="CB2051" s="3" t="str">
        <f t="shared" si="343"/>
        <v>Riadok bude skrytý.</v>
      </c>
      <c r="CC2051" s="271" t="s">
        <v>832</v>
      </c>
      <c r="CW2051" s="30">
        <f t="shared" si="347"/>
        <v>0</v>
      </c>
      <c r="CZ2051" s="30">
        <f t="shared" si="342"/>
        <v>1</v>
      </c>
      <c r="DA2051" s="30">
        <f t="shared" si="344"/>
        <v>0</v>
      </c>
      <c r="DB2051" s="2">
        <f t="shared" si="340"/>
        <v>0</v>
      </c>
      <c r="DS2051" s="130">
        <f>SI!BY2051</f>
        <v>124</v>
      </c>
      <c r="DZ2051" s="131">
        <f>SI!BZ2051</f>
        <v>0</v>
      </c>
    </row>
    <row r="2052" spans="1:130" hidden="1" x14ac:dyDescent="0.25">
      <c r="A2052" s="141"/>
      <c r="B2052" s="379"/>
      <c r="C2052" s="379"/>
      <c r="D2052" s="379"/>
      <c r="E2052" s="379"/>
      <c r="F2052" s="379"/>
      <c r="G2052" s="379"/>
      <c r="H2052" s="379"/>
      <c r="I2052" s="379"/>
      <c r="J2052" s="379"/>
      <c r="K2052" s="379"/>
      <c r="L2052" s="379"/>
      <c r="M2052" s="379"/>
      <c r="N2052" s="379"/>
      <c r="O2052" s="379"/>
      <c r="P2052" s="379"/>
      <c r="Q2052" s="379"/>
      <c r="R2052" s="379"/>
      <c r="S2052" s="379"/>
      <c r="T2052" s="379"/>
      <c r="U2052" s="379"/>
      <c r="V2052" s="379"/>
      <c r="W2052" s="379"/>
      <c r="X2052" s="379"/>
      <c r="Y2052" s="379"/>
      <c r="Z2052" s="379"/>
      <c r="AA2052" s="379"/>
      <c r="AB2052" s="379"/>
      <c r="AC2052" s="379"/>
      <c r="AD2052" s="379"/>
      <c r="AE2052" s="379"/>
      <c r="AF2052" s="379"/>
      <c r="AG2052" s="379"/>
      <c r="AH2052" s="379"/>
      <c r="AI2052" s="379"/>
      <c r="AJ2052" s="379"/>
      <c r="AK2052" s="379"/>
      <c r="AL2052" s="379"/>
      <c r="AM2052" s="379"/>
      <c r="AN2052" s="379"/>
      <c r="AO2052" s="379"/>
      <c r="AP2052" s="379"/>
      <c r="AQ2052" s="379"/>
      <c r="AR2052" s="379"/>
      <c r="AS2052" s="379"/>
      <c r="AT2052" s="379"/>
      <c r="AU2052" s="379"/>
      <c r="AV2052" s="379"/>
      <c r="AW2052" s="379"/>
      <c r="AX2052" s="379"/>
      <c r="AY2052" s="379"/>
      <c r="AZ2052" s="379"/>
      <c r="BA2052" s="379"/>
      <c r="BB2052" s="379"/>
      <c r="BC2052" s="379"/>
      <c r="BD2052" s="379"/>
      <c r="BE2052" s="379"/>
      <c r="BF2052" s="379"/>
      <c r="BG2052" s="379"/>
      <c r="BH2052" s="379"/>
      <c r="BI2052" s="379"/>
      <c r="BJ2052" s="379"/>
      <c r="BK2052" s="379"/>
      <c r="BL2052" s="379"/>
      <c r="BM2052" s="379"/>
      <c r="BN2052" s="379"/>
      <c r="BO2052" s="379"/>
      <c r="BP2052" s="379"/>
      <c r="BQ2052" s="379"/>
      <c r="BR2052" s="379"/>
      <c r="BS2052" s="379"/>
      <c r="BT2052" s="379"/>
      <c r="BU2052" s="379"/>
      <c r="BV2052" s="379"/>
      <c r="BW2052" s="379"/>
      <c r="BX2052" s="379"/>
      <c r="BY2052" s="379"/>
      <c r="BZ2052" s="379"/>
      <c r="CA2052" s="270"/>
      <c r="CB2052" s="3" t="str">
        <f t="shared" si="343"/>
        <v>Riadok bude skrytý.</v>
      </c>
      <c r="CC2052" s="271" t="s">
        <v>832</v>
      </c>
      <c r="CW2052" s="30">
        <f t="shared" si="347"/>
        <v>0</v>
      </c>
      <c r="CZ2052" s="30">
        <f t="shared" si="342"/>
        <v>1</v>
      </c>
      <c r="DA2052" s="30">
        <f t="shared" si="344"/>
        <v>0</v>
      </c>
      <c r="DB2052" s="2">
        <f t="shared" si="340"/>
        <v>0</v>
      </c>
      <c r="DS2052" s="130">
        <f>SI!BY2052</f>
        <v>750</v>
      </c>
      <c r="DZ2052" s="131">
        <f>SI!BZ2052</f>
        <v>0</v>
      </c>
    </row>
    <row r="2053" spans="1:130" hidden="1" x14ac:dyDescent="0.25">
      <c r="A2053" s="141"/>
      <c r="B2053" s="379"/>
      <c r="C2053" s="379"/>
      <c r="D2053" s="379"/>
      <c r="E2053" s="379"/>
      <c r="F2053" s="379"/>
      <c r="G2053" s="379"/>
      <c r="H2053" s="379"/>
      <c r="I2053" s="379"/>
      <c r="J2053" s="379"/>
      <c r="K2053" s="379"/>
      <c r="L2053" s="379"/>
      <c r="M2053" s="379"/>
      <c r="N2053" s="379"/>
      <c r="O2053" s="379"/>
      <c r="P2053" s="379"/>
      <c r="Q2053" s="379"/>
      <c r="R2053" s="379"/>
      <c r="S2053" s="379"/>
      <c r="T2053" s="379"/>
      <c r="U2053" s="379"/>
      <c r="V2053" s="379"/>
      <c r="W2053" s="379"/>
      <c r="X2053" s="379"/>
      <c r="Y2053" s="379"/>
      <c r="Z2053" s="379"/>
      <c r="AA2053" s="379"/>
      <c r="AB2053" s="379"/>
      <c r="AC2053" s="379"/>
      <c r="AD2053" s="379"/>
      <c r="AE2053" s="379"/>
      <c r="AF2053" s="379"/>
      <c r="AG2053" s="379"/>
      <c r="AH2053" s="379"/>
      <c r="AI2053" s="379"/>
      <c r="AJ2053" s="379"/>
      <c r="AK2053" s="379"/>
      <c r="AL2053" s="379"/>
      <c r="AM2053" s="379"/>
      <c r="AN2053" s="379"/>
      <c r="AO2053" s="379"/>
      <c r="AP2053" s="379"/>
      <c r="AQ2053" s="379"/>
      <c r="AR2053" s="379"/>
      <c r="AS2053" s="379"/>
      <c r="AT2053" s="379"/>
      <c r="AU2053" s="379"/>
      <c r="AV2053" s="379"/>
      <c r="AW2053" s="379"/>
      <c r="AX2053" s="379"/>
      <c r="AY2053" s="379"/>
      <c r="AZ2053" s="379"/>
      <c r="BA2053" s="379"/>
      <c r="BB2053" s="379"/>
      <c r="BC2053" s="379"/>
      <c r="BD2053" s="379"/>
      <c r="BE2053" s="379"/>
      <c r="BF2053" s="379"/>
      <c r="BG2053" s="379"/>
      <c r="BH2053" s="379"/>
      <c r="BI2053" s="379"/>
      <c r="BJ2053" s="379"/>
      <c r="BK2053" s="379"/>
      <c r="BL2053" s="379"/>
      <c r="BM2053" s="379"/>
      <c r="BN2053" s="379"/>
      <c r="BO2053" s="379"/>
      <c r="BP2053" s="379"/>
      <c r="BQ2053" s="379"/>
      <c r="BR2053" s="379"/>
      <c r="BS2053" s="379"/>
      <c r="BT2053" s="379"/>
      <c r="BU2053" s="379"/>
      <c r="BV2053" s="379"/>
      <c r="BW2053" s="379"/>
      <c r="BX2053" s="379"/>
      <c r="BY2053" s="379"/>
      <c r="BZ2053" s="379"/>
      <c r="CA2053" s="270"/>
      <c r="CB2053" s="3" t="str">
        <f t="shared" si="343"/>
        <v>Riadok bude skrytý.</v>
      </c>
      <c r="CC2053" s="271" t="s">
        <v>832</v>
      </c>
      <c r="CW2053" s="30">
        <f t="shared" si="347"/>
        <v>0</v>
      </c>
      <c r="CZ2053" s="30">
        <f t="shared" si="342"/>
        <v>1</v>
      </c>
      <c r="DA2053" s="30">
        <f t="shared" si="344"/>
        <v>0</v>
      </c>
      <c r="DB2053" s="2">
        <f t="shared" si="340"/>
        <v>0</v>
      </c>
      <c r="DS2053" s="130">
        <f>SI!BY2053</f>
        <v>130</v>
      </c>
      <c r="DZ2053" s="131">
        <f>SI!BZ2053</f>
        <v>0</v>
      </c>
    </row>
    <row r="2054" spans="1:130" hidden="1" x14ac:dyDescent="0.25">
      <c r="A2054" s="141"/>
      <c r="B2054" s="379"/>
      <c r="C2054" s="379"/>
      <c r="D2054" s="379"/>
      <c r="E2054" s="379"/>
      <c r="F2054" s="379"/>
      <c r="G2054" s="379"/>
      <c r="H2054" s="379"/>
      <c r="I2054" s="379"/>
      <c r="J2054" s="379"/>
      <c r="K2054" s="379"/>
      <c r="L2054" s="379"/>
      <c r="M2054" s="379"/>
      <c r="N2054" s="379"/>
      <c r="O2054" s="379"/>
      <c r="P2054" s="379"/>
      <c r="Q2054" s="379"/>
      <c r="R2054" s="379"/>
      <c r="S2054" s="379"/>
      <c r="T2054" s="379"/>
      <c r="U2054" s="379"/>
      <c r="V2054" s="379"/>
      <c r="W2054" s="379"/>
      <c r="X2054" s="379"/>
      <c r="Y2054" s="379"/>
      <c r="Z2054" s="379"/>
      <c r="AA2054" s="379"/>
      <c r="AB2054" s="379"/>
      <c r="AC2054" s="379"/>
      <c r="AD2054" s="379"/>
      <c r="AE2054" s="379"/>
      <c r="AF2054" s="379"/>
      <c r="AG2054" s="379"/>
      <c r="AH2054" s="379"/>
      <c r="AI2054" s="379"/>
      <c r="AJ2054" s="379"/>
      <c r="AK2054" s="379"/>
      <c r="AL2054" s="379"/>
      <c r="AM2054" s="379"/>
      <c r="AN2054" s="379"/>
      <c r="AO2054" s="379"/>
      <c r="AP2054" s="379"/>
      <c r="AQ2054" s="379"/>
      <c r="AR2054" s="379"/>
      <c r="AS2054" s="379"/>
      <c r="AT2054" s="379"/>
      <c r="AU2054" s="379"/>
      <c r="AV2054" s="379"/>
      <c r="AW2054" s="379"/>
      <c r="AX2054" s="379"/>
      <c r="AY2054" s="379"/>
      <c r="AZ2054" s="379"/>
      <c r="BA2054" s="379"/>
      <c r="BB2054" s="379"/>
      <c r="BC2054" s="379"/>
      <c r="BD2054" s="379"/>
      <c r="BE2054" s="379"/>
      <c r="BF2054" s="379"/>
      <c r="BG2054" s="379"/>
      <c r="BH2054" s="379"/>
      <c r="BI2054" s="379"/>
      <c r="BJ2054" s="379"/>
      <c r="BK2054" s="379"/>
      <c r="BL2054" s="379"/>
      <c r="BM2054" s="379"/>
      <c r="BN2054" s="379"/>
      <c r="BO2054" s="379"/>
      <c r="BP2054" s="379"/>
      <c r="BQ2054" s="379"/>
      <c r="BR2054" s="379"/>
      <c r="BS2054" s="379"/>
      <c r="BT2054" s="379"/>
      <c r="BU2054" s="379"/>
      <c r="BV2054" s="379"/>
      <c r="BW2054" s="379"/>
      <c r="BX2054" s="379"/>
      <c r="BY2054" s="379"/>
      <c r="BZ2054" s="379"/>
      <c r="CA2054" s="270"/>
      <c r="CB2054" s="3" t="str">
        <f t="shared" si="343"/>
        <v>Riadok bude skrytý.</v>
      </c>
      <c r="CC2054" s="271" t="s">
        <v>832</v>
      </c>
      <c r="CW2054" s="30">
        <f t="shared" si="347"/>
        <v>0</v>
      </c>
      <c r="CZ2054" s="30">
        <f t="shared" si="342"/>
        <v>1</v>
      </c>
      <c r="DA2054" s="30">
        <f t="shared" si="344"/>
        <v>0</v>
      </c>
      <c r="DB2054" s="2">
        <f t="shared" si="340"/>
        <v>0</v>
      </c>
      <c r="DS2054" s="130">
        <f>SI!BY2054</f>
        <v>795</v>
      </c>
      <c r="DZ2054" s="131">
        <f>SI!BZ2054</f>
        <v>0</v>
      </c>
    </row>
    <row r="2055" spans="1:130" hidden="1" x14ac:dyDescent="0.25">
      <c r="A2055" s="141"/>
      <c r="B2055" s="379"/>
      <c r="C2055" s="379"/>
      <c r="D2055" s="379"/>
      <c r="E2055" s="379"/>
      <c r="F2055" s="379"/>
      <c r="G2055" s="379"/>
      <c r="H2055" s="379"/>
      <c r="I2055" s="379"/>
      <c r="J2055" s="379"/>
      <c r="K2055" s="379"/>
      <c r="L2055" s="379"/>
      <c r="M2055" s="379"/>
      <c r="N2055" s="379"/>
      <c r="O2055" s="379"/>
      <c r="P2055" s="379"/>
      <c r="Q2055" s="379"/>
      <c r="R2055" s="379"/>
      <c r="S2055" s="379"/>
      <c r="T2055" s="379"/>
      <c r="U2055" s="379"/>
      <c r="V2055" s="379"/>
      <c r="W2055" s="379"/>
      <c r="X2055" s="379"/>
      <c r="Y2055" s="379"/>
      <c r="Z2055" s="379"/>
      <c r="AA2055" s="379"/>
      <c r="AB2055" s="379"/>
      <c r="AC2055" s="379"/>
      <c r="AD2055" s="379"/>
      <c r="AE2055" s="379"/>
      <c r="AF2055" s="379"/>
      <c r="AG2055" s="379"/>
      <c r="AH2055" s="379"/>
      <c r="AI2055" s="379"/>
      <c r="AJ2055" s="379"/>
      <c r="AK2055" s="379"/>
      <c r="AL2055" s="379"/>
      <c r="AM2055" s="379"/>
      <c r="AN2055" s="379"/>
      <c r="AO2055" s="379"/>
      <c r="AP2055" s="379"/>
      <c r="AQ2055" s="379"/>
      <c r="AR2055" s="379"/>
      <c r="AS2055" s="379"/>
      <c r="AT2055" s="379"/>
      <c r="AU2055" s="379"/>
      <c r="AV2055" s="379"/>
      <c r="AW2055" s="379"/>
      <c r="AX2055" s="379"/>
      <c r="AY2055" s="379"/>
      <c r="AZ2055" s="379"/>
      <c r="BA2055" s="379"/>
      <c r="BB2055" s="379"/>
      <c r="BC2055" s="379"/>
      <c r="BD2055" s="379"/>
      <c r="BE2055" s="379"/>
      <c r="BF2055" s="379"/>
      <c r="BG2055" s="379"/>
      <c r="BH2055" s="379"/>
      <c r="BI2055" s="379"/>
      <c r="BJ2055" s="379"/>
      <c r="BK2055" s="379"/>
      <c r="BL2055" s="379"/>
      <c r="BM2055" s="379"/>
      <c r="BN2055" s="379"/>
      <c r="BO2055" s="379"/>
      <c r="BP2055" s="379"/>
      <c r="BQ2055" s="379"/>
      <c r="BR2055" s="379"/>
      <c r="BS2055" s="379"/>
      <c r="BT2055" s="379"/>
      <c r="BU2055" s="379"/>
      <c r="BV2055" s="379"/>
      <c r="BW2055" s="379"/>
      <c r="BX2055" s="379"/>
      <c r="BY2055" s="379"/>
      <c r="BZ2055" s="379"/>
      <c r="CA2055" s="270"/>
      <c r="CB2055" s="3" t="str">
        <f t="shared" si="343"/>
        <v>Riadok bude skrytý.</v>
      </c>
      <c r="CC2055" s="271" t="s">
        <v>832</v>
      </c>
      <c r="CW2055" s="30">
        <f t="shared" si="347"/>
        <v>0</v>
      </c>
      <c r="CZ2055" s="30">
        <f t="shared" si="342"/>
        <v>1</v>
      </c>
      <c r="DA2055" s="30">
        <f t="shared" si="344"/>
        <v>0</v>
      </c>
      <c r="DB2055" s="2">
        <f t="shared" si="340"/>
        <v>0</v>
      </c>
      <c r="DS2055" s="130">
        <f>SI!BY2055</f>
        <v>139</v>
      </c>
      <c r="DZ2055" s="131">
        <f>SI!BZ2055</f>
        <v>0</v>
      </c>
    </row>
    <row r="2056" spans="1:130" hidden="1" x14ac:dyDescent="0.25">
      <c r="A2056" s="141"/>
      <c r="B2056" s="379"/>
      <c r="C2056" s="379"/>
      <c r="D2056" s="379"/>
      <c r="E2056" s="379"/>
      <c r="F2056" s="379"/>
      <c r="G2056" s="379"/>
      <c r="H2056" s="379"/>
      <c r="I2056" s="379"/>
      <c r="J2056" s="379"/>
      <c r="K2056" s="379"/>
      <c r="L2056" s="379"/>
      <c r="M2056" s="379"/>
      <c r="N2056" s="379"/>
      <c r="O2056" s="379"/>
      <c r="P2056" s="379"/>
      <c r="Q2056" s="379"/>
      <c r="R2056" s="379"/>
      <c r="S2056" s="379"/>
      <c r="T2056" s="379"/>
      <c r="U2056" s="379"/>
      <c r="V2056" s="379"/>
      <c r="W2056" s="379"/>
      <c r="X2056" s="379"/>
      <c r="Y2056" s="379"/>
      <c r="Z2056" s="379"/>
      <c r="AA2056" s="379"/>
      <c r="AB2056" s="379"/>
      <c r="AC2056" s="379"/>
      <c r="AD2056" s="379"/>
      <c r="AE2056" s="379"/>
      <c r="AF2056" s="379"/>
      <c r="AG2056" s="379"/>
      <c r="AH2056" s="379"/>
      <c r="AI2056" s="379"/>
      <c r="AJ2056" s="379"/>
      <c r="AK2056" s="379"/>
      <c r="AL2056" s="379"/>
      <c r="AM2056" s="379"/>
      <c r="AN2056" s="379"/>
      <c r="AO2056" s="379"/>
      <c r="AP2056" s="379"/>
      <c r="AQ2056" s="379"/>
      <c r="AR2056" s="379"/>
      <c r="AS2056" s="379"/>
      <c r="AT2056" s="379"/>
      <c r="AU2056" s="379"/>
      <c r="AV2056" s="379"/>
      <c r="AW2056" s="379"/>
      <c r="AX2056" s="379"/>
      <c r="AY2056" s="379"/>
      <c r="AZ2056" s="379"/>
      <c r="BA2056" s="379"/>
      <c r="BB2056" s="379"/>
      <c r="BC2056" s="379"/>
      <c r="BD2056" s="379"/>
      <c r="BE2056" s="379"/>
      <c r="BF2056" s="379"/>
      <c r="BG2056" s="379"/>
      <c r="BH2056" s="379"/>
      <c r="BI2056" s="379"/>
      <c r="BJ2056" s="379"/>
      <c r="BK2056" s="379"/>
      <c r="BL2056" s="379"/>
      <c r="BM2056" s="379"/>
      <c r="BN2056" s="379"/>
      <c r="BO2056" s="379"/>
      <c r="BP2056" s="379"/>
      <c r="BQ2056" s="379"/>
      <c r="BR2056" s="379"/>
      <c r="BS2056" s="379"/>
      <c r="BT2056" s="379"/>
      <c r="BU2056" s="379"/>
      <c r="BV2056" s="379"/>
      <c r="BW2056" s="379"/>
      <c r="BX2056" s="379"/>
      <c r="BY2056" s="379"/>
      <c r="BZ2056" s="379"/>
      <c r="CA2056" s="270"/>
      <c r="CB2056" s="3" t="str">
        <f t="shared" si="343"/>
        <v>Riadok bude skrytý.</v>
      </c>
      <c r="CC2056" s="271" t="s">
        <v>832</v>
      </c>
      <c r="CW2056" s="30">
        <f t="shared" si="347"/>
        <v>0</v>
      </c>
      <c r="CZ2056" s="30">
        <f t="shared" si="342"/>
        <v>1</v>
      </c>
      <c r="DA2056" s="30">
        <f t="shared" si="344"/>
        <v>0</v>
      </c>
      <c r="DB2056" s="2">
        <f t="shared" si="340"/>
        <v>0</v>
      </c>
      <c r="DS2056" s="130">
        <f>SI!BY2056</f>
        <v>4</v>
      </c>
      <c r="DZ2056" s="131">
        <f>SI!BZ2056</f>
        <v>0</v>
      </c>
    </row>
    <row r="2057" spans="1:130" hidden="1" x14ac:dyDescent="0.25">
      <c r="A2057" s="141"/>
      <c r="B2057" s="379"/>
      <c r="C2057" s="379"/>
      <c r="D2057" s="379"/>
      <c r="E2057" s="379"/>
      <c r="F2057" s="379"/>
      <c r="G2057" s="379"/>
      <c r="H2057" s="379"/>
      <c r="I2057" s="379"/>
      <c r="J2057" s="379"/>
      <c r="K2057" s="379"/>
      <c r="L2057" s="379"/>
      <c r="M2057" s="379"/>
      <c r="N2057" s="379"/>
      <c r="O2057" s="379"/>
      <c r="P2057" s="379"/>
      <c r="Q2057" s="379"/>
      <c r="R2057" s="379"/>
      <c r="S2057" s="379"/>
      <c r="T2057" s="379"/>
      <c r="U2057" s="379"/>
      <c r="V2057" s="379"/>
      <c r="W2057" s="379"/>
      <c r="X2057" s="379"/>
      <c r="Y2057" s="379"/>
      <c r="Z2057" s="379"/>
      <c r="AA2057" s="379"/>
      <c r="AB2057" s="379"/>
      <c r="AC2057" s="379"/>
      <c r="AD2057" s="379"/>
      <c r="AE2057" s="379"/>
      <c r="AF2057" s="379"/>
      <c r="AG2057" s="379"/>
      <c r="AH2057" s="379"/>
      <c r="AI2057" s="379"/>
      <c r="AJ2057" s="379"/>
      <c r="AK2057" s="379"/>
      <c r="AL2057" s="379"/>
      <c r="AM2057" s="379"/>
      <c r="AN2057" s="379"/>
      <c r="AO2057" s="379"/>
      <c r="AP2057" s="379"/>
      <c r="AQ2057" s="379"/>
      <c r="AR2057" s="379"/>
      <c r="AS2057" s="379"/>
      <c r="AT2057" s="379"/>
      <c r="AU2057" s="379"/>
      <c r="AV2057" s="379"/>
      <c r="AW2057" s="379"/>
      <c r="AX2057" s="379"/>
      <c r="AY2057" s="379"/>
      <c r="AZ2057" s="379"/>
      <c r="BA2057" s="379"/>
      <c r="BB2057" s="379"/>
      <c r="BC2057" s="379"/>
      <c r="BD2057" s="379"/>
      <c r="BE2057" s="379"/>
      <c r="BF2057" s="379"/>
      <c r="BG2057" s="379"/>
      <c r="BH2057" s="379"/>
      <c r="BI2057" s="379"/>
      <c r="BJ2057" s="379"/>
      <c r="BK2057" s="379"/>
      <c r="BL2057" s="379"/>
      <c r="BM2057" s="379"/>
      <c r="BN2057" s="379"/>
      <c r="BO2057" s="379"/>
      <c r="BP2057" s="379"/>
      <c r="BQ2057" s="379"/>
      <c r="BR2057" s="379"/>
      <c r="BS2057" s="379"/>
      <c r="BT2057" s="379"/>
      <c r="BU2057" s="379"/>
      <c r="BV2057" s="379"/>
      <c r="BW2057" s="379"/>
      <c r="BX2057" s="379"/>
      <c r="BY2057" s="379"/>
      <c r="BZ2057" s="379"/>
      <c r="CA2057" s="270"/>
      <c r="CB2057" s="3" t="str">
        <f t="shared" si="343"/>
        <v>Riadok bude skrytý.</v>
      </c>
      <c r="CC2057" s="271" t="s">
        <v>832</v>
      </c>
      <c r="CW2057" s="30">
        <f t="shared" si="347"/>
        <v>0</v>
      </c>
      <c r="CZ2057" s="30">
        <f t="shared" si="342"/>
        <v>1</v>
      </c>
      <c r="DA2057" s="30">
        <f t="shared" si="344"/>
        <v>0</v>
      </c>
      <c r="DB2057" s="2">
        <f t="shared" si="340"/>
        <v>0</v>
      </c>
      <c r="DS2057" s="130">
        <f>SI!BY2057</f>
        <v>155</v>
      </c>
      <c r="DZ2057" s="131">
        <f>SI!BZ2057</f>
        <v>0</v>
      </c>
    </row>
    <row r="2058" spans="1:130" hidden="1" x14ac:dyDescent="0.25">
      <c r="A2058" s="141"/>
      <c r="B2058" s="379"/>
      <c r="C2058" s="379"/>
      <c r="D2058" s="379"/>
      <c r="E2058" s="379"/>
      <c r="F2058" s="379"/>
      <c r="G2058" s="379"/>
      <c r="H2058" s="379"/>
      <c r="I2058" s="379"/>
      <c r="J2058" s="379"/>
      <c r="K2058" s="379"/>
      <c r="L2058" s="379"/>
      <c r="M2058" s="379"/>
      <c r="N2058" s="379"/>
      <c r="O2058" s="379"/>
      <c r="P2058" s="379"/>
      <c r="Q2058" s="379"/>
      <c r="R2058" s="379"/>
      <c r="S2058" s="379"/>
      <c r="T2058" s="379"/>
      <c r="U2058" s="379"/>
      <c r="V2058" s="379"/>
      <c r="W2058" s="379"/>
      <c r="X2058" s="379"/>
      <c r="Y2058" s="379"/>
      <c r="Z2058" s="379"/>
      <c r="AA2058" s="379"/>
      <c r="AB2058" s="379"/>
      <c r="AC2058" s="379"/>
      <c r="AD2058" s="379"/>
      <c r="AE2058" s="379"/>
      <c r="AF2058" s="379"/>
      <c r="AG2058" s="379"/>
      <c r="AH2058" s="379"/>
      <c r="AI2058" s="379"/>
      <c r="AJ2058" s="379"/>
      <c r="AK2058" s="379"/>
      <c r="AL2058" s="379"/>
      <c r="AM2058" s="379"/>
      <c r="AN2058" s="379"/>
      <c r="AO2058" s="379"/>
      <c r="AP2058" s="379"/>
      <c r="AQ2058" s="379"/>
      <c r="AR2058" s="379"/>
      <c r="AS2058" s="379"/>
      <c r="AT2058" s="379"/>
      <c r="AU2058" s="379"/>
      <c r="AV2058" s="379"/>
      <c r="AW2058" s="379"/>
      <c r="AX2058" s="379"/>
      <c r="AY2058" s="379"/>
      <c r="AZ2058" s="379"/>
      <c r="BA2058" s="379"/>
      <c r="BB2058" s="379"/>
      <c r="BC2058" s="379"/>
      <c r="BD2058" s="379"/>
      <c r="BE2058" s="379"/>
      <c r="BF2058" s="379"/>
      <c r="BG2058" s="379"/>
      <c r="BH2058" s="379"/>
      <c r="BI2058" s="379"/>
      <c r="BJ2058" s="379"/>
      <c r="BK2058" s="379"/>
      <c r="BL2058" s="379"/>
      <c r="BM2058" s="379"/>
      <c r="BN2058" s="379"/>
      <c r="BO2058" s="379"/>
      <c r="BP2058" s="379"/>
      <c r="BQ2058" s="379"/>
      <c r="BR2058" s="379"/>
      <c r="BS2058" s="379"/>
      <c r="BT2058" s="379"/>
      <c r="BU2058" s="379"/>
      <c r="BV2058" s="379"/>
      <c r="BW2058" s="379"/>
      <c r="BX2058" s="379"/>
      <c r="BY2058" s="379"/>
      <c r="BZ2058" s="379"/>
      <c r="CA2058" s="270"/>
      <c r="CB2058" s="3" t="str">
        <f t="shared" si="343"/>
        <v>Riadok bude skrytý.</v>
      </c>
      <c r="CC2058" s="271" t="s">
        <v>832</v>
      </c>
      <c r="CW2058" s="30">
        <f t="shared" si="347"/>
        <v>0</v>
      </c>
      <c r="CZ2058" s="30">
        <f t="shared" si="342"/>
        <v>1</v>
      </c>
      <c r="DA2058" s="30">
        <f t="shared" si="344"/>
        <v>0</v>
      </c>
      <c r="DB2058" s="2">
        <f t="shared" si="340"/>
        <v>0</v>
      </c>
      <c r="DS2058" s="130">
        <f>SI!BY2058</f>
        <v>895</v>
      </c>
      <c r="DZ2058" s="131">
        <f>SI!BZ2058</f>
        <v>0</v>
      </c>
    </row>
    <row r="2059" spans="1:130" hidden="1" x14ac:dyDescent="0.25">
      <c r="A2059" s="141"/>
      <c r="B2059" s="379"/>
      <c r="C2059" s="379"/>
      <c r="D2059" s="379"/>
      <c r="E2059" s="379"/>
      <c r="F2059" s="379"/>
      <c r="G2059" s="379"/>
      <c r="H2059" s="379"/>
      <c r="I2059" s="379"/>
      <c r="J2059" s="379"/>
      <c r="K2059" s="379"/>
      <c r="L2059" s="379"/>
      <c r="M2059" s="379"/>
      <c r="N2059" s="379"/>
      <c r="O2059" s="379"/>
      <c r="P2059" s="379"/>
      <c r="Q2059" s="379"/>
      <c r="R2059" s="379"/>
      <c r="S2059" s="379"/>
      <c r="T2059" s="379"/>
      <c r="U2059" s="379"/>
      <c r="V2059" s="379"/>
      <c r="W2059" s="379"/>
      <c r="X2059" s="379"/>
      <c r="Y2059" s="379"/>
      <c r="Z2059" s="379"/>
      <c r="AA2059" s="379"/>
      <c r="AB2059" s="379"/>
      <c r="AC2059" s="379"/>
      <c r="AD2059" s="379"/>
      <c r="AE2059" s="379"/>
      <c r="AF2059" s="379"/>
      <c r="AG2059" s="379"/>
      <c r="AH2059" s="379"/>
      <c r="AI2059" s="379"/>
      <c r="AJ2059" s="379"/>
      <c r="AK2059" s="379"/>
      <c r="AL2059" s="379"/>
      <c r="AM2059" s="379"/>
      <c r="AN2059" s="379"/>
      <c r="AO2059" s="379"/>
      <c r="AP2059" s="379"/>
      <c r="AQ2059" s="379"/>
      <c r="AR2059" s="379"/>
      <c r="AS2059" s="379"/>
      <c r="AT2059" s="379"/>
      <c r="AU2059" s="379"/>
      <c r="AV2059" s="379"/>
      <c r="AW2059" s="379"/>
      <c r="AX2059" s="379"/>
      <c r="AY2059" s="379"/>
      <c r="AZ2059" s="379"/>
      <c r="BA2059" s="379"/>
      <c r="BB2059" s="379"/>
      <c r="BC2059" s="379"/>
      <c r="BD2059" s="379"/>
      <c r="BE2059" s="379"/>
      <c r="BF2059" s="379"/>
      <c r="BG2059" s="379"/>
      <c r="BH2059" s="379"/>
      <c r="BI2059" s="379"/>
      <c r="BJ2059" s="379"/>
      <c r="BK2059" s="379"/>
      <c r="BL2059" s="379"/>
      <c r="BM2059" s="379"/>
      <c r="BN2059" s="379"/>
      <c r="BO2059" s="379"/>
      <c r="BP2059" s="379"/>
      <c r="BQ2059" s="379"/>
      <c r="BR2059" s="379"/>
      <c r="BS2059" s="379"/>
      <c r="BT2059" s="379"/>
      <c r="BU2059" s="379"/>
      <c r="BV2059" s="379"/>
      <c r="BW2059" s="379"/>
      <c r="BX2059" s="379"/>
      <c r="BY2059" s="379"/>
      <c r="BZ2059" s="379"/>
      <c r="CA2059" s="270"/>
      <c r="CB2059" s="3" t="str">
        <f t="shared" si="343"/>
        <v>Riadok bude skrytý.</v>
      </c>
      <c r="CC2059" s="271" t="s">
        <v>832</v>
      </c>
      <c r="CW2059" s="30">
        <f t="shared" si="347"/>
        <v>0</v>
      </c>
      <c r="CZ2059" s="30">
        <f t="shared" si="342"/>
        <v>1</v>
      </c>
      <c r="DA2059" s="30">
        <f t="shared" si="344"/>
        <v>0</v>
      </c>
      <c r="DB2059" s="2">
        <f t="shared" si="340"/>
        <v>0</v>
      </c>
      <c r="DS2059" s="130">
        <f>SI!BY2059</f>
        <v>145</v>
      </c>
      <c r="DZ2059" s="131">
        <f>SI!BZ2059</f>
        <v>0</v>
      </c>
    </row>
    <row r="2060" spans="1:130" hidden="1" x14ac:dyDescent="0.25">
      <c r="A2060" s="141"/>
      <c r="B2060" s="379"/>
      <c r="C2060" s="379"/>
      <c r="D2060" s="379"/>
      <c r="E2060" s="379"/>
      <c r="F2060" s="379"/>
      <c r="G2060" s="379"/>
      <c r="H2060" s="379"/>
      <c r="I2060" s="379"/>
      <c r="J2060" s="379"/>
      <c r="K2060" s="379"/>
      <c r="L2060" s="379"/>
      <c r="M2060" s="379"/>
      <c r="N2060" s="379"/>
      <c r="O2060" s="379"/>
      <c r="P2060" s="379"/>
      <c r="Q2060" s="379"/>
      <c r="R2060" s="379"/>
      <c r="S2060" s="379"/>
      <c r="T2060" s="379"/>
      <c r="U2060" s="379"/>
      <c r="V2060" s="379"/>
      <c r="W2060" s="379"/>
      <c r="X2060" s="379"/>
      <c r="Y2060" s="379"/>
      <c r="Z2060" s="379"/>
      <c r="AA2060" s="379"/>
      <c r="AB2060" s="379"/>
      <c r="AC2060" s="379"/>
      <c r="AD2060" s="379"/>
      <c r="AE2060" s="379"/>
      <c r="AF2060" s="379"/>
      <c r="AG2060" s="379"/>
      <c r="AH2060" s="379"/>
      <c r="AI2060" s="379"/>
      <c r="AJ2060" s="379"/>
      <c r="AK2060" s="379"/>
      <c r="AL2060" s="379"/>
      <c r="AM2060" s="379"/>
      <c r="AN2060" s="379"/>
      <c r="AO2060" s="379"/>
      <c r="AP2060" s="379"/>
      <c r="AQ2060" s="379"/>
      <c r="AR2060" s="379"/>
      <c r="AS2060" s="379"/>
      <c r="AT2060" s="379"/>
      <c r="AU2060" s="379"/>
      <c r="AV2060" s="379"/>
      <c r="AW2060" s="379"/>
      <c r="AX2060" s="379"/>
      <c r="AY2060" s="379"/>
      <c r="AZ2060" s="379"/>
      <c r="BA2060" s="379"/>
      <c r="BB2060" s="379"/>
      <c r="BC2060" s="379"/>
      <c r="BD2060" s="379"/>
      <c r="BE2060" s="379"/>
      <c r="BF2060" s="379"/>
      <c r="BG2060" s="379"/>
      <c r="BH2060" s="379"/>
      <c r="BI2060" s="379"/>
      <c r="BJ2060" s="379"/>
      <c r="BK2060" s="379"/>
      <c r="BL2060" s="379"/>
      <c r="BM2060" s="379"/>
      <c r="BN2060" s="379"/>
      <c r="BO2060" s="379"/>
      <c r="BP2060" s="379"/>
      <c r="BQ2060" s="379"/>
      <c r="BR2060" s="379"/>
      <c r="BS2060" s="379"/>
      <c r="BT2060" s="379"/>
      <c r="BU2060" s="379"/>
      <c r="BV2060" s="379"/>
      <c r="BW2060" s="379"/>
      <c r="BX2060" s="379"/>
      <c r="BY2060" s="379"/>
      <c r="BZ2060" s="379"/>
      <c r="CA2060" s="270"/>
      <c r="CB2060" s="3" t="str">
        <f t="shared" si="343"/>
        <v>Riadok bude skrytý.</v>
      </c>
      <c r="CC2060" s="271" t="s">
        <v>832</v>
      </c>
      <c r="CW2060" s="30">
        <f t="shared" si="347"/>
        <v>0</v>
      </c>
      <c r="CZ2060" s="30">
        <f t="shared" si="342"/>
        <v>1</v>
      </c>
      <c r="DA2060" s="30">
        <f t="shared" si="344"/>
        <v>0</v>
      </c>
      <c r="DB2060" s="2">
        <f t="shared" si="340"/>
        <v>0</v>
      </c>
      <c r="DS2060" s="130">
        <f>SI!BY2060</f>
        <v>155</v>
      </c>
      <c r="DZ2060" s="131">
        <f>SI!BZ2060</f>
        <v>0</v>
      </c>
    </row>
    <row r="2061" spans="1:130" hidden="1" x14ac:dyDescent="0.25">
      <c r="A2061" s="141"/>
      <c r="B2061" s="379"/>
      <c r="C2061" s="379"/>
      <c r="D2061" s="379"/>
      <c r="E2061" s="379"/>
      <c r="F2061" s="379"/>
      <c r="G2061" s="379"/>
      <c r="H2061" s="379"/>
      <c r="I2061" s="379"/>
      <c r="J2061" s="379"/>
      <c r="K2061" s="379"/>
      <c r="L2061" s="379"/>
      <c r="M2061" s="379"/>
      <c r="N2061" s="379"/>
      <c r="O2061" s="379"/>
      <c r="P2061" s="379"/>
      <c r="Q2061" s="379"/>
      <c r="R2061" s="379"/>
      <c r="S2061" s="379"/>
      <c r="T2061" s="379"/>
      <c r="U2061" s="379"/>
      <c r="V2061" s="379"/>
      <c r="W2061" s="379"/>
      <c r="X2061" s="379"/>
      <c r="Y2061" s="379"/>
      <c r="Z2061" s="379"/>
      <c r="AA2061" s="379"/>
      <c r="AB2061" s="379"/>
      <c r="AC2061" s="379"/>
      <c r="AD2061" s="379"/>
      <c r="AE2061" s="379"/>
      <c r="AF2061" s="379"/>
      <c r="AG2061" s="379"/>
      <c r="AH2061" s="379"/>
      <c r="AI2061" s="379"/>
      <c r="AJ2061" s="379"/>
      <c r="AK2061" s="379"/>
      <c r="AL2061" s="379"/>
      <c r="AM2061" s="379"/>
      <c r="AN2061" s="379"/>
      <c r="AO2061" s="379"/>
      <c r="AP2061" s="379"/>
      <c r="AQ2061" s="379"/>
      <c r="AR2061" s="379"/>
      <c r="AS2061" s="379"/>
      <c r="AT2061" s="379"/>
      <c r="AU2061" s="379"/>
      <c r="AV2061" s="379"/>
      <c r="AW2061" s="379"/>
      <c r="AX2061" s="379"/>
      <c r="AY2061" s="379"/>
      <c r="AZ2061" s="379"/>
      <c r="BA2061" s="379"/>
      <c r="BB2061" s="379"/>
      <c r="BC2061" s="379"/>
      <c r="BD2061" s="379"/>
      <c r="BE2061" s="379"/>
      <c r="BF2061" s="379"/>
      <c r="BG2061" s="379"/>
      <c r="BH2061" s="379"/>
      <c r="BI2061" s="379"/>
      <c r="BJ2061" s="379"/>
      <c r="BK2061" s="379"/>
      <c r="BL2061" s="379"/>
      <c r="BM2061" s="379"/>
      <c r="BN2061" s="379"/>
      <c r="BO2061" s="379"/>
      <c r="BP2061" s="379"/>
      <c r="BQ2061" s="379"/>
      <c r="BR2061" s="379"/>
      <c r="BS2061" s="379"/>
      <c r="BT2061" s="379"/>
      <c r="BU2061" s="379"/>
      <c r="BV2061" s="379"/>
      <c r="BW2061" s="379"/>
      <c r="BX2061" s="379"/>
      <c r="BY2061" s="379"/>
      <c r="BZ2061" s="379"/>
      <c r="CA2061" s="270"/>
      <c r="CB2061" s="3" t="str">
        <f t="shared" si="343"/>
        <v>Riadok bude skrytý.</v>
      </c>
      <c r="CC2061" s="271" t="s">
        <v>832</v>
      </c>
      <c r="CW2061" s="30">
        <f t="shared" si="347"/>
        <v>0</v>
      </c>
      <c r="CZ2061" s="30">
        <f t="shared" si="342"/>
        <v>1</v>
      </c>
      <c r="DA2061" s="30">
        <f t="shared" si="344"/>
        <v>0</v>
      </c>
      <c r="DB2061" s="2">
        <f t="shared" si="340"/>
        <v>0</v>
      </c>
      <c r="DS2061" s="130">
        <f>SI!BY2061</f>
        <v>184</v>
      </c>
      <c r="DZ2061" s="131">
        <f>SI!BZ2061</f>
        <v>0</v>
      </c>
    </row>
    <row r="2062" spans="1:130" hidden="1" x14ac:dyDescent="0.25">
      <c r="A2062" s="141"/>
      <c r="B2062" s="379"/>
      <c r="C2062" s="379"/>
      <c r="D2062" s="379"/>
      <c r="E2062" s="379"/>
      <c r="F2062" s="379"/>
      <c r="G2062" s="379"/>
      <c r="H2062" s="379"/>
      <c r="I2062" s="379"/>
      <c r="J2062" s="379"/>
      <c r="K2062" s="379"/>
      <c r="L2062" s="379"/>
      <c r="M2062" s="379"/>
      <c r="N2062" s="379"/>
      <c r="O2062" s="379"/>
      <c r="P2062" s="379"/>
      <c r="Q2062" s="379"/>
      <c r="R2062" s="379"/>
      <c r="S2062" s="379"/>
      <c r="T2062" s="379"/>
      <c r="U2062" s="379"/>
      <c r="V2062" s="379"/>
      <c r="W2062" s="379"/>
      <c r="X2062" s="379"/>
      <c r="Y2062" s="379"/>
      <c r="Z2062" s="379"/>
      <c r="AA2062" s="379"/>
      <c r="AB2062" s="379"/>
      <c r="AC2062" s="379"/>
      <c r="AD2062" s="379"/>
      <c r="AE2062" s="379"/>
      <c r="AF2062" s="379"/>
      <c r="AG2062" s="379"/>
      <c r="AH2062" s="379"/>
      <c r="AI2062" s="379"/>
      <c r="AJ2062" s="379"/>
      <c r="AK2062" s="379"/>
      <c r="AL2062" s="379"/>
      <c r="AM2062" s="379"/>
      <c r="AN2062" s="379"/>
      <c r="AO2062" s="379"/>
      <c r="AP2062" s="379"/>
      <c r="AQ2062" s="379"/>
      <c r="AR2062" s="379"/>
      <c r="AS2062" s="379"/>
      <c r="AT2062" s="379"/>
      <c r="AU2062" s="379"/>
      <c r="AV2062" s="379"/>
      <c r="AW2062" s="379"/>
      <c r="AX2062" s="379"/>
      <c r="AY2062" s="379"/>
      <c r="AZ2062" s="379"/>
      <c r="BA2062" s="379"/>
      <c r="BB2062" s="379"/>
      <c r="BC2062" s="379"/>
      <c r="BD2062" s="379"/>
      <c r="BE2062" s="379"/>
      <c r="BF2062" s="379"/>
      <c r="BG2062" s="379"/>
      <c r="BH2062" s="379"/>
      <c r="BI2062" s="379"/>
      <c r="BJ2062" s="379"/>
      <c r="BK2062" s="379"/>
      <c r="BL2062" s="379"/>
      <c r="BM2062" s="379"/>
      <c r="BN2062" s="379"/>
      <c r="BO2062" s="379"/>
      <c r="BP2062" s="379"/>
      <c r="BQ2062" s="379"/>
      <c r="BR2062" s="379"/>
      <c r="BS2062" s="379"/>
      <c r="BT2062" s="379"/>
      <c r="BU2062" s="379"/>
      <c r="BV2062" s="379"/>
      <c r="BW2062" s="379"/>
      <c r="BX2062" s="379"/>
      <c r="BY2062" s="379"/>
      <c r="BZ2062" s="379"/>
      <c r="CA2062" s="270"/>
      <c r="CB2062" s="3" t="str">
        <f t="shared" si="343"/>
        <v>Riadok bude skrytý.</v>
      </c>
      <c r="CC2062" s="271" t="s">
        <v>832</v>
      </c>
      <c r="CW2062" s="30">
        <f t="shared" si="347"/>
        <v>0</v>
      </c>
      <c r="CZ2062" s="30">
        <f t="shared" si="342"/>
        <v>1</v>
      </c>
      <c r="DA2062" s="30">
        <f t="shared" si="344"/>
        <v>0</v>
      </c>
      <c r="DB2062" s="2">
        <f t="shared" si="340"/>
        <v>0</v>
      </c>
      <c r="DS2062" s="130">
        <f>SI!BY2062</f>
        <v>174</v>
      </c>
      <c r="DZ2062" s="131">
        <f>SI!BZ2062</f>
        <v>0</v>
      </c>
    </row>
    <row r="2063" spans="1:130" hidden="1" x14ac:dyDescent="0.25">
      <c r="A2063" s="141"/>
      <c r="B2063" s="379"/>
      <c r="C2063" s="379"/>
      <c r="D2063" s="379"/>
      <c r="E2063" s="379"/>
      <c r="F2063" s="379"/>
      <c r="G2063" s="379"/>
      <c r="H2063" s="379"/>
      <c r="I2063" s="379"/>
      <c r="J2063" s="379"/>
      <c r="K2063" s="379"/>
      <c r="L2063" s="379"/>
      <c r="M2063" s="379"/>
      <c r="N2063" s="379"/>
      <c r="O2063" s="379"/>
      <c r="P2063" s="379"/>
      <c r="Q2063" s="379"/>
      <c r="R2063" s="379"/>
      <c r="S2063" s="379"/>
      <c r="T2063" s="379"/>
      <c r="U2063" s="379"/>
      <c r="V2063" s="379"/>
      <c r="W2063" s="379"/>
      <c r="X2063" s="379"/>
      <c r="Y2063" s="379"/>
      <c r="Z2063" s="379"/>
      <c r="AA2063" s="379"/>
      <c r="AB2063" s="379"/>
      <c r="AC2063" s="379"/>
      <c r="AD2063" s="379"/>
      <c r="AE2063" s="379"/>
      <c r="AF2063" s="379"/>
      <c r="AG2063" s="379"/>
      <c r="AH2063" s="379"/>
      <c r="AI2063" s="379"/>
      <c r="AJ2063" s="379"/>
      <c r="AK2063" s="379"/>
      <c r="AL2063" s="379"/>
      <c r="AM2063" s="379"/>
      <c r="AN2063" s="379"/>
      <c r="AO2063" s="379"/>
      <c r="AP2063" s="379"/>
      <c r="AQ2063" s="379"/>
      <c r="AR2063" s="379"/>
      <c r="AS2063" s="379"/>
      <c r="AT2063" s="379"/>
      <c r="AU2063" s="379"/>
      <c r="AV2063" s="379"/>
      <c r="AW2063" s="379"/>
      <c r="AX2063" s="379"/>
      <c r="AY2063" s="379"/>
      <c r="AZ2063" s="379"/>
      <c r="BA2063" s="379"/>
      <c r="BB2063" s="379"/>
      <c r="BC2063" s="379"/>
      <c r="BD2063" s="379"/>
      <c r="BE2063" s="379"/>
      <c r="BF2063" s="379"/>
      <c r="BG2063" s="379"/>
      <c r="BH2063" s="379"/>
      <c r="BI2063" s="379"/>
      <c r="BJ2063" s="379"/>
      <c r="BK2063" s="379"/>
      <c r="BL2063" s="379"/>
      <c r="BM2063" s="379"/>
      <c r="BN2063" s="379"/>
      <c r="BO2063" s="379"/>
      <c r="BP2063" s="379"/>
      <c r="BQ2063" s="379"/>
      <c r="BR2063" s="379"/>
      <c r="BS2063" s="379"/>
      <c r="BT2063" s="379"/>
      <c r="BU2063" s="379"/>
      <c r="BV2063" s="379"/>
      <c r="BW2063" s="379"/>
      <c r="BX2063" s="379"/>
      <c r="BY2063" s="379"/>
      <c r="BZ2063" s="379"/>
      <c r="CA2063" s="270"/>
      <c r="CB2063" s="3" t="str">
        <f t="shared" si="343"/>
        <v>Riadok bude skrytý.</v>
      </c>
      <c r="CC2063" s="271" t="s">
        <v>832</v>
      </c>
      <c r="CW2063" s="30">
        <f t="shared" si="347"/>
        <v>0</v>
      </c>
      <c r="CZ2063" s="30">
        <f t="shared" si="342"/>
        <v>1</v>
      </c>
      <c r="DA2063" s="30">
        <f t="shared" si="344"/>
        <v>0</v>
      </c>
      <c r="DB2063" s="2">
        <f t="shared" si="340"/>
        <v>0</v>
      </c>
      <c r="DS2063" s="130">
        <f>SI!BY2063</f>
        <v>146</v>
      </c>
      <c r="DZ2063" s="131">
        <f>SI!BZ2063</f>
        <v>0</v>
      </c>
    </row>
    <row r="2064" spans="1:130" hidden="1" x14ac:dyDescent="0.25">
      <c r="A2064" s="141"/>
      <c r="B2064" s="379"/>
      <c r="C2064" s="379"/>
      <c r="D2064" s="379"/>
      <c r="E2064" s="379"/>
      <c r="F2064" s="379"/>
      <c r="G2064" s="379"/>
      <c r="H2064" s="379"/>
      <c r="I2064" s="379"/>
      <c r="J2064" s="379"/>
      <c r="K2064" s="379"/>
      <c r="L2064" s="379"/>
      <c r="M2064" s="379"/>
      <c r="N2064" s="379"/>
      <c r="O2064" s="379"/>
      <c r="P2064" s="379"/>
      <c r="Q2064" s="379"/>
      <c r="R2064" s="379"/>
      <c r="S2064" s="379"/>
      <c r="T2064" s="379"/>
      <c r="U2064" s="379"/>
      <c r="V2064" s="379"/>
      <c r="W2064" s="379"/>
      <c r="X2064" s="379"/>
      <c r="Y2064" s="379"/>
      <c r="Z2064" s="379"/>
      <c r="AA2064" s="379"/>
      <c r="AB2064" s="379"/>
      <c r="AC2064" s="379"/>
      <c r="AD2064" s="379"/>
      <c r="AE2064" s="379"/>
      <c r="AF2064" s="379"/>
      <c r="AG2064" s="379"/>
      <c r="AH2064" s="379"/>
      <c r="AI2064" s="379"/>
      <c r="AJ2064" s="379"/>
      <c r="AK2064" s="379"/>
      <c r="AL2064" s="379"/>
      <c r="AM2064" s="379"/>
      <c r="AN2064" s="379"/>
      <c r="AO2064" s="379"/>
      <c r="AP2064" s="379"/>
      <c r="AQ2064" s="379"/>
      <c r="AR2064" s="379"/>
      <c r="AS2064" s="379"/>
      <c r="AT2064" s="379"/>
      <c r="AU2064" s="379"/>
      <c r="AV2064" s="379"/>
      <c r="AW2064" s="379"/>
      <c r="AX2064" s="379"/>
      <c r="AY2064" s="379"/>
      <c r="AZ2064" s="379"/>
      <c r="BA2064" s="379"/>
      <c r="BB2064" s="379"/>
      <c r="BC2064" s="379"/>
      <c r="BD2064" s="379"/>
      <c r="BE2064" s="379"/>
      <c r="BF2064" s="379"/>
      <c r="BG2064" s="379"/>
      <c r="BH2064" s="379"/>
      <c r="BI2064" s="379"/>
      <c r="BJ2064" s="379"/>
      <c r="BK2064" s="379"/>
      <c r="BL2064" s="379"/>
      <c r="BM2064" s="379"/>
      <c r="BN2064" s="379"/>
      <c r="BO2064" s="379"/>
      <c r="BP2064" s="379"/>
      <c r="BQ2064" s="379"/>
      <c r="BR2064" s="379"/>
      <c r="BS2064" s="379"/>
      <c r="BT2064" s="379"/>
      <c r="BU2064" s="379"/>
      <c r="BV2064" s="379"/>
      <c r="BW2064" s="379"/>
      <c r="BX2064" s="379"/>
      <c r="BY2064" s="379"/>
      <c r="BZ2064" s="379"/>
      <c r="CA2064" s="270"/>
      <c r="CB2064" s="3" t="str">
        <f t="shared" si="343"/>
        <v>Riadok bude skrytý.</v>
      </c>
      <c r="CC2064" s="271" t="s">
        <v>832</v>
      </c>
      <c r="CW2064" s="30">
        <f t="shared" si="347"/>
        <v>0</v>
      </c>
      <c r="CZ2064" s="30">
        <f t="shared" si="342"/>
        <v>1</v>
      </c>
      <c r="DA2064" s="30">
        <f t="shared" si="344"/>
        <v>0</v>
      </c>
      <c r="DB2064" s="2">
        <f t="shared" si="340"/>
        <v>0</v>
      </c>
      <c r="DS2064" s="130">
        <f>SI!BY2064</f>
        <v>110</v>
      </c>
      <c r="DZ2064" s="131">
        <f>SI!BZ2064</f>
        <v>0</v>
      </c>
    </row>
    <row r="2065" spans="1:130" hidden="1" x14ac:dyDescent="0.25">
      <c r="A2065" s="141"/>
      <c r="CA2065" s="270"/>
      <c r="CB2065" s="3" t="str">
        <f t="shared" si="343"/>
        <v>Riadok bude skrytý.</v>
      </c>
      <c r="CC2065" s="271" t="s">
        <v>832</v>
      </c>
      <c r="CW2065" s="49">
        <v>1</v>
      </c>
      <c r="CZ2065" s="30">
        <f t="shared" si="342"/>
        <v>1</v>
      </c>
      <c r="DA2065" s="30">
        <f t="shared" si="344"/>
        <v>1</v>
      </c>
      <c r="DB2065" s="2">
        <f t="shared" si="340"/>
        <v>0</v>
      </c>
      <c r="DS2065" s="130">
        <f>SI!BY2065</f>
        <v>136</v>
      </c>
      <c r="DZ2065" s="131">
        <f>SI!BZ2065</f>
        <v>0</v>
      </c>
    </row>
    <row r="2066" spans="1:130" hidden="1" x14ac:dyDescent="0.25">
      <c r="A2066" s="141"/>
      <c r="B2066" s="289" t="s">
        <v>150</v>
      </c>
      <c r="C2066" s="288"/>
      <c r="D2066" s="288"/>
      <c r="E2066" s="288"/>
      <c r="F2066" s="288"/>
      <c r="G2066" s="289" t="str">
        <f>+IF($S$52&lt;&gt;"",IF((CODE(MID($S$52,1,1))/100)&lt;10,IF(COMBIN(LEN(SI!J3),2)=DS2066,"Rezervy","NEPOVOLENÉ POUŽITIE !"),"NEPOVOLENÉ POUŽITIE!"),"NEPOVOLENÉ POUŽITIE !")</f>
        <v>Rezervy</v>
      </c>
      <c r="H2066" s="289"/>
      <c r="I2066" s="288"/>
      <c r="J2066" s="288"/>
      <c r="K2066" s="288"/>
      <c r="L2066" s="288"/>
      <c r="M2066" s="288"/>
      <c r="N2066" s="288"/>
      <c r="O2066" s="288"/>
      <c r="P2066" s="288"/>
      <c r="Q2066" s="288"/>
      <c r="R2066" s="288"/>
      <c r="S2066" s="288"/>
      <c r="T2066" s="288"/>
      <c r="U2066" s="288"/>
      <c r="V2066" s="288"/>
      <c r="W2066" s="288"/>
      <c r="X2066" s="288"/>
      <c r="Y2066" s="288"/>
      <c r="Z2066" s="288"/>
      <c r="AA2066" s="288"/>
      <c r="AB2066" s="288"/>
      <c r="AC2066" s="288"/>
      <c r="AD2066" s="288"/>
      <c r="AE2066" s="288"/>
      <c r="AF2066" s="288"/>
      <c r="AG2066" s="288"/>
      <c r="AH2066" s="288"/>
      <c r="AI2066" s="288"/>
      <c r="AJ2066" s="288"/>
      <c r="AK2066" s="288"/>
      <c r="AL2066" s="288"/>
      <c r="AM2066" s="288"/>
      <c r="AN2066" s="288"/>
      <c r="AO2066" s="288"/>
      <c r="AP2066" s="288"/>
      <c r="AQ2066" s="288"/>
      <c r="AR2066" s="288"/>
      <c r="AS2066" s="288"/>
      <c r="AT2066" s="288"/>
      <c r="AU2066" s="288"/>
      <c r="AV2066" s="288"/>
      <c r="AW2066" s="288"/>
      <c r="AX2066" s="288"/>
      <c r="AY2066" s="288"/>
      <c r="AZ2066" s="288"/>
      <c r="BA2066" s="288"/>
      <c r="BB2066" s="288"/>
      <c r="BC2066" s="288"/>
      <c r="BD2066" s="288"/>
      <c r="BE2066" s="288"/>
      <c r="BF2066" s="288"/>
      <c r="BG2066" s="288"/>
      <c r="BH2066" s="288"/>
      <c r="BI2066" s="288"/>
      <c r="BJ2066" s="288"/>
      <c r="BK2066" s="288"/>
      <c r="BL2066" s="288"/>
      <c r="BM2066" s="288"/>
      <c r="BN2066" s="288"/>
      <c r="BO2066" s="288"/>
      <c r="BP2066" s="288"/>
      <c r="BQ2066" s="288"/>
      <c r="BR2066" s="288"/>
      <c r="BS2066" s="288"/>
      <c r="BT2066" s="288"/>
      <c r="BU2066" s="288"/>
      <c r="BV2066" s="288"/>
      <c r="BW2066" s="288"/>
      <c r="BX2066" s="288"/>
      <c r="BY2066" s="288"/>
      <c r="BZ2066" s="288"/>
      <c r="CA2066" s="265" t="s">
        <v>773</v>
      </c>
      <c r="CB2066" s="3" t="str">
        <f t="shared" si="343"/>
        <v>Riadok bude skrytý.</v>
      </c>
      <c r="CC2066" s="271" t="s">
        <v>832</v>
      </c>
      <c r="CW2066" s="49">
        <v>1</v>
      </c>
      <c r="CZ2066" s="30">
        <f t="shared" si="342"/>
        <v>1</v>
      </c>
      <c r="DA2066" s="30">
        <f t="shared" si="344"/>
        <v>1</v>
      </c>
      <c r="DB2066" s="2">
        <f t="shared" si="340"/>
        <v>0</v>
      </c>
      <c r="DS2066" s="130">
        <f>SI!BY2066</f>
        <v>10</v>
      </c>
      <c r="DZ2066" s="131">
        <f>SI!BZ2066</f>
        <v>0</v>
      </c>
    </row>
    <row r="2067" spans="1:130" hidden="1" x14ac:dyDescent="0.25">
      <c r="A2067" s="141"/>
      <c r="B2067" s="7"/>
      <c r="G2067" s="7"/>
      <c r="H2067" s="7"/>
      <c r="CA2067" s="142"/>
      <c r="CB2067" s="3" t="str">
        <f t="shared" si="343"/>
        <v>Riadok bude skrytý.</v>
      </c>
      <c r="CC2067" s="271" t="s">
        <v>832</v>
      </c>
      <c r="CW2067" s="49">
        <v>1</v>
      </c>
      <c r="CZ2067" s="30">
        <f t="shared" si="342"/>
        <v>1</v>
      </c>
      <c r="DA2067" s="30">
        <f t="shared" si="344"/>
        <v>1</v>
      </c>
      <c r="DB2067" s="2">
        <f t="shared" si="340"/>
        <v>0</v>
      </c>
      <c r="DS2067" s="130">
        <f>SI!BY2067</f>
        <v>109</v>
      </c>
      <c r="DZ2067" s="131">
        <f>SI!BZ2067</f>
        <v>0</v>
      </c>
    </row>
    <row r="2068" spans="1:130" hidden="1" x14ac:dyDescent="0.25">
      <c r="A2068" s="141"/>
      <c r="B2068" s="14" t="s">
        <v>96</v>
      </c>
      <c r="C2068" s="14"/>
      <c r="D2068" s="14"/>
      <c r="E2068" s="14"/>
      <c r="F2068" s="14"/>
      <c r="G2068" s="14"/>
      <c r="H2068" s="14"/>
      <c r="I2068" s="14"/>
      <c r="J2068" s="378" t="s">
        <v>152</v>
      </c>
      <c r="K2068" s="378"/>
      <c r="L2068" s="378"/>
      <c r="M2068" s="378"/>
      <c r="N2068" s="378"/>
      <c r="O2068" s="378"/>
      <c r="P2068" s="378"/>
      <c r="Q2068" s="378"/>
      <c r="R2068" s="378"/>
      <c r="S2068" s="137" t="str">
        <f>+IF($Q$52&lt;&gt;"",IF((CODE(MID($Q$52,1,1)))*(INT((PI()-3.1415)*10^5))*0+(LEN(SI!J5)-LEN(SI!J6))=DS2068,"rezervy.","NEPOVOLENÉ POUŽITIE!"),"NEPOVOLENÉ POUŽITIE!")</f>
        <v>rezervy.</v>
      </c>
      <c r="T2068" s="38"/>
      <c r="CA2068" s="142"/>
      <c r="CB2068" s="3" t="str">
        <f t="shared" si="343"/>
        <v>Riadok bude skrytý.</v>
      </c>
      <c r="CC2068" s="271" t="s">
        <v>832</v>
      </c>
      <c r="CF2068" s="13"/>
      <c r="CW2068" s="49">
        <v>1</v>
      </c>
      <c r="CY2068" s="43"/>
      <c r="CZ2068" s="30">
        <f t="shared" si="342"/>
        <v>1</v>
      </c>
      <c r="DA2068" s="30">
        <f t="shared" si="344"/>
        <v>1</v>
      </c>
      <c r="DB2068" s="2">
        <f t="shared" si="340"/>
        <v>0</v>
      </c>
      <c r="DS2068" s="130">
        <f>SI!BY2068</f>
        <v>10</v>
      </c>
      <c r="DZ2068" s="131">
        <f>SI!BZ2068</f>
        <v>0</v>
      </c>
    </row>
    <row r="2069" spans="1:130" hidden="1" x14ac:dyDescent="0.25">
      <c r="A2069" s="141"/>
      <c r="B2069" s="137" t="str">
        <f>+IF($I$52&lt;&gt;"",IF((ROUNDDOWN(CODE(MID($I$52,1,1))*3,0)+DAY(36167))*(IF(SI!EE2069="",1,SI!EE2069-1+1))+(2*LEN(SI!J3))=DS2069,IF(J2068="neeviduje","Spoločnosť nemá pre túto časť poznámok obsahovú náplň.","K rezervám Spoločnosť uvádza nasledujúce informácie:"),"NEPOVOLENÉ POUŽITIE!"),"NEPOVOLENÉ POUŽITIE!")</f>
        <v>K rezervám Spoločnosť uvádza nasledujúce informácie:</v>
      </c>
      <c r="CA2069" s="142"/>
      <c r="CB2069" s="3" t="str">
        <f t="shared" si="343"/>
        <v>Riadok bude skrytý.</v>
      </c>
      <c r="CC2069" s="271" t="s">
        <v>832</v>
      </c>
      <c r="CW2069" s="30">
        <f>+IF($J$2068="neeviduje",1,1)</f>
        <v>1</v>
      </c>
      <c r="CZ2069" s="30">
        <f t="shared" si="342"/>
        <v>1</v>
      </c>
      <c r="DA2069" s="30">
        <f t="shared" si="344"/>
        <v>1</v>
      </c>
      <c r="DB2069" s="2">
        <f t="shared" si="340"/>
        <v>0</v>
      </c>
      <c r="DS2069" s="130">
        <f>SI!BY2069</f>
        <v>10</v>
      </c>
      <c r="DZ2069" s="131">
        <f>SI!BZ2069</f>
        <v>0</v>
      </c>
    </row>
    <row r="2070" spans="1:130" hidden="1" x14ac:dyDescent="0.25">
      <c r="A2070" s="141"/>
      <c r="B2070" s="379"/>
      <c r="C2070" s="379"/>
      <c r="D2070" s="379"/>
      <c r="E2070" s="379"/>
      <c r="F2070" s="379"/>
      <c r="G2070" s="379"/>
      <c r="H2070" s="379"/>
      <c r="I2070" s="379"/>
      <c r="J2070" s="379"/>
      <c r="K2070" s="379"/>
      <c r="L2070" s="379"/>
      <c r="M2070" s="379"/>
      <c r="N2070" s="379"/>
      <c r="O2070" s="379"/>
      <c r="P2070" s="379"/>
      <c r="Q2070" s="379"/>
      <c r="R2070" s="379"/>
      <c r="S2070" s="379"/>
      <c r="T2070" s="379"/>
      <c r="U2070" s="379"/>
      <c r="V2070" s="379"/>
      <c r="W2070" s="379"/>
      <c r="X2070" s="379"/>
      <c r="Y2070" s="379"/>
      <c r="Z2070" s="379"/>
      <c r="AA2070" s="379"/>
      <c r="AB2070" s="379"/>
      <c r="AC2070" s="379"/>
      <c r="AD2070" s="379"/>
      <c r="AE2070" s="379"/>
      <c r="AF2070" s="379"/>
      <c r="AG2070" s="379"/>
      <c r="AH2070" s="379"/>
      <c r="AI2070" s="379"/>
      <c r="AJ2070" s="379"/>
      <c r="AK2070" s="379"/>
      <c r="AL2070" s="379"/>
      <c r="AM2070" s="379"/>
      <c r="AN2070" s="379"/>
      <c r="AO2070" s="379"/>
      <c r="AP2070" s="379"/>
      <c r="AQ2070" s="379"/>
      <c r="AR2070" s="379"/>
      <c r="AS2070" s="379"/>
      <c r="AT2070" s="379"/>
      <c r="AU2070" s="379"/>
      <c r="AV2070" s="379"/>
      <c r="AW2070" s="379"/>
      <c r="AX2070" s="379"/>
      <c r="AY2070" s="379"/>
      <c r="AZ2070" s="379"/>
      <c r="BA2070" s="379"/>
      <c r="BB2070" s="379"/>
      <c r="BC2070" s="379"/>
      <c r="BD2070" s="379"/>
      <c r="BE2070" s="379"/>
      <c r="BF2070" s="379"/>
      <c r="BG2070" s="379"/>
      <c r="BH2070" s="379"/>
      <c r="BI2070" s="379"/>
      <c r="BJ2070" s="379"/>
      <c r="BK2070" s="379"/>
      <c r="BL2070" s="379"/>
      <c r="BM2070" s="379"/>
      <c r="BN2070" s="379"/>
      <c r="BO2070" s="379"/>
      <c r="BP2070" s="379"/>
      <c r="BQ2070" s="379"/>
      <c r="BR2070" s="379"/>
      <c r="BS2070" s="379"/>
      <c r="BT2070" s="379"/>
      <c r="BU2070" s="379"/>
      <c r="BV2070" s="379"/>
      <c r="BW2070" s="379"/>
      <c r="BX2070" s="379"/>
      <c r="BY2070" s="379"/>
      <c r="BZ2070" s="379"/>
      <c r="CA2070" s="281"/>
      <c r="CB2070" s="3" t="str">
        <f t="shared" si="343"/>
        <v>Riadok bude skrytý.</v>
      </c>
      <c r="CC2070" s="271" t="s">
        <v>832</v>
      </c>
      <c r="CW2070" s="30">
        <f t="shared" ref="CW2070:CW2101" si="348">+IF($J$2068="neeviduje",0,1)</f>
        <v>1</v>
      </c>
      <c r="CX2070" s="30">
        <f t="shared" ref="CX2070:CX2089" si="349">+IF(B2070="",0,1)</f>
        <v>0</v>
      </c>
      <c r="CZ2070" s="30">
        <f t="shared" si="342"/>
        <v>1</v>
      </c>
      <c r="DA2070" s="52">
        <f t="shared" ref="DA2070:DA2089" si="350">+IF(CW2070*CX2070=0,0,IF(CZ2070=0,0,1))</f>
        <v>0</v>
      </c>
      <c r="DB2070" s="2">
        <f t="shared" si="340"/>
        <v>0</v>
      </c>
      <c r="DS2070" s="130">
        <f>SI!BY2070</f>
        <v>202</v>
      </c>
      <c r="DZ2070" s="131">
        <f>SI!BZ2070</f>
        <v>0</v>
      </c>
    </row>
    <row r="2071" spans="1:130" hidden="1" x14ac:dyDescent="0.25">
      <c r="A2071" s="141"/>
      <c r="B2071" s="379"/>
      <c r="C2071" s="379"/>
      <c r="D2071" s="379"/>
      <c r="E2071" s="379"/>
      <c r="F2071" s="379"/>
      <c r="G2071" s="379"/>
      <c r="H2071" s="379"/>
      <c r="I2071" s="379"/>
      <c r="J2071" s="379"/>
      <c r="K2071" s="379"/>
      <c r="L2071" s="379"/>
      <c r="M2071" s="379"/>
      <c r="N2071" s="379"/>
      <c r="O2071" s="379"/>
      <c r="P2071" s="379"/>
      <c r="Q2071" s="379"/>
      <c r="R2071" s="379"/>
      <c r="S2071" s="379"/>
      <c r="T2071" s="379"/>
      <c r="U2071" s="379"/>
      <c r="V2071" s="379"/>
      <c r="W2071" s="379"/>
      <c r="X2071" s="379"/>
      <c r="Y2071" s="379"/>
      <c r="Z2071" s="379"/>
      <c r="AA2071" s="379"/>
      <c r="AB2071" s="379"/>
      <c r="AC2071" s="379"/>
      <c r="AD2071" s="379"/>
      <c r="AE2071" s="379"/>
      <c r="AF2071" s="379"/>
      <c r="AG2071" s="379"/>
      <c r="AH2071" s="379"/>
      <c r="AI2071" s="379"/>
      <c r="AJ2071" s="379"/>
      <c r="AK2071" s="379"/>
      <c r="AL2071" s="379"/>
      <c r="AM2071" s="379"/>
      <c r="AN2071" s="379"/>
      <c r="AO2071" s="379"/>
      <c r="AP2071" s="379"/>
      <c r="AQ2071" s="379"/>
      <c r="AR2071" s="379"/>
      <c r="AS2071" s="379"/>
      <c r="AT2071" s="379"/>
      <c r="AU2071" s="379"/>
      <c r="AV2071" s="379"/>
      <c r="AW2071" s="379"/>
      <c r="AX2071" s="379"/>
      <c r="AY2071" s="379"/>
      <c r="AZ2071" s="379"/>
      <c r="BA2071" s="379"/>
      <c r="BB2071" s="379"/>
      <c r="BC2071" s="379"/>
      <c r="BD2071" s="379"/>
      <c r="BE2071" s="379"/>
      <c r="BF2071" s="379"/>
      <c r="BG2071" s="379"/>
      <c r="BH2071" s="379"/>
      <c r="BI2071" s="379"/>
      <c r="BJ2071" s="379"/>
      <c r="BK2071" s="379"/>
      <c r="BL2071" s="379"/>
      <c r="BM2071" s="379"/>
      <c r="BN2071" s="379"/>
      <c r="BO2071" s="379"/>
      <c r="BP2071" s="379"/>
      <c r="BQ2071" s="379"/>
      <c r="BR2071" s="379"/>
      <c r="BS2071" s="379"/>
      <c r="BT2071" s="379"/>
      <c r="BU2071" s="379"/>
      <c r="BV2071" s="379"/>
      <c r="BW2071" s="379"/>
      <c r="BX2071" s="379"/>
      <c r="BY2071" s="379"/>
      <c r="BZ2071" s="379"/>
      <c r="CA2071" s="281"/>
      <c r="CB2071" s="3" t="str">
        <f t="shared" si="343"/>
        <v>Riadok bude skrytý.</v>
      </c>
      <c r="CC2071" s="271" t="s">
        <v>832</v>
      </c>
      <c r="CW2071" s="30">
        <f t="shared" si="348"/>
        <v>1</v>
      </c>
      <c r="CX2071" s="30">
        <f t="shared" si="349"/>
        <v>0</v>
      </c>
      <c r="CZ2071" s="30">
        <f t="shared" si="342"/>
        <v>1</v>
      </c>
      <c r="DA2071" s="52">
        <f t="shared" si="350"/>
        <v>0</v>
      </c>
      <c r="DB2071" s="2">
        <f t="shared" si="340"/>
        <v>0</v>
      </c>
      <c r="DS2071" s="130">
        <f>SI!BY2071</f>
        <v>114</v>
      </c>
      <c r="DZ2071" s="131">
        <f>SI!BZ2071</f>
        <v>0</v>
      </c>
    </row>
    <row r="2072" spans="1:130" hidden="1" x14ac:dyDescent="0.25">
      <c r="A2072" s="141"/>
      <c r="B2072" s="379"/>
      <c r="C2072" s="379"/>
      <c r="D2072" s="379"/>
      <c r="E2072" s="379"/>
      <c r="F2072" s="379"/>
      <c r="G2072" s="379"/>
      <c r="H2072" s="379"/>
      <c r="I2072" s="379"/>
      <c r="J2072" s="379"/>
      <c r="K2072" s="379"/>
      <c r="L2072" s="379"/>
      <c r="M2072" s="379"/>
      <c r="N2072" s="379"/>
      <c r="O2072" s="379"/>
      <c r="P2072" s="379"/>
      <c r="Q2072" s="379"/>
      <c r="R2072" s="379"/>
      <c r="S2072" s="379"/>
      <c r="T2072" s="379"/>
      <c r="U2072" s="379"/>
      <c r="V2072" s="379"/>
      <c r="W2072" s="379"/>
      <c r="X2072" s="379"/>
      <c r="Y2072" s="379"/>
      <c r="Z2072" s="379"/>
      <c r="AA2072" s="379"/>
      <c r="AB2072" s="379"/>
      <c r="AC2072" s="379"/>
      <c r="AD2072" s="379"/>
      <c r="AE2072" s="379"/>
      <c r="AF2072" s="379"/>
      <c r="AG2072" s="379"/>
      <c r="AH2072" s="379"/>
      <c r="AI2072" s="379"/>
      <c r="AJ2072" s="379"/>
      <c r="AK2072" s="379"/>
      <c r="AL2072" s="379"/>
      <c r="AM2072" s="379"/>
      <c r="AN2072" s="379"/>
      <c r="AO2072" s="379"/>
      <c r="AP2072" s="379"/>
      <c r="AQ2072" s="379"/>
      <c r="AR2072" s="379"/>
      <c r="AS2072" s="379"/>
      <c r="AT2072" s="379"/>
      <c r="AU2072" s="379"/>
      <c r="AV2072" s="379"/>
      <c r="AW2072" s="379"/>
      <c r="AX2072" s="379"/>
      <c r="AY2072" s="379"/>
      <c r="AZ2072" s="379"/>
      <c r="BA2072" s="379"/>
      <c r="BB2072" s="379"/>
      <c r="BC2072" s="379"/>
      <c r="BD2072" s="379"/>
      <c r="BE2072" s="379"/>
      <c r="BF2072" s="379"/>
      <c r="BG2072" s="379"/>
      <c r="BH2072" s="379"/>
      <c r="BI2072" s="379"/>
      <c r="BJ2072" s="379"/>
      <c r="BK2072" s="379"/>
      <c r="BL2072" s="379"/>
      <c r="BM2072" s="379"/>
      <c r="BN2072" s="379"/>
      <c r="BO2072" s="379"/>
      <c r="BP2072" s="379"/>
      <c r="BQ2072" s="379"/>
      <c r="BR2072" s="379"/>
      <c r="BS2072" s="379"/>
      <c r="BT2072" s="379"/>
      <c r="BU2072" s="379"/>
      <c r="BV2072" s="379"/>
      <c r="BW2072" s="379"/>
      <c r="BX2072" s="379"/>
      <c r="BY2072" s="379"/>
      <c r="BZ2072" s="379"/>
      <c r="CA2072" s="281"/>
      <c r="CB2072" s="3" t="str">
        <f t="shared" si="343"/>
        <v>Riadok bude skrytý.</v>
      </c>
      <c r="CC2072" s="271" t="s">
        <v>832</v>
      </c>
      <c r="CW2072" s="30">
        <f t="shared" si="348"/>
        <v>1</v>
      </c>
      <c r="CX2072" s="30">
        <f t="shared" si="349"/>
        <v>0</v>
      </c>
      <c r="CZ2072" s="30">
        <f t="shared" si="342"/>
        <v>1</v>
      </c>
      <c r="DA2072" s="52">
        <f t="shared" si="350"/>
        <v>0</v>
      </c>
      <c r="DB2072" s="2">
        <f t="shared" si="340"/>
        <v>0</v>
      </c>
      <c r="DS2072" s="130">
        <f>SI!BY2072</f>
        <v>175</v>
      </c>
      <c r="DZ2072" s="131">
        <f>SI!BZ2072</f>
        <v>0</v>
      </c>
    </row>
    <row r="2073" spans="1:130" hidden="1" x14ac:dyDescent="0.25">
      <c r="A2073" s="141"/>
      <c r="B2073" s="379"/>
      <c r="C2073" s="379"/>
      <c r="D2073" s="379"/>
      <c r="E2073" s="379"/>
      <c r="F2073" s="379"/>
      <c r="G2073" s="379"/>
      <c r="H2073" s="379"/>
      <c r="I2073" s="379"/>
      <c r="J2073" s="379"/>
      <c r="K2073" s="379"/>
      <c r="L2073" s="379"/>
      <c r="M2073" s="379"/>
      <c r="N2073" s="379"/>
      <c r="O2073" s="379"/>
      <c r="P2073" s="379"/>
      <c r="Q2073" s="379"/>
      <c r="R2073" s="379"/>
      <c r="S2073" s="379"/>
      <c r="T2073" s="379"/>
      <c r="U2073" s="379"/>
      <c r="V2073" s="379"/>
      <c r="W2073" s="379"/>
      <c r="X2073" s="379"/>
      <c r="Y2073" s="379"/>
      <c r="Z2073" s="379"/>
      <c r="AA2073" s="379"/>
      <c r="AB2073" s="379"/>
      <c r="AC2073" s="379"/>
      <c r="AD2073" s="379"/>
      <c r="AE2073" s="379"/>
      <c r="AF2073" s="379"/>
      <c r="AG2073" s="379"/>
      <c r="AH2073" s="379"/>
      <c r="AI2073" s="379"/>
      <c r="AJ2073" s="379"/>
      <c r="AK2073" s="379"/>
      <c r="AL2073" s="379"/>
      <c r="AM2073" s="379"/>
      <c r="AN2073" s="379"/>
      <c r="AO2073" s="379"/>
      <c r="AP2073" s="379"/>
      <c r="AQ2073" s="379"/>
      <c r="AR2073" s="379"/>
      <c r="AS2073" s="379"/>
      <c r="AT2073" s="379"/>
      <c r="AU2073" s="379"/>
      <c r="AV2073" s="379"/>
      <c r="AW2073" s="379"/>
      <c r="AX2073" s="379"/>
      <c r="AY2073" s="379"/>
      <c r="AZ2073" s="379"/>
      <c r="BA2073" s="379"/>
      <c r="BB2073" s="379"/>
      <c r="BC2073" s="379"/>
      <c r="BD2073" s="379"/>
      <c r="BE2073" s="379"/>
      <c r="BF2073" s="379"/>
      <c r="BG2073" s="379"/>
      <c r="BH2073" s="379"/>
      <c r="BI2073" s="379"/>
      <c r="BJ2073" s="379"/>
      <c r="BK2073" s="379"/>
      <c r="BL2073" s="379"/>
      <c r="BM2073" s="379"/>
      <c r="BN2073" s="379"/>
      <c r="BO2073" s="379"/>
      <c r="BP2073" s="379"/>
      <c r="BQ2073" s="379"/>
      <c r="BR2073" s="379"/>
      <c r="BS2073" s="379"/>
      <c r="BT2073" s="379"/>
      <c r="BU2073" s="379"/>
      <c r="BV2073" s="379"/>
      <c r="BW2073" s="379"/>
      <c r="BX2073" s="379"/>
      <c r="BY2073" s="379"/>
      <c r="BZ2073" s="379"/>
      <c r="CA2073" s="281"/>
      <c r="CB2073" s="3" t="str">
        <f t="shared" si="343"/>
        <v>Riadok bude skrytý.</v>
      </c>
      <c r="CC2073" s="271" t="s">
        <v>832</v>
      </c>
      <c r="CW2073" s="30">
        <f t="shared" si="348"/>
        <v>1</v>
      </c>
      <c r="CX2073" s="30">
        <f t="shared" si="349"/>
        <v>0</v>
      </c>
      <c r="CZ2073" s="30">
        <f t="shared" si="342"/>
        <v>1</v>
      </c>
      <c r="DA2073" s="52">
        <f t="shared" si="350"/>
        <v>0</v>
      </c>
      <c r="DB2073" s="2">
        <f t="shared" si="340"/>
        <v>0</v>
      </c>
      <c r="DS2073" s="130">
        <f>SI!BY2073</f>
        <v>113</v>
      </c>
      <c r="DZ2073" s="131">
        <f>SI!BZ2073</f>
        <v>0</v>
      </c>
    </row>
    <row r="2074" spans="1:130" hidden="1" x14ac:dyDescent="0.25">
      <c r="A2074" s="141"/>
      <c r="B2074" s="379"/>
      <c r="C2074" s="379"/>
      <c r="D2074" s="379"/>
      <c r="E2074" s="379"/>
      <c r="F2074" s="379"/>
      <c r="G2074" s="379"/>
      <c r="H2074" s="379"/>
      <c r="I2074" s="379"/>
      <c r="J2074" s="379"/>
      <c r="K2074" s="379"/>
      <c r="L2074" s="379"/>
      <c r="M2074" s="379"/>
      <c r="N2074" s="379"/>
      <c r="O2074" s="379"/>
      <c r="P2074" s="379"/>
      <c r="Q2074" s="379"/>
      <c r="R2074" s="379"/>
      <c r="S2074" s="379"/>
      <c r="T2074" s="379"/>
      <c r="U2074" s="379"/>
      <c r="V2074" s="379"/>
      <c r="W2074" s="379"/>
      <c r="X2074" s="379"/>
      <c r="Y2074" s="379"/>
      <c r="Z2074" s="379"/>
      <c r="AA2074" s="379"/>
      <c r="AB2074" s="379"/>
      <c r="AC2074" s="379"/>
      <c r="AD2074" s="379"/>
      <c r="AE2074" s="379"/>
      <c r="AF2074" s="379"/>
      <c r="AG2074" s="379"/>
      <c r="AH2074" s="379"/>
      <c r="AI2074" s="379"/>
      <c r="AJ2074" s="379"/>
      <c r="AK2074" s="379"/>
      <c r="AL2074" s="379"/>
      <c r="AM2074" s="379"/>
      <c r="AN2074" s="379"/>
      <c r="AO2074" s="379"/>
      <c r="AP2074" s="379"/>
      <c r="AQ2074" s="379"/>
      <c r="AR2074" s="379"/>
      <c r="AS2074" s="379"/>
      <c r="AT2074" s="379"/>
      <c r="AU2074" s="379"/>
      <c r="AV2074" s="379"/>
      <c r="AW2074" s="379"/>
      <c r="AX2074" s="379"/>
      <c r="AY2074" s="379"/>
      <c r="AZ2074" s="379"/>
      <c r="BA2074" s="379"/>
      <c r="BB2074" s="379"/>
      <c r="BC2074" s="379"/>
      <c r="BD2074" s="379"/>
      <c r="BE2074" s="379"/>
      <c r="BF2074" s="379"/>
      <c r="BG2074" s="379"/>
      <c r="BH2074" s="379"/>
      <c r="BI2074" s="379"/>
      <c r="BJ2074" s="379"/>
      <c r="BK2074" s="379"/>
      <c r="BL2074" s="379"/>
      <c r="BM2074" s="379"/>
      <c r="BN2074" s="379"/>
      <c r="BO2074" s="379"/>
      <c r="BP2074" s="379"/>
      <c r="BQ2074" s="379"/>
      <c r="BR2074" s="379"/>
      <c r="BS2074" s="379"/>
      <c r="BT2074" s="379"/>
      <c r="BU2074" s="379"/>
      <c r="BV2074" s="379"/>
      <c r="BW2074" s="379"/>
      <c r="BX2074" s="379"/>
      <c r="BY2074" s="379"/>
      <c r="BZ2074" s="379"/>
      <c r="CA2074" s="281"/>
      <c r="CB2074" s="3" t="str">
        <f t="shared" si="343"/>
        <v>Riadok bude skrytý.</v>
      </c>
      <c r="CC2074" s="271" t="s">
        <v>832</v>
      </c>
      <c r="CW2074" s="30">
        <f t="shared" si="348"/>
        <v>1</v>
      </c>
      <c r="CX2074" s="30">
        <f t="shared" si="349"/>
        <v>0</v>
      </c>
      <c r="CZ2074" s="30">
        <f t="shared" si="342"/>
        <v>1</v>
      </c>
      <c r="DA2074" s="52">
        <f t="shared" si="350"/>
        <v>0</v>
      </c>
      <c r="DB2074" s="2">
        <f t="shared" si="340"/>
        <v>0</v>
      </c>
      <c r="DS2074" s="130">
        <f>SI!BY2074</f>
        <v>149</v>
      </c>
      <c r="DZ2074" s="131">
        <f>SI!BZ2074</f>
        <v>0</v>
      </c>
    </row>
    <row r="2075" spans="1:130" hidden="1" x14ac:dyDescent="0.25">
      <c r="A2075" s="141"/>
      <c r="B2075" s="379"/>
      <c r="C2075" s="379"/>
      <c r="D2075" s="379"/>
      <c r="E2075" s="379"/>
      <c r="F2075" s="379"/>
      <c r="G2075" s="379"/>
      <c r="H2075" s="379"/>
      <c r="I2075" s="379"/>
      <c r="J2075" s="379"/>
      <c r="K2075" s="379"/>
      <c r="L2075" s="379"/>
      <c r="M2075" s="379"/>
      <c r="N2075" s="379"/>
      <c r="O2075" s="379"/>
      <c r="P2075" s="379"/>
      <c r="Q2075" s="379"/>
      <c r="R2075" s="379"/>
      <c r="S2075" s="379"/>
      <c r="T2075" s="379"/>
      <c r="U2075" s="379"/>
      <c r="V2075" s="379"/>
      <c r="W2075" s="379"/>
      <c r="X2075" s="379"/>
      <c r="Y2075" s="379"/>
      <c r="Z2075" s="379"/>
      <c r="AA2075" s="379"/>
      <c r="AB2075" s="379"/>
      <c r="AC2075" s="379"/>
      <c r="AD2075" s="379"/>
      <c r="AE2075" s="379"/>
      <c r="AF2075" s="379"/>
      <c r="AG2075" s="379"/>
      <c r="AH2075" s="379"/>
      <c r="AI2075" s="379"/>
      <c r="AJ2075" s="379"/>
      <c r="AK2075" s="379"/>
      <c r="AL2075" s="379"/>
      <c r="AM2075" s="379"/>
      <c r="AN2075" s="379"/>
      <c r="AO2075" s="379"/>
      <c r="AP2075" s="379"/>
      <c r="AQ2075" s="379"/>
      <c r="AR2075" s="379"/>
      <c r="AS2075" s="379"/>
      <c r="AT2075" s="379"/>
      <c r="AU2075" s="379"/>
      <c r="AV2075" s="379"/>
      <c r="AW2075" s="379"/>
      <c r="AX2075" s="379"/>
      <c r="AY2075" s="379"/>
      <c r="AZ2075" s="379"/>
      <c r="BA2075" s="379"/>
      <c r="BB2075" s="379"/>
      <c r="BC2075" s="379"/>
      <c r="BD2075" s="379"/>
      <c r="BE2075" s="379"/>
      <c r="BF2075" s="379"/>
      <c r="BG2075" s="379"/>
      <c r="BH2075" s="379"/>
      <c r="BI2075" s="379"/>
      <c r="BJ2075" s="379"/>
      <c r="BK2075" s="379"/>
      <c r="BL2075" s="379"/>
      <c r="BM2075" s="379"/>
      <c r="BN2075" s="379"/>
      <c r="BO2075" s="379"/>
      <c r="BP2075" s="379"/>
      <c r="BQ2075" s="379"/>
      <c r="BR2075" s="379"/>
      <c r="BS2075" s="379"/>
      <c r="BT2075" s="379"/>
      <c r="BU2075" s="379"/>
      <c r="BV2075" s="379"/>
      <c r="BW2075" s="379"/>
      <c r="BX2075" s="379"/>
      <c r="BY2075" s="379"/>
      <c r="BZ2075" s="379"/>
      <c r="CA2075" s="281"/>
      <c r="CB2075" s="3" t="str">
        <f t="shared" si="343"/>
        <v>Riadok bude skrytý.</v>
      </c>
      <c r="CC2075" s="271" t="s">
        <v>832</v>
      </c>
      <c r="CW2075" s="30">
        <f t="shared" si="348"/>
        <v>1</v>
      </c>
      <c r="CX2075" s="30">
        <f t="shared" si="349"/>
        <v>0</v>
      </c>
      <c r="CZ2075" s="30">
        <f t="shared" si="342"/>
        <v>1</v>
      </c>
      <c r="DA2075" s="52">
        <f t="shared" si="350"/>
        <v>0</v>
      </c>
      <c r="DB2075" s="2">
        <f t="shared" si="340"/>
        <v>0</v>
      </c>
      <c r="DS2075" s="130">
        <f>SI!BY2075</f>
        <v>125</v>
      </c>
      <c r="DZ2075" s="131">
        <f>SI!BZ2075</f>
        <v>0</v>
      </c>
    </row>
    <row r="2076" spans="1:130" hidden="1" x14ac:dyDescent="0.25">
      <c r="A2076" s="141"/>
      <c r="B2076" s="379"/>
      <c r="C2076" s="379"/>
      <c r="D2076" s="379"/>
      <c r="E2076" s="379"/>
      <c r="F2076" s="379"/>
      <c r="G2076" s="379"/>
      <c r="H2076" s="379"/>
      <c r="I2076" s="379"/>
      <c r="J2076" s="379"/>
      <c r="K2076" s="379"/>
      <c r="L2076" s="379"/>
      <c r="M2076" s="379"/>
      <c r="N2076" s="379"/>
      <c r="O2076" s="379"/>
      <c r="P2076" s="379"/>
      <c r="Q2076" s="379"/>
      <c r="R2076" s="379"/>
      <c r="S2076" s="379"/>
      <c r="T2076" s="379"/>
      <c r="U2076" s="379"/>
      <c r="V2076" s="379"/>
      <c r="W2076" s="379"/>
      <c r="X2076" s="379"/>
      <c r="Y2076" s="379"/>
      <c r="Z2076" s="379"/>
      <c r="AA2076" s="379"/>
      <c r="AB2076" s="379"/>
      <c r="AC2076" s="379"/>
      <c r="AD2076" s="379"/>
      <c r="AE2076" s="379"/>
      <c r="AF2076" s="379"/>
      <c r="AG2076" s="379"/>
      <c r="AH2076" s="379"/>
      <c r="AI2076" s="379"/>
      <c r="AJ2076" s="379"/>
      <c r="AK2076" s="379"/>
      <c r="AL2076" s="379"/>
      <c r="AM2076" s="379"/>
      <c r="AN2076" s="379"/>
      <c r="AO2076" s="379"/>
      <c r="AP2076" s="379"/>
      <c r="AQ2076" s="379"/>
      <c r="AR2076" s="379"/>
      <c r="AS2076" s="379"/>
      <c r="AT2076" s="379"/>
      <c r="AU2076" s="379"/>
      <c r="AV2076" s="379"/>
      <c r="AW2076" s="379"/>
      <c r="AX2076" s="379"/>
      <c r="AY2076" s="379"/>
      <c r="AZ2076" s="379"/>
      <c r="BA2076" s="379"/>
      <c r="BB2076" s="379"/>
      <c r="BC2076" s="379"/>
      <c r="BD2076" s="379"/>
      <c r="BE2076" s="379"/>
      <c r="BF2076" s="379"/>
      <c r="BG2076" s="379"/>
      <c r="BH2076" s="379"/>
      <c r="BI2076" s="379"/>
      <c r="BJ2076" s="379"/>
      <c r="BK2076" s="379"/>
      <c r="BL2076" s="379"/>
      <c r="BM2076" s="379"/>
      <c r="BN2076" s="379"/>
      <c r="BO2076" s="379"/>
      <c r="BP2076" s="379"/>
      <c r="BQ2076" s="379"/>
      <c r="BR2076" s="379"/>
      <c r="BS2076" s="379"/>
      <c r="BT2076" s="379"/>
      <c r="BU2076" s="379"/>
      <c r="BV2076" s="379"/>
      <c r="BW2076" s="379"/>
      <c r="BX2076" s="379"/>
      <c r="BY2076" s="379"/>
      <c r="BZ2076" s="379"/>
      <c r="CA2076" s="281"/>
      <c r="CB2076" s="3" t="str">
        <f t="shared" si="343"/>
        <v>Riadok bude skrytý.</v>
      </c>
      <c r="CC2076" s="271" t="s">
        <v>832</v>
      </c>
      <c r="CW2076" s="30">
        <f t="shared" si="348"/>
        <v>1</v>
      </c>
      <c r="CX2076" s="30">
        <f t="shared" si="349"/>
        <v>0</v>
      </c>
      <c r="CZ2076" s="30">
        <f t="shared" si="342"/>
        <v>1</v>
      </c>
      <c r="DA2076" s="52">
        <f t="shared" si="350"/>
        <v>0</v>
      </c>
      <c r="DB2076" s="2">
        <f t="shared" ref="DB2076:DB2139" si="351">+IF($CD$1="malé",0,DA2076)</f>
        <v>0</v>
      </c>
      <c r="DS2076" s="130">
        <f>SI!BY2076</f>
        <v>150</v>
      </c>
      <c r="DZ2076" s="131">
        <f>SI!BZ2076</f>
        <v>0</v>
      </c>
    </row>
    <row r="2077" spans="1:130" hidden="1" x14ac:dyDescent="0.25">
      <c r="A2077" s="141"/>
      <c r="B2077" s="379"/>
      <c r="C2077" s="379"/>
      <c r="D2077" s="379"/>
      <c r="E2077" s="379"/>
      <c r="F2077" s="379"/>
      <c r="G2077" s="379"/>
      <c r="H2077" s="379"/>
      <c r="I2077" s="379"/>
      <c r="J2077" s="379"/>
      <c r="K2077" s="379"/>
      <c r="L2077" s="379"/>
      <c r="M2077" s="379"/>
      <c r="N2077" s="379"/>
      <c r="O2077" s="379"/>
      <c r="P2077" s="379"/>
      <c r="Q2077" s="379"/>
      <c r="R2077" s="379"/>
      <c r="S2077" s="379"/>
      <c r="T2077" s="379"/>
      <c r="U2077" s="379"/>
      <c r="V2077" s="379"/>
      <c r="W2077" s="379"/>
      <c r="X2077" s="379"/>
      <c r="Y2077" s="379"/>
      <c r="Z2077" s="379"/>
      <c r="AA2077" s="379"/>
      <c r="AB2077" s="379"/>
      <c r="AC2077" s="379"/>
      <c r="AD2077" s="379"/>
      <c r="AE2077" s="379"/>
      <c r="AF2077" s="379"/>
      <c r="AG2077" s="379"/>
      <c r="AH2077" s="379"/>
      <c r="AI2077" s="379"/>
      <c r="AJ2077" s="379"/>
      <c r="AK2077" s="379"/>
      <c r="AL2077" s="379"/>
      <c r="AM2077" s="379"/>
      <c r="AN2077" s="379"/>
      <c r="AO2077" s="379"/>
      <c r="AP2077" s="379"/>
      <c r="AQ2077" s="379"/>
      <c r="AR2077" s="379"/>
      <c r="AS2077" s="379"/>
      <c r="AT2077" s="379"/>
      <c r="AU2077" s="379"/>
      <c r="AV2077" s="379"/>
      <c r="AW2077" s="379"/>
      <c r="AX2077" s="379"/>
      <c r="AY2077" s="379"/>
      <c r="AZ2077" s="379"/>
      <c r="BA2077" s="379"/>
      <c r="BB2077" s="379"/>
      <c r="BC2077" s="379"/>
      <c r="BD2077" s="379"/>
      <c r="BE2077" s="379"/>
      <c r="BF2077" s="379"/>
      <c r="BG2077" s="379"/>
      <c r="BH2077" s="379"/>
      <c r="BI2077" s="379"/>
      <c r="BJ2077" s="379"/>
      <c r="BK2077" s="379"/>
      <c r="BL2077" s="379"/>
      <c r="BM2077" s="379"/>
      <c r="BN2077" s="379"/>
      <c r="BO2077" s="379"/>
      <c r="BP2077" s="379"/>
      <c r="BQ2077" s="379"/>
      <c r="BR2077" s="379"/>
      <c r="BS2077" s="379"/>
      <c r="BT2077" s="379"/>
      <c r="BU2077" s="379"/>
      <c r="BV2077" s="379"/>
      <c r="BW2077" s="379"/>
      <c r="BX2077" s="379"/>
      <c r="BY2077" s="379"/>
      <c r="BZ2077" s="379"/>
      <c r="CA2077" s="281"/>
      <c r="CB2077" s="3" t="str">
        <f t="shared" si="343"/>
        <v>Riadok bude skrytý.</v>
      </c>
      <c r="CC2077" s="271" t="s">
        <v>832</v>
      </c>
      <c r="CW2077" s="30">
        <f t="shared" si="348"/>
        <v>1</v>
      </c>
      <c r="CX2077" s="30">
        <f t="shared" si="349"/>
        <v>0</v>
      </c>
      <c r="CZ2077" s="30">
        <f t="shared" si="342"/>
        <v>1</v>
      </c>
      <c r="DA2077" s="52">
        <f t="shared" si="350"/>
        <v>0</v>
      </c>
      <c r="DB2077" s="2">
        <f t="shared" si="351"/>
        <v>0</v>
      </c>
      <c r="DS2077" s="130">
        <f>SI!BY2077</f>
        <v>136</v>
      </c>
      <c r="DZ2077" s="131">
        <f>SI!BZ2077</f>
        <v>0</v>
      </c>
    </row>
    <row r="2078" spans="1:130" hidden="1" x14ac:dyDescent="0.25">
      <c r="A2078" s="141"/>
      <c r="B2078" s="379"/>
      <c r="C2078" s="379"/>
      <c r="D2078" s="379"/>
      <c r="E2078" s="379"/>
      <c r="F2078" s="379"/>
      <c r="G2078" s="379"/>
      <c r="H2078" s="379"/>
      <c r="I2078" s="379"/>
      <c r="J2078" s="379"/>
      <c r="K2078" s="379"/>
      <c r="L2078" s="379"/>
      <c r="M2078" s="379"/>
      <c r="N2078" s="379"/>
      <c r="O2078" s="379"/>
      <c r="P2078" s="379"/>
      <c r="Q2078" s="379"/>
      <c r="R2078" s="379"/>
      <c r="S2078" s="379"/>
      <c r="T2078" s="379"/>
      <c r="U2078" s="379"/>
      <c r="V2078" s="379"/>
      <c r="W2078" s="379"/>
      <c r="X2078" s="379"/>
      <c r="Y2078" s="379"/>
      <c r="Z2078" s="379"/>
      <c r="AA2078" s="379"/>
      <c r="AB2078" s="379"/>
      <c r="AC2078" s="379"/>
      <c r="AD2078" s="379"/>
      <c r="AE2078" s="379"/>
      <c r="AF2078" s="379"/>
      <c r="AG2078" s="379"/>
      <c r="AH2078" s="379"/>
      <c r="AI2078" s="379"/>
      <c r="AJ2078" s="379"/>
      <c r="AK2078" s="379"/>
      <c r="AL2078" s="379"/>
      <c r="AM2078" s="379"/>
      <c r="AN2078" s="379"/>
      <c r="AO2078" s="379"/>
      <c r="AP2078" s="379"/>
      <c r="AQ2078" s="379"/>
      <c r="AR2078" s="379"/>
      <c r="AS2078" s="379"/>
      <c r="AT2078" s="379"/>
      <c r="AU2078" s="379"/>
      <c r="AV2078" s="379"/>
      <c r="AW2078" s="379"/>
      <c r="AX2078" s="379"/>
      <c r="AY2078" s="379"/>
      <c r="AZ2078" s="379"/>
      <c r="BA2078" s="379"/>
      <c r="BB2078" s="379"/>
      <c r="BC2078" s="379"/>
      <c r="BD2078" s="379"/>
      <c r="BE2078" s="379"/>
      <c r="BF2078" s="379"/>
      <c r="BG2078" s="379"/>
      <c r="BH2078" s="379"/>
      <c r="BI2078" s="379"/>
      <c r="BJ2078" s="379"/>
      <c r="BK2078" s="379"/>
      <c r="BL2078" s="379"/>
      <c r="BM2078" s="379"/>
      <c r="BN2078" s="379"/>
      <c r="BO2078" s="379"/>
      <c r="BP2078" s="379"/>
      <c r="BQ2078" s="379"/>
      <c r="BR2078" s="379"/>
      <c r="BS2078" s="379"/>
      <c r="BT2078" s="379"/>
      <c r="BU2078" s="379"/>
      <c r="BV2078" s="379"/>
      <c r="BW2078" s="379"/>
      <c r="BX2078" s="379"/>
      <c r="BY2078" s="379"/>
      <c r="BZ2078" s="379"/>
      <c r="CA2078" s="281"/>
      <c r="CB2078" s="3" t="str">
        <f t="shared" si="343"/>
        <v>Riadok bude skrytý.</v>
      </c>
      <c r="CC2078" s="271" t="s">
        <v>832</v>
      </c>
      <c r="CW2078" s="30">
        <f t="shared" si="348"/>
        <v>1</v>
      </c>
      <c r="CX2078" s="30">
        <f t="shared" si="349"/>
        <v>0</v>
      </c>
      <c r="CZ2078" s="30">
        <f t="shared" si="342"/>
        <v>1</v>
      </c>
      <c r="DA2078" s="52">
        <f t="shared" si="350"/>
        <v>0</v>
      </c>
      <c r="DB2078" s="2">
        <f t="shared" si="351"/>
        <v>0</v>
      </c>
      <c r="DS2078" s="130">
        <f>SI!BY2078</f>
        <v>140</v>
      </c>
      <c r="DZ2078" s="131">
        <f>SI!BZ2078</f>
        <v>0</v>
      </c>
    </row>
    <row r="2079" spans="1:130" hidden="1" x14ac:dyDescent="0.25">
      <c r="A2079" s="141"/>
      <c r="B2079" s="379"/>
      <c r="C2079" s="379"/>
      <c r="D2079" s="379"/>
      <c r="E2079" s="379"/>
      <c r="F2079" s="379"/>
      <c r="G2079" s="379"/>
      <c r="H2079" s="379"/>
      <c r="I2079" s="379"/>
      <c r="J2079" s="379"/>
      <c r="K2079" s="379"/>
      <c r="L2079" s="379"/>
      <c r="M2079" s="379"/>
      <c r="N2079" s="379"/>
      <c r="O2079" s="379"/>
      <c r="P2079" s="379"/>
      <c r="Q2079" s="379"/>
      <c r="R2079" s="379"/>
      <c r="S2079" s="379"/>
      <c r="T2079" s="379"/>
      <c r="U2079" s="379"/>
      <c r="V2079" s="379"/>
      <c r="W2079" s="379"/>
      <c r="X2079" s="379"/>
      <c r="Y2079" s="379"/>
      <c r="Z2079" s="379"/>
      <c r="AA2079" s="379"/>
      <c r="AB2079" s="379"/>
      <c r="AC2079" s="379"/>
      <c r="AD2079" s="379"/>
      <c r="AE2079" s="379"/>
      <c r="AF2079" s="379"/>
      <c r="AG2079" s="379"/>
      <c r="AH2079" s="379"/>
      <c r="AI2079" s="379"/>
      <c r="AJ2079" s="379"/>
      <c r="AK2079" s="379"/>
      <c r="AL2079" s="379"/>
      <c r="AM2079" s="379"/>
      <c r="AN2079" s="379"/>
      <c r="AO2079" s="379"/>
      <c r="AP2079" s="379"/>
      <c r="AQ2079" s="379"/>
      <c r="AR2079" s="379"/>
      <c r="AS2079" s="379"/>
      <c r="AT2079" s="379"/>
      <c r="AU2079" s="379"/>
      <c r="AV2079" s="379"/>
      <c r="AW2079" s="379"/>
      <c r="AX2079" s="379"/>
      <c r="AY2079" s="379"/>
      <c r="AZ2079" s="379"/>
      <c r="BA2079" s="379"/>
      <c r="BB2079" s="379"/>
      <c r="BC2079" s="379"/>
      <c r="BD2079" s="379"/>
      <c r="BE2079" s="379"/>
      <c r="BF2079" s="379"/>
      <c r="BG2079" s="379"/>
      <c r="BH2079" s="379"/>
      <c r="BI2079" s="379"/>
      <c r="BJ2079" s="379"/>
      <c r="BK2079" s="379"/>
      <c r="BL2079" s="379"/>
      <c r="BM2079" s="379"/>
      <c r="BN2079" s="379"/>
      <c r="BO2079" s="379"/>
      <c r="BP2079" s="379"/>
      <c r="BQ2079" s="379"/>
      <c r="BR2079" s="379"/>
      <c r="BS2079" s="379"/>
      <c r="BT2079" s="379"/>
      <c r="BU2079" s="379"/>
      <c r="BV2079" s="379"/>
      <c r="BW2079" s="379"/>
      <c r="BX2079" s="379"/>
      <c r="BY2079" s="379"/>
      <c r="BZ2079" s="379"/>
      <c r="CA2079" s="281"/>
      <c r="CB2079" s="3" t="str">
        <f t="shared" si="343"/>
        <v>Riadok bude skrytý.</v>
      </c>
      <c r="CC2079" s="271" t="s">
        <v>832</v>
      </c>
      <c r="CW2079" s="30">
        <f t="shared" si="348"/>
        <v>1</v>
      </c>
      <c r="CX2079" s="30">
        <f t="shared" si="349"/>
        <v>0</v>
      </c>
      <c r="CZ2079" s="30">
        <f t="shared" si="342"/>
        <v>1</v>
      </c>
      <c r="DA2079" s="52">
        <f t="shared" si="350"/>
        <v>0</v>
      </c>
      <c r="DB2079" s="2">
        <f t="shared" si="351"/>
        <v>0</v>
      </c>
      <c r="DS2079" s="130">
        <f>SI!BY2079</f>
        <v>146</v>
      </c>
      <c r="DZ2079" s="131">
        <f>SI!BZ2079</f>
        <v>0</v>
      </c>
    </row>
    <row r="2080" spans="1:130" hidden="1" x14ac:dyDescent="0.25">
      <c r="A2080" s="141"/>
      <c r="B2080" s="379"/>
      <c r="C2080" s="379"/>
      <c r="D2080" s="379"/>
      <c r="E2080" s="379"/>
      <c r="F2080" s="379"/>
      <c r="G2080" s="379"/>
      <c r="H2080" s="379"/>
      <c r="I2080" s="379"/>
      <c r="J2080" s="379"/>
      <c r="K2080" s="379"/>
      <c r="L2080" s="379"/>
      <c r="M2080" s="379"/>
      <c r="N2080" s="379"/>
      <c r="O2080" s="379"/>
      <c r="P2080" s="379"/>
      <c r="Q2080" s="379"/>
      <c r="R2080" s="379"/>
      <c r="S2080" s="379"/>
      <c r="T2080" s="379"/>
      <c r="U2080" s="379"/>
      <c r="V2080" s="379"/>
      <c r="W2080" s="379"/>
      <c r="X2080" s="379"/>
      <c r="Y2080" s="379"/>
      <c r="Z2080" s="379"/>
      <c r="AA2080" s="379"/>
      <c r="AB2080" s="379"/>
      <c r="AC2080" s="379"/>
      <c r="AD2080" s="379"/>
      <c r="AE2080" s="379"/>
      <c r="AF2080" s="379"/>
      <c r="AG2080" s="379"/>
      <c r="AH2080" s="379"/>
      <c r="AI2080" s="379"/>
      <c r="AJ2080" s="379"/>
      <c r="AK2080" s="379"/>
      <c r="AL2080" s="379"/>
      <c r="AM2080" s="379"/>
      <c r="AN2080" s="379"/>
      <c r="AO2080" s="379"/>
      <c r="AP2080" s="379"/>
      <c r="AQ2080" s="379"/>
      <c r="AR2080" s="379"/>
      <c r="AS2080" s="379"/>
      <c r="AT2080" s="379"/>
      <c r="AU2080" s="379"/>
      <c r="AV2080" s="379"/>
      <c r="AW2080" s="379"/>
      <c r="AX2080" s="379"/>
      <c r="AY2080" s="379"/>
      <c r="AZ2080" s="379"/>
      <c r="BA2080" s="379"/>
      <c r="BB2080" s="379"/>
      <c r="BC2080" s="379"/>
      <c r="BD2080" s="379"/>
      <c r="BE2080" s="379"/>
      <c r="BF2080" s="379"/>
      <c r="BG2080" s="379"/>
      <c r="BH2080" s="379"/>
      <c r="BI2080" s="379"/>
      <c r="BJ2080" s="379"/>
      <c r="BK2080" s="379"/>
      <c r="BL2080" s="379"/>
      <c r="BM2080" s="379"/>
      <c r="BN2080" s="379"/>
      <c r="BO2080" s="379"/>
      <c r="BP2080" s="379"/>
      <c r="BQ2080" s="379"/>
      <c r="BR2080" s="379"/>
      <c r="BS2080" s="379"/>
      <c r="BT2080" s="379"/>
      <c r="BU2080" s="379"/>
      <c r="BV2080" s="379"/>
      <c r="BW2080" s="379"/>
      <c r="BX2080" s="379"/>
      <c r="BY2080" s="379"/>
      <c r="BZ2080" s="379"/>
      <c r="CA2080" s="281"/>
      <c r="CB2080" s="3" t="str">
        <f t="shared" si="343"/>
        <v>Riadok bude skrytý.</v>
      </c>
      <c r="CC2080" s="271" t="s">
        <v>832</v>
      </c>
      <c r="CW2080" s="30">
        <f t="shared" si="348"/>
        <v>1</v>
      </c>
      <c r="CX2080" s="30">
        <f t="shared" si="349"/>
        <v>0</v>
      </c>
      <c r="CZ2080" s="30">
        <f t="shared" si="342"/>
        <v>1</v>
      </c>
      <c r="DA2080" s="52">
        <f t="shared" si="350"/>
        <v>0</v>
      </c>
      <c r="DB2080" s="2">
        <f t="shared" si="351"/>
        <v>0</v>
      </c>
      <c r="DS2080" s="130">
        <f>SI!BY2080</f>
        <v>187</v>
      </c>
      <c r="DZ2080" s="131">
        <f>SI!BZ2080</f>
        <v>0</v>
      </c>
    </row>
    <row r="2081" spans="1:130" hidden="1" x14ac:dyDescent="0.25">
      <c r="A2081" s="141"/>
      <c r="B2081" s="379"/>
      <c r="C2081" s="379"/>
      <c r="D2081" s="379"/>
      <c r="E2081" s="379"/>
      <c r="F2081" s="379"/>
      <c r="G2081" s="379"/>
      <c r="H2081" s="379"/>
      <c r="I2081" s="379"/>
      <c r="J2081" s="379"/>
      <c r="K2081" s="379"/>
      <c r="L2081" s="379"/>
      <c r="M2081" s="379"/>
      <c r="N2081" s="379"/>
      <c r="O2081" s="379"/>
      <c r="P2081" s="379"/>
      <c r="Q2081" s="379"/>
      <c r="R2081" s="379"/>
      <c r="S2081" s="379"/>
      <c r="T2081" s="379"/>
      <c r="U2081" s="379"/>
      <c r="V2081" s="379"/>
      <c r="W2081" s="379"/>
      <c r="X2081" s="379"/>
      <c r="Y2081" s="379"/>
      <c r="Z2081" s="379"/>
      <c r="AA2081" s="379"/>
      <c r="AB2081" s="379"/>
      <c r="AC2081" s="379"/>
      <c r="AD2081" s="379"/>
      <c r="AE2081" s="379"/>
      <c r="AF2081" s="379"/>
      <c r="AG2081" s="379"/>
      <c r="AH2081" s="379"/>
      <c r="AI2081" s="379"/>
      <c r="AJ2081" s="379"/>
      <c r="AK2081" s="379"/>
      <c r="AL2081" s="379"/>
      <c r="AM2081" s="379"/>
      <c r="AN2081" s="379"/>
      <c r="AO2081" s="379"/>
      <c r="AP2081" s="379"/>
      <c r="AQ2081" s="379"/>
      <c r="AR2081" s="379"/>
      <c r="AS2081" s="379"/>
      <c r="AT2081" s="379"/>
      <c r="AU2081" s="379"/>
      <c r="AV2081" s="379"/>
      <c r="AW2081" s="379"/>
      <c r="AX2081" s="379"/>
      <c r="AY2081" s="379"/>
      <c r="AZ2081" s="379"/>
      <c r="BA2081" s="379"/>
      <c r="BB2081" s="379"/>
      <c r="BC2081" s="379"/>
      <c r="BD2081" s="379"/>
      <c r="BE2081" s="379"/>
      <c r="BF2081" s="379"/>
      <c r="BG2081" s="379"/>
      <c r="BH2081" s="379"/>
      <c r="BI2081" s="379"/>
      <c r="BJ2081" s="379"/>
      <c r="BK2081" s="379"/>
      <c r="BL2081" s="379"/>
      <c r="BM2081" s="379"/>
      <c r="BN2081" s="379"/>
      <c r="BO2081" s="379"/>
      <c r="BP2081" s="379"/>
      <c r="BQ2081" s="379"/>
      <c r="BR2081" s="379"/>
      <c r="BS2081" s="379"/>
      <c r="BT2081" s="379"/>
      <c r="BU2081" s="379"/>
      <c r="BV2081" s="379"/>
      <c r="BW2081" s="379"/>
      <c r="BX2081" s="379"/>
      <c r="BY2081" s="379"/>
      <c r="BZ2081" s="379"/>
      <c r="CA2081" s="281"/>
      <c r="CB2081" s="3" t="str">
        <f t="shared" si="343"/>
        <v>Riadok bude skrytý.</v>
      </c>
      <c r="CC2081" s="271" t="s">
        <v>832</v>
      </c>
      <c r="CW2081" s="30">
        <f t="shared" si="348"/>
        <v>1</v>
      </c>
      <c r="CX2081" s="30">
        <f t="shared" si="349"/>
        <v>0</v>
      </c>
      <c r="CZ2081" s="30">
        <f t="shared" si="342"/>
        <v>1</v>
      </c>
      <c r="DA2081" s="52">
        <f t="shared" si="350"/>
        <v>0</v>
      </c>
      <c r="DB2081" s="2">
        <f t="shared" si="351"/>
        <v>0</v>
      </c>
      <c r="DS2081" s="130">
        <f>SI!BY2081</f>
        <v>149</v>
      </c>
      <c r="DZ2081" s="131">
        <f>SI!BZ2081</f>
        <v>0</v>
      </c>
    </row>
    <row r="2082" spans="1:130" hidden="1" x14ac:dyDescent="0.25">
      <c r="A2082" s="141"/>
      <c r="B2082" s="379"/>
      <c r="C2082" s="379"/>
      <c r="D2082" s="379"/>
      <c r="E2082" s="379"/>
      <c r="F2082" s="379"/>
      <c r="G2082" s="379"/>
      <c r="H2082" s="379"/>
      <c r="I2082" s="379"/>
      <c r="J2082" s="379"/>
      <c r="K2082" s="379"/>
      <c r="L2082" s="379"/>
      <c r="M2082" s="379"/>
      <c r="N2082" s="379"/>
      <c r="O2082" s="379"/>
      <c r="P2082" s="379"/>
      <c r="Q2082" s="379"/>
      <c r="R2082" s="379"/>
      <c r="S2082" s="379"/>
      <c r="T2082" s="379"/>
      <c r="U2082" s="379"/>
      <c r="V2082" s="379"/>
      <c r="W2082" s="379"/>
      <c r="X2082" s="379"/>
      <c r="Y2082" s="379"/>
      <c r="Z2082" s="379"/>
      <c r="AA2082" s="379"/>
      <c r="AB2082" s="379"/>
      <c r="AC2082" s="379"/>
      <c r="AD2082" s="379"/>
      <c r="AE2082" s="379"/>
      <c r="AF2082" s="379"/>
      <c r="AG2082" s="379"/>
      <c r="AH2082" s="379"/>
      <c r="AI2082" s="379"/>
      <c r="AJ2082" s="379"/>
      <c r="AK2082" s="379"/>
      <c r="AL2082" s="379"/>
      <c r="AM2082" s="379"/>
      <c r="AN2082" s="379"/>
      <c r="AO2082" s="379"/>
      <c r="AP2082" s="379"/>
      <c r="AQ2082" s="379"/>
      <c r="AR2082" s="379"/>
      <c r="AS2082" s="379"/>
      <c r="AT2082" s="379"/>
      <c r="AU2082" s="379"/>
      <c r="AV2082" s="379"/>
      <c r="AW2082" s="379"/>
      <c r="AX2082" s="379"/>
      <c r="AY2082" s="379"/>
      <c r="AZ2082" s="379"/>
      <c r="BA2082" s="379"/>
      <c r="BB2082" s="379"/>
      <c r="BC2082" s="379"/>
      <c r="BD2082" s="379"/>
      <c r="BE2082" s="379"/>
      <c r="BF2082" s="379"/>
      <c r="BG2082" s="379"/>
      <c r="BH2082" s="379"/>
      <c r="BI2082" s="379"/>
      <c r="BJ2082" s="379"/>
      <c r="BK2082" s="379"/>
      <c r="BL2082" s="379"/>
      <c r="BM2082" s="379"/>
      <c r="BN2082" s="379"/>
      <c r="BO2082" s="379"/>
      <c r="BP2082" s="379"/>
      <c r="BQ2082" s="379"/>
      <c r="BR2082" s="379"/>
      <c r="BS2082" s="379"/>
      <c r="BT2082" s="379"/>
      <c r="BU2082" s="379"/>
      <c r="BV2082" s="379"/>
      <c r="BW2082" s="379"/>
      <c r="BX2082" s="379"/>
      <c r="BY2082" s="379"/>
      <c r="BZ2082" s="379"/>
      <c r="CA2082" s="281"/>
      <c r="CB2082" s="3" t="str">
        <f t="shared" si="343"/>
        <v>Riadok bude skrytý.</v>
      </c>
      <c r="CC2082" s="271" t="s">
        <v>832</v>
      </c>
      <c r="CW2082" s="30">
        <f t="shared" si="348"/>
        <v>1</v>
      </c>
      <c r="CX2082" s="30">
        <f t="shared" si="349"/>
        <v>0</v>
      </c>
      <c r="CZ2082" s="30">
        <f t="shared" si="342"/>
        <v>1</v>
      </c>
      <c r="DA2082" s="52">
        <f t="shared" si="350"/>
        <v>0</v>
      </c>
      <c r="DB2082" s="2">
        <f t="shared" si="351"/>
        <v>0</v>
      </c>
      <c r="DS2082" s="130">
        <f>SI!BY2082</f>
        <v>162</v>
      </c>
      <c r="DZ2082" s="131">
        <f>SI!BZ2082</f>
        <v>0</v>
      </c>
    </row>
    <row r="2083" spans="1:130" hidden="1" x14ac:dyDescent="0.25">
      <c r="A2083" s="141"/>
      <c r="B2083" s="379"/>
      <c r="C2083" s="379"/>
      <c r="D2083" s="379"/>
      <c r="E2083" s="379"/>
      <c r="F2083" s="379"/>
      <c r="G2083" s="379"/>
      <c r="H2083" s="379"/>
      <c r="I2083" s="379"/>
      <c r="J2083" s="379"/>
      <c r="K2083" s="379"/>
      <c r="L2083" s="379"/>
      <c r="M2083" s="379"/>
      <c r="N2083" s="379"/>
      <c r="O2083" s="379"/>
      <c r="P2083" s="379"/>
      <c r="Q2083" s="379"/>
      <c r="R2083" s="379"/>
      <c r="S2083" s="379"/>
      <c r="T2083" s="379"/>
      <c r="U2083" s="379"/>
      <c r="V2083" s="379"/>
      <c r="W2083" s="379"/>
      <c r="X2083" s="379"/>
      <c r="Y2083" s="379"/>
      <c r="Z2083" s="379"/>
      <c r="AA2083" s="379"/>
      <c r="AB2083" s="379"/>
      <c r="AC2083" s="379"/>
      <c r="AD2083" s="379"/>
      <c r="AE2083" s="379"/>
      <c r="AF2083" s="379"/>
      <c r="AG2083" s="379"/>
      <c r="AH2083" s="379"/>
      <c r="AI2083" s="379"/>
      <c r="AJ2083" s="379"/>
      <c r="AK2083" s="379"/>
      <c r="AL2083" s="379"/>
      <c r="AM2083" s="379"/>
      <c r="AN2083" s="379"/>
      <c r="AO2083" s="379"/>
      <c r="AP2083" s="379"/>
      <c r="AQ2083" s="379"/>
      <c r="AR2083" s="379"/>
      <c r="AS2083" s="379"/>
      <c r="AT2083" s="379"/>
      <c r="AU2083" s="379"/>
      <c r="AV2083" s="379"/>
      <c r="AW2083" s="379"/>
      <c r="AX2083" s="379"/>
      <c r="AY2083" s="379"/>
      <c r="AZ2083" s="379"/>
      <c r="BA2083" s="379"/>
      <c r="BB2083" s="379"/>
      <c r="BC2083" s="379"/>
      <c r="BD2083" s="379"/>
      <c r="BE2083" s="379"/>
      <c r="BF2083" s="379"/>
      <c r="BG2083" s="379"/>
      <c r="BH2083" s="379"/>
      <c r="BI2083" s="379"/>
      <c r="BJ2083" s="379"/>
      <c r="BK2083" s="379"/>
      <c r="BL2083" s="379"/>
      <c r="BM2083" s="379"/>
      <c r="BN2083" s="379"/>
      <c r="BO2083" s="379"/>
      <c r="BP2083" s="379"/>
      <c r="BQ2083" s="379"/>
      <c r="BR2083" s="379"/>
      <c r="BS2083" s="379"/>
      <c r="BT2083" s="379"/>
      <c r="BU2083" s="379"/>
      <c r="BV2083" s="379"/>
      <c r="BW2083" s="379"/>
      <c r="BX2083" s="379"/>
      <c r="BY2083" s="379"/>
      <c r="BZ2083" s="379"/>
      <c r="CA2083" s="281"/>
      <c r="CB2083" s="3" t="str">
        <f t="shared" si="343"/>
        <v>Riadok bude skrytý.</v>
      </c>
      <c r="CC2083" s="271" t="s">
        <v>832</v>
      </c>
      <c r="CW2083" s="30">
        <f t="shared" si="348"/>
        <v>1</v>
      </c>
      <c r="CX2083" s="30">
        <f t="shared" si="349"/>
        <v>0</v>
      </c>
      <c r="CZ2083" s="30">
        <f t="shared" si="342"/>
        <v>1</v>
      </c>
      <c r="DA2083" s="52">
        <f t="shared" si="350"/>
        <v>0</v>
      </c>
      <c r="DB2083" s="2">
        <f t="shared" si="351"/>
        <v>0</v>
      </c>
      <c r="DS2083" s="130">
        <f>SI!BY2083</f>
        <v>109</v>
      </c>
      <c r="DZ2083" s="131">
        <f>SI!BZ2083</f>
        <v>0</v>
      </c>
    </row>
    <row r="2084" spans="1:130" hidden="1" x14ac:dyDescent="0.25">
      <c r="A2084" s="141"/>
      <c r="B2084" s="379"/>
      <c r="C2084" s="379"/>
      <c r="D2084" s="379"/>
      <c r="E2084" s="379"/>
      <c r="F2084" s="379"/>
      <c r="G2084" s="379"/>
      <c r="H2084" s="379"/>
      <c r="I2084" s="379"/>
      <c r="J2084" s="379"/>
      <c r="K2084" s="379"/>
      <c r="L2084" s="379"/>
      <c r="M2084" s="379"/>
      <c r="N2084" s="379"/>
      <c r="O2084" s="379"/>
      <c r="P2084" s="379"/>
      <c r="Q2084" s="379"/>
      <c r="R2084" s="379"/>
      <c r="S2084" s="379"/>
      <c r="T2084" s="379"/>
      <c r="U2084" s="379"/>
      <c r="V2084" s="379"/>
      <c r="W2084" s="379"/>
      <c r="X2084" s="379"/>
      <c r="Y2084" s="379"/>
      <c r="Z2084" s="379"/>
      <c r="AA2084" s="379"/>
      <c r="AB2084" s="379"/>
      <c r="AC2084" s="379"/>
      <c r="AD2084" s="379"/>
      <c r="AE2084" s="379"/>
      <c r="AF2084" s="379"/>
      <c r="AG2084" s="379"/>
      <c r="AH2084" s="379"/>
      <c r="AI2084" s="379"/>
      <c r="AJ2084" s="379"/>
      <c r="AK2084" s="379"/>
      <c r="AL2084" s="379"/>
      <c r="AM2084" s="379"/>
      <c r="AN2084" s="379"/>
      <c r="AO2084" s="379"/>
      <c r="AP2084" s="379"/>
      <c r="AQ2084" s="379"/>
      <c r="AR2084" s="379"/>
      <c r="AS2084" s="379"/>
      <c r="AT2084" s="379"/>
      <c r="AU2084" s="379"/>
      <c r="AV2084" s="379"/>
      <c r="AW2084" s="379"/>
      <c r="AX2084" s="379"/>
      <c r="AY2084" s="379"/>
      <c r="AZ2084" s="379"/>
      <c r="BA2084" s="379"/>
      <c r="BB2084" s="379"/>
      <c r="BC2084" s="379"/>
      <c r="BD2084" s="379"/>
      <c r="BE2084" s="379"/>
      <c r="BF2084" s="379"/>
      <c r="BG2084" s="379"/>
      <c r="BH2084" s="379"/>
      <c r="BI2084" s="379"/>
      <c r="BJ2084" s="379"/>
      <c r="BK2084" s="379"/>
      <c r="BL2084" s="379"/>
      <c r="BM2084" s="379"/>
      <c r="BN2084" s="379"/>
      <c r="BO2084" s="379"/>
      <c r="BP2084" s="379"/>
      <c r="BQ2084" s="379"/>
      <c r="BR2084" s="379"/>
      <c r="BS2084" s="379"/>
      <c r="BT2084" s="379"/>
      <c r="BU2084" s="379"/>
      <c r="BV2084" s="379"/>
      <c r="BW2084" s="379"/>
      <c r="BX2084" s="379"/>
      <c r="BY2084" s="379"/>
      <c r="BZ2084" s="379"/>
      <c r="CA2084" s="281"/>
      <c r="CB2084" s="3" t="str">
        <f t="shared" si="343"/>
        <v>Riadok bude skrytý.</v>
      </c>
      <c r="CC2084" s="271" t="s">
        <v>832</v>
      </c>
      <c r="CW2084" s="30">
        <f t="shared" si="348"/>
        <v>1</v>
      </c>
      <c r="CX2084" s="30">
        <f t="shared" si="349"/>
        <v>0</v>
      </c>
      <c r="CZ2084" s="30">
        <f t="shared" si="342"/>
        <v>1</v>
      </c>
      <c r="DA2084" s="52">
        <f t="shared" si="350"/>
        <v>0</v>
      </c>
      <c r="DB2084" s="2">
        <f t="shared" si="351"/>
        <v>0</v>
      </c>
      <c r="DS2084" s="130">
        <f>SI!BY2084</f>
        <v>155</v>
      </c>
      <c r="DZ2084" s="131">
        <f>SI!BZ2084</f>
        <v>0</v>
      </c>
    </row>
    <row r="2085" spans="1:130" hidden="1" x14ac:dyDescent="0.25">
      <c r="A2085" s="141"/>
      <c r="B2085" s="379"/>
      <c r="C2085" s="379"/>
      <c r="D2085" s="379"/>
      <c r="E2085" s="379"/>
      <c r="F2085" s="379"/>
      <c r="G2085" s="379"/>
      <c r="H2085" s="379"/>
      <c r="I2085" s="379"/>
      <c r="J2085" s="379"/>
      <c r="K2085" s="379"/>
      <c r="L2085" s="379"/>
      <c r="M2085" s="379"/>
      <c r="N2085" s="379"/>
      <c r="O2085" s="379"/>
      <c r="P2085" s="379"/>
      <c r="Q2085" s="379"/>
      <c r="R2085" s="379"/>
      <c r="S2085" s="379"/>
      <c r="T2085" s="379"/>
      <c r="U2085" s="379"/>
      <c r="V2085" s="379"/>
      <c r="W2085" s="379"/>
      <c r="X2085" s="379"/>
      <c r="Y2085" s="379"/>
      <c r="Z2085" s="379"/>
      <c r="AA2085" s="379"/>
      <c r="AB2085" s="379"/>
      <c r="AC2085" s="379"/>
      <c r="AD2085" s="379"/>
      <c r="AE2085" s="379"/>
      <c r="AF2085" s="379"/>
      <c r="AG2085" s="379"/>
      <c r="AH2085" s="379"/>
      <c r="AI2085" s="379"/>
      <c r="AJ2085" s="379"/>
      <c r="AK2085" s="379"/>
      <c r="AL2085" s="379"/>
      <c r="AM2085" s="379"/>
      <c r="AN2085" s="379"/>
      <c r="AO2085" s="379"/>
      <c r="AP2085" s="379"/>
      <c r="AQ2085" s="379"/>
      <c r="AR2085" s="379"/>
      <c r="AS2085" s="379"/>
      <c r="AT2085" s="379"/>
      <c r="AU2085" s="379"/>
      <c r="AV2085" s="379"/>
      <c r="AW2085" s="379"/>
      <c r="AX2085" s="379"/>
      <c r="AY2085" s="379"/>
      <c r="AZ2085" s="379"/>
      <c r="BA2085" s="379"/>
      <c r="BB2085" s="379"/>
      <c r="BC2085" s="379"/>
      <c r="BD2085" s="379"/>
      <c r="BE2085" s="379"/>
      <c r="BF2085" s="379"/>
      <c r="BG2085" s="379"/>
      <c r="BH2085" s="379"/>
      <c r="BI2085" s="379"/>
      <c r="BJ2085" s="379"/>
      <c r="BK2085" s="379"/>
      <c r="BL2085" s="379"/>
      <c r="BM2085" s="379"/>
      <c r="BN2085" s="379"/>
      <c r="BO2085" s="379"/>
      <c r="BP2085" s="379"/>
      <c r="BQ2085" s="379"/>
      <c r="BR2085" s="379"/>
      <c r="BS2085" s="379"/>
      <c r="BT2085" s="379"/>
      <c r="BU2085" s="379"/>
      <c r="BV2085" s="379"/>
      <c r="BW2085" s="379"/>
      <c r="BX2085" s="379"/>
      <c r="BY2085" s="379"/>
      <c r="BZ2085" s="379"/>
      <c r="CA2085" s="281"/>
      <c r="CB2085" s="3" t="str">
        <f t="shared" si="343"/>
        <v>Riadok bude skrytý.</v>
      </c>
      <c r="CC2085" s="271" t="s">
        <v>832</v>
      </c>
      <c r="CW2085" s="30">
        <f t="shared" si="348"/>
        <v>1</v>
      </c>
      <c r="CX2085" s="30">
        <f t="shared" si="349"/>
        <v>0</v>
      </c>
      <c r="CZ2085" s="30">
        <f t="shared" si="342"/>
        <v>1</v>
      </c>
      <c r="DA2085" s="52">
        <f t="shared" si="350"/>
        <v>0</v>
      </c>
      <c r="DB2085" s="2">
        <f t="shared" si="351"/>
        <v>0</v>
      </c>
      <c r="DS2085" s="130">
        <f>SI!BY2085</f>
        <v>128</v>
      </c>
      <c r="DZ2085" s="131">
        <f>SI!BZ2085</f>
        <v>0</v>
      </c>
    </row>
    <row r="2086" spans="1:130" hidden="1" x14ac:dyDescent="0.25">
      <c r="A2086" s="141"/>
      <c r="B2086" s="379"/>
      <c r="C2086" s="379"/>
      <c r="D2086" s="379"/>
      <c r="E2086" s="379"/>
      <c r="F2086" s="379"/>
      <c r="G2086" s="379"/>
      <c r="H2086" s="379"/>
      <c r="I2086" s="379"/>
      <c r="J2086" s="379"/>
      <c r="K2086" s="379"/>
      <c r="L2086" s="379"/>
      <c r="M2086" s="379"/>
      <c r="N2086" s="379"/>
      <c r="O2086" s="379"/>
      <c r="P2086" s="379"/>
      <c r="Q2086" s="379"/>
      <c r="R2086" s="379"/>
      <c r="S2086" s="379"/>
      <c r="T2086" s="379"/>
      <c r="U2086" s="379"/>
      <c r="V2086" s="379"/>
      <c r="W2086" s="379"/>
      <c r="X2086" s="379"/>
      <c r="Y2086" s="379"/>
      <c r="Z2086" s="379"/>
      <c r="AA2086" s="379"/>
      <c r="AB2086" s="379"/>
      <c r="AC2086" s="379"/>
      <c r="AD2086" s="379"/>
      <c r="AE2086" s="379"/>
      <c r="AF2086" s="379"/>
      <c r="AG2086" s="379"/>
      <c r="AH2086" s="379"/>
      <c r="AI2086" s="379"/>
      <c r="AJ2086" s="379"/>
      <c r="AK2086" s="379"/>
      <c r="AL2086" s="379"/>
      <c r="AM2086" s="379"/>
      <c r="AN2086" s="379"/>
      <c r="AO2086" s="379"/>
      <c r="AP2086" s="379"/>
      <c r="AQ2086" s="379"/>
      <c r="AR2086" s="379"/>
      <c r="AS2086" s="379"/>
      <c r="AT2086" s="379"/>
      <c r="AU2086" s="379"/>
      <c r="AV2086" s="379"/>
      <c r="AW2086" s="379"/>
      <c r="AX2086" s="379"/>
      <c r="AY2086" s="379"/>
      <c r="AZ2086" s="379"/>
      <c r="BA2086" s="379"/>
      <c r="BB2086" s="379"/>
      <c r="BC2086" s="379"/>
      <c r="BD2086" s="379"/>
      <c r="BE2086" s="379"/>
      <c r="BF2086" s="379"/>
      <c r="BG2086" s="379"/>
      <c r="BH2086" s="379"/>
      <c r="BI2086" s="379"/>
      <c r="BJ2086" s="379"/>
      <c r="BK2086" s="379"/>
      <c r="BL2086" s="379"/>
      <c r="BM2086" s="379"/>
      <c r="BN2086" s="379"/>
      <c r="BO2086" s="379"/>
      <c r="BP2086" s="379"/>
      <c r="BQ2086" s="379"/>
      <c r="BR2086" s="379"/>
      <c r="BS2086" s="379"/>
      <c r="BT2086" s="379"/>
      <c r="BU2086" s="379"/>
      <c r="BV2086" s="379"/>
      <c r="BW2086" s="379"/>
      <c r="BX2086" s="379"/>
      <c r="BY2086" s="379"/>
      <c r="BZ2086" s="379"/>
      <c r="CA2086" s="281"/>
      <c r="CB2086" s="3" t="str">
        <f t="shared" si="343"/>
        <v>Riadok bude skrytý.</v>
      </c>
      <c r="CC2086" s="271" t="s">
        <v>832</v>
      </c>
      <c r="CW2086" s="30">
        <f t="shared" si="348"/>
        <v>1</v>
      </c>
      <c r="CX2086" s="30">
        <f t="shared" si="349"/>
        <v>0</v>
      </c>
      <c r="CZ2086" s="30">
        <f t="shared" si="342"/>
        <v>1</v>
      </c>
      <c r="DA2086" s="52">
        <f t="shared" si="350"/>
        <v>0</v>
      </c>
      <c r="DB2086" s="2">
        <f t="shared" si="351"/>
        <v>0</v>
      </c>
      <c r="DS2086" s="130">
        <f>SI!BY2086</f>
        <v>198</v>
      </c>
      <c r="DZ2086" s="131">
        <f>SI!BZ2086</f>
        <v>0</v>
      </c>
    </row>
    <row r="2087" spans="1:130" hidden="1" x14ac:dyDescent="0.25">
      <c r="A2087" s="141"/>
      <c r="B2087" s="379"/>
      <c r="C2087" s="379"/>
      <c r="D2087" s="379"/>
      <c r="E2087" s="379"/>
      <c r="F2087" s="379"/>
      <c r="G2087" s="379"/>
      <c r="H2087" s="379"/>
      <c r="I2087" s="379"/>
      <c r="J2087" s="379"/>
      <c r="K2087" s="379"/>
      <c r="L2087" s="379"/>
      <c r="M2087" s="379"/>
      <c r="N2087" s="379"/>
      <c r="O2087" s="379"/>
      <c r="P2087" s="379"/>
      <c r="Q2087" s="379"/>
      <c r="R2087" s="379"/>
      <c r="S2087" s="379"/>
      <c r="T2087" s="379"/>
      <c r="U2087" s="379"/>
      <c r="V2087" s="379"/>
      <c r="W2087" s="379"/>
      <c r="X2087" s="379"/>
      <c r="Y2087" s="379"/>
      <c r="Z2087" s="379"/>
      <c r="AA2087" s="379"/>
      <c r="AB2087" s="379"/>
      <c r="AC2087" s="379"/>
      <c r="AD2087" s="379"/>
      <c r="AE2087" s="379"/>
      <c r="AF2087" s="379"/>
      <c r="AG2087" s="379"/>
      <c r="AH2087" s="379"/>
      <c r="AI2087" s="379"/>
      <c r="AJ2087" s="379"/>
      <c r="AK2087" s="379"/>
      <c r="AL2087" s="379"/>
      <c r="AM2087" s="379"/>
      <c r="AN2087" s="379"/>
      <c r="AO2087" s="379"/>
      <c r="AP2087" s="379"/>
      <c r="AQ2087" s="379"/>
      <c r="AR2087" s="379"/>
      <c r="AS2087" s="379"/>
      <c r="AT2087" s="379"/>
      <c r="AU2087" s="379"/>
      <c r="AV2087" s="379"/>
      <c r="AW2087" s="379"/>
      <c r="AX2087" s="379"/>
      <c r="AY2087" s="379"/>
      <c r="AZ2087" s="379"/>
      <c r="BA2087" s="379"/>
      <c r="BB2087" s="379"/>
      <c r="BC2087" s="379"/>
      <c r="BD2087" s="379"/>
      <c r="BE2087" s="379"/>
      <c r="BF2087" s="379"/>
      <c r="BG2087" s="379"/>
      <c r="BH2087" s="379"/>
      <c r="BI2087" s="379"/>
      <c r="BJ2087" s="379"/>
      <c r="BK2087" s="379"/>
      <c r="BL2087" s="379"/>
      <c r="BM2087" s="379"/>
      <c r="BN2087" s="379"/>
      <c r="BO2087" s="379"/>
      <c r="BP2087" s="379"/>
      <c r="BQ2087" s="379"/>
      <c r="BR2087" s="379"/>
      <c r="BS2087" s="379"/>
      <c r="BT2087" s="379"/>
      <c r="BU2087" s="379"/>
      <c r="BV2087" s="379"/>
      <c r="BW2087" s="379"/>
      <c r="BX2087" s="379"/>
      <c r="BY2087" s="379"/>
      <c r="BZ2087" s="379"/>
      <c r="CA2087" s="281"/>
      <c r="CB2087" s="3" t="str">
        <f t="shared" si="343"/>
        <v>Riadok bude skrytý.</v>
      </c>
      <c r="CC2087" s="271" t="s">
        <v>832</v>
      </c>
      <c r="CW2087" s="30">
        <f t="shared" si="348"/>
        <v>1</v>
      </c>
      <c r="CX2087" s="30">
        <f t="shared" si="349"/>
        <v>0</v>
      </c>
      <c r="CZ2087" s="30">
        <f t="shared" si="342"/>
        <v>1</v>
      </c>
      <c r="DA2087" s="52">
        <f t="shared" si="350"/>
        <v>0</v>
      </c>
      <c r="DB2087" s="2">
        <f t="shared" si="351"/>
        <v>0</v>
      </c>
      <c r="DS2087" s="130">
        <f>SI!BY2087</f>
        <v>123</v>
      </c>
      <c r="DZ2087" s="131">
        <f>SI!BZ2087</f>
        <v>0</v>
      </c>
    </row>
    <row r="2088" spans="1:130" hidden="1" x14ac:dyDescent="0.25">
      <c r="A2088" s="141"/>
      <c r="B2088" s="379"/>
      <c r="C2088" s="379"/>
      <c r="D2088" s="379"/>
      <c r="E2088" s="379"/>
      <c r="F2088" s="379"/>
      <c r="G2088" s="379"/>
      <c r="H2088" s="379"/>
      <c r="I2088" s="379"/>
      <c r="J2088" s="379"/>
      <c r="K2088" s="379"/>
      <c r="L2088" s="379"/>
      <c r="M2088" s="379"/>
      <c r="N2088" s="379"/>
      <c r="O2088" s="379"/>
      <c r="P2088" s="379"/>
      <c r="Q2088" s="379"/>
      <c r="R2088" s="379"/>
      <c r="S2088" s="379"/>
      <c r="T2088" s="379"/>
      <c r="U2088" s="379"/>
      <c r="V2088" s="379"/>
      <c r="W2088" s="379"/>
      <c r="X2088" s="379"/>
      <c r="Y2088" s="379"/>
      <c r="Z2088" s="379"/>
      <c r="AA2088" s="379"/>
      <c r="AB2088" s="379"/>
      <c r="AC2088" s="379"/>
      <c r="AD2088" s="379"/>
      <c r="AE2088" s="379"/>
      <c r="AF2088" s="379"/>
      <c r="AG2088" s="379"/>
      <c r="AH2088" s="379"/>
      <c r="AI2088" s="379"/>
      <c r="AJ2088" s="379"/>
      <c r="AK2088" s="379"/>
      <c r="AL2088" s="379"/>
      <c r="AM2088" s="379"/>
      <c r="AN2088" s="379"/>
      <c r="AO2088" s="379"/>
      <c r="AP2088" s="379"/>
      <c r="AQ2088" s="379"/>
      <c r="AR2088" s="379"/>
      <c r="AS2088" s="379"/>
      <c r="AT2088" s="379"/>
      <c r="AU2088" s="379"/>
      <c r="AV2088" s="379"/>
      <c r="AW2088" s="379"/>
      <c r="AX2088" s="379"/>
      <c r="AY2088" s="379"/>
      <c r="AZ2088" s="379"/>
      <c r="BA2088" s="379"/>
      <c r="BB2088" s="379"/>
      <c r="BC2088" s="379"/>
      <c r="BD2088" s="379"/>
      <c r="BE2088" s="379"/>
      <c r="BF2088" s="379"/>
      <c r="BG2088" s="379"/>
      <c r="BH2088" s="379"/>
      <c r="BI2088" s="379"/>
      <c r="BJ2088" s="379"/>
      <c r="BK2088" s="379"/>
      <c r="BL2088" s="379"/>
      <c r="BM2088" s="379"/>
      <c r="BN2088" s="379"/>
      <c r="BO2088" s="379"/>
      <c r="BP2088" s="379"/>
      <c r="BQ2088" s="379"/>
      <c r="BR2088" s="379"/>
      <c r="BS2088" s="379"/>
      <c r="BT2088" s="379"/>
      <c r="BU2088" s="379"/>
      <c r="BV2088" s="379"/>
      <c r="BW2088" s="379"/>
      <c r="BX2088" s="379"/>
      <c r="BY2088" s="379"/>
      <c r="BZ2088" s="379"/>
      <c r="CA2088" s="281"/>
      <c r="CB2088" s="3" t="str">
        <f t="shared" si="343"/>
        <v>Riadok bude skrytý.</v>
      </c>
      <c r="CC2088" s="271" t="s">
        <v>832</v>
      </c>
      <c r="CW2088" s="30">
        <f t="shared" si="348"/>
        <v>1</v>
      </c>
      <c r="CX2088" s="30">
        <f t="shared" si="349"/>
        <v>0</v>
      </c>
      <c r="CZ2088" s="30">
        <f t="shared" si="342"/>
        <v>1</v>
      </c>
      <c r="DA2088" s="52">
        <f t="shared" si="350"/>
        <v>0</v>
      </c>
      <c r="DB2088" s="2">
        <f t="shared" si="351"/>
        <v>0</v>
      </c>
      <c r="DS2088" s="130">
        <f>SI!BY2088</f>
        <v>114</v>
      </c>
      <c r="DZ2088" s="131">
        <f>SI!BZ2088</f>
        <v>0</v>
      </c>
    </row>
    <row r="2089" spans="1:130" hidden="1" x14ac:dyDescent="0.25">
      <c r="A2089" s="141"/>
      <c r="B2089" s="379"/>
      <c r="C2089" s="379"/>
      <c r="D2089" s="379"/>
      <c r="E2089" s="379"/>
      <c r="F2089" s="379"/>
      <c r="G2089" s="379"/>
      <c r="H2089" s="379"/>
      <c r="I2089" s="379"/>
      <c r="J2089" s="379"/>
      <c r="K2089" s="379"/>
      <c r="L2089" s="379"/>
      <c r="M2089" s="379"/>
      <c r="N2089" s="379"/>
      <c r="O2089" s="379"/>
      <c r="P2089" s="379"/>
      <c r="Q2089" s="379"/>
      <c r="R2089" s="379"/>
      <c r="S2089" s="379"/>
      <c r="T2089" s="379"/>
      <c r="U2089" s="379"/>
      <c r="V2089" s="379"/>
      <c r="W2089" s="379"/>
      <c r="X2089" s="379"/>
      <c r="Y2089" s="379"/>
      <c r="Z2089" s="379"/>
      <c r="AA2089" s="379"/>
      <c r="AB2089" s="379"/>
      <c r="AC2089" s="379"/>
      <c r="AD2089" s="379"/>
      <c r="AE2089" s="379"/>
      <c r="AF2089" s="379"/>
      <c r="AG2089" s="379"/>
      <c r="AH2089" s="379"/>
      <c r="AI2089" s="379"/>
      <c r="AJ2089" s="379"/>
      <c r="AK2089" s="379"/>
      <c r="AL2089" s="379"/>
      <c r="AM2089" s="379"/>
      <c r="AN2089" s="379"/>
      <c r="AO2089" s="379"/>
      <c r="AP2089" s="379"/>
      <c r="AQ2089" s="379"/>
      <c r="AR2089" s="379"/>
      <c r="AS2089" s="379"/>
      <c r="AT2089" s="379"/>
      <c r="AU2089" s="379"/>
      <c r="AV2089" s="379"/>
      <c r="AW2089" s="379"/>
      <c r="AX2089" s="379"/>
      <c r="AY2089" s="379"/>
      <c r="AZ2089" s="379"/>
      <c r="BA2089" s="379"/>
      <c r="BB2089" s="379"/>
      <c r="BC2089" s="379"/>
      <c r="BD2089" s="379"/>
      <c r="BE2089" s="379"/>
      <c r="BF2089" s="379"/>
      <c r="BG2089" s="379"/>
      <c r="BH2089" s="379"/>
      <c r="BI2089" s="379"/>
      <c r="BJ2089" s="379"/>
      <c r="BK2089" s="379"/>
      <c r="BL2089" s="379"/>
      <c r="BM2089" s="379"/>
      <c r="BN2089" s="379"/>
      <c r="BO2089" s="379"/>
      <c r="BP2089" s="379"/>
      <c r="BQ2089" s="379"/>
      <c r="BR2089" s="379"/>
      <c r="BS2089" s="379"/>
      <c r="BT2089" s="379"/>
      <c r="BU2089" s="379"/>
      <c r="BV2089" s="379"/>
      <c r="BW2089" s="379"/>
      <c r="BX2089" s="379"/>
      <c r="BY2089" s="379"/>
      <c r="BZ2089" s="379"/>
      <c r="CA2089" s="281"/>
      <c r="CB2089" s="3" t="str">
        <f t="shared" si="343"/>
        <v>Riadok bude skrytý.</v>
      </c>
      <c r="CC2089" s="271" t="s">
        <v>832</v>
      </c>
      <c r="CW2089" s="30">
        <f t="shared" si="348"/>
        <v>1</v>
      </c>
      <c r="CX2089" s="30">
        <f t="shared" si="349"/>
        <v>0</v>
      </c>
      <c r="CZ2089" s="30">
        <f t="shared" si="342"/>
        <v>1</v>
      </c>
      <c r="DA2089" s="52">
        <f t="shared" si="350"/>
        <v>0</v>
      </c>
      <c r="DB2089" s="2">
        <f t="shared" si="351"/>
        <v>0</v>
      </c>
      <c r="DS2089" s="130">
        <f>SI!BY2089</f>
        <v>139</v>
      </c>
      <c r="DZ2089" s="131">
        <f>SI!BZ2089</f>
        <v>0</v>
      </c>
    </row>
    <row r="2090" spans="1:130" hidden="1" x14ac:dyDescent="0.25">
      <c r="A2090" s="141"/>
      <c r="CA2090" s="270"/>
      <c r="CB2090" s="3" t="str">
        <f t="shared" si="343"/>
        <v>Riadok bude skrytý.</v>
      </c>
      <c r="CC2090" s="271" t="s">
        <v>832</v>
      </c>
      <c r="CW2090" s="30">
        <f t="shared" si="348"/>
        <v>1</v>
      </c>
      <c r="CZ2090" s="30">
        <f t="shared" si="342"/>
        <v>1</v>
      </c>
      <c r="DA2090" s="30">
        <f t="shared" ref="DA2090:DA2098" si="352">+IF(CW2090+CX2090+CY2090=0,0,IF(CZ2090=0,0,1))</f>
        <v>1</v>
      </c>
      <c r="DB2090" s="2">
        <f t="shared" si="351"/>
        <v>0</v>
      </c>
      <c r="DS2090" s="130">
        <f>SI!BY2090</f>
        <v>150</v>
      </c>
      <c r="DZ2090" s="131">
        <f>SI!BZ2090</f>
        <v>0</v>
      </c>
    </row>
    <row r="2091" spans="1:130" hidden="1" x14ac:dyDescent="0.25">
      <c r="A2091" s="141"/>
      <c r="B2091" s="137" t="str">
        <f>+IF($O$52&lt;&gt;"",IF(CODE(MID($O$52,1,1))*(IF(SI!EE2091="",1,SI!EE2091-1-1))+ROUNDDOWN(LEN(SI!J5)/2,0)=DS2091,"Prehľad o rezervách za bežné účtovné obdobie je uvedený v nasledujúcej tabuľke:","NEPOVOLENÉ POUŽITIE!"),"NEPOVOLENÉ POUŽITIE!")</f>
        <v>Prehľad o rezervách za bežné účtovné obdobie je uvedený v nasledujúcej tabuľke:</v>
      </c>
      <c r="CA2091" s="265" t="s">
        <v>773</v>
      </c>
      <c r="CB2091" s="3" t="str">
        <f t="shared" si="343"/>
        <v>Riadok bude skrytý.</v>
      </c>
      <c r="CC2091" s="271" t="s">
        <v>832</v>
      </c>
      <c r="CW2091" s="30">
        <f t="shared" si="348"/>
        <v>1</v>
      </c>
      <c r="CZ2091" s="30">
        <f t="shared" ref="CZ2091:CZ2154" si="353">IF(CC2091="",1,IF(CC2091="Chcem skryť riadok.",0,1))</f>
        <v>1</v>
      </c>
      <c r="DA2091" s="30">
        <f t="shared" si="352"/>
        <v>1</v>
      </c>
      <c r="DB2091" s="2">
        <f t="shared" si="351"/>
        <v>0</v>
      </c>
      <c r="DS2091" s="130">
        <f>SI!BY2091</f>
        <v>7</v>
      </c>
      <c r="DZ2091" s="131">
        <f>SI!BZ2091</f>
        <v>0</v>
      </c>
    </row>
    <row r="2092" spans="1:130" hidden="1" x14ac:dyDescent="0.25">
      <c r="A2092" s="141"/>
      <c r="CA2092" s="142"/>
      <c r="CB2092" s="3" t="str">
        <f t="shared" si="343"/>
        <v>Riadok bude skrytý.</v>
      </c>
      <c r="CC2092" s="271" t="s">
        <v>832</v>
      </c>
      <c r="CW2092" s="30">
        <f t="shared" si="348"/>
        <v>1</v>
      </c>
      <c r="CZ2092" s="30">
        <f t="shared" si="353"/>
        <v>1</v>
      </c>
      <c r="DA2092" s="30">
        <f t="shared" si="352"/>
        <v>1</v>
      </c>
      <c r="DB2092" s="2">
        <f t="shared" si="351"/>
        <v>0</v>
      </c>
      <c r="DS2092" s="130">
        <f>SI!BY2092</f>
        <v>119</v>
      </c>
      <c r="DZ2092" s="131">
        <f>SI!BZ2092</f>
        <v>0</v>
      </c>
    </row>
    <row r="2093" spans="1:130" ht="14.95" hidden="1" customHeight="1" x14ac:dyDescent="0.25">
      <c r="A2093" s="141"/>
      <c r="B2093" s="439" t="s">
        <v>171</v>
      </c>
      <c r="C2093" s="440"/>
      <c r="D2093" s="440"/>
      <c r="E2093" s="440"/>
      <c r="F2093" s="440"/>
      <c r="G2093" s="440"/>
      <c r="H2093" s="440"/>
      <c r="I2093" s="440"/>
      <c r="J2093" s="440"/>
      <c r="K2093" s="440"/>
      <c r="L2093" s="440"/>
      <c r="M2093" s="440"/>
      <c r="N2093" s="440"/>
      <c r="O2093" s="440"/>
      <c r="P2093" s="440"/>
      <c r="Q2093" s="440"/>
      <c r="R2093" s="440"/>
      <c r="S2093" s="441"/>
      <c r="T2093" s="650">
        <f>+AJ141</f>
        <v>2021</v>
      </c>
      <c r="U2093" s="391"/>
      <c r="V2093" s="391"/>
      <c r="W2093" s="391"/>
      <c r="X2093" s="391"/>
      <c r="Y2093" s="391"/>
      <c r="Z2093" s="391"/>
      <c r="AA2093" s="391"/>
      <c r="AB2093" s="391"/>
      <c r="AC2093" s="391"/>
      <c r="AD2093" s="391"/>
      <c r="AE2093" s="391"/>
      <c r="AF2093" s="391"/>
      <c r="AG2093" s="391"/>
      <c r="AH2093" s="391"/>
      <c r="AI2093" s="391"/>
      <c r="AJ2093" s="391"/>
      <c r="AK2093" s="391"/>
      <c r="AL2093" s="391"/>
      <c r="AM2093" s="391"/>
      <c r="AN2093" s="391"/>
      <c r="AO2093" s="391"/>
      <c r="AP2093" s="391"/>
      <c r="AQ2093" s="391"/>
      <c r="AR2093" s="391"/>
      <c r="AS2093" s="391"/>
      <c r="AT2093" s="391"/>
      <c r="AU2093" s="391"/>
      <c r="AV2093" s="391"/>
      <c r="AW2093" s="391"/>
      <c r="AX2093" s="391"/>
      <c r="AY2093" s="391"/>
      <c r="AZ2093" s="391"/>
      <c r="BA2093" s="391"/>
      <c r="BB2093" s="391"/>
      <c r="BC2093" s="391"/>
      <c r="BD2093" s="391"/>
      <c r="BE2093" s="391"/>
      <c r="BF2093" s="391"/>
      <c r="BG2093" s="391"/>
      <c r="BH2093" s="391"/>
      <c r="BI2093" s="391"/>
      <c r="BJ2093" s="391"/>
      <c r="BK2093" s="391"/>
      <c r="BL2093" s="391"/>
      <c r="BM2093" s="391"/>
      <c r="BN2093" s="391"/>
      <c r="BO2093" s="391"/>
      <c r="BP2093" s="391"/>
      <c r="BQ2093" s="391"/>
      <c r="BR2093" s="391"/>
      <c r="BS2093" s="391"/>
      <c r="BT2093" s="391"/>
      <c r="BU2093" s="391"/>
      <c r="BV2093" s="391"/>
      <c r="BW2093" s="391"/>
      <c r="BX2093" s="391"/>
      <c r="BY2093" s="391"/>
      <c r="BZ2093" s="392"/>
      <c r="CA2093" s="142"/>
      <c r="CB2093" s="3" t="str">
        <f t="shared" si="343"/>
        <v>Riadok bude skrytý.</v>
      </c>
      <c r="CC2093" s="271" t="s">
        <v>832</v>
      </c>
      <c r="CD2093" s="4"/>
      <c r="CW2093" s="30">
        <f t="shared" si="348"/>
        <v>1</v>
      </c>
      <c r="CZ2093" s="30">
        <f t="shared" si="353"/>
        <v>1</v>
      </c>
      <c r="DA2093" s="30">
        <f t="shared" si="352"/>
        <v>1</v>
      </c>
      <c r="DB2093" s="2">
        <f t="shared" si="351"/>
        <v>0</v>
      </c>
      <c r="DS2093" s="130">
        <f>SI!BY2093</f>
        <v>0</v>
      </c>
      <c r="DZ2093" s="131">
        <f>SI!BZ2093</f>
        <v>0</v>
      </c>
    </row>
    <row r="2094" spans="1:130" ht="14.95" hidden="1" customHeight="1" x14ac:dyDescent="0.25">
      <c r="A2094" s="141"/>
      <c r="B2094" s="1019"/>
      <c r="C2094" s="1020"/>
      <c r="D2094" s="1020"/>
      <c r="E2094" s="1020"/>
      <c r="F2094" s="1020"/>
      <c r="G2094" s="1020"/>
      <c r="H2094" s="1020"/>
      <c r="I2094" s="1020"/>
      <c r="J2094" s="1020"/>
      <c r="K2094" s="1020"/>
      <c r="L2094" s="1020"/>
      <c r="M2094" s="1020"/>
      <c r="N2094" s="1020"/>
      <c r="O2094" s="1020"/>
      <c r="P2094" s="1020"/>
      <c r="Q2094" s="1020"/>
      <c r="R2094" s="1020"/>
      <c r="S2094" s="1232"/>
      <c r="T2094" s="1592" t="s">
        <v>112</v>
      </c>
      <c r="U2094" s="1593"/>
      <c r="V2094" s="1593"/>
      <c r="W2094" s="1593"/>
      <c r="X2094" s="1593"/>
      <c r="Y2094" s="1593"/>
      <c r="Z2094" s="1593"/>
      <c r="AA2094" s="1593"/>
      <c r="AB2094" s="1593"/>
      <c r="AC2094" s="1593"/>
      <c r="AD2094" s="1593"/>
      <c r="AE2094" s="1593"/>
      <c r="AF2094" s="1594"/>
      <c r="AG2094" s="605" t="s">
        <v>261</v>
      </c>
      <c r="AH2094" s="606"/>
      <c r="AI2094" s="606"/>
      <c r="AJ2094" s="606"/>
      <c r="AK2094" s="606"/>
      <c r="AL2094" s="606"/>
      <c r="AM2094" s="606"/>
      <c r="AN2094" s="606"/>
      <c r="AO2094" s="606"/>
      <c r="AP2094" s="606"/>
      <c r="AQ2094" s="606"/>
      <c r="AR2094" s="607"/>
      <c r="AS2094" s="605" t="s">
        <v>262</v>
      </c>
      <c r="AT2094" s="606"/>
      <c r="AU2094" s="606"/>
      <c r="AV2094" s="606"/>
      <c r="AW2094" s="606"/>
      <c r="AX2094" s="606"/>
      <c r="AY2094" s="606"/>
      <c r="AZ2094" s="606"/>
      <c r="BA2094" s="606"/>
      <c r="BB2094" s="606"/>
      <c r="BC2094" s="607"/>
      <c r="BD2094" s="605" t="s">
        <v>263</v>
      </c>
      <c r="BE2094" s="606"/>
      <c r="BF2094" s="606"/>
      <c r="BG2094" s="606"/>
      <c r="BH2094" s="606"/>
      <c r="BI2094" s="606"/>
      <c r="BJ2094" s="606"/>
      <c r="BK2094" s="606"/>
      <c r="BL2094" s="606"/>
      <c r="BM2094" s="607"/>
      <c r="BN2094" s="543" t="s">
        <v>146</v>
      </c>
      <c r="BO2094" s="544"/>
      <c r="BP2094" s="544"/>
      <c r="BQ2094" s="544"/>
      <c r="BR2094" s="544"/>
      <c r="BS2094" s="544"/>
      <c r="BT2094" s="544"/>
      <c r="BU2094" s="544"/>
      <c r="BV2094" s="544"/>
      <c r="BW2094" s="544"/>
      <c r="BX2094" s="544"/>
      <c r="BY2094" s="544"/>
      <c r="BZ2094" s="545"/>
      <c r="CA2094" s="142"/>
      <c r="CB2094" s="3" t="str">
        <f t="shared" si="343"/>
        <v>Riadok bude skrytý.</v>
      </c>
      <c r="CC2094" s="271" t="s">
        <v>832</v>
      </c>
      <c r="CW2094" s="30">
        <f t="shared" si="348"/>
        <v>1</v>
      </c>
      <c r="CZ2094" s="30">
        <f t="shared" si="353"/>
        <v>1</v>
      </c>
      <c r="DA2094" s="30">
        <f t="shared" si="352"/>
        <v>1</v>
      </c>
      <c r="DB2094" s="2">
        <f t="shared" si="351"/>
        <v>0</v>
      </c>
      <c r="DS2094" s="130">
        <f>SI!BY2094</f>
        <v>125</v>
      </c>
      <c r="DZ2094" s="131">
        <f>SI!BZ2094</f>
        <v>0</v>
      </c>
    </row>
    <row r="2095" spans="1:130" hidden="1" x14ac:dyDescent="0.25">
      <c r="A2095" s="141"/>
      <c r="B2095" s="442"/>
      <c r="C2095" s="443"/>
      <c r="D2095" s="443"/>
      <c r="E2095" s="443"/>
      <c r="F2095" s="443"/>
      <c r="G2095" s="443"/>
      <c r="H2095" s="443"/>
      <c r="I2095" s="443"/>
      <c r="J2095" s="443"/>
      <c r="K2095" s="443"/>
      <c r="L2095" s="443"/>
      <c r="M2095" s="443"/>
      <c r="N2095" s="443"/>
      <c r="O2095" s="443"/>
      <c r="P2095" s="443"/>
      <c r="Q2095" s="443"/>
      <c r="R2095" s="443"/>
      <c r="S2095" s="444"/>
      <c r="T2095" s="1595"/>
      <c r="U2095" s="1596"/>
      <c r="V2095" s="1596"/>
      <c r="W2095" s="1596"/>
      <c r="X2095" s="1596"/>
      <c r="Y2095" s="1596"/>
      <c r="Z2095" s="1596"/>
      <c r="AA2095" s="1596"/>
      <c r="AB2095" s="1596"/>
      <c r="AC2095" s="1596"/>
      <c r="AD2095" s="1596"/>
      <c r="AE2095" s="1596"/>
      <c r="AF2095" s="1597"/>
      <c r="AG2095" s="608"/>
      <c r="AH2095" s="609"/>
      <c r="AI2095" s="609"/>
      <c r="AJ2095" s="609"/>
      <c r="AK2095" s="609"/>
      <c r="AL2095" s="609"/>
      <c r="AM2095" s="609"/>
      <c r="AN2095" s="609"/>
      <c r="AO2095" s="609"/>
      <c r="AP2095" s="609"/>
      <c r="AQ2095" s="609"/>
      <c r="AR2095" s="610"/>
      <c r="AS2095" s="608"/>
      <c r="AT2095" s="609"/>
      <c r="AU2095" s="609"/>
      <c r="AV2095" s="609"/>
      <c r="AW2095" s="609"/>
      <c r="AX2095" s="609"/>
      <c r="AY2095" s="609"/>
      <c r="AZ2095" s="609"/>
      <c r="BA2095" s="609"/>
      <c r="BB2095" s="609"/>
      <c r="BC2095" s="610"/>
      <c r="BD2095" s="608"/>
      <c r="BE2095" s="609"/>
      <c r="BF2095" s="609"/>
      <c r="BG2095" s="609"/>
      <c r="BH2095" s="609"/>
      <c r="BI2095" s="609"/>
      <c r="BJ2095" s="609"/>
      <c r="BK2095" s="609"/>
      <c r="BL2095" s="609"/>
      <c r="BM2095" s="610"/>
      <c r="BN2095" s="546"/>
      <c r="BO2095" s="547"/>
      <c r="BP2095" s="547"/>
      <c r="BQ2095" s="547"/>
      <c r="BR2095" s="547"/>
      <c r="BS2095" s="547"/>
      <c r="BT2095" s="547"/>
      <c r="BU2095" s="547"/>
      <c r="BV2095" s="547"/>
      <c r="BW2095" s="547"/>
      <c r="BX2095" s="547"/>
      <c r="BY2095" s="547"/>
      <c r="BZ2095" s="548"/>
      <c r="CA2095" s="142"/>
      <c r="CB2095" s="3" t="str">
        <f t="shared" si="343"/>
        <v>Riadok bude skrytý.</v>
      </c>
      <c r="CC2095" s="271" t="s">
        <v>832</v>
      </c>
      <c r="CD2095" s="4" t="s">
        <v>764</v>
      </c>
      <c r="CW2095" s="30">
        <f t="shared" si="348"/>
        <v>1</v>
      </c>
      <c r="CZ2095" s="30">
        <f t="shared" si="353"/>
        <v>1</v>
      </c>
      <c r="DA2095" s="30">
        <f t="shared" si="352"/>
        <v>1</v>
      </c>
      <c r="DB2095" s="2">
        <f t="shared" si="351"/>
        <v>0</v>
      </c>
      <c r="DS2095" s="130">
        <f>SI!BY2095</f>
        <v>13</v>
      </c>
      <c r="DZ2095" s="131">
        <f>SI!BZ2095</f>
        <v>0</v>
      </c>
    </row>
    <row r="2096" spans="1:130" hidden="1" x14ac:dyDescent="0.25">
      <c r="A2096" s="141"/>
      <c r="B2096" s="524" t="s">
        <v>0</v>
      </c>
      <c r="C2096" s="525"/>
      <c r="D2096" s="525"/>
      <c r="E2096" s="525"/>
      <c r="F2096" s="525"/>
      <c r="G2096" s="525"/>
      <c r="H2096" s="525"/>
      <c r="I2096" s="525"/>
      <c r="J2096" s="525"/>
      <c r="K2096" s="525"/>
      <c r="L2096" s="525"/>
      <c r="M2096" s="525"/>
      <c r="N2096" s="525"/>
      <c r="O2096" s="525"/>
      <c r="P2096" s="525"/>
      <c r="Q2096" s="525"/>
      <c r="R2096" s="525"/>
      <c r="S2096" s="723"/>
      <c r="T2096" s="524" t="s">
        <v>1</v>
      </c>
      <c r="U2096" s="525"/>
      <c r="V2096" s="525"/>
      <c r="W2096" s="525"/>
      <c r="X2096" s="525"/>
      <c r="Y2096" s="525"/>
      <c r="Z2096" s="525"/>
      <c r="AA2096" s="525"/>
      <c r="AB2096" s="525"/>
      <c r="AC2096" s="525"/>
      <c r="AD2096" s="525"/>
      <c r="AE2096" s="525"/>
      <c r="AF2096" s="723"/>
      <c r="AG2096" s="524" t="s">
        <v>2</v>
      </c>
      <c r="AH2096" s="525"/>
      <c r="AI2096" s="525"/>
      <c r="AJ2096" s="525"/>
      <c r="AK2096" s="525"/>
      <c r="AL2096" s="525"/>
      <c r="AM2096" s="525"/>
      <c r="AN2096" s="525"/>
      <c r="AO2096" s="525"/>
      <c r="AP2096" s="525"/>
      <c r="AQ2096" s="525"/>
      <c r="AR2096" s="723"/>
      <c r="AS2096" s="524" t="s">
        <v>28</v>
      </c>
      <c r="AT2096" s="525"/>
      <c r="AU2096" s="525"/>
      <c r="AV2096" s="525"/>
      <c r="AW2096" s="525"/>
      <c r="AX2096" s="525"/>
      <c r="AY2096" s="525"/>
      <c r="AZ2096" s="525"/>
      <c r="BA2096" s="525"/>
      <c r="BB2096" s="525"/>
      <c r="BC2096" s="723"/>
      <c r="BD2096" s="524" t="s">
        <v>29</v>
      </c>
      <c r="BE2096" s="525"/>
      <c r="BF2096" s="525"/>
      <c r="BG2096" s="525"/>
      <c r="BH2096" s="525"/>
      <c r="BI2096" s="525"/>
      <c r="BJ2096" s="525"/>
      <c r="BK2096" s="525"/>
      <c r="BL2096" s="525"/>
      <c r="BM2096" s="723"/>
      <c r="BN2096" s="524" t="s">
        <v>103</v>
      </c>
      <c r="BO2096" s="525"/>
      <c r="BP2096" s="525"/>
      <c r="BQ2096" s="525"/>
      <c r="BR2096" s="525"/>
      <c r="BS2096" s="525"/>
      <c r="BT2096" s="525"/>
      <c r="BU2096" s="525"/>
      <c r="BV2096" s="525"/>
      <c r="BW2096" s="525"/>
      <c r="BX2096" s="525"/>
      <c r="BY2096" s="525"/>
      <c r="BZ2096" s="723"/>
      <c r="CA2096" s="142"/>
      <c r="CB2096" s="3" t="str">
        <f t="shared" si="343"/>
        <v>Riadok bude skrytý.</v>
      </c>
      <c r="CC2096" s="271" t="s">
        <v>832</v>
      </c>
      <c r="CW2096" s="30">
        <f t="shared" si="348"/>
        <v>1</v>
      </c>
      <c r="CZ2096" s="30">
        <f t="shared" si="353"/>
        <v>1</v>
      </c>
      <c r="DA2096" s="30">
        <f t="shared" si="352"/>
        <v>1</v>
      </c>
      <c r="DB2096" s="2">
        <f t="shared" si="351"/>
        <v>0</v>
      </c>
      <c r="DS2096" s="130">
        <f>SI!BY2096</f>
        <v>558</v>
      </c>
      <c r="DZ2096" s="131">
        <f>SI!BZ2096</f>
        <v>0</v>
      </c>
    </row>
    <row r="2097" spans="1:130" ht="14.95" hidden="1" customHeight="1" x14ac:dyDescent="0.25">
      <c r="A2097" s="141"/>
      <c r="B2097" s="1588" t="s">
        <v>264</v>
      </c>
      <c r="C2097" s="1589"/>
      <c r="D2097" s="1589"/>
      <c r="E2097" s="1589"/>
      <c r="F2097" s="1589"/>
      <c r="G2097" s="1589"/>
      <c r="H2097" s="1589"/>
      <c r="I2097" s="1589"/>
      <c r="J2097" s="1589"/>
      <c r="K2097" s="1589"/>
      <c r="L2097" s="1589"/>
      <c r="M2097" s="1589"/>
      <c r="N2097" s="1589"/>
      <c r="O2097" s="1589"/>
      <c r="P2097" s="1589"/>
      <c r="Q2097" s="1589"/>
      <c r="R2097" s="1589"/>
      <c r="S2097" s="1590"/>
      <c r="T2097" s="423">
        <f>+SUM(T2098:AF2107)</f>
        <v>0</v>
      </c>
      <c r="U2097" s="424"/>
      <c r="V2097" s="424"/>
      <c r="W2097" s="424"/>
      <c r="X2097" s="424"/>
      <c r="Y2097" s="424"/>
      <c r="Z2097" s="424"/>
      <c r="AA2097" s="424"/>
      <c r="AB2097" s="424"/>
      <c r="AC2097" s="424"/>
      <c r="AD2097" s="424"/>
      <c r="AE2097" s="424"/>
      <c r="AF2097" s="425"/>
      <c r="AG2097" s="423">
        <f>+SUM(AG2098:AR2107)</f>
        <v>0</v>
      </c>
      <c r="AH2097" s="424"/>
      <c r="AI2097" s="424"/>
      <c r="AJ2097" s="424"/>
      <c r="AK2097" s="424"/>
      <c r="AL2097" s="424"/>
      <c r="AM2097" s="424"/>
      <c r="AN2097" s="424"/>
      <c r="AO2097" s="424"/>
      <c r="AP2097" s="424"/>
      <c r="AQ2097" s="424"/>
      <c r="AR2097" s="425"/>
      <c r="AS2097" s="423">
        <f>+SUM(AS2098:BC2107)</f>
        <v>0</v>
      </c>
      <c r="AT2097" s="424"/>
      <c r="AU2097" s="424"/>
      <c r="AV2097" s="424"/>
      <c r="AW2097" s="424"/>
      <c r="AX2097" s="424"/>
      <c r="AY2097" s="424"/>
      <c r="AZ2097" s="424"/>
      <c r="BA2097" s="424"/>
      <c r="BB2097" s="424"/>
      <c r="BC2097" s="425"/>
      <c r="BD2097" s="423">
        <f>+SUM(BD2098:BM2107)</f>
        <v>0</v>
      </c>
      <c r="BE2097" s="424"/>
      <c r="BF2097" s="424"/>
      <c r="BG2097" s="424"/>
      <c r="BH2097" s="424"/>
      <c r="BI2097" s="424"/>
      <c r="BJ2097" s="424"/>
      <c r="BK2097" s="424"/>
      <c r="BL2097" s="424"/>
      <c r="BM2097" s="425"/>
      <c r="BN2097" s="423">
        <f t="shared" ref="BN2097:BN2118" si="354">+SUM(T2097:BM2097)</f>
        <v>0</v>
      </c>
      <c r="BO2097" s="424"/>
      <c r="BP2097" s="424"/>
      <c r="BQ2097" s="424"/>
      <c r="BR2097" s="424"/>
      <c r="BS2097" s="424"/>
      <c r="BT2097" s="424"/>
      <c r="BU2097" s="424"/>
      <c r="BV2097" s="424"/>
      <c r="BW2097" s="424"/>
      <c r="BX2097" s="424"/>
      <c r="BY2097" s="424"/>
      <c r="BZ2097" s="425"/>
      <c r="CA2097" s="142"/>
      <c r="CB2097" s="3" t="str">
        <f t="shared" si="343"/>
        <v>Riadok bude skrytý.</v>
      </c>
      <c r="CC2097" s="271" t="s">
        <v>832</v>
      </c>
      <c r="CD2097" s="4" t="s">
        <v>835</v>
      </c>
      <c r="CW2097" s="30">
        <f t="shared" si="348"/>
        <v>1</v>
      </c>
      <c r="CZ2097" s="30">
        <f t="shared" si="353"/>
        <v>1</v>
      </c>
      <c r="DA2097" s="30">
        <f t="shared" si="352"/>
        <v>1</v>
      </c>
      <c r="DB2097" s="2">
        <f t="shared" si="351"/>
        <v>0</v>
      </c>
      <c r="DS2097" s="130">
        <f>SI!BY2097</f>
        <v>165</v>
      </c>
      <c r="DZ2097" s="131">
        <f>SI!BZ2097</f>
        <v>0</v>
      </c>
    </row>
    <row r="2098" spans="1:130" hidden="1" x14ac:dyDescent="0.25">
      <c r="A2098" s="141"/>
      <c r="B2098" s="1585"/>
      <c r="C2098" s="1586"/>
      <c r="D2098" s="1586"/>
      <c r="E2098" s="1586"/>
      <c r="F2098" s="1586"/>
      <c r="G2098" s="1586"/>
      <c r="H2098" s="1586"/>
      <c r="I2098" s="1586"/>
      <c r="J2098" s="1586"/>
      <c r="K2098" s="1586"/>
      <c r="L2098" s="1586"/>
      <c r="M2098" s="1586"/>
      <c r="N2098" s="1586"/>
      <c r="O2098" s="1586"/>
      <c r="P2098" s="1586"/>
      <c r="Q2098" s="1586"/>
      <c r="R2098" s="1586"/>
      <c r="S2098" s="1587"/>
      <c r="T2098" s="417"/>
      <c r="U2098" s="418"/>
      <c r="V2098" s="418"/>
      <c r="W2098" s="418"/>
      <c r="X2098" s="418"/>
      <c r="Y2098" s="418"/>
      <c r="Z2098" s="418"/>
      <c r="AA2098" s="418"/>
      <c r="AB2098" s="418"/>
      <c r="AC2098" s="418"/>
      <c r="AD2098" s="418"/>
      <c r="AE2098" s="418"/>
      <c r="AF2098" s="419"/>
      <c r="AG2098" s="417"/>
      <c r="AH2098" s="418"/>
      <c r="AI2098" s="418"/>
      <c r="AJ2098" s="418"/>
      <c r="AK2098" s="418"/>
      <c r="AL2098" s="418"/>
      <c r="AM2098" s="418"/>
      <c r="AN2098" s="418"/>
      <c r="AO2098" s="418"/>
      <c r="AP2098" s="418"/>
      <c r="AQ2098" s="418"/>
      <c r="AR2098" s="419"/>
      <c r="AS2098" s="417"/>
      <c r="AT2098" s="418"/>
      <c r="AU2098" s="418"/>
      <c r="AV2098" s="418"/>
      <c r="AW2098" s="418"/>
      <c r="AX2098" s="418"/>
      <c r="AY2098" s="418"/>
      <c r="AZ2098" s="418"/>
      <c r="BA2098" s="418"/>
      <c r="BB2098" s="418"/>
      <c r="BC2098" s="419"/>
      <c r="BD2098" s="417"/>
      <c r="BE2098" s="418"/>
      <c r="BF2098" s="418"/>
      <c r="BG2098" s="418"/>
      <c r="BH2098" s="418"/>
      <c r="BI2098" s="418"/>
      <c r="BJ2098" s="418"/>
      <c r="BK2098" s="418"/>
      <c r="BL2098" s="418"/>
      <c r="BM2098" s="419"/>
      <c r="BN2098" s="1222">
        <f t="shared" si="354"/>
        <v>0</v>
      </c>
      <c r="BO2098" s="1223"/>
      <c r="BP2098" s="1223"/>
      <c r="BQ2098" s="1223"/>
      <c r="BR2098" s="1223"/>
      <c r="BS2098" s="1223"/>
      <c r="BT2098" s="1223"/>
      <c r="BU2098" s="1223"/>
      <c r="BV2098" s="1223"/>
      <c r="BW2098" s="1223"/>
      <c r="BX2098" s="1223"/>
      <c r="BY2098" s="1223"/>
      <c r="BZ2098" s="1224"/>
      <c r="CA2098" s="142"/>
      <c r="CB2098" s="3" t="str">
        <f t="shared" si="343"/>
        <v>Riadok bude skrytý.</v>
      </c>
      <c r="CC2098" s="271" t="s">
        <v>832</v>
      </c>
      <c r="CW2098" s="30">
        <f t="shared" si="348"/>
        <v>1</v>
      </c>
      <c r="CX2098" s="2"/>
      <c r="CZ2098" s="30">
        <f t="shared" si="353"/>
        <v>1</v>
      </c>
      <c r="DA2098" s="30">
        <f t="shared" si="352"/>
        <v>1</v>
      </c>
      <c r="DB2098" s="2">
        <f t="shared" si="351"/>
        <v>0</v>
      </c>
      <c r="DS2098" s="130">
        <f>SI!BY2098</f>
        <v>1019</v>
      </c>
      <c r="DZ2098" s="131">
        <f>SI!BZ2098</f>
        <v>0</v>
      </c>
    </row>
    <row r="2099" spans="1:130" hidden="1" x14ac:dyDescent="0.25">
      <c r="A2099" s="141"/>
      <c r="B2099" s="1225"/>
      <c r="C2099" s="1226"/>
      <c r="D2099" s="1226"/>
      <c r="E2099" s="1226"/>
      <c r="F2099" s="1226"/>
      <c r="G2099" s="1226"/>
      <c r="H2099" s="1226"/>
      <c r="I2099" s="1226"/>
      <c r="J2099" s="1226"/>
      <c r="K2099" s="1226"/>
      <c r="L2099" s="1226"/>
      <c r="M2099" s="1226"/>
      <c r="N2099" s="1226"/>
      <c r="O2099" s="1226"/>
      <c r="P2099" s="1226"/>
      <c r="Q2099" s="1226"/>
      <c r="R2099" s="1226"/>
      <c r="S2099" s="1227"/>
      <c r="T2099" s="511"/>
      <c r="U2099" s="482"/>
      <c r="V2099" s="482"/>
      <c r="W2099" s="482"/>
      <c r="X2099" s="482"/>
      <c r="Y2099" s="482"/>
      <c r="Z2099" s="482"/>
      <c r="AA2099" s="482"/>
      <c r="AB2099" s="482"/>
      <c r="AC2099" s="482"/>
      <c r="AD2099" s="482"/>
      <c r="AE2099" s="482"/>
      <c r="AF2099" s="483"/>
      <c r="AG2099" s="511"/>
      <c r="AH2099" s="482"/>
      <c r="AI2099" s="482"/>
      <c r="AJ2099" s="482"/>
      <c r="AK2099" s="482"/>
      <c r="AL2099" s="482"/>
      <c r="AM2099" s="482"/>
      <c r="AN2099" s="482"/>
      <c r="AO2099" s="482"/>
      <c r="AP2099" s="482"/>
      <c r="AQ2099" s="482"/>
      <c r="AR2099" s="483"/>
      <c r="AS2099" s="511"/>
      <c r="AT2099" s="482"/>
      <c r="AU2099" s="482"/>
      <c r="AV2099" s="482"/>
      <c r="AW2099" s="482"/>
      <c r="AX2099" s="482"/>
      <c r="AY2099" s="482"/>
      <c r="AZ2099" s="482"/>
      <c r="BA2099" s="482"/>
      <c r="BB2099" s="482"/>
      <c r="BC2099" s="483"/>
      <c r="BD2099" s="511"/>
      <c r="BE2099" s="482"/>
      <c r="BF2099" s="482"/>
      <c r="BG2099" s="482"/>
      <c r="BH2099" s="482"/>
      <c r="BI2099" s="482"/>
      <c r="BJ2099" s="482"/>
      <c r="BK2099" s="482"/>
      <c r="BL2099" s="482"/>
      <c r="BM2099" s="483"/>
      <c r="BN2099" s="398">
        <f t="shared" si="354"/>
        <v>0</v>
      </c>
      <c r="BO2099" s="399"/>
      <c r="BP2099" s="399"/>
      <c r="BQ2099" s="399"/>
      <c r="BR2099" s="399"/>
      <c r="BS2099" s="399"/>
      <c r="BT2099" s="399"/>
      <c r="BU2099" s="399"/>
      <c r="BV2099" s="399"/>
      <c r="BW2099" s="399"/>
      <c r="BX2099" s="399"/>
      <c r="BY2099" s="399"/>
      <c r="BZ2099" s="400"/>
      <c r="CA2099" s="142"/>
      <c r="CB2099" s="3" t="str">
        <f t="shared" ref="CB2099:CB2162" si="355">+IF(DB2099=0,"Riadok bude skrytý.","Riadok bude vidieť.")</f>
        <v>Riadok bude skrytý.</v>
      </c>
      <c r="CC2099" s="271" t="s">
        <v>832</v>
      </c>
      <c r="CW2099" s="30">
        <f t="shared" si="348"/>
        <v>1</v>
      </c>
      <c r="CX2099" s="30">
        <f t="shared" ref="CX2099:CX2106" si="356">+IF(B2099="",0,1)</f>
        <v>0</v>
      </c>
      <c r="CZ2099" s="30">
        <f t="shared" si="353"/>
        <v>1</v>
      </c>
      <c r="DA2099" s="52">
        <f t="shared" ref="DA2099:DA2106" si="357">+IF(CW2099*CX2099=0,0,IF(CZ2099=0,0,1))</f>
        <v>0</v>
      </c>
      <c r="DB2099" s="2">
        <f t="shared" si="351"/>
        <v>0</v>
      </c>
      <c r="DS2099" s="130">
        <f>SI!BY2099</f>
        <v>134</v>
      </c>
      <c r="DZ2099" s="131">
        <f>SI!BZ2099</f>
        <v>0</v>
      </c>
    </row>
    <row r="2100" spans="1:130" hidden="1" x14ac:dyDescent="0.25">
      <c r="A2100" s="141"/>
      <c r="B2100" s="1225"/>
      <c r="C2100" s="1226"/>
      <c r="D2100" s="1226"/>
      <c r="E2100" s="1226"/>
      <c r="F2100" s="1226"/>
      <c r="G2100" s="1226"/>
      <c r="H2100" s="1226"/>
      <c r="I2100" s="1226"/>
      <c r="J2100" s="1226"/>
      <c r="K2100" s="1226"/>
      <c r="L2100" s="1226"/>
      <c r="M2100" s="1226"/>
      <c r="N2100" s="1226"/>
      <c r="O2100" s="1226"/>
      <c r="P2100" s="1226"/>
      <c r="Q2100" s="1226"/>
      <c r="R2100" s="1226"/>
      <c r="S2100" s="1227"/>
      <c r="T2100" s="511"/>
      <c r="U2100" s="482"/>
      <c r="V2100" s="482"/>
      <c r="W2100" s="482"/>
      <c r="X2100" s="482"/>
      <c r="Y2100" s="482"/>
      <c r="Z2100" s="482"/>
      <c r="AA2100" s="482"/>
      <c r="AB2100" s="482"/>
      <c r="AC2100" s="482"/>
      <c r="AD2100" s="482"/>
      <c r="AE2100" s="482"/>
      <c r="AF2100" s="483"/>
      <c r="AG2100" s="511"/>
      <c r="AH2100" s="482"/>
      <c r="AI2100" s="482"/>
      <c r="AJ2100" s="482"/>
      <c r="AK2100" s="482"/>
      <c r="AL2100" s="482"/>
      <c r="AM2100" s="482"/>
      <c r="AN2100" s="482"/>
      <c r="AO2100" s="482"/>
      <c r="AP2100" s="482"/>
      <c r="AQ2100" s="482"/>
      <c r="AR2100" s="483"/>
      <c r="AS2100" s="511"/>
      <c r="AT2100" s="482"/>
      <c r="AU2100" s="482"/>
      <c r="AV2100" s="482"/>
      <c r="AW2100" s="482"/>
      <c r="AX2100" s="482"/>
      <c r="AY2100" s="482"/>
      <c r="AZ2100" s="482"/>
      <c r="BA2100" s="482"/>
      <c r="BB2100" s="482"/>
      <c r="BC2100" s="483"/>
      <c r="BD2100" s="511"/>
      <c r="BE2100" s="482"/>
      <c r="BF2100" s="482"/>
      <c r="BG2100" s="482"/>
      <c r="BH2100" s="482"/>
      <c r="BI2100" s="482"/>
      <c r="BJ2100" s="482"/>
      <c r="BK2100" s="482"/>
      <c r="BL2100" s="482"/>
      <c r="BM2100" s="483"/>
      <c r="BN2100" s="398">
        <f t="shared" si="354"/>
        <v>0</v>
      </c>
      <c r="BO2100" s="399"/>
      <c r="BP2100" s="399"/>
      <c r="BQ2100" s="399"/>
      <c r="BR2100" s="399"/>
      <c r="BS2100" s="399"/>
      <c r="BT2100" s="399"/>
      <c r="BU2100" s="399"/>
      <c r="BV2100" s="399"/>
      <c r="BW2100" s="399"/>
      <c r="BX2100" s="399"/>
      <c r="BY2100" s="399"/>
      <c r="BZ2100" s="400"/>
      <c r="CA2100" s="142"/>
      <c r="CB2100" s="3" t="str">
        <f t="shared" si="355"/>
        <v>Riadok bude skrytý.</v>
      </c>
      <c r="CC2100" s="271" t="s">
        <v>832</v>
      </c>
      <c r="CW2100" s="30">
        <f t="shared" si="348"/>
        <v>1</v>
      </c>
      <c r="CX2100" s="30">
        <f t="shared" si="356"/>
        <v>0</v>
      </c>
      <c r="CZ2100" s="30">
        <f t="shared" si="353"/>
        <v>1</v>
      </c>
      <c r="DA2100" s="52">
        <f t="shared" si="357"/>
        <v>0</v>
      </c>
      <c r="DB2100" s="2">
        <f t="shared" si="351"/>
        <v>0</v>
      </c>
      <c r="DS2100" s="130">
        <f>SI!BY2100</f>
        <v>102</v>
      </c>
      <c r="DZ2100" s="131">
        <f>SI!BZ2100</f>
        <v>0</v>
      </c>
    </row>
    <row r="2101" spans="1:130" hidden="1" x14ac:dyDescent="0.25">
      <c r="A2101" s="141"/>
      <c r="B2101" s="1225"/>
      <c r="C2101" s="1226"/>
      <c r="D2101" s="1226"/>
      <c r="E2101" s="1226"/>
      <c r="F2101" s="1226"/>
      <c r="G2101" s="1226"/>
      <c r="H2101" s="1226"/>
      <c r="I2101" s="1226"/>
      <c r="J2101" s="1226"/>
      <c r="K2101" s="1226"/>
      <c r="L2101" s="1226"/>
      <c r="M2101" s="1226"/>
      <c r="N2101" s="1226"/>
      <c r="O2101" s="1226"/>
      <c r="P2101" s="1226"/>
      <c r="Q2101" s="1226"/>
      <c r="R2101" s="1226"/>
      <c r="S2101" s="1227"/>
      <c r="T2101" s="511"/>
      <c r="U2101" s="482"/>
      <c r="V2101" s="482"/>
      <c r="W2101" s="482"/>
      <c r="X2101" s="482"/>
      <c r="Y2101" s="482"/>
      <c r="Z2101" s="482"/>
      <c r="AA2101" s="482"/>
      <c r="AB2101" s="482"/>
      <c r="AC2101" s="482"/>
      <c r="AD2101" s="482"/>
      <c r="AE2101" s="482"/>
      <c r="AF2101" s="483"/>
      <c r="AG2101" s="511"/>
      <c r="AH2101" s="482"/>
      <c r="AI2101" s="482"/>
      <c r="AJ2101" s="482"/>
      <c r="AK2101" s="482"/>
      <c r="AL2101" s="482"/>
      <c r="AM2101" s="482"/>
      <c r="AN2101" s="482"/>
      <c r="AO2101" s="482"/>
      <c r="AP2101" s="482"/>
      <c r="AQ2101" s="482"/>
      <c r="AR2101" s="483"/>
      <c r="AS2101" s="511"/>
      <c r="AT2101" s="482"/>
      <c r="AU2101" s="482"/>
      <c r="AV2101" s="482"/>
      <c r="AW2101" s="482"/>
      <c r="AX2101" s="482"/>
      <c r="AY2101" s="482"/>
      <c r="AZ2101" s="482"/>
      <c r="BA2101" s="482"/>
      <c r="BB2101" s="482"/>
      <c r="BC2101" s="483"/>
      <c r="BD2101" s="511"/>
      <c r="BE2101" s="482"/>
      <c r="BF2101" s="482"/>
      <c r="BG2101" s="482"/>
      <c r="BH2101" s="482"/>
      <c r="BI2101" s="482"/>
      <c r="BJ2101" s="482"/>
      <c r="BK2101" s="482"/>
      <c r="BL2101" s="482"/>
      <c r="BM2101" s="483"/>
      <c r="BN2101" s="398">
        <f t="shared" si="354"/>
        <v>0</v>
      </c>
      <c r="BO2101" s="399"/>
      <c r="BP2101" s="399"/>
      <c r="BQ2101" s="399"/>
      <c r="BR2101" s="399"/>
      <c r="BS2101" s="399"/>
      <c r="BT2101" s="399"/>
      <c r="BU2101" s="399"/>
      <c r="BV2101" s="399"/>
      <c r="BW2101" s="399"/>
      <c r="BX2101" s="399"/>
      <c r="BY2101" s="399"/>
      <c r="BZ2101" s="400"/>
      <c r="CA2101" s="142"/>
      <c r="CB2101" s="3" t="str">
        <f t="shared" si="355"/>
        <v>Riadok bude skrytý.</v>
      </c>
      <c r="CC2101" s="271" t="s">
        <v>832</v>
      </c>
      <c r="CW2101" s="30">
        <f t="shared" si="348"/>
        <v>1</v>
      </c>
      <c r="CX2101" s="30">
        <f t="shared" si="356"/>
        <v>0</v>
      </c>
      <c r="CZ2101" s="30">
        <f t="shared" si="353"/>
        <v>1</v>
      </c>
      <c r="DA2101" s="52">
        <f t="shared" si="357"/>
        <v>0</v>
      </c>
      <c r="DB2101" s="2">
        <f t="shared" si="351"/>
        <v>0</v>
      </c>
      <c r="DS2101" s="130">
        <f>SI!BY2101</f>
        <v>133</v>
      </c>
      <c r="DZ2101" s="131">
        <f>SI!BZ2101</f>
        <v>0</v>
      </c>
    </row>
    <row r="2102" spans="1:130" hidden="1" x14ac:dyDescent="0.25">
      <c r="A2102" s="141"/>
      <c r="B2102" s="1225"/>
      <c r="C2102" s="1226"/>
      <c r="D2102" s="1226"/>
      <c r="E2102" s="1226"/>
      <c r="F2102" s="1226"/>
      <c r="G2102" s="1226"/>
      <c r="H2102" s="1226"/>
      <c r="I2102" s="1226"/>
      <c r="J2102" s="1226"/>
      <c r="K2102" s="1226"/>
      <c r="L2102" s="1226"/>
      <c r="M2102" s="1226"/>
      <c r="N2102" s="1226"/>
      <c r="O2102" s="1226"/>
      <c r="P2102" s="1226"/>
      <c r="Q2102" s="1226"/>
      <c r="R2102" s="1226"/>
      <c r="S2102" s="1227"/>
      <c r="T2102" s="511"/>
      <c r="U2102" s="482"/>
      <c r="V2102" s="482"/>
      <c r="W2102" s="482"/>
      <c r="X2102" s="482"/>
      <c r="Y2102" s="482"/>
      <c r="Z2102" s="482"/>
      <c r="AA2102" s="482"/>
      <c r="AB2102" s="482"/>
      <c r="AC2102" s="482"/>
      <c r="AD2102" s="482"/>
      <c r="AE2102" s="482"/>
      <c r="AF2102" s="483"/>
      <c r="AG2102" s="511"/>
      <c r="AH2102" s="482"/>
      <c r="AI2102" s="482"/>
      <c r="AJ2102" s="482"/>
      <c r="AK2102" s="482"/>
      <c r="AL2102" s="482"/>
      <c r="AM2102" s="482"/>
      <c r="AN2102" s="482"/>
      <c r="AO2102" s="482"/>
      <c r="AP2102" s="482"/>
      <c r="AQ2102" s="482"/>
      <c r="AR2102" s="483"/>
      <c r="AS2102" s="511"/>
      <c r="AT2102" s="482"/>
      <c r="AU2102" s="482"/>
      <c r="AV2102" s="482"/>
      <c r="AW2102" s="482"/>
      <c r="AX2102" s="482"/>
      <c r="AY2102" s="482"/>
      <c r="AZ2102" s="482"/>
      <c r="BA2102" s="482"/>
      <c r="BB2102" s="482"/>
      <c r="BC2102" s="483"/>
      <c r="BD2102" s="511"/>
      <c r="BE2102" s="482"/>
      <c r="BF2102" s="482"/>
      <c r="BG2102" s="482"/>
      <c r="BH2102" s="482"/>
      <c r="BI2102" s="482"/>
      <c r="BJ2102" s="482"/>
      <c r="BK2102" s="482"/>
      <c r="BL2102" s="482"/>
      <c r="BM2102" s="483"/>
      <c r="BN2102" s="398">
        <f t="shared" si="354"/>
        <v>0</v>
      </c>
      <c r="BO2102" s="399"/>
      <c r="BP2102" s="399"/>
      <c r="BQ2102" s="399"/>
      <c r="BR2102" s="399"/>
      <c r="BS2102" s="399"/>
      <c r="BT2102" s="399"/>
      <c r="BU2102" s="399"/>
      <c r="BV2102" s="399"/>
      <c r="BW2102" s="399"/>
      <c r="BX2102" s="399"/>
      <c r="BY2102" s="399"/>
      <c r="BZ2102" s="400"/>
      <c r="CA2102" s="142"/>
      <c r="CB2102" s="3" t="str">
        <f t="shared" si="355"/>
        <v>Riadok bude skrytý.</v>
      </c>
      <c r="CC2102" s="271" t="s">
        <v>832</v>
      </c>
      <c r="CW2102" s="30">
        <f t="shared" ref="CW2102:CW2133" si="358">+IF($J$2068="neeviduje",0,1)</f>
        <v>1</v>
      </c>
      <c r="CX2102" s="30">
        <f t="shared" si="356"/>
        <v>0</v>
      </c>
      <c r="CZ2102" s="30">
        <f t="shared" si="353"/>
        <v>1</v>
      </c>
      <c r="DA2102" s="52">
        <f t="shared" si="357"/>
        <v>0</v>
      </c>
      <c r="DB2102" s="2">
        <f t="shared" si="351"/>
        <v>0</v>
      </c>
      <c r="DS2102" s="130">
        <f>SI!BY2102</f>
        <v>545</v>
      </c>
      <c r="DZ2102" s="131">
        <f>SI!BZ2102</f>
        <v>0</v>
      </c>
    </row>
    <row r="2103" spans="1:130" hidden="1" x14ac:dyDescent="0.25">
      <c r="A2103" s="141"/>
      <c r="B2103" s="1225"/>
      <c r="C2103" s="1226"/>
      <c r="D2103" s="1226"/>
      <c r="E2103" s="1226"/>
      <c r="F2103" s="1226"/>
      <c r="G2103" s="1226"/>
      <c r="H2103" s="1226"/>
      <c r="I2103" s="1226"/>
      <c r="J2103" s="1226"/>
      <c r="K2103" s="1226"/>
      <c r="L2103" s="1226"/>
      <c r="M2103" s="1226"/>
      <c r="N2103" s="1226"/>
      <c r="O2103" s="1226"/>
      <c r="P2103" s="1226"/>
      <c r="Q2103" s="1226"/>
      <c r="R2103" s="1226"/>
      <c r="S2103" s="1227"/>
      <c r="T2103" s="511"/>
      <c r="U2103" s="482"/>
      <c r="V2103" s="482"/>
      <c r="W2103" s="482"/>
      <c r="X2103" s="482"/>
      <c r="Y2103" s="482"/>
      <c r="Z2103" s="482"/>
      <c r="AA2103" s="482"/>
      <c r="AB2103" s="482"/>
      <c r="AC2103" s="482"/>
      <c r="AD2103" s="482"/>
      <c r="AE2103" s="482"/>
      <c r="AF2103" s="483"/>
      <c r="AG2103" s="511"/>
      <c r="AH2103" s="482"/>
      <c r="AI2103" s="482"/>
      <c r="AJ2103" s="482"/>
      <c r="AK2103" s="482"/>
      <c r="AL2103" s="482"/>
      <c r="AM2103" s="482"/>
      <c r="AN2103" s="482"/>
      <c r="AO2103" s="482"/>
      <c r="AP2103" s="482"/>
      <c r="AQ2103" s="482"/>
      <c r="AR2103" s="483"/>
      <c r="AS2103" s="511"/>
      <c r="AT2103" s="482"/>
      <c r="AU2103" s="482"/>
      <c r="AV2103" s="482"/>
      <c r="AW2103" s="482"/>
      <c r="AX2103" s="482"/>
      <c r="AY2103" s="482"/>
      <c r="AZ2103" s="482"/>
      <c r="BA2103" s="482"/>
      <c r="BB2103" s="482"/>
      <c r="BC2103" s="483"/>
      <c r="BD2103" s="511"/>
      <c r="BE2103" s="482"/>
      <c r="BF2103" s="482"/>
      <c r="BG2103" s="482"/>
      <c r="BH2103" s="482"/>
      <c r="BI2103" s="482"/>
      <c r="BJ2103" s="482"/>
      <c r="BK2103" s="482"/>
      <c r="BL2103" s="482"/>
      <c r="BM2103" s="483"/>
      <c r="BN2103" s="398">
        <f t="shared" si="354"/>
        <v>0</v>
      </c>
      <c r="BO2103" s="399"/>
      <c r="BP2103" s="399"/>
      <c r="BQ2103" s="399"/>
      <c r="BR2103" s="399"/>
      <c r="BS2103" s="399"/>
      <c r="BT2103" s="399"/>
      <c r="BU2103" s="399"/>
      <c r="BV2103" s="399"/>
      <c r="BW2103" s="399"/>
      <c r="BX2103" s="399"/>
      <c r="BY2103" s="399"/>
      <c r="BZ2103" s="400"/>
      <c r="CA2103" s="142"/>
      <c r="CB2103" s="3" t="str">
        <f t="shared" si="355"/>
        <v>Riadok bude skrytý.</v>
      </c>
      <c r="CC2103" s="271" t="s">
        <v>832</v>
      </c>
      <c r="CW2103" s="30">
        <f t="shared" si="358"/>
        <v>1</v>
      </c>
      <c r="CX2103" s="30">
        <f t="shared" si="356"/>
        <v>0</v>
      </c>
      <c r="CZ2103" s="30">
        <f t="shared" si="353"/>
        <v>1</v>
      </c>
      <c r="DA2103" s="52">
        <f t="shared" si="357"/>
        <v>0</v>
      </c>
      <c r="DB2103" s="2">
        <f t="shared" si="351"/>
        <v>0</v>
      </c>
      <c r="DS2103" s="130">
        <f>SI!BY2103</f>
        <v>108</v>
      </c>
      <c r="DZ2103" s="131">
        <f>SI!BZ2103</f>
        <v>0</v>
      </c>
    </row>
    <row r="2104" spans="1:130" ht="14.95" hidden="1" customHeight="1" x14ac:dyDescent="0.25">
      <c r="A2104" s="141"/>
      <c r="B2104" s="1225"/>
      <c r="C2104" s="1226"/>
      <c r="D2104" s="1226"/>
      <c r="E2104" s="1226"/>
      <c r="F2104" s="1226"/>
      <c r="G2104" s="1226"/>
      <c r="H2104" s="1226"/>
      <c r="I2104" s="1226"/>
      <c r="J2104" s="1226"/>
      <c r="K2104" s="1226"/>
      <c r="L2104" s="1226"/>
      <c r="M2104" s="1226"/>
      <c r="N2104" s="1226"/>
      <c r="O2104" s="1226"/>
      <c r="P2104" s="1226"/>
      <c r="Q2104" s="1226"/>
      <c r="R2104" s="1226"/>
      <c r="S2104" s="1227"/>
      <c r="T2104" s="511"/>
      <c r="U2104" s="482"/>
      <c r="V2104" s="482"/>
      <c r="W2104" s="482"/>
      <c r="X2104" s="482"/>
      <c r="Y2104" s="482"/>
      <c r="Z2104" s="482"/>
      <c r="AA2104" s="482"/>
      <c r="AB2104" s="482"/>
      <c r="AC2104" s="482"/>
      <c r="AD2104" s="482"/>
      <c r="AE2104" s="482"/>
      <c r="AF2104" s="483"/>
      <c r="AG2104" s="511"/>
      <c r="AH2104" s="482"/>
      <c r="AI2104" s="482"/>
      <c r="AJ2104" s="482"/>
      <c r="AK2104" s="482"/>
      <c r="AL2104" s="482"/>
      <c r="AM2104" s="482"/>
      <c r="AN2104" s="482"/>
      <c r="AO2104" s="482"/>
      <c r="AP2104" s="482"/>
      <c r="AQ2104" s="482"/>
      <c r="AR2104" s="483"/>
      <c r="AS2104" s="511"/>
      <c r="AT2104" s="482"/>
      <c r="AU2104" s="482"/>
      <c r="AV2104" s="482"/>
      <c r="AW2104" s="482"/>
      <c r="AX2104" s="482"/>
      <c r="AY2104" s="482"/>
      <c r="AZ2104" s="482"/>
      <c r="BA2104" s="482"/>
      <c r="BB2104" s="482"/>
      <c r="BC2104" s="483"/>
      <c r="BD2104" s="511"/>
      <c r="BE2104" s="482"/>
      <c r="BF2104" s="482"/>
      <c r="BG2104" s="482"/>
      <c r="BH2104" s="482"/>
      <c r="BI2104" s="482"/>
      <c r="BJ2104" s="482"/>
      <c r="BK2104" s="482"/>
      <c r="BL2104" s="482"/>
      <c r="BM2104" s="483"/>
      <c r="BN2104" s="398">
        <f t="shared" si="354"/>
        <v>0</v>
      </c>
      <c r="BO2104" s="399"/>
      <c r="BP2104" s="399"/>
      <c r="BQ2104" s="399"/>
      <c r="BR2104" s="399"/>
      <c r="BS2104" s="399"/>
      <c r="BT2104" s="399"/>
      <c r="BU2104" s="399"/>
      <c r="BV2104" s="399"/>
      <c r="BW2104" s="399"/>
      <c r="BX2104" s="399"/>
      <c r="BY2104" s="399"/>
      <c r="BZ2104" s="400"/>
      <c r="CA2104" s="270"/>
      <c r="CB2104" s="3" t="str">
        <f t="shared" si="355"/>
        <v>Riadok bude skrytý.</v>
      </c>
      <c r="CC2104" s="271" t="s">
        <v>832</v>
      </c>
      <c r="CW2104" s="30">
        <f t="shared" si="358"/>
        <v>1</v>
      </c>
      <c r="CX2104" s="30">
        <f t="shared" si="356"/>
        <v>0</v>
      </c>
      <c r="CZ2104" s="30">
        <f t="shared" si="353"/>
        <v>1</v>
      </c>
      <c r="DA2104" s="52">
        <f t="shared" si="357"/>
        <v>0</v>
      </c>
      <c r="DB2104" s="2">
        <f t="shared" si="351"/>
        <v>0</v>
      </c>
      <c r="DS2104" s="130">
        <f>SI!BY2104</f>
        <v>685</v>
      </c>
      <c r="DZ2104" s="131">
        <f>SI!BZ2104</f>
        <v>0</v>
      </c>
    </row>
    <row r="2105" spans="1:130" hidden="1" x14ac:dyDescent="0.25">
      <c r="A2105" s="141"/>
      <c r="B2105" s="1225"/>
      <c r="C2105" s="1226"/>
      <c r="D2105" s="1226"/>
      <c r="E2105" s="1226"/>
      <c r="F2105" s="1226"/>
      <c r="G2105" s="1226"/>
      <c r="H2105" s="1226"/>
      <c r="I2105" s="1226"/>
      <c r="J2105" s="1226"/>
      <c r="K2105" s="1226"/>
      <c r="L2105" s="1226"/>
      <c r="M2105" s="1226"/>
      <c r="N2105" s="1226"/>
      <c r="O2105" s="1226"/>
      <c r="P2105" s="1226"/>
      <c r="Q2105" s="1226"/>
      <c r="R2105" s="1226"/>
      <c r="S2105" s="1227"/>
      <c r="T2105" s="511"/>
      <c r="U2105" s="482"/>
      <c r="V2105" s="482"/>
      <c r="W2105" s="482"/>
      <c r="X2105" s="482"/>
      <c r="Y2105" s="482"/>
      <c r="Z2105" s="482"/>
      <c r="AA2105" s="482"/>
      <c r="AB2105" s="482"/>
      <c r="AC2105" s="482"/>
      <c r="AD2105" s="482"/>
      <c r="AE2105" s="482"/>
      <c r="AF2105" s="483"/>
      <c r="AG2105" s="511"/>
      <c r="AH2105" s="482"/>
      <c r="AI2105" s="482"/>
      <c r="AJ2105" s="482"/>
      <c r="AK2105" s="482"/>
      <c r="AL2105" s="482"/>
      <c r="AM2105" s="482"/>
      <c r="AN2105" s="482"/>
      <c r="AO2105" s="482"/>
      <c r="AP2105" s="482"/>
      <c r="AQ2105" s="482"/>
      <c r="AR2105" s="483"/>
      <c r="AS2105" s="511"/>
      <c r="AT2105" s="482"/>
      <c r="AU2105" s="482"/>
      <c r="AV2105" s="482"/>
      <c r="AW2105" s="482"/>
      <c r="AX2105" s="482"/>
      <c r="AY2105" s="482"/>
      <c r="AZ2105" s="482"/>
      <c r="BA2105" s="482"/>
      <c r="BB2105" s="482"/>
      <c r="BC2105" s="483"/>
      <c r="BD2105" s="511"/>
      <c r="BE2105" s="482"/>
      <c r="BF2105" s="482"/>
      <c r="BG2105" s="482"/>
      <c r="BH2105" s="482"/>
      <c r="BI2105" s="482"/>
      <c r="BJ2105" s="482"/>
      <c r="BK2105" s="482"/>
      <c r="BL2105" s="482"/>
      <c r="BM2105" s="483"/>
      <c r="BN2105" s="398">
        <f t="shared" si="354"/>
        <v>0</v>
      </c>
      <c r="BO2105" s="399"/>
      <c r="BP2105" s="399"/>
      <c r="BQ2105" s="399"/>
      <c r="BR2105" s="399"/>
      <c r="BS2105" s="399"/>
      <c r="BT2105" s="399"/>
      <c r="BU2105" s="399"/>
      <c r="BV2105" s="399"/>
      <c r="BW2105" s="399"/>
      <c r="BX2105" s="399"/>
      <c r="BY2105" s="399"/>
      <c r="BZ2105" s="400"/>
      <c r="CA2105" s="270"/>
      <c r="CB2105" s="3" t="str">
        <f t="shared" si="355"/>
        <v>Riadok bude skrytý.</v>
      </c>
      <c r="CC2105" s="271" t="s">
        <v>832</v>
      </c>
      <c r="CW2105" s="30">
        <f t="shared" si="358"/>
        <v>1</v>
      </c>
      <c r="CX2105" s="30">
        <f t="shared" si="356"/>
        <v>0</v>
      </c>
      <c r="CZ2105" s="30">
        <f t="shared" si="353"/>
        <v>1</v>
      </c>
      <c r="DA2105" s="52">
        <f t="shared" si="357"/>
        <v>0</v>
      </c>
      <c r="DB2105" s="2">
        <f t="shared" si="351"/>
        <v>0</v>
      </c>
      <c r="DS2105" s="130">
        <f>SI!BY2105</f>
        <v>113</v>
      </c>
      <c r="DZ2105" s="131">
        <f>SI!BZ2105</f>
        <v>0</v>
      </c>
    </row>
    <row r="2106" spans="1:130" hidden="1" x14ac:dyDescent="0.25">
      <c r="A2106" s="141"/>
      <c r="B2106" s="1225"/>
      <c r="C2106" s="1226"/>
      <c r="D2106" s="1226"/>
      <c r="E2106" s="1226"/>
      <c r="F2106" s="1226"/>
      <c r="G2106" s="1226"/>
      <c r="H2106" s="1226"/>
      <c r="I2106" s="1226"/>
      <c r="J2106" s="1226"/>
      <c r="K2106" s="1226"/>
      <c r="L2106" s="1226"/>
      <c r="M2106" s="1226"/>
      <c r="N2106" s="1226"/>
      <c r="O2106" s="1226"/>
      <c r="P2106" s="1226"/>
      <c r="Q2106" s="1226"/>
      <c r="R2106" s="1226"/>
      <c r="S2106" s="1227"/>
      <c r="T2106" s="511"/>
      <c r="U2106" s="482"/>
      <c r="V2106" s="482"/>
      <c r="W2106" s="482"/>
      <c r="X2106" s="482"/>
      <c r="Y2106" s="482"/>
      <c r="Z2106" s="482"/>
      <c r="AA2106" s="482"/>
      <c r="AB2106" s="482"/>
      <c r="AC2106" s="482"/>
      <c r="AD2106" s="482"/>
      <c r="AE2106" s="482"/>
      <c r="AF2106" s="483"/>
      <c r="AG2106" s="511"/>
      <c r="AH2106" s="482"/>
      <c r="AI2106" s="482"/>
      <c r="AJ2106" s="482"/>
      <c r="AK2106" s="482"/>
      <c r="AL2106" s="482"/>
      <c r="AM2106" s="482"/>
      <c r="AN2106" s="482"/>
      <c r="AO2106" s="482"/>
      <c r="AP2106" s="482"/>
      <c r="AQ2106" s="482"/>
      <c r="AR2106" s="483"/>
      <c r="AS2106" s="511"/>
      <c r="AT2106" s="482"/>
      <c r="AU2106" s="482"/>
      <c r="AV2106" s="482"/>
      <c r="AW2106" s="482"/>
      <c r="AX2106" s="482"/>
      <c r="AY2106" s="482"/>
      <c r="AZ2106" s="482"/>
      <c r="BA2106" s="482"/>
      <c r="BB2106" s="482"/>
      <c r="BC2106" s="483"/>
      <c r="BD2106" s="511"/>
      <c r="BE2106" s="482"/>
      <c r="BF2106" s="482"/>
      <c r="BG2106" s="482"/>
      <c r="BH2106" s="482"/>
      <c r="BI2106" s="482"/>
      <c r="BJ2106" s="482"/>
      <c r="BK2106" s="482"/>
      <c r="BL2106" s="482"/>
      <c r="BM2106" s="483"/>
      <c r="BN2106" s="398">
        <f t="shared" si="354"/>
        <v>0</v>
      </c>
      <c r="BO2106" s="399"/>
      <c r="BP2106" s="399"/>
      <c r="BQ2106" s="399"/>
      <c r="BR2106" s="399"/>
      <c r="BS2106" s="399"/>
      <c r="BT2106" s="399"/>
      <c r="BU2106" s="399"/>
      <c r="BV2106" s="399"/>
      <c r="BW2106" s="399"/>
      <c r="BX2106" s="399"/>
      <c r="BY2106" s="399"/>
      <c r="BZ2106" s="400"/>
      <c r="CA2106" s="270"/>
      <c r="CB2106" s="3" t="str">
        <f t="shared" si="355"/>
        <v>Riadok bude skrytý.</v>
      </c>
      <c r="CC2106" s="271" t="s">
        <v>832</v>
      </c>
      <c r="CW2106" s="30">
        <f t="shared" si="358"/>
        <v>1</v>
      </c>
      <c r="CX2106" s="30">
        <f t="shared" si="356"/>
        <v>0</v>
      </c>
      <c r="CZ2106" s="30">
        <f t="shared" si="353"/>
        <v>1</v>
      </c>
      <c r="DA2106" s="52">
        <f t="shared" si="357"/>
        <v>0</v>
      </c>
      <c r="DB2106" s="2">
        <f t="shared" si="351"/>
        <v>0</v>
      </c>
      <c r="DS2106" s="130">
        <f>SI!BY2106</f>
        <v>28</v>
      </c>
      <c r="DZ2106" s="131">
        <f>SI!BZ2106</f>
        <v>0</v>
      </c>
    </row>
    <row r="2107" spans="1:130" hidden="1" x14ac:dyDescent="0.25">
      <c r="A2107" s="141"/>
      <c r="B2107" s="627" t="s">
        <v>701</v>
      </c>
      <c r="C2107" s="628"/>
      <c r="D2107" s="628"/>
      <c r="E2107" s="628"/>
      <c r="F2107" s="628"/>
      <c r="G2107" s="628"/>
      <c r="H2107" s="628"/>
      <c r="I2107" s="628"/>
      <c r="J2107" s="628"/>
      <c r="K2107" s="628"/>
      <c r="L2107" s="628"/>
      <c r="M2107" s="628"/>
      <c r="N2107" s="628"/>
      <c r="O2107" s="628"/>
      <c r="P2107" s="628"/>
      <c r="Q2107" s="628"/>
      <c r="R2107" s="628"/>
      <c r="S2107" s="629"/>
      <c r="T2107" s="454"/>
      <c r="U2107" s="455"/>
      <c r="V2107" s="455"/>
      <c r="W2107" s="455"/>
      <c r="X2107" s="455"/>
      <c r="Y2107" s="455"/>
      <c r="Z2107" s="455"/>
      <c r="AA2107" s="455"/>
      <c r="AB2107" s="455"/>
      <c r="AC2107" s="455"/>
      <c r="AD2107" s="455"/>
      <c r="AE2107" s="455"/>
      <c r="AF2107" s="456"/>
      <c r="AG2107" s="511"/>
      <c r="AH2107" s="482"/>
      <c r="AI2107" s="482"/>
      <c r="AJ2107" s="482"/>
      <c r="AK2107" s="482"/>
      <c r="AL2107" s="482"/>
      <c r="AM2107" s="482"/>
      <c r="AN2107" s="482"/>
      <c r="AO2107" s="482"/>
      <c r="AP2107" s="482"/>
      <c r="AQ2107" s="482"/>
      <c r="AR2107" s="483"/>
      <c r="AS2107" s="511"/>
      <c r="AT2107" s="482"/>
      <c r="AU2107" s="482"/>
      <c r="AV2107" s="482"/>
      <c r="AW2107" s="482"/>
      <c r="AX2107" s="482"/>
      <c r="AY2107" s="482"/>
      <c r="AZ2107" s="482"/>
      <c r="BA2107" s="482"/>
      <c r="BB2107" s="482"/>
      <c r="BC2107" s="483"/>
      <c r="BD2107" s="511"/>
      <c r="BE2107" s="482"/>
      <c r="BF2107" s="482"/>
      <c r="BG2107" s="482"/>
      <c r="BH2107" s="482"/>
      <c r="BI2107" s="482"/>
      <c r="BJ2107" s="482"/>
      <c r="BK2107" s="482"/>
      <c r="BL2107" s="482"/>
      <c r="BM2107" s="483"/>
      <c r="BN2107" s="398">
        <f t="shared" si="354"/>
        <v>0</v>
      </c>
      <c r="BO2107" s="399"/>
      <c r="BP2107" s="399"/>
      <c r="BQ2107" s="399"/>
      <c r="BR2107" s="399"/>
      <c r="BS2107" s="399"/>
      <c r="BT2107" s="399"/>
      <c r="BU2107" s="399"/>
      <c r="BV2107" s="399"/>
      <c r="BW2107" s="399"/>
      <c r="BX2107" s="399"/>
      <c r="BY2107" s="399"/>
      <c r="BZ2107" s="400"/>
      <c r="CA2107" s="142"/>
      <c r="CB2107" s="3" t="str">
        <f t="shared" si="355"/>
        <v>Riadok bude skrytý.</v>
      </c>
      <c r="CC2107" s="271" t="s">
        <v>832</v>
      </c>
      <c r="CW2107" s="30">
        <f t="shared" si="358"/>
        <v>1</v>
      </c>
      <c r="CZ2107" s="30">
        <f t="shared" si="353"/>
        <v>1</v>
      </c>
      <c r="DA2107" s="30">
        <f>+IF(CW2107+CX2107+CY2107=0,0,IF(CZ2107=0,0,1))</f>
        <v>1</v>
      </c>
      <c r="DB2107" s="2">
        <f t="shared" si="351"/>
        <v>0</v>
      </c>
      <c r="DS2107" s="130">
        <f>SI!BY2107</f>
        <v>18</v>
      </c>
      <c r="DZ2107" s="131">
        <f>SI!BZ2107</f>
        <v>0</v>
      </c>
    </row>
    <row r="2108" spans="1:130" ht="14.95" hidden="1" customHeight="1" x14ac:dyDescent="0.25">
      <c r="A2108" s="141"/>
      <c r="B2108" s="1588" t="s">
        <v>265</v>
      </c>
      <c r="C2108" s="1589"/>
      <c r="D2108" s="1589"/>
      <c r="E2108" s="1589"/>
      <c r="F2108" s="1589"/>
      <c r="G2108" s="1589"/>
      <c r="H2108" s="1589"/>
      <c r="I2108" s="1589"/>
      <c r="J2108" s="1589"/>
      <c r="K2108" s="1589"/>
      <c r="L2108" s="1589"/>
      <c r="M2108" s="1589"/>
      <c r="N2108" s="1589"/>
      <c r="O2108" s="1589"/>
      <c r="P2108" s="1589"/>
      <c r="Q2108" s="1589"/>
      <c r="R2108" s="1589"/>
      <c r="S2108" s="1590"/>
      <c r="T2108" s="423">
        <f>+SUM(T2109:AF2118)</f>
        <v>0</v>
      </c>
      <c r="U2108" s="424"/>
      <c r="V2108" s="424"/>
      <c r="W2108" s="424"/>
      <c r="X2108" s="424"/>
      <c r="Y2108" s="424"/>
      <c r="Z2108" s="424"/>
      <c r="AA2108" s="424"/>
      <c r="AB2108" s="424"/>
      <c r="AC2108" s="424"/>
      <c r="AD2108" s="424"/>
      <c r="AE2108" s="424"/>
      <c r="AF2108" s="425"/>
      <c r="AG2108" s="423">
        <f>+SUM(AG2109:AR2118)</f>
        <v>0</v>
      </c>
      <c r="AH2108" s="424"/>
      <c r="AI2108" s="424"/>
      <c r="AJ2108" s="424"/>
      <c r="AK2108" s="424"/>
      <c r="AL2108" s="424"/>
      <c r="AM2108" s="424"/>
      <c r="AN2108" s="424"/>
      <c r="AO2108" s="424"/>
      <c r="AP2108" s="424"/>
      <c r="AQ2108" s="424"/>
      <c r="AR2108" s="425"/>
      <c r="AS2108" s="423">
        <f>+SUM(AS2109:BC2118)</f>
        <v>0</v>
      </c>
      <c r="AT2108" s="424"/>
      <c r="AU2108" s="424"/>
      <c r="AV2108" s="424"/>
      <c r="AW2108" s="424"/>
      <c r="AX2108" s="424"/>
      <c r="AY2108" s="424"/>
      <c r="AZ2108" s="424"/>
      <c r="BA2108" s="424"/>
      <c r="BB2108" s="424"/>
      <c r="BC2108" s="425"/>
      <c r="BD2108" s="423">
        <f>+SUM(BD2109:BM2118)</f>
        <v>0</v>
      </c>
      <c r="BE2108" s="424"/>
      <c r="BF2108" s="424"/>
      <c r="BG2108" s="424"/>
      <c r="BH2108" s="424"/>
      <c r="BI2108" s="424"/>
      <c r="BJ2108" s="424"/>
      <c r="BK2108" s="424"/>
      <c r="BL2108" s="424"/>
      <c r="BM2108" s="425"/>
      <c r="BN2108" s="423">
        <f t="shared" si="354"/>
        <v>0</v>
      </c>
      <c r="BO2108" s="424"/>
      <c r="BP2108" s="424"/>
      <c r="BQ2108" s="424"/>
      <c r="BR2108" s="424"/>
      <c r="BS2108" s="424"/>
      <c r="BT2108" s="424"/>
      <c r="BU2108" s="424"/>
      <c r="BV2108" s="424"/>
      <c r="BW2108" s="424"/>
      <c r="BX2108" s="424"/>
      <c r="BY2108" s="424"/>
      <c r="BZ2108" s="425"/>
      <c r="CA2108" s="142"/>
      <c r="CB2108" s="3" t="str">
        <f t="shared" si="355"/>
        <v>Riadok bude skrytý.</v>
      </c>
      <c r="CC2108" s="271" t="s">
        <v>832</v>
      </c>
      <c r="CD2108" s="4" t="s">
        <v>836</v>
      </c>
      <c r="CW2108" s="30">
        <f t="shared" si="358"/>
        <v>1</v>
      </c>
      <c r="CX2108" s="35"/>
      <c r="CZ2108" s="30">
        <f t="shared" si="353"/>
        <v>1</v>
      </c>
      <c r="DA2108" s="30">
        <f>+IF(CW2108+CX2108+CY2108=0,0,IF(CZ2108=0,0,1))</f>
        <v>1</v>
      </c>
      <c r="DB2108" s="2">
        <f t="shared" si="351"/>
        <v>0</v>
      </c>
      <c r="DS2108" s="130">
        <f>SI!BY2108</f>
        <v>185</v>
      </c>
      <c r="DZ2108" s="131">
        <f>SI!BZ2108</f>
        <v>0</v>
      </c>
    </row>
    <row r="2109" spans="1:130" hidden="1" x14ac:dyDescent="0.25">
      <c r="A2109" s="141"/>
      <c r="B2109" s="1585"/>
      <c r="C2109" s="1586"/>
      <c r="D2109" s="1586"/>
      <c r="E2109" s="1586"/>
      <c r="F2109" s="1586"/>
      <c r="G2109" s="1586"/>
      <c r="H2109" s="1586"/>
      <c r="I2109" s="1586"/>
      <c r="J2109" s="1586"/>
      <c r="K2109" s="1586"/>
      <c r="L2109" s="1586"/>
      <c r="M2109" s="1586"/>
      <c r="N2109" s="1586"/>
      <c r="O2109" s="1586"/>
      <c r="P2109" s="1586"/>
      <c r="Q2109" s="1586"/>
      <c r="R2109" s="1586"/>
      <c r="S2109" s="1587"/>
      <c r="T2109" s="417"/>
      <c r="U2109" s="418"/>
      <c r="V2109" s="418"/>
      <c r="W2109" s="418"/>
      <c r="X2109" s="418"/>
      <c r="Y2109" s="418"/>
      <c r="Z2109" s="418"/>
      <c r="AA2109" s="418"/>
      <c r="AB2109" s="418"/>
      <c r="AC2109" s="418"/>
      <c r="AD2109" s="418"/>
      <c r="AE2109" s="418"/>
      <c r="AF2109" s="419"/>
      <c r="AG2109" s="417"/>
      <c r="AH2109" s="418"/>
      <c r="AI2109" s="418"/>
      <c r="AJ2109" s="418"/>
      <c r="AK2109" s="418"/>
      <c r="AL2109" s="418"/>
      <c r="AM2109" s="418"/>
      <c r="AN2109" s="418"/>
      <c r="AO2109" s="418"/>
      <c r="AP2109" s="418"/>
      <c r="AQ2109" s="418"/>
      <c r="AR2109" s="419"/>
      <c r="AS2109" s="417"/>
      <c r="AT2109" s="418"/>
      <c r="AU2109" s="418"/>
      <c r="AV2109" s="418"/>
      <c r="AW2109" s="418"/>
      <c r="AX2109" s="418"/>
      <c r="AY2109" s="418"/>
      <c r="AZ2109" s="418"/>
      <c r="BA2109" s="418"/>
      <c r="BB2109" s="418"/>
      <c r="BC2109" s="419"/>
      <c r="BD2109" s="417"/>
      <c r="BE2109" s="418"/>
      <c r="BF2109" s="418"/>
      <c r="BG2109" s="418"/>
      <c r="BH2109" s="418"/>
      <c r="BI2109" s="418"/>
      <c r="BJ2109" s="418"/>
      <c r="BK2109" s="418"/>
      <c r="BL2109" s="418"/>
      <c r="BM2109" s="419"/>
      <c r="BN2109" s="1222">
        <f t="shared" si="354"/>
        <v>0</v>
      </c>
      <c r="BO2109" s="1223"/>
      <c r="BP2109" s="1223"/>
      <c r="BQ2109" s="1223"/>
      <c r="BR2109" s="1223"/>
      <c r="BS2109" s="1223"/>
      <c r="BT2109" s="1223"/>
      <c r="BU2109" s="1223"/>
      <c r="BV2109" s="1223"/>
      <c r="BW2109" s="1223"/>
      <c r="BX2109" s="1223"/>
      <c r="BY2109" s="1223"/>
      <c r="BZ2109" s="1224"/>
      <c r="CA2109" s="142"/>
      <c r="CB2109" s="3" t="str">
        <f t="shared" si="355"/>
        <v>Riadok bude skrytý.</v>
      </c>
      <c r="CC2109" s="271" t="s">
        <v>832</v>
      </c>
      <c r="CW2109" s="30">
        <f t="shared" si="358"/>
        <v>1</v>
      </c>
      <c r="CZ2109" s="30">
        <f t="shared" si="353"/>
        <v>1</v>
      </c>
      <c r="DA2109" s="30">
        <f>+IF(CW2109+CX2109+CY2109=0,0,IF(CZ2109=0,0,1))</f>
        <v>1</v>
      </c>
      <c r="DB2109" s="2">
        <f t="shared" si="351"/>
        <v>0</v>
      </c>
      <c r="DS2109" s="130">
        <f>SI!BY2109</f>
        <v>1032</v>
      </c>
      <c r="DZ2109" s="131">
        <f>SI!BZ2109</f>
        <v>0</v>
      </c>
    </row>
    <row r="2110" spans="1:130" hidden="1" x14ac:dyDescent="0.25">
      <c r="A2110" s="141"/>
      <c r="B2110" s="1225"/>
      <c r="C2110" s="1226"/>
      <c r="D2110" s="1226"/>
      <c r="E2110" s="1226"/>
      <c r="F2110" s="1226"/>
      <c r="G2110" s="1226"/>
      <c r="H2110" s="1226"/>
      <c r="I2110" s="1226"/>
      <c r="J2110" s="1226"/>
      <c r="K2110" s="1226"/>
      <c r="L2110" s="1226"/>
      <c r="M2110" s="1226"/>
      <c r="N2110" s="1226"/>
      <c r="O2110" s="1226"/>
      <c r="P2110" s="1226"/>
      <c r="Q2110" s="1226"/>
      <c r="R2110" s="1226"/>
      <c r="S2110" s="1227"/>
      <c r="T2110" s="511"/>
      <c r="U2110" s="482"/>
      <c r="V2110" s="482"/>
      <c r="W2110" s="482"/>
      <c r="X2110" s="482"/>
      <c r="Y2110" s="482"/>
      <c r="Z2110" s="482"/>
      <c r="AA2110" s="482"/>
      <c r="AB2110" s="482"/>
      <c r="AC2110" s="482"/>
      <c r="AD2110" s="482"/>
      <c r="AE2110" s="482"/>
      <c r="AF2110" s="483"/>
      <c r="AG2110" s="511"/>
      <c r="AH2110" s="482"/>
      <c r="AI2110" s="482"/>
      <c r="AJ2110" s="482"/>
      <c r="AK2110" s="482"/>
      <c r="AL2110" s="482"/>
      <c r="AM2110" s="482"/>
      <c r="AN2110" s="482"/>
      <c r="AO2110" s="482"/>
      <c r="AP2110" s="482"/>
      <c r="AQ2110" s="482"/>
      <c r="AR2110" s="483"/>
      <c r="AS2110" s="511"/>
      <c r="AT2110" s="482"/>
      <c r="AU2110" s="482"/>
      <c r="AV2110" s="482"/>
      <c r="AW2110" s="482"/>
      <c r="AX2110" s="482"/>
      <c r="AY2110" s="482"/>
      <c r="AZ2110" s="482"/>
      <c r="BA2110" s="482"/>
      <c r="BB2110" s="482"/>
      <c r="BC2110" s="483"/>
      <c r="BD2110" s="511"/>
      <c r="BE2110" s="482"/>
      <c r="BF2110" s="482"/>
      <c r="BG2110" s="482"/>
      <c r="BH2110" s="482"/>
      <c r="BI2110" s="482"/>
      <c r="BJ2110" s="482"/>
      <c r="BK2110" s="482"/>
      <c r="BL2110" s="482"/>
      <c r="BM2110" s="483"/>
      <c r="BN2110" s="398">
        <f t="shared" si="354"/>
        <v>0</v>
      </c>
      <c r="BO2110" s="399"/>
      <c r="BP2110" s="399"/>
      <c r="BQ2110" s="399"/>
      <c r="BR2110" s="399"/>
      <c r="BS2110" s="399"/>
      <c r="BT2110" s="399"/>
      <c r="BU2110" s="399"/>
      <c r="BV2110" s="399"/>
      <c r="BW2110" s="399"/>
      <c r="BX2110" s="399"/>
      <c r="BY2110" s="399"/>
      <c r="BZ2110" s="400"/>
      <c r="CA2110" s="270"/>
      <c r="CB2110" s="3" t="str">
        <f t="shared" si="355"/>
        <v>Riadok bude skrytý.</v>
      </c>
      <c r="CC2110" s="271" t="s">
        <v>832</v>
      </c>
      <c r="CW2110" s="30">
        <f t="shared" si="358"/>
        <v>1</v>
      </c>
      <c r="CX2110" s="30">
        <f t="shared" ref="CX2110:CX2117" si="359">+IF(B2110="",0,1)</f>
        <v>0</v>
      </c>
      <c r="CZ2110" s="30">
        <f t="shared" si="353"/>
        <v>1</v>
      </c>
      <c r="DA2110" s="52">
        <f t="shared" ref="DA2110:DA2117" si="360">+IF(CW2110*CX2110=0,0,IF(CZ2110=0,0,1))</f>
        <v>0</v>
      </c>
      <c r="DB2110" s="2">
        <f t="shared" si="351"/>
        <v>0</v>
      </c>
      <c r="DS2110" s="130">
        <f>SI!BY2110</f>
        <v>193</v>
      </c>
      <c r="DZ2110" s="131">
        <f>SI!BZ2110</f>
        <v>0</v>
      </c>
    </row>
    <row r="2111" spans="1:130" hidden="1" x14ac:dyDescent="0.25">
      <c r="A2111" s="141"/>
      <c r="B2111" s="1225"/>
      <c r="C2111" s="1226"/>
      <c r="D2111" s="1226"/>
      <c r="E2111" s="1226"/>
      <c r="F2111" s="1226"/>
      <c r="G2111" s="1226"/>
      <c r="H2111" s="1226"/>
      <c r="I2111" s="1226"/>
      <c r="J2111" s="1226"/>
      <c r="K2111" s="1226"/>
      <c r="L2111" s="1226"/>
      <c r="M2111" s="1226"/>
      <c r="N2111" s="1226"/>
      <c r="O2111" s="1226"/>
      <c r="P2111" s="1226"/>
      <c r="Q2111" s="1226"/>
      <c r="R2111" s="1226"/>
      <c r="S2111" s="1227"/>
      <c r="T2111" s="511"/>
      <c r="U2111" s="482"/>
      <c r="V2111" s="482"/>
      <c r="W2111" s="482"/>
      <c r="X2111" s="482"/>
      <c r="Y2111" s="482"/>
      <c r="Z2111" s="482"/>
      <c r="AA2111" s="482"/>
      <c r="AB2111" s="482"/>
      <c r="AC2111" s="482"/>
      <c r="AD2111" s="482"/>
      <c r="AE2111" s="482"/>
      <c r="AF2111" s="483"/>
      <c r="AG2111" s="511"/>
      <c r="AH2111" s="482"/>
      <c r="AI2111" s="482"/>
      <c r="AJ2111" s="482"/>
      <c r="AK2111" s="482"/>
      <c r="AL2111" s="482"/>
      <c r="AM2111" s="482"/>
      <c r="AN2111" s="482"/>
      <c r="AO2111" s="482"/>
      <c r="AP2111" s="482"/>
      <c r="AQ2111" s="482"/>
      <c r="AR2111" s="483"/>
      <c r="AS2111" s="511"/>
      <c r="AT2111" s="482"/>
      <c r="AU2111" s="482"/>
      <c r="AV2111" s="482"/>
      <c r="AW2111" s="482"/>
      <c r="AX2111" s="482"/>
      <c r="AY2111" s="482"/>
      <c r="AZ2111" s="482"/>
      <c r="BA2111" s="482"/>
      <c r="BB2111" s="482"/>
      <c r="BC2111" s="483"/>
      <c r="BD2111" s="511"/>
      <c r="BE2111" s="482"/>
      <c r="BF2111" s="482"/>
      <c r="BG2111" s="482"/>
      <c r="BH2111" s="482"/>
      <c r="BI2111" s="482"/>
      <c r="BJ2111" s="482"/>
      <c r="BK2111" s="482"/>
      <c r="BL2111" s="482"/>
      <c r="BM2111" s="483"/>
      <c r="BN2111" s="398">
        <f t="shared" si="354"/>
        <v>0</v>
      </c>
      <c r="BO2111" s="399"/>
      <c r="BP2111" s="399"/>
      <c r="BQ2111" s="399"/>
      <c r="BR2111" s="399"/>
      <c r="BS2111" s="399"/>
      <c r="BT2111" s="399"/>
      <c r="BU2111" s="399"/>
      <c r="BV2111" s="399"/>
      <c r="BW2111" s="399"/>
      <c r="BX2111" s="399"/>
      <c r="BY2111" s="399"/>
      <c r="BZ2111" s="400"/>
      <c r="CA2111" s="270"/>
      <c r="CB2111" s="3" t="str">
        <f t="shared" si="355"/>
        <v>Riadok bude skrytý.</v>
      </c>
      <c r="CC2111" s="271" t="s">
        <v>832</v>
      </c>
      <c r="CW2111" s="30">
        <f t="shared" si="358"/>
        <v>1</v>
      </c>
      <c r="CX2111" s="30">
        <f t="shared" si="359"/>
        <v>0</v>
      </c>
      <c r="CZ2111" s="30">
        <f t="shared" si="353"/>
        <v>1</v>
      </c>
      <c r="DA2111" s="52">
        <f t="shared" si="360"/>
        <v>0</v>
      </c>
      <c r="DB2111" s="2">
        <f t="shared" si="351"/>
        <v>0</v>
      </c>
      <c r="DS2111" s="130">
        <f>SI!BY2111</f>
        <v>943</v>
      </c>
      <c r="DZ2111" s="131">
        <f>SI!BZ2111</f>
        <v>0</v>
      </c>
    </row>
    <row r="2112" spans="1:130" hidden="1" x14ac:dyDescent="0.25">
      <c r="A2112" s="141"/>
      <c r="B2112" s="1225"/>
      <c r="C2112" s="1226"/>
      <c r="D2112" s="1226"/>
      <c r="E2112" s="1226"/>
      <c r="F2112" s="1226"/>
      <c r="G2112" s="1226"/>
      <c r="H2112" s="1226"/>
      <c r="I2112" s="1226"/>
      <c r="J2112" s="1226"/>
      <c r="K2112" s="1226"/>
      <c r="L2112" s="1226"/>
      <c r="M2112" s="1226"/>
      <c r="N2112" s="1226"/>
      <c r="O2112" s="1226"/>
      <c r="P2112" s="1226"/>
      <c r="Q2112" s="1226"/>
      <c r="R2112" s="1226"/>
      <c r="S2112" s="1227"/>
      <c r="T2112" s="511"/>
      <c r="U2112" s="482"/>
      <c r="V2112" s="482"/>
      <c r="W2112" s="482"/>
      <c r="X2112" s="482"/>
      <c r="Y2112" s="482"/>
      <c r="Z2112" s="482"/>
      <c r="AA2112" s="482"/>
      <c r="AB2112" s="482"/>
      <c r="AC2112" s="482"/>
      <c r="AD2112" s="482"/>
      <c r="AE2112" s="482"/>
      <c r="AF2112" s="483"/>
      <c r="AG2112" s="511"/>
      <c r="AH2112" s="482"/>
      <c r="AI2112" s="482"/>
      <c r="AJ2112" s="482"/>
      <c r="AK2112" s="482"/>
      <c r="AL2112" s="482"/>
      <c r="AM2112" s="482"/>
      <c r="AN2112" s="482"/>
      <c r="AO2112" s="482"/>
      <c r="AP2112" s="482"/>
      <c r="AQ2112" s="482"/>
      <c r="AR2112" s="483"/>
      <c r="AS2112" s="511"/>
      <c r="AT2112" s="482"/>
      <c r="AU2112" s="482"/>
      <c r="AV2112" s="482"/>
      <c r="AW2112" s="482"/>
      <c r="AX2112" s="482"/>
      <c r="AY2112" s="482"/>
      <c r="AZ2112" s="482"/>
      <c r="BA2112" s="482"/>
      <c r="BB2112" s="482"/>
      <c r="BC2112" s="483"/>
      <c r="BD2112" s="511"/>
      <c r="BE2112" s="482"/>
      <c r="BF2112" s="482"/>
      <c r="BG2112" s="482"/>
      <c r="BH2112" s="482"/>
      <c r="BI2112" s="482"/>
      <c r="BJ2112" s="482"/>
      <c r="BK2112" s="482"/>
      <c r="BL2112" s="482"/>
      <c r="BM2112" s="483"/>
      <c r="BN2112" s="398">
        <f t="shared" si="354"/>
        <v>0</v>
      </c>
      <c r="BO2112" s="399"/>
      <c r="BP2112" s="399"/>
      <c r="BQ2112" s="399"/>
      <c r="BR2112" s="399"/>
      <c r="BS2112" s="399"/>
      <c r="BT2112" s="399"/>
      <c r="BU2112" s="399"/>
      <c r="BV2112" s="399"/>
      <c r="BW2112" s="399"/>
      <c r="BX2112" s="399"/>
      <c r="BY2112" s="399"/>
      <c r="BZ2112" s="400"/>
      <c r="CA2112" s="270"/>
      <c r="CB2112" s="3" t="str">
        <f t="shared" si="355"/>
        <v>Riadok bude skrytý.</v>
      </c>
      <c r="CC2112" s="271" t="s">
        <v>832</v>
      </c>
      <c r="CW2112" s="30">
        <f t="shared" si="358"/>
        <v>1</v>
      </c>
      <c r="CX2112" s="30">
        <f t="shared" si="359"/>
        <v>0</v>
      </c>
      <c r="CZ2112" s="30">
        <f t="shared" si="353"/>
        <v>1</v>
      </c>
      <c r="DA2112" s="52">
        <f t="shared" si="360"/>
        <v>0</v>
      </c>
      <c r="DB2112" s="2">
        <f t="shared" si="351"/>
        <v>0</v>
      </c>
      <c r="DS2112" s="130">
        <f>SI!BY2112</f>
        <v>147</v>
      </c>
      <c r="DZ2112" s="131">
        <f>SI!BZ2112</f>
        <v>0</v>
      </c>
    </row>
    <row r="2113" spans="1:130" hidden="1" x14ac:dyDescent="0.25">
      <c r="A2113" s="141"/>
      <c r="B2113" s="1225"/>
      <c r="C2113" s="1226"/>
      <c r="D2113" s="1226"/>
      <c r="E2113" s="1226"/>
      <c r="F2113" s="1226"/>
      <c r="G2113" s="1226"/>
      <c r="H2113" s="1226"/>
      <c r="I2113" s="1226"/>
      <c r="J2113" s="1226"/>
      <c r="K2113" s="1226"/>
      <c r="L2113" s="1226"/>
      <c r="M2113" s="1226"/>
      <c r="N2113" s="1226"/>
      <c r="O2113" s="1226"/>
      <c r="P2113" s="1226"/>
      <c r="Q2113" s="1226"/>
      <c r="R2113" s="1226"/>
      <c r="S2113" s="1227"/>
      <c r="T2113" s="511"/>
      <c r="U2113" s="482"/>
      <c r="V2113" s="482"/>
      <c r="W2113" s="482"/>
      <c r="X2113" s="482"/>
      <c r="Y2113" s="482"/>
      <c r="Z2113" s="482"/>
      <c r="AA2113" s="482"/>
      <c r="AB2113" s="482"/>
      <c r="AC2113" s="482"/>
      <c r="AD2113" s="482"/>
      <c r="AE2113" s="482"/>
      <c r="AF2113" s="483"/>
      <c r="AG2113" s="511"/>
      <c r="AH2113" s="482"/>
      <c r="AI2113" s="482"/>
      <c r="AJ2113" s="482"/>
      <c r="AK2113" s="482"/>
      <c r="AL2113" s="482"/>
      <c r="AM2113" s="482"/>
      <c r="AN2113" s="482"/>
      <c r="AO2113" s="482"/>
      <c r="AP2113" s="482"/>
      <c r="AQ2113" s="482"/>
      <c r="AR2113" s="483"/>
      <c r="AS2113" s="511"/>
      <c r="AT2113" s="482"/>
      <c r="AU2113" s="482"/>
      <c r="AV2113" s="482"/>
      <c r="AW2113" s="482"/>
      <c r="AX2113" s="482"/>
      <c r="AY2113" s="482"/>
      <c r="AZ2113" s="482"/>
      <c r="BA2113" s="482"/>
      <c r="BB2113" s="482"/>
      <c r="BC2113" s="483"/>
      <c r="BD2113" s="511"/>
      <c r="BE2113" s="482"/>
      <c r="BF2113" s="482"/>
      <c r="BG2113" s="482"/>
      <c r="BH2113" s="482"/>
      <c r="BI2113" s="482"/>
      <c r="BJ2113" s="482"/>
      <c r="BK2113" s="482"/>
      <c r="BL2113" s="482"/>
      <c r="BM2113" s="483"/>
      <c r="BN2113" s="398">
        <f t="shared" si="354"/>
        <v>0</v>
      </c>
      <c r="BO2113" s="399"/>
      <c r="BP2113" s="399"/>
      <c r="BQ2113" s="399"/>
      <c r="BR2113" s="399"/>
      <c r="BS2113" s="399"/>
      <c r="BT2113" s="399"/>
      <c r="BU2113" s="399"/>
      <c r="BV2113" s="399"/>
      <c r="BW2113" s="399"/>
      <c r="BX2113" s="399"/>
      <c r="BY2113" s="399"/>
      <c r="BZ2113" s="400"/>
      <c r="CA2113" s="270"/>
      <c r="CB2113" s="3" t="str">
        <f t="shared" si="355"/>
        <v>Riadok bude skrytý.</v>
      </c>
      <c r="CC2113" s="271" t="s">
        <v>832</v>
      </c>
      <c r="CW2113" s="30">
        <f t="shared" si="358"/>
        <v>1</v>
      </c>
      <c r="CX2113" s="30">
        <f t="shared" si="359"/>
        <v>0</v>
      </c>
      <c r="CZ2113" s="30">
        <f t="shared" si="353"/>
        <v>1</v>
      </c>
      <c r="DA2113" s="52">
        <f t="shared" si="360"/>
        <v>0</v>
      </c>
      <c r="DB2113" s="2">
        <f t="shared" si="351"/>
        <v>0</v>
      </c>
      <c r="DS2113" s="130">
        <f>SI!BY2113</f>
        <v>1007</v>
      </c>
      <c r="DZ2113" s="131">
        <f>SI!BZ2113</f>
        <v>0</v>
      </c>
    </row>
    <row r="2114" spans="1:130" hidden="1" x14ac:dyDescent="0.25">
      <c r="A2114" s="141"/>
      <c r="B2114" s="1225"/>
      <c r="C2114" s="1226"/>
      <c r="D2114" s="1226"/>
      <c r="E2114" s="1226"/>
      <c r="F2114" s="1226"/>
      <c r="G2114" s="1226"/>
      <c r="H2114" s="1226"/>
      <c r="I2114" s="1226"/>
      <c r="J2114" s="1226"/>
      <c r="K2114" s="1226"/>
      <c r="L2114" s="1226"/>
      <c r="M2114" s="1226"/>
      <c r="N2114" s="1226"/>
      <c r="O2114" s="1226"/>
      <c r="P2114" s="1226"/>
      <c r="Q2114" s="1226"/>
      <c r="R2114" s="1226"/>
      <c r="S2114" s="1227"/>
      <c r="T2114" s="511"/>
      <c r="U2114" s="482"/>
      <c r="V2114" s="482"/>
      <c r="W2114" s="482"/>
      <c r="X2114" s="482"/>
      <c r="Y2114" s="482"/>
      <c r="Z2114" s="482"/>
      <c r="AA2114" s="482"/>
      <c r="AB2114" s="482"/>
      <c r="AC2114" s="482"/>
      <c r="AD2114" s="482"/>
      <c r="AE2114" s="482"/>
      <c r="AF2114" s="483"/>
      <c r="AG2114" s="511"/>
      <c r="AH2114" s="482"/>
      <c r="AI2114" s="482"/>
      <c r="AJ2114" s="482"/>
      <c r="AK2114" s="482"/>
      <c r="AL2114" s="482"/>
      <c r="AM2114" s="482"/>
      <c r="AN2114" s="482"/>
      <c r="AO2114" s="482"/>
      <c r="AP2114" s="482"/>
      <c r="AQ2114" s="482"/>
      <c r="AR2114" s="483"/>
      <c r="AS2114" s="511"/>
      <c r="AT2114" s="482"/>
      <c r="AU2114" s="482"/>
      <c r="AV2114" s="482"/>
      <c r="AW2114" s="482"/>
      <c r="AX2114" s="482"/>
      <c r="AY2114" s="482"/>
      <c r="AZ2114" s="482"/>
      <c r="BA2114" s="482"/>
      <c r="BB2114" s="482"/>
      <c r="BC2114" s="483"/>
      <c r="BD2114" s="511"/>
      <c r="BE2114" s="482"/>
      <c r="BF2114" s="482"/>
      <c r="BG2114" s="482"/>
      <c r="BH2114" s="482"/>
      <c r="BI2114" s="482"/>
      <c r="BJ2114" s="482"/>
      <c r="BK2114" s="482"/>
      <c r="BL2114" s="482"/>
      <c r="BM2114" s="483"/>
      <c r="BN2114" s="398">
        <f t="shared" si="354"/>
        <v>0</v>
      </c>
      <c r="BO2114" s="399"/>
      <c r="BP2114" s="399"/>
      <c r="BQ2114" s="399"/>
      <c r="BR2114" s="399"/>
      <c r="BS2114" s="399"/>
      <c r="BT2114" s="399"/>
      <c r="BU2114" s="399"/>
      <c r="BV2114" s="399"/>
      <c r="BW2114" s="399"/>
      <c r="BX2114" s="399"/>
      <c r="BY2114" s="399"/>
      <c r="BZ2114" s="400"/>
      <c r="CA2114" s="270"/>
      <c r="CB2114" s="3" t="str">
        <f t="shared" si="355"/>
        <v>Riadok bude skrytý.</v>
      </c>
      <c r="CC2114" s="271" t="s">
        <v>832</v>
      </c>
      <c r="CW2114" s="30">
        <f t="shared" si="358"/>
        <v>1</v>
      </c>
      <c r="CX2114" s="30">
        <f t="shared" si="359"/>
        <v>0</v>
      </c>
      <c r="CZ2114" s="30">
        <f t="shared" si="353"/>
        <v>1</v>
      </c>
      <c r="DA2114" s="52">
        <f t="shared" si="360"/>
        <v>0</v>
      </c>
      <c r="DB2114" s="2">
        <f t="shared" si="351"/>
        <v>0</v>
      </c>
      <c r="DS2114" s="130">
        <f>SI!BY2114</f>
        <v>110</v>
      </c>
      <c r="DZ2114" s="131">
        <f>SI!BZ2114</f>
        <v>0</v>
      </c>
    </row>
    <row r="2115" spans="1:130" hidden="1" x14ac:dyDescent="0.25">
      <c r="A2115" s="141"/>
      <c r="B2115" s="1225"/>
      <c r="C2115" s="1226"/>
      <c r="D2115" s="1226"/>
      <c r="E2115" s="1226"/>
      <c r="F2115" s="1226"/>
      <c r="G2115" s="1226"/>
      <c r="H2115" s="1226"/>
      <c r="I2115" s="1226"/>
      <c r="J2115" s="1226"/>
      <c r="K2115" s="1226"/>
      <c r="L2115" s="1226"/>
      <c r="M2115" s="1226"/>
      <c r="N2115" s="1226"/>
      <c r="O2115" s="1226"/>
      <c r="P2115" s="1226"/>
      <c r="Q2115" s="1226"/>
      <c r="R2115" s="1226"/>
      <c r="S2115" s="1227"/>
      <c r="T2115" s="511"/>
      <c r="U2115" s="482"/>
      <c r="V2115" s="482"/>
      <c r="W2115" s="482"/>
      <c r="X2115" s="482"/>
      <c r="Y2115" s="482"/>
      <c r="Z2115" s="482"/>
      <c r="AA2115" s="482"/>
      <c r="AB2115" s="482"/>
      <c r="AC2115" s="482"/>
      <c r="AD2115" s="482"/>
      <c r="AE2115" s="482"/>
      <c r="AF2115" s="483"/>
      <c r="AG2115" s="511"/>
      <c r="AH2115" s="482"/>
      <c r="AI2115" s="482"/>
      <c r="AJ2115" s="482"/>
      <c r="AK2115" s="482"/>
      <c r="AL2115" s="482"/>
      <c r="AM2115" s="482"/>
      <c r="AN2115" s="482"/>
      <c r="AO2115" s="482"/>
      <c r="AP2115" s="482"/>
      <c r="AQ2115" s="482"/>
      <c r="AR2115" s="483"/>
      <c r="AS2115" s="511"/>
      <c r="AT2115" s="482"/>
      <c r="AU2115" s="482"/>
      <c r="AV2115" s="482"/>
      <c r="AW2115" s="482"/>
      <c r="AX2115" s="482"/>
      <c r="AY2115" s="482"/>
      <c r="AZ2115" s="482"/>
      <c r="BA2115" s="482"/>
      <c r="BB2115" s="482"/>
      <c r="BC2115" s="483"/>
      <c r="BD2115" s="511"/>
      <c r="BE2115" s="482"/>
      <c r="BF2115" s="482"/>
      <c r="BG2115" s="482"/>
      <c r="BH2115" s="482"/>
      <c r="BI2115" s="482"/>
      <c r="BJ2115" s="482"/>
      <c r="BK2115" s="482"/>
      <c r="BL2115" s="482"/>
      <c r="BM2115" s="483"/>
      <c r="BN2115" s="398">
        <f t="shared" si="354"/>
        <v>0</v>
      </c>
      <c r="BO2115" s="399"/>
      <c r="BP2115" s="399"/>
      <c r="BQ2115" s="399"/>
      <c r="BR2115" s="399"/>
      <c r="BS2115" s="399"/>
      <c r="BT2115" s="399"/>
      <c r="BU2115" s="399"/>
      <c r="BV2115" s="399"/>
      <c r="BW2115" s="399"/>
      <c r="BX2115" s="399"/>
      <c r="BY2115" s="399"/>
      <c r="BZ2115" s="400"/>
      <c r="CA2115" s="270"/>
      <c r="CB2115" s="3" t="str">
        <f t="shared" si="355"/>
        <v>Riadok bude skrytý.</v>
      </c>
      <c r="CC2115" s="271" t="s">
        <v>832</v>
      </c>
      <c r="CW2115" s="30">
        <f t="shared" si="358"/>
        <v>1</v>
      </c>
      <c r="CX2115" s="30">
        <f t="shared" si="359"/>
        <v>0</v>
      </c>
      <c r="CZ2115" s="30">
        <f t="shared" si="353"/>
        <v>1</v>
      </c>
      <c r="DA2115" s="52">
        <f t="shared" si="360"/>
        <v>0</v>
      </c>
      <c r="DB2115" s="2">
        <f t="shared" si="351"/>
        <v>0</v>
      </c>
      <c r="DS2115" s="130">
        <f>SI!BY2115</f>
        <v>742</v>
      </c>
      <c r="DZ2115" s="131">
        <f>SI!BZ2115</f>
        <v>0</v>
      </c>
    </row>
    <row r="2116" spans="1:130" hidden="1" x14ac:dyDescent="0.25">
      <c r="A2116" s="141"/>
      <c r="B2116" s="1225"/>
      <c r="C2116" s="1226"/>
      <c r="D2116" s="1226"/>
      <c r="E2116" s="1226"/>
      <c r="F2116" s="1226"/>
      <c r="G2116" s="1226"/>
      <c r="H2116" s="1226"/>
      <c r="I2116" s="1226"/>
      <c r="J2116" s="1226"/>
      <c r="K2116" s="1226"/>
      <c r="L2116" s="1226"/>
      <c r="M2116" s="1226"/>
      <c r="N2116" s="1226"/>
      <c r="O2116" s="1226"/>
      <c r="P2116" s="1226"/>
      <c r="Q2116" s="1226"/>
      <c r="R2116" s="1226"/>
      <c r="S2116" s="1227"/>
      <c r="T2116" s="511"/>
      <c r="U2116" s="482"/>
      <c r="V2116" s="482"/>
      <c r="W2116" s="482"/>
      <c r="X2116" s="482"/>
      <c r="Y2116" s="482"/>
      <c r="Z2116" s="482"/>
      <c r="AA2116" s="482"/>
      <c r="AB2116" s="482"/>
      <c r="AC2116" s="482"/>
      <c r="AD2116" s="482"/>
      <c r="AE2116" s="482"/>
      <c r="AF2116" s="483"/>
      <c r="AG2116" s="511"/>
      <c r="AH2116" s="482"/>
      <c r="AI2116" s="482"/>
      <c r="AJ2116" s="482"/>
      <c r="AK2116" s="482"/>
      <c r="AL2116" s="482"/>
      <c r="AM2116" s="482"/>
      <c r="AN2116" s="482"/>
      <c r="AO2116" s="482"/>
      <c r="AP2116" s="482"/>
      <c r="AQ2116" s="482"/>
      <c r="AR2116" s="483"/>
      <c r="AS2116" s="511"/>
      <c r="AT2116" s="482"/>
      <c r="AU2116" s="482"/>
      <c r="AV2116" s="482"/>
      <c r="AW2116" s="482"/>
      <c r="AX2116" s="482"/>
      <c r="AY2116" s="482"/>
      <c r="AZ2116" s="482"/>
      <c r="BA2116" s="482"/>
      <c r="BB2116" s="482"/>
      <c r="BC2116" s="483"/>
      <c r="BD2116" s="511"/>
      <c r="BE2116" s="482"/>
      <c r="BF2116" s="482"/>
      <c r="BG2116" s="482"/>
      <c r="BH2116" s="482"/>
      <c r="BI2116" s="482"/>
      <c r="BJ2116" s="482"/>
      <c r="BK2116" s="482"/>
      <c r="BL2116" s="482"/>
      <c r="BM2116" s="483"/>
      <c r="BN2116" s="398">
        <f t="shared" si="354"/>
        <v>0</v>
      </c>
      <c r="BO2116" s="399"/>
      <c r="BP2116" s="399"/>
      <c r="BQ2116" s="399"/>
      <c r="BR2116" s="399"/>
      <c r="BS2116" s="399"/>
      <c r="BT2116" s="399"/>
      <c r="BU2116" s="399"/>
      <c r="BV2116" s="399"/>
      <c r="BW2116" s="399"/>
      <c r="BX2116" s="399"/>
      <c r="BY2116" s="399"/>
      <c r="BZ2116" s="400"/>
      <c r="CA2116" s="270"/>
      <c r="CB2116" s="3" t="str">
        <f t="shared" si="355"/>
        <v>Riadok bude skrytý.</v>
      </c>
      <c r="CC2116" s="271" t="s">
        <v>832</v>
      </c>
      <c r="CW2116" s="30">
        <f t="shared" si="358"/>
        <v>1</v>
      </c>
      <c r="CX2116" s="30">
        <f t="shared" si="359"/>
        <v>0</v>
      </c>
      <c r="CZ2116" s="30">
        <f t="shared" si="353"/>
        <v>1</v>
      </c>
      <c r="DA2116" s="52">
        <f t="shared" si="360"/>
        <v>0</v>
      </c>
      <c r="DB2116" s="2">
        <f t="shared" si="351"/>
        <v>0</v>
      </c>
      <c r="DS2116" s="130">
        <f>SI!BY2116</f>
        <v>114</v>
      </c>
      <c r="DZ2116" s="131">
        <f>SI!BZ2116</f>
        <v>0</v>
      </c>
    </row>
    <row r="2117" spans="1:130" hidden="1" x14ac:dyDescent="0.25">
      <c r="A2117" s="141"/>
      <c r="B2117" s="1225"/>
      <c r="C2117" s="1226"/>
      <c r="D2117" s="1226"/>
      <c r="E2117" s="1226"/>
      <c r="F2117" s="1226"/>
      <c r="G2117" s="1226"/>
      <c r="H2117" s="1226"/>
      <c r="I2117" s="1226"/>
      <c r="J2117" s="1226"/>
      <c r="K2117" s="1226"/>
      <c r="L2117" s="1226"/>
      <c r="M2117" s="1226"/>
      <c r="N2117" s="1226"/>
      <c r="O2117" s="1226"/>
      <c r="P2117" s="1226"/>
      <c r="Q2117" s="1226"/>
      <c r="R2117" s="1226"/>
      <c r="S2117" s="1227"/>
      <c r="T2117" s="511"/>
      <c r="U2117" s="482"/>
      <c r="V2117" s="482"/>
      <c r="W2117" s="482"/>
      <c r="X2117" s="482"/>
      <c r="Y2117" s="482"/>
      <c r="Z2117" s="482"/>
      <c r="AA2117" s="482"/>
      <c r="AB2117" s="482"/>
      <c r="AC2117" s="482"/>
      <c r="AD2117" s="482"/>
      <c r="AE2117" s="482"/>
      <c r="AF2117" s="483"/>
      <c r="AG2117" s="511"/>
      <c r="AH2117" s="482"/>
      <c r="AI2117" s="482"/>
      <c r="AJ2117" s="482"/>
      <c r="AK2117" s="482"/>
      <c r="AL2117" s="482"/>
      <c r="AM2117" s="482"/>
      <c r="AN2117" s="482"/>
      <c r="AO2117" s="482"/>
      <c r="AP2117" s="482"/>
      <c r="AQ2117" s="482"/>
      <c r="AR2117" s="483"/>
      <c r="AS2117" s="511"/>
      <c r="AT2117" s="482"/>
      <c r="AU2117" s="482"/>
      <c r="AV2117" s="482"/>
      <c r="AW2117" s="482"/>
      <c r="AX2117" s="482"/>
      <c r="AY2117" s="482"/>
      <c r="AZ2117" s="482"/>
      <c r="BA2117" s="482"/>
      <c r="BB2117" s="482"/>
      <c r="BC2117" s="483"/>
      <c r="BD2117" s="511"/>
      <c r="BE2117" s="482"/>
      <c r="BF2117" s="482"/>
      <c r="BG2117" s="482"/>
      <c r="BH2117" s="482"/>
      <c r="BI2117" s="482"/>
      <c r="BJ2117" s="482"/>
      <c r="BK2117" s="482"/>
      <c r="BL2117" s="482"/>
      <c r="BM2117" s="483"/>
      <c r="BN2117" s="398">
        <f t="shared" si="354"/>
        <v>0</v>
      </c>
      <c r="BO2117" s="399"/>
      <c r="BP2117" s="399"/>
      <c r="BQ2117" s="399"/>
      <c r="BR2117" s="399"/>
      <c r="BS2117" s="399"/>
      <c r="BT2117" s="399"/>
      <c r="BU2117" s="399"/>
      <c r="BV2117" s="399"/>
      <c r="BW2117" s="399"/>
      <c r="BX2117" s="399"/>
      <c r="BY2117" s="399"/>
      <c r="BZ2117" s="400"/>
      <c r="CA2117" s="270"/>
      <c r="CB2117" s="3" t="str">
        <f t="shared" si="355"/>
        <v>Riadok bude skrytý.</v>
      </c>
      <c r="CC2117" s="271" t="s">
        <v>832</v>
      </c>
      <c r="CW2117" s="30">
        <f t="shared" si="358"/>
        <v>1</v>
      </c>
      <c r="CX2117" s="30">
        <f t="shared" si="359"/>
        <v>0</v>
      </c>
      <c r="CZ2117" s="30">
        <f t="shared" si="353"/>
        <v>1</v>
      </c>
      <c r="DA2117" s="52">
        <f t="shared" si="360"/>
        <v>0</v>
      </c>
      <c r="DB2117" s="2">
        <f t="shared" si="351"/>
        <v>0</v>
      </c>
      <c r="DS2117" s="130">
        <f>SI!BY2117</f>
        <v>769</v>
      </c>
      <c r="DZ2117" s="131">
        <f>SI!BZ2117</f>
        <v>0</v>
      </c>
    </row>
    <row r="2118" spans="1:130" hidden="1" x14ac:dyDescent="0.25">
      <c r="A2118" s="141"/>
      <c r="B2118" s="627" t="s">
        <v>701</v>
      </c>
      <c r="C2118" s="628"/>
      <c r="D2118" s="628"/>
      <c r="E2118" s="628"/>
      <c r="F2118" s="628"/>
      <c r="G2118" s="628"/>
      <c r="H2118" s="628"/>
      <c r="I2118" s="628"/>
      <c r="J2118" s="628"/>
      <c r="K2118" s="628"/>
      <c r="L2118" s="628"/>
      <c r="M2118" s="628"/>
      <c r="N2118" s="628"/>
      <c r="O2118" s="628"/>
      <c r="P2118" s="628"/>
      <c r="Q2118" s="628"/>
      <c r="R2118" s="628"/>
      <c r="S2118" s="629"/>
      <c r="T2118" s="454"/>
      <c r="U2118" s="455"/>
      <c r="V2118" s="455"/>
      <c r="W2118" s="455"/>
      <c r="X2118" s="455"/>
      <c r="Y2118" s="455"/>
      <c r="Z2118" s="455"/>
      <c r="AA2118" s="455"/>
      <c r="AB2118" s="455"/>
      <c r="AC2118" s="455"/>
      <c r="AD2118" s="455"/>
      <c r="AE2118" s="455"/>
      <c r="AF2118" s="456"/>
      <c r="AG2118" s="454"/>
      <c r="AH2118" s="455"/>
      <c r="AI2118" s="455"/>
      <c r="AJ2118" s="455"/>
      <c r="AK2118" s="455"/>
      <c r="AL2118" s="455"/>
      <c r="AM2118" s="455"/>
      <c r="AN2118" s="455"/>
      <c r="AO2118" s="455"/>
      <c r="AP2118" s="455"/>
      <c r="AQ2118" s="455"/>
      <c r="AR2118" s="456"/>
      <c r="AS2118" s="454"/>
      <c r="AT2118" s="455"/>
      <c r="AU2118" s="455"/>
      <c r="AV2118" s="455"/>
      <c r="AW2118" s="455"/>
      <c r="AX2118" s="455"/>
      <c r="AY2118" s="455"/>
      <c r="AZ2118" s="455"/>
      <c r="BA2118" s="455"/>
      <c r="BB2118" s="455"/>
      <c r="BC2118" s="456"/>
      <c r="BD2118" s="454"/>
      <c r="BE2118" s="455"/>
      <c r="BF2118" s="455"/>
      <c r="BG2118" s="455"/>
      <c r="BH2118" s="455"/>
      <c r="BI2118" s="455"/>
      <c r="BJ2118" s="455"/>
      <c r="BK2118" s="455"/>
      <c r="BL2118" s="455"/>
      <c r="BM2118" s="456"/>
      <c r="BN2118" s="1209">
        <f t="shared" si="354"/>
        <v>0</v>
      </c>
      <c r="BO2118" s="1210"/>
      <c r="BP2118" s="1210"/>
      <c r="BQ2118" s="1210"/>
      <c r="BR2118" s="1210"/>
      <c r="BS2118" s="1210"/>
      <c r="BT2118" s="1210"/>
      <c r="BU2118" s="1210"/>
      <c r="BV2118" s="1210"/>
      <c r="BW2118" s="1210"/>
      <c r="BX2118" s="1210"/>
      <c r="BY2118" s="1210"/>
      <c r="BZ2118" s="1211"/>
      <c r="CA2118" s="142"/>
      <c r="CB2118" s="3" t="str">
        <f t="shared" si="355"/>
        <v>Riadok bude skrytý.</v>
      </c>
      <c r="CC2118" s="271" t="s">
        <v>832</v>
      </c>
      <c r="CW2118" s="30">
        <f t="shared" si="358"/>
        <v>1</v>
      </c>
      <c r="CZ2118" s="30">
        <f t="shared" si="353"/>
        <v>1</v>
      </c>
      <c r="DA2118" s="30">
        <f>+IF(CW2118+CX2118+CY2118=0,0,IF(CZ2118=0,0,1))</f>
        <v>1</v>
      </c>
      <c r="DB2118" s="2">
        <f t="shared" si="351"/>
        <v>0</v>
      </c>
      <c r="DS2118" s="130">
        <f>SI!BY2118</f>
        <v>196</v>
      </c>
      <c r="DZ2118" s="131">
        <f>SI!BZ2118</f>
        <v>0</v>
      </c>
    </row>
    <row r="2119" spans="1:130" hidden="1" x14ac:dyDescent="0.25">
      <c r="A2119" s="141"/>
      <c r="CA2119" s="142"/>
      <c r="CB2119" s="3" t="str">
        <f t="shared" si="355"/>
        <v>Riadok bude skrytý.</v>
      </c>
      <c r="CC2119" s="271" t="s">
        <v>832</v>
      </c>
      <c r="CW2119" s="30">
        <f t="shared" si="358"/>
        <v>1</v>
      </c>
      <c r="CZ2119" s="30">
        <f t="shared" si="353"/>
        <v>1</v>
      </c>
      <c r="DA2119" s="30">
        <f>+IF(CW2119+CX2119+CY2119=0,0,IF(CZ2119=0,0,1))</f>
        <v>1</v>
      </c>
      <c r="DB2119" s="2">
        <f t="shared" si="351"/>
        <v>0</v>
      </c>
      <c r="DS2119" s="130">
        <f>SI!BY2119</f>
        <v>938</v>
      </c>
      <c r="DZ2119" s="131">
        <f>SI!BZ2119</f>
        <v>0</v>
      </c>
    </row>
    <row r="2120" spans="1:130" hidden="1" x14ac:dyDescent="0.25">
      <c r="A2120" s="141"/>
      <c r="B2120" s="137" t="str">
        <f>+IF($M$52&lt;&gt;"",IF(SQRT(INT(FACT(DAY(24324))*FACT(DAY(24385))/576))=DS2120,"Prehľad o rezervách za bezprostredne predchádzajúce ÚO je uvedený v nasledujúcej tabuľke:","NEPOVOLENÉ POUŽITIE!"),"NEPOVOLENÉ POUŽITIE!")</f>
        <v>Prehľad o rezervách za bezprostredne predchádzajúce ÚO je uvedený v nasledujúcej tabuľke:</v>
      </c>
      <c r="CA2120" s="265" t="s">
        <v>773</v>
      </c>
      <c r="CB2120" s="3" t="str">
        <f t="shared" si="355"/>
        <v>Riadok bude skrytý.</v>
      </c>
      <c r="CC2120" s="271" t="s">
        <v>832</v>
      </c>
      <c r="CW2120" s="30">
        <f t="shared" si="358"/>
        <v>1</v>
      </c>
      <c r="CX2120" s="30">
        <f t="shared" ref="CX2120:CX2147" si="361">+IF(YEAR($AW$123)=YEAR($DC$4),0,1)</f>
        <v>1</v>
      </c>
      <c r="CZ2120" s="30">
        <f t="shared" si="353"/>
        <v>1</v>
      </c>
      <c r="DA2120" s="52">
        <f t="shared" ref="DA2120:DA2127" si="362">+IF(CW2120*CX2120=0,0,IF(CZ2120=0,0,1))</f>
        <v>1</v>
      </c>
      <c r="DB2120" s="2">
        <f t="shared" si="351"/>
        <v>0</v>
      </c>
      <c r="DS2120" s="130">
        <f>SI!BY2120</f>
        <v>5</v>
      </c>
      <c r="DZ2120" s="131">
        <f>SI!BZ2120</f>
        <v>0</v>
      </c>
    </row>
    <row r="2121" spans="1:130" hidden="1" x14ac:dyDescent="0.25">
      <c r="A2121" s="141"/>
      <c r="CA2121" s="270"/>
      <c r="CB2121" s="3" t="str">
        <f t="shared" si="355"/>
        <v>Riadok bude skrytý.</v>
      </c>
      <c r="CC2121" s="271" t="s">
        <v>832</v>
      </c>
      <c r="CW2121" s="30">
        <f t="shared" si="358"/>
        <v>1</v>
      </c>
      <c r="CX2121" s="30">
        <f t="shared" si="361"/>
        <v>1</v>
      </c>
      <c r="CZ2121" s="30">
        <f t="shared" si="353"/>
        <v>1</v>
      </c>
      <c r="DA2121" s="52">
        <f t="shared" si="362"/>
        <v>1</v>
      </c>
      <c r="DB2121" s="2">
        <f t="shared" si="351"/>
        <v>0</v>
      </c>
      <c r="DS2121" s="130">
        <f>SI!BY2121</f>
        <v>151</v>
      </c>
      <c r="DZ2121" s="131">
        <f>SI!BZ2121</f>
        <v>0</v>
      </c>
    </row>
    <row r="2122" spans="1:130" ht="14.95" hidden="1" customHeight="1" x14ac:dyDescent="0.25">
      <c r="A2122" s="141"/>
      <c r="B2122" s="439" t="s">
        <v>171</v>
      </c>
      <c r="C2122" s="440"/>
      <c r="D2122" s="440"/>
      <c r="E2122" s="440"/>
      <c r="F2122" s="440"/>
      <c r="G2122" s="440"/>
      <c r="H2122" s="440"/>
      <c r="I2122" s="440"/>
      <c r="J2122" s="440"/>
      <c r="K2122" s="440"/>
      <c r="L2122" s="440"/>
      <c r="M2122" s="440"/>
      <c r="N2122" s="440"/>
      <c r="O2122" s="440"/>
      <c r="P2122" s="440"/>
      <c r="Q2122" s="440"/>
      <c r="R2122" s="440"/>
      <c r="S2122" s="441"/>
      <c r="T2122" s="650">
        <f>+BE141</f>
        <v>2020</v>
      </c>
      <c r="U2122" s="391"/>
      <c r="V2122" s="391"/>
      <c r="W2122" s="391"/>
      <c r="X2122" s="391"/>
      <c r="Y2122" s="391"/>
      <c r="Z2122" s="391"/>
      <c r="AA2122" s="391"/>
      <c r="AB2122" s="391"/>
      <c r="AC2122" s="391"/>
      <c r="AD2122" s="391"/>
      <c r="AE2122" s="391"/>
      <c r="AF2122" s="391"/>
      <c r="AG2122" s="391"/>
      <c r="AH2122" s="391"/>
      <c r="AI2122" s="391"/>
      <c r="AJ2122" s="391"/>
      <c r="AK2122" s="391"/>
      <c r="AL2122" s="391"/>
      <c r="AM2122" s="391"/>
      <c r="AN2122" s="391"/>
      <c r="AO2122" s="391"/>
      <c r="AP2122" s="391"/>
      <c r="AQ2122" s="391"/>
      <c r="AR2122" s="391"/>
      <c r="AS2122" s="391"/>
      <c r="AT2122" s="391"/>
      <c r="AU2122" s="391"/>
      <c r="AV2122" s="391"/>
      <c r="AW2122" s="391"/>
      <c r="AX2122" s="391"/>
      <c r="AY2122" s="391"/>
      <c r="AZ2122" s="391"/>
      <c r="BA2122" s="391"/>
      <c r="BB2122" s="391"/>
      <c r="BC2122" s="391"/>
      <c r="BD2122" s="391"/>
      <c r="BE2122" s="391"/>
      <c r="BF2122" s="391"/>
      <c r="BG2122" s="391"/>
      <c r="BH2122" s="391"/>
      <c r="BI2122" s="391"/>
      <c r="BJ2122" s="391"/>
      <c r="BK2122" s="391"/>
      <c r="BL2122" s="391"/>
      <c r="BM2122" s="391"/>
      <c r="BN2122" s="391"/>
      <c r="BO2122" s="391"/>
      <c r="BP2122" s="391"/>
      <c r="BQ2122" s="391"/>
      <c r="BR2122" s="391"/>
      <c r="BS2122" s="391"/>
      <c r="BT2122" s="391"/>
      <c r="BU2122" s="391"/>
      <c r="BV2122" s="391"/>
      <c r="BW2122" s="391"/>
      <c r="BX2122" s="391"/>
      <c r="BY2122" s="391"/>
      <c r="BZ2122" s="392"/>
      <c r="CA2122" s="270"/>
      <c r="CB2122" s="3" t="str">
        <f t="shared" si="355"/>
        <v>Riadok bude skrytý.</v>
      </c>
      <c r="CC2122" s="271" t="s">
        <v>832</v>
      </c>
      <c r="CD2122" s="4"/>
      <c r="CW2122" s="30">
        <f t="shared" si="358"/>
        <v>1</v>
      </c>
      <c r="CX2122" s="30">
        <f t="shared" si="361"/>
        <v>1</v>
      </c>
      <c r="CZ2122" s="30">
        <f t="shared" si="353"/>
        <v>1</v>
      </c>
      <c r="DA2122" s="52">
        <f t="shared" si="362"/>
        <v>1</v>
      </c>
      <c r="DB2122" s="2">
        <f t="shared" si="351"/>
        <v>0</v>
      </c>
      <c r="DS2122" s="130">
        <f>SI!BY2122</f>
        <v>128</v>
      </c>
      <c r="DZ2122" s="131">
        <f>SI!BZ2122</f>
        <v>0</v>
      </c>
    </row>
    <row r="2123" spans="1:130" ht="14.95" hidden="1" customHeight="1" x14ac:dyDescent="0.25">
      <c r="A2123" s="141"/>
      <c r="B2123" s="1019"/>
      <c r="C2123" s="1020"/>
      <c r="D2123" s="1020"/>
      <c r="E2123" s="1020"/>
      <c r="F2123" s="1020"/>
      <c r="G2123" s="1020"/>
      <c r="H2123" s="1020"/>
      <c r="I2123" s="1020"/>
      <c r="J2123" s="1020"/>
      <c r="K2123" s="1020"/>
      <c r="L2123" s="1020"/>
      <c r="M2123" s="1020"/>
      <c r="N2123" s="1020"/>
      <c r="O2123" s="1020"/>
      <c r="P2123" s="1020"/>
      <c r="Q2123" s="1020"/>
      <c r="R2123" s="1020"/>
      <c r="S2123" s="1232"/>
      <c r="T2123" s="1592" t="s">
        <v>112</v>
      </c>
      <c r="U2123" s="1593"/>
      <c r="V2123" s="1593"/>
      <c r="W2123" s="1593"/>
      <c r="X2123" s="1593"/>
      <c r="Y2123" s="1593"/>
      <c r="Z2123" s="1593"/>
      <c r="AA2123" s="1593"/>
      <c r="AB2123" s="1593"/>
      <c r="AC2123" s="1593"/>
      <c r="AD2123" s="1593"/>
      <c r="AE2123" s="1593"/>
      <c r="AF2123" s="1594"/>
      <c r="AG2123" s="605" t="s">
        <v>261</v>
      </c>
      <c r="AH2123" s="606"/>
      <c r="AI2123" s="606"/>
      <c r="AJ2123" s="606"/>
      <c r="AK2123" s="606"/>
      <c r="AL2123" s="606"/>
      <c r="AM2123" s="606"/>
      <c r="AN2123" s="606"/>
      <c r="AO2123" s="606"/>
      <c r="AP2123" s="606"/>
      <c r="AQ2123" s="606"/>
      <c r="AR2123" s="607"/>
      <c r="AS2123" s="605" t="s">
        <v>262</v>
      </c>
      <c r="AT2123" s="606"/>
      <c r="AU2123" s="606"/>
      <c r="AV2123" s="606"/>
      <c r="AW2123" s="606"/>
      <c r="AX2123" s="606"/>
      <c r="AY2123" s="606"/>
      <c r="AZ2123" s="606"/>
      <c r="BA2123" s="606"/>
      <c r="BB2123" s="606"/>
      <c r="BC2123" s="607"/>
      <c r="BD2123" s="605" t="s">
        <v>263</v>
      </c>
      <c r="BE2123" s="606"/>
      <c r="BF2123" s="606"/>
      <c r="BG2123" s="606"/>
      <c r="BH2123" s="606"/>
      <c r="BI2123" s="606"/>
      <c r="BJ2123" s="606"/>
      <c r="BK2123" s="606"/>
      <c r="BL2123" s="606"/>
      <c r="BM2123" s="607"/>
      <c r="BN2123" s="543" t="s">
        <v>146</v>
      </c>
      <c r="BO2123" s="544"/>
      <c r="BP2123" s="544"/>
      <c r="BQ2123" s="544"/>
      <c r="BR2123" s="544"/>
      <c r="BS2123" s="544"/>
      <c r="BT2123" s="544"/>
      <c r="BU2123" s="544"/>
      <c r="BV2123" s="544"/>
      <c r="BW2123" s="544"/>
      <c r="BX2123" s="544"/>
      <c r="BY2123" s="544"/>
      <c r="BZ2123" s="545"/>
      <c r="CA2123" s="270"/>
      <c r="CB2123" s="3" t="str">
        <f t="shared" si="355"/>
        <v>Riadok bude skrytý.</v>
      </c>
      <c r="CC2123" s="271" t="s">
        <v>832</v>
      </c>
      <c r="CW2123" s="30">
        <f t="shared" si="358"/>
        <v>1</v>
      </c>
      <c r="CX2123" s="30">
        <f t="shared" si="361"/>
        <v>1</v>
      </c>
      <c r="CZ2123" s="30">
        <f t="shared" si="353"/>
        <v>1</v>
      </c>
      <c r="DA2123" s="52">
        <f t="shared" si="362"/>
        <v>1</v>
      </c>
      <c r="DB2123" s="2">
        <f t="shared" si="351"/>
        <v>0</v>
      </c>
      <c r="DS2123" s="130">
        <f>SI!BY2123</f>
        <v>749</v>
      </c>
      <c r="DZ2123" s="131">
        <f>SI!BZ2123</f>
        <v>0</v>
      </c>
    </row>
    <row r="2124" spans="1:130" hidden="1" x14ac:dyDescent="0.25">
      <c r="A2124" s="141"/>
      <c r="B2124" s="442"/>
      <c r="C2124" s="443"/>
      <c r="D2124" s="443"/>
      <c r="E2124" s="443"/>
      <c r="F2124" s="443"/>
      <c r="G2124" s="443"/>
      <c r="H2124" s="443"/>
      <c r="I2124" s="443"/>
      <c r="J2124" s="443"/>
      <c r="K2124" s="443"/>
      <c r="L2124" s="443"/>
      <c r="M2124" s="443"/>
      <c r="N2124" s="443"/>
      <c r="O2124" s="443"/>
      <c r="P2124" s="443"/>
      <c r="Q2124" s="443"/>
      <c r="R2124" s="443"/>
      <c r="S2124" s="444"/>
      <c r="T2124" s="1595"/>
      <c r="U2124" s="1596"/>
      <c r="V2124" s="1596"/>
      <c r="W2124" s="1596"/>
      <c r="X2124" s="1596"/>
      <c r="Y2124" s="1596"/>
      <c r="Z2124" s="1596"/>
      <c r="AA2124" s="1596"/>
      <c r="AB2124" s="1596"/>
      <c r="AC2124" s="1596"/>
      <c r="AD2124" s="1596"/>
      <c r="AE2124" s="1596"/>
      <c r="AF2124" s="1597"/>
      <c r="AG2124" s="608"/>
      <c r="AH2124" s="609"/>
      <c r="AI2124" s="609"/>
      <c r="AJ2124" s="609"/>
      <c r="AK2124" s="609"/>
      <c r="AL2124" s="609"/>
      <c r="AM2124" s="609"/>
      <c r="AN2124" s="609"/>
      <c r="AO2124" s="609"/>
      <c r="AP2124" s="609"/>
      <c r="AQ2124" s="609"/>
      <c r="AR2124" s="610"/>
      <c r="AS2124" s="608"/>
      <c r="AT2124" s="609"/>
      <c r="AU2124" s="609"/>
      <c r="AV2124" s="609"/>
      <c r="AW2124" s="609"/>
      <c r="AX2124" s="609"/>
      <c r="AY2124" s="609"/>
      <c r="AZ2124" s="609"/>
      <c r="BA2124" s="609"/>
      <c r="BB2124" s="609"/>
      <c r="BC2124" s="610"/>
      <c r="BD2124" s="608"/>
      <c r="BE2124" s="609"/>
      <c r="BF2124" s="609"/>
      <c r="BG2124" s="609"/>
      <c r="BH2124" s="609"/>
      <c r="BI2124" s="609"/>
      <c r="BJ2124" s="609"/>
      <c r="BK2124" s="609"/>
      <c r="BL2124" s="609"/>
      <c r="BM2124" s="610"/>
      <c r="BN2124" s="546"/>
      <c r="BO2124" s="547"/>
      <c r="BP2124" s="547"/>
      <c r="BQ2124" s="547"/>
      <c r="BR2124" s="547"/>
      <c r="BS2124" s="547"/>
      <c r="BT2124" s="547"/>
      <c r="BU2124" s="547"/>
      <c r="BV2124" s="547"/>
      <c r="BW2124" s="547"/>
      <c r="BX2124" s="547"/>
      <c r="BY2124" s="547"/>
      <c r="BZ2124" s="548"/>
      <c r="CA2124" s="270"/>
      <c r="CB2124" s="3" t="str">
        <f t="shared" si="355"/>
        <v>Riadok bude skrytý.</v>
      </c>
      <c r="CC2124" s="271" t="s">
        <v>832</v>
      </c>
      <c r="CD2124" s="4" t="s">
        <v>764</v>
      </c>
      <c r="CW2124" s="30">
        <f t="shared" si="358"/>
        <v>1</v>
      </c>
      <c r="CX2124" s="30">
        <f t="shared" si="361"/>
        <v>1</v>
      </c>
      <c r="CZ2124" s="30">
        <f t="shared" si="353"/>
        <v>1</v>
      </c>
      <c r="DA2124" s="52">
        <f t="shared" si="362"/>
        <v>1</v>
      </c>
      <c r="DB2124" s="2">
        <f t="shared" si="351"/>
        <v>0</v>
      </c>
      <c r="DS2124" s="130">
        <f>SI!BY2124</f>
        <v>127</v>
      </c>
      <c r="DZ2124" s="131">
        <f>SI!BZ2124</f>
        <v>0</v>
      </c>
    </row>
    <row r="2125" spans="1:130" hidden="1" x14ac:dyDescent="0.25">
      <c r="A2125" s="141"/>
      <c r="B2125" s="524" t="s">
        <v>0</v>
      </c>
      <c r="C2125" s="525"/>
      <c r="D2125" s="525"/>
      <c r="E2125" s="525"/>
      <c r="F2125" s="525"/>
      <c r="G2125" s="525"/>
      <c r="H2125" s="525"/>
      <c r="I2125" s="525"/>
      <c r="J2125" s="525"/>
      <c r="K2125" s="525"/>
      <c r="L2125" s="525"/>
      <c r="M2125" s="525"/>
      <c r="N2125" s="525"/>
      <c r="O2125" s="525"/>
      <c r="P2125" s="525"/>
      <c r="Q2125" s="525"/>
      <c r="R2125" s="525"/>
      <c r="S2125" s="723"/>
      <c r="T2125" s="524" t="s">
        <v>1</v>
      </c>
      <c r="U2125" s="525"/>
      <c r="V2125" s="525"/>
      <c r="W2125" s="525"/>
      <c r="X2125" s="525"/>
      <c r="Y2125" s="525"/>
      <c r="Z2125" s="525"/>
      <c r="AA2125" s="525"/>
      <c r="AB2125" s="525"/>
      <c r="AC2125" s="525"/>
      <c r="AD2125" s="525"/>
      <c r="AE2125" s="525"/>
      <c r="AF2125" s="723"/>
      <c r="AG2125" s="524" t="s">
        <v>2</v>
      </c>
      <c r="AH2125" s="525"/>
      <c r="AI2125" s="525"/>
      <c r="AJ2125" s="525"/>
      <c r="AK2125" s="525"/>
      <c r="AL2125" s="525"/>
      <c r="AM2125" s="525"/>
      <c r="AN2125" s="525"/>
      <c r="AO2125" s="525"/>
      <c r="AP2125" s="525"/>
      <c r="AQ2125" s="525"/>
      <c r="AR2125" s="723"/>
      <c r="AS2125" s="524" t="s">
        <v>28</v>
      </c>
      <c r="AT2125" s="525"/>
      <c r="AU2125" s="525"/>
      <c r="AV2125" s="525"/>
      <c r="AW2125" s="525"/>
      <c r="AX2125" s="525"/>
      <c r="AY2125" s="525"/>
      <c r="AZ2125" s="525"/>
      <c r="BA2125" s="525"/>
      <c r="BB2125" s="525"/>
      <c r="BC2125" s="723"/>
      <c r="BD2125" s="524" t="s">
        <v>29</v>
      </c>
      <c r="BE2125" s="525"/>
      <c r="BF2125" s="525"/>
      <c r="BG2125" s="525"/>
      <c r="BH2125" s="525"/>
      <c r="BI2125" s="525"/>
      <c r="BJ2125" s="525"/>
      <c r="BK2125" s="525"/>
      <c r="BL2125" s="525"/>
      <c r="BM2125" s="723"/>
      <c r="BN2125" s="524" t="s">
        <v>103</v>
      </c>
      <c r="BO2125" s="525"/>
      <c r="BP2125" s="525"/>
      <c r="BQ2125" s="525"/>
      <c r="BR2125" s="525"/>
      <c r="BS2125" s="525"/>
      <c r="BT2125" s="525"/>
      <c r="BU2125" s="525"/>
      <c r="BV2125" s="525"/>
      <c r="BW2125" s="525"/>
      <c r="BX2125" s="525"/>
      <c r="BY2125" s="525"/>
      <c r="BZ2125" s="723"/>
      <c r="CA2125" s="270"/>
      <c r="CB2125" s="3" t="str">
        <f t="shared" si="355"/>
        <v>Riadok bude skrytý.</v>
      </c>
      <c r="CC2125" s="271" t="s">
        <v>832</v>
      </c>
      <c r="CW2125" s="30">
        <f t="shared" si="358"/>
        <v>1</v>
      </c>
      <c r="CX2125" s="30">
        <f t="shared" si="361"/>
        <v>1</v>
      </c>
      <c r="CZ2125" s="30">
        <f t="shared" si="353"/>
        <v>1</v>
      </c>
      <c r="DA2125" s="52">
        <f t="shared" si="362"/>
        <v>1</v>
      </c>
      <c r="DB2125" s="2">
        <f t="shared" si="351"/>
        <v>0</v>
      </c>
      <c r="DS2125" s="130">
        <f>SI!BY2125</f>
        <v>548</v>
      </c>
      <c r="DZ2125" s="131">
        <f>SI!BZ2125</f>
        <v>0</v>
      </c>
    </row>
    <row r="2126" spans="1:130" ht="14.95" hidden="1" customHeight="1" x14ac:dyDescent="0.25">
      <c r="A2126" s="141"/>
      <c r="B2126" s="1588" t="s">
        <v>264</v>
      </c>
      <c r="C2126" s="1589"/>
      <c r="D2126" s="1589"/>
      <c r="E2126" s="1589"/>
      <c r="F2126" s="1589"/>
      <c r="G2126" s="1589"/>
      <c r="H2126" s="1589"/>
      <c r="I2126" s="1589"/>
      <c r="J2126" s="1589"/>
      <c r="K2126" s="1589"/>
      <c r="L2126" s="1589"/>
      <c r="M2126" s="1589"/>
      <c r="N2126" s="1589"/>
      <c r="O2126" s="1589"/>
      <c r="P2126" s="1589"/>
      <c r="Q2126" s="1589"/>
      <c r="R2126" s="1589"/>
      <c r="S2126" s="1590"/>
      <c r="T2126" s="423">
        <f>+SUM(T2127:AF2136)</f>
        <v>0</v>
      </c>
      <c r="U2126" s="424"/>
      <c r="V2126" s="424"/>
      <c r="W2126" s="424"/>
      <c r="X2126" s="424"/>
      <c r="Y2126" s="424"/>
      <c r="Z2126" s="424"/>
      <c r="AA2126" s="424"/>
      <c r="AB2126" s="424"/>
      <c r="AC2126" s="424"/>
      <c r="AD2126" s="424"/>
      <c r="AE2126" s="424"/>
      <c r="AF2126" s="425"/>
      <c r="AG2126" s="423">
        <f>+SUM(AG2127:AR2136)</f>
        <v>0</v>
      </c>
      <c r="AH2126" s="424"/>
      <c r="AI2126" s="424"/>
      <c r="AJ2126" s="424"/>
      <c r="AK2126" s="424"/>
      <c r="AL2126" s="424"/>
      <c r="AM2126" s="424"/>
      <c r="AN2126" s="424"/>
      <c r="AO2126" s="424"/>
      <c r="AP2126" s="424"/>
      <c r="AQ2126" s="424"/>
      <c r="AR2126" s="425"/>
      <c r="AS2126" s="423">
        <f>+SUM(AS2127:BC2136)</f>
        <v>0</v>
      </c>
      <c r="AT2126" s="424"/>
      <c r="AU2126" s="424"/>
      <c r="AV2126" s="424"/>
      <c r="AW2126" s="424"/>
      <c r="AX2126" s="424"/>
      <c r="AY2126" s="424"/>
      <c r="AZ2126" s="424"/>
      <c r="BA2126" s="424"/>
      <c r="BB2126" s="424"/>
      <c r="BC2126" s="425"/>
      <c r="BD2126" s="423">
        <f>+SUM(BD2127:BM2136)</f>
        <v>0</v>
      </c>
      <c r="BE2126" s="424"/>
      <c r="BF2126" s="424"/>
      <c r="BG2126" s="424"/>
      <c r="BH2126" s="424"/>
      <c r="BI2126" s="424"/>
      <c r="BJ2126" s="424"/>
      <c r="BK2126" s="424"/>
      <c r="BL2126" s="424"/>
      <c r="BM2126" s="425"/>
      <c r="BN2126" s="423">
        <f t="shared" ref="BN2126:BN2147" si="363">+SUM(T2126:BM2126)</f>
        <v>0</v>
      </c>
      <c r="BO2126" s="424"/>
      <c r="BP2126" s="424"/>
      <c r="BQ2126" s="424"/>
      <c r="BR2126" s="424"/>
      <c r="BS2126" s="424"/>
      <c r="BT2126" s="424"/>
      <c r="BU2126" s="424"/>
      <c r="BV2126" s="424"/>
      <c r="BW2126" s="424"/>
      <c r="BX2126" s="424"/>
      <c r="BY2126" s="424"/>
      <c r="BZ2126" s="425"/>
      <c r="CA2126" s="270"/>
      <c r="CB2126" s="3" t="str">
        <f t="shared" si="355"/>
        <v>Riadok bude skrytý.</v>
      </c>
      <c r="CC2126" s="271" t="s">
        <v>832</v>
      </c>
      <c r="CD2126" s="4" t="s">
        <v>835</v>
      </c>
      <c r="CW2126" s="30">
        <f t="shared" si="358"/>
        <v>1</v>
      </c>
      <c r="CX2126" s="30">
        <f t="shared" si="361"/>
        <v>1</v>
      </c>
      <c r="CZ2126" s="30">
        <f t="shared" si="353"/>
        <v>1</v>
      </c>
      <c r="DA2126" s="52">
        <f t="shared" si="362"/>
        <v>1</v>
      </c>
      <c r="DB2126" s="2">
        <f t="shared" si="351"/>
        <v>0</v>
      </c>
      <c r="DS2126" s="130">
        <f>SI!BY2126</f>
        <v>144</v>
      </c>
      <c r="DZ2126" s="131">
        <f>SI!BZ2126</f>
        <v>0</v>
      </c>
    </row>
    <row r="2127" spans="1:130" ht="14.95" hidden="1" customHeight="1" x14ac:dyDescent="0.25">
      <c r="A2127" s="141"/>
      <c r="B2127" s="1585"/>
      <c r="C2127" s="1586"/>
      <c r="D2127" s="1586"/>
      <c r="E2127" s="1586"/>
      <c r="F2127" s="1586"/>
      <c r="G2127" s="1586"/>
      <c r="H2127" s="1586"/>
      <c r="I2127" s="1586"/>
      <c r="J2127" s="1586"/>
      <c r="K2127" s="1586"/>
      <c r="L2127" s="1586"/>
      <c r="M2127" s="1586"/>
      <c r="N2127" s="1586"/>
      <c r="O2127" s="1586"/>
      <c r="P2127" s="1586"/>
      <c r="Q2127" s="1586"/>
      <c r="R2127" s="1586"/>
      <c r="S2127" s="1587"/>
      <c r="T2127" s="417"/>
      <c r="U2127" s="418"/>
      <c r="V2127" s="418"/>
      <c r="W2127" s="418"/>
      <c r="X2127" s="418"/>
      <c r="Y2127" s="418"/>
      <c r="Z2127" s="418"/>
      <c r="AA2127" s="418"/>
      <c r="AB2127" s="418"/>
      <c r="AC2127" s="418"/>
      <c r="AD2127" s="418"/>
      <c r="AE2127" s="418"/>
      <c r="AF2127" s="419"/>
      <c r="AG2127" s="417"/>
      <c r="AH2127" s="418"/>
      <c r="AI2127" s="418"/>
      <c r="AJ2127" s="418"/>
      <c r="AK2127" s="418"/>
      <c r="AL2127" s="418"/>
      <c r="AM2127" s="418"/>
      <c r="AN2127" s="418"/>
      <c r="AO2127" s="418"/>
      <c r="AP2127" s="418"/>
      <c r="AQ2127" s="418"/>
      <c r="AR2127" s="419"/>
      <c r="AS2127" s="417"/>
      <c r="AT2127" s="418"/>
      <c r="AU2127" s="418"/>
      <c r="AV2127" s="418"/>
      <c r="AW2127" s="418"/>
      <c r="AX2127" s="418"/>
      <c r="AY2127" s="418"/>
      <c r="AZ2127" s="418"/>
      <c r="BA2127" s="418"/>
      <c r="BB2127" s="418"/>
      <c r="BC2127" s="419"/>
      <c r="BD2127" s="417"/>
      <c r="BE2127" s="418"/>
      <c r="BF2127" s="418"/>
      <c r="BG2127" s="418"/>
      <c r="BH2127" s="418"/>
      <c r="BI2127" s="418"/>
      <c r="BJ2127" s="418"/>
      <c r="BK2127" s="418"/>
      <c r="BL2127" s="418"/>
      <c r="BM2127" s="419"/>
      <c r="BN2127" s="1222">
        <f t="shared" si="363"/>
        <v>0</v>
      </c>
      <c r="BO2127" s="1223"/>
      <c r="BP2127" s="1223"/>
      <c r="BQ2127" s="1223"/>
      <c r="BR2127" s="1223"/>
      <c r="BS2127" s="1223"/>
      <c r="BT2127" s="1223"/>
      <c r="BU2127" s="1223"/>
      <c r="BV2127" s="1223"/>
      <c r="BW2127" s="1223"/>
      <c r="BX2127" s="1223"/>
      <c r="BY2127" s="1223"/>
      <c r="BZ2127" s="1224"/>
      <c r="CA2127" s="270"/>
      <c r="CB2127" s="3" t="str">
        <f t="shared" si="355"/>
        <v>Riadok bude skrytý.</v>
      </c>
      <c r="CC2127" s="271" t="s">
        <v>832</v>
      </c>
      <c r="CW2127" s="30">
        <f t="shared" si="358"/>
        <v>1</v>
      </c>
      <c r="CX2127" s="30">
        <f t="shared" si="361"/>
        <v>1</v>
      </c>
      <c r="CZ2127" s="30">
        <f t="shared" si="353"/>
        <v>1</v>
      </c>
      <c r="DA2127" s="52">
        <f t="shared" si="362"/>
        <v>1</v>
      </c>
      <c r="DB2127" s="2">
        <f t="shared" si="351"/>
        <v>0</v>
      </c>
      <c r="DS2127" s="130">
        <f>SI!BY2127</f>
        <v>198</v>
      </c>
      <c r="DZ2127" s="131">
        <f>SI!BZ2127</f>
        <v>0</v>
      </c>
    </row>
    <row r="2128" spans="1:130" ht="14.95" hidden="1" customHeight="1" x14ac:dyDescent="0.25">
      <c r="A2128" s="141"/>
      <c r="B2128" s="1225"/>
      <c r="C2128" s="1226"/>
      <c r="D2128" s="1226"/>
      <c r="E2128" s="1226"/>
      <c r="F2128" s="1226"/>
      <c r="G2128" s="1226"/>
      <c r="H2128" s="1226"/>
      <c r="I2128" s="1226"/>
      <c r="J2128" s="1226"/>
      <c r="K2128" s="1226"/>
      <c r="L2128" s="1226"/>
      <c r="M2128" s="1226"/>
      <c r="N2128" s="1226"/>
      <c r="O2128" s="1226"/>
      <c r="P2128" s="1226"/>
      <c r="Q2128" s="1226"/>
      <c r="R2128" s="1226"/>
      <c r="S2128" s="1227"/>
      <c r="T2128" s="511"/>
      <c r="U2128" s="482"/>
      <c r="V2128" s="482"/>
      <c r="W2128" s="482"/>
      <c r="X2128" s="482"/>
      <c r="Y2128" s="482"/>
      <c r="Z2128" s="482"/>
      <c r="AA2128" s="482"/>
      <c r="AB2128" s="482"/>
      <c r="AC2128" s="482"/>
      <c r="AD2128" s="482"/>
      <c r="AE2128" s="482"/>
      <c r="AF2128" s="483"/>
      <c r="AG2128" s="511"/>
      <c r="AH2128" s="482"/>
      <c r="AI2128" s="482"/>
      <c r="AJ2128" s="482"/>
      <c r="AK2128" s="482"/>
      <c r="AL2128" s="482"/>
      <c r="AM2128" s="482"/>
      <c r="AN2128" s="482"/>
      <c r="AO2128" s="482"/>
      <c r="AP2128" s="482"/>
      <c r="AQ2128" s="482"/>
      <c r="AR2128" s="483"/>
      <c r="AS2128" s="511"/>
      <c r="AT2128" s="482"/>
      <c r="AU2128" s="482"/>
      <c r="AV2128" s="482"/>
      <c r="AW2128" s="482"/>
      <c r="AX2128" s="482"/>
      <c r="AY2128" s="482"/>
      <c r="AZ2128" s="482"/>
      <c r="BA2128" s="482"/>
      <c r="BB2128" s="482"/>
      <c r="BC2128" s="483"/>
      <c r="BD2128" s="511"/>
      <c r="BE2128" s="482"/>
      <c r="BF2128" s="482"/>
      <c r="BG2128" s="482"/>
      <c r="BH2128" s="482"/>
      <c r="BI2128" s="482"/>
      <c r="BJ2128" s="482"/>
      <c r="BK2128" s="482"/>
      <c r="BL2128" s="482"/>
      <c r="BM2128" s="483"/>
      <c r="BN2128" s="398">
        <f t="shared" si="363"/>
        <v>0</v>
      </c>
      <c r="BO2128" s="399"/>
      <c r="BP2128" s="399"/>
      <c r="BQ2128" s="399"/>
      <c r="BR2128" s="399"/>
      <c r="BS2128" s="399"/>
      <c r="BT2128" s="399"/>
      <c r="BU2128" s="399"/>
      <c r="BV2128" s="399"/>
      <c r="BW2128" s="399"/>
      <c r="BX2128" s="399"/>
      <c r="BY2128" s="399"/>
      <c r="BZ2128" s="400"/>
      <c r="CA2128" s="270"/>
      <c r="CB2128" s="3" t="str">
        <f t="shared" si="355"/>
        <v>Riadok bude skrytý.</v>
      </c>
      <c r="CC2128" s="271" t="s">
        <v>832</v>
      </c>
      <c r="CW2128" s="30">
        <f t="shared" si="358"/>
        <v>1</v>
      </c>
      <c r="CX2128" s="30">
        <f t="shared" si="361"/>
        <v>1</v>
      </c>
      <c r="CY2128" s="30">
        <f t="shared" ref="CY2128:CY2135" si="364">+IF(B2128="",0,1)</f>
        <v>0</v>
      </c>
      <c r="CZ2128" s="30">
        <f t="shared" si="353"/>
        <v>1</v>
      </c>
      <c r="DA2128" s="53">
        <f>+IF(CW2128*CX2128*CY2128=0,0,IF(CZ2128=0,0,1))</f>
        <v>0</v>
      </c>
      <c r="DB2128" s="2">
        <f t="shared" si="351"/>
        <v>0</v>
      </c>
      <c r="DS2128" s="130">
        <f>SI!BY2128</f>
        <v>160</v>
      </c>
      <c r="DZ2128" s="131">
        <f>SI!BZ2128</f>
        <v>0</v>
      </c>
    </row>
    <row r="2129" spans="1:130" ht="14.95" hidden="1" customHeight="1" x14ac:dyDescent="0.25">
      <c r="A2129" s="141"/>
      <c r="B2129" s="1225"/>
      <c r="C2129" s="1226"/>
      <c r="D2129" s="1226"/>
      <c r="E2129" s="1226"/>
      <c r="F2129" s="1226"/>
      <c r="G2129" s="1226"/>
      <c r="H2129" s="1226"/>
      <c r="I2129" s="1226"/>
      <c r="J2129" s="1226"/>
      <c r="K2129" s="1226"/>
      <c r="L2129" s="1226"/>
      <c r="M2129" s="1226"/>
      <c r="N2129" s="1226"/>
      <c r="O2129" s="1226"/>
      <c r="P2129" s="1226"/>
      <c r="Q2129" s="1226"/>
      <c r="R2129" s="1226"/>
      <c r="S2129" s="1227"/>
      <c r="T2129" s="511"/>
      <c r="U2129" s="482"/>
      <c r="V2129" s="482"/>
      <c r="W2129" s="482"/>
      <c r="X2129" s="482"/>
      <c r="Y2129" s="482"/>
      <c r="Z2129" s="482"/>
      <c r="AA2129" s="482"/>
      <c r="AB2129" s="482"/>
      <c r="AC2129" s="482"/>
      <c r="AD2129" s="482"/>
      <c r="AE2129" s="482"/>
      <c r="AF2129" s="483"/>
      <c r="AG2129" s="511"/>
      <c r="AH2129" s="482"/>
      <c r="AI2129" s="482"/>
      <c r="AJ2129" s="482"/>
      <c r="AK2129" s="482"/>
      <c r="AL2129" s="482"/>
      <c r="AM2129" s="482"/>
      <c r="AN2129" s="482"/>
      <c r="AO2129" s="482"/>
      <c r="AP2129" s="482"/>
      <c r="AQ2129" s="482"/>
      <c r="AR2129" s="483"/>
      <c r="AS2129" s="511"/>
      <c r="AT2129" s="482"/>
      <c r="AU2129" s="482"/>
      <c r="AV2129" s="482"/>
      <c r="AW2129" s="482"/>
      <c r="AX2129" s="482"/>
      <c r="AY2129" s="482"/>
      <c r="AZ2129" s="482"/>
      <c r="BA2129" s="482"/>
      <c r="BB2129" s="482"/>
      <c r="BC2129" s="483"/>
      <c r="BD2129" s="511"/>
      <c r="BE2129" s="482"/>
      <c r="BF2129" s="482"/>
      <c r="BG2129" s="482"/>
      <c r="BH2129" s="482"/>
      <c r="BI2129" s="482"/>
      <c r="BJ2129" s="482"/>
      <c r="BK2129" s="482"/>
      <c r="BL2129" s="482"/>
      <c r="BM2129" s="483"/>
      <c r="BN2129" s="398">
        <f t="shared" si="363"/>
        <v>0</v>
      </c>
      <c r="BO2129" s="399"/>
      <c r="BP2129" s="399"/>
      <c r="BQ2129" s="399"/>
      <c r="BR2129" s="399"/>
      <c r="BS2129" s="399"/>
      <c r="BT2129" s="399"/>
      <c r="BU2129" s="399"/>
      <c r="BV2129" s="399"/>
      <c r="BW2129" s="399"/>
      <c r="BX2129" s="399"/>
      <c r="BY2129" s="399"/>
      <c r="BZ2129" s="400"/>
      <c r="CA2129" s="270"/>
      <c r="CB2129" s="3" t="str">
        <f t="shared" si="355"/>
        <v>Riadok bude skrytý.</v>
      </c>
      <c r="CC2129" s="271" t="s">
        <v>832</v>
      </c>
      <c r="CW2129" s="30">
        <f t="shared" si="358"/>
        <v>1</v>
      </c>
      <c r="CX2129" s="30">
        <f t="shared" si="361"/>
        <v>1</v>
      </c>
      <c r="CY2129" s="30">
        <f t="shared" si="364"/>
        <v>0</v>
      </c>
      <c r="CZ2129" s="30">
        <f t="shared" si="353"/>
        <v>1</v>
      </c>
      <c r="DA2129" s="53">
        <f t="shared" ref="DA2129:DA2135" si="365">+IF(CW2129*CX2129*CY2129=0,0,IF(CZ2129=0,0,1))</f>
        <v>0</v>
      </c>
      <c r="DB2129" s="2">
        <f t="shared" si="351"/>
        <v>0</v>
      </c>
      <c r="DS2129" s="130">
        <f>SI!BY2129</f>
        <v>963</v>
      </c>
      <c r="DZ2129" s="131">
        <f>SI!BZ2129</f>
        <v>0</v>
      </c>
    </row>
    <row r="2130" spans="1:130" ht="14.95" hidden="1" customHeight="1" x14ac:dyDescent="0.25">
      <c r="A2130" s="141"/>
      <c r="B2130" s="1225"/>
      <c r="C2130" s="1226"/>
      <c r="D2130" s="1226"/>
      <c r="E2130" s="1226"/>
      <c r="F2130" s="1226"/>
      <c r="G2130" s="1226"/>
      <c r="H2130" s="1226"/>
      <c r="I2130" s="1226"/>
      <c r="J2130" s="1226"/>
      <c r="K2130" s="1226"/>
      <c r="L2130" s="1226"/>
      <c r="M2130" s="1226"/>
      <c r="N2130" s="1226"/>
      <c r="O2130" s="1226"/>
      <c r="P2130" s="1226"/>
      <c r="Q2130" s="1226"/>
      <c r="R2130" s="1226"/>
      <c r="S2130" s="1227"/>
      <c r="T2130" s="511"/>
      <c r="U2130" s="482"/>
      <c r="V2130" s="482"/>
      <c r="W2130" s="482"/>
      <c r="X2130" s="482"/>
      <c r="Y2130" s="482"/>
      <c r="Z2130" s="482"/>
      <c r="AA2130" s="482"/>
      <c r="AB2130" s="482"/>
      <c r="AC2130" s="482"/>
      <c r="AD2130" s="482"/>
      <c r="AE2130" s="482"/>
      <c r="AF2130" s="483"/>
      <c r="AG2130" s="511"/>
      <c r="AH2130" s="482"/>
      <c r="AI2130" s="482"/>
      <c r="AJ2130" s="482"/>
      <c r="AK2130" s="482"/>
      <c r="AL2130" s="482"/>
      <c r="AM2130" s="482"/>
      <c r="AN2130" s="482"/>
      <c r="AO2130" s="482"/>
      <c r="AP2130" s="482"/>
      <c r="AQ2130" s="482"/>
      <c r="AR2130" s="483"/>
      <c r="AS2130" s="511"/>
      <c r="AT2130" s="482"/>
      <c r="AU2130" s="482"/>
      <c r="AV2130" s="482"/>
      <c r="AW2130" s="482"/>
      <c r="AX2130" s="482"/>
      <c r="AY2130" s="482"/>
      <c r="AZ2130" s="482"/>
      <c r="BA2130" s="482"/>
      <c r="BB2130" s="482"/>
      <c r="BC2130" s="483"/>
      <c r="BD2130" s="511"/>
      <c r="BE2130" s="482"/>
      <c r="BF2130" s="482"/>
      <c r="BG2130" s="482"/>
      <c r="BH2130" s="482"/>
      <c r="BI2130" s="482"/>
      <c r="BJ2130" s="482"/>
      <c r="BK2130" s="482"/>
      <c r="BL2130" s="482"/>
      <c r="BM2130" s="483"/>
      <c r="BN2130" s="398">
        <f t="shared" si="363"/>
        <v>0</v>
      </c>
      <c r="BO2130" s="399"/>
      <c r="BP2130" s="399"/>
      <c r="BQ2130" s="399"/>
      <c r="BR2130" s="399"/>
      <c r="BS2130" s="399"/>
      <c r="BT2130" s="399"/>
      <c r="BU2130" s="399"/>
      <c r="BV2130" s="399"/>
      <c r="BW2130" s="399"/>
      <c r="BX2130" s="399"/>
      <c r="BY2130" s="399"/>
      <c r="BZ2130" s="400"/>
      <c r="CA2130" s="270"/>
      <c r="CB2130" s="3" t="str">
        <f t="shared" si="355"/>
        <v>Riadok bude skrytý.</v>
      </c>
      <c r="CC2130" s="271" t="s">
        <v>832</v>
      </c>
      <c r="CW2130" s="30">
        <f t="shared" si="358"/>
        <v>1</v>
      </c>
      <c r="CX2130" s="30">
        <f t="shared" si="361"/>
        <v>1</v>
      </c>
      <c r="CY2130" s="30">
        <f t="shared" si="364"/>
        <v>0</v>
      </c>
      <c r="CZ2130" s="30">
        <f t="shared" si="353"/>
        <v>1</v>
      </c>
      <c r="DA2130" s="53">
        <f t="shared" si="365"/>
        <v>0</v>
      </c>
      <c r="DB2130" s="2">
        <f t="shared" si="351"/>
        <v>0</v>
      </c>
      <c r="DS2130" s="130">
        <f>SI!BY2130</f>
        <v>124</v>
      </c>
      <c r="DZ2130" s="131">
        <f>SI!BZ2130</f>
        <v>0</v>
      </c>
    </row>
    <row r="2131" spans="1:130" ht="14.95" hidden="1" customHeight="1" x14ac:dyDescent="0.25">
      <c r="A2131" s="141"/>
      <c r="B2131" s="1225"/>
      <c r="C2131" s="1226"/>
      <c r="D2131" s="1226"/>
      <c r="E2131" s="1226"/>
      <c r="F2131" s="1226"/>
      <c r="G2131" s="1226"/>
      <c r="H2131" s="1226"/>
      <c r="I2131" s="1226"/>
      <c r="J2131" s="1226"/>
      <c r="K2131" s="1226"/>
      <c r="L2131" s="1226"/>
      <c r="M2131" s="1226"/>
      <c r="N2131" s="1226"/>
      <c r="O2131" s="1226"/>
      <c r="P2131" s="1226"/>
      <c r="Q2131" s="1226"/>
      <c r="R2131" s="1226"/>
      <c r="S2131" s="1227"/>
      <c r="T2131" s="511"/>
      <c r="U2131" s="482"/>
      <c r="V2131" s="482"/>
      <c r="W2131" s="482"/>
      <c r="X2131" s="482"/>
      <c r="Y2131" s="482"/>
      <c r="Z2131" s="482"/>
      <c r="AA2131" s="482"/>
      <c r="AB2131" s="482"/>
      <c r="AC2131" s="482"/>
      <c r="AD2131" s="482"/>
      <c r="AE2131" s="482"/>
      <c r="AF2131" s="483"/>
      <c r="AG2131" s="511"/>
      <c r="AH2131" s="482"/>
      <c r="AI2131" s="482"/>
      <c r="AJ2131" s="482"/>
      <c r="AK2131" s="482"/>
      <c r="AL2131" s="482"/>
      <c r="AM2131" s="482"/>
      <c r="AN2131" s="482"/>
      <c r="AO2131" s="482"/>
      <c r="AP2131" s="482"/>
      <c r="AQ2131" s="482"/>
      <c r="AR2131" s="483"/>
      <c r="AS2131" s="511"/>
      <c r="AT2131" s="482"/>
      <c r="AU2131" s="482"/>
      <c r="AV2131" s="482"/>
      <c r="AW2131" s="482"/>
      <c r="AX2131" s="482"/>
      <c r="AY2131" s="482"/>
      <c r="AZ2131" s="482"/>
      <c r="BA2131" s="482"/>
      <c r="BB2131" s="482"/>
      <c r="BC2131" s="483"/>
      <c r="BD2131" s="511"/>
      <c r="BE2131" s="482"/>
      <c r="BF2131" s="482"/>
      <c r="BG2131" s="482"/>
      <c r="BH2131" s="482"/>
      <c r="BI2131" s="482"/>
      <c r="BJ2131" s="482"/>
      <c r="BK2131" s="482"/>
      <c r="BL2131" s="482"/>
      <c r="BM2131" s="483"/>
      <c r="BN2131" s="398">
        <f t="shared" si="363"/>
        <v>0</v>
      </c>
      <c r="BO2131" s="399"/>
      <c r="BP2131" s="399"/>
      <c r="BQ2131" s="399"/>
      <c r="BR2131" s="399"/>
      <c r="BS2131" s="399"/>
      <c r="BT2131" s="399"/>
      <c r="BU2131" s="399"/>
      <c r="BV2131" s="399"/>
      <c r="BW2131" s="399"/>
      <c r="BX2131" s="399"/>
      <c r="BY2131" s="399"/>
      <c r="BZ2131" s="400"/>
      <c r="CA2131" s="270"/>
      <c r="CB2131" s="3" t="str">
        <f t="shared" si="355"/>
        <v>Riadok bude skrytý.</v>
      </c>
      <c r="CC2131" s="271" t="s">
        <v>832</v>
      </c>
      <c r="CW2131" s="30">
        <f t="shared" si="358"/>
        <v>1</v>
      </c>
      <c r="CX2131" s="30">
        <f t="shared" si="361"/>
        <v>1</v>
      </c>
      <c r="CY2131" s="30">
        <f t="shared" si="364"/>
        <v>0</v>
      </c>
      <c r="CZ2131" s="30">
        <f t="shared" si="353"/>
        <v>1</v>
      </c>
      <c r="DA2131" s="53">
        <f t="shared" si="365"/>
        <v>0</v>
      </c>
      <c r="DB2131" s="2">
        <f t="shared" si="351"/>
        <v>0</v>
      </c>
      <c r="DS2131" s="130">
        <f>SI!BY2131</f>
        <v>891</v>
      </c>
      <c r="DZ2131" s="131">
        <f>SI!BZ2131</f>
        <v>0</v>
      </c>
    </row>
    <row r="2132" spans="1:130" ht="14.95" hidden="1" customHeight="1" x14ac:dyDescent="0.25">
      <c r="A2132" s="141"/>
      <c r="B2132" s="1225"/>
      <c r="C2132" s="1226"/>
      <c r="D2132" s="1226"/>
      <c r="E2132" s="1226"/>
      <c r="F2132" s="1226"/>
      <c r="G2132" s="1226"/>
      <c r="H2132" s="1226"/>
      <c r="I2132" s="1226"/>
      <c r="J2132" s="1226"/>
      <c r="K2132" s="1226"/>
      <c r="L2132" s="1226"/>
      <c r="M2132" s="1226"/>
      <c r="N2132" s="1226"/>
      <c r="O2132" s="1226"/>
      <c r="P2132" s="1226"/>
      <c r="Q2132" s="1226"/>
      <c r="R2132" s="1226"/>
      <c r="S2132" s="1227"/>
      <c r="T2132" s="511"/>
      <c r="U2132" s="482"/>
      <c r="V2132" s="482"/>
      <c r="W2132" s="482"/>
      <c r="X2132" s="482"/>
      <c r="Y2132" s="482"/>
      <c r="Z2132" s="482"/>
      <c r="AA2132" s="482"/>
      <c r="AB2132" s="482"/>
      <c r="AC2132" s="482"/>
      <c r="AD2132" s="482"/>
      <c r="AE2132" s="482"/>
      <c r="AF2132" s="483"/>
      <c r="AG2132" s="511"/>
      <c r="AH2132" s="482"/>
      <c r="AI2132" s="482"/>
      <c r="AJ2132" s="482"/>
      <c r="AK2132" s="482"/>
      <c r="AL2132" s="482"/>
      <c r="AM2132" s="482"/>
      <c r="AN2132" s="482"/>
      <c r="AO2132" s="482"/>
      <c r="AP2132" s="482"/>
      <c r="AQ2132" s="482"/>
      <c r="AR2132" s="483"/>
      <c r="AS2132" s="511"/>
      <c r="AT2132" s="482"/>
      <c r="AU2132" s="482"/>
      <c r="AV2132" s="482"/>
      <c r="AW2132" s="482"/>
      <c r="AX2132" s="482"/>
      <c r="AY2132" s="482"/>
      <c r="AZ2132" s="482"/>
      <c r="BA2132" s="482"/>
      <c r="BB2132" s="482"/>
      <c r="BC2132" s="483"/>
      <c r="BD2132" s="511"/>
      <c r="BE2132" s="482"/>
      <c r="BF2132" s="482"/>
      <c r="BG2132" s="482"/>
      <c r="BH2132" s="482"/>
      <c r="BI2132" s="482"/>
      <c r="BJ2132" s="482"/>
      <c r="BK2132" s="482"/>
      <c r="BL2132" s="482"/>
      <c r="BM2132" s="483"/>
      <c r="BN2132" s="398">
        <f t="shared" si="363"/>
        <v>0</v>
      </c>
      <c r="BO2132" s="399"/>
      <c r="BP2132" s="399"/>
      <c r="BQ2132" s="399"/>
      <c r="BR2132" s="399"/>
      <c r="BS2132" s="399"/>
      <c r="BT2132" s="399"/>
      <c r="BU2132" s="399"/>
      <c r="BV2132" s="399"/>
      <c r="BW2132" s="399"/>
      <c r="BX2132" s="399"/>
      <c r="BY2132" s="399"/>
      <c r="BZ2132" s="400"/>
      <c r="CA2132" s="270"/>
      <c r="CB2132" s="3" t="str">
        <f t="shared" si="355"/>
        <v>Riadok bude skrytý.</v>
      </c>
      <c r="CC2132" s="271" t="s">
        <v>832</v>
      </c>
      <c r="CW2132" s="30">
        <f t="shared" si="358"/>
        <v>1</v>
      </c>
      <c r="CX2132" s="30">
        <f t="shared" si="361"/>
        <v>1</v>
      </c>
      <c r="CY2132" s="30">
        <f t="shared" si="364"/>
        <v>0</v>
      </c>
      <c r="CZ2132" s="30">
        <f t="shared" si="353"/>
        <v>1</v>
      </c>
      <c r="DA2132" s="53">
        <f t="shared" si="365"/>
        <v>0</v>
      </c>
      <c r="DB2132" s="2">
        <f t="shared" si="351"/>
        <v>0</v>
      </c>
      <c r="DS2132" s="130">
        <f>SI!BY2132</f>
        <v>167</v>
      </c>
      <c r="DZ2132" s="131">
        <f>SI!BZ2132</f>
        <v>0</v>
      </c>
    </row>
    <row r="2133" spans="1:130" ht="14.95" hidden="1" customHeight="1" x14ac:dyDescent="0.25">
      <c r="A2133" s="141"/>
      <c r="B2133" s="1225"/>
      <c r="C2133" s="1226"/>
      <c r="D2133" s="1226"/>
      <c r="E2133" s="1226"/>
      <c r="F2133" s="1226"/>
      <c r="G2133" s="1226"/>
      <c r="H2133" s="1226"/>
      <c r="I2133" s="1226"/>
      <c r="J2133" s="1226"/>
      <c r="K2133" s="1226"/>
      <c r="L2133" s="1226"/>
      <c r="M2133" s="1226"/>
      <c r="N2133" s="1226"/>
      <c r="O2133" s="1226"/>
      <c r="P2133" s="1226"/>
      <c r="Q2133" s="1226"/>
      <c r="R2133" s="1226"/>
      <c r="S2133" s="1227"/>
      <c r="T2133" s="511"/>
      <c r="U2133" s="482"/>
      <c r="V2133" s="482"/>
      <c r="W2133" s="482"/>
      <c r="X2133" s="482"/>
      <c r="Y2133" s="482"/>
      <c r="Z2133" s="482"/>
      <c r="AA2133" s="482"/>
      <c r="AB2133" s="482"/>
      <c r="AC2133" s="482"/>
      <c r="AD2133" s="482"/>
      <c r="AE2133" s="482"/>
      <c r="AF2133" s="483"/>
      <c r="AG2133" s="511"/>
      <c r="AH2133" s="482"/>
      <c r="AI2133" s="482"/>
      <c r="AJ2133" s="482"/>
      <c r="AK2133" s="482"/>
      <c r="AL2133" s="482"/>
      <c r="AM2133" s="482"/>
      <c r="AN2133" s="482"/>
      <c r="AO2133" s="482"/>
      <c r="AP2133" s="482"/>
      <c r="AQ2133" s="482"/>
      <c r="AR2133" s="483"/>
      <c r="AS2133" s="511"/>
      <c r="AT2133" s="482"/>
      <c r="AU2133" s="482"/>
      <c r="AV2133" s="482"/>
      <c r="AW2133" s="482"/>
      <c r="AX2133" s="482"/>
      <c r="AY2133" s="482"/>
      <c r="AZ2133" s="482"/>
      <c r="BA2133" s="482"/>
      <c r="BB2133" s="482"/>
      <c r="BC2133" s="483"/>
      <c r="BD2133" s="511"/>
      <c r="BE2133" s="482"/>
      <c r="BF2133" s="482"/>
      <c r="BG2133" s="482"/>
      <c r="BH2133" s="482"/>
      <c r="BI2133" s="482"/>
      <c r="BJ2133" s="482"/>
      <c r="BK2133" s="482"/>
      <c r="BL2133" s="482"/>
      <c r="BM2133" s="483"/>
      <c r="BN2133" s="398">
        <f t="shared" si="363"/>
        <v>0</v>
      </c>
      <c r="BO2133" s="399"/>
      <c r="BP2133" s="399"/>
      <c r="BQ2133" s="399"/>
      <c r="BR2133" s="399"/>
      <c r="BS2133" s="399"/>
      <c r="BT2133" s="399"/>
      <c r="BU2133" s="399"/>
      <c r="BV2133" s="399"/>
      <c r="BW2133" s="399"/>
      <c r="BX2133" s="399"/>
      <c r="BY2133" s="399"/>
      <c r="BZ2133" s="400"/>
      <c r="CA2133" s="270"/>
      <c r="CB2133" s="3" t="str">
        <f t="shared" si="355"/>
        <v>Riadok bude skrytý.</v>
      </c>
      <c r="CC2133" s="271" t="s">
        <v>832</v>
      </c>
      <c r="CW2133" s="30">
        <f t="shared" si="358"/>
        <v>1</v>
      </c>
      <c r="CX2133" s="30">
        <f t="shared" si="361"/>
        <v>1</v>
      </c>
      <c r="CY2133" s="30">
        <f t="shared" si="364"/>
        <v>0</v>
      </c>
      <c r="CZ2133" s="30">
        <f t="shared" si="353"/>
        <v>1</v>
      </c>
      <c r="DA2133" s="53">
        <f t="shared" si="365"/>
        <v>0</v>
      </c>
      <c r="DB2133" s="2">
        <f t="shared" si="351"/>
        <v>0</v>
      </c>
      <c r="DS2133" s="130">
        <f>SI!BY2133</f>
        <v>152</v>
      </c>
      <c r="DZ2133" s="131">
        <f>SI!BZ2133</f>
        <v>0</v>
      </c>
    </row>
    <row r="2134" spans="1:130" hidden="1" x14ac:dyDescent="0.25">
      <c r="A2134" s="141"/>
      <c r="B2134" s="1225"/>
      <c r="C2134" s="1226"/>
      <c r="D2134" s="1226"/>
      <c r="E2134" s="1226"/>
      <c r="F2134" s="1226"/>
      <c r="G2134" s="1226"/>
      <c r="H2134" s="1226"/>
      <c r="I2134" s="1226"/>
      <c r="J2134" s="1226"/>
      <c r="K2134" s="1226"/>
      <c r="L2134" s="1226"/>
      <c r="M2134" s="1226"/>
      <c r="N2134" s="1226"/>
      <c r="O2134" s="1226"/>
      <c r="P2134" s="1226"/>
      <c r="Q2134" s="1226"/>
      <c r="R2134" s="1226"/>
      <c r="S2134" s="1227"/>
      <c r="T2134" s="511"/>
      <c r="U2134" s="482"/>
      <c r="V2134" s="482"/>
      <c r="W2134" s="482"/>
      <c r="X2134" s="482"/>
      <c r="Y2134" s="482"/>
      <c r="Z2134" s="482"/>
      <c r="AA2134" s="482"/>
      <c r="AB2134" s="482"/>
      <c r="AC2134" s="482"/>
      <c r="AD2134" s="482"/>
      <c r="AE2134" s="482"/>
      <c r="AF2134" s="483"/>
      <c r="AG2134" s="511"/>
      <c r="AH2134" s="482"/>
      <c r="AI2134" s="482"/>
      <c r="AJ2134" s="482"/>
      <c r="AK2134" s="482"/>
      <c r="AL2134" s="482"/>
      <c r="AM2134" s="482"/>
      <c r="AN2134" s="482"/>
      <c r="AO2134" s="482"/>
      <c r="AP2134" s="482"/>
      <c r="AQ2134" s="482"/>
      <c r="AR2134" s="483"/>
      <c r="AS2134" s="511"/>
      <c r="AT2134" s="482"/>
      <c r="AU2134" s="482"/>
      <c r="AV2134" s="482"/>
      <c r="AW2134" s="482"/>
      <c r="AX2134" s="482"/>
      <c r="AY2134" s="482"/>
      <c r="AZ2134" s="482"/>
      <c r="BA2134" s="482"/>
      <c r="BB2134" s="482"/>
      <c r="BC2134" s="483"/>
      <c r="BD2134" s="511"/>
      <c r="BE2134" s="482"/>
      <c r="BF2134" s="482"/>
      <c r="BG2134" s="482"/>
      <c r="BH2134" s="482"/>
      <c r="BI2134" s="482"/>
      <c r="BJ2134" s="482"/>
      <c r="BK2134" s="482"/>
      <c r="BL2134" s="482"/>
      <c r="BM2134" s="483"/>
      <c r="BN2134" s="398">
        <f t="shared" si="363"/>
        <v>0</v>
      </c>
      <c r="BO2134" s="399"/>
      <c r="BP2134" s="399"/>
      <c r="BQ2134" s="399"/>
      <c r="BR2134" s="399"/>
      <c r="BS2134" s="399"/>
      <c r="BT2134" s="399"/>
      <c r="BU2134" s="399"/>
      <c r="BV2134" s="399"/>
      <c r="BW2134" s="399"/>
      <c r="BX2134" s="399"/>
      <c r="BY2134" s="399"/>
      <c r="BZ2134" s="400"/>
      <c r="CA2134" s="270"/>
      <c r="CB2134" s="3" t="str">
        <f t="shared" si="355"/>
        <v>Riadok bude skrytý.</v>
      </c>
      <c r="CC2134" s="271" t="s">
        <v>832</v>
      </c>
      <c r="CW2134" s="30">
        <f t="shared" ref="CW2134:CW2169" si="366">+IF($J$2068="neeviduje",0,1)</f>
        <v>1</v>
      </c>
      <c r="CX2134" s="30">
        <f t="shared" si="361"/>
        <v>1</v>
      </c>
      <c r="CY2134" s="30">
        <f t="shared" si="364"/>
        <v>0</v>
      </c>
      <c r="CZ2134" s="30">
        <f t="shared" si="353"/>
        <v>1</v>
      </c>
      <c r="DA2134" s="53">
        <f t="shared" si="365"/>
        <v>0</v>
      </c>
      <c r="DB2134" s="2">
        <f t="shared" si="351"/>
        <v>0</v>
      </c>
      <c r="DS2134" s="130">
        <f>SI!BY2134</f>
        <v>105</v>
      </c>
      <c r="DZ2134" s="131">
        <f>SI!BZ2134</f>
        <v>0</v>
      </c>
    </row>
    <row r="2135" spans="1:130" hidden="1" x14ac:dyDescent="0.25">
      <c r="A2135" s="141"/>
      <c r="B2135" s="1225"/>
      <c r="C2135" s="1226"/>
      <c r="D2135" s="1226"/>
      <c r="E2135" s="1226"/>
      <c r="F2135" s="1226"/>
      <c r="G2135" s="1226"/>
      <c r="H2135" s="1226"/>
      <c r="I2135" s="1226"/>
      <c r="J2135" s="1226"/>
      <c r="K2135" s="1226"/>
      <c r="L2135" s="1226"/>
      <c r="M2135" s="1226"/>
      <c r="N2135" s="1226"/>
      <c r="O2135" s="1226"/>
      <c r="P2135" s="1226"/>
      <c r="Q2135" s="1226"/>
      <c r="R2135" s="1226"/>
      <c r="S2135" s="1227"/>
      <c r="T2135" s="511"/>
      <c r="U2135" s="482"/>
      <c r="V2135" s="482"/>
      <c r="W2135" s="482"/>
      <c r="X2135" s="482"/>
      <c r="Y2135" s="482"/>
      <c r="Z2135" s="482"/>
      <c r="AA2135" s="482"/>
      <c r="AB2135" s="482"/>
      <c r="AC2135" s="482"/>
      <c r="AD2135" s="482"/>
      <c r="AE2135" s="482"/>
      <c r="AF2135" s="483"/>
      <c r="AG2135" s="511"/>
      <c r="AH2135" s="482"/>
      <c r="AI2135" s="482"/>
      <c r="AJ2135" s="482"/>
      <c r="AK2135" s="482"/>
      <c r="AL2135" s="482"/>
      <c r="AM2135" s="482"/>
      <c r="AN2135" s="482"/>
      <c r="AO2135" s="482"/>
      <c r="AP2135" s="482"/>
      <c r="AQ2135" s="482"/>
      <c r="AR2135" s="483"/>
      <c r="AS2135" s="511"/>
      <c r="AT2135" s="482"/>
      <c r="AU2135" s="482"/>
      <c r="AV2135" s="482"/>
      <c r="AW2135" s="482"/>
      <c r="AX2135" s="482"/>
      <c r="AY2135" s="482"/>
      <c r="AZ2135" s="482"/>
      <c r="BA2135" s="482"/>
      <c r="BB2135" s="482"/>
      <c r="BC2135" s="483"/>
      <c r="BD2135" s="511"/>
      <c r="BE2135" s="482"/>
      <c r="BF2135" s="482"/>
      <c r="BG2135" s="482"/>
      <c r="BH2135" s="482"/>
      <c r="BI2135" s="482"/>
      <c r="BJ2135" s="482"/>
      <c r="BK2135" s="482"/>
      <c r="BL2135" s="482"/>
      <c r="BM2135" s="483"/>
      <c r="BN2135" s="398">
        <f t="shared" si="363"/>
        <v>0</v>
      </c>
      <c r="BO2135" s="399"/>
      <c r="BP2135" s="399"/>
      <c r="BQ2135" s="399"/>
      <c r="BR2135" s="399"/>
      <c r="BS2135" s="399"/>
      <c r="BT2135" s="399"/>
      <c r="BU2135" s="399"/>
      <c r="BV2135" s="399"/>
      <c r="BW2135" s="399"/>
      <c r="BX2135" s="399"/>
      <c r="BY2135" s="399"/>
      <c r="BZ2135" s="400"/>
      <c r="CA2135" s="270"/>
      <c r="CB2135" s="3" t="str">
        <f t="shared" si="355"/>
        <v>Riadok bude skrytý.</v>
      </c>
      <c r="CC2135" s="271" t="s">
        <v>832</v>
      </c>
      <c r="CW2135" s="30">
        <f t="shared" si="366"/>
        <v>1</v>
      </c>
      <c r="CX2135" s="30">
        <f t="shared" si="361"/>
        <v>1</v>
      </c>
      <c r="CY2135" s="30">
        <f t="shared" si="364"/>
        <v>0</v>
      </c>
      <c r="CZ2135" s="30">
        <f t="shared" si="353"/>
        <v>1</v>
      </c>
      <c r="DA2135" s="53">
        <f t="shared" si="365"/>
        <v>0</v>
      </c>
      <c r="DB2135" s="2">
        <f t="shared" si="351"/>
        <v>0</v>
      </c>
      <c r="DS2135" s="130">
        <f>SI!BY2135</f>
        <v>168</v>
      </c>
      <c r="DZ2135" s="131">
        <f>SI!BZ2135</f>
        <v>0</v>
      </c>
    </row>
    <row r="2136" spans="1:130" hidden="1" x14ac:dyDescent="0.25">
      <c r="A2136" s="141"/>
      <c r="B2136" s="627" t="s">
        <v>701</v>
      </c>
      <c r="C2136" s="628"/>
      <c r="D2136" s="628"/>
      <c r="E2136" s="628"/>
      <c r="F2136" s="628"/>
      <c r="G2136" s="628"/>
      <c r="H2136" s="628"/>
      <c r="I2136" s="628"/>
      <c r="J2136" s="628"/>
      <c r="K2136" s="628"/>
      <c r="L2136" s="628"/>
      <c r="M2136" s="628"/>
      <c r="N2136" s="628"/>
      <c r="O2136" s="628"/>
      <c r="P2136" s="628"/>
      <c r="Q2136" s="628"/>
      <c r="R2136" s="628"/>
      <c r="S2136" s="629"/>
      <c r="T2136" s="454"/>
      <c r="U2136" s="455"/>
      <c r="V2136" s="455"/>
      <c r="W2136" s="455"/>
      <c r="X2136" s="455"/>
      <c r="Y2136" s="455"/>
      <c r="Z2136" s="455"/>
      <c r="AA2136" s="455"/>
      <c r="AB2136" s="455"/>
      <c r="AC2136" s="455"/>
      <c r="AD2136" s="455"/>
      <c r="AE2136" s="455"/>
      <c r="AF2136" s="456"/>
      <c r="AG2136" s="511"/>
      <c r="AH2136" s="482"/>
      <c r="AI2136" s="482"/>
      <c r="AJ2136" s="482"/>
      <c r="AK2136" s="482"/>
      <c r="AL2136" s="482"/>
      <c r="AM2136" s="482"/>
      <c r="AN2136" s="482"/>
      <c r="AO2136" s="482"/>
      <c r="AP2136" s="482"/>
      <c r="AQ2136" s="482"/>
      <c r="AR2136" s="483"/>
      <c r="AS2136" s="511"/>
      <c r="AT2136" s="482"/>
      <c r="AU2136" s="482"/>
      <c r="AV2136" s="482"/>
      <c r="AW2136" s="482"/>
      <c r="AX2136" s="482"/>
      <c r="AY2136" s="482"/>
      <c r="AZ2136" s="482"/>
      <c r="BA2136" s="482"/>
      <c r="BB2136" s="482"/>
      <c r="BC2136" s="483"/>
      <c r="BD2136" s="511"/>
      <c r="BE2136" s="482"/>
      <c r="BF2136" s="482"/>
      <c r="BG2136" s="482"/>
      <c r="BH2136" s="482"/>
      <c r="BI2136" s="482"/>
      <c r="BJ2136" s="482"/>
      <c r="BK2136" s="482"/>
      <c r="BL2136" s="482"/>
      <c r="BM2136" s="483"/>
      <c r="BN2136" s="398">
        <f t="shared" si="363"/>
        <v>0</v>
      </c>
      <c r="BO2136" s="399"/>
      <c r="BP2136" s="399"/>
      <c r="BQ2136" s="399"/>
      <c r="BR2136" s="399"/>
      <c r="BS2136" s="399"/>
      <c r="BT2136" s="399"/>
      <c r="BU2136" s="399"/>
      <c r="BV2136" s="399"/>
      <c r="BW2136" s="399"/>
      <c r="BX2136" s="399"/>
      <c r="BY2136" s="399"/>
      <c r="BZ2136" s="400"/>
      <c r="CA2136" s="270"/>
      <c r="CB2136" s="3" t="str">
        <f t="shared" si="355"/>
        <v>Riadok bude skrytý.</v>
      </c>
      <c r="CC2136" s="271" t="s">
        <v>832</v>
      </c>
      <c r="CW2136" s="30">
        <f t="shared" si="366"/>
        <v>1</v>
      </c>
      <c r="CX2136" s="30">
        <f t="shared" si="361"/>
        <v>1</v>
      </c>
      <c r="CZ2136" s="30">
        <f t="shared" si="353"/>
        <v>1</v>
      </c>
      <c r="DA2136" s="52">
        <f>+IF(CW2136*CX2136=0,0,IF(CZ2136=0,0,1))</f>
        <v>1</v>
      </c>
      <c r="DB2136" s="2">
        <f t="shared" si="351"/>
        <v>0</v>
      </c>
      <c r="DS2136" s="130">
        <f>SI!BY2136</f>
        <v>516</v>
      </c>
      <c r="DZ2136" s="131">
        <f>SI!BZ2136</f>
        <v>0</v>
      </c>
    </row>
    <row r="2137" spans="1:130" ht="14.95" hidden="1" customHeight="1" x14ac:dyDescent="0.25">
      <c r="A2137" s="141"/>
      <c r="B2137" s="1588" t="s">
        <v>265</v>
      </c>
      <c r="C2137" s="1589"/>
      <c r="D2137" s="1589"/>
      <c r="E2137" s="1589"/>
      <c r="F2137" s="1589"/>
      <c r="G2137" s="1589"/>
      <c r="H2137" s="1589"/>
      <c r="I2137" s="1589"/>
      <c r="J2137" s="1589"/>
      <c r="K2137" s="1589"/>
      <c r="L2137" s="1589"/>
      <c r="M2137" s="1589"/>
      <c r="N2137" s="1589"/>
      <c r="O2137" s="1589"/>
      <c r="P2137" s="1589"/>
      <c r="Q2137" s="1589"/>
      <c r="R2137" s="1589"/>
      <c r="S2137" s="1590"/>
      <c r="T2137" s="423">
        <f>+SUM(T2138:AF2147)</f>
        <v>0</v>
      </c>
      <c r="U2137" s="424"/>
      <c r="V2137" s="424"/>
      <c r="W2137" s="424"/>
      <c r="X2137" s="424"/>
      <c r="Y2137" s="424"/>
      <c r="Z2137" s="424"/>
      <c r="AA2137" s="424"/>
      <c r="AB2137" s="424"/>
      <c r="AC2137" s="424"/>
      <c r="AD2137" s="424"/>
      <c r="AE2137" s="424"/>
      <c r="AF2137" s="425"/>
      <c r="AG2137" s="423">
        <f>+SUM(AG2138:AR2147)</f>
        <v>0</v>
      </c>
      <c r="AH2137" s="424"/>
      <c r="AI2137" s="424"/>
      <c r="AJ2137" s="424"/>
      <c r="AK2137" s="424"/>
      <c r="AL2137" s="424"/>
      <c r="AM2137" s="424"/>
      <c r="AN2137" s="424"/>
      <c r="AO2137" s="424"/>
      <c r="AP2137" s="424"/>
      <c r="AQ2137" s="424"/>
      <c r="AR2137" s="425"/>
      <c r="AS2137" s="423">
        <f>+SUM(AS2138:BC2147)</f>
        <v>0</v>
      </c>
      <c r="AT2137" s="424"/>
      <c r="AU2137" s="424"/>
      <c r="AV2137" s="424"/>
      <c r="AW2137" s="424"/>
      <c r="AX2137" s="424"/>
      <c r="AY2137" s="424"/>
      <c r="AZ2137" s="424"/>
      <c r="BA2137" s="424"/>
      <c r="BB2137" s="424"/>
      <c r="BC2137" s="425"/>
      <c r="BD2137" s="423">
        <f>+SUM(BD2138:BM2147)</f>
        <v>0</v>
      </c>
      <c r="BE2137" s="424"/>
      <c r="BF2137" s="424"/>
      <c r="BG2137" s="424"/>
      <c r="BH2137" s="424"/>
      <c r="BI2137" s="424"/>
      <c r="BJ2137" s="424"/>
      <c r="BK2137" s="424"/>
      <c r="BL2137" s="424"/>
      <c r="BM2137" s="425"/>
      <c r="BN2137" s="423">
        <f t="shared" si="363"/>
        <v>0</v>
      </c>
      <c r="BO2137" s="424"/>
      <c r="BP2137" s="424"/>
      <c r="BQ2137" s="424"/>
      <c r="BR2137" s="424"/>
      <c r="BS2137" s="424"/>
      <c r="BT2137" s="424"/>
      <c r="BU2137" s="424"/>
      <c r="BV2137" s="424"/>
      <c r="BW2137" s="424"/>
      <c r="BX2137" s="424"/>
      <c r="BY2137" s="424"/>
      <c r="BZ2137" s="425"/>
      <c r="CA2137" s="270"/>
      <c r="CB2137" s="3" t="str">
        <f t="shared" si="355"/>
        <v>Riadok bude skrytý.</v>
      </c>
      <c r="CC2137" s="271" t="s">
        <v>832</v>
      </c>
      <c r="CD2137" s="4" t="s">
        <v>836</v>
      </c>
      <c r="CW2137" s="30">
        <f t="shared" si="366"/>
        <v>1</v>
      </c>
      <c r="CX2137" s="30">
        <f t="shared" si="361"/>
        <v>1</v>
      </c>
      <c r="CZ2137" s="30">
        <f t="shared" si="353"/>
        <v>1</v>
      </c>
      <c r="DA2137" s="52">
        <f>+IF(CW2137*CX2137=0,0,IF(CZ2137=0,0,1))</f>
        <v>1</v>
      </c>
      <c r="DB2137" s="2">
        <f t="shared" si="351"/>
        <v>0</v>
      </c>
      <c r="DS2137" s="130">
        <f>SI!BY2137</f>
        <v>189</v>
      </c>
      <c r="DZ2137" s="131">
        <f>SI!BZ2137</f>
        <v>0</v>
      </c>
    </row>
    <row r="2138" spans="1:130" ht="14.95" hidden="1" customHeight="1" x14ac:dyDescent="0.25">
      <c r="A2138" s="141"/>
      <c r="B2138" s="1585"/>
      <c r="C2138" s="1586"/>
      <c r="D2138" s="1586"/>
      <c r="E2138" s="1586"/>
      <c r="F2138" s="1586"/>
      <c r="G2138" s="1586"/>
      <c r="H2138" s="1586"/>
      <c r="I2138" s="1586"/>
      <c r="J2138" s="1586"/>
      <c r="K2138" s="1586"/>
      <c r="L2138" s="1586"/>
      <c r="M2138" s="1586"/>
      <c r="N2138" s="1586"/>
      <c r="O2138" s="1586"/>
      <c r="P2138" s="1586"/>
      <c r="Q2138" s="1586"/>
      <c r="R2138" s="1586"/>
      <c r="S2138" s="1587"/>
      <c r="T2138" s="417"/>
      <c r="U2138" s="418"/>
      <c r="V2138" s="418"/>
      <c r="W2138" s="418"/>
      <c r="X2138" s="418"/>
      <c r="Y2138" s="418"/>
      <c r="Z2138" s="418"/>
      <c r="AA2138" s="418"/>
      <c r="AB2138" s="418"/>
      <c r="AC2138" s="418"/>
      <c r="AD2138" s="418"/>
      <c r="AE2138" s="418"/>
      <c r="AF2138" s="419"/>
      <c r="AG2138" s="417"/>
      <c r="AH2138" s="418"/>
      <c r="AI2138" s="418"/>
      <c r="AJ2138" s="418"/>
      <c r="AK2138" s="418"/>
      <c r="AL2138" s="418"/>
      <c r="AM2138" s="418"/>
      <c r="AN2138" s="418"/>
      <c r="AO2138" s="418"/>
      <c r="AP2138" s="418"/>
      <c r="AQ2138" s="418"/>
      <c r="AR2138" s="419"/>
      <c r="AS2138" s="417"/>
      <c r="AT2138" s="418"/>
      <c r="AU2138" s="418"/>
      <c r="AV2138" s="418"/>
      <c r="AW2138" s="418"/>
      <c r="AX2138" s="418"/>
      <c r="AY2138" s="418"/>
      <c r="AZ2138" s="418"/>
      <c r="BA2138" s="418"/>
      <c r="BB2138" s="418"/>
      <c r="BC2138" s="419"/>
      <c r="BD2138" s="417"/>
      <c r="BE2138" s="418"/>
      <c r="BF2138" s="418"/>
      <c r="BG2138" s="418"/>
      <c r="BH2138" s="418"/>
      <c r="BI2138" s="418"/>
      <c r="BJ2138" s="418"/>
      <c r="BK2138" s="418"/>
      <c r="BL2138" s="418"/>
      <c r="BM2138" s="419"/>
      <c r="BN2138" s="1222">
        <f t="shared" si="363"/>
        <v>0</v>
      </c>
      <c r="BO2138" s="1223"/>
      <c r="BP2138" s="1223"/>
      <c r="BQ2138" s="1223"/>
      <c r="BR2138" s="1223"/>
      <c r="BS2138" s="1223"/>
      <c r="BT2138" s="1223"/>
      <c r="BU2138" s="1223"/>
      <c r="BV2138" s="1223"/>
      <c r="BW2138" s="1223"/>
      <c r="BX2138" s="1223"/>
      <c r="BY2138" s="1223"/>
      <c r="BZ2138" s="1224"/>
      <c r="CA2138" s="270"/>
      <c r="CB2138" s="3" t="str">
        <f t="shared" si="355"/>
        <v>Riadok bude skrytý.</v>
      </c>
      <c r="CC2138" s="271" t="s">
        <v>832</v>
      </c>
      <c r="CW2138" s="30">
        <f t="shared" si="366"/>
        <v>1</v>
      </c>
      <c r="CX2138" s="30">
        <f t="shared" si="361"/>
        <v>1</v>
      </c>
      <c r="CZ2138" s="30">
        <f t="shared" si="353"/>
        <v>1</v>
      </c>
      <c r="DA2138" s="52">
        <f>+IF(CW2138*CX2138=0,0,IF(CZ2138=0,0,1))</f>
        <v>1</v>
      </c>
      <c r="DB2138" s="2">
        <f t="shared" si="351"/>
        <v>0</v>
      </c>
      <c r="DS2138" s="130">
        <f>SI!BY2138</f>
        <v>492</v>
      </c>
      <c r="DZ2138" s="131">
        <f>SI!BZ2138</f>
        <v>0</v>
      </c>
    </row>
    <row r="2139" spans="1:130" ht="14.95" hidden="1" customHeight="1" x14ac:dyDescent="0.25">
      <c r="A2139" s="141"/>
      <c r="B2139" s="1225"/>
      <c r="C2139" s="1226"/>
      <c r="D2139" s="1226"/>
      <c r="E2139" s="1226"/>
      <c r="F2139" s="1226"/>
      <c r="G2139" s="1226"/>
      <c r="H2139" s="1226"/>
      <c r="I2139" s="1226"/>
      <c r="J2139" s="1226"/>
      <c r="K2139" s="1226"/>
      <c r="L2139" s="1226"/>
      <c r="M2139" s="1226"/>
      <c r="N2139" s="1226"/>
      <c r="O2139" s="1226"/>
      <c r="P2139" s="1226"/>
      <c r="Q2139" s="1226"/>
      <c r="R2139" s="1226"/>
      <c r="S2139" s="1227"/>
      <c r="T2139" s="511"/>
      <c r="U2139" s="482"/>
      <c r="V2139" s="482"/>
      <c r="W2139" s="482"/>
      <c r="X2139" s="482"/>
      <c r="Y2139" s="482"/>
      <c r="Z2139" s="482"/>
      <c r="AA2139" s="482"/>
      <c r="AB2139" s="482"/>
      <c r="AC2139" s="482"/>
      <c r="AD2139" s="482"/>
      <c r="AE2139" s="482"/>
      <c r="AF2139" s="483"/>
      <c r="AG2139" s="511"/>
      <c r="AH2139" s="482"/>
      <c r="AI2139" s="482"/>
      <c r="AJ2139" s="482"/>
      <c r="AK2139" s="482"/>
      <c r="AL2139" s="482"/>
      <c r="AM2139" s="482"/>
      <c r="AN2139" s="482"/>
      <c r="AO2139" s="482"/>
      <c r="AP2139" s="482"/>
      <c r="AQ2139" s="482"/>
      <c r="AR2139" s="483"/>
      <c r="AS2139" s="511"/>
      <c r="AT2139" s="482"/>
      <c r="AU2139" s="482"/>
      <c r="AV2139" s="482"/>
      <c r="AW2139" s="482"/>
      <c r="AX2139" s="482"/>
      <c r="AY2139" s="482"/>
      <c r="AZ2139" s="482"/>
      <c r="BA2139" s="482"/>
      <c r="BB2139" s="482"/>
      <c r="BC2139" s="483"/>
      <c r="BD2139" s="511"/>
      <c r="BE2139" s="482"/>
      <c r="BF2139" s="482"/>
      <c r="BG2139" s="482"/>
      <c r="BH2139" s="482"/>
      <c r="BI2139" s="482"/>
      <c r="BJ2139" s="482"/>
      <c r="BK2139" s="482"/>
      <c r="BL2139" s="482"/>
      <c r="BM2139" s="483"/>
      <c r="BN2139" s="398">
        <f t="shared" si="363"/>
        <v>0</v>
      </c>
      <c r="BO2139" s="399"/>
      <c r="BP2139" s="399"/>
      <c r="BQ2139" s="399"/>
      <c r="BR2139" s="399"/>
      <c r="BS2139" s="399"/>
      <c r="BT2139" s="399"/>
      <c r="BU2139" s="399"/>
      <c r="BV2139" s="399"/>
      <c r="BW2139" s="399"/>
      <c r="BX2139" s="399"/>
      <c r="BY2139" s="399"/>
      <c r="BZ2139" s="400"/>
      <c r="CA2139" s="270"/>
      <c r="CB2139" s="3" t="str">
        <f t="shared" si="355"/>
        <v>Riadok bude skrytý.</v>
      </c>
      <c r="CC2139" s="271" t="s">
        <v>832</v>
      </c>
      <c r="CW2139" s="30">
        <f t="shared" si="366"/>
        <v>1</v>
      </c>
      <c r="CX2139" s="30">
        <f t="shared" si="361"/>
        <v>1</v>
      </c>
      <c r="CY2139" s="30">
        <f t="shared" ref="CY2139:CY2146" si="367">+IF(B2139="",0,1)</f>
        <v>0</v>
      </c>
      <c r="CZ2139" s="30">
        <f t="shared" si="353"/>
        <v>1</v>
      </c>
      <c r="DA2139" s="53">
        <f t="shared" ref="DA2139:DA2146" si="368">+IF(CW2139*CX2139*CY2139=0,0,IF(CZ2139=0,0,1))</f>
        <v>0</v>
      </c>
      <c r="DB2139" s="2">
        <f t="shared" si="351"/>
        <v>0</v>
      </c>
      <c r="DS2139" s="130">
        <f>SI!BY2139</f>
        <v>156</v>
      </c>
      <c r="DZ2139" s="131">
        <f>SI!BZ2139</f>
        <v>0</v>
      </c>
    </row>
    <row r="2140" spans="1:130" ht="14.95" hidden="1" customHeight="1" x14ac:dyDescent="0.25">
      <c r="A2140" s="141"/>
      <c r="B2140" s="1225"/>
      <c r="C2140" s="1226"/>
      <c r="D2140" s="1226"/>
      <c r="E2140" s="1226"/>
      <c r="F2140" s="1226"/>
      <c r="G2140" s="1226"/>
      <c r="H2140" s="1226"/>
      <c r="I2140" s="1226"/>
      <c r="J2140" s="1226"/>
      <c r="K2140" s="1226"/>
      <c r="L2140" s="1226"/>
      <c r="M2140" s="1226"/>
      <c r="N2140" s="1226"/>
      <c r="O2140" s="1226"/>
      <c r="P2140" s="1226"/>
      <c r="Q2140" s="1226"/>
      <c r="R2140" s="1226"/>
      <c r="S2140" s="1227"/>
      <c r="T2140" s="511"/>
      <c r="U2140" s="482"/>
      <c r="V2140" s="482"/>
      <c r="W2140" s="482"/>
      <c r="X2140" s="482"/>
      <c r="Y2140" s="482"/>
      <c r="Z2140" s="482"/>
      <c r="AA2140" s="482"/>
      <c r="AB2140" s="482"/>
      <c r="AC2140" s="482"/>
      <c r="AD2140" s="482"/>
      <c r="AE2140" s="482"/>
      <c r="AF2140" s="483"/>
      <c r="AG2140" s="511"/>
      <c r="AH2140" s="482"/>
      <c r="AI2140" s="482"/>
      <c r="AJ2140" s="482"/>
      <c r="AK2140" s="482"/>
      <c r="AL2140" s="482"/>
      <c r="AM2140" s="482"/>
      <c r="AN2140" s="482"/>
      <c r="AO2140" s="482"/>
      <c r="AP2140" s="482"/>
      <c r="AQ2140" s="482"/>
      <c r="AR2140" s="483"/>
      <c r="AS2140" s="511"/>
      <c r="AT2140" s="482"/>
      <c r="AU2140" s="482"/>
      <c r="AV2140" s="482"/>
      <c r="AW2140" s="482"/>
      <c r="AX2140" s="482"/>
      <c r="AY2140" s="482"/>
      <c r="AZ2140" s="482"/>
      <c r="BA2140" s="482"/>
      <c r="BB2140" s="482"/>
      <c r="BC2140" s="483"/>
      <c r="BD2140" s="511"/>
      <c r="BE2140" s="482"/>
      <c r="BF2140" s="482"/>
      <c r="BG2140" s="482"/>
      <c r="BH2140" s="482"/>
      <c r="BI2140" s="482"/>
      <c r="BJ2140" s="482"/>
      <c r="BK2140" s="482"/>
      <c r="BL2140" s="482"/>
      <c r="BM2140" s="483"/>
      <c r="BN2140" s="398">
        <f t="shared" si="363"/>
        <v>0</v>
      </c>
      <c r="BO2140" s="399"/>
      <c r="BP2140" s="399"/>
      <c r="BQ2140" s="399"/>
      <c r="BR2140" s="399"/>
      <c r="BS2140" s="399"/>
      <c r="BT2140" s="399"/>
      <c r="BU2140" s="399"/>
      <c r="BV2140" s="399"/>
      <c r="BW2140" s="399"/>
      <c r="BX2140" s="399"/>
      <c r="BY2140" s="399"/>
      <c r="BZ2140" s="400"/>
      <c r="CA2140" s="270"/>
      <c r="CB2140" s="3" t="str">
        <f t="shared" si="355"/>
        <v>Riadok bude skrytý.</v>
      </c>
      <c r="CC2140" s="271" t="s">
        <v>832</v>
      </c>
      <c r="CW2140" s="30">
        <f t="shared" si="366"/>
        <v>1</v>
      </c>
      <c r="CX2140" s="30">
        <f t="shared" si="361"/>
        <v>1</v>
      </c>
      <c r="CY2140" s="30">
        <f t="shared" si="367"/>
        <v>0</v>
      </c>
      <c r="CZ2140" s="30">
        <f t="shared" si="353"/>
        <v>1</v>
      </c>
      <c r="DA2140" s="53">
        <f t="shared" si="368"/>
        <v>0</v>
      </c>
      <c r="DB2140" s="2">
        <f t="shared" ref="DB2140:DB2172" si="369">+IF($CD$1="malé",0,DA2140)</f>
        <v>0</v>
      </c>
      <c r="DS2140" s="130">
        <f>SI!BY2140</f>
        <v>382</v>
      </c>
      <c r="DZ2140" s="131">
        <f>SI!BZ2140</f>
        <v>0</v>
      </c>
    </row>
    <row r="2141" spans="1:130" ht="14.95" hidden="1" customHeight="1" x14ac:dyDescent="0.25">
      <c r="A2141" s="141"/>
      <c r="B2141" s="1225"/>
      <c r="C2141" s="1226"/>
      <c r="D2141" s="1226"/>
      <c r="E2141" s="1226"/>
      <c r="F2141" s="1226"/>
      <c r="G2141" s="1226"/>
      <c r="H2141" s="1226"/>
      <c r="I2141" s="1226"/>
      <c r="J2141" s="1226"/>
      <c r="K2141" s="1226"/>
      <c r="L2141" s="1226"/>
      <c r="M2141" s="1226"/>
      <c r="N2141" s="1226"/>
      <c r="O2141" s="1226"/>
      <c r="P2141" s="1226"/>
      <c r="Q2141" s="1226"/>
      <c r="R2141" s="1226"/>
      <c r="S2141" s="1227"/>
      <c r="T2141" s="511"/>
      <c r="U2141" s="482"/>
      <c r="V2141" s="482"/>
      <c r="W2141" s="482"/>
      <c r="X2141" s="482"/>
      <c r="Y2141" s="482"/>
      <c r="Z2141" s="482"/>
      <c r="AA2141" s="482"/>
      <c r="AB2141" s="482"/>
      <c r="AC2141" s="482"/>
      <c r="AD2141" s="482"/>
      <c r="AE2141" s="482"/>
      <c r="AF2141" s="483"/>
      <c r="AG2141" s="511"/>
      <c r="AH2141" s="482"/>
      <c r="AI2141" s="482"/>
      <c r="AJ2141" s="482"/>
      <c r="AK2141" s="482"/>
      <c r="AL2141" s="482"/>
      <c r="AM2141" s="482"/>
      <c r="AN2141" s="482"/>
      <c r="AO2141" s="482"/>
      <c r="AP2141" s="482"/>
      <c r="AQ2141" s="482"/>
      <c r="AR2141" s="483"/>
      <c r="AS2141" s="511"/>
      <c r="AT2141" s="482"/>
      <c r="AU2141" s="482"/>
      <c r="AV2141" s="482"/>
      <c r="AW2141" s="482"/>
      <c r="AX2141" s="482"/>
      <c r="AY2141" s="482"/>
      <c r="AZ2141" s="482"/>
      <c r="BA2141" s="482"/>
      <c r="BB2141" s="482"/>
      <c r="BC2141" s="483"/>
      <c r="BD2141" s="511"/>
      <c r="BE2141" s="482"/>
      <c r="BF2141" s="482"/>
      <c r="BG2141" s="482"/>
      <c r="BH2141" s="482"/>
      <c r="BI2141" s="482"/>
      <c r="BJ2141" s="482"/>
      <c r="BK2141" s="482"/>
      <c r="BL2141" s="482"/>
      <c r="BM2141" s="483"/>
      <c r="BN2141" s="398">
        <f t="shared" si="363"/>
        <v>0</v>
      </c>
      <c r="BO2141" s="399"/>
      <c r="BP2141" s="399"/>
      <c r="BQ2141" s="399"/>
      <c r="BR2141" s="399"/>
      <c r="BS2141" s="399"/>
      <c r="BT2141" s="399"/>
      <c r="BU2141" s="399"/>
      <c r="BV2141" s="399"/>
      <c r="BW2141" s="399"/>
      <c r="BX2141" s="399"/>
      <c r="BY2141" s="399"/>
      <c r="BZ2141" s="400"/>
      <c r="CA2141" s="270"/>
      <c r="CB2141" s="3" t="str">
        <f t="shared" si="355"/>
        <v>Riadok bude skrytý.</v>
      </c>
      <c r="CC2141" s="271" t="s">
        <v>832</v>
      </c>
      <c r="CW2141" s="30">
        <f t="shared" si="366"/>
        <v>1</v>
      </c>
      <c r="CX2141" s="30">
        <f t="shared" si="361"/>
        <v>1</v>
      </c>
      <c r="CY2141" s="30">
        <f t="shared" si="367"/>
        <v>0</v>
      </c>
      <c r="CZ2141" s="30">
        <f t="shared" si="353"/>
        <v>1</v>
      </c>
      <c r="DA2141" s="53">
        <f t="shared" si="368"/>
        <v>0</v>
      </c>
      <c r="DB2141" s="2">
        <f t="shared" si="369"/>
        <v>0</v>
      </c>
      <c r="DS2141" s="130">
        <f>SI!BY2141</f>
        <v>119</v>
      </c>
      <c r="DZ2141" s="131">
        <f>SI!BZ2141</f>
        <v>0</v>
      </c>
    </row>
    <row r="2142" spans="1:130" ht="14.95" hidden="1" customHeight="1" x14ac:dyDescent="0.25">
      <c r="A2142" s="141"/>
      <c r="B2142" s="1225"/>
      <c r="C2142" s="1226"/>
      <c r="D2142" s="1226"/>
      <c r="E2142" s="1226"/>
      <c r="F2142" s="1226"/>
      <c r="G2142" s="1226"/>
      <c r="H2142" s="1226"/>
      <c r="I2142" s="1226"/>
      <c r="J2142" s="1226"/>
      <c r="K2142" s="1226"/>
      <c r="L2142" s="1226"/>
      <c r="M2142" s="1226"/>
      <c r="N2142" s="1226"/>
      <c r="O2142" s="1226"/>
      <c r="P2142" s="1226"/>
      <c r="Q2142" s="1226"/>
      <c r="R2142" s="1226"/>
      <c r="S2142" s="1227"/>
      <c r="T2142" s="511"/>
      <c r="U2142" s="482"/>
      <c r="V2142" s="482"/>
      <c r="W2142" s="482"/>
      <c r="X2142" s="482"/>
      <c r="Y2142" s="482"/>
      <c r="Z2142" s="482"/>
      <c r="AA2142" s="482"/>
      <c r="AB2142" s="482"/>
      <c r="AC2142" s="482"/>
      <c r="AD2142" s="482"/>
      <c r="AE2142" s="482"/>
      <c r="AF2142" s="483"/>
      <c r="AG2142" s="511"/>
      <c r="AH2142" s="482"/>
      <c r="AI2142" s="482"/>
      <c r="AJ2142" s="482"/>
      <c r="AK2142" s="482"/>
      <c r="AL2142" s="482"/>
      <c r="AM2142" s="482"/>
      <c r="AN2142" s="482"/>
      <c r="AO2142" s="482"/>
      <c r="AP2142" s="482"/>
      <c r="AQ2142" s="482"/>
      <c r="AR2142" s="483"/>
      <c r="AS2142" s="511"/>
      <c r="AT2142" s="482"/>
      <c r="AU2142" s="482"/>
      <c r="AV2142" s="482"/>
      <c r="AW2142" s="482"/>
      <c r="AX2142" s="482"/>
      <c r="AY2142" s="482"/>
      <c r="AZ2142" s="482"/>
      <c r="BA2142" s="482"/>
      <c r="BB2142" s="482"/>
      <c r="BC2142" s="483"/>
      <c r="BD2142" s="511"/>
      <c r="BE2142" s="482"/>
      <c r="BF2142" s="482"/>
      <c r="BG2142" s="482"/>
      <c r="BH2142" s="482"/>
      <c r="BI2142" s="482"/>
      <c r="BJ2142" s="482"/>
      <c r="BK2142" s="482"/>
      <c r="BL2142" s="482"/>
      <c r="BM2142" s="483"/>
      <c r="BN2142" s="398">
        <f t="shared" si="363"/>
        <v>0</v>
      </c>
      <c r="BO2142" s="399"/>
      <c r="BP2142" s="399"/>
      <c r="BQ2142" s="399"/>
      <c r="BR2142" s="399"/>
      <c r="BS2142" s="399"/>
      <c r="BT2142" s="399"/>
      <c r="BU2142" s="399"/>
      <c r="BV2142" s="399"/>
      <c r="BW2142" s="399"/>
      <c r="BX2142" s="399"/>
      <c r="BY2142" s="399"/>
      <c r="BZ2142" s="400"/>
      <c r="CA2142" s="270"/>
      <c r="CB2142" s="3" t="str">
        <f t="shared" si="355"/>
        <v>Riadok bude skrytý.</v>
      </c>
      <c r="CC2142" s="271" t="s">
        <v>832</v>
      </c>
      <c r="CW2142" s="30">
        <f t="shared" si="366"/>
        <v>1</v>
      </c>
      <c r="CX2142" s="30">
        <f t="shared" si="361"/>
        <v>1</v>
      </c>
      <c r="CY2142" s="30">
        <f t="shared" si="367"/>
        <v>0</v>
      </c>
      <c r="CZ2142" s="30">
        <f t="shared" si="353"/>
        <v>1</v>
      </c>
      <c r="DA2142" s="53">
        <f t="shared" si="368"/>
        <v>0</v>
      </c>
      <c r="DB2142" s="2">
        <f t="shared" si="369"/>
        <v>0</v>
      </c>
      <c r="DS2142" s="130">
        <f>SI!BY2142</f>
        <v>863</v>
      </c>
      <c r="DZ2142" s="131">
        <f>SI!BZ2142</f>
        <v>0</v>
      </c>
    </row>
    <row r="2143" spans="1:130" ht="14.95" hidden="1" customHeight="1" x14ac:dyDescent="0.25">
      <c r="A2143" s="141"/>
      <c r="B2143" s="1225"/>
      <c r="C2143" s="1226"/>
      <c r="D2143" s="1226"/>
      <c r="E2143" s="1226"/>
      <c r="F2143" s="1226"/>
      <c r="G2143" s="1226"/>
      <c r="H2143" s="1226"/>
      <c r="I2143" s="1226"/>
      <c r="J2143" s="1226"/>
      <c r="K2143" s="1226"/>
      <c r="L2143" s="1226"/>
      <c r="M2143" s="1226"/>
      <c r="N2143" s="1226"/>
      <c r="O2143" s="1226"/>
      <c r="P2143" s="1226"/>
      <c r="Q2143" s="1226"/>
      <c r="R2143" s="1226"/>
      <c r="S2143" s="1227"/>
      <c r="T2143" s="511"/>
      <c r="U2143" s="482"/>
      <c r="V2143" s="482"/>
      <c r="W2143" s="482"/>
      <c r="X2143" s="482"/>
      <c r="Y2143" s="482"/>
      <c r="Z2143" s="482"/>
      <c r="AA2143" s="482"/>
      <c r="AB2143" s="482"/>
      <c r="AC2143" s="482"/>
      <c r="AD2143" s="482"/>
      <c r="AE2143" s="482"/>
      <c r="AF2143" s="483"/>
      <c r="AG2143" s="511"/>
      <c r="AH2143" s="482"/>
      <c r="AI2143" s="482"/>
      <c r="AJ2143" s="482"/>
      <c r="AK2143" s="482"/>
      <c r="AL2143" s="482"/>
      <c r="AM2143" s="482"/>
      <c r="AN2143" s="482"/>
      <c r="AO2143" s="482"/>
      <c r="AP2143" s="482"/>
      <c r="AQ2143" s="482"/>
      <c r="AR2143" s="483"/>
      <c r="AS2143" s="511"/>
      <c r="AT2143" s="482"/>
      <c r="AU2143" s="482"/>
      <c r="AV2143" s="482"/>
      <c r="AW2143" s="482"/>
      <c r="AX2143" s="482"/>
      <c r="AY2143" s="482"/>
      <c r="AZ2143" s="482"/>
      <c r="BA2143" s="482"/>
      <c r="BB2143" s="482"/>
      <c r="BC2143" s="483"/>
      <c r="BD2143" s="511"/>
      <c r="BE2143" s="482"/>
      <c r="BF2143" s="482"/>
      <c r="BG2143" s="482"/>
      <c r="BH2143" s="482"/>
      <c r="BI2143" s="482"/>
      <c r="BJ2143" s="482"/>
      <c r="BK2143" s="482"/>
      <c r="BL2143" s="482"/>
      <c r="BM2143" s="483"/>
      <c r="BN2143" s="398">
        <f t="shared" si="363"/>
        <v>0</v>
      </c>
      <c r="BO2143" s="399"/>
      <c r="BP2143" s="399"/>
      <c r="BQ2143" s="399"/>
      <c r="BR2143" s="399"/>
      <c r="BS2143" s="399"/>
      <c r="BT2143" s="399"/>
      <c r="BU2143" s="399"/>
      <c r="BV2143" s="399"/>
      <c r="BW2143" s="399"/>
      <c r="BX2143" s="399"/>
      <c r="BY2143" s="399"/>
      <c r="BZ2143" s="400"/>
      <c r="CA2143" s="270"/>
      <c r="CB2143" s="3" t="str">
        <f t="shared" si="355"/>
        <v>Riadok bude skrytý.</v>
      </c>
      <c r="CC2143" s="271" t="s">
        <v>832</v>
      </c>
      <c r="CW2143" s="30">
        <f t="shared" si="366"/>
        <v>1</v>
      </c>
      <c r="CX2143" s="30">
        <f t="shared" si="361"/>
        <v>1</v>
      </c>
      <c r="CY2143" s="30">
        <f t="shared" si="367"/>
        <v>0</v>
      </c>
      <c r="CZ2143" s="30">
        <f t="shared" si="353"/>
        <v>1</v>
      </c>
      <c r="DA2143" s="53">
        <f t="shared" si="368"/>
        <v>0</v>
      </c>
      <c r="DB2143" s="2">
        <f t="shared" si="369"/>
        <v>0</v>
      </c>
      <c r="DS2143" s="130">
        <f>SI!BY2143</f>
        <v>125</v>
      </c>
      <c r="DZ2143" s="131">
        <f>SI!BZ2143</f>
        <v>0</v>
      </c>
    </row>
    <row r="2144" spans="1:130" hidden="1" x14ac:dyDescent="0.25">
      <c r="A2144" s="141"/>
      <c r="B2144" s="1225"/>
      <c r="C2144" s="1226"/>
      <c r="D2144" s="1226"/>
      <c r="E2144" s="1226"/>
      <c r="F2144" s="1226"/>
      <c r="G2144" s="1226"/>
      <c r="H2144" s="1226"/>
      <c r="I2144" s="1226"/>
      <c r="J2144" s="1226"/>
      <c r="K2144" s="1226"/>
      <c r="L2144" s="1226"/>
      <c r="M2144" s="1226"/>
      <c r="N2144" s="1226"/>
      <c r="O2144" s="1226"/>
      <c r="P2144" s="1226"/>
      <c r="Q2144" s="1226"/>
      <c r="R2144" s="1226"/>
      <c r="S2144" s="1227"/>
      <c r="T2144" s="511"/>
      <c r="U2144" s="482"/>
      <c r="V2144" s="482"/>
      <c r="W2144" s="482"/>
      <c r="X2144" s="482"/>
      <c r="Y2144" s="482"/>
      <c r="Z2144" s="482"/>
      <c r="AA2144" s="482"/>
      <c r="AB2144" s="482"/>
      <c r="AC2144" s="482"/>
      <c r="AD2144" s="482"/>
      <c r="AE2144" s="482"/>
      <c r="AF2144" s="483"/>
      <c r="AG2144" s="511"/>
      <c r="AH2144" s="482"/>
      <c r="AI2144" s="482"/>
      <c r="AJ2144" s="482"/>
      <c r="AK2144" s="482"/>
      <c r="AL2144" s="482"/>
      <c r="AM2144" s="482"/>
      <c r="AN2144" s="482"/>
      <c r="AO2144" s="482"/>
      <c r="AP2144" s="482"/>
      <c r="AQ2144" s="482"/>
      <c r="AR2144" s="483"/>
      <c r="AS2144" s="511"/>
      <c r="AT2144" s="482"/>
      <c r="AU2144" s="482"/>
      <c r="AV2144" s="482"/>
      <c r="AW2144" s="482"/>
      <c r="AX2144" s="482"/>
      <c r="AY2144" s="482"/>
      <c r="AZ2144" s="482"/>
      <c r="BA2144" s="482"/>
      <c r="BB2144" s="482"/>
      <c r="BC2144" s="483"/>
      <c r="BD2144" s="511"/>
      <c r="BE2144" s="482"/>
      <c r="BF2144" s="482"/>
      <c r="BG2144" s="482"/>
      <c r="BH2144" s="482"/>
      <c r="BI2144" s="482"/>
      <c r="BJ2144" s="482"/>
      <c r="BK2144" s="482"/>
      <c r="BL2144" s="482"/>
      <c r="BM2144" s="483"/>
      <c r="BN2144" s="398">
        <f t="shared" si="363"/>
        <v>0</v>
      </c>
      <c r="BO2144" s="399"/>
      <c r="BP2144" s="399"/>
      <c r="BQ2144" s="399"/>
      <c r="BR2144" s="399"/>
      <c r="BS2144" s="399"/>
      <c r="BT2144" s="399"/>
      <c r="BU2144" s="399"/>
      <c r="BV2144" s="399"/>
      <c r="BW2144" s="399"/>
      <c r="BX2144" s="399"/>
      <c r="BY2144" s="399"/>
      <c r="BZ2144" s="400"/>
      <c r="CA2144" s="270"/>
      <c r="CB2144" s="3" t="str">
        <f t="shared" si="355"/>
        <v>Riadok bude skrytý.</v>
      </c>
      <c r="CC2144" s="271" t="s">
        <v>832</v>
      </c>
      <c r="CW2144" s="30">
        <f t="shared" si="366"/>
        <v>1</v>
      </c>
      <c r="CX2144" s="30">
        <f t="shared" si="361"/>
        <v>1</v>
      </c>
      <c r="CY2144" s="30">
        <f t="shared" si="367"/>
        <v>0</v>
      </c>
      <c r="CZ2144" s="30">
        <f t="shared" si="353"/>
        <v>1</v>
      </c>
      <c r="DA2144" s="53">
        <f t="shared" si="368"/>
        <v>0</v>
      </c>
      <c r="DB2144" s="2">
        <f t="shared" si="369"/>
        <v>0</v>
      </c>
      <c r="DS2144" s="130">
        <f>SI!BY2144</f>
        <v>950</v>
      </c>
      <c r="DZ2144" s="131">
        <f>SI!BZ2144</f>
        <v>0</v>
      </c>
    </row>
    <row r="2145" spans="1:130" hidden="1" x14ac:dyDescent="0.25">
      <c r="A2145" s="141"/>
      <c r="B2145" s="1225"/>
      <c r="C2145" s="1226"/>
      <c r="D2145" s="1226"/>
      <c r="E2145" s="1226"/>
      <c r="F2145" s="1226"/>
      <c r="G2145" s="1226"/>
      <c r="H2145" s="1226"/>
      <c r="I2145" s="1226"/>
      <c r="J2145" s="1226"/>
      <c r="K2145" s="1226"/>
      <c r="L2145" s="1226"/>
      <c r="M2145" s="1226"/>
      <c r="N2145" s="1226"/>
      <c r="O2145" s="1226"/>
      <c r="P2145" s="1226"/>
      <c r="Q2145" s="1226"/>
      <c r="R2145" s="1226"/>
      <c r="S2145" s="1227"/>
      <c r="T2145" s="511"/>
      <c r="U2145" s="482"/>
      <c r="V2145" s="482"/>
      <c r="W2145" s="482"/>
      <c r="X2145" s="482"/>
      <c r="Y2145" s="482"/>
      <c r="Z2145" s="482"/>
      <c r="AA2145" s="482"/>
      <c r="AB2145" s="482"/>
      <c r="AC2145" s="482"/>
      <c r="AD2145" s="482"/>
      <c r="AE2145" s="482"/>
      <c r="AF2145" s="483"/>
      <c r="AG2145" s="511"/>
      <c r="AH2145" s="482"/>
      <c r="AI2145" s="482"/>
      <c r="AJ2145" s="482"/>
      <c r="AK2145" s="482"/>
      <c r="AL2145" s="482"/>
      <c r="AM2145" s="482"/>
      <c r="AN2145" s="482"/>
      <c r="AO2145" s="482"/>
      <c r="AP2145" s="482"/>
      <c r="AQ2145" s="482"/>
      <c r="AR2145" s="483"/>
      <c r="AS2145" s="511"/>
      <c r="AT2145" s="482"/>
      <c r="AU2145" s="482"/>
      <c r="AV2145" s="482"/>
      <c r="AW2145" s="482"/>
      <c r="AX2145" s="482"/>
      <c r="AY2145" s="482"/>
      <c r="AZ2145" s="482"/>
      <c r="BA2145" s="482"/>
      <c r="BB2145" s="482"/>
      <c r="BC2145" s="483"/>
      <c r="BD2145" s="511"/>
      <c r="BE2145" s="482"/>
      <c r="BF2145" s="482"/>
      <c r="BG2145" s="482"/>
      <c r="BH2145" s="482"/>
      <c r="BI2145" s="482"/>
      <c r="BJ2145" s="482"/>
      <c r="BK2145" s="482"/>
      <c r="BL2145" s="482"/>
      <c r="BM2145" s="483"/>
      <c r="BN2145" s="398">
        <f t="shared" si="363"/>
        <v>0</v>
      </c>
      <c r="BO2145" s="399"/>
      <c r="BP2145" s="399"/>
      <c r="BQ2145" s="399"/>
      <c r="BR2145" s="399"/>
      <c r="BS2145" s="399"/>
      <c r="BT2145" s="399"/>
      <c r="BU2145" s="399"/>
      <c r="BV2145" s="399"/>
      <c r="BW2145" s="399"/>
      <c r="BX2145" s="399"/>
      <c r="BY2145" s="399"/>
      <c r="BZ2145" s="400"/>
      <c r="CA2145" s="270"/>
      <c r="CB2145" s="3" t="str">
        <f t="shared" si="355"/>
        <v>Riadok bude skrytý.</v>
      </c>
      <c r="CC2145" s="271" t="s">
        <v>832</v>
      </c>
      <c r="CW2145" s="30">
        <f t="shared" si="366"/>
        <v>1</v>
      </c>
      <c r="CX2145" s="30">
        <f t="shared" si="361"/>
        <v>1</v>
      </c>
      <c r="CY2145" s="30">
        <f t="shared" si="367"/>
        <v>0</v>
      </c>
      <c r="CZ2145" s="30">
        <f t="shared" si="353"/>
        <v>1</v>
      </c>
      <c r="DA2145" s="53">
        <f t="shared" si="368"/>
        <v>0</v>
      </c>
      <c r="DB2145" s="2">
        <f t="shared" si="369"/>
        <v>0</v>
      </c>
      <c r="DS2145" s="130">
        <f>SI!BY2145</f>
        <v>109</v>
      </c>
      <c r="DZ2145" s="131">
        <f>SI!BZ2145</f>
        <v>0</v>
      </c>
    </row>
    <row r="2146" spans="1:130" hidden="1" x14ac:dyDescent="0.25">
      <c r="A2146" s="141"/>
      <c r="B2146" s="1225"/>
      <c r="C2146" s="1226"/>
      <c r="D2146" s="1226"/>
      <c r="E2146" s="1226"/>
      <c r="F2146" s="1226"/>
      <c r="G2146" s="1226"/>
      <c r="H2146" s="1226"/>
      <c r="I2146" s="1226"/>
      <c r="J2146" s="1226"/>
      <c r="K2146" s="1226"/>
      <c r="L2146" s="1226"/>
      <c r="M2146" s="1226"/>
      <c r="N2146" s="1226"/>
      <c r="O2146" s="1226"/>
      <c r="P2146" s="1226"/>
      <c r="Q2146" s="1226"/>
      <c r="R2146" s="1226"/>
      <c r="S2146" s="1227"/>
      <c r="T2146" s="511"/>
      <c r="U2146" s="482"/>
      <c r="V2146" s="482"/>
      <c r="W2146" s="482"/>
      <c r="X2146" s="482"/>
      <c r="Y2146" s="482"/>
      <c r="Z2146" s="482"/>
      <c r="AA2146" s="482"/>
      <c r="AB2146" s="482"/>
      <c r="AC2146" s="482"/>
      <c r="AD2146" s="482"/>
      <c r="AE2146" s="482"/>
      <c r="AF2146" s="483"/>
      <c r="AG2146" s="511"/>
      <c r="AH2146" s="482"/>
      <c r="AI2146" s="482"/>
      <c r="AJ2146" s="482"/>
      <c r="AK2146" s="482"/>
      <c r="AL2146" s="482"/>
      <c r="AM2146" s="482"/>
      <c r="AN2146" s="482"/>
      <c r="AO2146" s="482"/>
      <c r="AP2146" s="482"/>
      <c r="AQ2146" s="482"/>
      <c r="AR2146" s="483"/>
      <c r="AS2146" s="511"/>
      <c r="AT2146" s="482"/>
      <c r="AU2146" s="482"/>
      <c r="AV2146" s="482"/>
      <c r="AW2146" s="482"/>
      <c r="AX2146" s="482"/>
      <c r="AY2146" s="482"/>
      <c r="AZ2146" s="482"/>
      <c r="BA2146" s="482"/>
      <c r="BB2146" s="482"/>
      <c r="BC2146" s="483"/>
      <c r="BD2146" s="511"/>
      <c r="BE2146" s="482"/>
      <c r="BF2146" s="482"/>
      <c r="BG2146" s="482"/>
      <c r="BH2146" s="482"/>
      <c r="BI2146" s="482"/>
      <c r="BJ2146" s="482"/>
      <c r="BK2146" s="482"/>
      <c r="BL2146" s="482"/>
      <c r="BM2146" s="483"/>
      <c r="BN2146" s="398">
        <f t="shared" si="363"/>
        <v>0</v>
      </c>
      <c r="BO2146" s="399"/>
      <c r="BP2146" s="399"/>
      <c r="BQ2146" s="399"/>
      <c r="BR2146" s="399"/>
      <c r="BS2146" s="399"/>
      <c r="BT2146" s="399"/>
      <c r="BU2146" s="399"/>
      <c r="BV2146" s="399"/>
      <c r="BW2146" s="399"/>
      <c r="BX2146" s="399"/>
      <c r="BY2146" s="399"/>
      <c r="BZ2146" s="400"/>
      <c r="CA2146" s="270"/>
      <c r="CB2146" s="3" t="str">
        <f t="shared" si="355"/>
        <v>Riadok bude skrytý.</v>
      </c>
      <c r="CC2146" s="271" t="s">
        <v>832</v>
      </c>
      <c r="CW2146" s="30">
        <f t="shared" si="366"/>
        <v>1</v>
      </c>
      <c r="CX2146" s="30">
        <f t="shared" si="361"/>
        <v>1</v>
      </c>
      <c r="CY2146" s="30">
        <f t="shared" si="367"/>
        <v>0</v>
      </c>
      <c r="CZ2146" s="30">
        <f t="shared" si="353"/>
        <v>1</v>
      </c>
      <c r="DA2146" s="53">
        <f t="shared" si="368"/>
        <v>0</v>
      </c>
      <c r="DB2146" s="2">
        <f t="shared" si="369"/>
        <v>0</v>
      </c>
      <c r="DS2146" s="130">
        <f>SI!BY2146</f>
        <v>814</v>
      </c>
      <c r="DZ2146" s="131">
        <f>SI!BZ2146</f>
        <v>0</v>
      </c>
    </row>
    <row r="2147" spans="1:130" hidden="1" x14ac:dyDescent="0.25">
      <c r="A2147" s="141"/>
      <c r="B2147" s="627" t="s">
        <v>701</v>
      </c>
      <c r="C2147" s="628"/>
      <c r="D2147" s="628"/>
      <c r="E2147" s="628"/>
      <c r="F2147" s="628"/>
      <c r="G2147" s="628"/>
      <c r="H2147" s="628"/>
      <c r="I2147" s="628"/>
      <c r="J2147" s="628"/>
      <c r="K2147" s="628"/>
      <c r="L2147" s="628"/>
      <c r="M2147" s="628"/>
      <c r="N2147" s="628"/>
      <c r="O2147" s="628"/>
      <c r="P2147" s="628"/>
      <c r="Q2147" s="628"/>
      <c r="R2147" s="628"/>
      <c r="S2147" s="629"/>
      <c r="T2147" s="454"/>
      <c r="U2147" s="455"/>
      <c r="V2147" s="455"/>
      <c r="W2147" s="455"/>
      <c r="X2147" s="455"/>
      <c r="Y2147" s="455"/>
      <c r="Z2147" s="455"/>
      <c r="AA2147" s="455"/>
      <c r="AB2147" s="455"/>
      <c r="AC2147" s="455"/>
      <c r="AD2147" s="455"/>
      <c r="AE2147" s="455"/>
      <c r="AF2147" s="456"/>
      <c r="AG2147" s="454"/>
      <c r="AH2147" s="455"/>
      <c r="AI2147" s="455"/>
      <c r="AJ2147" s="455"/>
      <c r="AK2147" s="455"/>
      <c r="AL2147" s="455"/>
      <c r="AM2147" s="455"/>
      <c r="AN2147" s="455"/>
      <c r="AO2147" s="455"/>
      <c r="AP2147" s="455"/>
      <c r="AQ2147" s="455"/>
      <c r="AR2147" s="456"/>
      <c r="AS2147" s="454"/>
      <c r="AT2147" s="455"/>
      <c r="AU2147" s="455"/>
      <c r="AV2147" s="455"/>
      <c r="AW2147" s="455"/>
      <c r="AX2147" s="455"/>
      <c r="AY2147" s="455"/>
      <c r="AZ2147" s="455"/>
      <c r="BA2147" s="455"/>
      <c r="BB2147" s="455"/>
      <c r="BC2147" s="456"/>
      <c r="BD2147" s="454"/>
      <c r="BE2147" s="455"/>
      <c r="BF2147" s="455"/>
      <c r="BG2147" s="455"/>
      <c r="BH2147" s="455"/>
      <c r="BI2147" s="455"/>
      <c r="BJ2147" s="455"/>
      <c r="BK2147" s="455"/>
      <c r="BL2147" s="455"/>
      <c r="BM2147" s="456"/>
      <c r="BN2147" s="1209">
        <f t="shared" si="363"/>
        <v>0</v>
      </c>
      <c r="BO2147" s="1210"/>
      <c r="BP2147" s="1210"/>
      <c r="BQ2147" s="1210"/>
      <c r="BR2147" s="1210"/>
      <c r="BS2147" s="1210"/>
      <c r="BT2147" s="1210"/>
      <c r="BU2147" s="1210"/>
      <c r="BV2147" s="1210"/>
      <c r="BW2147" s="1210"/>
      <c r="BX2147" s="1210"/>
      <c r="BY2147" s="1210"/>
      <c r="BZ2147" s="1211"/>
      <c r="CA2147" s="270"/>
      <c r="CB2147" s="3" t="str">
        <f t="shared" si="355"/>
        <v>Riadok bude skrytý.</v>
      </c>
      <c r="CC2147" s="271" t="s">
        <v>832</v>
      </c>
      <c r="CW2147" s="30">
        <f t="shared" si="366"/>
        <v>1</v>
      </c>
      <c r="CX2147" s="30">
        <f t="shared" si="361"/>
        <v>1</v>
      </c>
      <c r="CZ2147" s="30">
        <f t="shared" si="353"/>
        <v>1</v>
      </c>
      <c r="DA2147" s="52">
        <f>+IF(CW2147*CX2147=0,0,IF(CZ2147=0,0,1))</f>
        <v>1</v>
      </c>
      <c r="DB2147" s="2">
        <f t="shared" si="369"/>
        <v>0</v>
      </c>
      <c r="DS2147" s="130">
        <f>SI!BY2147</f>
        <v>123</v>
      </c>
      <c r="DZ2147" s="131">
        <f>SI!BZ2147</f>
        <v>0</v>
      </c>
    </row>
    <row r="2148" spans="1:130" hidden="1" x14ac:dyDescent="0.25">
      <c r="A2148" s="141"/>
      <c r="CA2148" s="270"/>
      <c r="CB2148" s="3" t="str">
        <f t="shared" si="355"/>
        <v>Riadok bude skrytý.</v>
      </c>
      <c r="CC2148" s="271" t="s">
        <v>832</v>
      </c>
      <c r="CW2148" s="30">
        <f t="shared" si="366"/>
        <v>1</v>
      </c>
      <c r="CX2148" s="30">
        <f>+IF(B2150="",0,1)</f>
        <v>0</v>
      </c>
      <c r="CZ2148" s="30">
        <f t="shared" si="353"/>
        <v>1</v>
      </c>
      <c r="DA2148" s="52">
        <f t="shared" ref="DA2148:DA2169" si="370">+IF(CW2148*CX2148=0,0,IF(CZ2148=0,0,1))</f>
        <v>0</v>
      </c>
      <c r="DB2148" s="2">
        <f t="shared" si="369"/>
        <v>0</v>
      </c>
      <c r="DS2148" s="130">
        <f>SI!BY2148</f>
        <v>982</v>
      </c>
      <c r="DZ2148" s="131">
        <f>SI!BZ2148</f>
        <v>0</v>
      </c>
    </row>
    <row r="2149" spans="1:130" hidden="1" x14ac:dyDescent="0.25">
      <c r="A2149" s="141"/>
      <c r="B2149" s="137" t="str">
        <f>+IF($O$52&lt;&gt;"",IF(CODE(MID($O$52,1,1))*0+ROUNDDOWN(LEN(SI!J5)/2,0)=DS2149,"Spoločnosť uvádza k rezervám ďalšie doplňujúce informácie:","NEPOVOLENÉ POUŽITIE!"),"NEPOVOLENÉ POUŽITIE!")</f>
        <v>Spoločnosť uvádza k rezervám ďalšie doplňujúce informácie:</v>
      </c>
      <c r="CA2149" s="270"/>
      <c r="CB2149" s="3" t="str">
        <f t="shared" si="355"/>
        <v>Riadok bude skrytý.</v>
      </c>
      <c r="CC2149" s="271" t="s">
        <v>832</v>
      </c>
      <c r="CW2149" s="30">
        <f t="shared" si="366"/>
        <v>1</v>
      </c>
      <c r="CX2149" s="30">
        <f>+IF(B2150="",0,1)</f>
        <v>0</v>
      </c>
      <c r="CZ2149" s="30">
        <f t="shared" si="353"/>
        <v>1</v>
      </c>
      <c r="DA2149" s="52">
        <f t="shared" si="370"/>
        <v>0</v>
      </c>
      <c r="DB2149" s="2">
        <f t="shared" si="369"/>
        <v>0</v>
      </c>
      <c r="DS2149" s="130">
        <f>SI!BY2149</f>
        <v>7</v>
      </c>
      <c r="DZ2149" s="131">
        <f>SI!BZ2149</f>
        <v>0</v>
      </c>
    </row>
    <row r="2150" spans="1:130" hidden="1" x14ac:dyDescent="0.25">
      <c r="A2150" s="141"/>
      <c r="B2150" s="379"/>
      <c r="C2150" s="379"/>
      <c r="D2150" s="379"/>
      <c r="E2150" s="379"/>
      <c r="F2150" s="379"/>
      <c r="G2150" s="379"/>
      <c r="H2150" s="379"/>
      <c r="I2150" s="379"/>
      <c r="J2150" s="379"/>
      <c r="K2150" s="379"/>
      <c r="L2150" s="379"/>
      <c r="M2150" s="379"/>
      <c r="N2150" s="379"/>
      <c r="O2150" s="379"/>
      <c r="P2150" s="379"/>
      <c r="Q2150" s="379"/>
      <c r="R2150" s="379"/>
      <c r="S2150" s="379"/>
      <c r="T2150" s="379"/>
      <c r="U2150" s="379"/>
      <c r="V2150" s="379"/>
      <c r="W2150" s="379"/>
      <c r="X2150" s="379"/>
      <c r="Y2150" s="379"/>
      <c r="Z2150" s="379"/>
      <c r="AA2150" s="379"/>
      <c r="AB2150" s="379"/>
      <c r="AC2150" s="379"/>
      <c r="AD2150" s="379"/>
      <c r="AE2150" s="379"/>
      <c r="AF2150" s="379"/>
      <c r="AG2150" s="379"/>
      <c r="AH2150" s="379"/>
      <c r="AI2150" s="379"/>
      <c r="AJ2150" s="379"/>
      <c r="AK2150" s="379"/>
      <c r="AL2150" s="379"/>
      <c r="AM2150" s="379"/>
      <c r="AN2150" s="379"/>
      <c r="AO2150" s="379"/>
      <c r="AP2150" s="379"/>
      <c r="AQ2150" s="379"/>
      <c r="AR2150" s="379"/>
      <c r="AS2150" s="379"/>
      <c r="AT2150" s="379"/>
      <c r="AU2150" s="379"/>
      <c r="AV2150" s="379"/>
      <c r="AW2150" s="379"/>
      <c r="AX2150" s="379"/>
      <c r="AY2150" s="379"/>
      <c r="AZ2150" s="379"/>
      <c r="BA2150" s="379"/>
      <c r="BB2150" s="379"/>
      <c r="BC2150" s="379"/>
      <c r="BD2150" s="379"/>
      <c r="BE2150" s="379"/>
      <c r="BF2150" s="379"/>
      <c r="BG2150" s="379"/>
      <c r="BH2150" s="379"/>
      <c r="BI2150" s="379"/>
      <c r="BJ2150" s="379"/>
      <c r="BK2150" s="379"/>
      <c r="BL2150" s="379"/>
      <c r="BM2150" s="379"/>
      <c r="BN2150" s="379"/>
      <c r="BO2150" s="379"/>
      <c r="BP2150" s="379"/>
      <c r="BQ2150" s="379"/>
      <c r="BR2150" s="379"/>
      <c r="BS2150" s="379"/>
      <c r="BT2150" s="379"/>
      <c r="BU2150" s="379"/>
      <c r="BV2150" s="379"/>
      <c r="BW2150" s="379"/>
      <c r="BX2150" s="379"/>
      <c r="BY2150" s="379"/>
      <c r="BZ2150" s="379"/>
      <c r="CA2150" s="265" t="s">
        <v>773</v>
      </c>
      <c r="CB2150" s="3" t="str">
        <f t="shared" si="355"/>
        <v>Riadok bude skrytý.</v>
      </c>
      <c r="CC2150" s="271" t="s">
        <v>832</v>
      </c>
      <c r="CW2150" s="30">
        <f t="shared" si="366"/>
        <v>1</v>
      </c>
      <c r="CX2150" s="30">
        <f t="shared" ref="CX2150:CX2169" si="371">+IF(B2150="",0,1)</f>
        <v>0</v>
      </c>
      <c r="CZ2150" s="30">
        <f t="shared" si="353"/>
        <v>1</v>
      </c>
      <c r="DA2150" s="52">
        <f t="shared" si="370"/>
        <v>0</v>
      </c>
      <c r="DB2150" s="2">
        <f t="shared" si="369"/>
        <v>0</v>
      </c>
      <c r="DS2150" s="130">
        <f>SI!BY2150</f>
        <v>148</v>
      </c>
      <c r="DZ2150" s="131">
        <f>SI!BZ2150</f>
        <v>0</v>
      </c>
    </row>
    <row r="2151" spans="1:130" hidden="1" x14ac:dyDescent="0.25">
      <c r="A2151" s="141"/>
      <c r="B2151" s="379"/>
      <c r="C2151" s="379"/>
      <c r="D2151" s="379"/>
      <c r="E2151" s="379"/>
      <c r="F2151" s="379"/>
      <c r="G2151" s="379"/>
      <c r="H2151" s="379"/>
      <c r="I2151" s="379"/>
      <c r="J2151" s="379"/>
      <c r="K2151" s="379"/>
      <c r="L2151" s="379"/>
      <c r="M2151" s="379"/>
      <c r="N2151" s="379"/>
      <c r="O2151" s="379"/>
      <c r="P2151" s="379"/>
      <c r="Q2151" s="379"/>
      <c r="R2151" s="379"/>
      <c r="S2151" s="379"/>
      <c r="T2151" s="379"/>
      <c r="U2151" s="379"/>
      <c r="V2151" s="379"/>
      <c r="W2151" s="379"/>
      <c r="X2151" s="379"/>
      <c r="Y2151" s="379"/>
      <c r="Z2151" s="379"/>
      <c r="AA2151" s="379"/>
      <c r="AB2151" s="379"/>
      <c r="AC2151" s="379"/>
      <c r="AD2151" s="379"/>
      <c r="AE2151" s="379"/>
      <c r="AF2151" s="379"/>
      <c r="AG2151" s="379"/>
      <c r="AH2151" s="379"/>
      <c r="AI2151" s="379"/>
      <c r="AJ2151" s="379"/>
      <c r="AK2151" s="379"/>
      <c r="AL2151" s="379"/>
      <c r="AM2151" s="379"/>
      <c r="AN2151" s="379"/>
      <c r="AO2151" s="379"/>
      <c r="AP2151" s="379"/>
      <c r="AQ2151" s="379"/>
      <c r="AR2151" s="379"/>
      <c r="AS2151" s="379"/>
      <c r="AT2151" s="379"/>
      <c r="AU2151" s="379"/>
      <c r="AV2151" s="379"/>
      <c r="AW2151" s="379"/>
      <c r="AX2151" s="379"/>
      <c r="AY2151" s="379"/>
      <c r="AZ2151" s="379"/>
      <c r="BA2151" s="379"/>
      <c r="BB2151" s="379"/>
      <c r="BC2151" s="379"/>
      <c r="BD2151" s="379"/>
      <c r="BE2151" s="379"/>
      <c r="BF2151" s="379"/>
      <c r="BG2151" s="379"/>
      <c r="BH2151" s="379"/>
      <c r="BI2151" s="379"/>
      <c r="BJ2151" s="379"/>
      <c r="BK2151" s="379"/>
      <c r="BL2151" s="379"/>
      <c r="BM2151" s="379"/>
      <c r="BN2151" s="379"/>
      <c r="BO2151" s="379"/>
      <c r="BP2151" s="379"/>
      <c r="BQ2151" s="379"/>
      <c r="BR2151" s="379"/>
      <c r="BS2151" s="379"/>
      <c r="BT2151" s="379"/>
      <c r="BU2151" s="379"/>
      <c r="BV2151" s="379"/>
      <c r="BW2151" s="379"/>
      <c r="BX2151" s="379"/>
      <c r="BY2151" s="379"/>
      <c r="BZ2151" s="379"/>
      <c r="CA2151" s="281"/>
      <c r="CB2151" s="3" t="str">
        <f t="shared" si="355"/>
        <v>Riadok bude skrytý.</v>
      </c>
      <c r="CC2151" s="271" t="s">
        <v>832</v>
      </c>
      <c r="CW2151" s="30">
        <f t="shared" si="366"/>
        <v>1</v>
      </c>
      <c r="CX2151" s="30">
        <f t="shared" si="371"/>
        <v>0</v>
      </c>
      <c r="CZ2151" s="30">
        <f t="shared" si="353"/>
        <v>1</v>
      </c>
      <c r="DA2151" s="52">
        <f t="shared" si="370"/>
        <v>0</v>
      </c>
      <c r="DB2151" s="2">
        <f t="shared" si="369"/>
        <v>0</v>
      </c>
      <c r="DS2151" s="130">
        <f>SI!BY2151</f>
        <v>475</v>
      </c>
      <c r="DZ2151" s="131">
        <f>SI!BZ2151</f>
        <v>0</v>
      </c>
    </row>
    <row r="2152" spans="1:130" hidden="1" x14ac:dyDescent="0.25">
      <c r="A2152" s="141"/>
      <c r="B2152" s="379"/>
      <c r="C2152" s="379"/>
      <c r="D2152" s="379"/>
      <c r="E2152" s="379"/>
      <c r="F2152" s="379"/>
      <c r="G2152" s="379"/>
      <c r="H2152" s="379"/>
      <c r="I2152" s="379"/>
      <c r="J2152" s="379"/>
      <c r="K2152" s="379"/>
      <c r="L2152" s="379"/>
      <c r="M2152" s="379"/>
      <c r="N2152" s="379"/>
      <c r="O2152" s="379"/>
      <c r="P2152" s="379"/>
      <c r="Q2152" s="379"/>
      <c r="R2152" s="379"/>
      <c r="S2152" s="379"/>
      <c r="T2152" s="379"/>
      <c r="U2152" s="379"/>
      <c r="V2152" s="379"/>
      <c r="W2152" s="379"/>
      <c r="X2152" s="379"/>
      <c r="Y2152" s="379"/>
      <c r="Z2152" s="379"/>
      <c r="AA2152" s="379"/>
      <c r="AB2152" s="379"/>
      <c r="AC2152" s="379"/>
      <c r="AD2152" s="379"/>
      <c r="AE2152" s="379"/>
      <c r="AF2152" s="379"/>
      <c r="AG2152" s="379"/>
      <c r="AH2152" s="379"/>
      <c r="AI2152" s="379"/>
      <c r="AJ2152" s="379"/>
      <c r="AK2152" s="379"/>
      <c r="AL2152" s="379"/>
      <c r="AM2152" s="379"/>
      <c r="AN2152" s="379"/>
      <c r="AO2152" s="379"/>
      <c r="AP2152" s="379"/>
      <c r="AQ2152" s="379"/>
      <c r="AR2152" s="379"/>
      <c r="AS2152" s="379"/>
      <c r="AT2152" s="379"/>
      <c r="AU2152" s="379"/>
      <c r="AV2152" s="379"/>
      <c r="AW2152" s="379"/>
      <c r="AX2152" s="379"/>
      <c r="AY2152" s="379"/>
      <c r="AZ2152" s="379"/>
      <c r="BA2152" s="379"/>
      <c r="BB2152" s="379"/>
      <c r="BC2152" s="379"/>
      <c r="BD2152" s="379"/>
      <c r="BE2152" s="379"/>
      <c r="BF2152" s="379"/>
      <c r="BG2152" s="379"/>
      <c r="BH2152" s="379"/>
      <c r="BI2152" s="379"/>
      <c r="BJ2152" s="379"/>
      <c r="BK2152" s="379"/>
      <c r="BL2152" s="379"/>
      <c r="BM2152" s="379"/>
      <c r="BN2152" s="379"/>
      <c r="BO2152" s="379"/>
      <c r="BP2152" s="379"/>
      <c r="BQ2152" s="379"/>
      <c r="BR2152" s="379"/>
      <c r="BS2152" s="379"/>
      <c r="BT2152" s="379"/>
      <c r="BU2152" s="379"/>
      <c r="BV2152" s="379"/>
      <c r="BW2152" s="379"/>
      <c r="BX2152" s="379"/>
      <c r="BY2152" s="379"/>
      <c r="BZ2152" s="379"/>
      <c r="CA2152" s="281"/>
      <c r="CB2152" s="3" t="str">
        <f t="shared" si="355"/>
        <v>Riadok bude skrytý.</v>
      </c>
      <c r="CC2152" s="271" t="s">
        <v>832</v>
      </c>
      <c r="CW2152" s="30">
        <f t="shared" si="366"/>
        <v>1</v>
      </c>
      <c r="CX2152" s="30">
        <f t="shared" si="371"/>
        <v>0</v>
      </c>
      <c r="CZ2152" s="30">
        <f t="shared" si="353"/>
        <v>1</v>
      </c>
      <c r="DA2152" s="52">
        <f t="shared" si="370"/>
        <v>0</v>
      </c>
      <c r="DB2152" s="2">
        <f t="shared" si="369"/>
        <v>0</v>
      </c>
      <c r="DS2152" s="130">
        <f>SI!BY2152</f>
        <v>114</v>
      </c>
      <c r="DZ2152" s="131">
        <f>SI!BZ2152</f>
        <v>0</v>
      </c>
    </row>
    <row r="2153" spans="1:130" hidden="1" x14ac:dyDescent="0.25">
      <c r="A2153" s="141"/>
      <c r="B2153" s="379"/>
      <c r="C2153" s="379"/>
      <c r="D2153" s="379"/>
      <c r="E2153" s="379"/>
      <c r="F2153" s="379"/>
      <c r="G2153" s="379"/>
      <c r="H2153" s="379"/>
      <c r="I2153" s="379"/>
      <c r="J2153" s="379"/>
      <c r="K2153" s="379"/>
      <c r="L2153" s="379"/>
      <c r="M2153" s="379"/>
      <c r="N2153" s="379"/>
      <c r="O2153" s="379"/>
      <c r="P2153" s="379"/>
      <c r="Q2153" s="379"/>
      <c r="R2153" s="379"/>
      <c r="S2153" s="379"/>
      <c r="T2153" s="379"/>
      <c r="U2153" s="379"/>
      <c r="V2153" s="379"/>
      <c r="W2153" s="379"/>
      <c r="X2153" s="379"/>
      <c r="Y2153" s="379"/>
      <c r="Z2153" s="379"/>
      <c r="AA2153" s="379"/>
      <c r="AB2153" s="379"/>
      <c r="AC2153" s="379"/>
      <c r="AD2153" s="379"/>
      <c r="AE2153" s="379"/>
      <c r="AF2153" s="379"/>
      <c r="AG2153" s="379"/>
      <c r="AH2153" s="379"/>
      <c r="AI2153" s="379"/>
      <c r="AJ2153" s="379"/>
      <c r="AK2153" s="379"/>
      <c r="AL2153" s="379"/>
      <c r="AM2153" s="379"/>
      <c r="AN2153" s="379"/>
      <c r="AO2153" s="379"/>
      <c r="AP2153" s="379"/>
      <c r="AQ2153" s="379"/>
      <c r="AR2153" s="379"/>
      <c r="AS2153" s="379"/>
      <c r="AT2153" s="379"/>
      <c r="AU2153" s="379"/>
      <c r="AV2153" s="379"/>
      <c r="AW2153" s="379"/>
      <c r="AX2153" s="379"/>
      <c r="AY2153" s="379"/>
      <c r="AZ2153" s="379"/>
      <c r="BA2153" s="379"/>
      <c r="BB2153" s="379"/>
      <c r="BC2153" s="379"/>
      <c r="BD2153" s="379"/>
      <c r="BE2153" s="379"/>
      <c r="BF2153" s="379"/>
      <c r="BG2153" s="379"/>
      <c r="BH2153" s="379"/>
      <c r="BI2153" s="379"/>
      <c r="BJ2153" s="379"/>
      <c r="BK2153" s="379"/>
      <c r="BL2153" s="379"/>
      <c r="BM2153" s="379"/>
      <c r="BN2153" s="379"/>
      <c r="BO2153" s="379"/>
      <c r="BP2153" s="379"/>
      <c r="BQ2153" s="379"/>
      <c r="BR2153" s="379"/>
      <c r="BS2153" s="379"/>
      <c r="BT2153" s="379"/>
      <c r="BU2153" s="379"/>
      <c r="BV2153" s="379"/>
      <c r="BW2153" s="379"/>
      <c r="BX2153" s="379"/>
      <c r="BY2153" s="379"/>
      <c r="BZ2153" s="379"/>
      <c r="CA2153" s="281"/>
      <c r="CB2153" s="3" t="str">
        <f t="shared" si="355"/>
        <v>Riadok bude skrytý.</v>
      </c>
      <c r="CC2153" s="271" t="s">
        <v>832</v>
      </c>
      <c r="CW2153" s="30">
        <f t="shared" si="366"/>
        <v>1</v>
      </c>
      <c r="CX2153" s="30">
        <f t="shared" si="371"/>
        <v>0</v>
      </c>
      <c r="CZ2153" s="30">
        <f t="shared" si="353"/>
        <v>1</v>
      </c>
      <c r="DA2153" s="52">
        <f t="shared" si="370"/>
        <v>0</v>
      </c>
      <c r="DB2153" s="2">
        <f t="shared" si="369"/>
        <v>0</v>
      </c>
      <c r="DS2153" s="130">
        <f>SI!BY2153</f>
        <v>771</v>
      </c>
      <c r="DZ2153" s="131">
        <f>SI!BZ2153</f>
        <v>0</v>
      </c>
    </row>
    <row r="2154" spans="1:130" hidden="1" x14ac:dyDescent="0.25">
      <c r="A2154" s="141"/>
      <c r="B2154" s="379"/>
      <c r="C2154" s="379"/>
      <c r="D2154" s="379"/>
      <c r="E2154" s="379"/>
      <c r="F2154" s="379"/>
      <c r="G2154" s="379"/>
      <c r="H2154" s="379"/>
      <c r="I2154" s="379"/>
      <c r="J2154" s="379"/>
      <c r="K2154" s="379"/>
      <c r="L2154" s="379"/>
      <c r="M2154" s="379"/>
      <c r="N2154" s="379"/>
      <c r="O2154" s="379"/>
      <c r="P2154" s="379"/>
      <c r="Q2154" s="379"/>
      <c r="R2154" s="379"/>
      <c r="S2154" s="379"/>
      <c r="T2154" s="379"/>
      <c r="U2154" s="379"/>
      <c r="V2154" s="379"/>
      <c r="W2154" s="379"/>
      <c r="X2154" s="379"/>
      <c r="Y2154" s="379"/>
      <c r="Z2154" s="379"/>
      <c r="AA2154" s="379"/>
      <c r="AB2154" s="379"/>
      <c r="AC2154" s="379"/>
      <c r="AD2154" s="379"/>
      <c r="AE2154" s="379"/>
      <c r="AF2154" s="379"/>
      <c r="AG2154" s="379"/>
      <c r="AH2154" s="379"/>
      <c r="AI2154" s="379"/>
      <c r="AJ2154" s="379"/>
      <c r="AK2154" s="379"/>
      <c r="AL2154" s="379"/>
      <c r="AM2154" s="379"/>
      <c r="AN2154" s="379"/>
      <c r="AO2154" s="379"/>
      <c r="AP2154" s="379"/>
      <c r="AQ2154" s="379"/>
      <c r="AR2154" s="379"/>
      <c r="AS2154" s="379"/>
      <c r="AT2154" s="379"/>
      <c r="AU2154" s="379"/>
      <c r="AV2154" s="379"/>
      <c r="AW2154" s="379"/>
      <c r="AX2154" s="379"/>
      <c r="AY2154" s="379"/>
      <c r="AZ2154" s="379"/>
      <c r="BA2154" s="379"/>
      <c r="BB2154" s="379"/>
      <c r="BC2154" s="379"/>
      <c r="BD2154" s="379"/>
      <c r="BE2154" s="379"/>
      <c r="BF2154" s="379"/>
      <c r="BG2154" s="379"/>
      <c r="BH2154" s="379"/>
      <c r="BI2154" s="379"/>
      <c r="BJ2154" s="379"/>
      <c r="BK2154" s="379"/>
      <c r="BL2154" s="379"/>
      <c r="BM2154" s="379"/>
      <c r="BN2154" s="379"/>
      <c r="BO2154" s="379"/>
      <c r="BP2154" s="379"/>
      <c r="BQ2154" s="379"/>
      <c r="BR2154" s="379"/>
      <c r="BS2154" s="379"/>
      <c r="BT2154" s="379"/>
      <c r="BU2154" s="379"/>
      <c r="BV2154" s="379"/>
      <c r="BW2154" s="379"/>
      <c r="BX2154" s="379"/>
      <c r="BY2154" s="379"/>
      <c r="BZ2154" s="379"/>
      <c r="CA2154" s="281"/>
      <c r="CB2154" s="3" t="str">
        <f t="shared" si="355"/>
        <v>Riadok bude skrytý.</v>
      </c>
      <c r="CC2154" s="271" t="s">
        <v>832</v>
      </c>
      <c r="CW2154" s="30">
        <f t="shared" si="366"/>
        <v>1</v>
      </c>
      <c r="CX2154" s="30">
        <f t="shared" si="371"/>
        <v>0</v>
      </c>
      <c r="CZ2154" s="30">
        <f t="shared" si="353"/>
        <v>1</v>
      </c>
      <c r="DA2154" s="52">
        <f t="shared" si="370"/>
        <v>0</v>
      </c>
      <c r="DB2154" s="2">
        <f t="shared" si="369"/>
        <v>0</v>
      </c>
      <c r="DS2154" s="130">
        <f>SI!BY2154</f>
        <v>155</v>
      </c>
      <c r="DZ2154" s="131">
        <f>SI!BZ2154</f>
        <v>0</v>
      </c>
    </row>
    <row r="2155" spans="1:130" hidden="1" x14ac:dyDescent="0.25">
      <c r="A2155" s="141"/>
      <c r="B2155" s="379"/>
      <c r="C2155" s="379"/>
      <c r="D2155" s="379"/>
      <c r="E2155" s="379"/>
      <c r="F2155" s="379"/>
      <c r="G2155" s="379"/>
      <c r="H2155" s="379"/>
      <c r="I2155" s="379"/>
      <c r="J2155" s="379"/>
      <c r="K2155" s="379"/>
      <c r="L2155" s="379"/>
      <c r="M2155" s="379"/>
      <c r="N2155" s="379"/>
      <c r="O2155" s="379"/>
      <c r="P2155" s="379"/>
      <c r="Q2155" s="379"/>
      <c r="R2155" s="379"/>
      <c r="S2155" s="379"/>
      <c r="T2155" s="379"/>
      <c r="U2155" s="379"/>
      <c r="V2155" s="379"/>
      <c r="W2155" s="379"/>
      <c r="X2155" s="379"/>
      <c r="Y2155" s="379"/>
      <c r="Z2155" s="379"/>
      <c r="AA2155" s="379"/>
      <c r="AB2155" s="379"/>
      <c r="AC2155" s="379"/>
      <c r="AD2155" s="379"/>
      <c r="AE2155" s="379"/>
      <c r="AF2155" s="379"/>
      <c r="AG2155" s="379"/>
      <c r="AH2155" s="379"/>
      <c r="AI2155" s="379"/>
      <c r="AJ2155" s="379"/>
      <c r="AK2155" s="379"/>
      <c r="AL2155" s="379"/>
      <c r="AM2155" s="379"/>
      <c r="AN2155" s="379"/>
      <c r="AO2155" s="379"/>
      <c r="AP2155" s="379"/>
      <c r="AQ2155" s="379"/>
      <c r="AR2155" s="379"/>
      <c r="AS2155" s="379"/>
      <c r="AT2155" s="379"/>
      <c r="AU2155" s="379"/>
      <c r="AV2155" s="379"/>
      <c r="AW2155" s="379"/>
      <c r="AX2155" s="379"/>
      <c r="AY2155" s="379"/>
      <c r="AZ2155" s="379"/>
      <c r="BA2155" s="379"/>
      <c r="BB2155" s="379"/>
      <c r="BC2155" s="379"/>
      <c r="BD2155" s="379"/>
      <c r="BE2155" s="379"/>
      <c r="BF2155" s="379"/>
      <c r="BG2155" s="379"/>
      <c r="BH2155" s="379"/>
      <c r="BI2155" s="379"/>
      <c r="BJ2155" s="379"/>
      <c r="BK2155" s="379"/>
      <c r="BL2155" s="379"/>
      <c r="BM2155" s="379"/>
      <c r="BN2155" s="379"/>
      <c r="BO2155" s="379"/>
      <c r="BP2155" s="379"/>
      <c r="BQ2155" s="379"/>
      <c r="BR2155" s="379"/>
      <c r="BS2155" s="379"/>
      <c r="BT2155" s="379"/>
      <c r="BU2155" s="379"/>
      <c r="BV2155" s="379"/>
      <c r="BW2155" s="379"/>
      <c r="BX2155" s="379"/>
      <c r="BY2155" s="379"/>
      <c r="BZ2155" s="379"/>
      <c r="CA2155" s="281"/>
      <c r="CB2155" s="3" t="str">
        <f t="shared" si="355"/>
        <v>Riadok bude skrytý.</v>
      </c>
      <c r="CC2155" s="271" t="s">
        <v>832</v>
      </c>
      <c r="CW2155" s="30">
        <f t="shared" si="366"/>
        <v>1</v>
      </c>
      <c r="CX2155" s="30">
        <f t="shared" si="371"/>
        <v>0</v>
      </c>
      <c r="CZ2155" s="30">
        <f t="shared" ref="CZ2155:CZ2226" si="372">IF(CC2155="",1,IF(CC2155="Chcem skryť riadok.",0,1))</f>
        <v>1</v>
      </c>
      <c r="DA2155" s="52">
        <f t="shared" si="370"/>
        <v>0</v>
      </c>
      <c r="DB2155" s="2">
        <f t="shared" si="369"/>
        <v>0</v>
      </c>
      <c r="DS2155" s="130">
        <f>SI!BY2155</f>
        <v>405</v>
      </c>
      <c r="DZ2155" s="131">
        <f>SI!BZ2155</f>
        <v>0</v>
      </c>
    </row>
    <row r="2156" spans="1:130" hidden="1" x14ac:dyDescent="0.25">
      <c r="A2156" s="141"/>
      <c r="B2156" s="379"/>
      <c r="C2156" s="379"/>
      <c r="D2156" s="379"/>
      <c r="E2156" s="379"/>
      <c r="F2156" s="379"/>
      <c r="G2156" s="379"/>
      <c r="H2156" s="379"/>
      <c r="I2156" s="379"/>
      <c r="J2156" s="379"/>
      <c r="K2156" s="379"/>
      <c r="L2156" s="379"/>
      <c r="M2156" s="379"/>
      <c r="N2156" s="379"/>
      <c r="O2156" s="379"/>
      <c r="P2156" s="379"/>
      <c r="Q2156" s="379"/>
      <c r="R2156" s="379"/>
      <c r="S2156" s="379"/>
      <c r="T2156" s="379"/>
      <c r="U2156" s="379"/>
      <c r="V2156" s="379"/>
      <c r="W2156" s="379"/>
      <c r="X2156" s="379"/>
      <c r="Y2156" s="379"/>
      <c r="Z2156" s="379"/>
      <c r="AA2156" s="379"/>
      <c r="AB2156" s="379"/>
      <c r="AC2156" s="379"/>
      <c r="AD2156" s="379"/>
      <c r="AE2156" s="379"/>
      <c r="AF2156" s="379"/>
      <c r="AG2156" s="379"/>
      <c r="AH2156" s="379"/>
      <c r="AI2156" s="379"/>
      <c r="AJ2156" s="379"/>
      <c r="AK2156" s="379"/>
      <c r="AL2156" s="379"/>
      <c r="AM2156" s="379"/>
      <c r="AN2156" s="379"/>
      <c r="AO2156" s="379"/>
      <c r="AP2156" s="379"/>
      <c r="AQ2156" s="379"/>
      <c r="AR2156" s="379"/>
      <c r="AS2156" s="379"/>
      <c r="AT2156" s="379"/>
      <c r="AU2156" s="379"/>
      <c r="AV2156" s="379"/>
      <c r="AW2156" s="379"/>
      <c r="AX2156" s="379"/>
      <c r="AY2156" s="379"/>
      <c r="AZ2156" s="379"/>
      <c r="BA2156" s="379"/>
      <c r="BB2156" s="379"/>
      <c r="BC2156" s="379"/>
      <c r="BD2156" s="379"/>
      <c r="BE2156" s="379"/>
      <c r="BF2156" s="379"/>
      <c r="BG2156" s="379"/>
      <c r="BH2156" s="379"/>
      <c r="BI2156" s="379"/>
      <c r="BJ2156" s="379"/>
      <c r="BK2156" s="379"/>
      <c r="BL2156" s="379"/>
      <c r="BM2156" s="379"/>
      <c r="BN2156" s="379"/>
      <c r="BO2156" s="379"/>
      <c r="BP2156" s="379"/>
      <c r="BQ2156" s="379"/>
      <c r="BR2156" s="379"/>
      <c r="BS2156" s="379"/>
      <c r="BT2156" s="379"/>
      <c r="BU2156" s="379"/>
      <c r="BV2156" s="379"/>
      <c r="BW2156" s="379"/>
      <c r="BX2156" s="379"/>
      <c r="BY2156" s="379"/>
      <c r="BZ2156" s="379"/>
      <c r="CA2156" s="281"/>
      <c r="CB2156" s="3" t="str">
        <f t="shared" si="355"/>
        <v>Riadok bude skrytý.</v>
      </c>
      <c r="CC2156" s="271" t="s">
        <v>832</v>
      </c>
      <c r="CW2156" s="30">
        <f t="shared" si="366"/>
        <v>1</v>
      </c>
      <c r="CX2156" s="30">
        <f t="shared" si="371"/>
        <v>0</v>
      </c>
      <c r="CZ2156" s="30">
        <f t="shared" si="372"/>
        <v>1</v>
      </c>
      <c r="DA2156" s="52">
        <f t="shared" si="370"/>
        <v>0</v>
      </c>
      <c r="DB2156" s="2">
        <f t="shared" si="369"/>
        <v>0</v>
      </c>
      <c r="DS2156" s="130">
        <f>SI!BY2156</f>
        <v>135</v>
      </c>
      <c r="DZ2156" s="131">
        <f>SI!BZ2156</f>
        <v>0</v>
      </c>
    </row>
    <row r="2157" spans="1:130" hidden="1" x14ac:dyDescent="0.25">
      <c r="A2157" s="141"/>
      <c r="B2157" s="379"/>
      <c r="C2157" s="379"/>
      <c r="D2157" s="379"/>
      <c r="E2157" s="379"/>
      <c r="F2157" s="379"/>
      <c r="G2157" s="379"/>
      <c r="H2157" s="379"/>
      <c r="I2157" s="379"/>
      <c r="J2157" s="379"/>
      <c r="K2157" s="379"/>
      <c r="L2157" s="379"/>
      <c r="M2157" s="379"/>
      <c r="N2157" s="379"/>
      <c r="O2157" s="379"/>
      <c r="P2157" s="379"/>
      <c r="Q2157" s="379"/>
      <c r="R2157" s="379"/>
      <c r="S2157" s="379"/>
      <c r="T2157" s="379"/>
      <c r="U2157" s="379"/>
      <c r="V2157" s="379"/>
      <c r="W2157" s="379"/>
      <c r="X2157" s="379"/>
      <c r="Y2157" s="379"/>
      <c r="Z2157" s="379"/>
      <c r="AA2157" s="379"/>
      <c r="AB2157" s="379"/>
      <c r="AC2157" s="379"/>
      <c r="AD2157" s="379"/>
      <c r="AE2157" s="379"/>
      <c r="AF2157" s="379"/>
      <c r="AG2157" s="379"/>
      <c r="AH2157" s="379"/>
      <c r="AI2157" s="379"/>
      <c r="AJ2157" s="379"/>
      <c r="AK2157" s="379"/>
      <c r="AL2157" s="379"/>
      <c r="AM2157" s="379"/>
      <c r="AN2157" s="379"/>
      <c r="AO2157" s="379"/>
      <c r="AP2157" s="379"/>
      <c r="AQ2157" s="379"/>
      <c r="AR2157" s="379"/>
      <c r="AS2157" s="379"/>
      <c r="AT2157" s="379"/>
      <c r="AU2157" s="379"/>
      <c r="AV2157" s="379"/>
      <c r="AW2157" s="379"/>
      <c r="AX2157" s="379"/>
      <c r="AY2157" s="379"/>
      <c r="AZ2157" s="379"/>
      <c r="BA2157" s="379"/>
      <c r="BB2157" s="379"/>
      <c r="BC2157" s="379"/>
      <c r="BD2157" s="379"/>
      <c r="BE2157" s="379"/>
      <c r="BF2157" s="379"/>
      <c r="BG2157" s="379"/>
      <c r="BH2157" s="379"/>
      <c r="BI2157" s="379"/>
      <c r="BJ2157" s="379"/>
      <c r="BK2157" s="379"/>
      <c r="BL2157" s="379"/>
      <c r="BM2157" s="379"/>
      <c r="BN2157" s="379"/>
      <c r="BO2157" s="379"/>
      <c r="BP2157" s="379"/>
      <c r="BQ2157" s="379"/>
      <c r="BR2157" s="379"/>
      <c r="BS2157" s="379"/>
      <c r="BT2157" s="379"/>
      <c r="BU2157" s="379"/>
      <c r="BV2157" s="379"/>
      <c r="BW2157" s="379"/>
      <c r="BX2157" s="379"/>
      <c r="BY2157" s="379"/>
      <c r="BZ2157" s="379"/>
      <c r="CA2157" s="281"/>
      <c r="CB2157" s="3" t="str">
        <f t="shared" si="355"/>
        <v>Riadok bude skrytý.</v>
      </c>
      <c r="CC2157" s="271" t="s">
        <v>832</v>
      </c>
      <c r="CW2157" s="30">
        <f t="shared" si="366"/>
        <v>1</v>
      </c>
      <c r="CX2157" s="30">
        <f t="shared" si="371"/>
        <v>0</v>
      </c>
      <c r="CZ2157" s="30">
        <f t="shared" si="372"/>
        <v>1</v>
      </c>
      <c r="DA2157" s="52">
        <f t="shared" si="370"/>
        <v>0</v>
      </c>
      <c r="DB2157" s="2">
        <f t="shared" si="369"/>
        <v>0</v>
      </c>
      <c r="DS2157" s="130">
        <f>SI!BY2157</f>
        <v>1163</v>
      </c>
      <c r="DZ2157" s="131">
        <f>SI!BZ2157</f>
        <v>0</v>
      </c>
    </row>
    <row r="2158" spans="1:130" hidden="1" x14ac:dyDescent="0.25">
      <c r="A2158" s="141"/>
      <c r="B2158" s="379"/>
      <c r="C2158" s="379"/>
      <c r="D2158" s="379"/>
      <c r="E2158" s="379"/>
      <c r="F2158" s="379"/>
      <c r="G2158" s="379"/>
      <c r="H2158" s="379"/>
      <c r="I2158" s="379"/>
      <c r="J2158" s="379"/>
      <c r="K2158" s="379"/>
      <c r="L2158" s="379"/>
      <c r="M2158" s="379"/>
      <c r="N2158" s="379"/>
      <c r="O2158" s="379"/>
      <c r="P2158" s="379"/>
      <c r="Q2158" s="379"/>
      <c r="R2158" s="379"/>
      <c r="S2158" s="379"/>
      <c r="T2158" s="379"/>
      <c r="U2158" s="379"/>
      <c r="V2158" s="379"/>
      <c r="W2158" s="379"/>
      <c r="X2158" s="379"/>
      <c r="Y2158" s="379"/>
      <c r="Z2158" s="379"/>
      <c r="AA2158" s="379"/>
      <c r="AB2158" s="379"/>
      <c r="AC2158" s="379"/>
      <c r="AD2158" s="379"/>
      <c r="AE2158" s="379"/>
      <c r="AF2158" s="379"/>
      <c r="AG2158" s="379"/>
      <c r="AH2158" s="379"/>
      <c r="AI2158" s="379"/>
      <c r="AJ2158" s="379"/>
      <c r="AK2158" s="379"/>
      <c r="AL2158" s="379"/>
      <c r="AM2158" s="379"/>
      <c r="AN2158" s="379"/>
      <c r="AO2158" s="379"/>
      <c r="AP2158" s="379"/>
      <c r="AQ2158" s="379"/>
      <c r="AR2158" s="379"/>
      <c r="AS2158" s="379"/>
      <c r="AT2158" s="379"/>
      <c r="AU2158" s="379"/>
      <c r="AV2158" s="379"/>
      <c r="AW2158" s="379"/>
      <c r="AX2158" s="379"/>
      <c r="AY2158" s="379"/>
      <c r="AZ2158" s="379"/>
      <c r="BA2158" s="379"/>
      <c r="BB2158" s="379"/>
      <c r="BC2158" s="379"/>
      <c r="BD2158" s="379"/>
      <c r="BE2158" s="379"/>
      <c r="BF2158" s="379"/>
      <c r="BG2158" s="379"/>
      <c r="BH2158" s="379"/>
      <c r="BI2158" s="379"/>
      <c r="BJ2158" s="379"/>
      <c r="BK2158" s="379"/>
      <c r="BL2158" s="379"/>
      <c r="BM2158" s="379"/>
      <c r="BN2158" s="379"/>
      <c r="BO2158" s="379"/>
      <c r="BP2158" s="379"/>
      <c r="BQ2158" s="379"/>
      <c r="BR2158" s="379"/>
      <c r="BS2158" s="379"/>
      <c r="BT2158" s="379"/>
      <c r="BU2158" s="379"/>
      <c r="BV2158" s="379"/>
      <c r="BW2158" s="379"/>
      <c r="BX2158" s="379"/>
      <c r="BY2158" s="379"/>
      <c r="BZ2158" s="379"/>
      <c r="CA2158" s="281"/>
      <c r="CB2158" s="3" t="str">
        <f t="shared" si="355"/>
        <v>Riadok bude skrytý.</v>
      </c>
      <c r="CC2158" s="271" t="s">
        <v>832</v>
      </c>
      <c r="CW2158" s="30">
        <f t="shared" si="366"/>
        <v>1</v>
      </c>
      <c r="CX2158" s="30">
        <f t="shared" si="371"/>
        <v>0</v>
      </c>
      <c r="CZ2158" s="30">
        <f t="shared" si="372"/>
        <v>1</v>
      </c>
      <c r="DA2158" s="52">
        <f t="shared" si="370"/>
        <v>0</v>
      </c>
      <c r="DB2158" s="2">
        <f t="shared" si="369"/>
        <v>0</v>
      </c>
      <c r="DS2158" s="130">
        <f>SI!BY2158</f>
        <v>182</v>
      </c>
      <c r="DZ2158" s="131">
        <f>SI!BZ2158</f>
        <v>0</v>
      </c>
    </row>
    <row r="2159" spans="1:130" hidden="1" x14ac:dyDescent="0.25">
      <c r="A2159" s="141"/>
      <c r="B2159" s="379"/>
      <c r="C2159" s="379"/>
      <c r="D2159" s="379"/>
      <c r="E2159" s="379"/>
      <c r="F2159" s="379"/>
      <c r="G2159" s="379"/>
      <c r="H2159" s="379"/>
      <c r="I2159" s="379"/>
      <c r="J2159" s="379"/>
      <c r="K2159" s="379"/>
      <c r="L2159" s="379"/>
      <c r="M2159" s="379"/>
      <c r="N2159" s="379"/>
      <c r="O2159" s="379"/>
      <c r="P2159" s="379"/>
      <c r="Q2159" s="379"/>
      <c r="R2159" s="379"/>
      <c r="S2159" s="379"/>
      <c r="T2159" s="379"/>
      <c r="U2159" s="379"/>
      <c r="V2159" s="379"/>
      <c r="W2159" s="379"/>
      <c r="X2159" s="379"/>
      <c r="Y2159" s="379"/>
      <c r="Z2159" s="379"/>
      <c r="AA2159" s="379"/>
      <c r="AB2159" s="379"/>
      <c r="AC2159" s="379"/>
      <c r="AD2159" s="379"/>
      <c r="AE2159" s="379"/>
      <c r="AF2159" s="379"/>
      <c r="AG2159" s="379"/>
      <c r="AH2159" s="379"/>
      <c r="AI2159" s="379"/>
      <c r="AJ2159" s="379"/>
      <c r="AK2159" s="379"/>
      <c r="AL2159" s="379"/>
      <c r="AM2159" s="379"/>
      <c r="AN2159" s="379"/>
      <c r="AO2159" s="379"/>
      <c r="AP2159" s="379"/>
      <c r="AQ2159" s="379"/>
      <c r="AR2159" s="379"/>
      <c r="AS2159" s="379"/>
      <c r="AT2159" s="379"/>
      <c r="AU2159" s="379"/>
      <c r="AV2159" s="379"/>
      <c r="AW2159" s="379"/>
      <c r="AX2159" s="379"/>
      <c r="AY2159" s="379"/>
      <c r="AZ2159" s="379"/>
      <c r="BA2159" s="379"/>
      <c r="BB2159" s="379"/>
      <c r="BC2159" s="379"/>
      <c r="BD2159" s="379"/>
      <c r="BE2159" s="379"/>
      <c r="BF2159" s="379"/>
      <c r="BG2159" s="379"/>
      <c r="BH2159" s="379"/>
      <c r="BI2159" s="379"/>
      <c r="BJ2159" s="379"/>
      <c r="BK2159" s="379"/>
      <c r="BL2159" s="379"/>
      <c r="BM2159" s="379"/>
      <c r="BN2159" s="379"/>
      <c r="BO2159" s="379"/>
      <c r="BP2159" s="379"/>
      <c r="BQ2159" s="379"/>
      <c r="BR2159" s="379"/>
      <c r="BS2159" s="379"/>
      <c r="BT2159" s="379"/>
      <c r="BU2159" s="379"/>
      <c r="BV2159" s="379"/>
      <c r="BW2159" s="379"/>
      <c r="BX2159" s="379"/>
      <c r="BY2159" s="379"/>
      <c r="BZ2159" s="379"/>
      <c r="CA2159" s="281"/>
      <c r="CB2159" s="3" t="str">
        <f t="shared" si="355"/>
        <v>Riadok bude skrytý.</v>
      </c>
      <c r="CC2159" s="271" t="s">
        <v>832</v>
      </c>
      <c r="CW2159" s="30">
        <f t="shared" si="366"/>
        <v>1</v>
      </c>
      <c r="CX2159" s="30">
        <f t="shared" si="371"/>
        <v>0</v>
      </c>
      <c r="CZ2159" s="30">
        <f t="shared" si="372"/>
        <v>1</v>
      </c>
      <c r="DA2159" s="52">
        <f t="shared" si="370"/>
        <v>0</v>
      </c>
      <c r="DB2159" s="2">
        <f t="shared" si="369"/>
        <v>0</v>
      </c>
      <c r="DS2159" s="130">
        <f>SI!BY2159</f>
        <v>171</v>
      </c>
      <c r="DZ2159" s="131">
        <f>SI!BZ2159</f>
        <v>0</v>
      </c>
    </row>
    <row r="2160" spans="1:130" hidden="1" x14ac:dyDescent="0.25">
      <c r="A2160" s="141"/>
      <c r="B2160" s="379"/>
      <c r="C2160" s="379"/>
      <c r="D2160" s="379"/>
      <c r="E2160" s="379"/>
      <c r="F2160" s="379"/>
      <c r="G2160" s="379"/>
      <c r="H2160" s="379"/>
      <c r="I2160" s="379"/>
      <c r="J2160" s="379"/>
      <c r="K2160" s="379"/>
      <c r="L2160" s="379"/>
      <c r="M2160" s="379"/>
      <c r="N2160" s="379"/>
      <c r="O2160" s="379"/>
      <c r="P2160" s="379"/>
      <c r="Q2160" s="379"/>
      <c r="R2160" s="379"/>
      <c r="S2160" s="379"/>
      <c r="T2160" s="379"/>
      <c r="U2160" s="379"/>
      <c r="V2160" s="379"/>
      <c r="W2160" s="379"/>
      <c r="X2160" s="379"/>
      <c r="Y2160" s="379"/>
      <c r="Z2160" s="379"/>
      <c r="AA2160" s="379"/>
      <c r="AB2160" s="379"/>
      <c r="AC2160" s="379"/>
      <c r="AD2160" s="379"/>
      <c r="AE2160" s="379"/>
      <c r="AF2160" s="379"/>
      <c r="AG2160" s="379"/>
      <c r="AH2160" s="379"/>
      <c r="AI2160" s="379"/>
      <c r="AJ2160" s="379"/>
      <c r="AK2160" s="379"/>
      <c r="AL2160" s="379"/>
      <c r="AM2160" s="379"/>
      <c r="AN2160" s="379"/>
      <c r="AO2160" s="379"/>
      <c r="AP2160" s="379"/>
      <c r="AQ2160" s="379"/>
      <c r="AR2160" s="379"/>
      <c r="AS2160" s="379"/>
      <c r="AT2160" s="379"/>
      <c r="AU2160" s="379"/>
      <c r="AV2160" s="379"/>
      <c r="AW2160" s="379"/>
      <c r="AX2160" s="379"/>
      <c r="AY2160" s="379"/>
      <c r="AZ2160" s="379"/>
      <c r="BA2160" s="379"/>
      <c r="BB2160" s="379"/>
      <c r="BC2160" s="379"/>
      <c r="BD2160" s="379"/>
      <c r="BE2160" s="379"/>
      <c r="BF2160" s="379"/>
      <c r="BG2160" s="379"/>
      <c r="BH2160" s="379"/>
      <c r="BI2160" s="379"/>
      <c r="BJ2160" s="379"/>
      <c r="BK2160" s="379"/>
      <c r="BL2160" s="379"/>
      <c r="BM2160" s="379"/>
      <c r="BN2160" s="379"/>
      <c r="BO2160" s="379"/>
      <c r="BP2160" s="379"/>
      <c r="BQ2160" s="379"/>
      <c r="BR2160" s="379"/>
      <c r="BS2160" s="379"/>
      <c r="BT2160" s="379"/>
      <c r="BU2160" s="379"/>
      <c r="BV2160" s="379"/>
      <c r="BW2160" s="379"/>
      <c r="BX2160" s="379"/>
      <c r="BY2160" s="379"/>
      <c r="BZ2160" s="379"/>
      <c r="CA2160" s="281"/>
      <c r="CB2160" s="3" t="str">
        <f t="shared" si="355"/>
        <v>Riadok bude skrytý.</v>
      </c>
      <c r="CC2160" s="271" t="s">
        <v>832</v>
      </c>
      <c r="CW2160" s="30">
        <f t="shared" si="366"/>
        <v>1</v>
      </c>
      <c r="CX2160" s="30">
        <f t="shared" si="371"/>
        <v>0</v>
      </c>
      <c r="CZ2160" s="30">
        <f t="shared" si="372"/>
        <v>1</v>
      </c>
      <c r="DA2160" s="52">
        <f t="shared" si="370"/>
        <v>0</v>
      </c>
      <c r="DB2160" s="2">
        <f t="shared" si="369"/>
        <v>0</v>
      </c>
      <c r="DS2160" s="130">
        <f>SI!BY2160</f>
        <v>183</v>
      </c>
      <c r="DZ2160" s="131">
        <f>SI!BZ2160</f>
        <v>0</v>
      </c>
    </row>
    <row r="2161" spans="1:130" hidden="1" x14ac:dyDescent="0.25">
      <c r="A2161" s="141"/>
      <c r="B2161" s="379"/>
      <c r="C2161" s="379"/>
      <c r="D2161" s="379"/>
      <c r="E2161" s="379"/>
      <c r="F2161" s="379"/>
      <c r="G2161" s="379"/>
      <c r="H2161" s="379"/>
      <c r="I2161" s="379"/>
      <c r="J2161" s="379"/>
      <c r="K2161" s="379"/>
      <c r="L2161" s="379"/>
      <c r="M2161" s="379"/>
      <c r="N2161" s="379"/>
      <c r="O2161" s="379"/>
      <c r="P2161" s="379"/>
      <c r="Q2161" s="379"/>
      <c r="R2161" s="379"/>
      <c r="S2161" s="379"/>
      <c r="T2161" s="379"/>
      <c r="U2161" s="379"/>
      <c r="V2161" s="379"/>
      <c r="W2161" s="379"/>
      <c r="X2161" s="379"/>
      <c r="Y2161" s="379"/>
      <c r="Z2161" s="379"/>
      <c r="AA2161" s="379"/>
      <c r="AB2161" s="379"/>
      <c r="AC2161" s="379"/>
      <c r="AD2161" s="379"/>
      <c r="AE2161" s="379"/>
      <c r="AF2161" s="379"/>
      <c r="AG2161" s="379"/>
      <c r="AH2161" s="379"/>
      <c r="AI2161" s="379"/>
      <c r="AJ2161" s="379"/>
      <c r="AK2161" s="379"/>
      <c r="AL2161" s="379"/>
      <c r="AM2161" s="379"/>
      <c r="AN2161" s="379"/>
      <c r="AO2161" s="379"/>
      <c r="AP2161" s="379"/>
      <c r="AQ2161" s="379"/>
      <c r="AR2161" s="379"/>
      <c r="AS2161" s="379"/>
      <c r="AT2161" s="379"/>
      <c r="AU2161" s="379"/>
      <c r="AV2161" s="379"/>
      <c r="AW2161" s="379"/>
      <c r="AX2161" s="379"/>
      <c r="AY2161" s="379"/>
      <c r="AZ2161" s="379"/>
      <c r="BA2161" s="379"/>
      <c r="BB2161" s="379"/>
      <c r="BC2161" s="379"/>
      <c r="BD2161" s="379"/>
      <c r="BE2161" s="379"/>
      <c r="BF2161" s="379"/>
      <c r="BG2161" s="379"/>
      <c r="BH2161" s="379"/>
      <c r="BI2161" s="379"/>
      <c r="BJ2161" s="379"/>
      <c r="BK2161" s="379"/>
      <c r="BL2161" s="379"/>
      <c r="BM2161" s="379"/>
      <c r="BN2161" s="379"/>
      <c r="BO2161" s="379"/>
      <c r="BP2161" s="379"/>
      <c r="BQ2161" s="379"/>
      <c r="BR2161" s="379"/>
      <c r="BS2161" s="379"/>
      <c r="BT2161" s="379"/>
      <c r="BU2161" s="379"/>
      <c r="BV2161" s="379"/>
      <c r="BW2161" s="379"/>
      <c r="BX2161" s="379"/>
      <c r="BY2161" s="379"/>
      <c r="BZ2161" s="379"/>
      <c r="CA2161" s="281"/>
      <c r="CB2161" s="3" t="str">
        <f t="shared" si="355"/>
        <v>Riadok bude skrytý.</v>
      </c>
      <c r="CC2161" s="271" t="s">
        <v>832</v>
      </c>
      <c r="CW2161" s="30">
        <f t="shared" si="366"/>
        <v>1</v>
      </c>
      <c r="CX2161" s="30">
        <f t="shared" si="371"/>
        <v>0</v>
      </c>
      <c r="CZ2161" s="30">
        <f t="shared" si="372"/>
        <v>1</v>
      </c>
      <c r="DA2161" s="52">
        <f t="shared" si="370"/>
        <v>0</v>
      </c>
      <c r="DB2161" s="2">
        <f t="shared" si="369"/>
        <v>0</v>
      </c>
      <c r="DS2161" s="130">
        <f>SI!BY2161</f>
        <v>105</v>
      </c>
      <c r="DZ2161" s="131">
        <f>SI!BZ2161</f>
        <v>0</v>
      </c>
    </row>
    <row r="2162" spans="1:130" hidden="1" x14ac:dyDescent="0.25">
      <c r="A2162" s="141"/>
      <c r="B2162" s="379"/>
      <c r="C2162" s="379"/>
      <c r="D2162" s="379"/>
      <c r="E2162" s="379"/>
      <c r="F2162" s="379"/>
      <c r="G2162" s="379"/>
      <c r="H2162" s="379"/>
      <c r="I2162" s="379"/>
      <c r="J2162" s="379"/>
      <c r="K2162" s="379"/>
      <c r="L2162" s="379"/>
      <c r="M2162" s="379"/>
      <c r="N2162" s="379"/>
      <c r="O2162" s="379"/>
      <c r="P2162" s="379"/>
      <c r="Q2162" s="379"/>
      <c r="R2162" s="379"/>
      <c r="S2162" s="379"/>
      <c r="T2162" s="379"/>
      <c r="U2162" s="379"/>
      <c r="V2162" s="379"/>
      <c r="W2162" s="379"/>
      <c r="X2162" s="379"/>
      <c r="Y2162" s="379"/>
      <c r="Z2162" s="379"/>
      <c r="AA2162" s="379"/>
      <c r="AB2162" s="379"/>
      <c r="AC2162" s="379"/>
      <c r="AD2162" s="379"/>
      <c r="AE2162" s="379"/>
      <c r="AF2162" s="379"/>
      <c r="AG2162" s="379"/>
      <c r="AH2162" s="379"/>
      <c r="AI2162" s="379"/>
      <c r="AJ2162" s="379"/>
      <c r="AK2162" s="379"/>
      <c r="AL2162" s="379"/>
      <c r="AM2162" s="379"/>
      <c r="AN2162" s="379"/>
      <c r="AO2162" s="379"/>
      <c r="AP2162" s="379"/>
      <c r="AQ2162" s="379"/>
      <c r="AR2162" s="379"/>
      <c r="AS2162" s="379"/>
      <c r="AT2162" s="379"/>
      <c r="AU2162" s="379"/>
      <c r="AV2162" s="379"/>
      <c r="AW2162" s="379"/>
      <c r="AX2162" s="379"/>
      <c r="AY2162" s="379"/>
      <c r="AZ2162" s="379"/>
      <c r="BA2162" s="379"/>
      <c r="BB2162" s="379"/>
      <c r="BC2162" s="379"/>
      <c r="BD2162" s="379"/>
      <c r="BE2162" s="379"/>
      <c r="BF2162" s="379"/>
      <c r="BG2162" s="379"/>
      <c r="BH2162" s="379"/>
      <c r="BI2162" s="379"/>
      <c r="BJ2162" s="379"/>
      <c r="BK2162" s="379"/>
      <c r="BL2162" s="379"/>
      <c r="BM2162" s="379"/>
      <c r="BN2162" s="379"/>
      <c r="BO2162" s="379"/>
      <c r="BP2162" s="379"/>
      <c r="BQ2162" s="379"/>
      <c r="BR2162" s="379"/>
      <c r="BS2162" s="379"/>
      <c r="BT2162" s="379"/>
      <c r="BU2162" s="379"/>
      <c r="BV2162" s="379"/>
      <c r="BW2162" s="379"/>
      <c r="BX2162" s="379"/>
      <c r="BY2162" s="379"/>
      <c r="BZ2162" s="379"/>
      <c r="CA2162" s="281"/>
      <c r="CB2162" s="3" t="str">
        <f t="shared" si="355"/>
        <v>Riadok bude skrytý.</v>
      </c>
      <c r="CC2162" s="271" t="s">
        <v>832</v>
      </c>
      <c r="CW2162" s="30">
        <f t="shared" si="366"/>
        <v>1</v>
      </c>
      <c r="CX2162" s="30">
        <f t="shared" si="371"/>
        <v>0</v>
      </c>
      <c r="CZ2162" s="30">
        <f t="shared" si="372"/>
        <v>1</v>
      </c>
      <c r="DA2162" s="52">
        <f t="shared" si="370"/>
        <v>0</v>
      </c>
      <c r="DB2162" s="2">
        <f t="shared" si="369"/>
        <v>0</v>
      </c>
      <c r="DS2162" s="130">
        <f>SI!BY2162</f>
        <v>108</v>
      </c>
      <c r="DZ2162" s="131">
        <f>SI!BZ2162</f>
        <v>0</v>
      </c>
    </row>
    <row r="2163" spans="1:130" hidden="1" x14ac:dyDescent="0.25">
      <c r="A2163" s="141"/>
      <c r="B2163" s="379"/>
      <c r="C2163" s="379"/>
      <c r="D2163" s="379"/>
      <c r="E2163" s="379"/>
      <c r="F2163" s="379"/>
      <c r="G2163" s="379"/>
      <c r="H2163" s="379"/>
      <c r="I2163" s="379"/>
      <c r="J2163" s="379"/>
      <c r="K2163" s="379"/>
      <c r="L2163" s="379"/>
      <c r="M2163" s="379"/>
      <c r="N2163" s="379"/>
      <c r="O2163" s="379"/>
      <c r="P2163" s="379"/>
      <c r="Q2163" s="379"/>
      <c r="R2163" s="379"/>
      <c r="S2163" s="379"/>
      <c r="T2163" s="379"/>
      <c r="U2163" s="379"/>
      <c r="V2163" s="379"/>
      <c r="W2163" s="379"/>
      <c r="X2163" s="379"/>
      <c r="Y2163" s="379"/>
      <c r="Z2163" s="379"/>
      <c r="AA2163" s="379"/>
      <c r="AB2163" s="379"/>
      <c r="AC2163" s="379"/>
      <c r="AD2163" s="379"/>
      <c r="AE2163" s="379"/>
      <c r="AF2163" s="379"/>
      <c r="AG2163" s="379"/>
      <c r="AH2163" s="379"/>
      <c r="AI2163" s="379"/>
      <c r="AJ2163" s="379"/>
      <c r="AK2163" s="379"/>
      <c r="AL2163" s="379"/>
      <c r="AM2163" s="379"/>
      <c r="AN2163" s="379"/>
      <c r="AO2163" s="379"/>
      <c r="AP2163" s="379"/>
      <c r="AQ2163" s="379"/>
      <c r="AR2163" s="379"/>
      <c r="AS2163" s="379"/>
      <c r="AT2163" s="379"/>
      <c r="AU2163" s="379"/>
      <c r="AV2163" s="379"/>
      <c r="AW2163" s="379"/>
      <c r="AX2163" s="379"/>
      <c r="AY2163" s="379"/>
      <c r="AZ2163" s="379"/>
      <c r="BA2163" s="379"/>
      <c r="BB2163" s="379"/>
      <c r="BC2163" s="379"/>
      <c r="BD2163" s="379"/>
      <c r="BE2163" s="379"/>
      <c r="BF2163" s="379"/>
      <c r="BG2163" s="379"/>
      <c r="BH2163" s="379"/>
      <c r="BI2163" s="379"/>
      <c r="BJ2163" s="379"/>
      <c r="BK2163" s="379"/>
      <c r="BL2163" s="379"/>
      <c r="BM2163" s="379"/>
      <c r="BN2163" s="379"/>
      <c r="BO2163" s="379"/>
      <c r="BP2163" s="379"/>
      <c r="BQ2163" s="379"/>
      <c r="BR2163" s="379"/>
      <c r="BS2163" s="379"/>
      <c r="BT2163" s="379"/>
      <c r="BU2163" s="379"/>
      <c r="BV2163" s="379"/>
      <c r="BW2163" s="379"/>
      <c r="BX2163" s="379"/>
      <c r="BY2163" s="379"/>
      <c r="BZ2163" s="379"/>
      <c r="CA2163" s="281"/>
      <c r="CB2163" s="3" t="str">
        <f t="shared" ref="CB2163:CB2226" si="373">+IF(DB2163=0,"Riadok bude skrytý.","Riadok bude vidieť.")</f>
        <v>Riadok bude skrytý.</v>
      </c>
      <c r="CC2163" s="271" t="s">
        <v>832</v>
      </c>
      <c r="CW2163" s="30">
        <f t="shared" si="366"/>
        <v>1</v>
      </c>
      <c r="CX2163" s="30">
        <f t="shared" si="371"/>
        <v>0</v>
      </c>
      <c r="CZ2163" s="30">
        <f t="shared" si="372"/>
        <v>1</v>
      </c>
      <c r="DA2163" s="52">
        <f t="shared" si="370"/>
        <v>0</v>
      </c>
      <c r="DB2163" s="2">
        <f t="shared" si="369"/>
        <v>0</v>
      </c>
      <c r="DS2163" s="130">
        <f>SI!BY2163</f>
        <v>286</v>
      </c>
      <c r="DZ2163" s="131">
        <f>SI!BZ2163</f>
        <v>0</v>
      </c>
    </row>
    <row r="2164" spans="1:130" hidden="1" x14ac:dyDescent="0.25">
      <c r="A2164" s="141"/>
      <c r="B2164" s="379"/>
      <c r="C2164" s="379"/>
      <c r="D2164" s="379"/>
      <c r="E2164" s="379"/>
      <c r="F2164" s="379"/>
      <c r="G2164" s="379"/>
      <c r="H2164" s="379"/>
      <c r="I2164" s="379"/>
      <c r="J2164" s="379"/>
      <c r="K2164" s="379"/>
      <c r="L2164" s="379"/>
      <c r="M2164" s="379"/>
      <c r="N2164" s="379"/>
      <c r="O2164" s="379"/>
      <c r="P2164" s="379"/>
      <c r="Q2164" s="379"/>
      <c r="R2164" s="379"/>
      <c r="S2164" s="379"/>
      <c r="T2164" s="379"/>
      <c r="U2164" s="379"/>
      <c r="V2164" s="379"/>
      <c r="W2164" s="379"/>
      <c r="X2164" s="379"/>
      <c r="Y2164" s="379"/>
      <c r="Z2164" s="379"/>
      <c r="AA2164" s="379"/>
      <c r="AB2164" s="379"/>
      <c r="AC2164" s="379"/>
      <c r="AD2164" s="379"/>
      <c r="AE2164" s="379"/>
      <c r="AF2164" s="379"/>
      <c r="AG2164" s="379"/>
      <c r="AH2164" s="379"/>
      <c r="AI2164" s="379"/>
      <c r="AJ2164" s="379"/>
      <c r="AK2164" s="379"/>
      <c r="AL2164" s="379"/>
      <c r="AM2164" s="379"/>
      <c r="AN2164" s="379"/>
      <c r="AO2164" s="379"/>
      <c r="AP2164" s="379"/>
      <c r="AQ2164" s="379"/>
      <c r="AR2164" s="379"/>
      <c r="AS2164" s="379"/>
      <c r="AT2164" s="379"/>
      <c r="AU2164" s="379"/>
      <c r="AV2164" s="379"/>
      <c r="AW2164" s="379"/>
      <c r="AX2164" s="379"/>
      <c r="AY2164" s="379"/>
      <c r="AZ2164" s="379"/>
      <c r="BA2164" s="379"/>
      <c r="BB2164" s="379"/>
      <c r="BC2164" s="379"/>
      <c r="BD2164" s="379"/>
      <c r="BE2164" s="379"/>
      <c r="BF2164" s="379"/>
      <c r="BG2164" s="379"/>
      <c r="BH2164" s="379"/>
      <c r="BI2164" s="379"/>
      <c r="BJ2164" s="379"/>
      <c r="BK2164" s="379"/>
      <c r="BL2164" s="379"/>
      <c r="BM2164" s="379"/>
      <c r="BN2164" s="379"/>
      <c r="BO2164" s="379"/>
      <c r="BP2164" s="379"/>
      <c r="BQ2164" s="379"/>
      <c r="BR2164" s="379"/>
      <c r="BS2164" s="379"/>
      <c r="BT2164" s="379"/>
      <c r="BU2164" s="379"/>
      <c r="BV2164" s="379"/>
      <c r="BW2164" s="379"/>
      <c r="BX2164" s="379"/>
      <c r="BY2164" s="379"/>
      <c r="BZ2164" s="379"/>
      <c r="CA2164" s="281"/>
      <c r="CB2164" s="3" t="str">
        <f t="shared" si="373"/>
        <v>Riadok bude skrytý.</v>
      </c>
      <c r="CC2164" s="271" t="s">
        <v>832</v>
      </c>
      <c r="CW2164" s="30">
        <f t="shared" si="366"/>
        <v>1</v>
      </c>
      <c r="CX2164" s="30">
        <f t="shared" si="371"/>
        <v>0</v>
      </c>
      <c r="CZ2164" s="30">
        <f t="shared" si="372"/>
        <v>1</v>
      </c>
      <c r="DA2164" s="52">
        <f t="shared" si="370"/>
        <v>0</v>
      </c>
      <c r="DB2164" s="2">
        <f t="shared" si="369"/>
        <v>0</v>
      </c>
      <c r="DS2164" s="130">
        <f>SI!BY2164</f>
        <v>154</v>
      </c>
      <c r="DZ2164" s="131">
        <f>SI!BZ2164</f>
        <v>0</v>
      </c>
    </row>
    <row r="2165" spans="1:130" hidden="1" x14ac:dyDescent="0.25">
      <c r="A2165" s="141"/>
      <c r="B2165" s="379"/>
      <c r="C2165" s="379"/>
      <c r="D2165" s="379"/>
      <c r="E2165" s="379"/>
      <c r="F2165" s="379"/>
      <c r="G2165" s="379"/>
      <c r="H2165" s="379"/>
      <c r="I2165" s="379"/>
      <c r="J2165" s="379"/>
      <c r="K2165" s="379"/>
      <c r="L2165" s="379"/>
      <c r="M2165" s="379"/>
      <c r="N2165" s="379"/>
      <c r="O2165" s="379"/>
      <c r="P2165" s="379"/>
      <c r="Q2165" s="379"/>
      <c r="R2165" s="379"/>
      <c r="S2165" s="379"/>
      <c r="T2165" s="379"/>
      <c r="U2165" s="379"/>
      <c r="V2165" s="379"/>
      <c r="W2165" s="379"/>
      <c r="X2165" s="379"/>
      <c r="Y2165" s="379"/>
      <c r="Z2165" s="379"/>
      <c r="AA2165" s="379"/>
      <c r="AB2165" s="379"/>
      <c r="AC2165" s="379"/>
      <c r="AD2165" s="379"/>
      <c r="AE2165" s="379"/>
      <c r="AF2165" s="379"/>
      <c r="AG2165" s="379"/>
      <c r="AH2165" s="379"/>
      <c r="AI2165" s="379"/>
      <c r="AJ2165" s="379"/>
      <c r="AK2165" s="379"/>
      <c r="AL2165" s="379"/>
      <c r="AM2165" s="379"/>
      <c r="AN2165" s="379"/>
      <c r="AO2165" s="379"/>
      <c r="AP2165" s="379"/>
      <c r="AQ2165" s="379"/>
      <c r="AR2165" s="379"/>
      <c r="AS2165" s="379"/>
      <c r="AT2165" s="379"/>
      <c r="AU2165" s="379"/>
      <c r="AV2165" s="379"/>
      <c r="AW2165" s="379"/>
      <c r="AX2165" s="379"/>
      <c r="AY2165" s="379"/>
      <c r="AZ2165" s="379"/>
      <c r="BA2165" s="379"/>
      <c r="BB2165" s="379"/>
      <c r="BC2165" s="379"/>
      <c r="BD2165" s="379"/>
      <c r="BE2165" s="379"/>
      <c r="BF2165" s="379"/>
      <c r="BG2165" s="379"/>
      <c r="BH2165" s="379"/>
      <c r="BI2165" s="379"/>
      <c r="BJ2165" s="379"/>
      <c r="BK2165" s="379"/>
      <c r="BL2165" s="379"/>
      <c r="BM2165" s="379"/>
      <c r="BN2165" s="379"/>
      <c r="BO2165" s="379"/>
      <c r="BP2165" s="379"/>
      <c r="BQ2165" s="379"/>
      <c r="BR2165" s="379"/>
      <c r="BS2165" s="379"/>
      <c r="BT2165" s="379"/>
      <c r="BU2165" s="379"/>
      <c r="BV2165" s="379"/>
      <c r="BW2165" s="379"/>
      <c r="BX2165" s="379"/>
      <c r="BY2165" s="379"/>
      <c r="BZ2165" s="379"/>
      <c r="CA2165" s="281"/>
      <c r="CB2165" s="3" t="str">
        <f t="shared" si="373"/>
        <v>Riadok bude skrytý.</v>
      </c>
      <c r="CC2165" s="271" t="s">
        <v>832</v>
      </c>
      <c r="CW2165" s="30">
        <f t="shared" si="366"/>
        <v>1</v>
      </c>
      <c r="CX2165" s="30">
        <f t="shared" si="371"/>
        <v>0</v>
      </c>
      <c r="CZ2165" s="30">
        <f t="shared" si="372"/>
        <v>1</v>
      </c>
      <c r="DA2165" s="52">
        <f t="shared" si="370"/>
        <v>0</v>
      </c>
      <c r="DB2165" s="2">
        <f t="shared" si="369"/>
        <v>0</v>
      </c>
      <c r="DS2165" s="130">
        <f>SI!BY2165</f>
        <v>819</v>
      </c>
      <c r="DZ2165" s="131">
        <f>SI!BZ2165</f>
        <v>0</v>
      </c>
    </row>
    <row r="2166" spans="1:130" hidden="1" x14ac:dyDescent="0.25">
      <c r="A2166" s="141"/>
      <c r="B2166" s="379"/>
      <c r="C2166" s="379"/>
      <c r="D2166" s="379"/>
      <c r="E2166" s="379"/>
      <c r="F2166" s="379"/>
      <c r="G2166" s="379"/>
      <c r="H2166" s="379"/>
      <c r="I2166" s="379"/>
      <c r="J2166" s="379"/>
      <c r="K2166" s="379"/>
      <c r="L2166" s="379"/>
      <c r="M2166" s="379"/>
      <c r="N2166" s="379"/>
      <c r="O2166" s="379"/>
      <c r="P2166" s="379"/>
      <c r="Q2166" s="379"/>
      <c r="R2166" s="379"/>
      <c r="S2166" s="379"/>
      <c r="T2166" s="379"/>
      <c r="U2166" s="379"/>
      <c r="V2166" s="379"/>
      <c r="W2166" s="379"/>
      <c r="X2166" s="379"/>
      <c r="Y2166" s="379"/>
      <c r="Z2166" s="379"/>
      <c r="AA2166" s="379"/>
      <c r="AB2166" s="379"/>
      <c r="AC2166" s="379"/>
      <c r="AD2166" s="379"/>
      <c r="AE2166" s="379"/>
      <c r="AF2166" s="379"/>
      <c r="AG2166" s="379"/>
      <c r="AH2166" s="379"/>
      <c r="AI2166" s="379"/>
      <c r="AJ2166" s="379"/>
      <c r="AK2166" s="379"/>
      <c r="AL2166" s="379"/>
      <c r="AM2166" s="379"/>
      <c r="AN2166" s="379"/>
      <c r="AO2166" s="379"/>
      <c r="AP2166" s="379"/>
      <c r="AQ2166" s="379"/>
      <c r="AR2166" s="379"/>
      <c r="AS2166" s="379"/>
      <c r="AT2166" s="379"/>
      <c r="AU2166" s="379"/>
      <c r="AV2166" s="379"/>
      <c r="AW2166" s="379"/>
      <c r="AX2166" s="379"/>
      <c r="AY2166" s="379"/>
      <c r="AZ2166" s="379"/>
      <c r="BA2166" s="379"/>
      <c r="BB2166" s="379"/>
      <c r="BC2166" s="379"/>
      <c r="BD2166" s="379"/>
      <c r="BE2166" s="379"/>
      <c r="BF2166" s="379"/>
      <c r="BG2166" s="379"/>
      <c r="BH2166" s="379"/>
      <c r="BI2166" s="379"/>
      <c r="BJ2166" s="379"/>
      <c r="BK2166" s="379"/>
      <c r="BL2166" s="379"/>
      <c r="BM2166" s="379"/>
      <c r="BN2166" s="379"/>
      <c r="BO2166" s="379"/>
      <c r="BP2166" s="379"/>
      <c r="BQ2166" s="379"/>
      <c r="BR2166" s="379"/>
      <c r="BS2166" s="379"/>
      <c r="BT2166" s="379"/>
      <c r="BU2166" s="379"/>
      <c r="BV2166" s="379"/>
      <c r="BW2166" s="379"/>
      <c r="BX2166" s="379"/>
      <c r="BY2166" s="379"/>
      <c r="BZ2166" s="379"/>
      <c r="CA2166" s="281"/>
      <c r="CB2166" s="3" t="str">
        <f t="shared" si="373"/>
        <v>Riadok bude skrytý.</v>
      </c>
      <c r="CC2166" s="271" t="s">
        <v>832</v>
      </c>
      <c r="CW2166" s="30">
        <f t="shared" si="366"/>
        <v>1</v>
      </c>
      <c r="CX2166" s="30">
        <f t="shared" si="371"/>
        <v>0</v>
      </c>
      <c r="CZ2166" s="30">
        <f t="shared" si="372"/>
        <v>1</v>
      </c>
      <c r="DA2166" s="52">
        <f t="shared" si="370"/>
        <v>0</v>
      </c>
      <c r="DB2166" s="2">
        <f t="shared" si="369"/>
        <v>0</v>
      </c>
      <c r="DS2166" s="130">
        <f>SI!BY2166</f>
        <v>171</v>
      </c>
      <c r="DZ2166" s="131">
        <f>SI!BZ2166</f>
        <v>0</v>
      </c>
    </row>
    <row r="2167" spans="1:130" hidden="1" x14ac:dyDescent="0.25">
      <c r="A2167" s="141"/>
      <c r="B2167" s="379"/>
      <c r="C2167" s="379"/>
      <c r="D2167" s="379"/>
      <c r="E2167" s="379"/>
      <c r="F2167" s="379"/>
      <c r="G2167" s="379"/>
      <c r="H2167" s="379"/>
      <c r="I2167" s="379"/>
      <c r="J2167" s="379"/>
      <c r="K2167" s="379"/>
      <c r="L2167" s="379"/>
      <c r="M2167" s="379"/>
      <c r="N2167" s="379"/>
      <c r="O2167" s="379"/>
      <c r="P2167" s="379"/>
      <c r="Q2167" s="379"/>
      <c r="R2167" s="379"/>
      <c r="S2167" s="379"/>
      <c r="T2167" s="379"/>
      <c r="U2167" s="379"/>
      <c r="V2167" s="379"/>
      <c r="W2167" s="379"/>
      <c r="X2167" s="379"/>
      <c r="Y2167" s="379"/>
      <c r="Z2167" s="379"/>
      <c r="AA2167" s="379"/>
      <c r="AB2167" s="379"/>
      <c r="AC2167" s="379"/>
      <c r="AD2167" s="379"/>
      <c r="AE2167" s="379"/>
      <c r="AF2167" s="379"/>
      <c r="AG2167" s="379"/>
      <c r="AH2167" s="379"/>
      <c r="AI2167" s="379"/>
      <c r="AJ2167" s="379"/>
      <c r="AK2167" s="379"/>
      <c r="AL2167" s="379"/>
      <c r="AM2167" s="379"/>
      <c r="AN2167" s="379"/>
      <c r="AO2167" s="379"/>
      <c r="AP2167" s="379"/>
      <c r="AQ2167" s="379"/>
      <c r="AR2167" s="379"/>
      <c r="AS2167" s="379"/>
      <c r="AT2167" s="379"/>
      <c r="AU2167" s="379"/>
      <c r="AV2167" s="379"/>
      <c r="AW2167" s="379"/>
      <c r="AX2167" s="379"/>
      <c r="AY2167" s="379"/>
      <c r="AZ2167" s="379"/>
      <c r="BA2167" s="379"/>
      <c r="BB2167" s="379"/>
      <c r="BC2167" s="379"/>
      <c r="BD2167" s="379"/>
      <c r="BE2167" s="379"/>
      <c r="BF2167" s="379"/>
      <c r="BG2167" s="379"/>
      <c r="BH2167" s="379"/>
      <c r="BI2167" s="379"/>
      <c r="BJ2167" s="379"/>
      <c r="BK2167" s="379"/>
      <c r="BL2167" s="379"/>
      <c r="BM2167" s="379"/>
      <c r="BN2167" s="379"/>
      <c r="BO2167" s="379"/>
      <c r="BP2167" s="379"/>
      <c r="BQ2167" s="379"/>
      <c r="BR2167" s="379"/>
      <c r="BS2167" s="379"/>
      <c r="BT2167" s="379"/>
      <c r="BU2167" s="379"/>
      <c r="BV2167" s="379"/>
      <c r="BW2167" s="379"/>
      <c r="BX2167" s="379"/>
      <c r="BY2167" s="379"/>
      <c r="BZ2167" s="379"/>
      <c r="CA2167" s="281"/>
      <c r="CB2167" s="3" t="str">
        <f t="shared" si="373"/>
        <v>Riadok bude skrytý.</v>
      </c>
      <c r="CC2167" s="271" t="s">
        <v>832</v>
      </c>
      <c r="CW2167" s="30">
        <f t="shared" si="366"/>
        <v>1</v>
      </c>
      <c r="CX2167" s="30">
        <f t="shared" si="371"/>
        <v>0</v>
      </c>
      <c r="CZ2167" s="30">
        <f t="shared" si="372"/>
        <v>1</v>
      </c>
      <c r="DA2167" s="52">
        <f t="shared" si="370"/>
        <v>0</v>
      </c>
      <c r="DB2167" s="2">
        <f t="shared" si="369"/>
        <v>0</v>
      </c>
      <c r="DS2167" s="130">
        <f>SI!BY2167</f>
        <v>4</v>
      </c>
      <c r="DZ2167" s="131">
        <f>SI!BZ2167</f>
        <v>0</v>
      </c>
    </row>
    <row r="2168" spans="1:130" hidden="1" x14ac:dyDescent="0.25">
      <c r="A2168" s="141"/>
      <c r="B2168" s="379"/>
      <c r="C2168" s="379"/>
      <c r="D2168" s="379"/>
      <c r="E2168" s="379"/>
      <c r="F2168" s="379"/>
      <c r="G2168" s="379"/>
      <c r="H2168" s="379"/>
      <c r="I2168" s="379"/>
      <c r="J2168" s="379"/>
      <c r="K2168" s="379"/>
      <c r="L2168" s="379"/>
      <c r="M2168" s="379"/>
      <c r="N2168" s="379"/>
      <c r="O2168" s="379"/>
      <c r="P2168" s="379"/>
      <c r="Q2168" s="379"/>
      <c r="R2168" s="379"/>
      <c r="S2168" s="379"/>
      <c r="T2168" s="379"/>
      <c r="U2168" s="379"/>
      <c r="V2168" s="379"/>
      <c r="W2168" s="379"/>
      <c r="X2168" s="379"/>
      <c r="Y2168" s="379"/>
      <c r="Z2168" s="379"/>
      <c r="AA2168" s="379"/>
      <c r="AB2168" s="379"/>
      <c r="AC2168" s="379"/>
      <c r="AD2168" s="379"/>
      <c r="AE2168" s="379"/>
      <c r="AF2168" s="379"/>
      <c r="AG2168" s="379"/>
      <c r="AH2168" s="379"/>
      <c r="AI2168" s="379"/>
      <c r="AJ2168" s="379"/>
      <c r="AK2168" s="379"/>
      <c r="AL2168" s="379"/>
      <c r="AM2168" s="379"/>
      <c r="AN2168" s="379"/>
      <c r="AO2168" s="379"/>
      <c r="AP2168" s="379"/>
      <c r="AQ2168" s="379"/>
      <c r="AR2168" s="379"/>
      <c r="AS2168" s="379"/>
      <c r="AT2168" s="379"/>
      <c r="AU2168" s="379"/>
      <c r="AV2168" s="379"/>
      <c r="AW2168" s="379"/>
      <c r="AX2168" s="379"/>
      <c r="AY2168" s="379"/>
      <c r="AZ2168" s="379"/>
      <c r="BA2168" s="379"/>
      <c r="BB2168" s="379"/>
      <c r="BC2168" s="379"/>
      <c r="BD2168" s="379"/>
      <c r="BE2168" s="379"/>
      <c r="BF2168" s="379"/>
      <c r="BG2168" s="379"/>
      <c r="BH2168" s="379"/>
      <c r="BI2168" s="379"/>
      <c r="BJ2168" s="379"/>
      <c r="BK2168" s="379"/>
      <c r="BL2168" s="379"/>
      <c r="BM2168" s="379"/>
      <c r="BN2168" s="379"/>
      <c r="BO2168" s="379"/>
      <c r="BP2168" s="379"/>
      <c r="BQ2168" s="379"/>
      <c r="BR2168" s="379"/>
      <c r="BS2168" s="379"/>
      <c r="BT2168" s="379"/>
      <c r="BU2168" s="379"/>
      <c r="BV2168" s="379"/>
      <c r="BW2168" s="379"/>
      <c r="BX2168" s="379"/>
      <c r="BY2168" s="379"/>
      <c r="BZ2168" s="379"/>
      <c r="CA2168" s="281"/>
      <c r="CB2168" s="3" t="str">
        <f t="shared" si="373"/>
        <v>Riadok bude skrytý.</v>
      </c>
      <c r="CC2168" s="271" t="s">
        <v>832</v>
      </c>
      <c r="CW2168" s="30">
        <f t="shared" si="366"/>
        <v>1</v>
      </c>
      <c r="CX2168" s="30">
        <f t="shared" si="371"/>
        <v>0</v>
      </c>
      <c r="CZ2168" s="30">
        <f t="shared" si="372"/>
        <v>1</v>
      </c>
      <c r="DA2168" s="52">
        <f t="shared" si="370"/>
        <v>0</v>
      </c>
      <c r="DB2168" s="2">
        <f t="shared" si="369"/>
        <v>0</v>
      </c>
      <c r="DS2168" s="130">
        <f>SI!BY2168</f>
        <v>145</v>
      </c>
      <c r="DZ2168" s="131">
        <f>SI!BZ2168</f>
        <v>0</v>
      </c>
    </row>
    <row r="2169" spans="1:130" hidden="1" x14ac:dyDescent="0.25">
      <c r="A2169" s="141"/>
      <c r="B2169" s="379"/>
      <c r="C2169" s="379"/>
      <c r="D2169" s="379"/>
      <c r="E2169" s="379"/>
      <c r="F2169" s="379"/>
      <c r="G2169" s="379"/>
      <c r="H2169" s="379"/>
      <c r="I2169" s="379"/>
      <c r="J2169" s="379"/>
      <c r="K2169" s="379"/>
      <c r="L2169" s="379"/>
      <c r="M2169" s="379"/>
      <c r="N2169" s="379"/>
      <c r="O2169" s="379"/>
      <c r="P2169" s="379"/>
      <c r="Q2169" s="379"/>
      <c r="R2169" s="379"/>
      <c r="S2169" s="379"/>
      <c r="T2169" s="379"/>
      <c r="U2169" s="379"/>
      <c r="V2169" s="379"/>
      <c r="W2169" s="379"/>
      <c r="X2169" s="379"/>
      <c r="Y2169" s="379"/>
      <c r="Z2169" s="379"/>
      <c r="AA2169" s="379"/>
      <c r="AB2169" s="379"/>
      <c r="AC2169" s="379"/>
      <c r="AD2169" s="379"/>
      <c r="AE2169" s="379"/>
      <c r="AF2169" s="379"/>
      <c r="AG2169" s="379"/>
      <c r="AH2169" s="379"/>
      <c r="AI2169" s="379"/>
      <c r="AJ2169" s="379"/>
      <c r="AK2169" s="379"/>
      <c r="AL2169" s="379"/>
      <c r="AM2169" s="379"/>
      <c r="AN2169" s="379"/>
      <c r="AO2169" s="379"/>
      <c r="AP2169" s="379"/>
      <c r="AQ2169" s="379"/>
      <c r="AR2169" s="379"/>
      <c r="AS2169" s="379"/>
      <c r="AT2169" s="379"/>
      <c r="AU2169" s="379"/>
      <c r="AV2169" s="379"/>
      <c r="AW2169" s="379"/>
      <c r="AX2169" s="379"/>
      <c r="AY2169" s="379"/>
      <c r="AZ2169" s="379"/>
      <c r="BA2169" s="379"/>
      <c r="BB2169" s="379"/>
      <c r="BC2169" s="379"/>
      <c r="BD2169" s="379"/>
      <c r="BE2169" s="379"/>
      <c r="BF2169" s="379"/>
      <c r="BG2169" s="379"/>
      <c r="BH2169" s="379"/>
      <c r="BI2169" s="379"/>
      <c r="BJ2169" s="379"/>
      <c r="BK2169" s="379"/>
      <c r="BL2169" s="379"/>
      <c r="BM2169" s="379"/>
      <c r="BN2169" s="379"/>
      <c r="BO2169" s="379"/>
      <c r="BP2169" s="379"/>
      <c r="BQ2169" s="379"/>
      <c r="BR2169" s="379"/>
      <c r="BS2169" s="379"/>
      <c r="BT2169" s="379"/>
      <c r="BU2169" s="379"/>
      <c r="BV2169" s="379"/>
      <c r="BW2169" s="379"/>
      <c r="BX2169" s="379"/>
      <c r="BY2169" s="379"/>
      <c r="BZ2169" s="379"/>
      <c r="CA2169" s="281"/>
      <c r="CB2169" s="3" t="str">
        <f t="shared" si="373"/>
        <v>Riadok bude skrytý.</v>
      </c>
      <c r="CC2169" s="271" t="s">
        <v>832</v>
      </c>
      <c r="CW2169" s="30">
        <f t="shared" si="366"/>
        <v>1</v>
      </c>
      <c r="CX2169" s="30">
        <f t="shared" si="371"/>
        <v>0</v>
      </c>
      <c r="CZ2169" s="30">
        <f t="shared" si="372"/>
        <v>1</v>
      </c>
      <c r="DA2169" s="52">
        <f t="shared" si="370"/>
        <v>0</v>
      </c>
      <c r="DB2169" s="2">
        <f t="shared" si="369"/>
        <v>0</v>
      </c>
      <c r="DS2169" s="130">
        <f>SI!BY2169</f>
        <v>548</v>
      </c>
      <c r="DZ2169" s="131">
        <f>SI!BZ2169</f>
        <v>0</v>
      </c>
    </row>
    <row r="2170" spans="1:130" hidden="1" x14ac:dyDescent="0.25">
      <c r="A2170" s="141"/>
      <c r="CA2170" s="281"/>
      <c r="CB2170" s="3" t="str">
        <f t="shared" si="373"/>
        <v>Riadok bude skrytý.</v>
      </c>
      <c r="CC2170" s="271" t="s">
        <v>832</v>
      </c>
      <c r="CW2170" s="49">
        <v>1</v>
      </c>
      <c r="CZ2170" s="30">
        <f t="shared" si="372"/>
        <v>1</v>
      </c>
      <c r="DA2170" s="30">
        <f>+IF(CW2170+CX2170+CY2170=0,0,IF(CZ2170=0,0,1))</f>
        <v>1</v>
      </c>
      <c r="DB2170" s="2">
        <f t="shared" si="369"/>
        <v>0</v>
      </c>
      <c r="DS2170" s="130">
        <f>SI!BY2170</f>
        <v>126</v>
      </c>
      <c r="DZ2170" s="131">
        <f>SI!BZ2170</f>
        <v>0</v>
      </c>
    </row>
    <row r="2171" spans="1:130" hidden="1" x14ac:dyDescent="0.25">
      <c r="A2171" s="141"/>
      <c r="B2171" s="289" t="s">
        <v>169</v>
      </c>
      <c r="C2171" s="288"/>
      <c r="D2171" s="288"/>
      <c r="E2171" s="288"/>
      <c r="F2171" s="288"/>
      <c r="G2171" s="289" t="s">
        <v>70</v>
      </c>
      <c r="H2171" s="289"/>
      <c r="I2171" s="288"/>
      <c r="J2171" s="288"/>
      <c r="K2171" s="288"/>
      <c r="L2171" s="288"/>
      <c r="M2171" s="288"/>
      <c r="N2171" s="288"/>
      <c r="O2171" s="288"/>
      <c r="P2171" s="288"/>
      <c r="Q2171" s="288"/>
      <c r="R2171" s="288"/>
      <c r="S2171" s="288"/>
      <c r="T2171" s="288"/>
      <c r="U2171" s="288"/>
      <c r="V2171" s="288"/>
      <c r="W2171" s="288"/>
      <c r="X2171" s="288"/>
      <c r="Y2171" s="288"/>
      <c r="Z2171" s="288"/>
      <c r="AA2171" s="288"/>
      <c r="AB2171" s="288"/>
      <c r="AC2171" s="288"/>
      <c r="AD2171" s="288"/>
      <c r="AE2171" s="288"/>
      <c r="AF2171" s="288"/>
      <c r="AG2171" s="288"/>
      <c r="AH2171" s="288"/>
      <c r="AI2171" s="288"/>
      <c r="AJ2171" s="288"/>
      <c r="AK2171" s="288"/>
      <c r="AL2171" s="288"/>
      <c r="AM2171" s="288"/>
      <c r="AN2171" s="288"/>
      <c r="AO2171" s="288"/>
      <c r="AP2171" s="288"/>
      <c r="AQ2171" s="288"/>
      <c r="AR2171" s="288"/>
      <c r="AS2171" s="288"/>
      <c r="AT2171" s="288"/>
      <c r="AU2171" s="288"/>
      <c r="AV2171" s="288"/>
      <c r="AW2171" s="288"/>
      <c r="AX2171" s="288"/>
      <c r="AY2171" s="288"/>
      <c r="AZ2171" s="288"/>
      <c r="BA2171" s="288"/>
      <c r="BB2171" s="288"/>
      <c r="BC2171" s="288"/>
      <c r="BD2171" s="288"/>
      <c r="BE2171" s="288"/>
      <c r="BF2171" s="288"/>
      <c r="BG2171" s="288"/>
      <c r="BH2171" s="288"/>
      <c r="BI2171" s="288"/>
      <c r="BJ2171" s="288"/>
      <c r="BK2171" s="288"/>
      <c r="BL2171" s="288"/>
      <c r="BM2171" s="288"/>
      <c r="BN2171" s="288"/>
      <c r="BO2171" s="288"/>
      <c r="BP2171" s="288"/>
      <c r="BQ2171" s="288"/>
      <c r="BR2171" s="288"/>
      <c r="BS2171" s="288"/>
      <c r="BT2171" s="288"/>
      <c r="BU2171" s="288"/>
      <c r="BV2171" s="288"/>
      <c r="BW2171" s="288"/>
      <c r="BX2171" s="288"/>
      <c r="BY2171" s="288"/>
      <c r="BZ2171" s="288"/>
      <c r="CA2171" s="265" t="s">
        <v>773</v>
      </c>
      <c r="CB2171" s="3" t="str">
        <f t="shared" si="373"/>
        <v>Riadok bude skrytý.</v>
      </c>
      <c r="CW2171" s="49">
        <v>1</v>
      </c>
      <c r="CZ2171" s="30">
        <f t="shared" si="372"/>
        <v>1</v>
      </c>
      <c r="DA2171" s="30">
        <f>+IF(CW2171+CX2171+CY2171=0,0,IF(CZ2171=0,0,1))</f>
        <v>1</v>
      </c>
      <c r="DB2171" s="2">
        <f t="shared" si="369"/>
        <v>0</v>
      </c>
      <c r="DS2171" s="130">
        <f>SI!BY2171</f>
        <v>160</v>
      </c>
      <c r="DZ2171" s="131">
        <f>SI!BZ2171</f>
        <v>0</v>
      </c>
    </row>
    <row r="2172" spans="1:130" hidden="1" x14ac:dyDescent="0.25">
      <c r="A2172" s="141"/>
      <c r="B2172" s="7"/>
      <c r="G2172" s="7"/>
      <c r="H2172" s="7"/>
      <c r="CA2172" s="142"/>
      <c r="CB2172" s="3" t="str">
        <f t="shared" si="373"/>
        <v>Riadok bude skrytý.</v>
      </c>
      <c r="CW2172" s="49">
        <v>1</v>
      </c>
      <c r="CZ2172" s="30">
        <f t="shared" si="372"/>
        <v>1</v>
      </c>
      <c r="DA2172" s="30">
        <f>+IF(CW2172+CX2172+CY2172=0,0,IF(CZ2172=0,0,1))</f>
        <v>1</v>
      </c>
      <c r="DB2172" s="2">
        <f t="shared" si="369"/>
        <v>0</v>
      </c>
      <c r="DS2172" s="130">
        <f>SI!BY2172</f>
        <v>128</v>
      </c>
      <c r="DZ2172" s="131">
        <f>SI!BZ2172</f>
        <v>0</v>
      </c>
    </row>
    <row r="2173" spans="1:130" x14ac:dyDescent="0.25">
      <c r="A2173" s="141"/>
      <c r="B2173" s="14" t="s">
        <v>96</v>
      </c>
      <c r="C2173" s="14"/>
      <c r="D2173" s="14"/>
      <c r="E2173" s="14"/>
      <c r="F2173" s="14"/>
      <c r="G2173" s="14"/>
      <c r="H2173" s="14"/>
      <c r="I2173" s="14"/>
      <c r="J2173" s="378" t="s">
        <v>152</v>
      </c>
      <c r="K2173" s="378"/>
      <c r="L2173" s="378"/>
      <c r="M2173" s="378"/>
      <c r="N2173" s="378"/>
      <c r="O2173" s="378"/>
      <c r="P2173" s="378"/>
      <c r="Q2173" s="378"/>
      <c r="R2173" s="378"/>
      <c r="S2173" s="137" t="str">
        <f>+IF($C$52&lt;&gt;"",IF(CODE(MID($C$52,1,1))*(IF(SI!EE2173="",1,SI!EE2173-1))+LEN(SI!J2)=DS2173,"záväzky.","NEPOVOLENÉ POUŽITIE!"),"NEPOVOLENÉ POUŽITIE!")</f>
        <v>záväzky.</v>
      </c>
      <c r="T2173" s="38"/>
      <c r="CA2173" s="142"/>
      <c r="CB2173" s="3" t="str">
        <f t="shared" si="373"/>
        <v>Riadok bude vidieť.</v>
      </c>
      <c r="CC2173" s="271" t="s">
        <v>832</v>
      </c>
      <c r="CF2173" s="13"/>
      <c r="CW2173" s="49">
        <v>1</v>
      </c>
      <c r="CY2173" s="43"/>
      <c r="CZ2173" s="30">
        <f t="shared" si="372"/>
        <v>1</v>
      </c>
      <c r="DA2173" s="30">
        <f>+IF(CW2173+CX2173+CY2173=0,0,IF(CZ2173=0,0,1))</f>
        <v>1</v>
      </c>
      <c r="DB2173" s="140">
        <f t="shared" ref="DB2173:DB2202" si="374">+DA2173</f>
        <v>1</v>
      </c>
      <c r="DS2173" s="130">
        <f>SI!BY2173</f>
        <v>13</v>
      </c>
      <c r="DZ2173" s="131">
        <f>SI!BZ2173</f>
        <v>0</v>
      </c>
    </row>
    <row r="2174" spans="1:130" x14ac:dyDescent="0.25">
      <c r="A2174" s="141"/>
      <c r="B2174" s="137" t="str">
        <f>+IF($E$52&lt;&gt;"",IF(ROUNDDOWN(CODE(MID($E$52,1,1))/10,0)*(IF(SI!EE2174="",1,SI!EE2174-1-1-1-1))+(LEN(SI!J2)+2)=DS2174,IF(J2173="neeviduje","Spoločnosť nemá pre túto časť poznámok obsahovú náplň.","K záväzkom Spoločnosť uvádza nasledujúce informácie:"),"NEPOVOLENÉ POUŽITIE!"),"NEPOVOLENÉ POUŽITIE!")</f>
        <v>K záväzkom Spoločnosť uvádza nasledujúce informácie:</v>
      </c>
      <c r="CA2174" s="142"/>
      <c r="CB2174" s="3" t="str">
        <f t="shared" si="373"/>
        <v>Riadok bude vidieť.</v>
      </c>
      <c r="CC2174" s="271" t="s">
        <v>832</v>
      </c>
      <c r="CW2174" s="30">
        <f>+IF($J$2173="neeviduje",1,1)</f>
        <v>1</v>
      </c>
      <c r="CX2174" s="30">
        <f>+IF(B2175="",1,1)</f>
        <v>1</v>
      </c>
      <c r="CZ2174" s="30">
        <f t="shared" si="372"/>
        <v>1</v>
      </c>
      <c r="DA2174" s="52">
        <f t="shared" ref="DA2174:DA2194" si="375">+IF(CW2174*CX2174=0,0,IF(CZ2174=0,0,1))</f>
        <v>1</v>
      </c>
      <c r="DB2174" s="140">
        <f t="shared" si="374"/>
        <v>1</v>
      </c>
      <c r="DS2174" s="130">
        <f>SI!BY2174</f>
        <v>15</v>
      </c>
      <c r="DZ2174" s="131">
        <f>SI!BZ2174</f>
        <v>0</v>
      </c>
    </row>
    <row r="2175" spans="1:130" x14ac:dyDescent="0.25">
      <c r="A2175" s="141"/>
      <c r="B2175" s="379" t="s">
        <v>1065</v>
      </c>
      <c r="C2175" s="379"/>
      <c r="D2175" s="379"/>
      <c r="E2175" s="379"/>
      <c r="F2175" s="379"/>
      <c r="G2175" s="379"/>
      <c r="H2175" s="379"/>
      <c r="I2175" s="379"/>
      <c r="J2175" s="379"/>
      <c r="K2175" s="379"/>
      <c r="L2175" s="379"/>
      <c r="M2175" s="379"/>
      <c r="N2175" s="379"/>
      <c r="O2175" s="379"/>
      <c r="P2175" s="379"/>
      <c r="Q2175" s="379"/>
      <c r="R2175" s="379"/>
      <c r="S2175" s="379"/>
      <c r="T2175" s="379"/>
      <c r="U2175" s="379"/>
      <c r="V2175" s="379"/>
      <c r="W2175" s="379"/>
      <c r="X2175" s="379"/>
      <c r="Y2175" s="379"/>
      <c r="Z2175" s="379"/>
      <c r="AA2175" s="379"/>
      <c r="AB2175" s="379"/>
      <c r="AC2175" s="379"/>
      <c r="AD2175" s="379"/>
      <c r="AE2175" s="379"/>
      <c r="AF2175" s="379"/>
      <c r="AG2175" s="379"/>
      <c r="AH2175" s="379"/>
      <c r="AI2175" s="379"/>
      <c r="AJ2175" s="379"/>
      <c r="AK2175" s="379"/>
      <c r="AL2175" s="379"/>
      <c r="AM2175" s="379"/>
      <c r="AN2175" s="379"/>
      <c r="AO2175" s="379"/>
      <c r="AP2175" s="379"/>
      <c r="AQ2175" s="379"/>
      <c r="AR2175" s="379"/>
      <c r="AS2175" s="379"/>
      <c r="AT2175" s="379"/>
      <c r="AU2175" s="379"/>
      <c r="AV2175" s="379"/>
      <c r="AW2175" s="379"/>
      <c r="AX2175" s="379"/>
      <c r="AY2175" s="379"/>
      <c r="AZ2175" s="379"/>
      <c r="BA2175" s="379"/>
      <c r="BB2175" s="379"/>
      <c r="BC2175" s="379"/>
      <c r="BD2175" s="379"/>
      <c r="BE2175" s="379"/>
      <c r="BF2175" s="379"/>
      <c r="BG2175" s="379"/>
      <c r="BH2175" s="379"/>
      <c r="BI2175" s="379"/>
      <c r="BJ2175" s="379"/>
      <c r="BK2175" s="379"/>
      <c r="BL2175" s="379"/>
      <c r="BM2175" s="379"/>
      <c r="BN2175" s="379"/>
      <c r="BO2175" s="379"/>
      <c r="BP2175" s="379"/>
      <c r="BQ2175" s="379"/>
      <c r="BR2175" s="379"/>
      <c r="BS2175" s="379"/>
      <c r="BT2175" s="379"/>
      <c r="BU2175" s="379"/>
      <c r="BV2175" s="379"/>
      <c r="BW2175" s="379"/>
      <c r="BX2175" s="379"/>
      <c r="BY2175" s="379"/>
      <c r="BZ2175" s="379"/>
      <c r="CA2175" s="281"/>
      <c r="CB2175" s="3" t="str">
        <f t="shared" si="373"/>
        <v>Riadok bude vidieť.</v>
      </c>
      <c r="CC2175" s="271" t="s">
        <v>832</v>
      </c>
      <c r="CW2175" s="30">
        <f t="shared" ref="CW2175:CW2226" si="376">+IF($J$2173="neeviduje",0,1)</f>
        <v>1</v>
      </c>
      <c r="CX2175" s="30">
        <f t="shared" ref="CX2175:CX2194" si="377">+IF(B2175="",0,1)</f>
        <v>1</v>
      </c>
      <c r="CZ2175" s="30">
        <f t="shared" si="372"/>
        <v>1</v>
      </c>
      <c r="DA2175" s="52">
        <f t="shared" si="375"/>
        <v>1</v>
      </c>
      <c r="DB2175" s="140">
        <f t="shared" si="374"/>
        <v>1</v>
      </c>
      <c r="DS2175" s="130">
        <f>SI!BY2175</f>
        <v>147</v>
      </c>
      <c r="DZ2175" s="131">
        <f>SI!BZ2175</f>
        <v>0</v>
      </c>
    </row>
    <row r="2176" spans="1:130" x14ac:dyDescent="0.25">
      <c r="A2176" s="141"/>
      <c r="B2176" s="379" t="s">
        <v>1069</v>
      </c>
      <c r="C2176" s="379"/>
      <c r="D2176" s="379"/>
      <c r="E2176" s="379"/>
      <c r="F2176" s="379"/>
      <c r="G2176" s="379"/>
      <c r="H2176" s="379"/>
      <c r="I2176" s="379"/>
      <c r="J2176" s="379"/>
      <c r="K2176" s="379"/>
      <c r="L2176" s="379"/>
      <c r="M2176" s="379"/>
      <c r="N2176" s="379"/>
      <c r="O2176" s="379"/>
      <c r="P2176" s="379"/>
      <c r="Q2176" s="379"/>
      <c r="R2176" s="379"/>
      <c r="S2176" s="379"/>
      <c r="T2176" s="379"/>
      <c r="U2176" s="379"/>
      <c r="V2176" s="379"/>
      <c r="W2176" s="379"/>
      <c r="X2176" s="379"/>
      <c r="Y2176" s="379"/>
      <c r="Z2176" s="379"/>
      <c r="AA2176" s="379"/>
      <c r="AB2176" s="379"/>
      <c r="AC2176" s="379"/>
      <c r="AD2176" s="379"/>
      <c r="AE2176" s="379"/>
      <c r="AF2176" s="379"/>
      <c r="AG2176" s="379"/>
      <c r="AH2176" s="379"/>
      <c r="AI2176" s="379"/>
      <c r="AJ2176" s="379"/>
      <c r="AK2176" s="379"/>
      <c r="AL2176" s="379"/>
      <c r="AM2176" s="379"/>
      <c r="AN2176" s="379"/>
      <c r="AO2176" s="379"/>
      <c r="AP2176" s="379"/>
      <c r="AQ2176" s="379"/>
      <c r="AR2176" s="379"/>
      <c r="AS2176" s="379"/>
      <c r="AT2176" s="379"/>
      <c r="AU2176" s="379"/>
      <c r="AV2176" s="379"/>
      <c r="AW2176" s="379"/>
      <c r="AX2176" s="379"/>
      <c r="AY2176" s="379"/>
      <c r="AZ2176" s="379"/>
      <c r="BA2176" s="379"/>
      <c r="BB2176" s="379"/>
      <c r="BC2176" s="379"/>
      <c r="BD2176" s="379"/>
      <c r="BE2176" s="379"/>
      <c r="BF2176" s="379"/>
      <c r="BG2176" s="379"/>
      <c r="BH2176" s="379"/>
      <c r="BI2176" s="379"/>
      <c r="BJ2176" s="379"/>
      <c r="BK2176" s="379"/>
      <c r="BL2176" s="379"/>
      <c r="BM2176" s="379"/>
      <c r="BN2176" s="379"/>
      <c r="BO2176" s="379"/>
      <c r="BP2176" s="379"/>
      <c r="BQ2176" s="379"/>
      <c r="BR2176" s="379"/>
      <c r="BS2176" s="379"/>
      <c r="BT2176" s="379"/>
      <c r="BU2176" s="379"/>
      <c r="BV2176" s="379"/>
      <c r="BW2176" s="379"/>
      <c r="BX2176" s="379"/>
      <c r="BY2176" s="379"/>
      <c r="BZ2176" s="379"/>
      <c r="CA2176" s="281"/>
      <c r="CB2176" s="3" t="str">
        <f t="shared" si="373"/>
        <v>Riadok bude vidieť.</v>
      </c>
      <c r="CC2176" s="271" t="s">
        <v>832</v>
      </c>
      <c r="CW2176" s="30">
        <f t="shared" si="376"/>
        <v>1</v>
      </c>
      <c r="CX2176" s="30">
        <f t="shared" si="377"/>
        <v>1</v>
      </c>
      <c r="CZ2176" s="30">
        <f t="shared" si="372"/>
        <v>1</v>
      </c>
      <c r="DA2176" s="52">
        <f t="shared" si="375"/>
        <v>1</v>
      </c>
      <c r="DB2176" s="140">
        <f t="shared" si="374"/>
        <v>1</v>
      </c>
      <c r="DS2176" s="130">
        <f>SI!BY2176</f>
        <v>174</v>
      </c>
      <c r="DZ2176" s="131">
        <f>SI!BZ2176</f>
        <v>0</v>
      </c>
    </row>
    <row r="2177" spans="1:130" hidden="1" x14ac:dyDescent="0.25">
      <c r="A2177" s="141"/>
      <c r="B2177" s="379"/>
      <c r="C2177" s="379"/>
      <c r="D2177" s="379"/>
      <c r="E2177" s="379"/>
      <c r="F2177" s="379"/>
      <c r="G2177" s="379"/>
      <c r="H2177" s="379"/>
      <c r="I2177" s="379"/>
      <c r="J2177" s="379"/>
      <c r="K2177" s="379"/>
      <c r="L2177" s="379"/>
      <c r="M2177" s="379"/>
      <c r="N2177" s="379"/>
      <c r="O2177" s="379"/>
      <c r="P2177" s="379"/>
      <c r="Q2177" s="379"/>
      <c r="R2177" s="379"/>
      <c r="S2177" s="379"/>
      <c r="T2177" s="379"/>
      <c r="U2177" s="379"/>
      <c r="V2177" s="379"/>
      <c r="W2177" s="379"/>
      <c r="X2177" s="379"/>
      <c r="Y2177" s="379"/>
      <c r="Z2177" s="379"/>
      <c r="AA2177" s="379"/>
      <c r="AB2177" s="379"/>
      <c r="AC2177" s="379"/>
      <c r="AD2177" s="379"/>
      <c r="AE2177" s="379"/>
      <c r="AF2177" s="379"/>
      <c r="AG2177" s="379"/>
      <c r="AH2177" s="379"/>
      <c r="AI2177" s="379"/>
      <c r="AJ2177" s="379"/>
      <c r="AK2177" s="379"/>
      <c r="AL2177" s="379"/>
      <c r="AM2177" s="379"/>
      <c r="AN2177" s="379"/>
      <c r="AO2177" s="379"/>
      <c r="AP2177" s="379"/>
      <c r="AQ2177" s="379"/>
      <c r="AR2177" s="379"/>
      <c r="AS2177" s="379"/>
      <c r="AT2177" s="379"/>
      <c r="AU2177" s="379"/>
      <c r="AV2177" s="379"/>
      <c r="AW2177" s="379"/>
      <c r="AX2177" s="379"/>
      <c r="AY2177" s="379"/>
      <c r="AZ2177" s="379"/>
      <c r="BA2177" s="379"/>
      <c r="BB2177" s="379"/>
      <c r="BC2177" s="379"/>
      <c r="BD2177" s="379"/>
      <c r="BE2177" s="379"/>
      <c r="BF2177" s="379"/>
      <c r="BG2177" s="379"/>
      <c r="BH2177" s="379"/>
      <c r="BI2177" s="379"/>
      <c r="BJ2177" s="379"/>
      <c r="BK2177" s="379"/>
      <c r="BL2177" s="379"/>
      <c r="BM2177" s="379"/>
      <c r="BN2177" s="379"/>
      <c r="BO2177" s="379"/>
      <c r="BP2177" s="379"/>
      <c r="BQ2177" s="379"/>
      <c r="BR2177" s="379"/>
      <c r="BS2177" s="379"/>
      <c r="BT2177" s="379"/>
      <c r="BU2177" s="379"/>
      <c r="BV2177" s="379"/>
      <c r="BW2177" s="379"/>
      <c r="BX2177" s="379"/>
      <c r="BY2177" s="379"/>
      <c r="BZ2177" s="379"/>
      <c r="CA2177" s="281"/>
      <c r="CB2177" s="3" t="str">
        <f t="shared" si="373"/>
        <v>Riadok bude skrytý.</v>
      </c>
      <c r="CC2177" s="271" t="s">
        <v>832</v>
      </c>
      <c r="CW2177" s="30">
        <f t="shared" si="376"/>
        <v>1</v>
      </c>
      <c r="CX2177" s="30">
        <f t="shared" si="377"/>
        <v>0</v>
      </c>
      <c r="CZ2177" s="30">
        <f t="shared" si="372"/>
        <v>1</v>
      </c>
      <c r="DA2177" s="52">
        <f t="shared" si="375"/>
        <v>0</v>
      </c>
      <c r="DB2177" s="140">
        <f t="shared" si="374"/>
        <v>0</v>
      </c>
      <c r="DS2177" s="130">
        <f>SI!BY2177</f>
        <v>188</v>
      </c>
      <c r="DZ2177" s="131">
        <f>SI!BZ2177</f>
        <v>0</v>
      </c>
    </row>
    <row r="2178" spans="1:130" hidden="1" x14ac:dyDescent="0.25">
      <c r="A2178" s="141"/>
      <c r="B2178" s="379"/>
      <c r="C2178" s="379"/>
      <c r="D2178" s="379"/>
      <c r="E2178" s="379"/>
      <c r="F2178" s="379"/>
      <c r="G2178" s="379"/>
      <c r="H2178" s="379"/>
      <c r="I2178" s="379"/>
      <c r="J2178" s="379"/>
      <c r="K2178" s="379"/>
      <c r="L2178" s="379"/>
      <c r="M2178" s="379"/>
      <c r="N2178" s="379"/>
      <c r="O2178" s="379"/>
      <c r="P2178" s="379"/>
      <c r="Q2178" s="379"/>
      <c r="R2178" s="379"/>
      <c r="S2178" s="379"/>
      <c r="T2178" s="379"/>
      <c r="U2178" s="379"/>
      <c r="V2178" s="379"/>
      <c r="W2178" s="379"/>
      <c r="X2178" s="379"/>
      <c r="Y2178" s="379"/>
      <c r="Z2178" s="379"/>
      <c r="AA2178" s="379"/>
      <c r="AB2178" s="379"/>
      <c r="AC2178" s="379"/>
      <c r="AD2178" s="379"/>
      <c r="AE2178" s="379"/>
      <c r="AF2178" s="379"/>
      <c r="AG2178" s="379"/>
      <c r="AH2178" s="379"/>
      <c r="AI2178" s="379"/>
      <c r="AJ2178" s="379"/>
      <c r="AK2178" s="379"/>
      <c r="AL2178" s="379"/>
      <c r="AM2178" s="379"/>
      <c r="AN2178" s="379"/>
      <c r="AO2178" s="379"/>
      <c r="AP2178" s="379"/>
      <c r="AQ2178" s="379"/>
      <c r="AR2178" s="379"/>
      <c r="AS2178" s="379"/>
      <c r="AT2178" s="379"/>
      <c r="AU2178" s="379"/>
      <c r="AV2178" s="379"/>
      <c r="AW2178" s="379"/>
      <c r="AX2178" s="379"/>
      <c r="AY2178" s="379"/>
      <c r="AZ2178" s="379"/>
      <c r="BA2178" s="379"/>
      <c r="BB2178" s="379"/>
      <c r="BC2178" s="379"/>
      <c r="BD2178" s="379"/>
      <c r="BE2178" s="379"/>
      <c r="BF2178" s="379"/>
      <c r="BG2178" s="379"/>
      <c r="BH2178" s="379"/>
      <c r="BI2178" s="379"/>
      <c r="BJ2178" s="379"/>
      <c r="BK2178" s="379"/>
      <c r="BL2178" s="379"/>
      <c r="BM2178" s="379"/>
      <c r="BN2178" s="379"/>
      <c r="BO2178" s="379"/>
      <c r="BP2178" s="379"/>
      <c r="BQ2178" s="379"/>
      <c r="BR2178" s="379"/>
      <c r="BS2178" s="379"/>
      <c r="BT2178" s="379"/>
      <c r="BU2178" s="379"/>
      <c r="BV2178" s="379"/>
      <c r="BW2178" s="379"/>
      <c r="BX2178" s="379"/>
      <c r="BY2178" s="379"/>
      <c r="BZ2178" s="379"/>
      <c r="CA2178" s="281"/>
      <c r="CB2178" s="3" t="str">
        <f t="shared" si="373"/>
        <v>Riadok bude skrytý.</v>
      </c>
      <c r="CC2178" s="271" t="s">
        <v>832</v>
      </c>
      <c r="CW2178" s="30">
        <f t="shared" si="376"/>
        <v>1</v>
      </c>
      <c r="CX2178" s="30">
        <f t="shared" si="377"/>
        <v>0</v>
      </c>
      <c r="CZ2178" s="30">
        <f t="shared" si="372"/>
        <v>1</v>
      </c>
      <c r="DA2178" s="52">
        <f t="shared" si="375"/>
        <v>0</v>
      </c>
      <c r="DB2178" s="140">
        <f t="shared" si="374"/>
        <v>0</v>
      </c>
      <c r="DS2178" s="130">
        <f>SI!BY2178</f>
        <v>159</v>
      </c>
      <c r="DZ2178" s="131">
        <f>SI!BZ2178</f>
        <v>0</v>
      </c>
    </row>
    <row r="2179" spans="1:130" hidden="1" x14ac:dyDescent="0.25">
      <c r="A2179" s="141"/>
      <c r="B2179" s="379"/>
      <c r="C2179" s="379"/>
      <c r="D2179" s="379"/>
      <c r="E2179" s="379"/>
      <c r="F2179" s="379"/>
      <c r="G2179" s="379"/>
      <c r="H2179" s="379"/>
      <c r="I2179" s="379"/>
      <c r="J2179" s="379"/>
      <c r="K2179" s="379"/>
      <c r="L2179" s="379"/>
      <c r="M2179" s="379"/>
      <c r="N2179" s="379"/>
      <c r="O2179" s="379"/>
      <c r="P2179" s="379"/>
      <c r="Q2179" s="379"/>
      <c r="R2179" s="379"/>
      <c r="S2179" s="379"/>
      <c r="T2179" s="379"/>
      <c r="U2179" s="379"/>
      <c r="V2179" s="379"/>
      <c r="W2179" s="379"/>
      <c r="X2179" s="379"/>
      <c r="Y2179" s="379"/>
      <c r="Z2179" s="379"/>
      <c r="AA2179" s="379"/>
      <c r="AB2179" s="379"/>
      <c r="AC2179" s="379"/>
      <c r="AD2179" s="379"/>
      <c r="AE2179" s="379"/>
      <c r="AF2179" s="379"/>
      <c r="AG2179" s="379"/>
      <c r="AH2179" s="379"/>
      <c r="AI2179" s="379"/>
      <c r="AJ2179" s="379"/>
      <c r="AK2179" s="379"/>
      <c r="AL2179" s="379"/>
      <c r="AM2179" s="379"/>
      <c r="AN2179" s="379"/>
      <c r="AO2179" s="379"/>
      <c r="AP2179" s="379"/>
      <c r="AQ2179" s="379"/>
      <c r="AR2179" s="379"/>
      <c r="AS2179" s="379"/>
      <c r="AT2179" s="379"/>
      <c r="AU2179" s="379"/>
      <c r="AV2179" s="379"/>
      <c r="AW2179" s="379"/>
      <c r="AX2179" s="379"/>
      <c r="AY2179" s="379"/>
      <c r="AZ2179" s="379"/>
      <c r="BA2179" s="379"/>
      <c r="BB2179" s="379"/>
      <c r="BC2179" s="379"/>
      <c r="BD2179" s="379"/>
      <c r="BE2179" s="379"/>
      <c r="BF2179" s="379"/>
      <c r="BG2179" s="379"/>
      <c r="BH2179" s="379"/>
      <c r="BI2179" s="379"/>
      <c r="BJ2179" s="379"/>
      <c r="BK2179" s="379"/>
      <c r="BL2179" s="379"/>
      <c r="BM2179" s="379"/>
      <c r="BN2179" s="379"/>
      <c r="BO2179" s="379"/>
      <c r="BP2179" s="379"/>
      <c r="BQ2179" s="379"/>
      <c r="BR2179" s="379"/>
      <c r="BS2179" s="379"/>
      <c r="BT2179" s="379"/>
      <c r="BU2179" s="379"/>
      <c r="BV2179" s="379"/>
      <c r="BW2179" s="379"/>
      <c r="BX2179" s="379"/>
      <c r="BY2179" s="379"/>
      <c r="BZ2179" s="379"/>
      <c r="CA2179" s="281"/>
      <c r="CB2179" s="3" t="str">
        <f t="shared" si="373"/>
        <v>Riadok bude skrytý.</v>
      </c>
      <c r="CC2179" s="271" t="s">
        <v>832</v>
      </c>
      <c r="CW2179" s="30">
        <f t="shared" si="376"/>
        <v>1</v>
      </c>
      <c r="CX2179" s="30">
        <f t="shared" si="377"/>
        <v>0</v>
      </c>
      <c r="CZ2179" s="30">
        <f t="shared" si="372"/>
        <v>1</v>
      </c>
      <c r="DA2179" s="52">
        <f t="shared" si="375"/>
        <v>0</v>
      </c>
      <c r="DB2179" s="140">
        <f t="shared" si="374"/>
        <v>0</v>
      </c>
      <c r="DS2179" s="130">
        <f>SI!BY2179</f>
        <v>147</v>
      </c>
      <c r="DZ2179" s="131">
        <f>SI!BZ2179</f>
        <v>0</v>
      </c>
    </row>
    <row r="2180" spans="1:130" hidden="1" x14ac:dyDescent="0.25">
      <c r="A2180" s="141"/>
      <c r="B2180" s="379"/>
      <c r="C2180" s="379"/>
      <c r="D2180" s="379"/>
      <c r="E2180" s="379"/>
      <c r="F2180" s="379"/>
      <c r="G2180" s="379"/>
      <c r="H2180" s="379"/>
      <c r="I2180" s="379"/>
      <c r="J2180" s="379"/>
      <c r="K2180" s="379"/>
      <c r="L2180" s="379"/>
      <c r="M2180" s="379"/>
      <c r="N2180" s="379"/>
      <c r="O2180" s="379"/>
      <c r="P2180" s="379"/>
      <c r="Q2180" s="379"/>
      <c r="R2180" s="379"/>
      <c r="S2180" s="379"/>
      <c r="T2180" s="379"/>
      <c r="U2180" s="379"/>
      <c r="V2180" s="379"/>
      <c r="W2180" s="379"/>
      <c r="X2180" s="379"/>
      <c r="Y2180" s="379"/>
      <c r="Z2180" s="379"/>
      <c r="AA2180" s="379"/>
      <c r="AB2180" s="379"/>
      <c r="AC2180" s="379"/>
      <c r="AD2180" s="379"/>
      <c r="AE2180" s="379"/>
      <c r="AF2180" s="379"/>
      <c r="AG2180" s="379"/>
      <c r="AH2180" s="379"/>
      <c r="AI2180" s="379"/>
      <c r="AJ2180" s="379"/>
      <c r="AK2180" s="379"/>
      <c r="AL2180" s="379"/>
      <c r="AM2180" s="379"/>
      <c r="AN2180" s="379"/>
      <c r="AO2180" s="379"/>
      <c r="AP2180" s="379"/>
      <c r="AQ2180" s="379"/>
      <c r="AR2180" s="379"/>
      <c r="AS2180" s="379"/>
      <c r="AT2180" s="379"/>
      <c r="AU2180" s="379"/>
      <c r="AV2180" s="379"/>
      <c r="AW2180" s="379"/>
      <c r="AX2180" s="379"/>
      <c r="AY2180" s="379"/>
      <c r="AZ2180" s="379"/>
      <c r="BA2180" s="379"/>
      <c r="BB2180" s="379"/>
      <c r="BC2180" s="379"/>
      <c r="BD2180" s="379"/>
      <c r="BE2180" s="379"/>
      <c r="BF2180" s="379"/>
      <c r="BG2180" s="379"/>
      <c r="BH2180" s="379"/>
      <c r="BI2180" s="379"/>
      <c r="BJ2180" s="379"/>
      <c r="BK2180" s="379"/>
      <c r="BL2180" s="379"/>
      <c r="BM2180" s="379"/>
      <c r="BN2180" s="379"/>
      <c r="BO2180" s="379"/>
      <c r="BP2180" s="379"/>
      <c r="BQ2180" s="379"/>
      <c r="BR2180" s="379"/>
      <c r="BS2180" s="379"/>
      <c r="BT2180" s="379"/>
      <c r="BU2180" s="379"/>
      <c r="BV2180" s="379"/>
      <c r="BW2180" s="379"/>
      <c r="BX2180" s="379"/>
      <c r="BY2180" s="379"/>
      <c r="BZ2180" s="379"/>
      <c r="CA2180" s="281"/>
      <c r="CB2180" s="3" t="str">
        <f t="shared" si="373"/>
        <v>Riadok bude skrytý.</v>
      </c>
      <c r="CC2180" s="271" t="s">
        <v>832</v>
      </c>
      <c r="CW2180" s="30">
        <f t="shared" si="376"/>
        <v>1</v>
      </c>
      <c r="CX2180" s="30">
        <f t="shared" si="377"/>
        <v>0</v>
      </c>
      <c r="CZ2180" s="30">
        <f t="shared" si="372"/>
        <v>1</v>
      </c>
      <c r="DA2180" s="52">
        <f t="shared" si="375"/>
        <v>0</v>
      </c>
      <c r="DB2180" s="140">
        <f t="shared" si="374"/>
        <v>0</v>
      </c>
      <c r="DS2180" s="130">
        <f>SI!BY2180</f>
        <v>129</v>
      </c>
      <c r="DZ2180" s="131">
        <f>SI!BZ2180</f>
        <v>0</v>
      </c>
    </row>
    <row r="2181" spans="1:130" hidden="1" x14ac:dyDescent="0.25">
      <c r="A2181" s="141"/>
      <c r="B2181" s="379"/>
      <c r="C2181" s="379"/>
      <c r="D2181" s="379"/>
      <c r="E2181" s="379"/>
      <c r="F2181" s="379"/>
      <c r="G2181" s="379"/>
      <c r="H2181" s="379"/>
      <c r="I2181" s="379"/>
      <c r="J2181" s="379"/>
      <c r="K2181" s="379"/>
      <c r="L2181" s="379"/>
      <c r="M2181" s="379"/>
      <c r="N2181" s="379"/>
      <c r="O2181" s="379"/>
      <c r="P2181" s="379"/>
      <c r="Q2181" s="379"/>
      <c r="R2181" s="379"/>
      <c r="S2181" s="379"/>
      <c r="T2181" s="379"/>
      <c r="U2181" s="379"/>
      <c r="V2181" s="379"/>
      <c r="W2181" s="379"/>
      <c r="X2181" s="379"/>
      <c r="Y2181" s="379"/>
      <c r="Z2181" s="379"/>
      <c r="AA2181" s="379"/>
      <c r="AB2181" s="379"/>
      <c r="AC2181" s="379"/>
      <c r="AD2181" s="379"/>
      <c r="AE2181" s="379"/>
      <c r="AF2181" s="379"/>
      <c r="AG2181" s="379"/>
      <c r="AH2181" s="379"/>
      <c r="AI2181" s="379"/>
      <c r="AJ2181" s="379"/>
      <c r="AK2181" s="379"/>
      <c r="AL2181" s="379"/>
      <c r="AM2181" s="379"/>
      <c r="AN2181" s="379"/>
      <c r="AO2181" s="379"/>
      <c r="AP2181" s="379"/>
      <c r="AQ2181" s="379"/>
      <c r="AR2181" s="379"/>
      <c r="AS2181" s="379"/>
      <c r="AT2181" s="379"/>
      <c r="AU2181" s="379"/>
      <c r="AV2181" s="379"/>
      <c r="AW2181" s="379"/>
      <c r="AX2181" s="379"/>
      <c r="AY2181" s="379"/>
      <c r="AZ2181" s="379"/>
      <c r="BA2181" s="379"/>
      <c r="BB2181" s="379"/>
      <c r="BC2181" s="379"/>
      <c r="BD2181" s="379"/>
      <c r="BE2181" s="379"/>
      <c r="BF2181" s="379"/>
      <c r="BG2181" s="379"/>
      <c r="BH2181" s="379"/>
      <c r="BI2181" s="379"/>
      <c r="BJ2181" s="379"/>
      <c r="BK2181" s="379"/>
      <c r="BL2181" s="379"/>
      <c r="BM2181" s="379"/>
      <c r="BN2181" s="379"/>
      <c r="BO2181" s="379"/>
      <c r="BP2181" s="379"/>
      <c r="BQ2181" s="379"/>
      <c r="BR2181" s="379"/>
      <c r="BS2181" s="379"/>
      <c r="BT2181" s="379"/>
      <c r="BU2181" s="379"/>
      <c r="BV2181" s="379"/>
      <c r="BW2181" s="379"/>
      <c r="BX2181" s="379"/>
      <c r="BY2181" s="379"/>
      <c r="BZ2181" s="379"/>
      <c r="CA2181" s="281"/>
      <c r="CB2181" s="3" t="str">
        <f t="shared" si="373"/>
        <v>Riadok bude skrytý.</v>
      </c>
      <c r="CC2181" s="271" t="s">
        <v>832</v>
      </c>
      <c r="CW2181" s="30">
        <f t="shared" si="376"/>
        <v>1</v>
      </c>
      <c r="CX2181" s="30">
        <f t="shared" si="377"/>
        <v>0</v>
      </c>
      <c r="CZ2181" s="30">
        <f t="shared" si="372"/>
        <v>1</v>
      </c>
      <c r="DA2181" s="52">
        <f t="shared" si="375"/>
        <v>0</v>
      </c>
      <c r="DB2181" s="140">
        <f t="shared" si="374"/>
        <v>0</v>
      </c>
      <c r="DS2181" s="130">
        <f>SI!BY2181</f>
        <v>141</v>
      </c>
      <c r="DZ2181" s="131">
        <f>SI!BZ2181</f>
        <v>0</v>
      </c>
    </row>
    <row r="2182" spans="1:130" hidden="1" x14ac:dyDescent="0.25">
      <c r="A2182" s="141"/>
      <c r="B2182" s="379"/>
      <c r="C2182" s="379"/>
      <c r="D2182" s="379"/>
      <c r="E2182" s="379"/>
      <c r="F2182" s="379"/>
      <c r="G2182" s="379"/>
      <c r="H2182" s="379"/>
      <c r="I2182" s="379"/>
      <c r="J2182" s="379"/>
      <c r="K2182" s="379"/>
      <c r="L2182" s="379"/>
      <c r="M2182" s="379"/>
      <c r="N2182" s="379"/>
      <c r="O2182" s="379"/>
      <c r="P2182" s="379"/>
      <c r="Q2182" s="379"/>
      <c r="R2182" s="379"/>
      <c r="S2182" s="379"/>
      <c r="T2182" s="379"/>
      <c r="U2182" s="379"/>
      <c r="V2182" s="379"/>
      <c r="W2182" s="379"/>
      <c r="X2182" s="379"/>
      <c r="Y2182" s="379"/>
      <c r="Z2182" s="379"/>
      <c r="AA2182" s="379"/>
      <c r="AB2182" s="379"/>
      <c r="AC2182" s="379"/>
      <c r="AD2182" s="379"/>
      <c r="AE2182" s="379"/>
      <c r="AF2182" s="379"/>
      <c r="AG2182" s="379"/>
      <c r="AH2182" s="379"/>
      <c r="AI2182" s="379"/>
      <c r="AJ2182" s="379"/>
      <c r="AK2182" s="379"/>
      <c r="AL2182" s="379"/>
      <c r="AM2182" s="379"/>
      <c r="AN2182" s="379"/>
      <c r="AO2182" s="379"/>
      <c r="AP2182" s="379"/>
      <c r="AQ2182" s="379"/>
      <c r="AR2182" s="379"/>
      <c r="AS2182" s="379"/>
      <c r="AT2182" s="379"/>
      <c r="AU2182" s="379"/>
      <c r="AV2182" s="379"/>
      <c r="AW2182" s="379"/>
      <c r="AX2182" s="379"/>
      <c r="AY2182" s="379"/>
      <c r="AZ2182" s="379"/>
      <c r="BA2182" s="379"/>
      <c r="BB2182" s="379"/>
      <c r="BC2182" s="379"/>
      <c r="BD2182" s="379"/>
      <c r="BE2182" s="379"/>
      <c r="BF2182" s="379"/>
      <c r="BG2182" s="379"/>
      <c r="BH2182" s="379"/>
      <c r="BI2182" s="379"/>
      <c r="BJ2182" s="379"/>
      <c r="BK2182" s="379"/>
      <c r="BL2182" s="379"/>
      <c r="BM2182" s="379"/>
      <c r="BN2182" s="379"/>
      <c r="BO2182" s="379"/>
      <c r="BP2182" s="379"/>
      <c r="BQ2182" s="379"/>
      <c r="BR2182" s="379"/>
      <c r="BS2182" s="379"/>
      <c r="BT2182" s="379"/>
      <c r="BU2182" s="379"/>
      <c r="BV2182" s="379"/>
      <c r="BW2182" s="379"/>
      <c r="BX2182" s="379"/>
      <c r="BY2182" s="379"/>
      <c r="BZ2182" s="379"/>
      <c r="CA2182" s="281"/>
      <c r="CB2182" s="3" t="str">
        <f t="shared" si="373"/>
        <v>Riadok bude skrytý.</v>
      </c>
      <c r="CC2182" s="271" t="s">
        <v>832</v>
      </c>
      <c r="CW2182" s="30">
        <f t="shared" si="376"/>
        <v>1</v>
      </c>
      <c r="CX2182" s="30">
        <f t="shared" si="377"/>
        <v>0</v>
      </c>
      <c r="CZ2182" s="30">
        <f t="shared" si="372"/>
        <v>1</v>
      </c>
      <c r="DA2182" s="52">
        <f t="shared" si="375"/>
        <v>0</v>
      </c>
      <c r="DB2182" s="140">
        <f t="shared" si="374"/>
        <v>0</v>
      </c>
      <c r="DS2182" s="130">
        <f>SI!BY2182</f>
        <v>176</v>
      </c>
      <c r="DZ2182" s="131">
        <f>SI!BZ2182</f>
        <v>0</v>
      </c>
    </row>
    <row r="2183" spans="1:130" hidden="1" x14ac:dyDescent="0.25">
      <c r="A2183" s="141"/>
      <c r="B2183" s="379"/>
      <c r="C2183" s="379"/>
      <c r="D2183" s="379"/>
      <c r="E2183" s="379"/>
      <c r="F2183" s="379"/>
      <c r="G2183" s="379"/>
      <c r="H2183" s="379"/>
      <c r="I2183" s="379"/>
      <c r="J2183" s="379"/>
      <c r="K2183" s="379"/>
      <c r="L2183" s="379"/>
      <c r="M2183" s="379"/>
      <c r="N2183" s="379"/>
      <c r="O2183" s="379"/>
      <c r="P2183" s="379"/>
      <c r="Q2183" s="379"/>
      <c r="R2183" s="379"/>
      <c r="S2183" s="379"/>
      <c r="T2183" s="379"/>
      <c r="U2183" s="379"/>
      <c r="V2183" s="379"/>
      <c r="W2183" s="379"/>
      <c r="X2183" s="379"/>
      <c r="Y2183" s="379"/>
      <c r="Z2183" s="379"/>
      <c r="AA2183" s="379"/>
      <c r="AB2183" s="379"/>
      <c r="AC2183" s="379"/>
      <c r="AD2183" s="379"/>
      <c r="AE2183" s="379"/>
      <c r="AF2183" s="379"/>
      <c r="AG2183" s="379"/>
      <c r="AH2183" s="379"/>
      <c r="AI2183" s="379"/>
      <c r="AJ2183" s="379"/>
      <c r="AK2183" s="379"/>
      <c r="AL2183" s="379"/>
      <c r="AM2183" s="379"/>
      <c r="AN2183" s="379"/>
      <c r="AO2183" s="379"/>
      <c r="AP2183" s="379"/>
      <c r="AQ2183" s="379"/>
      <c r="AR2183" s="379"/>
      <c r="AS2183" s="379"/>
      <c r="AT2183" s="379"/>
      <c r="AU2183" s="379"/>
      <c r="AV2183" s="379"/>
      <c r="AW2183" s="379"/>
      <c r="AX2183" s="379"/>
      <c r="AY2183" s="379"/>
      <c r="AZ2183" s="379"/>
      <c r="BA2183" s="379"/>
      <c r="BB2183" s="379"/>
      <c r="BC2183" s="379"/>
      <c r="BD2183" s="379"/>
      <c r="BE2183" s="379"/>
      <c r="BF2183" s="379"/>
      <c r="BG2183" s="379"/>
      <c r="BH2183" s="379"/>
      <c r="BI2183" s="379"/>
      <c r="BJ2183" s="379"/>
      <c r="BK2183" s="379"/>
      <c r="BL2183" s="379"/>
      <c r="BM2183" s="379"/>
      <c r="BN2183" s="379"/>
      <c r="BO2183" s="379"/>
      <c r="BP2183" s="379"/>
      <c r="BQ2183" s="379"/>
      <c r="BR2183" s="379"/>
      <c r="BS2183" s="379"/>
      <c r="BT2183" s="379"/>
      <c r="BU2183" s="379"/>
      <c r="BV2183" s="379"/>
      <c r="BW2183" s="379"/>
      <c r="BX2183" s="379"/>
      <c r="BY2183" s="379"/>
      <c r="BZ2183" s="379"/>
      <c r="CA2183" s="281"/>
      <c r="CB2183" s="3" t="str">
        <f t="shared" si="373"/>
        <v>Riadok bude skrytý.</v>
      </c>
      <c r="CC2183" s="271" t="s">
        <v>832</v>
      </c>
      <c r="CW2183" s="30">
        <f t="shared" si="376"/>
        <v>1</v>
      </c>
      <c r="CX2183" s="30">
        <f t="shared" si="377"/>
        <v>0</v>
      </c>
      <c r="CZ2183" s="30">
        <f t="shared" si="372"/>
        <v>1</v>
      </c>
      <c r="DA2183" s="52">
        <f t="shared" si="375"/>
        <v>0</v>
      </c>
      <c r="DB2183" s="140">
        <f t="shared" si="374"/>
        <v>0</v>
      </c>
      <c r="DS2183" s="130">
        <f>SI!BY2183</f>
        <v>113</v>
      </c>
      <c r="DZ2183" s="131">
        <f>SI!BZ2183</f>
        <v>0</v>
      </c>
    </row>
    <row r="2184" spans="1:130" hidden="1" x14ac:dyDescent="0.25">
      <c r="A2184" s="141"/>
      <c r="B2184" s="379"/>
      <c r="C2184" s="379"/>
      <c r="D2184" s="379"/>
      <c r="E2184" s="379"/>
      <c r="F2184" s="379"/>
      <c r="G2184" s="379"/>
      <c r="H2184" s="379"/>
      <c r="I2184" s="379"/>
      <c r="J2184" s="379"/>
      <c r="K2184" s="379"/>
      <c r="L2184" s="379"/>
      <c r="M2184" s="379"/>
      <c r="N2184" s="379"/>
      <c r="O2184" s="379"/>
      <c r="P2184" s="379"/>
      <c r="Q2184" s="379"/>
      <c r="R2184" s="379"/>
      <c r="S2184" s="379"/>
      <c r="T2184" s="379"/>
      <c r="U2184" s="379"/>
      <c r="V2184" s="379"/>
      <c r="W2184" s="379"/>
      <c r="X2184" s="379"/>
      <c r="Y2184" s="379"/>
      <c r="Z2184" s="379"/>
      <c r="AA2184" s="379"/>
      <c r="AB2184" s="379"/>
      <c r="AC2184" s="379"/>
      <c r="AD2184" s="379"/>
      <c r="AE2184" s="379"/>
      <c r="AF2184" s="379"/>
      <c r="AG2184" s="379"/>
      <c r="AH2184" s="379"/>
      <c r="AI2184" s="379"/>
      <c r="AJ2184" s="379"/>
      <c r="AK2184" s="379"/>
      <c r="AL2184" s="379"/>
      <c r="AM2184" s="379"/>
      <c r="AN2184" s="379"/>
      <c r="AO2184" s="379"/>
      <c r="AP2184" s="379"/>
      <c r="AQ2184" s="379"/>
      <c r="AR2184" s="379"/>
      <c r="AS2184" s="379"/>
      <c r="AT2184" s="379"/>
      <c r="AU2184" s="379"/>
      <c r="AV2184" s="379"/>
      <c r="AW2184" s="379"/>
      <c r="AX2184" s="379"/>
      <c r="AY2184" s="379"/>
      <c r="AZ2184" s="379"/>
      <c r="BA2184" s="379"/>
      <c r="BB2184" s="379"/>
      <c r="BC2184" s="379"/>
      <c r="BD2184" s="379"/>
      <c r="BE2184" s="379"/>
      <c r="BF2184" s="379"/>
      <c r="BG2184" s="379"/>
      <c r="BH2184" s="379"/>
      <c r="BI2184" s="379"/>
      <c r="BJ2184" s="379"/>
      <c r="BK2184" s="379"/>
      <c r="BL2184" s="379"/>
      <c r="BM2184" s="379"/>
      <c r="BN2184" s="379"/>
      <c r="BO2184" s="379"/>
      <c r="BP2184" s="379"/>
      <c r="BQ2184" s="379"/>
      <c r="BR2184" s="379"/>
      <c r="BS2184" s="379"/>
      <c r="BT2184" s="379"/>
      <c r="BU2184" s="379"/>
      <c r="BV2184" s="379"/>
      <c r="BW2184" s="379"/>
      <c r="BX2184" s="379"/>
      <c r="BY2184" s="379"/>
      <c r="BZ2184" s="379"/>
      <c r="CA2184" s="281"/>
      <c r="CB2184" s="3" t="str">
        <f t="shared" si="373"/>
        <v>Riadok bude skrytý.</v>
      </c>
      <c r="CC2184" s="271" t="s">
        <v>832</v>
      </c>
      <c r="CW2184" s="30">
        <f t="shared" si="376"/>
        <v>1</v>
      </c>
      <c r="CX2184" s="30">
        <f t="shared" si="377"/>
        <v>0</v>
      </c>
      <c r="CZ2184" s="30">
        <f t="shared" si="372"/>
        <v>1</v>
      </c>
      <c r="DA2184" s="52">
        <f t="shared" si="375"/>
        <v>0</v>
      </c>
      <c r="DB2184" s="140">
        <f t="shared" si="374"/>
        <v>0</v>
      </c>
      <c r="DS2184" s="130">
        <f>SI!BY2184</f>
        <v>122</v>
      </c>
      <c r="DZ2184" s="131">
        <f>SI!BZ2184</f>
        <v>0</v>
      </c>
    </row>
    <row r="2185" spans="1:130" hidden="1" x14ac:dyDescent="0.25">
      <c r="A2185" s="141"/>
      <c r="B2185" s="379"/>
      <c r="C2185" s="379"/>
      <c r="D2185" s="379"/>
      <c r="E2185" s="379"/>
      <c r="F2185" s="379"/>
      <c r="G2185" s="379"/>
      <c r="H2185" s="379"/>
      <c r="I2185" s="379"/>
      <c r="J2185" s="379"/>
      <c r="K2185" s="379"/>
      <c r="L2185" s="379"/>
      <c r="M2185" s="379"/>
      <c r="N2185" s="379"/>
      <c r="O2185" s="379"/>
      <c r="P2185" s="379"/>
      <c r="Q2185" s="379"/>
      <c r="R2185" s="379"/>
      <c r="S2185" s="379"/>
      <c r="T2185" s="379"/>
      <c r="U2185" s="379"/>
      <c r="V2185" s="379"/>
      <c r="W2185" s="379"/>
      <c r="X2185" s="379"/>
      <c r="Y2185" s="379"/>
      <c r="Z2185" s="379"/>
      <c r="AA2185" s="379"/>
      <c r="AB2185" s="379"/>
      <c r="AC2185" s="379"/>
      <c r="AD2185" s="379"/>
      <c r="AE2185" s="379"/>
      <c r="AF2185" s="379"/>
      <c r="AG2185" s="379"/>
      <c r="AH2185" s="379"/>
      <c r="AI2185" s="379"/>
      <c r="AJ2185" s="379"/>
      <c r="AK2185" s="379"/>
      <c r="AL2185" s="379"/>
      <c r="AM2185" s="379"/>
      <c r="AN2185" s="379"/>
      <c r="AO2185" s="379"/>
      <c r="AP2185" s="379"/>
      <c r="AQ2185" s="379"/>
      <c r="AR2185" s="379"/>
      <c r="AS2185" s="379"/>
      <c r="AT2185" s="379"/>
      <c r="AU2185" s="379"/>
      <c r="AV2185" s="379"/>
      <c r="AW2185" s="379"/>
      <c r="AX2185" s="379"/>
      <c r="AY2185" s="379"/>
      <c r="AZ2185" s="379"/>
      <c r="BA2185" s="379"/>
      <c r="BB2185" s="379"/>
      <c r="BC2185" s="379"/>
      <c r="BD2185" s="379"/>
      <c r="BE2185" s="379"/>
      <c r="BF2185" s="379"/>
      <c r="BG2185" s="379"/>
      <c r="BH2185" s="379"/>
      <c r="BI2185" s="379"/>
      <c r="BJ2185" s="379"/>
      <c r="BK2185" s="379"/>
      <c r="BL2185" s="379"/>
      <c r="BM2185" s="379"/>
      <c r="BN2185" s="379"/>
      <c r="BO2185" s="379"/>
      <c r="BP2185" s="379"/>
      <c r="BQ2185" s="379"/>
      <c r="BR2185" s="379"/>
      <c r="BS2185" s="379"/>
      <c r="BT2185" s="379"/>
      <c r="BU2185" s="379"/>
      <c r="BV2185" s="379"/>
      <c r="BW2185" s="379"/>
      <c r="BX2185" s="379"/>
      <c r="BY2185" s="379"/>
      <c r="BZ2185" s="379"/>
      <c r="CA2185" s="281"/>
      <c r="CB2185" s="3" t="str">
        <f t="shared" si="373"/>
        <v>Riadok bude skrytý.</v>
      </c>
      <c r="CC2185" s="271" t="s">
        <v>832</v>
      </c>
      <c r="CW2185" s="30">
        <f t="shared" si="376"/>
        <v>1</v>
      </c>
      <c r="CX2185" s="30">
        <f t="shared" si="377"/>
        <v>0</v>
      </c>
      <c r="CZ2185" s="30">
        <f t="shared" si="372"/>
        <v>1</v>
      </c>
      <c r="DA2185" s="52">
        <f t="shared" si="375"/>
        <v>0</v>
      </c>
      <c r="DB2185" s="140">
        <f t="shared" si="374"/>
        <v>0</v>
      </c>
      <c r="DS2185" s="130">
        <f>SI!BY2185</f>
        <v>114</v>
      </c>
      <c r="DZ2185" s="131">
        <f>SI!BZ2185</f>
        <v>0</v>
      </c>
    </row>
    <row r="2186" spans="1:130" hidden="1" x14ac:dyDescent="0.25">
      <c r="A2186" s="141"/>
      <c r="B2186" s="379"/>
      <c r="C2186" s="379"/>
      <c r="D2186" s="379"/>
      <c r="E2186" s="379"/>
      <c r="F2186" s="379"/>
      <c r="G2186" s="379"/>
      <c r="H2186" s="379"/>
      <c r="I2186" s="379"/>
      <c r="J2186" s="379"/>
      <c r="K2186" s="379"/>
      <c r="L2186" s="379"/>
      <c r="M2186" s="379"/>
      <c r="N2186" s="379"/>
      <c r="O2186" s="379"/>
      <c r="P2186" s="379"/>
      <c r="Q2186" s="379"/>
      <c r="R2186" s="379"/>
      <c r="S2186" s="379"/>
      <c r="T2186" s="379"/>
      <c r="U2186" s="379"/>
      <c r="V2186" s="379"/>
      <c r="W2186" s="379"/>
      <c r="X2186" s="379"/>
      <c r="Y2186" s="379"/>
      <c r="Z2186" s="379"/>
      <c r="AA2186" s="379"/>
      <c r="AB2186" s="379"/>
      <c r="AC2186" s="379"/>
      <c r="AD2186" s="379"/>
      <c r="AE2186" s="379"/>
      <c r="AF2186" s="379"/>
      <c r="AG2186" s="379"/>
      <c r="AH2186" s="379"/>
      <c r="AI2186" s="379"/>
      <c r="AJ2186" s="379"/>
      <c r="AK2186" s="379"/>
      <c r="AL2186" s="379"/>
      <c r="AM2186" s="379"/>
      <c r="AN2186" s="379"/>
      <c r="AO2186" s="379"/>
      <c r="AP2186" s="379"/>
      <c r="AQ2186" s="379"/>
      <c r="AR2186" s="379"/>
      <c r="AS2186" s="379"/>
      <c r="AT2186" s="379"/>
      <c r="AU2186" s="379"/>
      <c r="AV2186" s="379"/>
      <c r="AW2186" s="379"/>
      <c r="AX2186" s="379"/>
      <c r="AY2186" s="379"/>
      <c r="AZ2186" s="379"/>
      <c r="BA2186" s="379"/>
      <c r="BB2186" s="379"/>
      <c r="BC2186" s="379"/>
      <c r="BD2186" s="379"/>
      <c r="BE2186" s="379"/>
      <c r="BF2186" s="379"/>
      <c r="BG2186" s="379"/>
      <c r="BH2186" s="379"/>
      <c r="BI2186" s="379"/>
      <c r="BJ2186" s="379"/>
      <c r="BK2186" s="379"/>
      <c r="BL2186" s="379"/>
      <c r="BM2186" s="379"/>
      <c r="BN2186" s="379"/>
      <c r="BO2186" s="379"/>
      <c r="BP2186" s="379"/>
      <c r="BQ2186" s="379"/>
      <c r="BR2186" s="379"/>
      <c r="BS2186" s="379"/>
      <c r="BT2186" s="379"/>
      <c r="BU2186" s="379"/>
      <c r="BV2186" s="379"/>
      <c r="BW2186" s="379"/>
      <c r="BX2186" s="379"/>
      <c r="BY2186" s="379"/>
      <c r="BZ2186" s="379"/>
      <c r="CA2186" s="281"/>
      <c r="CB2186" s="3" t="str">
        <f t="shared" si="373"/>
        <v>Riadok bude skrytý.</v>
      </c>
      <c r="CC2186" s="271" t="s">
        <v>832</v>
      </c>
      <c r="CW2186" s="30">
        <f t="shared" si="376"/>
        <v>1</v>
      </c>
      <c r="CX2186" s="30">
        <f t="shared" si="377"/>
        <v>0</v>
      </c>
      <c r="CZ2186" s="30">
        <f t="shared" si="372"/>
        <v>1</v>
      </c>
      <c r="DA2186" s="52">
        <f t="shared" si="375"/>
        <v>0</v>
      </c>
      <c r="DB2186" s="140">
        <f t="shared" si="374"/>
        <v>0</v>
      </c>
      <c r="DS2186" s="130">
        <f>SI!BY2186</f>
        <v>135</v>
      </c>
      <c r="DZ2186" s="131">
        <f>SI!BZ2186</f>
        <v>0</v>
      </c>
    </row>
    <row r="2187" spans="1:130" hidden="1" x14ac:dyDescent="0.25">
      <c r="A2187" s="141"/>
      <c r="B2187" s="379"/>
      <c r="C2187" s="379"/>
      <c r="D2187" s="379"/>
      <c r="E2187" s="379"/>
      <c r="F2187" s="379"/>
      <c r="G2187" s="379"/>
      <c r="H2187" s="379"/>
      <c r="I2187" s="379"/>
      <c r="J2187" s="379"/>
      <c r="K2187" s="379"/>
      <c r="L2187" s="379"/>
      <c r="M2187" s="379"/>
      <c r="N2187" s="379"/>
      <c r="O2187" s="379"/>
      <c r="P2187" s="379"/>
      <c r="Q2187" s="379"/>
      <c r="R2187" s="379"/>
      <c r="S2187" s="379"/>
      <c r="T2187" s="379"/>
      <c r="U2187" s="379"/>
      <c r="V2187" s="379"/>
      <c r="W2187" s="379"/>
      <c r="X2187" s="379"/>
      <c r="Y2187" s="379"/>
      <c r="Z2187" s="379"/>
      <c r="AA2187" s="379"/>
      <c r="AB2187" s="379"/>
      <c r="AC2187" s="379"/>
      <c r="AD2187" s="379"/>
      <c r="AE2187" s="379"/>
      <c r="AF2187" s="379"/>
      <c r="AG2187" s="379"/>
      <c r="AH2187" s="379"/>
      <c r="AI2187" s="379"/>
      <c r="AJ2187" s="379"/>
      <c r="AK2187" s="379"/>
      <c r="AL2187" s="379"/>
      <c r="AM2187" s="379"/>
      <c r="AN2187" s="379"/>
      <c r="AO2187" s="379"/>
      <c r="AP2187" s="379"/>
      <c r="AQ2187" s="379"/>
      <c r="AR2187" s="379"/>
      <c r="AS2187" s="379"/>
      <c r="AT2187" s="379"/>
      <c r="AU2187" s="379"/>
      <c r="AV2187" s="379"/>
      <c r="AW2187" s="379"/>
      <c r="AX2187" s="379"/>
      <c r="AY2187" s="379"/>
      <c r="AZ2187" s="379"/>
      <c r="BA2187" s="379"/>
      <c r="BB2187" s="379"/>
      <c r="BC2187" s="379"/>
      <c r="BD2187" s="379"/>
      <c r="BE2187" s="379"/>
      <c r="BF2187" s="379"/>
      <c r="BG2187" s="379"/>
      <c r="BH2187" s="379"/>
      <c r="BI2187" s="379"/>
      <c r="BJ2187" s="379"/>
      <c r="BK2187" s="379"/>
      <c r="BL2187" s="379"/>
      <c r="BM2187" s="379"/>
      <c r="BN2187" s="379"/>
      <c r="BO2187" s="379"/>
      <c r="BP2187" s="379"/>
      <c r="BQ2187" s="379"/>
      <c r="BR2187" s="379"/>
      <c r="BS2187" s="379"/>
      <c r="BT2187" s="379"/>
      <c r="BU2187" s="379"/>
      <c r="BV2187" s="379"/>
      <c r="BW2187" s="379"/>
      <c r="BX2187" s="379"/>
      <c r="BY2187" s="379"/>
      <c r="BZ2187" s="379"/>
      <c r="CA2187" s="281"/>
      <c r="CB2187" s="3" t="str">
        <f t="shared" si="373"/>
        <v>Riadok bude skrytý.</v>
      </c>
      <c r="CC2187" s="271" t="s">
        <v>832</v>
      </c>
      <c r="CW2187" s="30">
        <f t="shared" si="376"/>
        <v>1</v>
      </c>
      <c r="CX2187" s="30">
        <f t="shared" si="377"/>
        <v>0</v>
      </c>
      <c r="CZ2187" s="30">
        <f t="shared" si="372"/>
        <v>1</v>
      </c>
      <c r="DA2187" s="52">
        <f t="shared" si="375"/>
        <v>0</v>
      </c>
      <c r="DB2187" s="140">
        <f t="shared" si="374"/>
        <v>0</v>
      </c>
      <c r="DS2187" s="130">
        <f>SI!BY2187</f>
        <v>174</v>
      </c>
      <c r="DZ2187" s="131">
        <f>SI!BZ2187</f>
        <v>0</v>
      </c>
    </row>
    <row r="2188" spans="1:130" hidden="1" x14ac:dyDescent="0.25">
      <c r="A2188" s="141"/>
      <c r="B2188" s="379"/>
      <c r="C2188" s="379"/>
      <c r="D2188" s="379"/>
      <c r="E2188" s="379"/>
      <c r="F2188" s="379"/>
      <c r="G2188" s="379"/>
      <c r="H2188" s="379"/>
      <c r="I2188" s="379"/>
      <c r="J2188" s="379"/>
      <c r="K2188" s="379"/>
      <c r="L2188" s="379"/>
      <c r="M2188" s="379"/>
      <c r="N2188" s="379"/>
      <c r="O2188" s="379"/>
      <c r="P2188" s="379"/>
      <c r="Q2188" s="379"/>
      <c r="R2188" s="379"/>
      <c r="S2188" s="379"/>
      <c r="T2188" s="379"/>
      <c r="U2188" s="379"/>
      <c r="V2188" s="379"/>
      <c r="W2188" s="379"/>
      <c r="X2188" s="379"/>
      <c r="Y2188" s="379"/>
      <c r="Z2188" s="379"/>
      <c r="AA2188" s="379"/>
      <c r="AB2188" s="379"/>
      <c r="AC2188" s="379"/>
      <c r="AD2188" s="379"/>
      <c r="AE2188" s="379"/>
      <c r="AF2188" s="379"/>
      <c r="AG2188" s="379"/>
      <c r="AH2188" s="379"/>
      <c r="AI2188" s="379"/>
      <c r="AJ2188" s="379"/>
      <c r="AK2188" s="379"/>
      <c r="AL2188" s="379"/>
      <c r="AM2188" s="379"/>
      <c r="AN2188" s="379"/>
      <c r="AO2188" s="379"/>
      <c r="AP2188" s="379"/>
      <c r="AQ2188" s="379"/>
      <c r="AR2188" s="379"/>
      <c r="AS2188" s="379"/>
      <c r="AT2188" s="379"/>
      <c r="AU2188" s="379"/>
      <c r="AV2188" s="379"/>
      <c r="AW2188" s="379"/>
      <c r="AX2188" s="379"/>
      <c r="AY2188" s="379"/>
      <c r="AZ2188" s="379"/>
      <c r="BA2188" s="379"/>
      <c r="BB2188" s="379"/>
      <c r="BC2188" s="379"/>
      <c r="BD2188" s="379"/>
      <c r="BE2188" s="379"/>
      <c r="BF2188" s="379"/>
      <c r="BG2188" s="379"/>
      <c r="BH2188" s="379"/>
      <c r="BI2188" s="379"/>
      <c r="BJ2188" s="379"/>
      <c r="BK2188" s="379"/>
      <c r="BL2188" s="379"/>
      <c r="BM2188" s="379"/>
      <c r="BN2188" s="379"/>
      <c r="BO2188" s="379"/>
      <c r="BP2188" s="379"/>
      <c r="BQ2188" s="379"/>
      <c r="BR2188" s="379"/>
      <c r="BS2188" s="379"/>
      <c r="BT2188" s="379"/>
      <c r="BU2188" s="379"/>
      <c r="BV2188" s="379"/>
      <c r="BW2188" s="379"/>
      <c r="BX2188" s="379"/>
      <c r="BY2188" s="379"/>
      <c r="BZ2188" s="379"/>
      <c r="CA2188" s="281"/>
      <c r="CB2188" s="3" t="str">
        <f t="shared" si="373"/>
        <v>Riadok bude skrytý.</v>
      </c>
      <c r="CC2188" s="271" t="s">
        <v>832</v>
      </c>
      <c r="CW2188" s="30">
        <f t="shared" si="376"/>
        <v>1</v>
      </c>
      <c r="CX2188" s="30">
        <f t="shared" si="377"/>
        <v>0</v>
      </c>
      <c r="CZ2188" s="30">
        <f t="shared" si="372"/>
        <v>1</v>
      </c>
      <c r="DA2188" s="52">
        <f t="shared" si="375"/>
        <v>0</v>
      </c>
      <c r="DB2188" s="140">
        <f t="shared" si="374"/>
        <v>0</v>
      </c>
      <c r="DS2188" s="130">
        <f>SI!BY2188</f>
        <v>203</v>
      </c>
      <c r="DZ2188" s="131">
        <f>SI!BZ2188</f>
        <v>0</v>
      </c>
    </row>
    <row r="2189" spans="1:130" hidden="1" x14ac:dyDescent="0.25">
      <c r="A2189" s="141"/>
      <c r="B2189" s="379"/>
      <c r="C2189" s="379"/>
      <c r="D2189" s="379"/>
      <c r="E2189" s="379"/>
      <c r="F2189" s="379"/>
      <c r="G2189" s="379"/>
      <c r="H2189" s="379"/>
      <c r="I2189" s="379"/>
      <c r="J2189" s="379"/>
      <c r="K2189" s="379"/>
      <c r="L2189" s="379"/>
      <c r="M2189" s="379"/>
      <c r="N2189" s="379"/>
      <c r="O2189" s="379"/>
      <c r="P2189" s="379"/>
      <c r="Q2189" s="379"/>
      <c r="R2189" s="379"/>
      <c r="S2189" s="379"/>
      <c r="T2189" s="379"/>
      <c r="U2189" s="379"/>
      <c r="V2189" s="379"/>
      <c r="W2189" s="379"/>
      <c r="X2189" s="379"/>
      <c r="Y2189" s="379"/>
      <c r="Z2189" s="379"/>
      <c r="AA2189" s="379"/>
      <c r="AB2189" s="379"/>
      <c r="AC2189" s="379"/>
      <c r="AD2189" s="379"/>
      <c r="AE2189" s="379"/>
      <c r="AF2189" s="379"/>
      <c r="AG2189" s="379"/>
      <c r="AH2189" s="379"/>
      <c r="AI2189" s="379"/>
      <c r="AJ2189" s="379"/>
      <c r="AK2189" s="379"/>
      <c r="AL2189" s="379"/>
      <c r="AM2189" s="379"/>
      <c r="AN2189" s="379"/>
      <c r="AO2189" s="379"/>
      <c r="AP2189" s="379"/>
      <c r="AQ2189" s="379"/>
      <c r="AR2189" s="379"/>
      <c r="AS2189" s="379"/>
      <c r="AT2189" s="379"/>
      <c r="AU2189" s="379"/>
      <c r="AV2189" s="379"/>
      <c r="AW2189" s="379"/>
      <c r="AX2189" s="379"/>
      <c r="AY2189" s="379"/>
      <c r="AZ2189" s="379"/>
      <c r="BA2189" s="379"/>
      <c r="BB2189" s="379"/>
      <c r="BC2189" s="379"/>
      <c r="BD2189" s="379"/>
      <c r="BE2189" s="379"/>
      <c r="BF2189" s="379"/>
      <c r="BG2189" s="379"/>
      <c r="BH2189" s="379"/>
      <c r="BI2189" s="379"/>
      <c r="BJ2189" s="379"/>
      <c r="BK2189" s="379"/>
      <c r="BL2189" s="379"/>
      <c r="BM2189" s="379"/>
      <c r="BN2189" s="379"/>
      <c r="BO2189" s="379"/>
      <c r="BP2189" s="379"/>
      <c r="BQ2189" s="379"/>
      <c r="BR2189" s="379"/>
      <c r="BS2189" s="379"/>
      <c r="BT2189" s="379"/>
      <c r="BU2189" s="379"/>
      <c r="BV2189" s="379"/>
      <c r="BW2189" s="379"/>
      <c r="BX2189" s="379"/>
      <c r="BY2189" s="379"/>
      <c r="BZ2189" s="379"/>
      <c r="CA2189" s="281"/>
      <c r="CB2189" s="3" t="str">
        <f t="shared" si="373"/>
        <v>Riadok bude skrytý.</v>
      </c>
      <c r="CC2189" s="271" t="s">
        <v>832</v>
      </c>
      <c r="CW2189" s="30">
        <f t="shared" si="376"/>
        <v>1</v>
      </c>
      <c r="CX2189" s="30">
        <f t="shared" si="377"/>
        <v>0</v>
      </c>
      <c r="CZ2189" s="30">
        <f t="shared" si="372"/>
        <v>1</v>
      </c>
      <c r="DA2189" s="52">
        <f t="shared" si="375"/>
        <v>0</v>
      </c>
      <c r="DB2189" s="140">
        <f t="shared" si="374"/>
        <v>0</v>
      </c>
      <c r="DS2189" s="130">
        <f>SI!BY2189</f>
        <v>171</v>
      </c>
      <c r="DZ2189" s="131">
        <f>SI!BZ2189</f>
        <v>0</v>
      </c>
    </row>
    <row r="2190" spans="1:130" hidden="1" x14ac:dyDescent="0.25">
      <c r="A2190" s="141"/>
      <c r="B2190" s="379"/>
      <c r="C2190" s="379"/>
      <c r="D2190" s="379"/>
      <c r="E2190" s="379"/>
      <c r="F2190" s="379"/>
      <c r="G2190" s="379"/>
      <c r="H2190" s="379"/>
      <c r="I2190" s="379"/>
      <c r="J2190" s="379"/>
      <c r="K2190" s="379"/>
      <c r="L2190" s="379"/>
      <c r="M2190" s="379"/>
      <c r="N2190" s="379"/>
      <c r="O2190" s="379"/>
      <c r="P2190" s="379"/>
      <c r="Q2190" s="379"/>
      <c r="R2190" s="379"/>
      <c r="S2190" s="379"/>
      <c r="T2190" s="379"/>
      <c r="U2190" s="379"/>
      <c r="V2190" s="379"/>
      <c r="W2190" s="379"/>
      <c r="X2190" s="379"/>
      <c r="Y2190" s="379"/>
      <c r="Z2190" s="379"/>
      <c r="AA2190" s="379"/>
      <c r="AB2190" s="379"/>
      <c r="AC2190" s="379"/>
      <c r="AD2190" s="379"/>
      <c r="AE2190" s="379"/>
      <c r="AF2190" s="379"/>
      <c r="AG2190" s="379"/>
      <c r="AH2190" s="379"/>
      <c r="AI2190" s="379"/>
      <c r="AJ2190" s="379"/>
      <c r="AK2190" s="379"/>
      <c r="AL2190" s="379"/>
      <c r="AM2190" s="379"/>
      <c r="AN2190" s="379"/>
      <c r="AO2190" s="379"/>
      <c r="AP2190" s="379"/>
      <c r="AQ2190" s="379"/>
      <c r="AR2190" s="379"/>
      <c r="AS2190" s="379"/>
      <c r="AT2190" s="379"/>
      <c r="AU2190" s="379"/>
      <c r="AV2190" s="379"/>
      <c r="AW2190" s="379"/>
      <c r="AX2190" s="379"/>
      <c r="AY2190" s="379"/>
      <c r="AZ2190" s="379"/>
      <c r="BA2190" s="379"/>
      <c r="BB2190" s="379"/>
      <c r="BC2190" s="379"/>
      <c r="BD2190" s="379"/>
      <c r="BE2190" s="379"/>
      <c r="BF2190" s="379"/>
      <c r="BG2190" s="379"/>
      <c r="BH2190" s="379"/>
      <c r="BI2190" s="379"/>
      <c r="BJ2190" s="379"/>
      <c r="BK2190" s="379"/>
      <c r="BL2190" s="379"/>
      <c r="BM2190" s="379"/>
      <c r="BN2190" s="379"/>
      <c r="BO2190" s="379"/>
      <c r="BP2190" s="379"/>
      <c r="BQ2190" s="379"/>
      <c r="BR2190" s="379"/>
      <c r="BS2190" s="379"/>
      <c r="BT2190" s="379"/>
      <c r="BU2190" s="379"/>
      <c r="BV2190" s="379"/>
      <c r="BW2190" s="379"/>
      <c r="BX2190" s="379"/>
      <c r="BY2190" s="379"/>
      <c r="BZ2190" s="379"/>
      <c r="CA2190" s="281"/>
      <c r="CB2190" s="3" t="str">
        <f t="shared" si="373"/>
        <v>Riadok bude skrytý.</v>
      </c>
      <c r="CC2190" s="271" t="s">
        <v>832</v>
      </c>
      <c r="CW2190" s="30">
        <f t="shared" si="376"/>
        <v>1</v>
      </c>
      <c r="CX2190" s="30">
        <f t="shared" si="377"/>
        <v>0</v>
      </c>
      <c r="CZ2190" s="30">
        <f t="shared" si="372"/>
        <v>1</v>
      </c>
      <c r="DA2190" s="52">
        <f t="shared" si="375"/>
        <v>0</v>
      </c>
      <c r="DB2190" s="140">
        <f t="shared" si="374"/>
        <v>0</v>
      </c>
      <c r="DS2190" s="130">
        <f>SI!BY2190</f>
        <v>201</v>
      </c>
      <c r="DZ2190" s="131">
        <f>SI!BZ2190</f>
        <v>0</v>
      </c>
    </row>
    <row r="2191" spans="1:130" hidden="1" x14ac:dyDescent="0.25">
      <c r="A2191" s="141"/>
      <c r="B2191" s="379"/>
      <c r="C2191" s="379"/>
      <c r="D2191" s="379"/>
      <c r="E2191" s="379"/>
      <c r="F2191" s="379"/>
      <c r="G2191" s="379"/>
      <c r="H2191" s="379"/>
      <c r="I2191" s="379"/>
      <c r="J2191" s="379"/>
      <c r="K2191" s="379"/>
      <c r="L2191" s="379"/>
      <c r="M2191" s="379"/>
      <c r="N2191" s="379"/>
      <c r="O2191" s="379"/>
      <c r="P2191" s="379"/>
      <c r="Q2191" s="379"/>
      <c r="R2191" s="379"/>
      <c r="S2191" s="379"/>
      <c r="T2191" s="379"/>
      <c r="U2191" s="379"/>
      <c r="V2191" s="379"/>
      <c r="W2191" s="379"/>
      <c r="X2191" s="379"/>
      <c r="Y2191" s="379"/>
      <c r="Z2191" s="379"/>
      <c r="AA2191" s="379"/>
      <c r="AB2191" s="379"/>
      <c r="AC2191" s="379"/>
      <c r="AD2191" s="379"/>
      <c r="AE2191" s="379"/>
      <c r="AF2191" s="379"/>
      <c r="AG2191" s="379"/>
      <c r="AH2191" s="379"/>
      <c r="AI2191" s="379"/>
      <c r="AJ2191" s="379"/>
      <c r="AK2191" s="379"/>
      <c r="AL2191" s="379"/>
      <c r="AM2191" s="379"/>
      <c r="AN2191" s="379"/>
      <c r="AO2191" s="379"/>
      <c r="AP2191" s="379"/>
      <c r="AQ2191" s="379"/>
      <c r="AR2191" s="379"/>
      <c r="AS2191" s="379"/>
      <c r="AT2191" s="379"/>
      <c r="AU2191" s="379"/>
      <c r="AV2191" s="379"/>
      <c r="AW2191" s="379"/>
      <c r="AX2191" s="379"/>
      <c r="AY2191" s="379"/>
      <c r="AZ2191" s="379"/>
      <c r="BA2191" s="379"/>
      <c r="BB2191" s="379"/>
      <c r="BC2191" s="379"/>
      <c r="BD2191" s="379"/>
      <c r="BE2191" s="379"/>
      <c r="BF2191" s="379"/>
      <c r="BG2191" s="379"/>
      <c r="BH2191" s="379"/>
      <c r="BI2191" s="379"/>
      <c r="BJ2191" s="379"/>
      <c r="BK2191" s="379"/>
      <c r="BL2191" s="379"/>
      <c r="BM2191" s="379"/>
      <c r="BN2191" s="379"/>
      <c r="BO2191" s="379"/>
      <c r="BP2191" s="379"/>
      <c r="BQ2191" s="379"/>
      <c r="BR2191" s="379"/>
      <c r="BS2191" s="379"/>
      <c r="BT2191" s="379"/>
      <c r="BU2191" s="379"/>
      <c r="BV2191" s="379"/>
      <c r="BW2191" s="379"/>
      <c r="BX2191" s="379"/>
      <c r="BY2191" s="379"/>
      <c r="BZ2191" s="379"/>
      <c r="CA2191" s="281"/>
      <c r="CB2191" s="3" t="str">
        <f t="shared" si="373"/>
        <v>Riadok bude skrytý.</v>
      </c>
      <c r="CC2191" s="271" t="s">
        <v>832</v>
      </c>
      <c r="CW2191" s="30">
        <f t="shared" si="376"/>
        <v>1</v>
      </c>
      <c r="CX2191" s="30">
        <f t="shared" si="377"/>
        <v>0</v>
      </c>
      <c r="CZ2191" s="30">
        <f t="shared" si="372"/>
        <v>1</v>
      </c>
      <c r="DA2191" s="52">
        <f t="shared" si="375"/>
        <v>0</v>
      </c>
      <c r="DB2191" s="140">
        <f t="shared" si="374"/>
        <v>0</v>
      </c>
      <c r="DS2191" s="130">
        <f>SI!BY2191</f>
        <v>106</v>
      </c>
      <c r="DZ2191" s="131">
        <f>SI!BZ2191</f>
        <v>0</v>
      </c>
    </row>
    <row r="2192" spans="1:130" hidden="1" x14ac:dyDescent="0.25">
      <c r="A2192" s="141"/>
      <c r="B2192" s="379"/>
      <c r="C2192" s="379"/>
      <c r="D2192" s="379"/>
      <c r="E2192" s="379"/>
      <c r="F2192" s="379"/>
      <c r="G2192" s="379"/>
      <c r="H2192" s="379"/>
      <c r="I2192" s="379"/>
      <c r="J2192" s="379"/>
      <c r="K2192" s="379"/>
      <c r="L2192" s="379"/>
      <c r="M2192" s="379"/>
      <c r="N2192" s="379"/>
      <c r="O2192" s="379"/>
      <c r="P2192" s="379"/>
      <c r="Q2192" s="379"/>
      <c r="R2192" s="379"/>
      <c r="S2192" s="379"/>
      <c r="T2192" s="379"/>
      <c r="U2192" s="379"/>
      <c r="V2192" s="379"/>
      <c r="W2192" s="379"/>
      <c r="X2192" s="379"/>
      <c r="Y2192" s="379"/>
      <c r="Z2192" s="379"/>
      <c r="AA2192" s="379"/>
      <c r="AB2192" s="379"/>
      <c r="AC2192" s="379"/>
      <c r="AD2192" s="379"/>
      <c r="AE2192" s="379"/>
      <c r="AF2192" s="379"/>
      <c r="AG2192" s="379"/>
      <c r="AH2192" s="379"/>
      <c r="AI2192" s="379"/>
      <c r="AJ2192" s="379"/>
      <c r="AK2192" s="379"/>
      <c r="AL2192" s="379"/>
      <c r="AM2192" s="379"/>
      <c r="AN2192" s="379"/>
      <c r="AO2192" s="379"/>
      <c r="AP2192" s="379"/>
      <c r="AQ2192" s="379"/>
      <c r="AR2192" s="379"/>
      <c r="AS2192" s="379"/>
      <c r="AT2192" s="379"/>
      <c r="AU2192" s="379"/>
      <c r="AV2192" s="379"/>
      <c r="AW2192" s="379"/>
      <c r="AX2192" s="379"/>
      <c r="AY2192" s="379"/>
      <c r="AZ2192" s="379"/>
      <c r="BA2192" s="379"/>
      <c r="BB2192" s="379"/>
      <c r="BC2192" s="379"/>
      <c r="BD2192" s="379"/>
      <c r="BE2192" s="379"/>
      <c r="BF2192" s="379"/>
      <c r="BG2192" s="379"/>
      <c r="BH2192" s="379"/>
      <c r="BI2192" s="379"/>
      <c r="BJ2192" s="379"/>
      <c r="BK2192" s="379"/>
      <c r="BL2192" s="379"/>
      <c r="BM2192" s="379"/>
      <c r="BN2192" s="379"/>
      <c r="BO2192" s="379"/>
      <c r="BP2192" s="379"/>
      <c r="BQ2192" s="379"/>
      <c r="BR2192" s="379"/>
      <c r="BS2192" s="379"/>
      <c r="BT2192" s="379"/>
      <c r="BU2192" s="379"/>
      <c r="BV2192" s="379"/>
      <c r="BW2192" s="379"/>
      <c r="BX2192" s="379"/>
      <c r="BY2192" s="379"/>
      <c r="BZ2192" s="379"/>
      <c r="CA2192" s="281"/>
      <c r="CB2192" s="3" t="str">
        <f t="shared" si="373"/>
        <v>Riadok bude skrytý.</v>
      </c>
      <c r="CC2192" s="271" t="s">
        <v>832</v>
      </c>
      <c r="CW2192" s="30">
        <f t="shared" si="376"/>
        <v>1</v>
      </c>
      <c r="CX2192" s="30">
        <f t="shared" si="377"/>
        <v>0</v>
      </c>
      <c r="CZ2192" s="30">
        <f t="shared" si="372"/>
        <v>1</v>
      </c>
      <c r="DA2192" s="52">
        <f t="shared" si="375"/>
        <v>0</v>
      </c>
      <c r="DB2192" s="140">
        <f t="shared" si="374"/>
        <v>0</v>
      </c>
      <c r="DS2192" s="130">
        <f>SI!BY2192</f>
        <v>176</v>
      </c>
      <c r="DZ2192" s="131">
        <f>SI!BZ2192</f>
        <v>0</v>
      </c>
    </row>
    <row r="2193" spans="1:130" hidden="1" x14ac:dyDescent="0.25">
      <c r="A2193" s="141"/>
      <c r="B2193" s="379"/>
      <c r="C2193" s="379"/>
      <c r="D2193" s="379"/>
      <c r="E2193" s="379"/>
      <c r="F2193" s="379"/>
      <c r="G2193" s="379"/>
      <c r="H2193" s="379"/>
      <c r="I2193" s="379"/>
      <c r="J2193" s="379"/>
      <c r="K2193" s="379"/>
      <c r="L2193" s="379"/>
      <c r="M2193" s="379"/>
      <c r="N2193" s="379"/>
      <c r="O2193" s="379"/>
      <c r="P2193" s="379"/>
      <c r="Q2193" s="379"/>
      <c r="R2193" s="379"/>
      <c r="S2193" s="379"/>
      <c r="T2193" s="379"/>
      <c r="U2193" s="379"/>
      <c r="V2193" s="379"/>
      <c r="W2193" s="379"/>
      <c r="X2193" s="379"/>
      <c r="Y2193" s="379"/>
      <c r="Z2193" s="379"/>
      <c r="AA2193" s="379"/>
      <c r="AB2193" s="379"/>
      <c r="AC2193" s="379"/>
      <c r="AD2193" s="379"/>
      <c r="AE2193" s="379"/>
      <c r="AF2193" s="379"/>
      <c r="AG2193" s="379"/>
      <c r="AH2193" s="379"/>
      <c r="AI2193" s="379"/>
      <c r="AJ2193" s="379"/>
      <c r="AK2193" s="379"/>
      <c r="AL2193" s="379"/>
      <c r="AM2193" s="379"/>
      <c r="AN2193" s="379"/>
      <c r="AO2193" s="379"/>
      <c r="AP2193" s="379"/>
      <c r="AQ2193" s="379"/>
      <c r="AR2193" s="379"/>
      <c r="AS2193" s="379"/>
      <c r="AT2193" s="379"/>
      <c r="AU2193" s="379"/>
      <c r="AV2193" s="379"/>
      <c r="AW2193" s="379"/>
      <c r="AX2193" s="379"/>
      <c r="AY2193" s="379"/>
      <c r="AZ2193" s="379"/>
      <c r="BA2193" s="379"/>
      <c r="BB2193" s="379"/>
      <c r="BC2193" s="379"/>
      <c r="BD2193" s="379"/>
      <c r="BE2193" s="379"/>
      <c r="BF2193" s="379"/>
      <c r="BG2193" s="379"/>
      <c r="BH2193" s="379"/>
      <c r="BI2193" s="379"/>
      <c r="BJ2193" s="379"/>
      <c r="BK2193" s="379"/>
      <c r="BL2193" s="379"/>
      <c r="BM2193" s="379"/>
      <c r="BN2193" s="379"/>
      <c r="BO2193" s="379"/>
      <c r="BP2193" s="379"/>
      <c r="BQ2193" s="379"/>
      <c r="BR2193" s="379"/>
      <c r="BS2193" s="379"/>
      <c r="BT2193" s="379"/>
      <c r="BU2193" s="379"/>
      <c r="BV2193" s="379"/>
      <c r="BW2193" s="379"/>
      <c r="BX2193" s="379"/>
      <c r="BY2193" s="379"/>
      <c r="BZ2193" s="379"/>
      <c r="CA2193" s="281"/>
      <c r="CB2193" s="3" t="str">
        <f t="shared" si="373"/>
        <v>Riadok bude skrytý.</v>
      </c>
      <c r="CC2193" s="271" t="s">
        <v>832</v>
      </c>
      <c r="CW2193" s="30">
        <f t="shared" si="376"/>
        <v>1</v>
      </c>
      <c r="CX2193" s="30">
        <f t="shared" si="377"/>
        <v>0</v>
      </c>
      <c r="CZ2193" s="30">
        <f t="shared" si="372"/>
        <v>1</v>
      </c>
      <c r="DA2193" s="52">
        <f t="shared" si="375"/>
        <v>0</v>
      </c>
      <c r="DB2193" s="140">
        <f t="shared" si="374"/>
        <v>0</v>
      </c>
      <c r="DS2193" s="130">
        <f>SI!BY2193</f>
        <v>207</v>
      </c>
      <c r="DZ2193" s="131">
        <f>SI!BZ2193</f>
        <v>0</v>
      </c>
    </row>
    <row r="2194" spans="1:130" hidden="1" x14ac:dyDescent="0.25">
      <c r="A2194" s="141"/>
      <c r="B2194" s="379"/>
      <c r="C2194" s="379"/>
      <c r="D2194" s="379"/>
      <c r="E2194" s="379"/>
      <c r="F2194" s="379"/>
      <c r="G2194" s="379"/>
      <c r="H2194" s="379"/>
      <c r="I2194" s="379"/>
      <c r="J2194" s="379"/>
      <c r="K2194" s="379"/>
      <c r="L2194" s="379"/>
      <c r="M2194" s="379"/>
      <c r="N2194" s="379"/>
      <c r="O2194" s="379"/>
      <c r="P2194" s="379"/>
      <c r="Q2194" s="379"/>
      <c r="R2194" s="379"/>
      <c r="S2194" s="379"/>
      <c r="T2194" s="379"/>
      <c r="U2194" s="379"/>
      <c r="V2194" s="379"/>
      <c r="W2194" s="379"/>
      <c r="X2194" s="379"/>
      <c r="Y2194" s="379"/>
      <c r="Z2194" s="379"/>
      <c r="AA2194" s="379"/>
      <c r="AB2194" s="379"/>
      <c r="AC2194" s="379"/>
      <c r="AD2194" s="379"/>
      <c r="AE2194" s="379"/>
      <c r="AF2194" s="379"/>
      <c r="AG2194" s="379"/>
      <c r="AH2194" s="379"/>
      <c r="AI2194" s="379"/>
      <c r="AJ2194" s="379"/>
      <c r="AK2194" s="379"/>
      <c r="AL2194" s="379"/>
      <c r="AM2194" s="379"/>
      <c r="AN2194" s="379"/>
      <c r="AO2194" s="379"/>
      <c r="AP2194" s="379"/>
      <c r="AQ2194" s="379"/>
      <c r="AR2194" s="379"/>
      <c r="AS2194" s="379"/>
      <c r="AT2194" s="379"/>
      <c r="AU2194" s="379"/>
      <c r="AV2194" s="379"/>
      <c r="AW2194" s="379"/>
      <c r="AX2194" s="379"/>
      <c r="AY2194" s="379"/>
      <c r="AZ2194" s="379"/>
      <c r="BA2194" s="379"/>
      <c r="BB2194" s="379"/>
      <c r="BC2194" s="379"/>
      <c r="BD2194" s="379"/>
      <c r="BE2194" s="379"/>
      <c r="BF2194" s="379"/>
      <c r="BG2194" s="379"/>
      <c r="BH2194" s="379"/>
      <c r="BI2194" s="379"/>
      <c r="BJ2194" s="379"/>
      <c r="BK2194" s="379"/>
      <c r="BL2194" s="379"/>
      <c r="BM2194" s="379"/>
      <c r="BN2194" s="379"/>
      <c r="BO2194" s="379"/>
      <c r="BP2194" s="379"/>
      <c r="BQ2194" s="379"/>
      <c r="BR2194" s="379"/>
      <c r="BS2194" s="379"/>
      <c r="BT2194" s="379"/>
      <c r="BU2194" s="379"/>
      <c r="BV2194" s="379"/>
      <c r="BW2194" s="379"/>
      <c r="BX2194" s="379"/>
      <c r="BY2194" s="379"/>
      <c r="BZ2194" s="379"/>
      <c r="CA2194" s="281"/>
      <c r="CB2194" s="3" t="str">
        <f t="shared" si="373"/>
        <v>Riadok bude skrytý.</v>
      </c>
      <c r="CC2194" s="271" t="s">
        <v>832</v>
      </c>
      <c r="CW2194" s="30">
        <f t="shared" si="376"/>
        <v>1</v>
      </c>
      <c r="CX2194" s="30">
        <f t="shared" si="377"/>
        <v>0</v>
      </c>
      <c r="CZ2194" s="30">
        <f t="shared" si="372"/>
        <v>1</v>
      </c>
      <c r="DA2194" s="52">
        <f t="shared" si="375"/>
        <v>0</v>
      </c>
      <c r="DB2194" s="140">
        <f t="shared" si="374"/>
        <v>0</v>
      </c>
      <c r="DS2194" s="130">
        <f>SI!BY2194</f>
        <v>185</v>
      </c>
      <c r="DZ2194" s="131">
        <f>SI!BZ2194</f>
        <v>0</v>
      </c>
    </row>
    <row r="2195" spans="1:130" x14ac:dyDescent="0.25">
      <c r="A2195" s="141"/>
      <c r="CA2195" s="270"/>
      <c r="CB2195" s="3" t="str">
        <f t="shared" si="373"/>
        <v>Riadok bude vidieť.</v>
      </c>
      <c r="CC2195" s="271" t="s">
        <v>832</v>
      </c>
      <c r="CW2195" s="30">
        <f t="shared" si="376"/>
        <v>1</v>
      </c>
      <c r="CZ2195" s="30">
        <f t="shared" si="372"/>
        <v>1</v>
      </c>
      <c r="DA2195" s="30">
        <f t="shared" ref="DA2195:DA2215" si="378">+IF(CW2195+CX2195+CY2195=0,0,IF(CZ2195=0,0,1))</f>
        <v>1</v>
      </c>
      <c r="DB2195" s="140">
        <f t="shared" si="374"/>
        <v>1</v>
      </c>
      <c r="DS2195" s="130">
        <f>SI!BY2195</f>
        <v>140</v>
      </c>
      <c r="DZ2195" s="131">
        <f>SI!BZ2195</f>
        <v>0</v>
      </c>
    </row>
    <row r="2196" spans="1:130" x14ac:dyDescent="0.25">
      <c r="A2196" s="141"/>
      <c r="B2196" s="137" t="str">
        <f>+IF($O$52&lt;&gt;"",IF(CODE(MID($O$52,1,1))*(IF(SI!EE2196="",1,SI!EE2196-1-1-1))+ROUNDDOWN(LEN(SI!J5)/2,0)=DS2196,"Štruktúra záväzkov (okrem bankových úverov) podľa zostatkovej doby splatnosti je uvedená v tabuľke:","NEPOVOLENÉ POUŽITIE!"),"NEPOVOLENÉ POUŽITIE!")</f>
        <v>Štruktúra záväzkov (okrem bankových úverov) podľa zostatkovej doby splatnosti je uvedená v tabuľke:</v>
      </c>
      <c r="CA2196" s="265" t="s">
        <v>773</v>
      </c>
      <c r="CB2196" s="3" t="str">
        <f t="shared" si="373"/>
        <v>Riadok bude vidieť.</v>
      </c>
      <c r="CC2196" s="271" t="s">
        <v>832</v>
      </c>
      <c r="CW2196" s="30">
        <f t="shared" si="376"/>
        <v>1</v>
      </c>
      <c r="CZ2196" s="30">
        <f t="shared" si="372"/>
        <v>1</v>
      </c>
      <c r="DA2196" s="30">
        <f t="shared" si="378"/>
        <v>1</v>
      </c>
      <c r="DB2196" s="140">
        <f t="shared" si="374"/>
        <v>1</v>
      </c>
      <c r="DS2196" s="130">
        <f>SI!BY2196</f>
        <v>7</v>
      </c>
      <c r="DZ2196" s="131">
        <f>SI!BZ2196</f>
        <v>0</v>
      </c>
    </row>
    <row r="2197" spans="1:130" x14ac:dyDescent="0.25">
      <c r="A2197" s="141"/>
      <c r="CA2197" s="142"/>
      <c r="CB2197" s="3" t="str">
        <f t="shared" si="373"/>
        <v>Riadok bude vidieť.</v>
      </c>
      <c r="CC2197" s="271" t="s">
        <v>832</v>
      </c>
      <c r="CW2197" s="30">
        <f t="shared" si="376"/>
        <v>1</v>
      </c>
      <c r="CZ2197" s="30">
        <f t="shared" si="372"/>
        <v>1</v>
      </c>
      <c r="DA2197" s="30">
        <f t="shared" si="378"/>
        <v>1</v>
      </c>
      <c r="DB2197" s="140">
        <f t="shared" si="374"/>
        <v>1</v>
      </c>
      <c r="DS2197" s="130">
        <f>SI!BY2197</f>
        <v>125</v>
      </c>
      <c r="DZ2197" s="131">
        <f>SI!BZ2197</f>
        <v>0</v>
      </c>
    </row>
    <row r="2198" spans="1:130" ht="14.95" customHeight="1" x14ac:dyDescent="0.25">
      <c r="A2198" s="141"/>
      <c r="B2198" s="1581" t="s">
        <v>171</v>
      </c>
      <c r="C2198" s="1581"/>
      <c r="D2198" s="1581"/>
      <c r="E2198" s="1581"/>
      <c r="F2198" s="1581"/>
      <c r="G2198" s="1581"/>
      <c r="H2198" s="1581"/>
      <c r="I2198" s="1581"/>
      <c r="J2198" s="1581"/>
      <c r="K2198" s="1581"/>
      <c r="L2198" s="1581"/>
      <c r="M2198" s="1581"/>
      <c r="N2198" s="1581"/>
      <c r="O2198" s="1581"/>
      <c r="P2198" s="1581"/>
      <c r="Q2198" s="1581"/>
      <c r="R2198" s="1581"/>
      <c r="S2198" s="1581"/>
      <c r="T2198" s="1581"/>
      <c r="U2198" s="1581"/>
      <c r="V2198" s="1581"/>
      <c r="W2198" s="1581"/>
      <c r="X2198" s="1581"/>
      <c r="Y2198" s="1581"/>
      <c r="Z2198" s="1581"/>
      <c r="AA2198" s="1581"/>
      <c r="AB2198" s="636" t="s">
        <v>948</v>
      </c>
      <c r="AC2198" s="637"/>
      <c r="AD2198" s="637"/>
      <c r="AE2198" s="637"/>
      <c r="AF2198" s="637"/>
      <c r="AG2198" s="637"/>
      <c r="AH2198" s="637"/>
      <c r="AI2198" s="637"/>
      <c r="AJ2198" s="637"/>
      <c r="AK2198" s="637"/>
      <c r="AL2198" s="637"/>
      <c r="AM2198" s="637"/>
      <c r="AN2198" s="637"/>
      <c r="AO2198" s="637"/>
      <c r="AP2198" s="637"/>
      <c r="AQ2198" s="637"/>
      <c r="AR2198" s="637"/>
      <c r="AS2198" s="637"/>
      <c r="AT2198" s="637"/>
      <c r="AU2198" s="637"/>
      <c r="AV2198" s="637"/>
      <c r="AW2198" s="637"/>
      <c r="AX2198" s="637"/>
      <c r="AY2198" s="637"/>
      <c r="AZ2198" s="637"/>
      <c r="BA2198" s="638"/>
      <c r="BB2198" s="636" t="s">
        <v>949</v>
      </c>
      <c r="BC2198" s="637"/>
      <c r="BD2198" s="637"/>
      <c r="BE2198" s="637"/>
      <c r="BF2198" s="637"/>
      <c r="BG2198" s="637"/>
      <c r="BH2198" s="637"/>
      <c r="BI2198" s="637"/>
      <c r="BJ2198" s="637"/>
      <c r="BK2198" s="637"/>
      <c r="BL2198" s="637"/>
      <c r="BM2198" s="637"/>
      <c r="BN2198" s="637"/>
      <c r="BO2198" s="637"/>
      <c r="BP2198" s="637"/>
      <c r="BQ2198" s="637"/>
      <c r="BR2198" s="637"/>
      <c r="BS2198" s="637"/>
      <c r="BT2198" s="637"/>
      <c r="BU2198" s="637"/>
      <c r="BV2198" s="637"/>
      <c r="BW2198" s="637"/>
      <c r="BX2198" s="637"/>
      <c r="BY2198" s="637"/>
      <c r="BZ2198" s="638"/>
      <c r="CA2198" s="265" t="s">
        <v>773</v>
      </c>
      <c r="CB2198" s="3" t="str">
        <f t="shared" si="373"/>
        <v>Riadok bude vidieť.</v>
      </c>
      <c r="CC2198" s="271" t="s">
        <v>832</v>
      </c>
      <c r="CD2198" s="4"/>
      <c r="CW2198" s="30">
        <f t="shared" si="376"/>
        <v>1</v>
      </c>
      <c r="CZ2198" s="30">
        <f t="shared" si="372"/>
        <v>1</v>
      </c>
      <c r="DA2198" s="30">
        <f t="shared" si="378"/>
        <v>1</v>
      </c>
      <c r="DB2198" s="140">
        <f t="shared" si="374"/>
        <v>1</v>
      </c>
      <c r="DS2198" s="130">
        <f>SI!BY2198</f>
        <v>119</v>
      </c>
      <c r="DZ2198" s="131">
        <f>SI!BZ2198</f>
        <v>0</v>
      </c>
    </row>
    <row r="2199" spans="1:130" x14ac:dyDescent="0.25">
      <c r="A2199" s="141"/>
      <c r="B2199" s="1581"/>
      <c r="C2199" s="1581"/>
      <c r="D2199" s="1581"/>
      <c r="E2199" s="1581"/>
      <c r="F2199" s="1581"/>
      <c r="G2199" s="1581"/>
      <c r="H2199" s="1581"/>
      <c r="I2199" s="1581"/>
      <c r="J2199" s="1581"/>
      <c r="K2199" s="1581"/>
      <c r="L2199" s="1581"/>
      <c r="M2199" s="1581"/>
      <c r="N2199" s="1581"/>
      <c r="O2199" s="1581"/>
      <c r="P2199" s="1581"/>
      <c r="Q2199" s="1581"/>
      <c r="R2199" s="1581"/>
      <c r="S2199" s="1581"/>
      <c r="T2199" s="1581"/>
      <c r="U2199" s="1581"/>
      <c r="V2199" s="1581"/>
      <c r="W2199" s="1581"/>
      <c r="X2199" s="1581"/>
      <c r="Y2199" s="1581"/>
      <c r="Z2199" s="1581"/>
      <c r="AA2199" s="1581"/>
      <c r="AB2199" s="639"/>
      <c r="AC2199" s="640"/>
      <c r="AD2199" s="640"/>
      <c r="AE2199" s="640"/>
      <c r="AF2199" s="640"/>
      <c r="AG2199" s="640"/>
      <c r="AH2199" s="640"/>
      <c r="AI2199" s="640"/>
      <c r="AJ2199" s="640"/>
      <c r="AK2199" s="640"/>
      <c r="AL2199" s="640"/>
      <c r="AM2199" s="640"/>
      <c r="AN2199" s="640"/>
      <c r="AO2199" s="640"/>
      <c r="AP2199" s="640"/>
      <c r="AQ2199" s="640"/>
      <c r="AR2199" s="640"/>
      <c r="AS2199" s="640"/>
      <c r="AT2199" s="640"/>
      <c r="AU2199" s="640"/>
      <c r="AV2199" s="640"/>
      <c r="AW2199" s="640"/>
      <c r="AX2199" s="640"/>
      <c r="AY2199" s="640"/>
      <c r="AZ2199" s="640"/>
      <c r="BA2199" s="641"/>
      <c r="BB2199" s="495"/>
      <c r="BC2199" s="496"/>
      <c r="BD2199" s="496"/>
      <c r="BE2199" s="496"/>
      <c r="BF2199" s="496"/>
      <c r="BG2199" s="496"/>
      <c r="BH2199" s="496"/>
      <c r="BI2199" s="496"/>
      <c r="BJ2199" s="496"/>
      <c r="BK2199" s="496"/>
      <c r="BL2199" s="496"/>
      <c r="BM2199" s="496"/>
      <c r="BN2199" s="496"/>
      <c r="BO2199" s="496"/>
      <c r="BP2199" s="496"/>
      <c r="BQ2199" s="496"/>
      <c r="BR2199" s="496"/>
      <c r="BS2199" s="496"/>
      <c r="BT2199" s="496"/>
      <c r="BU2199" s="496"/>
      <c r="BV2199" s="496"/>
      <c r="BW2199" s="496"/>
      <c r="BX2199" s="496"/>
      <c r="BY2199" s="496"/>
      <c r="BZ2199" s="497"/>
      <c r="CA2199" s="142"/>
      <c r="CB2199" s="3" t="str">
        <f t="shared" si="373"/>
        <v>Riadok bude vidieť.</v>
      </c>
      <c r="CC2199" s="271" t="s">
        <v>832</v>
      </c>
      <c r="CD2199" s="4"/>
      <c r="CE2199" s="4"/>
      <c r="CF2199" s="4"/>
      <c r="CW2199" s="30">
        <f t="shared" si="376"/>
        <v>1</v>
      </c>
      <c r="CZ2199" s="30">
        <f t="shared" si="372"/>
        <v>1</v>
      </c>
      <c r="DA2199" s="30">
        <f t="shared" si="378"/>
        <v>1</v>
      </c>
      <c r="DB2199" s="140">
        <f t="shared" si="374"/>
        <v>1</v>
      </c>
      <c r="DS2199" s="130">
        <f>SI!BY2199</f>
        <v>122</v>
      </c>
      <c r="DZ2199" s="131">
        <f>SI!BZ2199</f>
        <v>0</v>
      </c>
    </row>
    <row r="2200" spans="1:130" x14ac:dyDescent="0.25">
      <c r="A2200" s="141"/>
      <c r="B2200" s="655" t="s">
        <v>270</v>
      </c>
      <c r="C2200" s="655"/>
      <c r="D2200" s="655"/>
      <c r="E2200" s="655"/>
      <c r="F2200" s="655"/>
      <c r="G2200" s="655"/>
      <c r="H2200" s="655"/>
      <c r="I2200" s="655"/>
      <c r="J2200" s="655"/>
      <c r="K2200" s="655"/>
      <c r="L2200" s="655"/>
      <c r="M2200" s="655"/>
      <c r="N2200" s="655"/>
      <c r="O2200" s="655"/>
      <c r="P2200" s="655"/>
      <c r="Q2200" s="655"/>
      <c r="R2200" s="655"/>
      <c r="S2200" s="655"/>
      <c r="T2200" s="655"/>
      <c r="U2200" s="655"/>
      <c r="V2200" s="655"/>
      <c r="W2200" s="655"/>
      <c r="X2200" s="655"/>
      <c r="Y2200" s="655"/>
      <c r="Z2200" s="655"/>
      <c r="AA2200" s="579"/>
      <c r="AB2200" s="654">
        <f>AB2202</f>
        <v>0</v>
      </c>
      <c r="AC2200" s="654"/>
      <c r="AD2200" s="654"/>
      <c r="AE2200" s="654"/>
      <c r="AF2200" s="654"/>
      <c r="AG2200" s="654"/>
      <c r="AH2200" s="654"/>
      <c r="AI2200" s="654"/>
      <c r="AJ2200" s="654"/>
      <c r="AK2200" s="654"/>
      <c r="AL2200" s="654"/>
      <c r="AM2200" s="654"/>
      <c r="AN2200" s="654"/>
      <c r="AO2200" s="654"/>
      <c r="AP2200" s="654"/>
      <c r="AQ2200" s="654"/>
      <c r="AR2200" s="654"/>
      <c r="AS2200" s="654"/>
      <c r="AT2200" s="654"/>
      <c r="AU2200" s="654"/>
      <c r="AV2200" s="654"/>
      <c r="AW2200" s="654"/>
      <c r="AX2200" s="654"/>
      <c r="AY2200" s="654"/>
      <c r="AZ2200" s="654"/>
      <c r="BA2200" s="654"/>
      <c r="BB2200" s="654">
        <f>BB2202</f>
        <v>1700</v>
      </c>
      <c r="BC2200" s="654"/>
      <c r="BD2200" s="654"/>
      <c r="BE2200" s="654"/>
      <c r="BF2200" s="654"/>
      <c r="BG2200" s="654"/>
      <c r="BH2200" s="654"/>
      <c r="BI2200" s="654"/>
      <c r="BJ2200" s="654"/>
      <c r="BK2200" s="654"/>
      <c r="BL2200" s="654"/>
      <c r="BM2200" s="654"/>
      <c r="BN2200" s="654"/>
      <c r="BO2200" s="654"/>
      <c r="BP2200" s="654"/>
      <c r="BQ2200" s="654"/>
      <c r="BR2200" s="654"/>
      <c r="BS2200" s="654"/>
      <c r="BT2200" s="654"/>
      <c r="BU2200" s="654"/>
      <c r="BV2200" s="654"/>
      <c r="BW2200" s="654"/>
      <c r="BX2200" s="654"/>
      <c r="BY2200" s="654"/>
      <c r="BZ2200" s="654"/>
      <c r="CA2200" s="142"/>
      <c r="CB2200" s="3" t="str">
        <f t="shared" si="373"/>
        <v>Riadok bude vidieť.</v>
      </c>
      <c r="CC2200" s="271" t="s">
        <v>832</v>
      </c>
      <c r="CW2200" s="30">
        <f t="shared" si="376"/>
        <v>1</v>
      </c>
      <c r="CZ2200" s="30">
        <f t="shared" si="372"/>
        <v>1</v>
      </c>
      <c r="DA2200" s="30">
        <f t="shared" si="378"/>
        <v>1</v>
      </c>
      <c r="DB2200" s="140">
        <f t="shared" si="374"/>
        <v>1</v>
      </c>
      <c r="DS2200" s="130">
        <f>SI!BY2200</f>
        <v>154</v>
      </c>
      <c r="DZ2200" s="131">
        <f>SI!BZ2200</f>
        <v>0</v>
      </c>
    </row>
    <row r="2201" spans="1:130" ht="26.35" customHeight="1" x14ac:dyDescent="0.25">
      <c r="A2201" s="141"/>
      <c r="B2201" s="1582" t="s">
        <v>929</v>
      </c>
      <c r="C2201" s="1583"/>
      <c r="D2201" s="1583"/>
      <c r="E2201" s="1583"/>
      <c r="F2201" s="1583"/>
      <c r="G2201" s="1583"/>
      <c r="H2201" s="1583"/>
      <c r="I2201" s="1583"/>
      <c r="J2201" s="1583"/>
      <c r="K2201" s="1583"/>
      <c r="L2201" s="1583"/>
      <c r="M2201" s="1583"/>
      <c r="N2201" s="1583"/>
      <c r="O2201" s="1583"/>
      <c r="P2201" s="1583"/>
      <c r="Q2201" s="1583"/>
      <c r="R2201" s="1583"/>
      <c r="S2201" s="1583"/>
      <c r="T2201" s="1583"/>
      <c r="U2201" s="1583"/>
      <c r="V2201" s="1583"/>
      <c r="W2201" s="1583"/>
      <c r="X2201" s="1583"/>
      <c r="Y2201" s="1583"/>
      <c r="Z2201" s="1583"/>
      <c r="AA2201" s="1584"/>
      <c r="AB2201" s="535"/>
      <c r="AC2201" s="536"/>
      <c r="AD2201" s="536"/>
      <c r="AE2201" s="536"/>
      <c r="AF2201" s="536"/>
      <c r="AG2201" s="536"/>
      <c r="AH2201" s="536"/>
      <c r="AI2201" s="536"/>
      <c r="AJ2201" s="536"/>
      <c r="AK2201" s="536"/>
      <c r="AL2201" s="536"/>
      <c r="AM2201" s="536"/>
      <c r="AN2201" s="536"/>
      <c r="AO2201" s="536"/>
      <c r="AP2201" s="536"/>
      <c r="AQ2201" s="536"/>
      <c r="AR2201" s="536"/>
      <c r="AS2201" s="536"/>
      <c r="AT2201" s="536"/>
      <c r="AU2201" s="536"/>
      <c r="AV2201" s="536"/>
      <c r="AW2201" s="536"/>
      <c r="AX2201" s="536"/>
      <c r="AY2201" s="536"/>
      <c r="AZ2201" s="536"/>
      <c r="BA2201" s="537"/>
      <c r="BB2201" s="535"/>
      <c r="BC2201" s="536"/>
      <c r="BD2201" s="536"/>
      <c r="BE2201" s="536"/>
      <c r="BF2201" s="536"/>
      <c r="BG2201" s="536"/>
      <c r="BH2201" s="536"/>
      <c r="BI2201" s="536"/>
      <c r="BJ2201" s="536"/>
      <c r="BK2201" s="536"/>
      <c r="BL2201" s="536"/>
      <c r="BM2201" s="536"/>
      <c r="BN2201" s="536"/>
      <c r="BO2201" s="536"/>
      <c r="BP2201" s="536"/>
      <c r="BQ2201" s="536"/>
      <c r="BR2201" s="536"/>
      <c r="BS2201" s="536"/>
      <c r="BT2201" s="536"/>
      <c r="BU2201" s="536"/>
      <c r="BV2201" s="536"/>
      <c r="BW2201" s="536"/>
      <c r="BX2201" s="536"/>
      <c r="BY2201" s="536"/>
      <c r="BZ2201" s="537"/>
      <c r="CA2201" s="142"/>
      <c r="CB2201" s="3" t="str">
        <f t="shared" si="373"/>
        <v>Riadok bude vidieť.</v>
      </c>
      <c r="CC2201" s="271" t="s">
        <v>832</v>
      </c>
      <c r="CW2201" s="30">
        <f t="shared" si="376"/>
        <v>1</v>
      </c>
      <c r="CZ2201" s="30">
        <f t="shared" si="372"/>
        <v>1</v>
      </c>
      <c r="DA2201" s="30">
        <f t="shared" si="378"/>
        <v>1</v>
      </c>
      <c r="DB2201" s="140">
        <f t="shared" si="374"/>
        <v>1</v>
      </c>
      <c r="DS2201" s="130">
        <f>SI!BY2201</f>
        <v>130</v>
      </c>
      <c r="DZ2201" s="131">
        <f>SI!BZ2201</f>
        <v>0</v>
      </c>
    </row>
    <row r="2202" spans="1:130" ht="29.25" customHeight="1" x14ac:dyDescent="0.25">
      <c r="A2202" s="141"/>
      <c r="B2202" s="656" t="s">
        <v>269</v>
      </c>
      <c r="C2202" s="657"/>
      <c r="D2202" s="657"/>
      <c r="E2202" s="657"/>
      <c r="F2202" s="657"/>
      <c r="G2202" s="657"/>
      <c r="H2202" s="657"/>
      <c r="I2202" s="657"/>
      <c r="J2202" s="657"/>
      <c r="K2202" s="657"/>
      <c r="L2202" s="657"/>
      <c r="M2202" s="657"/>
      <c r="N2202" s="657"/>
      <c r="O2202" s="657"/>
      <c r="P2202" s="657"/>
      <c r="Q2202" s="657"/>
      <c r="R2202" s="657"/>
      <c r="S2202" s="657"/>
      <c r="T2202" s="657"/>
      <c r="U2202" s="657"/>
      <c r="V2202" s="657"/>
      <c r="W2202" s="657"/>
      <c r="X2202" s="657"/>
      <c r="Y2202" s="657"/>
      <c r="Z2202" s="657"/>
      <c r="AA2202" s="658"/>
      <c r="AB2202" s="367"/>
      <c r="AC2202" s="368"/>
      <c r="AD2202" s="368"/>
      <c r="AE2202" s="368"/>
      <c r="AF2202" s="368"/>
      <c r="AG2202" s="368"/>
      <c r="AH2202" s="368"/>
      <c r="AI2202" s="368"/>
      <c r="AJ2202" s="368"/>
      <c r="AK2202" s="368"/>
      <c r="AL2202" s="368"/>
      <c r="AM2202" s="368"/>
      <c r="AN2202" s="368"/>
      <c r="AO2202" s="368"/>
      <c r="AP2202" s="368"/>
      <c r="AQ2202" s="368"/>
      <c r="AR2202" s="368"/>
      <c r="AS2202" s="368"/>
      <c r="AT2202" s="368"/>
      <c r="AU2202" s="368"/>
      <c r="AV2202" s="368"/>
      <c r="AW2202" s="368"/>
      <c r="AX2202" s="368"/>
      <c r="AY2202" s="368"/>
      <c r="AZ2202" s="368"/>
      <c r="BA2202" s="438"/>
      <c r="BB2202" s="367">
        <v>1700</v>
      </c>
      <c r="BC2202" s="368"/>
      <c r="BD2202" s="368"/>
      <c r="BE2202" s="368"/>
      <c r="BF2202" s="368"/>
      <c r="BG2202" s="368"/>
      <c r="BH2202" s="368"/>
      <c r="BI2202" s="368"/>
      <c r="BJ2202" s="368"/>
      <c r="BK2202" s="368"/>
      <c r="BL2202" s="368"/>
      <c r="BM2202" s="368"/>
      <c r="BN2202" s="368"/>
      <c r="BO2202" s="368"/>
      <c r="BP2202" s="368"/>
      <c r="BQ2202" s="368"/>
      <c r="BR2202" s="368"/>
      <c r="BS2202" s="368"/>
      <c r="BT2202" s="368"/>
      <c r="BU2202" s="368"/>
      <c r="BV2202" s="368"/>
      <c r="BW2202" s="368"/>
      <c r="BX2202" s="368"/>
      <c r="BY2202" s="368"/>
      <c r="BZ2202" s="438"/>
      <c r="CA2202" s="142"/>
      <c r="CB2202" s="3" t="str">
        <f t="shared" si="373"/>
        <v>Riadok bude vidieť.</v>
      </c>
      <c r="CC2202" s="271" t="s">
        <v>832</v>
      </c>
      <c r="CW2202" s="30">
        <f t="shared" si="376"/>
        <v>1</v>
      </c>
      <c r="CZ2202" s="30">
        <f t="shared" si="372"/>
        <v>1</v>
      </c>
      <c r="DA2202" s="30">
        <f t="shared" si="378"/>
        <v>1</v>
      </c>
      <c r="DB2202" s="140">
        <f t="shared" si="374"/>
        <v>1</v>
      </c>
      <c r="DS2202" s="130">
        <f>SI!BY2202</f>
        <v>101</v>
      </c>
      <c r="DZ2202" s="131">
        <f>SI!BZ2202</f>
        <v>0</v>
      </c>
    </row>
    <row r="2203" spans="1:130" ht="14.95" hidden="1" customHeight="1" x14ac:dyDescent="0.25">
      <c r="A2203" s="141"/>
      <c r="B2203" s="655" t="s">
        <v>267</v>
      </c>
      <c r="C2203" s="655"/>
      <c r="D2203" s="655"/>
      <c r="E2203" s="655"/>
      <c r="F2203" s="655"/>
      <c r="G2203" s="655"/>
      <c r="H2203" s="655"/>
      <c r="I2203" s="655"/>
      <c r="J2203" s="655"/>
      <c r="K2203" s="655"/>
      <c r="L2203" s="655"/>
      <c r="M2203" s="655"/>
      <c r="N2203" s="655"/>
      <c r="O2203" s="655"/>
      <c r="P2203" s="655"/>
      <c r="Q2203" s="655"/>
      <c r="R2203" s="655"/>
      <c r="S2203" s="655"/>
      <c r="T2203" s="655"/>
      <c r="U2203" s="655"/>
      <c r="V2203" s="655"/>
      <c r="W2203" s="655"/>
      <c r="X2203" s="655"/>
      <c r="Y2203" s="655"/>
      <c r="Z2203" s="655"/>
      <c r="AA2203" s="579"/>
      <c r="AB2203" s="654">
        <f>+SUM(AB2204:BA2205)</f>
        <v>6408788</v>
      </c>
      <c r="AC2203" s="654"/>
      <c r="AD2203" s="654"/>
      <c r="AE2203" s="654"/>
      <c r="AF2203" s="654"/>
      <c r="AG2203" s="654"/>
      <c r="AH2203" s="654"/>
      <c r="AI2203" s="654"/>
      <c r="AJ2203" s="654"/>
      <c r="AK2203" s="654"/>
      <c r="AL2203" s="654"/>
      <c r="AM2203" s="654"/>
      <c r="AN2203" s="654"/>
      <c r="AO2203" s="654"/>
      <c r="AP2203" s="654"/>
      <c r="AQ2203" s="654"/>
      <c r="AR2203" s="654"/>
      <c r="AS2203" s="654"/>
      <c r="AT2203" s="654"/>
      <c r="AU2203" s="654"/>
      <c r="AV2203" s="654"/>
      <c r="AW2203" s="654"/>
      <c r="AX2203" s="654"/>
      <c r="AY2203" s="654"/>
      <c r="AZ2203" s="654"/>
      <c r="BA2203" s="654"/>
      <c r="BB2203" s="654">
        <f>+SUM(BB2204:BZ2205)</f>
        <v>6335624</v>
      </c>
      <c r="BC2203" s="654"/>
      <c r="BD2203" s="654"/>
      <c r="BE2203" s="654"/>
      <c r="BF2203" s="654"/>
      <c r="BG2203" s="654"/>
      <c r="BH2203" s="654"/>
      <c r="BI2203" s="654"/>
      <c r="BJ2203" s="654"/>
      <c r="BK2203" s="654"/>
      <c r="BL2203" s="654"/>
      <c r="BM2203" s="654"/>
      <c r="BN2203" s="654"/>
      <c r="BO2203" s="654"/>
      <c r="BP2203" s="654"/>
      <c r="BQ2203" s="654"/>
      <c r="BR2203" s="654"/>
      <c r="BS2203" s="654"/>
      <c r="BT2203" s="654"/>
      <c r="BU2203" s="654"/>
      <c r="BV2203" s="654"/>
      <c r="BW2203" s="654"/>
      <c r="BX2203" s="654"/>
      <c r="BY2203" s="654"/>
      <c r="BZ2203" s="654"/>
      <c r="CA2203" s="142"/>
      <c r="CB2203" s="3" t="str">
        <f t="shared" si="373"/>
        <v>Riadok bude skrytý.</v>
      </c>
      <c r="CC2203" s="271" t="s">
        <v>832</v>
      </c>
      <c r="CW2203" s="30">
        <f t="shared" si="376"/>
        <v>1</v>
      </c>
      <c r="CZ2203" s="30">
        <f t="shared" si="372"/>
        <v>1</v>
      </c>
      <c r="DA2203" s="30">
        <f t="shared" si="378"/>
        <v>1</v>
      </c>
      <c r="DB2203" s="2">
        <f>+IF($CD$1="malé",0,DA2203)</f>
        <v>0</v>
      </c>
      <c r="DS2203" s="130">
        <f>SI!BY2203</f>
        <v>180</v>
      </c>
      <c r="DZ2203" s="131">
        <f>SI!BZ2203</f>
        <v>0</v>
      </c>
    </row>
    <row r="2204" spans="1:130" ht="27" hidden="1" customHeight="1" x14ac:dyDescent="0.25">
      <c r="A2204" s="141"/>
      <c r="B2204" s="1582" t="s">
        <v>268</v>
      </c>
      <c r="C2204" s="1583"/>
      <c r="D2204" s="1583"/>
      <c r="E2204" s="1583"/>
      <c r="F2204" s="1583"/>
      <c r="G2204" s="1583"/>
      <c r="H2204" s="1583"/>
      <c r="I2204" s="1583"/>
      <c r="J2204" s="1583"/>
      <c r="K2204" s="1583"/>
      <c r="L2204" s="1583"/>
      <c r="M2204" s="1583"/>
      <c r="N2204" s="1583"/>
      <c r="O2204" s="1583"/>
      <c r="P2204" s="1583"/>
      <c r="Q2204" s="1583"/>
      <c r="R2204" s="1583"/>
      <c r="S2204" s="1583"/>
      <c r="T2204" s="1583"/>
      <c r="U2204" s="1583"/>
      <c r="V2204" s="1583"/>
      <c r="W2204" s="1583"/>
      <c r="X2204" s="1583"/>
      <c r="Y2204" s="1583"/>
      <c r="Z2204" s="1583"/>
      <c r="AA2204" s="1584"/>
      <c r="AB2204" s="535">
        <v>6408788</v>
      </c>
      <c r="AC2204" s="536"/>
      <c r="AD2204" s="536"/>
      <c r="AE2204" s="536"/>
      <c r="AF2204" s="536"/>
      <c r="AG2204" s="536"/>
      <c r="AH2204" s="536"/>
      <c r="AI2204" s="536"/>
      <c r="AJ2204" s="536"/>
      <c r="AK2204" s="536"/>
      <c r="AL2204" s="536"/>
      <c r="AM2204" s="536"/>
      <c r="AN2204" s="536"/>
      <c r="AO2204" s="536"/>
      <c r="AP2204" s="536"/>
      <c r="AQ2204" s="536"/>
      <c r="AR2204" s="536"/>
      <c r="AS2204" s="536"/>
      <c r="AT2204" s="536"/>
      <c r="AU2204" s="536"/>
      <c r="AV2204" s="536"/>
      <c r="AW2204" s="536"/>
      <c r="AX2204" s="536"/>
      <c r="AY2204" s="536"/>
      <c r="AZ2204" s="536"/>
      <c r="BA2204" s="537"/>
      <c r="BB2204" s="535">
        <v>6335624</v>
      </c>
      <c r="BC2204" s="536"/>
      <c r="BD2204" s="536"/>
      <c r="BE2204" s="536"/>
      <c r="BF2204" s="536"/>
      <c r="BG2204" s="536"/>
      <c r="BH2204" s="536"/>
      <c r="BI2204" s="536"/>
      <c r="BJ2204" s="536"/>
      <c r="BK2204" s="536"/>
      <c r="BL2204" s="536"/>
      <c r="BM2204" s="536"/>
      <c r="BN2204" s="536"/>
      <c r="BO2204" s="536"/>
      <c r="BP2204" s="536"/>
      <c r="BQ2204" s="536"/>
      <c r="BR2204" s="536"/>
      <c r="BS2204" s="536"/>
      <c r="BT2204" s="536"/>
      <c r="BU2204" s="536"/>
      <c r="BV2204" s="536"/>
      <c r="BW2204" s="536"/>
      <c r="BX2204" s="536"/>
      <c r="BY2204" s="536"/>
      <c r="BZ2204" s="537"/>
      <c r="CA2204" s="142"/>
      <c r="CB2204" s="3" t="str">
        <f t="shared" si="373"/>
        <v>Riadok bude skrytý.</v>
      </c>
      <c r="CC2204" s="271" t="s">
        <v>832</v>
      </c>
      <c r="CW2204" s="30">
        <f t="shared" si="376"/>
        <v>1</v>
      </c>
      <c r="CZ2204" s="30">
        <f t="shared" si="372"/>
        <v>1</v>
      </c>
      <c r="DA2204" s="30">
        <f t="shared" si="378"/>
        <v>1</v>
      </c>
      <c r="DB2204" s="2">
        <f>+IF($CD$1="malé",0,DA2204)</f>
        <v>0</v>
      </c>
      <c r="DS2204" s="130">
        <f>SI!BY2204</f>
        <v>109</v>
      </c>
      <c r="DZ2204" s="131">
        <f>SI!BZ2204</f>
        <v>0</v>
      </c>
    </row>
    <row r="2205" spans="1:130" hidden="1" x14ac:dyDescent="0.25">
      <c r="A2205" s="141"/>
      <c r="B2205" s="1938" t="s">
        <v>266</v>
      </c>
      <c r="C2205" s="1939"/>
      <c r="D2205" s="1939"/>
      <c r="E2205" s="1939"/>
      <c r="F2205" s="1939"/>
      <c r="G2205" s="1939"/>
      <c r="H2205" s="1939"/>
      <c r="I2205" s="1939"/>
      <c r="J2205" s="1939"/>
      <c r="K2205" s="1939"/>
      <c r="L2205" s="1939"/>
      <c r="M2205" s="1939"/>
      <c r="N2205" s="1939"/>
      <c r="O2205" s="1939"/>
      <c r="P2205" s="1939"/>
      <c r="Q2205" s="1939"/>
      <c r="R2205" s="1939"/>
      <c r="S2205" s="1939"/>
      <c r="T2205" s="1939"/>
      <c r="U2205" s="1939"/>
      <c r="V2205" s="1939"/>
      <c r="W2205" s="1939"/>
      <c r="X2205" s="1939"/>
      <c r="Y2205" s="1939"/>
      <c r="Z2205" s="1939"/>
      <c r="AA2205" s="1940"/>
      <c r="AB2205" s="367">
        <v>0</v>
      </c>
      <c r="AC2205" s="368"/>
      <c r="AD2205" s="368"/>
      <c r="AE2205" s="368"/>
      <c r="AF2205" s="368"/>
      <c r="AG2205" s="368"/>
      <c r="AH2205" s="368"/>
      <c r="AI2205" s="368"/>
      <c r="AJ2205" s="368"/>
      <c r="AK2205" s="368"/>
      <c r="AL2205" s="368"/>
      <c r="AM2205" s="368"/>
      <c r="AN2205" s="368"/>
      <c r="AO2205" s="368"/>
      <c r="AP2205" s="368"/>
      <c r="AQ2205" s="368"/>
      <c r="AR2205" s="368"/>
      <c r="AS2205" s="368"/>
      <c r="AT2205" s="368"/>
      <c r="AU2205" s="368"/>
      <c r="AV2205" s="368"/>
      <c r="AW2205" s="368"/>
      <c r="AX2205" s="368"/>
      <c r="AY2205" s="368"/>
      <c r="AZ2205" s="368"/>
      <c r="BA2205" s="438"/>
      <c r="BB2205" s="367">
        <v>0</v>
      </c>
      <c r="BC2205" s="368"/>
      <c r="BD2205" s="368"/>
      <c r="BE2205" s="368"/>
      <c r="BF2205" s="368"/>
      <c r="BG2205" s="368"/>
      <c r="BH2205" s="368"/>
      <c r="BI2205" s="368"/>
      <c r="BJ2205" s="368"/>
      <c r="BK2205" s="368"/>
      <c r="BL2205" s="368"/>
      <c r="BM2205" s="368"/>
      <c r="BN2205" s="368"/>
      <c r="BO2205" s="368"/>
      <c r="BP2205" s="368"/>
      <c r="BQ2205" s="368"/>
      <c r="BR2205" s="368"/>
      <c r="BS2205" s="368"/>
      <c r="BT2205" s="368"/>
      <c r="BU2205" s="368"/>
      <c r="BV2205" s="368"/>
      <c r="BW2205" s="368"/>
      <c r="BX2205" s="368"/>
      <c r="BY2205" s="368"/>
      <c r="BZ2205" s="438"/>
      <c r="CA2205" s="142"/>
      <c r="CB2205" s="3" t="str">
        <f t="shared" si="373"/>
        <v>Riadok bude skrytý.</v>
      </c>
      <c r="CC2205" s="271" t="s">
        <v>832</v>
      </c>
      <c r="CW2205" s="30">
        <f t="shared" si="376"/>
        <v>1</v>
      </c>
      <c r="CZ2205" s="30">
        <f t="shared" si="372"/>
        <v>1</v>
      </c>
      <c r="DA2205" s="30">
        <f t="shared" si="378"/>
        <v>1</v>
      </c>
      <c r="DB2205" s="2">
        <f>+IF($CD$1="malé",0,DA2205)</f>
        <v>0</v>
      </c>
      <c r="DS2205" s="130">
        <f>SI!BY2205</f>
        <v>125</v>
      </c>
      <c r="DZ2205" s="131">
        <f>SI!BZ2205</f>
        <v>0</v>
      </c>
    </row>
    <row r="2206" spans="1:130" hidden="1" x14ac:dyDescent="0.25">
      <c r="A2206" s="141"/>
      <c r="CA2206" s="142"/>
      <c r="CB2206" s="3" t="str">
        <f t="shared" si="373"/>
        <v>Riadok bude skrytý.</v>
      </c>
      <c r="CC2206" s="271" t="s">
        <v>832</v>
      </c>
      <c r="CW2206" s="30">
        <f t="shared" si="376"/>
        <v>1</v>
      </c>
      <c r="CZ2206" s="30">
        <f t="shared" si="372"/>
        <v>1</v>
      </c>
      <c r="DA2206" s="30">
        <f t="shared" si="378"/>
        <v>1</v>
      </c>
      <c r="DB2206" s="2">
        <f>+IF($CD$1="malé",0,DA2206)</f>
        <v>0</v>
      </c>
      <c r="DS2206" s="130">
        <f>SI!BY2206</f>
        <v>154</v>
      </c>
      <c r="DZ2206" s="131">
        <f>SI!BZ2206</f>
        <v>0</v>
      </c>
    </row>
    <row r="2207" spans="1:130" x14ac:dyDescent="0.25">
      <c r="A2207" s="141"/>
      <c r="B2207" s="137" t="s">
        <v>208</v>
      </c>
      <c r="J2207" s="378" t="s">
        <v>872</v>
      </c>
      <c r="K2207" s="378"/>
      <c r="L2207" s="378"/>
      <c r="M2207" s="378"/>
      <c r="N2207" s="378"/>
      <c r="O2207" s="137" t="s">
        <v>955</v>
      </c>
      <c r="CA2207" s="265" t="s">
        <v>773</v>
      </c>
      <c r="CB2207" s="3" t="str">
        <f t="shared" si="373"/>
        <v>Riadok bude vidieť.</v>
      </c>
      <c r="CC2207" s="271" t="s">
        <v>832</v>
      </c>
      <c r="CD2207" s="4"/>
      <c r="CE2207" s="4"/>
      <c r="CW2207" s="49">
        <v>1</v>
      </c>
      <c r="CZ2207" s="30">
        <f t="shared" si="372"/>
        <v>1</v>
      </c>
      <c r="DA2207" s="30">
        <f t="shared" si="378"/>
        <v>1</v>
      </c>
      <c r="DB2207" s="140">
        <f t="shared" ref="DB2207:DB2214" si="379">+DA2207</f>
        <v>1</v>
      </c>
      <c r="DS2207" s="130">
        <f>SI!BY2207</f>
        <v>970</v>
      </c>
      <c r="DZ2207" s="131">
        <f>SI!BZ2207</f>
        <v>0</v>
      </c>
    </row>
    <row r="2208" spans="1:130" hidden="1" x14ac:dyDescent="0.25">
      <c r="A2208" s="141"/>
      <c r="B2208" s="137" t="str">
        <f>+IF(J2207="má","Údaje o hodnote predmetu, ktorým sú záväzky zabezpečené sú uvedené v tabuľke:","")</f>
        <v/>
      </c>
      <c r="CA2208" s="142"/>
      <c r="CB2208" s="3" t="str">
        <f t="shared" si="373"/>
        <v>Riadok bude skrytý.</v>
      </c>
      <c r="CC2208" s="271" t="s">
        <v>832</v>
      </c>
      <c r="CD2208" s="4"/>
      <c r="CW2208" s="30">
        <f t="shared" ref="CW2208:CW2213" si="380">+IF($J$2207="nemá",0,1)</f>
        <v>0</v>
      </c>
      <c r="CZ2208" s="30">
        <f t="shared" si="372"/>
        <v>1</v>
      </c>
      <c r="DA2208" s="30">
        <f>+IF(CW2208+CX2208+CY2208=0,0,IF(CZ2208=0,0,1))</f>
        <v>0</v>
      </c>
      <c r="DB2208" s="140">
        <f t="shared" si="379"/>
        <v>0</v>
      </c>
      <c r="DS2208" s="130">
        <f>SI!BY2208</f>
        <v>434</v>
      </c>
      <c r="DZ2208" s="131">
        <f>SI!BZ2208</f>
        <v>0</v>
      </c>
    </row>
    <row r="2209" spans="1:130" hidden="1" x14ac:dyDescent="0.25">
      <c r="A2209" s="141"/>
      <c r="CA2209" s="142"/>
      <c r="CB2209" s="3" t="str">
        <f t="shared" si="373"/>
        <v>Riadok bude skrytý.</v>
      </c>
      <c r="CC2209" s="271" t="s">
        <v>832</v>
      </c>
      <c r="CW2209" s="30">
        <f t="shared" si="380"/>
        <v>0</v>
      </c>
      <c r="CZ2209" s="30">
        <f t="shared" si="372"/>
        <v>1</v>
      </c>
      <c r="DA2209" s="30">
        <f t="shared" si="378"/>
        <v>0</v>
      </c>
      <c r="DB2209" s="140">
        <f t="shared" si="379"/>
        <v>0</v>
      </c>
      <c r="DS2209" s="130">
        <f>SI!BY2209</f>
        <v>744</v>
      </c>
      <c r="DZ2209" s="131">
        <f>SI!BZ2209</f>
        <v>0</v>
      </c>
    </row>
    <row r="2210" spans="1:130" ht="14.95" hidden="1" customHeight="1" x14ac:dyDescent="0.25">
      <c r="A2210" s="141"/>
      <c r="B2210" s="439" t="s">
        <v>209</v>
      </c>
      <c r="C2210" s="440"/>
      <c r="D2210" s="440"/>
      <c r="E2210" s="440"/>
      <c r="F2210" s="440"/>
      <c r="G2210" s="440"/>
      <c r="H2210" s="440"/>
      <c r="I2210" s="440"/>
      <c r="J2210" s="440"/>
      <c r="K2210" s="440"/>
      <c r="L2210" s="440"/>
      <c r="M2210" s="440"/>
      <c r="N2210" s="440"/>
      <c r="O2210" s="440"/>
      <c r="P2210" s="440"/>
      <c r="Q2210" s="440"/>
      <c r="R2210" s="440"/>
      <c r="S2210" s="440"/>
      <c r="T2210" s="440"/>
      <c r="U2210" s="440"/>
      <c r="V2210" s="440"/>
      <c r="W2210" s="440"/>
      <c r="X2210" s="440"/>
      <c r="Y2210" s="440"/>
      <c r="Z2210" s="440"/>
      <c r="AA2210" s="440"/>
      <c r="AB2210" s="441"/>
      <c r="AC2210" s="445">
        <f>+AJ141</f>
        <v>2021</v>
      </c>
      <c r="AD2210" s="446"/>
      <c r="AE2210" s="446"/>
      <c r="AF2210" s="446"/>
      <c r="AG2210" s="446"/>
      <c r="AH2210" s="446"/>
      <c r="AI2210" s="446"/>
      <c r="AJ2210" s="446"/>
      <c r="AK2210" s="446"/>
      <c r="AL2210" s="446"/>
      <c r="AM2210" s="446"/>
      <c r="AN2210" s="446"/>
      <c r="AO2210" s="446"/>
      <c r="AP2210" s="446"/>
      <c r="AQ2210" s="446"/>
      <c r="AR2210" s="446"/>
      <c r="AS2210" s="446"/>
      <c r="AT2210" s="446"/>
      <c r="AU2210" s="446"/>
      <c r="AV2210" s="446"/>
      <c r="AW2210" s="446"/>
      <c r="AX2210" s="446"/>
      <c r="AY2210" s="446"/>
      <c r="AZ2210" s="446"/>
      <c r="BA2210" s="446"/>
      <c r="BB2210" s="446"/>
      <c r="BC2210" s="446"/>
      <c r="BD2210" s="446"/>
      <c r="BE2210" s="446"/>
      <c r="BF2210" s="446"/>
      <c r="BG2210" s="446"/>
      <c r="BH2210" s="446"/>
      <c r="BI2210" s="446"/>
      <c r="BJ2210" s="446"/>
      <c r="BK2210" s="446"/>
      <c r="BL2210" s="446"/>
      <c r="BM2210" s="446"/>
      <c r="BN2210" s="446"/>
      <c r="BO2210" s="446"/>
      <c r="BP2210" s="446"/>
      <c r="BQ2210" s="446"/>
      <c r="BR2210" s="446"/>
      <c r="BS2210" s="446"/>
      <c r="BT2210" s="446"/>
      <c r="BU2210" s="446"/>
      <c r="BV2210" s="446"/>
      <c r="BW2210" s="446"/>
      <c r="BX2210" s="446"/>
      <c r="BY2210" s="446"/>
      <c r="BZ2210" s="447"/>
      <c r="CA2210" s="265" t="s">
        <v>773</v>
      </c>
      <c r="CB2210" s="3" t="str">
        <f t="shared" si="373"/>
        <v>Riadok bude skrytý.</v>
      </c>
      <c r="CC2210" s="271" t="s">
        <v>832</v>
      </c>
      <c r="CW2210" s="30">
        <f t="shared" si="380"/>
        <v>0</v>
      </c>
      <c r="CZ2210" s="30">
        <f t="shared" si="372"/>
        <v>1</v>
      </c>
      <c r="DA2210" s="30">
        <f t="shared" si="378"/>
        <v>0</v>
      </c>
      <c r="DB2210" s="140">
        <f t="shared" si="379"/>
        <v>0</v>
      </c>
      <c r="DS2210" s="130">
        <f>SI!BY2210</f>
        <v>1104</v>
      </c>
      <c r="DZ2210" s="131">
        <f>SI!BZ2210</f>
        <v>0</v>
      </c>
    </row>
    <row r="2211" spans="1:130" hidden="1" x14ac:dyDescent="0.25">
      <c r="A2211" s="141"/>
      <c r="B2211" s="442"/>
      <c r="C2211" s="443"/>
      <c r="D2211" s="443"/>
      <c r="E2211" s="443"/>
      <c r="F2211" s="443"/>
      <c r="G2211" s="443"/>
      <c r="H2211" s="443"/>
      <c r="I2211" s="443"/>
      <c r="J2211" s="443"/>
      <c r="K2211" s="443"/>
      <c r="L2211" s="443"/>
      <c r="M2211" s="443"/>
      <c r="N2211" s="443"/>
      <c r="O2211" s="443"/>
      <c r="P2211" s="443"/>
      <c r="Q2211" s="443"/>
      <c r="R2211" s="443"/>
      <c r="S2211" s="443"/>
      <c r="T2211" s="443"/>
      <c r="U2211" s="443"/>
      <c r="V2211" s="443"/>
      <c r="W2211" s="443"/>
      <c r="X2211" s="443"/>
      <c r="Y2211" s="443"/>
      <c r="Z2211" s="443"/>
      <c r="AA2211" s="443"/>
      <c r="AB2211" s="444"/>
      <c r="AC2211" s="448" t="s">
        <v>928</v>
      </c>
      <c r="AD2211" s="449"/>
      <c r="AE2211" s="449"/>
      <c r="AF2211" s="449"/>
      <c r="AG2211" s="449"/>
      <c r="AH2211" s="449"/>
      <c r="AI2211" s="449"/>
      <c r="AJ2211" s="449"/>
      <c r="AK2211" s="449"/>
      <c r="AL2211" s="449"/>
      <c r="AM2211" s="449"/>
      <c r="AN2211" s="449"/>
      <c r="AO2211" s="449"/>
      <c r="AP2211" s="449"/>
      <c r="AQ2211" s="449"/>
      <c r="AR2211" s="449"/>
      <c r="AS2211" s="449"/>
      <c r="AT2211" s="449"/>
      <c r="AU2211" s="449"/>
      <c r="AV2211" s="449"/>
      <c r="AW2211" s="449"/>
      <c r="AX2211" s="449"/>
      <c r="AY2211" s="449"/>
      <c r="AZ2211" s="449"/>
      <c r="BA2211" s="449"/>
      <c r="BB2211" s="450"/>
      <c r="BC2211" s="435" t="s">
        <v>958</v>
      </c>
      <c r="BD2211" s="436"/>
      <c r="BE2211" s="436"/>
      <c r="BF2211" s="436"/>
      <c r="BG2211" s="436"/>
      <c r="BH2211" s="436"/>
      <c r="BI2211" s="436"/>
      <c r="BJ2211" s="436"/>
      <c r="BK2211" s="436"/>
      <c r="BL2211" s="436"/>
      <c r="BM2211" s="436"/>
      <c r="BN2211" s="436"/>
      <c r="BO2211" s="436"/>
      <c r="BP2211" s="436"/>
      <c r="BQ2211" s="436"/>
      <c r="BR2211" s="436"/>
      <c r="BS2211" s="436"/>
      <c r="BT2211" s="436"/>
      <c r="BU2211" s="436"/>
      <c r="BV2211" s="436"/>
      <c r="BW2211" s="436"/>
      <c r="BX2211" s="436"/>
      <c r="BY2211" s="436"/>
      <c r="BZ2211" s="437"/>
      <c r="CA2211" s="142"/>
      <c r="CB2211" s="3" t="str">
        <f t="shared" si="373"/>
        <v>Riadok bude skrytý.</v>
      </c>
      <c r="CC2211" s="271" t="s">
        <v>832</v>
      </c>
      <c r="CW2211" s="30">
        <f t="shared" si="380"/>
        <v>0</v>
      </c>
      <c r="CZ2211" s="30">
        <f t="shared" si="372"/>
        <v>1</v>
      </c>
      <c r="DA2211" s="30">
        <f t="shared" si="378"/>
        <v>0</v>
      </c>
      <c r="DB2211" s="140">
        <f t="shared" si="379"/>
        <v>0</v>
      </c>
      <c r="DS2211" s="130">
        <f>SI!BY2211</f>
        <v>1135</v>
      </c>
      <c r="DZ2211" s="131">
        <f>SI!BZ2211</f>
        <v>0</v>
      </c>
    </row>
    <row r="2212" spans="1:130" ht="27" hidden="1" customHeight="1" x14ac:dyDescent="0.25">
      <c r="A2212" s="141"/>
      <c r="B2212" s="451" t="s">
        <v>956</v>
      </c>
      <c r="C2212" s="452"/>
      <c r="D2212" s="452"/>
      <c r="E2212" s="452"/>
      <c r="F2212" s="452"/>
      <c r="G2212" s="452"/>
      <c r="H2212" s="452"/>
      <c r="I2212" s="452"/>
      <c r="J2212" s="452"/>
      <c r="K2212" s="452"/>
      <c r="L2212" s="452"/>
      <c r="M2212" s="452"/>
      <c r="N2212" s="452"/>
      <c r="O2212" s="452"/>
      <c r="P2212" s="452"/>
      <c r="Q2212" s="452"/>
      <c r="R2212" s="452"/>
      <c r="S2212" s="452"/>
      <c r="T2212" s="452"/>
      <c r="U2212" s="452"/>
      <c r="V2212" s="452"/>
      <c r="W2212" s="452"/>
      <c r="X2212" s="452"/>
      <c r="Y2212" s="452"/>
      <c r="Z2212" s="452"/>
      <c r="AA2212" s="452"/>
      <c r="AB2212" s="453"/>
      <c r="AC2212" s="417"/>
      <c r="AD2212" s="418"/>
      <c r="AE2212" s="418"/>
      <c r="AF2212" s="418"/>
      <c r="AG2212" s="418"/>
      <c r="AH2212" s="418"/>
      <c r="AI2212" s="418"/>
      <c r="AJ2212" s="418"/>
      <c r="AK2212" s="418"/>
      <c r="AL2212" s="418"/>
      <c r="AM2212" s="418"/>
      <c r="AN2212" s="418"/>
      <c r="AO2212" s="418"/>
      <c r="AP2212" s="418"/>
      <c r="AQ2212" s="418"/>
      <c r="AR2212" s="418"/>
      <c r="AS2212" s="418"/>
      <c r="AT2212" s="418"/>
      <c r="AU2212" s="418"/>
      <c r="AV2212" s="418"/>
      <c r="AW2212" s="418"/>
      <c r="AX2212" s="418"/>
      <c r="AY2212" s="418"/>
      <c r="AZ2212" s="418"/>
      <c r="BA2212" s="418"/>
      <c r="BB2212" s="419"/>
      <c r="BC2212" s="417"/>
      <c r="BD2212" s="418"/>
      <c r="BE2212" s="418"/>
      <c r="BF2212" s="418"/>
      <c r="BG2212" s="418"/>
      <c r="BH2212" s="418"/>
      <c r="BI2212" s="418"/>
      <c r="BJ2212" s="418"/>
      <c r="BK2212" s="418"/>
      <c r="BL2212" s="418"/>
      <c r="BM2212" s="418"/>
      <c r="BN2212" s="418"/>
      <c r="BO2212" s="418"/>
      <c r="BP2212" s="418"/>
      <c r="BQ2212" s="418"/>
      <c r="BR2212" s="418"/>
      <c r="BS2212" s="418"/>
      <c r="BT2212" s="418"/>
      <c r="BU2212" s="418"/>
      <c r="BV2212" s="418"/>
      <c r="BW2212" s="418"/>
      <c r="BX2212" s="418"/>
      <c r="BY2212" s="418"/>
      <c r="BZ2212" s="419"/>
      <c r="CA2212" s="142"/>
      <c r="CB2212" s="3" t="str">
        <f t="shared" si="373"/>
        <v>Riadok bude skrytý.</v>
      </c>
      <c r="CC2212" s="271" t="s">
        <v>832</v>
      </c>
      <c r="CW2212" s="30">
        <f t="shared" si="380"/>
        <v>0</v>
      </c>
      <c r="CZ2212" s="30">
        <f t="shared" si="372"/>
        <v>1</v>
      </c>
      <c r="DA2212" s="30">
        <f t="shared" si="378"/>
        <v>0</v>
      </c>
      <c r="DB2212" s="140">
        <f t="shared" si="379"/>
        <v>0</v>
      </c>
      <c r="DS2212" s="130">
        <f>SI!BY2212</f>
        <v>461</v>
      </c>
      <c r="DZ2212" s="131">
        <f>SI!BZ2212</f>
        <v>0</v>
      </c>
    </row>
    <row r="2213" spans="1:130" ht="27.7" hidden="1" customHeight="1" x14ac:dyDescent="0.25">
      <c r="A2213" s="141"/>
      <c r="B2213" s="432" t="s">
        <v>957</v>
      </c>
      <c r="C2213" s="433"/>
      <c r="D2213" s="433"/>
      <c r="E2213" s="433"/>
      <c r="F2213" s="433"/>
      <c r="G2213" s="433"/>
      <c r="H2213" s="433"/>
      <c r="I2213" s="433"/>
      <c r="J2213" s="433"/>
      <c r="K2213" s="433"/>
      <c r="L2213" s="433"/>
      <c r="M2213" s="433"/>
      <c r="N2213" s="433"/>
      <c r="O2213" s="433"/>
      <c r="P2213" s="433"/>
      <c r="Q2213" s="433"/>
      <c r="R2213" s="433"/>
      <c r="S2213" s="433"/>
      <c r="T2213" s="433"/>
      <c r="U2213" s="433"/>
      <c r="V2213" s="433"/>
      <c r="W2213" s="433"/>
      <c r="X2213" s="433"/>
      <c r="Y2213" s="433"/>
      <c r="Z2213" s="433"/>
      <c r="AA2213" s="433"/>
      <c r="AB2213" s="434"/>
      <c r="AC2213" s="414" t="s">
        <v>26</v>
      </c>
      <c r="AD2213" s="415"/>
      <c r="AE2213" s="415"/>
      <c r="AF2213" s="415"/>
      <c r="AG2213" s="415"/>
      <c r="AH2213" s="415"/>
      <c r="AI2213" s="415"/>
      <c r="AJ2213" s="415"/>
      <c r="AK2213" s="415"/>
      <c r="AL2213" s="415"/>
      <c r="AM2213" s="415"/>
      <c r="AN2213" s="415"/>
      <c r="AO2213" s="415"/>
      <c r="AP2213" s="415"/>
      <c r="AQ2213" s="415"/>
      <c r="AR2213" s="415"/>
      <c r="AS2213" s="415"/>
      <c r="AT2213" s="415"/>
      <c r="AU2213" s="415"/>
      <c r="AV2213" s="415"/>
      <c r="AW2213" s="415"/>
      <c r="AX2213" s="415"/>
      <c r="AY2213" s="415"/>
      <c r="AZ2213" s="415"/>
      <c r="BA2213" s="415"/>
      <c r="BB2213" s="416"/>
      <c r="BC2213" s="454"/>
      <c r="BD2213" s="455"/>
      <c r="BE2213" s="455"/>
      <c r="BF2213" s="455"/>
      <c r="BG2213" s="455"/>
      <c r="BH2213" s="455"/>
      <c r="BI2213" s="455"/>
      <c r="BJ2213" s="455"/>
      <c r="BK2213" s="455"/>
      <c r="BL2213" s="455"/>
      <c r="BM2213" s="455"/>
      <c r="BN2213" s="455"/>
      <c r="BO2213" s="455"/>
      <c r="BP2213" s="455"/>
      <c r="BQ2213" s="455"/>
      <c r="BR2213" s="455"/>
      <c r="BS2213" s="455"/>
      <c r="BT2213" s="455"/>
      <c r="BU2213" s="455"/>
      <c r="BV2213" s="455"/>
      <c r="BW2213" s="455"/>
      <c r="BX2213" s="455"/>
      <c r="BY2213" s="455"/>
      <c r="BZ2213" s="456"/>
      <c r="CA2213" s="142"/>
      <c r="CB2213" s="3" t="str">
        <f t="shared" si="373"/>
        <v>Riadok bude skrytý.</v>
      </c>
      <c r="CC2213" s="271" t="s">
        <v>832</v>
      </c>
      <c r="CW2213" s="30">
        <f t="shared" si="380"/>
        <v>0</v>
      </c>
      <c r="CZ2213" s="30">
        <f t="shared" si="372"/>
        <v>1</v>
      </c>
      <c r="DA2213" s="30">
        <f t="shared" si="378"/>
        <v>0</v>
      </c>
      <c r="DB2213" s="140">
        <f t="shared" si="379"/>
        <v>0</v>
      </c>
      <c r="DS2213" s="130">
        <f>SI!BY2213</f>
        <v>434</v>
      </c>
      <c r="DZ2213" s="131">
        <f>SI!BZ2213</f>
        <v>0</v>
      </c>
    </row>
    <row r="2214" spans="1:130" x14ac:dyDescent="0.25">
      <c r="A2214" s="141"/>
      <c r="CA2214" s="142"/>
      <c r="CB2214" s="3" t="str">
        <f t="shared" si="373"/>
        <v>Riadok bude vidieť.</v>
      </c>
      <c r="CC2214" s="271" t="s">
        <v>832</v>
      </c>
      <c r="CW2214" s="49">
        <v>1</v>
      </c>
      <c r="CZ2214" s="30">
        <f t="shared" si="372"/>
        <v>1</v>
      </c>
      <c r="DA2214" s="30">
        <f t="shared" si="378"/>
        <v>1</v>
      </c>
      <c r="DB2214" s="140">
        <f t="shared" si="379"/>
        <v>1</v>
      </c>
      <c r="DS2214" s="130">
        <f>SI!BY2214</f>
        <v>944</v>
      </c>
      <c r="DZ2214" s="131">
        <f>SI!BZ2214</f>
        <v>0</v>
      </c>
    </row>
    <row r="2215" spans="1:130" hidden="1" x14ac:dyDescent="0.25">
      <c r="A2215" s="141"/>
      <c r="B2215" s="137" t="s">
        <v>208</v>
      </c>
      <c r="J2215" s="378" t="s">
        <v>97</v>
      </c>
      <c r="K2215" s="378"/>
      <c r="L2215" s="378"/>
      <c r="M2215" s="378"/>
      <c r="N2215" s="378"/>
      <c r="O2215" s="137" t="str">
        <f>+IF($U$52&lt;&gt;"",IF((ROUNDDOWN(CODE(MID($U$52,1,1)),0)-(BIN2DEC(1010)/10))*(IF(SI!EE2215="",1,SI!EE2215-1-2-1))+(LEN(SI!J2)+LEN(SI!J5))=DS2215,"majetok prenajatý formou finančného leasingu.","NEPOVOLENÉ POUŽITIE!"),"NEPOVOLENÉ POUŽITIE!")</f>
        <v>majetok prenajatý formou finančného leasingu.</v>
      </c>
      <c r="P2215" s="38"/>
      <c r="S2215" s="298"/>
      <c r="T2215" s="298"/>
      <c r="CA2215" s="265" t="s">
        <v>773</v>
      </c>
      <c r="CB2215" s="3" t="str">
        <f t="shared" si="373"/>
        <v>Riadok bude skrytý.</v>
      </c>
      <c r="CC2215" s="271" t="s">
        <v>832</v>
      </c>
      <c r="CF2215" s="13"/>
      <c r="CW2215" s="30">
        <f t="shared" si="376"/>
        <v>1</v>
      </c>
      <c r="CZ2215" s="30">
        <f t="shared" si="372"/>
        <v>1</v>
      </c>
      <c r="DA2215" s="30">
        <f t="shared" si="378"/>
        <v>1</v>
      </c>
      <c r="DB2215" s="2">
        <f t="shared" ref="DB2215:DB2278" si="381">+IF($CD$1="malé",0,DA2215)</f>
        <v>0</v>
      </c>
      <c r="DS2215" s="130">
        <f>SI!BY2215</f>
        <v>28</v>
      </c>
      <c r="DZ2215" s="131">
        <f>SI!BZ2215</f>
        <v>0</v>
      </c>
    </row>
    <row r="2216" spans="1:130" hidden="1" x14ac:dyDescent="0.25">
      <c r="A2216" s="141"/>
      <c r="B2216" s="137" t="str">
        <f>+IF($K$52&lt;&gt;"",IF(INT(SQRT((CODE(MID($K$52,1,1)))))*(IF(SI!EE2216="",1,SI!EE2216-3))+LEN(SI!J5)=DS2216,IF(J2215="nemá","","Výška budúcich platieb rozdelená na istinu a finančný náklad podľa doby splatnosti je uvedená v tabuľke:"),"NEPOVOLENÉ POUŽITIE!"),"NEPOVOLENÉ POUŽITIE!")</f>
        <v>Výška budúcich platieb rozdelená na istinu a finančný náklad podľa doby splatnosti je uvedená v tabuľke:</v>
      </c>
      <c r="CA2216" s="270"/>
      <c r="CB2216" s="3" t="str">
        <f t="shared" si="373"/>
        <v>Riadok bude skrytý.</v>
      </c>
      <c r="CC2216" s="271" t="s">
        <v>832</v>
      </c>
      <c r="CW2216" s="30">
        <f t="shared" si="376"/>
        <v>1</v>
      </c>
      <c r="CX2216" s="30">
        <f t="shared" ref="CX2216:CX2226" si="382">+IF($J$2215="nemá",0,1)</f>
        <v>1</v>
      </c>
      <c r="CZ2216" s="30">
        <f t="shared" si="372"/>
        <v>1</v>
      </c>
      <c r="DA2216" s="52">
        <f t="shared" ref="DA2216:DA2226" si="383">+IF(CW2216*CX2216=0,0,IF(CZ2216=0,0,1))</f>
        <v>1</v>
      </c>
      <c r="DB2216" s="2">
        <f t="shared" si="381"/>
        <v>0</v>
      </c>
      <c r="DS2216" s="130">
        <f>SI!BY2216</f>
        <v>15</v>
      </c>
      <c r="DZ2216" s="131">
        <f>SI!BZ2216</f>
        <v>0</v>
      </c>
    </row>
    <row r="2217" spans="1:130" hidden="1" x14ac:dyDescent="0.25">
      <c r="A2217" s="141"/>
      <c r="CA2217" s="270"/>
      <c r="CB2217" s="3" t="str">
        <f t="shared" si="373"/>
        <v>Riadok bude skrytý.</v>
      </c>
      <c r="CC2217" s="271" t="s">
        <v>832</v>
      </c>
      <c r="CW2217" s="30">
        <f t="shared" si="376"/>
        <v>1</v>
      </c>
      <c r="CX2217" s="30">
        <f t="shared" si="382"/>
        <v>1</v>
      </c>
      <c r="CZ2217" s="30">
        <f t="shared" si="372"/>
        <v>1</v>
      </c>
      <c r="DA2217" s="52">
        <f t="shared" si="383"/>
        <v>1</v>
      </c>
      <c r="DB2217" s="2">
        <f t="shared" si="381"/>
        <v>0</v>
      </c>
      <c r="DS2217" s="130">
        <f>SI!BY2217</f>
        <v>945</v>
      </c>
      <c r="DZ2217" s="131">
        <f>SI!BZ2217</f>
        <v>0</v>
      </c>
    </row>
    <row r="2218" spans="1:130" hidden="1" x14ac:dyDescent="0.25">
      <c r="A2218" s="141"/>
      <c r="B2218" s="1073" t="s">
        <v>171</v>
      </c>
      <c r="C2218" s="1074"/>
      <c r="D2218" s="1074"/>
      <c r="E2218" s="1074"/>
      <c r="F2218" s="1074"/>
      <c r="G2218" s="1074"/>
      <c r="H2218" s="1074"/>
      <c r="I2218" s="1074"/>
      <c r="J2218" s="1074"/>
      <c r="K2218" s="1074"/>
      <c r="L2218" s="1074"/>
      <c r="M2218" s="1074"/>
      <c r="N2218" s="1074"/>
      <c r="O2218" s="1074"/>
      <c r="P2218" s="1074"/>
      <c r="Q2218" s="1074"/>
      <c r="R2218" s="1074"/>
      <c r="S2218" s="1074"/>
      <c r="T2218" s="1575"/>
      <c r="U2218" s="650">
        <f>+AJ141</f>
        <v>2021</v>
      </c>
      <c r="V2218" s="391"/>
      <c r="W2218" s="391"/>
      <c r="X2218" s="391"/>
      <c r="Y2218" s="391"/>
      <c r="Z2218" s="391"/>
      <c r="AA2218" s="391"/>
      <c r="AB2218" s="391"/>
      <c r="AC2218" s="391"/>
      <c r="AD2218" s="391"/>
      <c r="AE2218" s="391"/>
      <c r="AF2218" s="391"/>
      <c r="AG2218" s="391"/>
      <c r="AH2218" s="391"/>
      <c r="AI2218" s="391"/>
      <c r="AJ2218" s="391"/>
      <c r="AK2218" s="391"/>
      <c r="AL2218" s="391"/>
      <c r="AM2218" s="391"/>
      <c r="AN2218" s="391"/>
      <c r="AO2218" s="391"/>
      <c r="AP2218" s="391"/>
      <c r="AQ2218" s="391"/>
      <c r="AR2218" s="391"/>
      <c r="AS2218" s="391"/>
      <c r="AT2218" s="391"/>
      <c r="AU2218" s="391"/>
      <c r="AV2218" s="391"/>
      <c r="AW2218" s="392"/>
      <c r="AX2218" s="650">
        <f>+BE141</f>
        <v>2020</v>
      </c>
      <c r="AY2218" s="391"/>
      <c r="AZ2218" s="391"/>
      <c r="BA2218" s="391"/>
      <c r="BB2218" s="391"/>
      <c r="BC2218" s="391"/>
      <c r="BD2218" s="391"/>
      <c r="BE2218" s="391"/>
      <c r="BF2218" s="391"/>
      <c r="BG2218" s="391"/>
      <c r="BH2218" s="391"/>
      <c r="BI2218" s="391"/>
      <c r="BJ2218" s="391"/>
      <c r="BK2218" s="391"/>
      <c r="BL2218" s="391"/>
      <c r="BM2218" s="391"/>
      <c r="BN2218" s="391"/>
      <c r="BO2218" s="391"/>
      <c r="BP2218" s="391"/>
      <c r="BQ2218" s="391"/>
      <c r="BR2218" s="391"/>
      <c r="BS2218" s="391"/>
      <c r="BT2218" s="391"/>
      <c r="BU2218" s="391"/>
      <c r="BV2218" s="391"/>
      <c r="BW2218" s="391"/>
      <c r="BX2218" s="391"/>
      <c r="BY2218" s="391"/>
      <c r="BZ2218" s="392"/>
      <c r="CA2218" s="265" t="s">
        <v>773</v>
      </c>
      <c r="CB2218" s="3" t="str">
        <f t="shared" si="373"/>
        <v>Riadok bude skrytý.</v>
      </c>
      <c r="CC2218" s="271" t="s">
        <v>832</v>
      </c>
      <c r="CD2218" s="4"/>
      <c r="CW2218" s="30">
        <f t="shared" si="376"/>
        <v>1</v>
      </c>
      <c r="CX2218" s="30">
        <f t="shared" si="382"/>
        <v>1</v>
      </c>
      <c r="CZ2218" s="30">
        <f t="shared" si="372"/>
        <v>1</v>
      </c>
      <c r="DA2218" s="52">
        <f t="shared" si="383"/>
        <v>1</v>
      </c>
      <c r="DB2218" s="2">
        <f t="shared" si="381"/>
        <v>0</v>
      </c>
      <c r="DS2218" s="130">
        <f>SI!BY2218</f>
        <v>170</v>
      </c>
      <c r="DZ2218" s="131">
        <f>SI!BZ2218</f>
        <v>0</v>
      </c>
    </row>
    <row r="2219" spans="1:130" hidden="1" x14ac:dyDescent="0.25">
      <c r="A2219" s="141"/>
      <c r="B2219" s="1576"/>
      <c r="C2219" s="1577"/>
      <c r="D2219" s="1577"/>
      <c r="E2219" s="1577"/>
      <c r="F2219" s="1577"/>
      <c r="G2219" s="1577"/>
      <c r="H2219" s="1577"/>
      <c r="I2219" s="1577"/>
      <c r="J2219" s="1577"/>
      <c r="K2219" s="1577"/>
      <c r="L2219" s="1577"/>
      <c r="M2219" s="1577"/>
      <c r="N2219" s="1577"/>
      <c r="O2219" s="1577"/>
      <c r="P2219" s="1577"/>
      <c r="Q2219" s="1577"/>
      <c r="R2219" s="1577"/>
      <c r="S2219" s="1577"/>
      <c r="T2219" s="1578"/>
      <c r="U2219" s="598" t="s">
        <v>236</v>
      </c>
      <c r="V2219" s="645"/>
      <c r="W2219" s="645"/>
      <c r="X2219" s="645"/>
      <c r="Y2219" s="645"/>
      <c r="Z2219" s="645"/>
      <c r="AA2219" s="645"/>
      <c r="AB2219" s="645"/>
      <c r="AC2219" s="645"/>
      <c r="AD2219" s="645"/>
      <c r="AE2219" s="645"/>
      <c r="AF2219" s="645"/>
      <c r="AG2219" s="645"/>
      <c r="AH2219" s="645"/>
      <c r="AI2219" s="645"/>
      <c r="AJ2219" s="645"/>
      <c r="AK2219" s="645"/>
      <c r="AL2219" s="645"/>
      <c r="AM2219" s="645"/>
      <c r="AN2219" s="645"/>
      <c r="AO2219" s="645"/>
      <c r="AP2219" s="645"/>
      <c r="AQ2219" s="645"/>
      <c r="AR2219" s="645"/>
      <c r="AS2219" s="645"/>
      <c r="AT2219" s="645"/>
      <c r="AU2219" s="645"/>
      <c r="AV2219" s="645"/>
      <c r="AW2219" s="646"/>
      <c r="AX2219" s="598" t="s">
        <v>236</v>
      </c>
      <c r="AY2219" s="645"/>
      <c r="AZ2219" s="645"/>
      <c r="BA2219" s="645"/>
      <c r="BB2219" s="645"/>
      <c r="BC2219" s="645"/>
      <c r="BD2219" s="645"/>
      <c r="BE2219" s="645"/>
      <c r="BF2219" s="645"/>
      <c r="BG2219" s="645"/>
      <c r="BH2219" s="645"/>
      <c r="BI2219" s="645"/>
      <c r="BJ2219" s="645"/>
      <c r="BK2219" s="645"/>
      <c r="BL2219" s="645"/>
      <c r="BM2219" s="645"/>
      <c r="BN2219" s="645"/>
      <c r="BO2219" s="645"/>
      <c r="BP2219" s="645"/>
      <c r="BQ2219" s="645"/>
      <c r="BR2219" s="645"/>
      <c r="BS2219" s="645"/>
      <c r="BT2219" s="645"/>
      <c r="BU2219" s="645"/>
      <c r="BV2219" s="645"/>
      <c r="BW2219" s="645"/>
      <c r="BX2219" s="645"/>
      <c r="BY2219" s="645"/>
      <c r="BZ2219" s="646"/>
      <c r="CA2219" s="270"/>
      <c r="CB2219" s="3" t="str">
        <f t="shared" si="373"/>
        <v>Riadok bude skrytý.</v>
      </c>
      <c r="CC2219" s="271" t="s">
        <v>832</v>
      </c>
      <c r="CW2219" s="30">
        <f t="shared" si="376"/>
        <v>1</v>
      </c>
      <c r="CX2219" s="30">
        <f t="shared" si="382"/>
        <v>1</v>
      </c>
      <c r="CZ2219" s="30">
        <f t="shared" si="372"/>
        <v>1</v>
      </c>
      <c r="DA2219" s="52">
        <f t="shared" si="383"/>
        <v>1</v>
      </c>
      <c r="DB2219" s="2">
        <f t="shared" si="381"/>
        <v>0</v>
      </c>
      <c r="DS2219" s="130">
        <f>SI!BY2219</f>
        <v>318</v>
      </c>
      <c r="DZ2219" s="131">
        <f>SI!BZ2219</f>
        <v>0</v>
      </c>
    </row>
    <row r="2220" spans="1:130" ht="14.95" hidden="1" customHeight="1" x14ac:dyDescent="0.25">
      <c r="A2220" s="141"/>
      <c r="B2220" s="1576"/>
      <c r="C2220" s="1577"/>
      <c r="D2220" s="1577"/>
      <c r="E2220" s="1577"/>
      <c r="F2220" s="1577"/>
      <c r="G2220" s="1577"/>
      <c r="H2220" s="1577"/>
      <c r="I2220" s="1577"/>
      <c r="J2220" s="1577"/>
      <c r="K2220" s="1577"/>
      <c r="L2220" s="1577"/>
      <c r="M2220" s="1577"/>
      <c r="N2220" s="1577"/>
      <c r="O2220" s="1577"/>
      <c r="P2220" s="1577"/>
      <c r="Q2220" s="1577"/>
      <c r="R2220" s="1577"/>
      <c r="S2220" s="1577"/>
      <c r="T2220" s="1578"/>
      <c r="U2220" s="543" t="s">
        <v>237</v>
      </c>
      <c r="V2220" s="544"/>
      <c r="W2220" s="544"/>
      <c r="X2220" s="544"/>
      <c r="Y2220" s="544"/>
      <c r="Z2220" s="544"/>
      <c r="AA2220" s="544"/>
      <c r="AB2220" s="544"/>
      <c r="AC2220" s="545"/>
      <c r="AD2220" s="543" t="s">
        <v>238</v>
      </c>
      <c r="AE2220" s="544"/>
      <c r="AF2220" s="544"/>
      <c r="AG2220" s="544"/>
      <c r="AH2220" s="544"/>
      <c r="AI2220" s="544"/>
      <c r="AJ2220" s="544"/>
      <c r="AK2220" s="545"/>
      <c r="AL2220" s="543" t="s">
        <v>239</v>
      </c>
      <c r="AM2220" s="544"/>
      <c r="AN2220" s="544"/>
      <c r="AO2220" s="544"/>
      <c r="AP2220" s="544"/>
      <c r="AQ2220" s="544"/>
      <c r="AR2220" s="544"/>
      <c r="AS2220" s="544"/>
      <c r="AT2220" s="544"/>
      <c r="AU2220" s="544"/>
      <c r="AV2220" s="544"/>
      <c r="AW2220" s="545"/>
      <c r="AX2220" s="543" t="s">
        <v>237</v>
      </c>
      <c r="AY2220" s="544"/>
      <c r="AZ2220" s="544"/>
      <c r="BA2220" s="544"/>
      <c r="BB2220" s="544"/>
      <c r="BC2220" s="544"/>
      <c r="BD2220" s="544"/>
      <c r="BE2220" s="544"/>
      <c r="BF2220" s="545"/>
      <c r="BG2220" s="543" t="s">
        <v>238</v>
      </c>
      <c r="BH2220" s="544"/>
      <c r="BI2220" s="544"/>
      <c r="BJ2220" s="544"/>
      <c r="BK2220" s="544"/>
      <c r="BL2220" s="544"/>
      <c r="BM2220" s="544"/>
      <c r="BN2220" s="544"/>
      <c r="BO2220" s="544"/>
      <c r="BP2220" s="545"/>
      <c r="BQ2220" s="543" t="s">
        <v>239</v>
      </c>
      <c r="BR2220" s="544"/>
      <c r="BS2220" s="544"/>
      <c r="BT2220" s="544"/>
      <c r="BU2220" s="544"/>
      <c r="BV2220" s="544"/>
      <c r="BW2220" s="544"/>
      <c r="BX2220" s="544"/>
      <c r="BY2220" s="544"/>
      <c r="BZ2220" s="545"/>
      <c r="CA2220" s="270"/>
      <c r="CB2220" s="3" t="str">
        <f t="shared" si="373"/>
        <v>Riadok bude skrytý.</v>
      </c>
      <c r="CC2220" s="271" t="s">
        <v>832</v>
      </c>
      <c r="CW2220" s="30">
        <f t="shared" si="376"/>
        <v>1</v>
      </c>
      <c r="CX2220" s="30">
        <f t="shared" si="382"/>
        <v>1</v>
      </c>
      <c r="CZ2220" s="30">
        <f t="shared" si="372"/>
        <v>1</v>
      </c>
      <c r="DA2220" s="52">
        <f t="shared" si="383"/>
        <v>1</v>
      </c>
      <c r="DB2220" s="2">
        <f t="shared" si="381"/>
        <v>0</v>
      </c>
      <c r="DS2220" s="130">
        <f>SI!BY2220</f>
        <v>158</v>
      </c>
      <c r="DZ2220" s="131">
        <f>SI!BZ2220</f>
        <v>0</v>
      </c>
    </row>
    <row r="2221" spans="1:130" hidden="1" x14ac:dyDescent="0.25">
      <c r="A2221" s="141"/>
      <c r="B2221" s="1576"/>
      <c r="C2221" s="1577"/>
      <c r="D2221" s="1577"/>
      <c r="E2221" s="1577"/>
      <c r="F2221" s="1577"/>
      <c r="G2221" s="1577"/>
      <c r="H2221" s="1577"/>
      <c r="I2221" s="1577"/>
      <c r="J2221" s="1577"/>
      <c r="K2221" s="1577"/>
      <c r="L2221" s="1577"/>
      <c r="M2221" s="1577"/>
      <c r="N2221" s="1577"/>
      <c r="O2221" s="1577"/>
      <c r="P2221" s="1577"/>
      <c r="Q2221" s="1577"/>
      <c r="R2221" s="1577"/>
      <c r="S2221" s="1577"/>
      <c r="T2221" s="1578"/>
      <c r="U2221" s="647"/>
      <c r="V2221" s="648"/>
      <c r="W2221" s="648"/>
      <c r="X2221" s="648"/>
      <c r="Y2221" s="648"/>
      <c r="Z2221" s="648"/>
      <c r="AA2221" s="648"/>
      <c r="AB2221" s="648"/>
      <c r="AC2221" s="649"/>
      <c r="AD2221" s="647"/>
      <c r="AE2221" s="648"/>
      <c r="AF2221" s="648"/>
      <c r="AG2221" s="648"/>
      <c r="AH2221" s="648"/>
      <c r="AI2221" s="648"/>
      <c r="AJ2221" s="648"/>
      <c r="AK2221" s="649"/>
      <c r="AL2221" s="647"/>
      <c r="AM2221" s="648"/>
      <c r="AN2221" s="648"/>
      <c r="AO2221" s="648"/>
      <c r="AP2221" s="648"/>
      <c r="AQ2221" s="648"/>
      <c r="AR2221" s="648"/>
      <c r="AS2221" s="648"/>
      <c r="AT2221" s="648"/>
      <c r="AU2221" s="648"/>
      <c r="AV2221" s="648"/>
      <c r="AW2221" s="649"/>
      <c r="AX2221" s="647"/>
      <c r="AY2221" s="648"/>
      <c r="AZ2221" s="648"/>
      <c r="BA2221" s="648"/>
      <c r="BB2221" s="648"/>
      <c r="BC2221" s="648"/>
      <c r="BD2221" s="648"/>
      <c r="BE2221" s="648"/>
      <c r="BF2221" s="649"/>
      <c r="BG2221" s="647"/>
      <c r="BH2221" s="648"/>
      <c r="BI2221" s="648"/>
      <c r="BJ2221" s="648"/>
      <c r="BK2221" s="648"/>
      <c r="BL2221" s="648"/>
      <c r="BM2221" s="648"/>
      <c r="BN2221" s="648"/>
      <c r="BO2221" s="648"/>
      <c r="BP2221" s="649"/>
      <c r="BQ2221" s="647"/>
      <c r="BR2221" s="648"/>
      <c r="BS2221" s="648"/>
      <c r="BT2221" s="648"/>
      <c r="BU2221" s="648"/>
      <c r="BV2221" s="648"/>
      <c r="BW2221" s="648"/>
      <c r="BX2221" s="648"/>
      <c r="BY2221" s="648"/>
      <c r="BZ2221" s="649"/>
      <c r="CA2221" s="270"/>
      <c r="CB2221" s="3" t="str">
        <f t="shared" si="373"/>
        <v>Riadok bude skrytý.</v>
      </c>
      <c r="CC2221" s="271" t="s">
        <v>832</v>
      </c>
      <c r="CW2221" s="30">
        <f t="shared" si="376"/>
        <v>1</v>
      </c>
      <c r="CX2221" s="30">
        <f t="shared" si="382"/>
        <v>1</v>
      </c>
      <c r="CZ2221" s="30">
        <f t="shared" si="372"/>
        <v>1</v>
      </c>
      <c r="DA2221" s="52">
        <f t="shared" si="383"/>
        <v>1</v>
      </c>
      <c r="DB2221" s="2">
        <f t="shared" si="381"/>
        <v>0</v>
      </c>
      <c r="DS2221" s="130">
        <f>SI!BY2221</f>
        <v>483</v>
      </c>
      <c r="DZ2221" s="131">
        <f>SI!BZ2221</f>
        <v>0</v>
      </c>
    </row>
    <row r="2222" spans="1:130" hidden="1" x14ac:dyDescent="0.25">
      <c r="A2222" s="141"/>
      <c r="B2222" s="1075"/>
      <c r="C2222" s="1076"/>
      <c r="D2222" s="1076"/>
      <c r="E2222" s="1076"/>
      <c r="F2222" s="1076"/>
      <c r="G2222" s="1076"/>
      <c r="H2222" s="1076"/>
      <c r="I2222" s="1076"/>
      <c r="J2222" s="1076"/>
      <c r="K2222" s="1076"/>
      <c r="L2222" s="1076"/>
      <c r="M2222" s="1076"/>
      <c r="N2222" s="1076"/>
      <c r="O2222" s="1076"/>
      <c r="P2222" s="1076"/>
      <c r="Q2222" s="1076"/>
      <c r="R2222" s="1076"/>
      <c r="S2222" s="1076"/>
      <c r="T2222" s="1579"/>
      <c r="U2222" s="546"/>
      <c r="V2222" s="547"/>
      <c r="W2222" s="547"/>
      <c r="X2222" s="547"/>
      <c r="Y2222" s="547"/>
      <c r="Z2222" s="547"/>
      <c r="AA2222" s="547"/>
      <c r="AB2222" s="547"/>
      <c r="AC2222" s="548"/>
      <c r="AD2222" s="546"/>
      <c r="AE2222" s="547"/>
      <c r="AF2222" s="547"/>
      <c r="AG2222" s="547"/>
      <c r="AH2222" s="547"/>
      <c r="AI2222" s="547"/>
      <c r="AJ2222" s="547"/>
      <c r="AK2222" s="548"/>
      <c r="AL2222" s="546"/>
      <c r="AM2222" s="547"/>
      <c r="AN2222" s="547"/>
      <c r="AO2222" s="547"/>
      <c r="AP2222" s="547"/>
      <c r="AQ2222" s="547"/>
      <c r="AR2222" s="547"/>
      <c r="AS2222" s="547"/>
      <c r="AT2222" s="547"/>
      <c r="AU2222" s="547"/>
      <c r="AV2222" s="547"/>
      <c r="AW2222" s="548"/>
      <c r="AX2222" s="546"/>
      <c r="AY2222" s="547"/>
      <c r="AZ2222" s="547"/>
      <c r="BA2222" s="547"/>
      <c r="BB2222" s="547"/>
      <c r="BC2222" s="547"/>
      <c r="BD2222" s="547"/>
      <c r="BE2222" s="547"/>
      <c r="BF2222" s="548"/>
      <c r="BG2222" s="546"/>
      <c r="BH2222" s="547"/>
      <c r="BI2222" s="547"/>
      <c r="BJ2222" s="547"/>
      <c r="BK2222" s="547"/>
      <c r="BL2222" s="547"/>
      <c r="BM2222" s="547"/>
      <c r="BN2222" s="547"/>
      <c r="BO2222" s="547"/>
      <c r="BP2222" s="548"/>
      <c r="BQ2222" s="546"/>
      <c r="BR2222" s="547"/>
      <c r="BS2222" s="547"/>
      <c r="BT2222" s="547"/>
      <c r="BU2222" s="547"/>
      <c r="BV2222" s="547"/>
      <c r="BW2222" s="547"/>
      <c r="BX2222" s="547"/>
      <c r="BY2222" s="547"/>
      <c r="BZ2222" s="548"/>
      <c r="CA2222" s="270"/>
      <c r="CB2222" s="3" t="str">
        <f t="shared" si="373"/>
        <v>Riadok bude skrytý.</v>
      </c>
      <c r="CC2222" s="271" t="s">
        <v>832</v>
      </c>
      <c r="CW2222" s="30">
        <f t="shared" si="376"/>
        <v>1</v>
      </c>
      <c r="CX2222" s="30">
        <f t="shared" si="382"/>
        <v>1</v>
      </c>
      <c r="CZ2222" s="30">
        <f t="shared" si="372"/>
        <v>1</v>
      </c>
      <c r="DA2222" s="52">
        <f t="shared" si="383"/>
        <v>1</v>
      </c>
      <c r="DB2222" s="2">
        <f t="shared" si="381"/>
        <v>0</v>
      </c>
      <c r="DS2222" s="130">
        <f>SI!BY2222</f>
        <v>176</v>
      </c>
      <c r="DZ2222" s="131">
        <f>SI!BZ2222</f>
        <v>0</v>
      </c>
    </row>
    <row r="2223" spans="1:130" hidden="1" x14ac:dyDescent="0.25">
      <c r="A2223" s="141"/>
      <c r="B2223" s="524" t="s">
        <v>0</v>
      </c>
      <c r="C2223" s="525"/>
      <c r="D2223" s="525"/>
      <c r="E2223" s="525"/>
      <c r="F2223" s="525"/>
      <c r="G2223" s="525"/>
      <c r="H2223" s="525"/>
      <c r="I2223" s="525"/>
      <c r="J2223" s="525"/>
      <c r="K2223" s="525"/>
      <c r="L2223" s="525"/>
      <c r="M2223" s="525"/>
      <c r="N2223" s="525"/>
      <c r="O2223" s="525"/>
      <c r="P2223" s="525"/>
      <c r="Q2223" s="525"/>
      <c r="R2223" s="525"/>
      <c r="S2223" s="525"/>
      <c r="T2223" s="723"/>
      <c r="U2223" s="524" t="s">
        <v>1</v>
      </c>
      <c r="V2223" s="525"/>
      <c r="W2223" s="525"/>
      <c r="X2223" s="525"/>
      <c r="Y2223" s="525"/>
      <c r="Z2223" s="525"/>
      <c r="AA2223" s="525"/>
      <c r="AB2223" s="525"/>
      <c r="AC2223" s="723"/>
      <c r="AD2223" s="524" t="s">
        <v>2</v>
      </c>
      <c r="AE2223" s="525"/>
      <c r="AF2223" s="525"/>
      <c r="AG2223" s="525"/>
      <c r="AH2223" s="525"/>
      <c r="AI2223" s="525"/>
      <c r="AJ2223" s="525"/>
      <c r="AK2223" s="723"/>
      <c r="AL2223" s="524" t="s">
        <v>28</v>
      </c>
      <c r="AM2223" s="525"/>
      <c r="AN2223" s="525"/>
      <c r="AO2223" s="525"/>
      <c r="AP2223" s="525"/>
      <c r="AQ2223" s="525"/>
      <c r="AR2223" s="525"/>
      <c r="AS2223" s="525"/>
      <c r="AT2223" s="525"/>
      <c r="AU2223" s="525"/>
      <c r="AV2223" s="525"/>
      <c r="AW2223" s="723"/>
      <c r="AX2223" s="524" t="s">
        <v>1</v>
      </c>
      <c r="AY2223" s="525"/>
      <c r="AZ2223" s="525"/>
      <c r="BA2223" s="525"/>
      <c r="BB2223" s="525"/>
      <c r="BC2223" s="525"/>
      <c r="BD2223" s="525"/>
      <c r="BE2223" s="525"/>
      <c r="BF2223" s="723"/>
      <c r="BG2223" s="524" t="s">
        <v>2</v>
      </c>
      <c r="BH2223" s="525"/>
      <c r="BI2223" s="525"/>
      <c r="BJ2223" s="525"/>
      <c r="BK2223" s="525"/>
      <c r="BL2223" s="525"/>
      <c r="BM2223" s="525"/>
      <c r="BN2223" s="525"/>
      <c r="BO2223" s="525"/>
      <c r="BP2223" s="723"/>
      <c r="BQ2223" s="524" t="s">
        <v>104</v>
      </c>
      <c r="BR2223" s="525"/>
      <c r="BS2223" s="525"/>
      <c r="BT2223" s="525"/>
      <c r="BU2223" s="525"/>
      <c r="BV2223" s="525"/>
      <c r="BW2223" s="525"/>
      <c r="BX2223" s="525"/>
      <c r="BY2223" s="525"/>
      <c r="BZ2223" s="723"/>
      <c r="CA2223" s="270"/>
      <c r="CB2223" s="3" t="str">
        <f t="shared" si="373"/>
        <v>Riadok bude skrytý.</v>
      </c>
      <c r="CC2223" s="271" t="s">
        <v>832</v>
      </c>
      <c r="CW2223" s="30">
        <f t="shared" si="376"/>
        <v>1</v>
      </c>
      <c r="CX2223" s="30">
        <f t="shared" si="382"/>
        <v>1</v>
      </c>
      <c r="CZ2223" s="30">
        <f t="shared" si="372"/>
        <v>1</v>
      </c>
      <c r="DA2223" s="52">
        <f t="shared" si="383"/>
        <v>1</v>
      </c>
      <c r="DB2223" s="2">
        <f t="shared" si="381"/>
        <v>0</v>
      </c>
      <c r="DS2223" s="130">
        <f>SI!BY2223</f>
        <v>805</v>
      </c>
      <c r="DZ2223" s="131">
        <f>SI!BZ2223</f>
        <v>0</v>
      </c>
    </row>
    <row r="2224" spans="1:130" hidden="1" x14ac:dyDescent="0.25">
      <c r="A2224" s="141"/>
      <c r="B2224" s="672" t="s">
        <v>240</v>
      </c>
      <c r="C2224" s="673"/>
      <c r="D2224" s="673"/>
      <c r="E2224" s="673"/>
      <c r="F2224" s="673"/>
      <c r="G2224" s="673"/>
      <c r="H2224" s="673"/>
      <c r="I2224" s="673"/>
      <c r="J2224" s="673"/>
      <c r="K2224" s="673"/>
      <c r="L2224" s="673"/>
      <c r="M2224" s="673"/>
      <c r="N2224" s="673"/>
      <c r="O2224" s="673"/>
      <c r="P2224" s="673"/>
      <c r="Q2224" s="673"/>
      <c r="R2224" s="673"/>
      <c r="S2224" s="673"/>
      <c r="T2224" s="1580"/>
      <c r="U2224" s="630"/>
      <c r="V2224" s="631"/>
      <c r="W2224" s="631"/>
      <c r="X2224" s="631"/>
      <c r="Y2224" s="631"/>
      <c r="Z2224" s="631"/>
      <c r="AA2224" s="631"/>
      <c r="AB2224" s="631"/>
      <c r="AC2224" s="632"/>
      <c r="AD2224" s="630"/>
      <c r="AE2224" s="631"/>
      <c r="AF2224" s="631"/>
      <c r="AG2224" s="631"/>
      <c r="AH2224" s="631"/>
      <c r="AI2224" s="631"/>
      <c r="AJ2224" s="631"/>
      <c r="AK2224" s="632"/>
      <c r="AL2224" s="630"/>
      <c r="AM2224" s="631"/>
      <c r="AN2224" s="631"/>
      <c r="AO2224" s="631"/>
      <c r="AP2224" s="631"/>
      <c r="AQ2224" s="631"/>
      <c r="AR2224" s="631"/>
      <c r="AS2224" s="631"/>
      <c r="AT2224" s="631"/>
      <c r="AU2224" s="631"/>
      <c r="AV2224" s="631"/>
      <c r="AW2224" s="632"/>
      <c r="AX2224" s="630"/>
      <c r="AY2224" s="631"/>
      <c r="AZ2224" s="631"/>
      <c r="BA2224" s="631"/>
      <c r="BB2224" s="631"/>
      <c r="BC2224" s="631"/>
      <c r="BD2224" s="631"/>
      <c r="BE2224" s="631"/>
      <c r="BF2224" s="632"/>
      <c r="BG2224" s="630"/>
      <c r="BH2224" s="631"/>
      <c r="BI2224" s="631"/>
      <c r="BJ2224" s="631"/>
      <c r="BK2224" s="631"/>
      <c r="BL2224" s="631"/>
      <c r="BM2224" s="631"/>
      <c r="BN2224" s="631"/>
      <c r="BO2224" s="631"/>
      <c r="BP2224" s="632"/>
      <c r="BQ2224" s="630"/>
      <c r="BR2224" s="631"/>
      <c r="BS2224" s="631"/>
      <c r="BT2224" s="631"/>
      <c r="BU2224" s="631"/>
      <c r="BV2224" s="631"/>
      <c r="BW2224" s="631"/>
      <c r="BX2224" s="631"/>
      <c r="BY2224" s="631"/>
      <c r="BZ2224" s="632"/>
      <c r="CA2224" s="270"/>
      <c r="CB2224" s="3" t="str">
        <f t="shared" si="373"/>
        <v>Riadok bude skrytý.</v>
      </c>
      <c r="CC2224" s="271" t="s">
        <v>832</v>
      </c>
      <c r="CW2224" s="30">
        <f t="shared" si="376"/>
        <v>1</v>
      </c>
      <c r="CX2224" s="30">
        <f t="shared" si="382"/>
        <v>1</v>
      </c>
      <c r="CZ2224" s="30">
        <f t="shared" si="372"/>
        <v>1</v>
      </c>
      <c r="DA2224" s="52">
        <f t="shared" si="383"/>
        <v>1</v>
      </c>
      <c r="DB2224" s="2">
        <f t="shared" si="381"/>
        <v>0</v>
      </c>
      <c r="DS2224" s="130">
        <f>SI!BY2224</f>
        <v>138</v>
      </c>
      <c r="DZ2224" s="131">
        <f>SI!BZ2224</f>
        <v>0</v>
      </c>
    </row>
    <row r="2225" spans="1:130" hidden="1" x14ac:dyDescent="0.25">
      <c r="A2225" s="141"/>
      <c r="B2225" s="1214" t="s">
        <v>954</v>
      </c>
      <c r="C2225" s="1215"/>
      <c r="D2225" s="1215"/>
      <c r="E2225" s="1215"/>
      <c r="F2225" s="1215"/>
      <c r="G2225" s="1215"/>
      <c r="H2225" s="1215"/>
      <c r="I2225" s="1215"/>
      <c r="J2225" s="1215"/>
      <c r="K2225" s="1215"/>
      <c r="L2225" s="1215"/>
      <c r="M2225" s="1215"/>
      <c r="N2225" s="1215"/>
      <c r="O2225" s="1215"/>
      <c r="P2225" s="1215"/>
      <c r="Q2225" s="1215"/>
      <c r="R2225" s="1215"/>
      <c r="S2225" s="1215"/>
      <c r="T2225" s="1591"/>
      <c r="U2225" s="633"/>
      <c r="V2225" s="634"/>
      <c r="W2225" s="634"/>
      <c r="X2225" s="634"/>
      <c r="Y2225" s="634"/>
      <c r="Z2225" s="634"/>
      <c r="AA2225" s="634"/>
      <c r="AB2225" s="634"/>
      <c r="AC2225" s="635"/>
      <c r="AD2225" s="633"/>
      <c r="AE2225" s="634"/>
      <c r="AF2225" s="634"/>
      <c r="AG2225" s="634"/>
      <c r="AH2225" s="634"/>
      <c r="AI2225" s="634"/>
      <c r="AJ2225" s="634"/>
      <c r="AK2225" s="635"/>
      <c r="AL2225" s="633"/>
      <c r="AM2225" s="634"/>
      <c r="AN2225" s="634"/>
      <c r="AO2225" s="634"/>
      <c r="AP2225" s="634"/>
      <c r="AQ2225" s="634"/>
      <c r="AR2225" s="634"/>
      <c r="AS2225" s="634"/>
      <c r="AT2225" s="634"/>
      <c r="AU2225" s="634"/>
      <c r="AV2225" s="634"/>
      <c r="AW2225" s="635"/>
      <c r="AX2225" s="633"/>
      <c r="AY2225" s="634"/>
      <c r="AZ2225" s="634"/>
      <c r="BA2225" s="634"/>
      <c r="BB2225" s="634"/>
      <c r="BC2225" s="634"/>
      <c r="BD2225" s="634"/>
      <c r="BE2225" s="634"/>
      <c r="BF2225" s="635"/>
      <c r="BG2225" s="633"/>
      <c r="BH2225" s="634"/>
      <c r="BI2225" s="634"/>
      <c r="BJ2225" s="634"/>
      <c r="BK2225" s="634"/>
      <c r="BL2225" s="634"/>
      <c r="BM2225" s="634"/>
      <c r="BN2225" s="634"/>
      <c r="BO2225" s="634"/>
      <c r="BP2225" s="635"/>
      <c r="BQ2225" s="633"/>
      <c r="BR2225" s="634"/>
      <c r="BS2225" s="634"/>
      <c r="BT2225" s="634"/>
      <c r="BU2225" s="634"/>
      <c r="BV2225" s="634"/>
      <c r="BW2225" s="634"/>
      <c r="BX2225" s="634"/>
      <c r="BY2225" s="634"/>
      <c r="BZ2225" s="635"/>
      <c r="CA2225" s="270"/>
      <c r="CB2225" s="3" t="str">
        <f t="shared" si="373"/>
        <v>Riadok bude skrytý.</v>
      </c>
      <c r="CC2225" s="271" t="s">
        <v>832</v>
      </c>
      <c r="CW2225" s="30">
        <f t="shared" si="376"/>
        <v>1</v>
      </c>
      <c r="CX2225" s="30">
        <f t="shared" si="382"/>
        <v>1</v>
      </c>
      <c r="CZ2225" s="30">
        <f t="shared" si="372"/>
        <v>1</v>
      </c>
      <c r="DA2225" s="52">
        <f t="shared" si="383"/>
        <v>1</v>
      </c>
      <c r="DB2225" s="2">
        <f t="shared" si="381"/>
        <v>0</v>
      </c>
      <c r="DS2225" s="130">
        <f>SI!BY2225</f>
        <v>897</v>
      </c>
      <c r="DZ2225" s="131">
        <f>SI!BZ2225</f>
        <v>0</v>
      </c>
    </row>
    <row r="2226" spans="1:130" hidden="1" x14ac:dyDescent="0.25">
      <c r="A2226" s="141"/>
      <c r="B2226" s="579" t="s">
        <v>45</v>
      </c>
      <c r="C2226" s="580"/>
      <c r="D2226" s="580"/>
      <c r="E2226" s="580"/>
      <c r="F2226" s="580"/>
      <c r="G2226" s="580"/>
      <c r="H2226" s="580"/>
      <c r="I2226" s="580"/>
      <c r="J2226" s="580"/>
      <c r="K2226" s="580"/>
      <c r="L2226" s="580"/>
      <c r="M2226" s="580"/>
      <c r="N2226" s="580"/>
      <c r="O2226" s="580"/>
      <c r="P2226" s="580"/>
      <c r="Q2226" s="580"/>
      <c r="R2226" s="580"/>
      <c r="S2226" s="580"/>
      <c r="T2226" s="581"/>
      <c r="U2226" s="651">
        <f>+U2224+U2225</f>
        <v>0</v>
      </c>
      <c r="V2226" s="652"/>
      <c r="W2226" s="652"/>
      <c r="X2226" s="652"/>
      <c r="Y2226" s="652"/>
      <c r="Z2226" s="652"/>
      <c r="AA2226" s="652"/>
      <c r="AB2226" s="652"/>
      <c r="AC2226" s="653"/>
      <c r="AD2226" s="651">
        <f>+AD2224+AD2225</f>
        <v>0</v>
      </c>
      <c r="AE2226" s="652"/>
      <c r="AF2226" s="652"/>
      <c r="AG2226" s="652"/>
      <c r="AH2226" s="652"/>
      <c r="AI2226" s="652"/>
      <c r="AJ2226" s="652"/>
      <c r="AK2226" s="653"/>
      <c r="AL2226" s="651">
        <f>+AL2224+AL2225</f>
        <v>0</v>
      </c>
      <c r="AM2226" s="652"/>
      <c r="AN2226" s="652"/>
      <c r="AO2226" s="652"/>
      <c r="AP2226" s="652"/>
      <c r="AQ2226" s="652"/>
      <c r="AR2226" s="652"/>
      <c r="AS2226" s="652"/>
      <c r="AT2226" s="652"/>
      <c r="AU2226" s="652"/>
      <c r="AV2226" s="652"/>
      <c r="AW2226" s="653"/>
      <c r="AX2226" s="651">
        <f>+AX2224+AX2225</f>
        <v>0</v>
      </c>
      <c r="AY2226" s="652"/>
      <c r="AZ2226" s="652"/>
      <c r="BA2226" s="652"/>
      <c r="BB2226" s="652"/>
      <c r="BC2226" s="652"/>
      <c r="BD2226" s="652"/>
      <c r="BE2226" s="652"/>
      <c r="BF2226" s="653"/>
      <c r="BG2226" s="651">
        <f>+BG2224+BG2225</f>
        <v>0</v>
      </c>
      <c r="BH2226" s="652"/>
      <c r="BI2226" s="652"/>
      <c r="BJ2226" s="652"/>
      <c r="BK2226" s="652"/>
      <c r="BL2226" s="652"/>
      <c r="BM2226" s="652"/>
      <c r="BN2226" s="652"/>
      <c r="BO2226" s="652"/>
      <c r="BP2226" s="653"/>
      <c r="BQ2226" s="651">
        <f>+BQ2224+BQ2225</f>
        <v>0</v>
      </c>
      <c r="BR2226" s="652"/>
      <c r="BS2226" s="652"/>
      <c r="BT2226" s="652"/>
      <c r="BU2226" s="652"/>
      <c r="BV2226" s="652"/>
      <c r="BW2226" s="652"/>
      <c r="BX2226" s="652"/>
      <c r="BY2226" s="652"/>
      <c r="BZ2226" s="653"/>
      <c r="CA2226" s="270"/>
      <c r="CB2226" s="3" t="str">
        <f t="shared" si="373"/>
        <v>Riadok bude skrytý.</v>
      </c>
      <c r="CC2226" s="271" t="s">
        <v>832</v>
      </c>
      <c r="CW2226" s="30">
        <f t="shared" si="376"/>
        <v>1</v>
      </c>
      <c r="CX2226" s="30">
        <f t="shared" si="382"/>
        <v>1</v>
      </c>
      <c r="CZ2226" s="30">
        <f t="shared" si="372"/>
        <v>1</v>
      </c>
      <c r="DA2226" s="52">
        <f t="shared" si="383"/>
        <v>1</v>
      </c>
      <c r="DB2226" s="2">
        <f t="shared" si="381"/>
        <v>0</v>
      </c>
      <c r="DS2226" s="130">
        <f>SI!BY2226</f>
        <v>101</v>
      </c>
      <c r="DZ2226" s="131">
        <f>SI!BZ2226</f>
        <v>0</v>
      </c>
    </row>
    <row r="2227" spans="1:130" hidden="1" x14ac:dyDescent="0.25">
      <c r="A2227" s="141"/>
      <c r="CA2227" s="142"/>
      <c r="CB2227" s="3" t="str">
        <f t="shared" ref="CB2227:CB2290" si="384">+IF(DB2227=0,"Riadok bude skrytý.","Riadok bude vidieť.")</f>
        <v>Riadok bude skrytý.</v>
      </c>
      <c r="CW2227" s="49">
        <v>1</v>
      </c>
      <c r="CZ2227" s="30">
        <f t="shared" ref="CZ2227:CZ2290" si="385">IF(CC2227="",1,IF(CC2227="Chcem skryť riadok.",0,1))</f>
        <v>1</v>
      </c>
      <c r="DA2227" s="30">
        <f t="shared" ref="DA2227:DA2241" si="386">+IF(CW2227+CX2227+CY2227=0,0,IF(CZ2227=0,0,1))</f>
        <v>1</v>
      </c>
      <c r="DB2227" s="2">
        <f t="shared" si="381"/>
        <v>0</v>
      </c>
      <c r="DS2227" s="130">
        <f>SI!BY2227</f>
        <v>504</v>
      </c>
      <c r="DZ2227" s="131">
        <f>SI!BZ2227</f>
        <v>0</v>
      </c>
    </row>
    <row r="2228" spans="1:130" hidden="1" x14ac:dyDescent="0.25">
      <c r="A2228" s="141"/>
      <c r="B2228" s="289" t="s">
        <v>188</v>
      </c>
      <c r="C2228" s="288"/>
      <c r="D2228" s="288"/>
      <c r="E2228" s="288"/>
      <c r="F2228" s="288"/>
      <c r="G2228" s="289" t="s">
        <v>285</v>
      </c>
      <c r="H2228" s="289"/>
      <c r="I2228" s="288"/>
      <c r="J2228" s="288"/>
      <c r="K2228" s="288"/>
      <c r="L2228" s="288"/>
      <c r="M2228" s="288"/>
      <c r="N2228" s="288"/>
      <c r="O2228" s="288"/>
      <c r="P2228" s="288"/>
      <c r="Q2228" s="288"/>
      <c r="R2228" s="288"/>
      <c r="S2228" s="288"/>
      <c r="T2228" s="288"/>
      <c r="U2228" s="288"/>
      <c r="V2228" s="288"/>
      <c r="W2228" s="288"/>
      <c r="X2228" s="288"/>
      <c r="Y2228" s="288"/>
      <c r="Z2228" s="288"/>
      <c r="AA2228" s="288"/>
      <c r="AB2228" s="288"/>
      <c r="AC2228" s="288"/>
      <c r="AD2228" s="288"/>
      <c r="AE2228" s="288"/>
      <c r="AF2228" s="288"/>
      <c r="AG2228" s="288"/>
      <c r="AH2228" s="288"/>
      <c r="AI2228" s="288"/>
      <c r="AJ2228" s="288"/>
      <c r="AK2228" s="288"/>
      <c r="AL2228" s="288"/>
      <c r="AM2228" s="288"/>
      <c r="AN2228" s="288"/>
      <c r="AO2228" s="288"/>
      <c r="AP2228" s="288"/>
      <c r="AQ2228" s="288"/>
      <c r="AR2228" s="288"/>
      <c r="AS2228" s="288"/>
      <c r="AT2228" s="288"/>
      <c r="AU2228" s="288"/>
      <c r="AV2228" s="288"/>
      <c r="AW2228" s="288"/>
      <c r="AX2228" s="288"/>
      <c r="AY2228" s="288"/>
      <c r="AZ2228" s="288"/>
      <c r="BA2228" s="288"/>
      <c r="BB2228" s="288"/>
      <c r="BC2228" s="288"/>
      <c r="BD2228" s="288"/>
      <c r="BE2228" s="288"/>
      <c r="BF2228" s="288"/>
      <c r="BG2228" s="288"/>
      <c r="BH2228" s="288"/>
      <c r="BI2228" s="288"/>
      <c r="BJ2228" s="288"/>
      <c r="BK2228" s="288"/>
      <c r="BL2228" s="288"/>
      <c r="BM2228" s="288"/>
      <c r="BN2228" s="288"/>
      <c r="BO2228" s="288"/>
      <c r="BP2228" s="288"/>
      <c r="BQ2228" s="288"/>
      <c r="BR2228" s="288"/>
      <c r="BS2228" s="288"/>
      <c r="BT2228" s="288"/>
      <c r="BU2228" s="288"/>
      <c r="BV2228" s="288"/>
      <c r="BW2228" s="288"/>
      <c r="BX2228" s="288"/>
      <c r="BY2228" s="288"/>
      <c r="BZ2228" s="288"/>
      <c r="CA2228" s="265" t="s">
        <v>773</v>
      </c>
      <c r="CB2228" s="3" t="str">
        <f t="shared" si="384"/>
        <v>Riadok bude skrytý.</v>
      </c>
      <c r="CW2228" s="49">
        <v>1</v>
      </c>
      <c r="CZ2228" s="30">
        <f t="shared" si="385"/>
        <v>1</v>
      </c>
      <c r="DA2228" s="30">
        <f t="shared" si="386"/>
        <v>1</v>
      </c>
      <c r="DB2228" s="2">
        <f t="shared" si="381"/>
        <v>0</v>
      </c>
      <c r="DS2228" s="130">
        <f>SI!BY2228</f>
        <v>188</v>
      </c>
      <c r="DZ2228" s="131">
        <f>SI!BZ2228</f>
        <v>0</v>
      </c>
    </row>
    <row r="2229" spans="1:130" hidden="1" x14ac:dyDescent="0.25">
      <c r="A2229" s="141"/>
      <c r="B2229" s="7"/>
      <c r="G2229" s="7"/>
      <c r="H2229" s="7"/>
      <c r="CA2229" s="142"/>
      <c r="CB2229" s="3" t="str">
        <f t="shared" si="384"/>
        <v>Riadok bude skrytý.</v>
      </c>
      <c r="CW2229" s="49">
        <v>1</v>
      </c>
      <c r="CZ2229" s="30">
        <f t="shared" si="385"/>
        <v>1</v>
      </c>
      <c r="DA2229" s="30">
        <f t="shared" si="386"/>
        <v>1</v>
      </c>
      <c r="DB2229" s="2">
        <f t="shared" si="381"/>
        <v>0</v>
      </c>
      <c r="DS2229" s="130">
        <f>SI!BY2229</f>
        <v>165</v>
      </c>
      <c r="DZ2229" s="131">
        <f>SI!BZ2229</f>
        <v>0</v>
      </c>
    </row>
    <row r="2230" spans="1:130" hidden="1" x14ac:dyDescent="0.25">
      <c r="A2230" s="141"/>
      <c r="B2230" s="137" t="s">
        <v>208</v>
      </c>
      <c r="J2230" s="378" t="s">
        <v>771</v>
      </c>
      <c r="K2230" s="378"/>
      <c r="L2230" s="378"/>
      <c r="M2230" s="378"/>
      <c r="N2230" s="378"/>
      <c r="O2230" s="378"/>
      <c r="P2230" s="378"/>
      <c r="Q2230" s="137" t="s">
        <v>734</v>
      </c>
      <c r="R2230" s="38"/>
      <c r="AG2230" s="137" t="str">
        <f>+IF($C$52&lt;&gt;"",IF(CODE(MID($C$52,1,1))*0+LEN(SI!J2)=DS2230,IF(J2230="netvorila","",""),"NEPOVOLENÉ POUŽITIE!"),"NEPOVOLENÉ POUŽITIE!")</f>
        <v/>
      </c>
      <c r="CA2230" s="142"/>
      <c r="CB2230" s="3" t="str">
        <f t="shared" si="384"/>
        <v>Riadok bude skrytý.</v>
      </c>
      <c r="CC2230" s="271" t="s">
        <v>832</v>
      </c>
      <c r="CW2230" s="49">
        <v>1</v>
      </c>
      <c r="CZ2230" s="30">
        <f t="shared" si="385"/>
        <v>1</v>
      </c>
      <c r="DA2230" s="30">
        <f t="shared" si="386"/>
        <v>1</v>
      </c>
      <c r="DB2230" s="2">
        <f t="shared" si="381"/>
        <v>0</v>
      </c>
      <c r="DS2230" s="130">
        <f>SI!BY2230</f>
        <v>13</v>
      </c>
      <c r="DZ2230" s="131">
        <f>SI!BZ2230</f>
        <v>0</v>
      </c>
    </row>
    <row r="2231" spans="1:130" hidden="1" x14ac:dyDescent="0.25">
      <c r="A2231" s="141"/>
      <c r="B2231" s="137" t="str">
        <f>+IF(J2230="tvorila","Tvorba a čerpanie sociálneho fondu v priebehu účtovného obdobia sú v tabuľke:","Spoločnosť nemá pre túto časť poznámok obsahovú náplň.")</f>
        <v>Tvorba a čerpanie sociálneho fondu v priebehu účtovného obdobia sú v tabuľke:</v>
      </c>
      <c r="CA2231" s="281"/>
      <c r="CB2231" s="3" t="str">
        <f t="shared" si="384"/>
        <v>Riadok bude skrytý.</v>
      </c>
      <c r="CC2231" s="271" t="s">
        <v>832</v>
      </c>
      <c r="CW2231" s="49">
        <v>1</v>
      </c>
      <c r="CZ2231" s="30">
        <f t="shared" si="385"/>
        <v>1</v>
      </c>
      <c r="DA2231" s="30">
        <f t="shared" si="386"/>
        <v>1</v>
      </c>
      <c r="DB2231" s="2">
        <f t="shared" si="381"/>
        <v>0</v>
      </c>
      <c r="DS2231" s="130">
        <f>SI!BY2231</f>
        <v>171</v>
      </c>
      <c r="DZ2231" s="131">
        <f>SI!BZ2231</f>
        <v>0</v>
      </c>
    </row>
    <row r="2232" spans="1:130" hidden="1" x14ac:dyDescent="0.25">
      <c r="A2232" s="141"/>
      <c r="CA2232" s="281"/>
      <c r="CB2232" s="3" t="str">
        <f t="shared" si="384"/>
        <v>Riadok bude skrytý.</v>
      </c>
      <c r="CC2232" s="271" t="s">
        <v>832</v>
      </c>
      <c r="CW2232" s="30">
        <f t="shared" ref="CW2232:CW2263" si="387">+IF($J$2230="netvorila",0,1)</f>
        <v>1</v>
      </c>
      <c r="CZ2232" s="30">
        <f t="shared" si="385"/>
        <v>1</v>
      </c>
      <c r="DA2232" s="30">
        <f t="shared" si="386"/>
        <v>1</v>
      </c>
      <c r="DB2232" s="2">
        <f t="shared" si="381"/>
        <v>0</v>
      </c>
      <c r="DS2232" s="130">
        <f>SI!BY2232</f>
        <v>384</v>
      </c>
      <c r="DZ2232" s="131">
        <f>SI!BZ2232</f>
        <v>0</v>
      </c>
    </row>
    <row r="2233" spans="1:130" ht="14.95" hidden="1" customHeight="1" x14ac:dyDescent="0.25">
      <c r="A2233" s="141"/>
      <c r="B2233" s="439" t="s">
        <v>171</v>
      </c>
      <c r="C2233" s="440"/>
      <c r="D2233" s="440"/>
      <c r="E2233" s="440"/>
      <c r="F2233" s="440"/>
      <c r="G2233" s="440"/>
      <c r="H2233" s="440"/>
      <c r="I2233" s="440"/>
      <c r="J2233" s="440"/>
      <c r="K2233" s="440"/>
      <c r="L2233" s="440"/>
      <c r="M2233" s="440"/>
      <c r="N2233" s="440"/>
      <c r="O2233" s="440"/>
      <c r="P2233" s="440"/>
      <c r="Q2233" s="440"/>
      <c r="R2233" s="440"/>
      <c r="S2233" s="440"/>
      <c r="T2233" s="440"/>
      <c r="U2233" s="440"/>
      <c r="V2233" s="440"/>
      <c r="W2233" s="440"/>
      <c r="X2233" s="440"/>
      <c r="Y2233" s="440"/>
      <c r="Z2233" s="440"/>
      <c r="AA2233" s="441"/>
      <c r="AB2233" s="636" t="s">
        <v>948</v>
      </c>
      <c r="AC2233" s="637"/>
      <c r="AD2233" s="637"/>
      <c r="AE2233" s="637"/>
      <c r="AF2233" s="637"/>
      <c r="AG2233" s="637"/>
      <c r="AH2233" s="637"/>
      <c r="AI2233" s="637"/>
      <c r="AJ2233" s="637"/>
      <c r="AK2233" s="637"/>
      <c r="AL2233" s="637"/>
      <c r="AM2233" s="637"/>
      <c r="AN2233" s="637"/>
      <c r="AO2233" s="637"/>
      <c r="AP2233" s="637"/>
      <c r="AQ2233" s="637"/>
      <c r="AR2233" s="637"/>
      <c r="AS2233" s="637"/>
      <c r="AT2233" s="637"/>
      <c r="AU2233" s="637"/>
      <c r="AV2233" s="637"/>
      <c r="AW2233" s="637"/>
      <c r="AX2233" s="637"/>
      <c r="AY2233" s="637"/>
      <c r="AZ2233" s="638"/>
      <c r="BA2233" s="636" t="s">
        <v>949</v>
      </c>
      <c r="BB2233" s="637"/>
      <c r="BC2233" s="637"/>
      <c r="BD2233" s="637"/>
      <c r="BE2233" s="637"/>
      <c r="BF2233" s="637"/>
      <c r="BG2233" s="637"/>
      <c r="BH2233" s="637"/>
      <c r="BI2233" s="637"/>
      <c r="BJ2233" s="637"/>
      <c r="BK2233" s="637"/>
      <c r="BL2233" s="637"/>
      <c r="BM2233" s="637"/>
      <c r="BN2233" s="637"/>
      <c r="BO2233" s="637"/>
      <c r="BP2233" s="637"/>
      <c r="BQ2233" s="637"/>
      <c r="BR2233" s="637"/>
      <c r="BS2233" s="637"/>
      <c r="BT2233" s="637"/>
      <c r="BU2233" s="637"/>
      <c r="BV2233" s="637"/>
      <c r="BW2233" s="637"/>
      <c r="BX2233" s="637"/>
      <c r="BY2233" s="637"/>
      <c r="BZ2233" s="638"/>
      <c r="CA2233" s="265" t="s">
        <v>773</v>
      </c>
      <c r="CB2233" s="3" t="str">
        <f t="shared" si="384"/>
        <v>Riadok bude skrytý.</v>
      </c>
      <c r="CC2233" s="271" t="s">
        <v>832</v>
      </c>
      <c r="CD2233" s="4"/>
      <c r="CW2233" s="30">
        <f t="shared" si="387"/>
        <v>1</v>
      </c>
      <c r="CZ2233" s="30">
        <f t="shared" si="385"/>
        <v>1</v>
      </c>
      <c r="DA2233" s="30">
        <f t="shared" si="386"/>
        <v>1</v>
      </c>
      <c r="DB2233" s="2">
        <f t="shared" si="381"/>
        <v>0</v>
      </c>
      <c r="DS2233" s="130">
        <f>SI!BY2233</f>
        <v>165</v>
      </c>
      <c r="DZ2233" s="131">
        <f>SI!BZ2233</f>
        <v>0</v>
      </c>
    </row>
    <row r="2234" spans="1:130" hidden="1" x14ac:dyDescent="0.25">
      <c r="A2234" s="141"/>
      <c r="B2234" s="442"/>
      <c r="C2234" s="443"/>
      <c r="D2234" s="443"/>
      <c r="E2234" s="443"/>
      <c r="F2234" s="443"/>
      <c r="G2234" s="443"/>
      <c r="H2234" s="443"/>
      <c r="I2234" s="443"/>
      <c r="J2234" s="443"/>
      <c r="K2234" s="443"/>
      <c r="L2234" s="443"/>
      <c r="M2234" s="443"/>
      <c r="N2234" s="443"/>
      <c r="O2234" s="443"/>
      <c r="P2234" s="443"/>
      <c r="Q2234" s="443"/>
      <c r="R2234" s="443"/>
      <c r="S2234" s="443"/>
      <c r="T2234" s="443"/>
      <c r="U2234" s="443"/>
      <c r="V2234" s="443"/>
      <c r="W2234" s="443"/>
      <c r="X2234" s="443"/>
      <c r="Y2234" s="443"/>
      <c r="Z2234" s="443"/>
      <c r="AA2234" s="444"/>
      <c r="AB2234" s="639">
        <f>+AJ141</f>
        <v>2021</v>
      </c>
      <c r="AC2234" s="640"/>
      <c r="AD2234" s="640"/>
      <c r="AE2234" s="640"/>
      <c r="AF2234" s="640"/>
      <c r="AG2234" s="640"/>
      <c r="AH2234" s="640"/>
      <c r="AI2234" s="640"/>
      <c r="AJ2234" s="640"/>
      <c r="AK2234" s="640"/>
      <c r="AL2234" s="640"/>
      <c r="AM2234" s="640"/>
      <c r="AN2234" s="640"/>
      <c r="AO2234" s="640"/>
      <c r="AP2234" s="640"/>
      <c r="AQ2234" s="640"/>
      <c r="AR2234" s="640"/>
      <c r="AS2234" s="640"/>
      <c r="AT2234" s="640"/>
      <c r="AU2234" s="640"/>
      <c r="AV2234" s="640"/>
      <c r="AW2234" s="640"/>
      <c r="AX2234" s="640"/>
      <c r="AY2234" s="640"/>
      <c r="AZ2234" s="641"/>
      <c r="BA2234" s="495">
        <f>+BE141</f>
        <v>2020</v>
      </c>
      <c r="BB2234" s="496"/>
      <c r="BC2234" s="496"/>
      <c r="BD2234" s="496"/>
      <c r="BE2234" s="496"/>
      <c r="BF2234" s="496"/>
      <c r="BG2234" s="496"/>
      <c r="BH2234" s="496"/>
      <c r="BI2234" s="496"/>
      <c r="BJ2234" s="496"/>
      <c r="BK2234" s="496"/>
      <c r="BL2234" s="496"/>
      <c r="BM2234" s="496"/>
      <c r="BN2234" s="496"/>
      <c r="BO2234" s="496"/>
      <c r="BP2234" s="496"/>
      <c r="BQ2234" s="496"/>
      <c r="BR2234" s="496"/>
      <c r="BS2234" s="496"/>
      <c r="BT2234" s="496"/>
      <c r="BU2234" s="496"/>
      <c r="BV2234" s="496"/>
      <c r="BW2234" s="496"/>
      <c r="BX2234" s="496"/>
      <c r="BY2234" s="496"/>
      <c r="BZ2234" s="497"/>
      <c r="CA2234" s="270"/>
      <c r="CB2234" s="3" t="str">
        <f t="shared" si="384"/>
        <v>Riadok bude skrytý.</v>
      </c>
      <c r="CC2234" s="271" t="s">
        <v>832</v>
      </c>
      <c r="CW2234" s="30">
        <f t="shared" si="387"/>
        <v>1</v>
      </c>
      <c r="CZ2234" s="30">
        <f t="shared" si="385"/>
        <v>1</v>
      </c>
      <c r="DA2234" s="30">
        <f t="shared" si="386"/>
        <v>1</v>
      </c>
      <c r="DB2234" s="2">
        <f t="shared" si="381"/>
        <v>0</v>
      </c>
      <c r="DS2234" s="130">
        <f>SI!BY2234</f>
        <v>1013</v>
      </c>
      <c r="DZ2234" s="131">
        <f>SI!BZ2234</f>
        <v>0</v>
      </c>
    </row>
    <row r="2235" spans="1:130" ht="14.95" hidden="1" customHeight="1" x14ac:dyDescent="0.25">
      <c r="A2235" s="141"/>
      <c r="B2235" s="614" t="s">
        <v>286</v>
      </c>
      <c r="C2235" s="615"/>
      <c r="D2235" s="615"/>
      <c r="E2235" s="615"/>
      <c r="F2235" s="615"/>
      <c r="G2235" s="615"/>
      <c r="H2235" s="615"/>
      <c r="I2235" s="615"/>
      <c r="J2235" s="615"/>
      <c r="K2235" s="615"/>
      <c r="L2235" s="615"/>
      <c r="M2235" s="615"/>
      <c r="N2235" s="615"/>
      <c r="O2235" s="615"/>
      <c r="P2235" s="615"/>
      <c r="Q2235" s="615"/>
      <c r="R2235" s="615"/>
      <c r="S2235" s="615"/>
      <c r="T2235" s="615"/>
      <c r="U2235" s="615"/>
      <c r="V2235" s="615"/>
      <c r="W2235" s="615"/>
      <c r="X2235" s="615"/>
      <c r="Y2235" s="615"/>
      <c r="Z2235" s="615"/>
      <c r="AA2235" s="616"/>
      <c r="AB2235" s="423">
        <f>+BA2241</f>
        <v>0</v>
      </c>
      <c r="AC2235" s="424"/>
      <c r="AD2235" s="424"/>
      <c r="AE2235" s="424"/>
      <c r="AF2235" s="424"/>
      <c r="AG2235" s="424"/>
      <c r="AH2235" s="424"/>
      <c r="AI2235" s="424"/>
      <c r="AJ2235" s="424"/>
      <c r="AK2235" s="424"/>
      <c r="AL2235" s="424"/>
      <c r="AM2235" s="424"/>
      <c r="AN2235" s="424"/>
      <c r="AO2235" s="424"/>
      <c r="AP2235" s="424"/>
      <c r="AQ2235" s="424"/>
      <c r="AR2235" s="424"/>
      <c r="AS2235" s="424"/>
      <c r="AT2235" s="424"/>
      <c r="AU2235" s="424"/>
      <c r="AV2235" s="424"/>
      <c r="AW2235" s="424"/>
      <c r="AX2235" s="424"/>
      <c r="AY2235" s="424"/>
      <c r="AZ2235" s="425"/>
      <c r="BA2235" s="472"/>
      <c r="BB2235" s="473"/>
      <c r="BC2235" s="473"/>
      <c r="BD2235" s="473"/>
      <c r="BE2235" s="473"/>
      <c r="BF2235" s="473"/>
      <c r="BG2235" s="473"/>
      <c r="BH2235" s="473"/>
      <c r="BI2235" s="473"/>
      <c r="BJ2235" s="473"/>
      <c r="BK2235" s="473"/>
      <c r="BL2235" s="473"/>
      <c r="BM2235" s="473"/>
      <c r="BN2235" s="473"/>
      <c r="BO2235" s="473"/>
      <c r="BP2235" s="473"/>
      <c r="BQ2235" s="473"/>
      <c r="BR2235" s="473"/>
      <c r="BS2235" s="473"/>
      <c r="BT2235" s="473"/>
      <c r="BU2235" s="473"/>
      <c r="BV2235" s="473"/>
      <c r="BW2235" s="473"/>
      <c r="BX2235" s="473"/>
      <c r="BY2235" s="473"/>
      <c r="BZ2235" s="474"/>
      <c r="CA2235" s="270"/>
      <c r="CB2235" s="3" t="str">
        <f t="shared" si="384"/>
        <v>Riadok bude skrytý.</v>
      </c>
      <c r="CC2235" s="271" t="s">
        <v>832</v>
      </c>
      <c r="CW2235" s="30">
        <f t="shared" si="387"/>
        <v>1</v>
      </c>
      <c r="CZ2235" s="30">
        <f t="shared" si="385"/>
        <v>1</v>
      </c>
      <c r="DA2235" s="30">
        <f t="shared" si="386"/>
        <v>1</v>
      </c>
      <c r="DB2235" s="2">
        <f t="shared" si="381"/>
        <v>0</v>
      </c>
      <c r="DS2235" s="130">
        <f>SI!BY2235</f>
        <v>117</v>
      </c>
      <c r="DZ2235" s="131">
        <f>SI!BZ2235</f>
        <v>0</v>
      </c>
    </row>
    <row r="2236" spans="1:130" ht="14.95" hidden="1" customHeight="1" x14ac:dyDescent="0.25">
      <c r="A2236" s="141"/>
      <c r="B2236" s="1598" t="s">
        <v>287</v>
      </c>
      <c r="C2236" s="1599"/>
      <c r="D2236" s="1599"/>
      <c r="E2236" s="1599"/>
      <c r="F2236" s="1599"/>
      <c r="G2236" s="1599"/>
      <c r="H2236" s="1599"/>
      <c r="I2236" s="1599"/>
      <c r="J2236" s="1599"/>
      <c r="K2236" s="1599"/>
      <c r="L2236" s="1599"/>
      <c r="M2236" s="1599"/>
      <c r="N2236" s="1599"/>
      <c r="O2236" s="1599"/>
      <c r="P2236" s="1599"/>
      <c r="Q2236" s="1599"/>
      <c r="R2236" s="1599"/>
      <c r="S2236" s="1599"/>
      <c r="T2236" s="1599"/>
      <c r="U2236" s="1599"/>
      <c r="V2236" s="1599"/>
      <c r="W2236" s="1599"/>
      <c r="X2236" s="1599"/>
      <c r="Y2236" s="1599"/>
      <c r="Z2236" s="1599"/>
      <c r="AA2236" s="1600"/>
      <c r="AB2236" s="417"/>
      <c r="AC2236" s="418"/>
      <c r="AD2236" s="418"/>
      <c r="AE2236" s="418"/>
      <c r="AF2236" s="418"/>
      <c r="AG2236" s="418"/>
      <c r="AH2236" s="418"/>
      <c r="AI2236" s="418"/>
      <c r="AJ2236" s="418"/>
      <c r="AK2236" s="418"/>
      <c r="AL2236" s="418"/>
      <c r="AM2236" s="418"/>
      <c r="AN2236" s="418"/>
      <c r="AO2236" s="418"/>
      <c r="AP2236" s="418"/>
      <c r="AQ2236" s="418"/>
      <c r="AR2236" s="418"/>
      <c r="AS2236" s="418"/>
      <c r="AT2236" s="418"/>
      <c r="AU2236" s="418"/>
      <c r="AV2236" s="418"/>
      <c r="AW2236" s="418"/>
      <c r="AX2236" s="418"/>
      <c r="AY2236" s="418"/>
      <c r="AZ2236" s="419"/>
      <c r="BA2236" s="417"/>
      <c r="BB2236" s="418"/>
      <c r="BC2236" s="418"/>
      <c r="BD2236" s="418"/>
      <c r="BE2236" s="418"/>
      <c r="BF2236" s="418"/>
      <c r="BG2236" s="418"/>
      <c r="BH2236" s="418"/>
      <c r="BI2236" s="418"/>
      <c r="BJ2236" s="418"/>
      <c r="BK2236" s="418"/>
      <c r="BL2236" s="418"/>
      <c r="BM2236" s="418"/>
      <c r="BN2236" s="418"/>
      <c r="BO2236" s="418"/>
      <c r="BP2236" s="418"/>
      <c r="BQ2236" s="418"/>
      <c r="BR2236" s="418"/>
      <c r="BS2236" s="418"/>
      <c r="BT2236" s="418"/>
      <c r="BU2236" s="418"/>
      <c r="BV2236" s="418"/>
      <c r="BW2236" s="418"/>
      <c r="BX2236" s="418"/>
      <c r="BY2236" s="418"/>
      <c r="BZ2236" s="419"/>
      <c r="CA2236" s="270"/>
      <c r="CB2236" s="3" t="str">
        <f t="shared" si="384"/>
        <v>Riadok bude skrytý.</v>
      </c>
      <c r="CC2236" s="271" t="s">
        <v>832</v>
      </c>
      <c r="CW2236" s="30">
        <f t="shared" si="387"/>
        <v>1</v>
      </c>
      <c r="CZ2236" s="30">
        <f t="shared" si="385"/>
        <v>1</v>
      </c>
      <c r="DA2236" s="30">
        <f t="shared" si="386"/>
        <v>1</v>
      </c>
      <c r="DB2236" s="2">
        <f t="shared" si="381"/>
        <v>0</v>
      </c>
      <c r="DS2236" s="130">
        <f>SI!BY2236</f>
        <v>579</v>
      </c>
      <c r="DZ2236" s="131">
        <f>SI!BZ2236</f>
        <v>0</v>
      </c>
    </row>
    <row r="2237" spans="1:130" ht="14.95" hidden="1" customHeight="1" x14ac:dyDescent="0.25">
      <c r="A2237" s="141"/>
      <c r="B2237" s="717" t="s">
        <v>288</v>
      </c>
      <c r="C2237" s="718"/>
      <c r="D2237" s="718"/>
      <c r="E2237" s="718"/>
      <c r="F2237" s="718"/>
      <c r="G2237" s="718"/>
      <c r="H2237" s="718"/>
      <c r="I2237" s="718"/>
      <c r="J2237" s="718"/>
      <c r="K2237" s="718"/>
      <c r="L2237" s="718"/>
      <c r="M2237" s="718"/>
      <c r="N2237" s="718"/>
      <c r="O2237" s="718"/>
      <c r="P2237" s="718"/>
      <c r="Q2237" s="718"/>
      <c r="R2237" s="718"/>
      <c r="S2237" s="718"/>
      <c r="T2237" s="718"/>
      <c r="U2237" s="718"/>
      <c r="V2237" s="718"/>
      <c r="W2237" s="718"/>
      <c r="X2237" s="718"/>
      <c r="Y2237" s="718"/>
      <c r="Z2237" s="718"/>
      <c r="AA2237" s="719"/>
      <c r="AB2237" s="511"/>
      <c r="AC2237" s="482"/>
      <c r="AD2237" s="482"/>
      <c r="AE2237" s="482"/>
      <c r="AF2237" s="482"/>
      <c r="AG2237" s="482"/>
      <c r="AH2237" s="482"/>
      <c r="AI2237" s="482"/>
      <c r="AJ2237" s="482"/>
      <c r="AK2237" s="482"/>
      <c r="AL2237" s="482"/>
      <c r="AM2237" s="482"/>
      <c r="AN2237" s="482"/>
      <c r="AO2237" s="482"/>
      <c r="AP2237" s="482"/>
      <c r="AQ2237" s="482"/>
      <c r="AR2237" s="482"/>
      <c r="AS2237" s="482"/>
      <c r="AT2237" s="482"/>
      <c r="AU2237" s="482"/>
      <c r="AV2237" s="482"/>
      <c r="AW2237" s="482"/>
      <c r="AX2237" s="482"/>
      <c r="AY2237" s="482"/>
      <c r="AZ2237" s="483"/>
      <c r="BA2237" s="511"/>
      <c r="BB2237" s="482"/>
      <c r="BC2237" s="482"/>
      <c r="BD2237" s="482"/>
      <c r="BE2237" s="482"/>
      <c r="BF2237" s="482"/>
      <c r="BG2237" s="482"/>
      <c r="BH2237" s="482"/>
      <c r="BI2237" s="482"/>
      <c r="BJ2237" s="482"/>
      <c r="BK2237" s="482"/>
      <c r="BL2237" s="482"/>
      <c r="BM2237" s="482"/>
      <c r="BN2237" s="482"/>
      <c r="BO2237" s="482"/>
      <c r="BP2237" s="482"/>
      <c r="BQ2237" s="482"/>
      <c r="BR2237" s="482"/>
      <c r="BS2237" s="482"/>
      <c r="BT2237" s="482"/>
      <c r="BU2237" s="482"/>
      <c r="BV2237" s="482"/>
      <c r="BW2237" s="482"/>
      <c r="BX2237" s="482"/>
      <c r="BY2237" s="482"/>
      <c r="BZ2237" s="483"/>
      <c r="CA2237" s="270"/>
      <c r="CB2237" s="3" t="str">
        <f t="shared" si="384"/>
        <v>Riadok bude skrytý.</v>
      </c>
      <c r="CC2237" s="271" t="s">
        <v>832</v>
      </c>
      <c r="CW2237" s="30">
        <f t="shared" si="387"/>
        <v>1</v>
      </c>
      <c r="CZ2237" s="30">
        <f t="shared" si="385"/>
        <v>1</v>
      </c>
      <c r="DA2237" s="30">
        <f t="shared" si="386"/>
        <v>1</v>
      </c>
      <c r="DB2237" s="2">
        <f t="shared" si="381"/>
        <v>0</v>
      </c>
      <c r="DS2237" s="130">
        <f>SI!BY2237</f>
        <v>123</v>
      </c>
      <c r="DZ2237" s="131">
        <f>SI!BZ2237</f>
        <v>0</v>
      </c>
    </row>
    <row r="2238" spans="1:130" ht="14.95" hidden="1" customHeight="1" x14ac:dyDescent="0.25">
      <c r="A2238" s="141"/>
      <c r="B2238" s="624" t="s">
        <v>289</v>
      </c>
      <c r="C2238" s="625"/>
      <c r="D2238" s="625"/>
      <c r="E2238" s="625"/>
      <c r="F2238" s="625"/>
      <c r="G2238" s="625"/>
      <c r="H2238" s="625"/>
      <c r="I2238" s="625"/>
      <c r="J2238" s="625"/>
      <c r="K2238" s="625"/>
      <c r="L2238" s="625"/>
      <c r="M2238" s="625"/>
      <c r="N2238" s="625"/>
      <c r="O2238" s="625"/>
      <c r="P2238" s="625"/>
      <c r="Q2238" s="625"/>
      <c r="R2238" s="625"/>
      <c r="S2238" s="625"/>
      <c r="T2238" s="625"/>
      <c r="U2238" s="625"/>
      <c r="V2238" s="625"/>
      <c r="W2238" s="625"/>
      <c r="X2238" s="625"/>
      <c r="Y2238" s="625"/>
      <c r="Z2238" s="625"/>
      <c r="AA2238" s="626"/>
      <c r="AB2238" s="454"/>
      <c r="AC2238" s="455"/>
      <c r="AD2238" s="455"/>
      <c r="AE2238" s="455"/>
      <c r="AF2238" s="455"/>
      <c r="AG2238" s="455"/>
      <c r="AH2238" s="455"/>
      <c r="AI2238" s="455"/>
      <c r="AJ2238" s="455"/>
      <c r="AK2238" s="455"/>
      <c r="AL2238" s="455"/>
      <c r="AM2238" s="455"/>
      <c r="AN2238" s="455"/>
      <c r="AO2238" s="455"/>
      <c r="AP2238" s="455"/>
      <c r="AQ2238" s="455"/>
      <c r="AR2238" s="455"/>
      <c r="AS2238" s="455"/>
      <c r="AT2238" s="455"/>
      <c r="AU2238" s="455"/>
      <c r="AV2238" s="455"/>
      <c r="AW2238" s="455"/>
      <c r="AX2238" s="455"/>
      <c r="AY2238" s="455"/>
      <c r="AZ2238" s="456"/>
      <c r="BA2238" s="454"/>
      <c r="BB2238" s="455"/>
      <c r="BC2238" s="455"/>
      <c r="BD2238" s="455"/>
      <c r="BE2238" s="455"/>
      <c r="BF2238" s="455"/>
      <c r="BG2238" s="455"/>
      <c r="BH2238" s="455"/>
      <c r="BI2238" s="455"/>
      <c r="BJ2238" s="455"/>
      <c r="BK2238" s="455"/>
      <c r="BL2238" s="455"/>
      <c r="BM2238" s="455"/>
      <c r="BN2238" s="455"/>
      <c r="BO2238" s="455"/>
      <c r="BP2238" s="455"/>
      <c r="BQ2238" s="455"/>
      <c r="BR2238" s="455"/>
      <c r="BS2238" s="455"/>
      <c r="BT2238" s="455"/>
      <c r="BU2238" s="455"/>
      <c r="BV2238" s="455"/>
      <c r="BW2238" s="455"/>
      <c r="BX2238" s="455"/>
      <c r="BY2238" s="455"/>
      <c r="BZ2238" s="456"/>
      <c r="CA2238" s="270"/>
      <c r="CB2238" s="3" t="str">
        <f t="shared" si="384"/>
        <v>Riadok bude skrytý.</v>
      </c>
      <c r="CC2238" s="271" t="s">
        <v>832</v>
      </c>
      <c r="CW2238" s="30">
        <f t="shared" si="387"/>
        <v>1</v>
      </c>
      <c r="CZ2238" s="30">
        <f t="shared" si="385"/>
        <v>1</v>
      </c>
      <c r="DA2238" s="30">
        <f t="shared" si="386"/>
        <v>1</v>
      </c>
      <c r="DB2238" s="2">
        <f t="shared" si="381"/>
        <v>0</v>
      </c>
      <c r="DS2238" s="130">
        <f>SI!BY2238</f>
        <v>786</v>
      </c>
      <c r="DZ2238" s="131">
        <f>SI!BZ2238</f>
        <v>0</v>
      </c>
    </row>
    <row r="2239" spans="1:130" ht="14.95" hidden="1" customHeight="1" x14ac:dyDescent="0.25">
      <c r="A2239" s="141"/>
      <c r="B2239" s="614" t="s">
        <v>290</v>
      </c>
      <c r="C2239" s="615"/>
      <c r="D2239" s="615"/>
      <c r="E2239" s="615"/>
      <c r="F2239" s="615"/>
      <c r="G2239" s="615"/>
      <c r="H2239" s="615"/>
      <c r="I2239" s="615"/>
      <c r="J2239" s="615"/>
      <c r="K2239" s="615"/>
      <c r="L2239" s="615"/>
      <c r="M2239" s="615"/>
      <c r="N2239" s="615"/>
      <c r="O2239" s="615"/>
      <c r="P2239" s="615"/>
      <c r="Q2239" s="615"/>
      <c r="R2239" s="615"/>
      <c r="S2239" s="615"/>
      <c r="T2239" s="615"/>
      <c r="U2239" s="615"/>
      <c r="V2239" s="615"/>
      <c r="W2239" s="615"/>
      <c r="X2239" s="615"/>
      <c r="Y2239" s="615"/>
      <c r="Z2239" s="615"/>
      <c r="AA2239" s="616"/>
      <c r="AB2239" s="423">
        <f>+SUM(AB2235:AZ2238)</f>
        <v>0</v>
      </c>
      <c r="AC2239" s="424"/>
      <c r="AD2239" s="424"/>
      <c r="AE2239" s="424"/>
      <c r="AF2239" s="424"/>
      <c r="AG2239" s="424"/>
      <c r="AH2239" s="424"/>
      <c r="AI2239" s="424"/>
      <c r="AJ2239" s="424"/>
      <c r="AK2239" s="424"/>
      <c r="AL2239" s="424"/>
      <c r="AM2239" s="424"/>
      <c r="AN2239" s="424"/>
      <c r="AO2239" s="424"/>
      <c r="AP2239" s="424"/>
      <c r="AQ2239" s="424"/>
      <c r="AR2239" s="424"/>
      <c r="AS2239" s="424"/>
      <c r="AT2239" s="424"/>
      <c r="AU2239" s="424"/>
      <c r="AV2239" s="424"/>
      <c r="AW2239" s="424"/>
      <c r="AX2239" s="424"/>
      <c r="AY2239" s="424"/>
      <c r="AZ2239" s="425"/>
      <c r="BA2239" s="423">
        <f>+SUM(BA2235:BZ2238)</f>
        <v>0</v>
      </c>
      <c r="BB2239" s="424"/>
      <c r="BC2239" s="424"/>
      <c r="BD2239" s="424"/>
      <c r="BE2239" s="424"/>
      <c r="BF2239" s="424"/>
      <c r="BG2239" s="424"/>
      <c r="BH2239" s="424"/>
      <c r="BI2239" s="424"/>
      <c r="BJ2239" s="424"/>
      <c r="BK2239" s="424"/>
      <c r="BL2239" s="424"/>
      <c r="BM2239" s="424"/>
      <c r="BN2239" s="424"/>
      <c r="BO2239" s="424"/>
      <c r="BP2239" s="424"/>
      <c r="BQ2239" s="424"/>
      <c r="BR2239" s="424"/>
      <c r="BS2239" s="424"/>
      <c r="BT2239" s="424"/>
      <c r="BU2239" s="424"/>
      <c r="BV2239" s="424"/>
      <c r="BW2239" s="424"/>
      <c r="BX2239" s="424"/>
      <c r="BY2239" s="424"/>
      <c r="BZ2239" s="425"/>
      <c r="CA2239" s="270"/>
      <c r="CB2239" s="3" t="str">
        <f t="shared" si="384"/>
        <v>Riadok bude skrytý.</v>
      </c>
      <c r="CC2239" s="271" t="s">
        <v>832</v>
      </c>
      <c r="CW2239" s="30">
        <f t="shared" si="387"/>
        <v>1</v>
      </c>
      <c r="CZ2239" s="30">
        <f t="shared" si="385"/>
        <v>1</v>
      </c>
      <c r="DA2239" s="30">
        <f t="shared" si="386"/>
        <v>1</v>
      </c>
      <c r="DB2239" s="2">
        <f t="shared" si="381"/>
        <v>0</v>
      </c>
      <c r="DS2239" s="130">
        <f>SI!BY2239</f>
        <v>121</v>
      </c>
      <c r="DZ2239" s="131">
        <f>SI!BZ2239</f>
        <v>0</v>
      </c>
    </row>
    <row r="2240" spans="1:130" ht="14.95" hidden="1" customHeight="1" x14ac:dyDescent="0.25">
      <c r="A2240" s="141"/>
      <c r="B2240" s="614" t="s">
        <v>291</v>
      </c>
      <c r="C2240" s="615"/>
      <c r="D2240" s="615"/>
      <c r="E2240" s="615"/>
      <c r="F2240" s="615"/>
      <c r="G2240" s="615"/>
      <c r="H2240" s="615"/>
      <c r="I2240" s="615"/>
      <c r="J2240" s="615"/>
      <c r="K2240" s="615"/>
      <c r="L2240" s="615"/>
      <c r="M2240" s="615"/>
      <c r="N2240" s="615"/>
      <c r="O2240" s="615"/>
      <c r="P2240" s="615"/>
      <c r="Q2240" s="615"/>
      <c r="R2240" s="615"/>
      <c r="S2240" s="615"/>
      <c r="T2240" s="615"/>
      <c r="U2240" s="615"/>
      <c r="V2240" s="615"/>
      <c r="W2240" s="615"/>
      <c r="X2240" s="615"/>
      <c r="Y2240" s="615"/>
      <c r="Z2240" s="615"/>
      <c r="AA2240" s="616"/>
      <c r="AB2240" s="472"/>
      <c r="AC2240" s="473"/>
      <c r="AD2240" s="473"/>
      <c r="AE2240" s="473"/>
      <c r="AF2240" s="473"/>
      <c r="AG2240" s="473"/>
      <c r="AH2240" s="473"/>
      <c r="AI2240" s="473"/>
      <c r="AJ2240" s="473"/>
      <c r="AK2240" s="473"/>
      <c r="AL2240" s="473"/>
      <c r="AM2240" s="473"/>
      <c r="AN2240" s="473"/>
      <c r="AO2240" s="473"/>
      <c r="AP2240" s="473"/>
      <c r="AQ2240" s="473"/>
      <c r="AR2240" s="473"/>
      <c r="AS2240" s="473"/>
      <c r="AT2240" s="473"/>
      <c r="AU2240" s="473"/>
      <c r="AV2240" s="473"/>
      <c r="AW2240" s="473"/>
      <c r="AX2240" s="473"/>
      <c r="AY2240" s="473"/>
      <c r="AZ2240" s="474"/>
      <c r="BA2240" s="472"/>
      <c r="BB2240" s="473"/>
      <c r="BC2240" s="473"/>
      <c r="BD2240" s="473"/>
      <c r="BE2240" s="473"/>
      <c r="BF2240" s="473"/>
      <c r="BG2240" s="473"/>
      <c r="BH2240" s="473"/>
      <c r="BI2240" s="473"/>
      <c r="BJ2240" s="473"/>
      <c r="BK2240" s="473"/>
      <c r="BL2240" s="473"/>
      <c r="BM2240" s="473"/>
      <c r="BN2240" s="473"/>
      <c r="BO2240" s="473"/>
      <c r="BP2240" s="473"/>
      <c r="BQ2240" s="473"/>
      <c r="BR2240" s="473"/>
      <c r="BS2240" s="473"/>
      <c r="BT2240" s="473"/>
      <c r="BU2240" s="473"/>
      <c r="BV2240" s="473"/>
      <c r="BW2240" s="473"/>
      <c r="BX2240" s="473"/>
      <c r="BY2240" s="473"/>
      <c r="BZ2240" s="474"/>
      <c r="CA2240" s="270"/>
      <c r="CB2240" s="3" t="str">
        <f t="shared" si="384"/>
        <v>Riadok bude skrytý.</v>
      </c>
      <c r="CC2240" s="271" t="s">
        <v>832</v>
      </c>
      <c r="CD2240" s="4" t="s">
        <v>764</v>
      </c>
      <c r="CW2240" s="30">
        <f t="shared" si="387"/>
        <v>1</v>
      </c>
      <c r="CZ2240" s="30">
        <f t="shared" si="385"/>
        <v>1</v>
      </c>
      <c r="DA2240" s="30">
        <f t="shared" si="386"/>
        <v>1</v>
      </c>
      <c r="DB2240" s="2">
        <f t="shared" si="381"/>
        <v>0</v>
      </c>
      <c r="DS2240" s="130">
        <f>SI!BY2240</f>
        <v>131</v>
      </c>
      <c r="DZ2240" s="131">
        <f>SI!BZ2240</f>
        <v>0</v>
      </c>
    </row>
    <row r="2241" spans="1:130" ht="14.95" hidden="1" customHeight="1" x14ac:dyDescent="0.25">
      <c r="A2241" s="141"/>
      <c r="B2241" s="614" t="s">
        <v>292</v>
      </c>
      <c r="C2241" s="615"/>
      <c r="D2241" s="615"/>
      <c r="E2241" s="615"/>
      <c r="F2241" s="615"/>
      <c r="G2241" s="615"/>
      <c r="H2241" s="615"/>
      <c r="I2241" s="615"/>
      <c r="J2241" s="615"/>
      <c r="K2241" s="615"/>
      <c r="L2241" s="615"/>
      <c r="M2241" s="615"/>
      <c r="N2241" s="615"/>
      <c r="O2241" s="615"/>
      <c r="P2241" s="615"/>
      <c r="Q2241" s="615"/>
      <c r="R2241" s="615"/>
      <c r="S2241" s="615"/>
      <c r="T2241" s="615"/>
      <c r="U2241" s="615"/>
      <c r="V2241" s="615"/>
      <c r="W2241" s="615"/>
      <c r="X2241" s="615"/>
      <c r="Y2241" s="615"/>
      <c r="Z2241" s="615"/>
      <c r="AA2241" s="616"/>
      <c r="AB2241" s="423">
        <f>+SUM(AB2239:AZ2240)</f>
        <v>0</v>
      </c>
      <c r="AC2241" s="424"/>
      <c r="AD2241" s="424"/>
      <c r="AE2241" s="424"/>
      <c r="AF2241" s="424"/>
      <c r="AG2241" s="424"/>
      <c r="AH2241" s="424"/>
      <c r="AI2241" s="424"/>
      <c r="AJ2241" s="424"/>
      <c r="AK2241" s="424"/>
      <c r="AL2241" s="424"/>
      <c r="AM2241" s="424"/>
      <c r="AN2241" s="424"/>
      <c r="AO2241" s="424"/>
      <c r="AP2241" s="424"/>
      <c r="AQ2241" s="424"/>
      <c r="AR2241" s="424"/>
      <c r="AS2241" s="424"/>
      <c r="AT2241" s="424"/>
      <c r="AU2241" s="424"/>
      <c r="AV2241" s="424"/>
      <c r="AW2241" s="424"/>
      <c r="AX2241" s="424"/>
      <c r="AY2241" s="424"/>
      <c r="AZ2241" s="425"/>
      <c r="BA2241" s="423">
        <f>+SUM(BA2239:BZ2240)</f>
        <v>0</v>
      </c>
      <c r="BB2241" s="424"/>
      <c r="BC2241" s="424"/>
      <c r="BD2241" s="424"/>
      <c r="BE2241" s="424"/>
      <c r="BF2241" s="424"/>
      <c r="BG2241" s="424"/>
      <c r="BH2241" s="424"/>
      <c r="BI2241" s="424"/>
      <c r="BJ2241" s="424"/>
      <c r="BK2241" s="424"/>
      <c r="BL2241" s="424"/>
      <c r="BM2241" s="424"/>
      <c r="BN2241" s="424"/>
      <c r="BO2241" s="424"/>
      <c r="BP2241" s="424"/>
      <c r="BQ2241" s="424"/>
      <c r="BR2241" s="424"/>
      <c r="BS2241" s="424"/>
      <c r="BT2241" s="424"/>
      <c r="BU2241" s="424"/>
      <c r="BV2241" s="424"/>
      <c r="BW2241" s="424"/>
      <c r="BX2241" s="424"/>
      <c r="BY2241" s="424"/>
      <c r="BZ2241" s="425"/>
      <c r="CA2241" s="270"/>
      <c r="CB2241" s="3" t="str">
        <f t="shared" si="384"/>
        <v>Riadok bude skrytý.</v>
      </c>
      <c r="CC2241" s="271" t="s">
        <v>832</v>
      </c>
      <c r="CW2241" s="30">
        <f t="shared" si="387"/>
        <v>1</v>
      </c>
      <c r="CZ2241" s="30">
        <f t="shared" si="385"/>
        <v>1</v>
      </c>
      <c r="DA2241" s="30">
        <f t="shared" si="386"/>
        <v>1</v>
      </c>
      <c r="DB2241" s="2">
        <f t="shared" si="381"/>
        <v>0</v>
      </c>
      <c r="DS2241" s="130">
        <f>SI!BY2241</f>
        <v>123</v>
      </c>
      <c r="DZ2241" s="131">
        <f>SI!BZ2241</f>
        <v>0</v>
      </c>
    </row>
    <row r="2242" spans="1:130" hidden="1" x14ac:dyDescent="0.25">
      <c r="A2242" s="141"/>
      <c r="CA2242" s="142"/>
      <c r="CB2242" s="3" t="str">
        <f t="shared" si="384"/>
        <v>Riadok bude skrytý.</v>
      </c>
      <c r="CC2242" s="271" t="s">
        <v>832</v>
      </c>
      <c r="CW2242" s="30">
        <f t="shared" si="387"/>
        <v>1</v>
      </c>
      <c r="CX2242" s="30">
        <f>+IF(B2244="",0,1)</f>
        <v>0</v>
      </c>
      <c r="CZ2242" s="30">
        <f t="shared" si="385"/>
        <v>1</v>
      </c>
      <c r="DA2242" s="52">
        <f t="shared" ref="DA2242:DA2263" si="388">+IF(CW2242*CX2242=0,0,IF(CZ2242=0,0,1))</f>
        <v>0</v>
      </c>
      <c r="DB2242" s="2">
        <f t="shared" si="381"/>
        <v>0</v>
      </c>
      <c r="DS2242" s="130">
        <f>SI!BY2242</f>
        <v>189</v>
      </c>
      <c r="DZ2242" s="131">
        <f>SI!BZ2242</f>
        <v>0</v>
      </c>
    </row>
    <row r="2243" spans="1:130" hidden="1" x14ac:dyDescent="0.25">
      <c r="A2243" s="141"/>
      <c r="B2243" s="137" t="str">
        <f>+IF($I$52&lt;&gt;"",IF((ROUNDDOWN(CODE(MID($I$52,1,1))*3,0)+DAY(36167))*(IF(SI!EE2243="",1,SI!EE2243-1-2))+(2*LEN(SI!J3))=DS2243,"K sociálnemu fondu Spoločnosť uvádza ďalšie doplňujúce informácie:","NEPOVOLENÉ POUŽITIE!"),"NEPOVOLENÉ POUŽITIE!")</f>
        <v>K sociálnemu fondu Spoločnosť uvádza ďalšie doplňujúce informácie:</v>
      </c>
      <c r="CA2243" s="265" t="s">
        <v>773</v>
      </c>
      <c r="CB2243" s="3" t="str">
        <f t="shared" si="384"/>
        <v>Riadok bude skrytý.</v>
      </c>
      <c r="CC2243" s="271" t="s">
        <v>832</v>
      </c>
      <c r="CW2243" s="30">
        <f t="shared" si="387"/>
        <v>1</v>
      </c>
      <c r="CX2243" s="30">
        <f>+IF(B2244="",0,1)</f>
        <v>0</v>
      </c>
      <c r="CZ2243" s="30">
        <f t="shared" si="385"/>
        <v>1</v>
      </c>
      <c r="DA2243" s="52">
        <f t="shared" si="388"/>
        <v>0</v>
      </c>
      <c r="DB2243" s="2">
        <f t="shared" si="381"/>
        <v>0</v>
      </c>
      <c r="DS2243" s="130">
        <f>SI!BY2243</f>
        <v>10</v>
      </c>
      <c r="DZ2243" s="131">
        <f>SI!BZ2243</f>
        <v>0</v>
      </c>
    </row>
    <row r="2244" spans="1:130" hidden="1" x14ac:dyDescent="0.25">
      <c r="A2244" s="141"/>
      <c r="B2244" s="379"/>
      <c r="C2244" s="379"/>
      <c r="D2244" s="379"/>
      <c r="E2244" s="379"/>
      <c r="F2244" s="379"/>
      <c r="G2244" s="379"/>
      <c r="H2244" s="379"/>
      <c r="I2244" s="379"/>
      <c r="J2244" s="379"/>
      <c r="K2244" s="379"/>
      <c r="L2244" s="379"/>
      <c r="M2244" s="379"/>
      <c r="N2244" s="379"/>
      <c r="O2244" s="379"/>
      <c r="P2244" s="379"/>
      <c r="Q2244" s="379"/>
      <c r="R2244" s="379"/>
      <c r="S2244" s="379"/>
      <c r="T2244" s="379"/>
      <c r="U2244" s="379"/>
      <c r="V2244" s="379"/>
      <c r="W2244" s="379"/>
      <c r="X2244" s="379"/>
      <c r="Y2244" s="379"/>
      <c r="Z2244" s="379"/>
      <c r="AA2244" s="379"/>
      <c r="AB2244" s="379"/>
      <c r="AC2244" s="379"/>
      <c r="AD2244" s="379"/>
      <c r="AE2244" s="379"/>
      <c r="AF2244" s="379"/>
      <c r="AG2244" s="379"/>
      <c r="AH2244" s="379"/>
      <c r="AI2244" s="379"/>
      <c r="AJ2244" s="379"/>
      <c r="AK2244" s="379"/>
      <c r="AL2244" s="379"/>
      <c r="AM2244" s="379"/>
      <c r="AN2244" s="379"/>
      <c r="AO2244" s="379"/>
      <c r="AP2244" s="379"/>
      <c r="AQ2244" s="379"/>
      <c r="AR2244" s="379"/>
      <c r="AS2244" s="379"/>
      <c r="AT2244" s="379"/>
      <c r="AU2244" s="379"/>
      <c r="AV2244" s="379"/>
      <c r="AW2244" s="379"/>
      <c r="AX2244" s="379"/>
      <c r="AY2244" s="379"/>
      <c r="AZ2244" s="379"/>
      <c r="BA2244" s="379"/>
      <c r="BB2244" s="379"/>
      <c r="BC2244" s="379"/>
      <c r="BD2244" s="379"/>
      <c r="BE2244" s="379"/>
      <c r="BF2244" s="379"/>
      <c r="BG2244" s="379"/>
      <c r="BH2244" s="379"/>
      <c r="BI2244" s="379"/>
      <c r="BJ2244" s="379"/>
      <c r="BK2244" s="379"/>
      <c r="BL2244" s="379"/>
      <c r="BM2244" s="379"/>
      <c r="BN2244" s="379"/>
      <c r="BO2244" s="379"/>
      <c r="BP2244" s="379"/>
      <c r="BQ2244" s="379"/>
      <c r="BR2244" s="379"/>
      <c r="BS2244" s="379"/>
      <c r="BT2244" s="379"/>
      <c r="BU2244" s="379"/>
      <c r="BV2244" s="379"/>
      <c r="BW2244" s="379"/>
      <c r="BX2244" s="379"/>
      <c r="BY2244" s="379"/>
      <c r="BZ2244" s="379"/>
      <c r="CA2244" s="281"/>
      <c r="CB2244" s="3" t="str">
        <f t="shared" si="384"/>
        <v>Riadok bude skrytý.</v>
      </c>
      <c r="CC2244" s="271" t="s">
        <v>832</v>
      </c>
      <c r="CW2244" s="30">
        <f t="shared" si="387"/>
        <v>1</v>
      </c>
      <c r="CX2244" s="30">
        <f t="shared" ref="CX2244:CX2263" si="389">+IF(B2244="",0,1)</f>
        <v>0</v>
      </c>
      <c r="CZ2244" s="30">
        <f t="shared" si="385"/>
        <v>1</v>
      </c>
      <c r="DA2244" s="52">
        <f t="shared" si="388"/>
        <v>0</v>
      </c>
      <c r="DB2244" s="2">
        <f t="shared" si="381"/>
        <v>0</v>
      </c>
      <c r="DS2244" s="130">
        <f>SI!BY2244</f>
        <v>596</v>
      </c>
      <c r="DZ2244" s="131">
        <f>SI!BZ2244</f>
        <v>0</v>
      </c>
    </row>
    <row r="2245" spans="1:130" hidden="1" x14ac:dyDescent="0.25">
      <c r="A2245" s="141"/>
      <c r="B2245" s="379"/>
      <c r="C2245" s="379"/>
      <c r="D2245" s="379"/>
      <c r="E2245" s="379"/>
      <c r="F2245" s="379"/>
      <c r="G2245" s="379"/>
      <c r="H2245" s="379"/>
      <c r="I2245" s="379"/>
      <c r="J2245" s="379"/>
      <c r="K2245" s="379"/>
      <c r="L2245" s="379"/>
      <c r="M2245" s="379"/>
      <c r="N2245" s="379"/>
      <c r="O2245" s="379"/>
      <c r="P2245" s="379"/>
      <c r="Q2245" s="379"/>
      <c r="R2245" s="379"/>
      <c r="S2245" s="379"/>
      <c r="T2245" s="379"/>
      <c r="U2245" s="379"/>
      <c r="V2245" s="379"/>
      <c r="W2245" s="379"/>
      <c r="X2245" s="379"/>
      <c r="Y2245" s="379"/>
      <c r="Z2245" s="379"/>
      <c r="AA2245" s="379"/>
      <c r="AB2245" s="379"/>
      <c r="AC2245" s="379"/>
      <c r="AD2245" s="379"/>
      <c r="AE2245" s="379"/>
      <c r="AF2245" s="379"/>
      <c r="AG2245" s="379"/>
      <c r="AH2245" s="379"/>
      <c r="AI2245" s="379"/>
      <c r="AJ2245" s="379"/>
      <c r="AK2245" s="379"/>
      <c r="AL2245" s="379"/>
      <c r="AM2245" s="379"/>
      <c r="AN2245" s="379"/>
      <c r="AO2245" s="379"/>
      <c r="AP2245" s="379"/>
      <c r="AQ2245" s="379"/>
      <c r="AR2245" s="379"/>
      <c r="AS2245" s="379"/>
      <c r="AT2245" s="379"/>
      <c r="AU2245" s="379"/>
      <c r="AV2245" s="379"/>
      <c r="AW2245" s="379"/>
      <c r="AX2245" s="379"/>
      <c r="AY2245" s="379"/>
      <c r="AZ2245" s="379"/>
      <c r="BA2245" s="379"/>
      <c r="BB2245" s="379"/>
      <c r="BC2245" s="379"/>
      <c r="BD2245" s="379"/>
      <c r="BE2245" s="379"/>
      <c r="BF2245" s="379"/>
      <c r="BG2245" s="379"/>
      <c r="BH2245" s="379"/>
      <c r="BI2245" s="379"/>
      <c r="BJ2245" s="379"/>
      <c r="BK2245" s="379"/>
      <c r="BL2245" s="379"/>
      <c r="BM2245" s="379"/>
      <c r="BN2245" s="379"/>
      <c r="BO2245" s="379"/>
      <c r="BP2245" s="379"/>
      <c r="BQ2245" s="379"/>
      <c r="BR2245" s="379"/>
      <c r="BS2245" s="379"/>
      <c r="BT2245" s="379"/>
      <c r="BU2245" s="379"/>
      <c r="BV2245" s="379"/>
      <c r="BW2245" s="379"/>
      <c r="BX2245" s="379"/>
      <c r="BY2245" s="379"/>
      <c r="BZ2245" s="379"/>
      <c r="CA2245" s="281"/>
      <c r="CB2245" s="3" t="str">
        <f t="shared" si="384"/>
        <v>Riadok bude skrytý.</v>
      </c>
      <c r="CC2245" s="271" t="s">
        <v>832</v>
      </c>
      <c r="CW2245" s="30">
        <f t="shared" si="387"/>
        <v>1</v>
      </c>
      <c r="CX2245" s="30">
        <f t="shared" si="389"/>
        <v>0</v>
      </c>
      <c r="CZ2245" s="30">
        <f t="shared" si="385"/>
        <v>1</v>
      </c>
      <c r="DA2245" s="52">
        <f t="shared" si="388"/>
        <v>0</v>
      </c>
      <c r="DB2245" s="2">
        <f t="shared" si="381"/>
        <v>0</v>
      </c>
      <c r="DS2245" s="130">
        <f>SI!BY2245</f>
        <v>193</v>
      </c>
      <c r="DZ2245" s="131">
        <f>SI!BZ2245</f>
        <v>0</v>
      </c>
    </row>
    <row r="2246" spans="1:130" hidden="1" x14ac:dyDescent="0.25">
      <c r="A2246" s="141"/>
      <c r="B2246" s="379"/>
      <c r="C2246" s="379"/>
      <c r="D2246" s="379"/>
      <c r="E2246" s="379"/>
      <c r="F2246" s="379"/>
      <c r="G2246" s="379"/>
      <c r="H2246" s="379"/>
      <c r="I2246" s="379"/>
      <c r="J2246" s="379"/>
      <c r="K2246" s="379"/>
      <c r="L2246" s="379"/>
      <c r="M2246" s="379"/>
      <c r="N2246" s="379"/>
      <c r="O2246" s="379"/>
      <c r="P2246" s="379"/>
      <c r="Q2246" s="379"/>
      <c r="R2246" s="379"/>
      <c r="S2246" s="379"/>
      <c r="T2246" s="379"/>
      <c r="U2246" s="379"/>
      <c r="V2246" s="379"/>
      <c r="W2246" s="379"/>
      <c r="X2246" s="379"/>
      <c r="Y2246" s="379"/>
      <c r="Z2246" s="379"/>
      <c r="AA2246" s="379"/>
      <c r="AB2246" s="379"/>
      <c r="AC2246" s="379"/>
      <c r="AD2246" s="379"/>
      <c r="AE2246" s="379"/>
      <c r="AF2246" s="379"/>
      <c r="AG2246" s="379"/>
      <c r="AH2246" s="379"/>
      <c r="AI2246" s="379"/>
      <c r="AJ2246" s="379"/>
      <c r="AK2246" s="379"/>
      <c r="AL2246" s="379"/>
      <c r="AM2246" s="379"/>
      <c r="AN2246" s="379"/>
      <c r="AO2246" s="379"/>
      <c r="AP2246" s="379"/>
      <c r="AQ2246" s="379"/>
      <c r="AR2246" s="379"/>
      <c r="AS2246" s="379"/>
      <c r="AT2246" s="379"/>
      <c r="AU2246" s="379"/>
      <c r="AV2246" s="379"/>
      <c r="AW2246" s="379"/>
      <c r="AX2246" s="379"/>
      <c r="AY2246" s="379"/>
      <c r="AZ2246" s="379"/>
      <c r="BA2246" s="379"/>
      <c r="BB2246" s="379"/>
      <c r="BC2246" s="379"/>
      <c r="BD2246" s="379"/>
      <c r="BE2246" s="379"/>
      <c r="BF2246" s="379"/>
      <c r="BG2246" s="379"/>
      <c r="BH2246" s="379"/>
      <c r="BI2246" s="379"/>
      <c r="BJ2246" s="379"/>
      <c r="BK2246" s="379"/>
      <c r="BL2246" s="379"/>
      <c r="BM2246" s="379"/>
      <c r="BN2246" s="379"/>
      <c r="BO2246" s="379"/>
      <c r="BP2246" s="379"/>
      <c r="BQ2246" s="379"/>
      <c r="BR2246" s="379"/>
      <c r="BS2246" s="379"/>
      <c r="BT2246" s="379"/>
      <c r="BU2246" s="379"/>
      <c r="BV2246" s="379"/>
      <c r="BW2246" s="379"/>
      <c r="BX2246" s="379"/>
      <c r="BY2246" s="379"/>
      <c r="BZ2246" s="379"/>
      <c r="CA2246" s="281"/>
      <c r="CB2246" s="3" t="str">
        <f t="shared" si="384"/>
        <v>Riadok bude skrytý.</v>
      </c>
      <c r="CC2246" s="271" t="s">
        <v>832</v>
      </c>
      <c r="CW2246" s="30">
        <f t="shared" si="387"/>
        <v>1</v>
      </c>
      <c r="CX2246" s="30">
        <f t="shared" si="389"/>
        <v>0</v>
      </c>
      <c r="CZ2246" s="30">
        <f t="shared" si="385"/>
        <v>1</v>
      </c>
      <c r="DA2246" s="52">
        <f t="shared" si="388"/>
        <v>0</v>
      </c>
      <c r="DB2246" s="2">
        <f t="shared" si="381"/>
        <v>0</v>
      </c>
      <c r="DS2246" s="130">
        <f>SI!BY2246</f>
        <v>300</v>
      </c>
      <c r="DZ2246" s="131">
        <f>SI!BZ2246</f>
        <v>0</v>
      </c>
    </row>
    <row r="2247" spans="1:130" hidden="1" x14ac:dyDescent="0.25">
      <c r="A2247" s="141"/>
      <c r="B2247" s="379"/>
      <c r="C2247" s="379"/>
      <c r="D2247" s="379"/>
      <c r="E2247" s="379"/>
      <c r="F2247" s="379"/>
      <c r="G2247" s="379"/>
      <c r="H2247" s="379"/>
      <c r="I2247" s="379"/>
      <c r="J2247" s="379"/>
      <c r="K2247" s="379"/>
      <c r="L2247" s="379"/>
      <c r="M2247" s="379"/>
      <c r="N2247" s="379"/>
      <c r="O2247" s="379"/>
      <c r="P2247" s="379"/>
      <c r="Q2247" s="379"/>
      <c r="R2247" s="379"/>
      <c r="S2247" s="379"/>
      <c r="T2247" s="379"/>
      <c r="U2247" s="379"/>
      <c r="V2247" s="379"/>
      <c r="W2247" s="379"/>
      <c r="X2247" s="379"/>
      <c r="Y2247" s="379"/>
      <c r="Z2247" s="379"/>
      <c r="AA2247" s="379"/>
      <c r="AB2247" s="379"/>
      <c r="AC2247" s="379"/>
      <c r="AD2247" s="379"/>
      <c r="AE2247" s="379"/>
      <c r="AF2247" s="379"/>
      <c r="AG2247" s="379"/>
      <c r="AH2247" s="379"/>
      <c r="AI2247" s="379"/>
      <c r="AJ2247" s="379"/>
      <c r="AK2247" s="379"/>
      <c r="AL2247" s="379"/>
      <c r="AM2247" s="379"/>
      <c r="AN2247" s="379"/>
      <c r="AO2247" s="379"/>
      <c r="AP2247" s="379"/>
      <c r="AQ2247" s="379"/>
      <c r="AR2247" s="379"/>
      <c r="AS2247" s="379"/>
      <c r="AT2247" s="379"/>
      <c r="AU2247" s="379"/>
      <c r="AV2247" s="379"/>
      <c r="AW2247" s="379"/>
      <c r="AX2247" s="379"/>
      <c r="AY2247" s="379"/>
      <c r="AZ2247" s="379"/>
      <c r="BA2247" s="379"/>
      <c r="BB2247" s="379"/>
      <c r="BC2247" s="379"/>
      <c r="BD2247" s="379"/>
      <c r="BE2247" s="379"/>
      <c r="BF2247" s="379"/>
      <c r="BG2247" s="379"/>
      <c r="BH2247" s="379"/>
      <c r="BI2247" s="379"/>
      <c r="BJ2247" s="379"/>
      <c r="BK2247" s="379"/>
      <c r="BL2247" s="379"/>
      <c r="BM2247" s="379"/>
      <c r="BN2247" s="379"/>
      <c r="BO2247" s="379"/>
      <c r="BP2247" s="379"/>
      <c r="BQ2247" s="379"/>
      <c r="BR2247" s="379"/>
      <c r="BS2247" s="379"/>
      <c r="BT2247" s="379"/>
      <c r="BU2247" s="379"/>
      <c r="BV2247" s="379"/>
      <c r="BW2247" s="379"/>
      <c r="BX2247" s="379"/>
      <c r="BY2247" s="379"/>
      <c r="BZ2247" s="379"/>
      <c r="CA2247" s="281"/>
      <c r="CB2247" s="3" t="str">
        <f t="shared" si="384"/>
        <v>Riadok bude skrytý.</v>
      </c>
      <c r="CC2247" s="271" t="s">
        <v>832</v>
      </c>
      <c r="CW2247" s="30">
        <f t="shared" si="387"/>
        <v>1</v>
      </c>
      <c r="CX2247" s="30">
        <f t="shared" si="389"/>
        <v>0</v>
      </c>
      <c r="CZ2247" s="30">
        <f t="shared" si="385"/>
        <v>1</v>
      </c>
      <c r="DA2247" s="52">
        <f t="shared" si="388"/>
        <v>0</v>
      </c>
      <c r="DB2247" s="2">
        <f t="shared" si="381"/>
        <v>0</v>
      </c>
      <c r="DS2247" s="130">
        <f>SI!BY2247</f>
        <v>124</v>
      </c>
      <c r="DZ2247" s="131">
        <f>SI!BZ2247</f>
        <v>0</v>
      </c>
    </row>
    <row r="2248" spans="1:130" hidden="1" x14ac:dyDescent="0.25">
      <c r="A2248" s="141"/>
      <c r="B2248" s="379"/>
      <c r="C2248" s="379"/>
      <c r="D2248" s="379"/>
      <c r="E2248" s="379"/>
      <c r="F2248" s="379"/>
      <c r="G2248" s="379"/>
      <c r="H2248" s="379"/>
      <c r="I2248" s="379"/>
      <c r="J2248" s="379"/>
      <c r="K2248" s="379"/>
      <c r="L2248" s="379"/>
      <c r="M2248" s="379"/>
      <c r="N2248" s="379"/>
      <c r="O2248" s="379"/>
      <c r="P2248" s="379"/>
      <c r="Q2248" s="379"/>
      <c r="R2248" s="379"/>
      <c r="S2248" s="379"/>
      <c r="T2248" s="379"/>
      <c r="U2248" s="379"/>
      <c r="V2248" s="379"/>
      <c r="W2248" s="379"/>
      <c r="X2248" s="379"/>
      <c r="Y2248" s="379"/>
      <c r="Z2248" s="379"/>
      <c r="AA2248" s="379"/>
      <c r="AB2248" s="379"/>
      <c r="AC2248" s="379"/>
      <c r="AD2248" s="379"/>
      <c r="AE2248" s="379"/>
      <c r="AF2248" s="379"/>
      <c r="AG2248" s="379"/>
      <c r="AH2248" s="379"/>
      <c r="AI2248" s="379"/>
      <c r="AJ2248" s="379"/>
      <c r="AK2248" s="379"/>
      <c r="AL2248" s="379"/>
      <c r="AM2248" s="379"/>
      <c r="AN2248" s="379"/>
      <c r="AO2248" s="379"/>
      <c r="AP2248" s="379"/>
      <c r="AQ2248" s="379"/>
      <c r="AR2248" s="379"/>
      <c r="AS2248" s="379"/>
      <c r="AT2248" s="379"/>
      <c r="AU2248" s="379"/>
      <c r="AV2248" s="379"/>
      <c r="AW2248" s="379"/>
      <c r="AX2248" s="379"/>
      <c r="AY2248" s="379"/>
      <c r="AZ2248" s="379"/>
      <c r="BA2248" s="379"/>
      <c r="BB2248" s="379"/>
      <c r="BC2248" s="379"/>
      <c r="BD2248" s="379"/>
      <c r="BE2248" s="379"/>
      <c r="BF2248" s="379"/>
      <c r="BG2248" s="379"/>
      <c r="BH2248" s="379"/>
      <c r="BI2248" s="379"/>
      <c r="BJ2248" s="379"/>
      <c r="BK2248" s="379"/>
      <c r="BL2248" s="379"/>
      <c r="BM2248" s="379"/>
      <c r="BN2248" s="379"/>
      <c r="BO2248" s="379"/>
      <c r="BP2248" s="379"/>
      <c r="BQ2248" s="379"/>
      <c r="BR2248" s="379"/>
      <c r="BS2248" s="379"/>
      <c r="BT2248" s="379"/>
      <c r="BU2248" s="379"/>
      <c r="BV2248" s="379"/>
      <c r="BW2248" s="379"/>
      <c r="BX2248" s="379"/>
      <c r="BY2248" s="379"/>
      <c r="BZ2248" s="379"/>
      <c r="CA2248" s="281"/>
      <c r="CB2248" s="3" t="str">
        <f t="shared" si="384"/>
        <v>Riadok bude skrytý.</v>
      </c>
      <c r="CC2248" s="271" t="s">
        <v>832</v>
      </c>
      <c r="CW2248" s="30">
        <f t="shared" si="387"/>
        <v>1</v>
      </c>
      <c r="CX2248" s="30">
        <f t="shared" si="389"/>
        <v>0</v>
      </c>
      <c r="CZ2248" s="30">
        <f t="shared" si="385"/>
        <v>1</v>
      </c>
      <c r="DA2248" s="52">
        <f t="shared" si="388"/>
        <v>0</v>
      </c>
      <c r="DB2248" s="2">
        <f t="shared" si="381"/>
        <v>0</v>
      </c>
      <c r="DS2248" s="130">
        <f>SI!BY2248</f>
        <v>278</v>
      </c>
      <c r="DZ2248" s="131">
        <f>SI!BZ2248</f>
        <v>0</v>
      </c>
    </row>
    <row r="2249" spans="1:130" hidden="1" x14ac:dyDescent="0.25">
      <c r="A2249" s="141"/>
      <c r="B2249" s="379"/>
      <c r="C2249" s="379"/>
      <c r="D2249" s="379"/>
      <c r="E2249" s="379"/>
      <c r="F2249" s="379"/>
      <c r="G2249" s="379"/>
      <c r="H2249" s="379"/>
      <c r="I2249" s="379"/>
      <c r="J2249" s="379"/>
      <c r="K2249" s="379"/>
      <c r="L2249" s="379"/>
      <c r="M2249" s="379"/>
      <c r="N2249" s="379"/>
      <c r="O2249" s="379"/>
      <c r="P2249" s="379"/>
      <c r="Q2249" s="379"/>
      <c r="R2249" s="379"/>
      <c r="S2249" s="379"/>
      <c r="T2249" s="379"/>
      <c r="U2249" s="379"/>
      <c r="V2249" s="379"/>
      <c r="W2249" s="379"/>
      <c r="X2249" s="379"/>
      <c r="Y2249" s="379"/>
      <c r="Z2249" s="379"/>
      <c r="AA2249" s="379"/>
      <c r="AB2249" s="379"/>
      <c r="AC2249" s="379"/>
      <c r="AD2249" s="379"/>
      <c r="AE2249" s="379"/>
      <c r="AF2249" s="379"/>
      <c r="AG2249" s="379"/>
      <c r="AH2249" s="379"/>
      <c r="AI2249" s="379"/>
      <c r="AJ2249" s="379"/>
      <c r="AK2249" s="379"/>
      <c r="AL2249" s="379"/>
      <c r="AM2249" s="379"/>
      <c r="AN2249" s="379"/>
      <c r="AO2249" s="379"/>
      <c r="AP2249" s="379"/>
      <c r="AQ2249" s="379"/>
      <c r="AR2249" s="379"/>
      <c r="AS2249" s="379"/>
      <c r="AT2249" s="379"/>
      <c r="AU2249" s="379"/>
      <c r="AV2249" s="379"/>
      <c r="AW2249" s="379"/>
      <c r="AX2249" s="379"/>
      <c r="AY2249" s="379"/>
      <c r="AZ2249" s="379"/>
      <c r="BA2249" s="379"/>
      <c r="BB2249" s="379"/>
      <c r="BC2249" s="379"/>
      <c r="BD2249" s="379"/>
      <c r="BE2249" s="379"/>
      <c r="BF2249" s="379"/>
      <c r="BG2249" s="379"/>
      <c r="BH2249" s="379"/>
      <c r="BI2249" s="379"/>
      <c r="BJ2249" s="379"/>
      <c r="BK2249" s="379"/>
      <c r="BL2249" s="379"/>
      <c r="BM2249" s="379"/>
      <c r="BN2249" s="379"/>
      <c r="BO2249" s="379"/>
      <c r="BP2249" s="379"/>
      <c r="BQ2249" s="379"/>
      <c r="BR2249" s="379"/>
      <c r="BS2249" s="379"/>
      <c r="BT2249" s="379"/>
      <c r="BU2249" s="379"/>
      <c r="BV2249" s="379"/>
      <c r="BW2249" s="379"/>
      <c r="BX2249" s="379"/>
      <c r="BY2249" s="379"/>
      <c r="BZ2249" s="379"/>
      <c r="CA2249" s="281"/>
      <c r="CB2249" s="3" t="str">
        <f t="shared" si="384"/>
        <v>Riadok bude skrytý.</v>
      </c>
      <c r="CC2249" s="271" t="s">
        <v>832</v>
      </c>
      <c r="CW2249" s="30">
        <f t="shared" si="387"/>
        <v>1</v>
      </c>
      <c r="CX2249" s="30">
        <f t="shared" si="389"/>
        <v>0</v>
      </c>
      <c r="CZ2249" s="30">
        <f t="shared" si="385"/>
        <v>1</v>
      </c>
      <c r="DA2249" s="52">
        <f t="shared" si="388"/>
        <v>0</v>
      </c>
      <c r="DB2249" s="2">
        <f t="shared" si="381"/>
        <v>0</v>
      </c>
      <c r="DS2249" s="130">
        <f>SI!BY2249</f>
        <v>7</v>
      </c>
      <c r="DZ2249" s="131">
        <f>SI!BZ2249</f>
        <v>0</v>
      </c>
    </row>
    <row r="2250" spans="1:130" hidden="1" x14ac:dyDescent="0.25">
      <c r="A2250" s="141"/>
      <c r="B2250" s="379"/>
      <c r="C2250" s="379"/>
      <c r="D2250" s="379"/>
      <c r="E2250" s="379"/>
      <c r="F2250" s="379"/>
      <c r="G2250" s="379"/>
      <c r="H2250" s="379"/>
      <c r="I2250" s="379"/>
      <c r="J2250" s="379"/>
      <c r="K2250" s="379"/>
      <c r="L2250" s="379"/>
      <c r="M2250" s="379"/>
      <c r="N2250" s="379"/>
      <c r="O2250" s="379"/>
      <c r="P2250" s="379"/>
      <c r="Q2250" s="379"/>
      <c r="R2250" s="379"/>
      <c r="S2250" s="379"/>
      <c r="T2250" s="379"/>
      <c r="U2250" s="379"/>
      <c r="V2250" s="379"/>
      <c r="W2250" s="379"/>
      <c r="X2250" s="379"/>
      <c r="Y2250" s="379"/>
      <c r="Z2250" s="379"/>
      <c r="AA2250" s="379"/>
      <c r="AB2250" s="379"/>
      <c r="AC2250" s="379"/>
      <c r="AD2250" s="379"/>
      <c r="AE2250" s="379"/>
      <c r="AF2250" s="379"/>
      <c r="AG2250" s="379"/>
      <c r="AH2250" s="379"/>
      <c r="AI2250" s="379"/>
      <c r="AJ2250" s="379"/>
      <c r="AK2250" s="379"/>
      <c r="AL2250" s="379"/>
      <c r="AM2250" s="379"/>
      <c r="AN2250" s="379"/>
      <c r="AO2250" s="379"/>
      <c r="AP2250" s="379"/>
      <c r="AQ2250" s="379"/>
      <c r="AR2250" s="379"/>
      <c r="AS2250" s="379"/>
      <c r="AT2250" s="379"/>
      <c r="AU2250" s="379"/>
      <c r="AV2250" s="379"/>
      <c r="AW2250" s="379"/>
      <c r="AX2250" s="379"/>
      <c r="AY2250" s="379"/>
      <c r="AZ2250" s="379"/>
      <c r="BA2250" s="379"/>
      <c r="BB2250" s="379"/>
      <c r="BC2250" s="379"/>
      <c r="BD2250" s="379"/>
      <c r="BE2250" s="379"/>
      <c r="BF2250" s="379"/>
      <c r="BG2250" s="379"/>
      <c r="BH2250" s="379"/>
      <c r="BI2250" s="379"/>
      <c r="BJ2250" s="379"/>
      <c r="BK2250" s="379"/>
      <c r="BL2250" s="379"/>
      <c r="BM2250" s="379"/>
      <c r="BN2250" s="379"/>
      <c r="BO2250" s="379"/>
      <c r="BP2250" s="379"/>
      <c r="BQ2250" s="379"/>
      <c r="BR2250" s="379"/>
      <c r="BS2250" s="379"/>
      <c r="BT2250" s="379"/>
      <c r="BU2250" s="379"/>
      <c r="BV2250" s="379"/>
      <c r="BW2250" s="379"/>
      <c r="BX2250" s="379"/>
      <c r="BY2250" s="379"/>
      <c r="BZ2250" s="379"/>
      <c r="CA2250" s="281"/>
      <c r="CB2250" s="3" t="str">
        <f t="shared" si="384"/>
        <v>Riadok bude skrytý.</v>
      </c>
      <c r="CC2250" s="271" t="s">
        <v>832</v>
      </c>
      <c r="CW2250" s="30">
        <f t="shared" si="387"/>
        <v>1</v>
      </c>
      <c r="CX2250" s="30">
        <f t="shared" si="389"/>
        <v>0</v>
      </c>
      <c r="CZ2250" s="30">
        <f t="shared" si="385"/>
        <v>1</v>
      </c>
      <c r="DA2250" s="52">
        <f t="shared" si="388"/>
        <v>0</v>
      </c>
      <c r="DB2250" s="2">
        <f t="shared" si="381"/>
        <v>0</v>
      </c>
      <c r="DS2250" s="130">
        <f>SI!BY2250</f>
        <v>773</v>
      </c>
      <c r="DZ2250" s="131">
        <f>SI!BZ2250</f>
        <v>0</v>
      </c>
    </row>
    <row r="2251" spans="1:130" hidden="1" x14ac:dyDescent="0.25">
      <c r="A2251" s="141"/>
      <c r="B2251" s="379"/>
      <c r="C2251" s="379"/>
      <c r="D2251" s="379"/>
      <c r="E2251" s="379"/>
      <c r="F2251" s="379"/>
      <c r="G2251" s="379"/>
      <c r="H2251" s="379"/>
      <c r="I2251" s="379"/>
      <c r="J2251" s="379"/>
      <c r="K2251" s="379"/>
      <c r="L2251" s="379"/>
      <c r="M2251" s="379"/>
      <c r="N2251" s="379"/>
      <c r="O2251" s="379"/>
      <c r="P2251" s="379"/>
      <c r="Q2251" s="379"/>
      <c r="R2251" s="379"/>
      <c r="S2251" s="379"/>
      <c r="T2251" s="379"/>
      <c r="U2251" s="379"/>
      <c r="V2251" s="379"/>
      <c r="W2251" s="379"/>
      <c r="X2251" s="379"/>
      <c r="Y2251" s="379"/>
      <c r="Z2251" s="379"/>
      <c r="AA2251" s="379"/>
      <c r="AB2251" s="379"/>
      <c r="AC2251" s="379"/>
      <c r="AD2251" s="379"/>
      <c r="AE2251" s="379"/>
      <c r="AF2251" s="379"/>
      <c r="AG2251" s="379"/>
      <c r="AH2251" s="379"/>
      <c r="AI2251" s="379"/>
      <c r="AJ2251" s="379"/>
      <c r="AK2251" s="379"/>
      <c r="AL2251" s="379"/>
      <c r="AM2251" s="379"/>
      <c r="AN2251" s="379"/>
      <c r="AO2251" s="379"/>
      <c r="AP2251" s="379"/>
      <c r="AQ2251" s="379"/>
      <c r="AR2251" s="379"/>
      <c r="AS2251" s="379"/>
      <c r="AT2251" s="379"/>
      <c r="AU2251" s="379"/>
      <c r="AV2251" s="379"/>
      <c r="AW2251" s="379"/>
      <c r="AX2251" s="379"/>
      <c r="AY2251" s="379"/>
      <c r="AZ2251" s="379"/>
      <c r="BA2251" s="379"/>
      <c r="BB2251" s="379"/>
      <c r="BC2251" s="379"/>
      <c r="BD2251" s="379"/>
      <c r="BE2251" s="379"/>
      <c r="BF2251" s="379"/>
      <c r="BG2251" s="379"/>
      <c r="BH2251" s="379"/>
      <c r="BI2251" s="379"/>
      <c r="BJ2251" s="379"/>
      <c r="BK2251" s="379"/>
      <c r="BL2251" s="379"/>
      <c r="BM2251" s="379"/>
      <c r="BN2251" s="379"/>
      <c r="BO2251" s="379"/>
      <c r="BP2251" s="379"/>
      <c r="BQ2251" s="379"/>
      <c r="BR2251" s="379"/>
      <c r="BS2251" s="379"/>
      <c r="BT2251" s="379"/>
      <c r="BU2251" s="379"/>
      <c r="BV2251" s="379"/>
      <c r="BW2251" s="379"/>
      <c r="BX2251" s="379"/>
      <c r="BY2251" s="379"/>
      <c r="BZ2251" s="379"/>
      <c r="CA2251" s="281"/>
      <c r="CB2251" s="3" t="str">
        <f t="shared" si="384"/>
        <v>Riadok bude skrytý.</v>
      </c>
      <c r="CC2251" s="271" t="s">
        <v>832</v>
      </c>
      <c r="CW2251" s="30">
        <f t="shared" si="387"/>
        <v>1</v>
      </c>
      <c r="CX2251" s="30">
        <f t="shared" si="389"/>
        <v>0</v>
      </c>
      <c r="CZ2251" s="30">
        <f t="shared" si="385"/>
        <v>1</v>
      </c>
      <c r="DA2251" s="52">
        <f t="shared" si="388"/>
        <v>0</v>
      </c>
      <c r="DB2251" s="2">
        <f t="shared" si="381"/>
        <v>0</v>
      </c>
      <c r="DS2251" s="130">
        <f>SI!BY2251</f>
        <v>195</v>
      </c>
      <c r="DZ2251" s="131">
        <f>SI!BZ2251</f>
        <v>0</v>
      </c>
    </row>
    <row r="2252" spans="1:130" hidden="1" x14ac:dyDescent="0.25">
      <c r="A2252" s="141"/>
      <c r="B2252" s="379"/>
      <c r="C2252" s="379"/>
      <c r="D2252" s="379"/>
      <c r="E2252" s="379"/>
      <c r="F2252" s="379"/>
      <c r="G2252" s="379"/>
      <c r="H2252" s="379"/>
      <c r="I2252" s="379"/>
      <c r="J2252" s="379"/>
      <c r="K2252" s="379"/>
      <c r="L2252" s="379"/>
      <c r="M2252" s="379"/>
      <c r="N2252" s="379"/>
      <c r="O2252" s="379"/>
      <c r="P2252" s="379"/>
      <c r="Q2252" s="379"/>
      <c r="R2252" s="379"/>
      <c r="S2252" s="379"/>
      <c r="T2252" s="379"/>
      <c r="U2252" s="379"/>
      <c r="V2252" s="379"/>
      <c r="W2252" s="379"/>
      <c r="X2252" s="379"/>
      <c r="Y2252" s="379"/>
      <c r="Z2252" s="379"/>
      <c r="AA2252" s="379"/>
      <c r="AB2252" s="379"/>
      <c r="AC2252" s="379"/>
      <c r="AD2252" s="379"/>
      <c r="AE2252" s="379"/>
      <c r="AF2252" s="379"/>
      <c r="AG2252" s="379"/>
      <c r="AH2252" s="379"/>
      <c r="AI2252" s="379"/>
      <c r="AJ2252" s="379"/>
      <c r="AK2252" s="379"/>
      <c r="AL2252" s="379"/>
      <c r="AM2252" s="379"/>
      <c r="AN2252" s="379"/>
      <c r="AO2252" s="379"/>
      <c r="AP2252" s="379"/>
      <c r="AQ2252" s="379"/>
      <c r="AR2252" s="379"/>
      <c r="AS2252" s="379"/>
      <c r="AT2252" s="379"/>
      <c r="AU2252" s="379"/>
      <c r="AV2252" s="379"/>
      <c r="AW2252" s="379"/>
      <c r="AX2252" s="379"/>
      <c r="AY2252" s="379"/>
      <c r="AZ2252" s="379"/>
      <c r="BA2252" s="379"/>
      <c r="BB2252" s="379"/>
      <c r="BC2252" s="379"/>
      <c r="BD2252" s="379"/>
      <c r="BE2252" s="379"/>
      <c r="BF2252" s="379"/>
      <c r="BG2252" s="379"/>
      <c r="BH2252" s="379"/>
      <c r="BI2252" s="379"/>
      <c r="BJ2252" s="379"/>
      <c r="BK2252" s="379"/>
      <c r="BL2252" s="379"/>
      <c r="BM2252" s="379"/>
      <c r="BN2252" s="379"/>
      <c r="BO2252" s="379"/>
      <c r="BP2252" s="379"/>
      <c r="BQ2252" s="379"/>
      <c r="BR2252" s="379"/>
      <c r="BS2252" s="379"/>
      <c r="BT2252" s="379"/>
      <c r="BU2252" s="379"/>
      <c r="BV2252" s="379"/>
      <c r="BW2252" s="379"/>
      <c r="BX2252" s="379"/>
      <c r="BY2252" s="379"/>
      <c r="BZ2252" s="379"/>
      <c r="CA2252" s="281"/>
      <c r="CB2252" s="3" t="str">
        <f t="shared" si="384"/>
        <v>Riadok bude skrytý.</v>
      </c>
      <c r="CC2252" s="271" t="s">
        <v>832</v>
      </c>
      <c r="CW2252" s="30">
        <f t="shared" si="387"/>
        <v>1</v>
      </c>
      <c r="CX2252" s="30">
        <f t="shared" si="389"/>
        <v>0</v>
      </c>
      <c r="CZ2252" s="30">
        <f t="shared" si="385"/>
        <v>1</v>
      </c>
      <c r="DA2252" s="52">
        <f t="shared" si="388"/>
        <v>0</v>
      </c>
      <c r="DB2252" s="2">
        <f t="shared" si="381"/>
        <v>0</v>
      </c>
      <c r="DS2252" s="130">
        <f>SI!BY2252</f>
        <v>1122</v>
      </c>
      <c r="DZ2252" s="131">
        <f>SI!BZ2252</f>
        <v>0</v>
      </c>
    </row>
    <row r="2253" spans="1:130" hidden="1" x14ac:dyDescent="0.25">
      <c r="A2253" s="141"/>
      <c r="B2253" s="379"/>
      <c r="C2253" s="379"/>
      <c r="D2253" s="379"/>
      <c r="E2253" s="379"/>
      <c r="F2253" s="379"/>
      <c r="G2253" s="379"/>
      <c r="H2253" s="379"/>
      <c r="I2253" s="379"/>
      <c r="J2253" s="379"/>
      <c r="K2253" s="379"/>
      <c r="L2253" s="379"/>
      <c r="M2253" s="379"/>
      <c r="N2253" s="379"/>
      <c r="O2253" s="379"/>
      <c r="P2253" s="379"/>
      <c r="Q2253" s="379"/>
      <c r="R2253" s="379"/>
      <c r="S2253" s="379"/>
      <c r="T2253" s="379"/>
      <c r="U2253" s="379"/>
      <c r="V2253" s="379"/>
      <c r="W2253" s="379"/>
      <c r="X2253" s="379"/>
      <c r="Y2253" s="379"/>
      <c r="Z2253" s="379"/>
      <c r="AA2253" s="379"/>
      <c r="AB2253" s="379"/>
      <c r="AC2253" s="379"/>
      <c r="AD2253" s="379"/>
      <c r="AE2253" s="379"/>
      <c r="AF2253" s="379"/>
      <c r="AG2253" s="379"/>
      <c r="AH2253" s="379"/>
      <c r="AI2253" s="379"/>
      <c r="AJ2253" s="379"/>
      <c r="AK2253" s="379"/>
      <c r="AL2253" s="379"/>
      <c r="AM2253" s="379"/>
      <c r="AN2253" s="379"/>
      <c r="AO2253" s="379"/>
      <c r="AP2253" s="379"/>
      <c r="AQ2253" s="379"/>
      <c r="AR2253" s="379"/>
      <c r="AS2253" s="379"/>
      <c r="AT2253" s="379"/>
      <c r="AU2253" s="379"/>
      <c r="AV2253" s="379"/>
      <c r="AW2253" s="379"/>
      <c r="AX2253" s="379"/>
      <c r="AY2253" s="379"/>
      <c r="AZ2253" s="379"/>
      <c r="BA2253" s="379"/>
      <c r="BB2253" s="379"/>
      <c r="BC2253" s="379"/>
      <c r="BD2253" s="379"/>
      <c r="BE2253" s="379"/>
      <c r="BF2253" s="379"/>
      <c r="BG2253" s="379"/>
      <c r="BH2253" s="379"/>
      <c r="BI2253" s="379"/>
      <c r="BJ2253" s="379"/>
      <c r="BK2253" s="379"/>
      <c r="BL2253" s="379"/>
      <c r="BM2253" s="379"/>
      <c r="BN2253" s="379"/>
      <c r="BO2253" s="379"/>
      <c r="BP2253" s="379"/>
      <c r="BQ2253" s="379"/>
      <c r="BR2253" s="379"/>
      <c r="BS2253" s="379"/>
      <c r="BT2253" s="379"/>
      <c r="BU2253" s="379"/>
      <c r="BV2253" s="379"/>
      <c r="BW2253" s="379"/>
      <c r="BX2253" s="379"/>
      <c r="BY2253" s="379"/>
      <c r="BZ2253" s="379"/>
      <c r="CA2253" s="281"/>
      <c r="CB2253" s="3" t="str">
        <f t="shared" si="384"/>
        <v>Riadok bude skrytý.</v>
      </c>
      <c r="CC2253" s="271" t="s">
        <v>832</v>
      </c>
      <c r="CW2253" s="30">
        <f t="shared" si="387"/>
        <v>1</v>
      </c>
      <c r="CX2253" s="30">
        <f t="shared" si="389"/>
        <v>0</v>
      </c>
      <c r="CZ2253" s="30">
        <f t="shared" si="385"/>
        <v>1</v>
      </c>
      <c r="DA2253" s="52">
        <f t="shared" si="388"/>
        <v>0</v>
      </c>
      <c r="DB2253" s="2">
        <f t="shared" si="381"/>
        <v>0</v>
      </c>
      <c r="DS2253" s="130">
        <f>SI!BY2253</f>
        <v>183</v>
      </c>
      <c r="DZ2253" s="131">
        <f>SI!BZ2253</f>
        <v>0</v>
      </c>
    </row>
    <row r="2254" spans="1:130" hidden="1" x14ac:dyDescent="0.25">
      <c r="A2254" s="141"/>
      <c r="B2254" s="379"/>
      <c r="C2254" s="379"/>
      <c r="D2254" s="379"/>
      <c r="E2254" s="379"/>
      <c r="F2254" s="379"/>
      <c r="G2254" s="379"/>
      <c r="H2254" s="379"/>
      <c r="I2254" s="379"/>
      <c r="J2254" s="379"/>
      <c r="K2254" s="379"/>
      <c r="L2254" s="379"/>
      <c r="M2254" s="379"/>
      <c r="N2254" s="379"/>
      <c r="O2254" s="379"/>
      <c r="P2254" s="379"/>
      <c r="Q2254" s="379"/>
      <c r="R2254" s="379"/>
      <c r="S2254" s="379"/>
      <c r="T2254" s="379"/>
      <c r="U2254" s="379"/>
      <c r="V2254" s="379"/>
      <c r="W2254" s="379"/>
      <c r="X2254" s="379"/>
      <c r="Y2254" s="379"/>
      <c r="Z2254" s="379"/>
      <c r="AA2254" s="379"/>
      <c r="AB2254" s="379"/>
      <c r="AC2254" s="379"/>
      <c r="AD2254" s="379"/>
      <c r="AE2254" s="379"/>
      <c r="AF2254" s="379"/>
      <c r="AG2254" s="379"/>
      <c r="AH2254" s="379"/>
      <c r="AI2254" s="379"/>
      <c r="AJ2254" s="379"/>
      <c r="AK2254" s="379"/>
      <c r="AL2254" s="379"/>
      <c r="AM2254" s="379"/>
      <c r="AN2254" s="379"/>
      <c r="AO2254" s="379"/>
      <c r="AP2254" s="379"/>
      <c r="AQ2254" s="379"/>
      <c r="AR2254" s="379"/>
      <c r="AS2254" s="379"/>
      <c r="AT2254" s="379"/>
      <c r="AU2254" s="379"/>
      <c r="AV2254" s="379"/>
      <c r="AW2254" s="379"/>
      <c r="AX2254" s="379"/>
      <c r="AY2254" s="379"/>
      <c r="AZ2254" s="379"/>
      <c r="BA2254" s="379"/>
      <c r="BB2254" s="379"/>
      <c r="BC2254" s="379"/>
      <c r="BD2254" s="379"/>
      <c r="BE2254" s="379"/>
      <c r="BF2254" s="379"/>
      <c r="BG2254" s="379"/>
      <c r="BH2254" s="379"/>
      <c r="BI2254" s="379"/>
      <c r="BJ2254" s="379"/>
      <c r="BK2254" s="379"/>
      <c r="BL2254" s="379"/>
      <c r="BM2254" s="379"/>
      <c r="BN2254" s="379"/>
      <c r="BO2254" s="379"/>
      <c r="BP2254" s="379"/>
      <c r="BQ2254" s="379"/>
      <c r="BR2254" s="379"/>
      <c r="BS2254" s="379"/>
      <c r="BT2254" s="379"/>
      <c r="BU2254" s="379"/>
      <c r="BV2254" s="379"/>
      <c r="BW2254" s="379"/>
      <c r="BX2254" s="379"/>
      <c r="BY2254" s="379"/>
      <c r="BZ2254" s="379"/>
      <c r="CA2254" s="281"/>
      <c r="CB2254" s="3" t="str">
        <f t="shared" si="384"/>
        <v>Riadok bude skrytý.</v>
      </c>
      <c r="CC2254" s="271" t="s">
        <v>832</v>
      </c>
      <c r="CW2254" s="30">
        <f t="shared" si="387"/>
        <v>1</v>
      </c>
      <c r="CX2254" s="30">
        <f t="shared" si="389"/>
        <v>0</v>
      </c>
      <c r="CZ2254" s="30">
        <f t="shared" si="385"/>
        <v>1</v>
      </c>
      <c r="DA2254" s="52">
        <f t="shared" si="388"/>
        <v>0</v>
      </c>
      <c r="DB2254" s="2">
        <f t="shared" si="381"/>
        <v>0</v>
      </c>
      <c r="DS2254" s="130">
        <f>SI!BY2254</f>
        <v>120</v>
      </c>
      <c r="DZ2254" s="131">
        <f>SI!BZ2254</f>
        <v>0</v>
      </c>
    </row>
    <row r="2255" spans="1:130" hidden="1" x14ac:dyDescent="0.25">
      <c r="A2255" s="141"/>
      <c r="B2255" s="379"/>
      <c r="C2255" s="379"/>
      <c r="D2255" s="379"/>
      <c r="E2255" s="379"/>
      <c r="F2255" s="379"/>
      <c r="G2255" s="379"/>
      <c r="H2255" s="379"/>
      <c r="I2255" s="379"/>
      <c r="J2255" s="379"/>
      <c r="K2255" s="379"/>
      <c r="L2255" s="379"/>
      <c r="M2255" s="379"/>
      <c r="N2255" s="379"/>
      <c r="O2255" s="379"/>
      <c r="P2255" s="379"/>
      <c r="Q2255" s="379"/>
      <c r="R2255" s="379"/>
      <c r="S2255" s="379"/>
      <c r="T2255" s="379"/>
      <c r="U2255" s="379"/>
      <c r="V2255" s="379"/>
      <c r="W2255" s="379"/>
      <c r="X2255" s="379"/>
      <c r="Y2255" s="379"/>
      <c r="Z2255" s="379"/>
      <c r="AA2255" s="379"/>
      <c r="AB2255" s="379"/>
      <c r="AC2255" s="379"/>
      <c r="AD2255" s="379"/>
      <c r="AE2255" s="379"/>
      <c r="AF2255" s="379"/>
      <c r="AG2255" s="379"/>
      <c r="AH2255" s="379"/>
      <c r="AI2255" s="379"/>
      <c r="AJ2255" s="379"/>
      <c r="AK2255" s="379"/>
      <c r="AL2255" s="379"/>
      <c r="AM2255" s="379"/>
      <c r="AN2255" s="379"/>
      <c r="AO2255" s="379"/>
      <c r="AP2255" s="379"/>
      <c r="AQ2255" s="379"/>
      <c r="AR2255" s="379"/>
      <c r="AS2255" s="379"/>
      <c r="AT2255" s="379"/>
      <c r="AU2255" s="379"/>
      <c r="AV2255" s="379"/>
      <c r="AW2255" s="379"/>
      <c r="AX2255" s="379"/>
      <c r="AY2255" s="379"/>
      <c r="AZ2255" s="379"/>
      <c r="BA2255" s="379"/>
      <c r="BB2255" s="379"/>
      <c r="BC2255" s="379"/>
      <c r="BD2255" s="379"/>
      <c r="BE2255" s="379"/>
      <c r="BF2255" s="379"/>
      <c r="BG2255" s="379"/>
      <c r="BH2255" s="379"/>
      <c r="BI2255" s="379"/>
      <c r="BJ2255" s="379"/>
      <c r="BK2255" s="379"/>
      <c r="BL2255" s="379"/>
      <c r="BM2255" s="379"/>
      <c r="BN2255" s="379"/>
      <c r="BO2255" s="379"/>
      <c r="BP2255" s="379"/>
      <c r="BQ2255" s="379"/>
      <c r="BR2255" s="379"/>
      <c r="BS2255" s="379"/>
      <c r="BT2255" s="379"/>
      <c r="BU2255" s="379"/>
      <c r="BV2255" s="379"/>
      <c r="BW2255" s="379"/>
      <c r="BX2255" s="379"/>
      <c r="BY2255" s="379"/>
      <c r="BZ2255" s="379"/>
      <c r="CA2255" s="281"/>
      <c r="CB2255" s="3" t="str">
        <f t="shared" si="384"/>
        <v>Riadok bude skrytý.</v>
      </c>
      <c r="CC2255" s="271" t="s">
        <v>832</v>
      </c>
      <c r="CW2255" s="30">
        <f t="shared" si="387"/>
        <v>1</v>
      </c>
      <c r="CX2255" s="30">
        <f t="shared" si="389"/>
        <v>0</v>
      </c>
      <c r="CZ2255" s="30">
        <f t="shared" si="385"/>
        <v>1</v>
      </c>
      <c r="DA2255" s="52">
        <f t="shared" si="388"/>
        <v>0</v>
      </c>
      <c r="DB2255" s="2">
        <f t="shared" si="381"/>
        <v>0</v>
      </c>
      <c r="DS2255" s="130">
        <f>SI!BY2255</f>
        <v>520</v>
      </c>
      <c r="DZ2255" s="131">
        <f>SI!BZ2255</f>
        <v>0</v>
      </c>
    </row>
    <row r="2256" spans="1:130" hidden="1" x14ac:dyDescent="0.25">
      <c r="A2256" s="141"/>
      <c r="B2256" s="379"/>
      <c r="C2256" s="379"/>
      <c r="D2256" s="379"/>
      <c r="E2256" s="379"/>
      <c r="F2256" s="379"/>
      <c r="G2256" s="379"/>
      <c r="H2256" s="379"/>
      <c r="I2256" s="379"/>
      <c r="J2256" s="379"/>
      <c r="K2256" s="379"/>
      <c r="L2256" s="379"/>
      <c r="M2256" s="379"/>
      <c r="N2256" s="379"/>
      <c r="O2256" s="379"/>
      <c r="P2256" s="379"/>
      <c r="Q2256" s="379"/>
      <c r="R2256" s="379"/>
      <c r="S2256" s="379"/>
      <c r="T2256" s="379"/>
      <c r="U2256" s="379"/>
      <c r="V2256" s="379"/>
      <c r="W2256" s="379"/>
      <c r="X2256" s="379"/>
      <c r="Y2256" s="379"/>
      <c r="Z2256" s="379"/>
      <c r="AA2256" s="379"/>
      <c r="AB2256" s="379"/>
      <c r="AC2256" s="379"/>
      <c r="AD2256" s="379"/>
      <c r="AE2256" s="379"/>
      <c r="AF2256" s="379"/>
      <c r="AG2256" s="379"/>
      <c r="AH2256" s="379"/>
      <c r="AI2256" s="379"/>
      <c r="AJ2256" s="379"/>
      <c r="AK2256" s="379"/>
      <c r="AL2256" s="379"/>
      <c r="AM2256" s="379"/>
      <c r="AN2256" s="379"/>
      <c r="AO2256" s="379"/>
      <c r="AP2256" s="379"/>
      <c r="AQ2256" s="379"/>
      <c r="AR2256" s="379"/>
      <c r="AS2256" s="379"/>
      <c r="AT2256" s="379"/>
      <c r="AU2256" s="379"/>
      <c r="AV2256" s="379"/>
      <c r="AW2256" s="379"/>
      <c r="AX2256" s="379"/>
      <c r="AY2256" s="379"/>
      <c r="AZ2256" s="379"/>
      <c r="BA2256" s="379"/>
      <c r="BB2256" s="379"/>
      <c r="BC2256" s="379"/>
      <c r="BD2256" s="379"/>
      <c r="BE2256" s="379"/>
      <c r="BF2256" s="379"/>
      <c r="BG2256" s="379"/>
      <c r="BH2256" s="379"/>
      <c r="BI2256" s="379"/>
      <c r="BJ2256" s="379"/>
      <c r="BK2256" s="379"/>
      <c r="BL2256" s="379"/>
      <c r="BM2256" s="379"/>
      <c r="BN2256" s="379"/>
      <c r="BO2256" s="379"/>
      <c r="BP2256" s="379"/>
      <c r="BQ2256" s="379"/>
      <c r="BR2256" s="379"/>
      <c r="BS2256" s="379"/>
      <c r="BT2256" s="379"/>
      <c r="BU2256" s="379"/>
      <c r="BV2256" s="379"/>
      <c r="BW2256" s="379"/>
      <c r="BX2256" s="379"/>
      <c r="BY2256" s="379"/>
      <c r="BZ2256" s="379"/>
      <c r="CA2256" s="281"/>
      <c r="CB2256" s="3" t="str">
        <f t="shared" si="384"/>
        <v>Riadok bude skrytý.</v>
      </c>
      <c r="CC2256" s="271" t="s">
        <v>832</v>
      </c>
      <c r="CW2256" s="30">
        <f t="shared" si="387"/>
        <v>1</v>
      </c>
      <c r="CX2256" s="30">
        <f t="shared" si="389"/>
        <v>0</v>
      </c>
      <c r="CZ2256" s="30">
        <f t="shared" si="385"/>
        <v>1</v>
      </c>
      <c r="DA2256" s="52">
        <f t="shared" si="388"/>
        <v>0</v>
      </c>
      <c r="DB2256" s="2">
        <f t="shared" si="381"/>
        <v>0</v>
      </c>
      <c r="DS2256" s="130">
        <f>SI!BY2256</f>
        <v>118</v>
      </c>
      <c r="DZ2256" s="131">
        <f>SI!BZ2256</f>
        <v>0</v>
      </c>
    </row>
    <row r="2257" spans="1:130" hidden="1" x14ac:dyDescent="0.25">
      <c r="A2257" s="141"/>
      <c r="B2257" s="379"/>
      <c r="C2257" s="379"/>
      <c r="D2257" s="379"/>
      <c r="E2257" s="379"/>
      <c r="F2257" s="379"/>
      <c r="G2257" s="379"/>
      <c r="H2257" s="379"/>
      <c r="I2257" s="379"/>
      <c r="J2257" s="379"/>
      <c r="K2257" s="379"/>
      <c r="L2257" s="379"/>
      <c r="M2257" s="379"/>
      <c r="N2257" s="379"/>
      <c r="O2257" s="379"/>
      <c r="P2257" s="379"/>
      <c r="Q2257" s="379"/>
      <c r="R2257" s="379"/>
      <c r="S2257" s="379"/>
      <c r="T2257" s="379"/>
      <c r="U2257" s="379"/>
      <c r="V2257" s="379"/>
      <c r="W2257" s="379"/>
      <c r="X2257" s="379"/>
      <c r="Y2257" s="379"/>
      <c r="Z2257" s="379"/>
      <c r="AA2257" s="379"/>
      <c r="AB2257" s="379"/>
      <c r="AC2257" s="379"/>
      <c r="AD2257" s="379"/>
      <c r="AE2257" s="379"/>
      <c r="AF2257" s="379"/>
      <c r="AG2257" s="379"/>
      <c r="AH2257" s="379"/>
      <c r="AI2257" s="379"/>
      <c r="AJ2257" s="379"/>
      <c r="AK2257" s="379"/>
      <c r="AL2257" s="379"/>
      <c r="AM2257" s="379"/>
      <c r="AN2257" s="379"/>
      <c r="AO2257" s="379"/>
      <c r="AP2257" s="379"/>
      <c r="AQ2257" s="379"/>
      <c r="AR2257" s="379"/>
      <c r="AS2257" s="379"/>
      <c r="AT2257" s="379"/>
      <c r="AU2257" s="379"/>
      <c r="AV2257" s="379"/>
      <c r="AW2257" s="379"/>
      <c r="AX2257" s="379"/>
      <c r="AY2257" s="379"/>
      <c r="AZ2257" s="379"/>
      <c r="BA2257" s="379"/>
      <c r="BB2257" s="379"/>
      <c r="BC2257" s="379"/>
      <c r="BD2257" s="379"/>
      <c r="BE2257" s="379"/>
      <c r="BF2257" s="379"/>
      <c r="BG2257" s="379"/>
      <c r="BH2257" s="379"/>
      <c r="BI2257" s="379"/>
      <c r="BJ2257" s="379"/>
      <c r="BK2257" s="379"/>
      <c r="BL2257" s="379"/>
      <c r="BM2257" s="379"/>
      <c r="BN2257" s="379"/>
      <c r="BO2257" s="379"/>
      <c r="BP2257" s="379"/>
      <c r="BQ2257" s="379"/>
      <c r="BR2257" s="379"/>
      <c r="BS2257" s="379"/>
      <c r="BT2257" s="379"/>
      <c r="BU2257" s="379"/>
      <c r="BV2257" s="379"/>
      <c r="BW2257" s="379"/>
      <c r="BX2257" s="379"/>
      <c r="BY2257" s="379"/>
      <c r="BZ2257" s="379"/>
      <c r="CA2257" s="281"/>
      <c r="CB2257" s="3" t="str">
        <f t="shared" si="384"/>
        <v>Riadok bude skrytý.</v>
      </c>
      <c r="CC2257" s="271" t="s">
        <v>832</v>
      </c>
      <c r="CW2257" s="30">
        <f t="shared" si="387"/>
        <v>1</v>
      </c>
      <c r="CX2257" s="30">
        <f t="shared" si="389"/>
        <v>0</v>
      </c>
      <c r="CZ2257" s="30">
        <f t="shared" si="385"/>
        <v>1</v>
      </c>
      <c r="DA2257" s="52">
        <f t="shared" si="388"/>
        <v>0</v>
      </c>
      <c r="DB2257" s="2">
        <f t="shared" si="381"/>
        <v>0</v>
      </c>
      <c r="DS2257" s="130">
        <f>SI!BY2257</f>
        <v>321</v>
      </c>
      <c r="DZ2257" s="131">
        <f>SI!BZ2257</f>
        <v>0</v>
      </c>
    </row>
    <row r="2258" spans="1:130" hidden="1" x14ac:dyDescent="0.25">
      <c r="A2258" s="141"/>
      <c r="B2258" s="379"/>
      <c r="C2258" s="379"/>
      <c r="D2258" s="379"/>
      <c r="E2258" s="379"/>
      <c r="F2258" s="379"/>
      <c r="G2258" s="379"/>
      <c r="H2258" s="379"/>
      <c r="I2258" s="379"/>
      <c r="J2258" s="379"/>
      <c r="K2258" s="379"/>
      <c r="L2258" s="379"/>
      <c r="M2258" s="379"/>
      <c r="N2258" s="379"/>
      <c r="O2258" s="379"/>
      <c r="P2258" s="379"/>
      <c r="Q2258" s="379"/>
      <c r="R2258" s="379"/>
      <c r="S2258" s="379"/>
      <c r="T2258" s="379"/>
      <c r="U2258" s="379"/>
      <c r="V2258" s="379"/>
      <c r="W2258" s="379"/>
      <c r="X2258" s="379"/>
      <c r="Y2258" s="379"/>
      <c r="Z2258" s="379"/>
      <c r="AA2258" s="379"/>
      <c r="AB2258" s="379"/>
      <c r="AC2258" s="379"/>
      <c r="AD2258" s="379"/>
      <c r="AE2258" s="379"/>
      <c r="AF2258" s="379"/>
      <c r="AG2258" s="379"/>
      <c r="AH2258" s="379"/>
      <c r="AI2258" s="379"/>
      <c r="AJ2258" s="379"/>
      <c r="AK2258" s="379"/>
      <c r="AL2258" s="379"/>
      <c r="AM2258" s="379"/>
      <c r="AN2258" s="379"/>
      <c r="AO2258" s="379"/>
      <c r="AP2258" s="379"/>
      <c r="AQ2258" s="379"/>
      <c r="AR2258" s="379"/>
      <c r="AS2258" s="379"/>
      <c r="AT2258" s="379"/>
      <c r="AU2258" s="379"/>
      <c r="AV2258" s="379"/>
      <c r="AW2258" s="379"/>
      <c r="AX2258" s="379"/>
      <c r="AY2258" s="379"/>
      <c r="AZ2258" s="379"/>
      <c r="BA2258" s="379"/>
      <c r="BB2258" s="379"/>
      <c r="BC2258" s="379"/>
      <c r="BD2258" s="379"/>
      <c r="BE2258" s="379"/>
      <c r="BF2258" s="379"/>
      <c r="BG2258" s="379"/>
      <c r="BH2258" s="379"/>
      <c r="BI2258" s="379"/>
      <c r="BJ2258" s="379"/>
      <c r="BK2258" s="379"/>
      <c r="BL2258" s="379"/>
      <c r="BM2258" s="379"/>
      <c r="BN2258" s="379"/>
      <c r="BO2258" s="379"/>
      <c r="BP2258" s="379"/>
      <c r="BQ2258" s="379"/>
      <c r="BR2258" s="379"/>
      <c r="BS2258" s="379"/>
      <c r="BT2258" s="379"/>
      <c r="BU2258" s="379"/>
      <c r="BV2258" s="379"/>
      <c r="BW2258" s="379"/>
      <c r="BX2258" s="379"/>
      <c r="BY2258" s="379"/>
      <c r="BZ2258" s="379"/>
      <c r="CA2258" s="281"/>
      <c r="CB2258" s="3" t="str">
        <f t="shared" si="384"/>
        <v>Riadok bude skrytý.</v>
      </c>
      <c r="CC2258" s="271" t="s">
        <v>832</v>
      </c>
      <c r="CW2258" s="30">
        <f t="shared" si="387"/>
        <v>1</v>
      </c>
      <c r="CX2258" s="30">
        <f t="shared" si="389"/>
        <v>0</v>
      </c>
      <c r="CZ2258" s="30">
        <f t="shared" si="385"/>
        <v>1</v>
      </c>
      <c r="DA2258" s="52">
        <f t="shared" si="388"/>
        <v>0</v>
      </c>
      <c r="DB2258" s="2">
        <f t="shared" si="381"/>
        <v>0</v>
      </c>
      <c r="DS2258" s="130">
        <f>SI!BY2258</f>
        <v>164</v>
      </c>
      <c r="DZ2258" s="131">
        <f>SI!BZ2258</f>
        <v>0</v>
      </c>
    </row>
    <row r="2259" spans="1:130" hidden="1" x14ac:dyDescent="0.25">
      <c r="A2259" s="141"/>
      <c r="B2259" s="379"/>
      <c r="C2259" s="379"/>
      <c r="D2259" s="379"/>
      <c r="E2259" s="379"/>
      <c r="F2259" s="379"/>
      <c r="G2259" s="379"/>
      <c r="H2259" s="379"/>
      <c r="I2259" s="379"/>
      <c r="J2259" s="379"/>
      <c r="K2259" s="379"/>
      <c r="L2259" s="379"/>
      <c r="M2259" s="379"/>
      <c r="N2259" s="379"/>
      <c r="O2259" s="379"/>
      <c r="P2259" s="379"/>
      <c r="Q2259" s="379"/>
      <c r="R2259" s="379"/>
      <c r="S2259" s="379"/>
      <c r="T2259" s="379"/>
      <c r="U2259" s="379"/>
      <c r="V2259" s="379"/>
      <c r="W2259" s="379"/>
      <c r="X2259" s="379"/>
      <c r="Y2259" s="379"/>
      <c r="Z2259" s="379"/>
      <c r="AA2259" s="379"/>
      <c r="AB2259" s="379"/>
      <c r="AC2259" s="379"/>
      <c r="AD2259" s="379"/>
      <c r="AE2259" s="379"/>
      <c r="AF2259" s="379"/>
      <c r="AG2259" s="379"/>
      <c r="AH2259" s="379"/>
      <c r="AI2259" s="379"/>
      <c r="AJ2259" s="379"/>
      <c r="AK2259" s="379"/>
      <c r="AL2259" s="379"/>
      <c r="AM2259" s="379"/>
      <c r="AN2259" s="379"/>
      <c r="AO2259" s="379"/>
      <c r="AP2259" s="379"/>
      <c r="AQ2259" s="379"/>
      <c r="AR2259" s="379"/>
      <c r="AS2259" s="379"/>
      <c r="AT2259" s="379"/>
      <c r="AU2259" s="379"/>
      <c r="AV2259" s="379"/>
      <c r="AW2259" s="379"/>
      <c r="AX2259" s="379"/>
      <c r="AY2259" s="379"/>
      <c r="AZ2259" s="379"/>
      <c r="BA2259" s="379"/>
      <c r="BB2259" s="379"/>
      <c r="BC2259" s="379"/>
      <c r="BD2259" s="379"/>
      <c r="BE2259" s="379"/>
      <c r="BF2259" s="379"/>
      <c r="BG2259" s="379"/>
      <c r="BH2259" s="379"/>
      <c r="BI2259" s="379"/>
      <c r="BJ2259" s="379"/>
      <c r="BK2259" s="379"/>
      <c r="BL2259" s="379"/>
      <c r="BM2259" s="379"/>
      <c r="BN2259" s="379"/>
      <c r="BO2259" s="379"/>
      <c r="BP2259" s="379"/>
      <c r="BQ2259" s="379"/>
      <c r="BR2259" s="379"/>
      <c r="BS2259" s="379"/>
      <c r="BT2259" s="379"/>
      <c r="BU2259" s="379"/>
      <c r="BV2259" s="379"/>
      <c r="BW2259" s="379"/>
      <c r="BX2259" s="379"/>
      <c r="BY2259" s="379"/>
      <c r="BZ2259" s="379"/>
      <c r="CA2259" s="281"/>
      <c r="CB2259" s="3" t="str">
        <f t="shared" si="384"/>
        <v>Riadok bude skrytý.</v>
      </c>
      <c r="CC2259" s="271" t="s">
        <v>832</v>
      </c>
      <c r="CW2259" s="30">
        <f t="shared" si="387"/>
        <v>1</v>
      </c>
      <c r="CX2259" s="30">
        <f t="shared" si="389"/>
        <v>0</v>
      </c>
      <c r="CZ2259" s="30">
        <f t="shared" si="385"/>
        <v>1</v>
      </c>
      <c r="DA2259" s="52">
        <f t="shared" si="388"/>
        <v>0</v>
      </c>
      <c r="DB2259" s="2">
        <f t="shared" si="381"/>
        <v>0</v>
      </c>
      <c r="DS2259" s="130">
        <f>SI!BY2259</f>
        <v>1109</v>
      </c>
      <c r="DZ2259" s="131">
        <f>SI!BZ2259</f>
        <v>0</v>
      </c>
    </row>
    <row r="2260" spans="1:130" hidden="1" x14ac:dyDescent="0.25">
      <c r="A2260" s="141"/>
      <c r="B2260" s="379"/>
      <c r="C2260" s="379"/>
      <c r="D2260" s="379"/>
      <c r="E2260" s="379"/>
      <c r="F2260" s="379"/>
      <c r="G2260" s="379"/>
      <c r="H2260" s="379"/>
      <c r="I2260" s="379"/>
      <c r="J2260" s="379"/>
      <c r="K2260" s="379"/>
      <c r="L2260" s="379"/>
      <c r="M2260" s="379"/>
      <c r="N2260" s="379"/>
      <c r="O2260" s="379"/>
      <c r="P2260" s="379"/>
      <c r="Q2260" s="379"/>
      <c r="R2260" s="379"/>
      <c r="S2260" s="379"/>
      <c r="T2260" s="379"/>
      <c r="U2260" s="379"/>
      <c r="V2260" s="379"/>
      <c r="W2260" s="379"/>
      <c r="X2260" s="379"/>
      <c r="Y2260" s="379"/>
      <c r="Z2260" s="379"/>
      <c r="AA2260" s="379"/>
      <c r="AB2260" s="379"/>
      <c r="AC2260" s="379"/>
      <c r="AD2260" s="379"/>
      <c r="AE2260" s="379"/>
      <c r="AF2260" s="379"/>
      <c r="AG2260" s="379"/>
      <c r="AH2260" s="379"/>
      <c r="AI2260" s="379"/>
      <c r="AJ2260" s="379"/>
      <c r="AK2260" s="379"/>
      <c r="AL2260" s="379"/>
      <c r="AM2260" s="379"/>
      <c r="AN2260" s="379"/>
      <c r="AO2260" s="379"/>
      <c r="AP2260" s="379"/>
      <c r="AQ2260" s="379"/>
      <c r="AR2260" s="379"/>
      <c r="AS2260" s="379"/>
      <c r="AT2260" s="379"/>
      <c r="AU2260" s="379"/>
      <c r="AV2260" s="379"/>
      <c r="AW2260" s="379"/>
      <c r="AX2260" s="379"/>
      <c r="AY2260" s="379"/>
      <c r="AZ2260" s="379"/>
      <c r="BA2260" s="379"/>
      <c r="BB2260" s="379"/>
      <c r="BC2260" s="379"/>
      <c r="BD2260" s="379"/>
      <c r="BE2260" s="379"/>
      <c r="BF2260" s="379"/>
      <c r="BG2260" s="379"/>
      <c r="BH2260" s="379"/>
      <c r="BI2260" s="379"/>
      <c r="BJ2260" s="379"/>
      <c r="BK2260" s="379"/>
      <c r="BL2260" s="379"/>
      <c r="BM2260" s="379"/>
      <c r="BN2260" s="379"/>
      <c r="BO2260" s="379"/>
      <c r="BP2260" s="379"/>
      <c r="BQ2260" s="379"/>
      <c r="BR2260" s="379"/>
      <c r="BS2260" s="379"/>
      <c r="BT2260" s="379"/>
      <c r="BU2260" s="379"/>
      <c r="BV2260" s="379"/>
      <c r="BW2260" s="379"/>
      <c r="BX2260" s="379"/>
      <c r="BY2260" s="379"/>
      <c r="BZ2260" s="379"/>
      <c r="CA2260" s="281"/>
      <c r="CB2260" s="3" t="str">
        <f t="shared" si="384"/>
        <v>Riadok bude skrytý.</v>
      </c>
      <c r="CC2260" s="271" t="s">
        <v>832</v>
      </c>
      <c r="CW2260" s="30">
        <f t="shared" si="387"/>
        <v>1</v>
      </c>
      <c r="CX2260" s="30">
        <f t="shared" si="389"/>
        <v>0</v>
      </c>
      <c r="CZ2260" s="30">
        <f t="shared" si="385"/>
        <v>1</v>
      </c>
      <c r="DA2260" s="52">
        <f t="shared" si="388"/>
        <v>0</v>
      </c>
      <c r="DB2260" s="2">
        <f t="shared" si="381"/>
        <v>0</v>
      </c>
      <c r="DS2260" s="130">
        <f>SI!BY2260</f>
        <v>104</v>
      </c>
      <c r="DZ2260" s="131">
        <f>SI!BZ2260</f>
        <v>0</v>
      </c>
    </row>
    <row r="2261" spans="1:130" hidden="1" x14ac:dyDescent="0.25">
      <c r="A2261" s="141"/>
      <c r="B2261" s="379"/>
      <c r="C2261" s="379"/>
      <c r="D2261" s="379"/>
      <c r="E2261" s="379"/>
      <c r="F2261" s="379"/>
      <c r="G2261" s="379"/>
      <c r="H2261" s="379"/>
      <c r="I2261" s="379"/>
      <c r="J2261" s="379"/>
      <c r="K2261" s="379"/>
      <c r="L2261" s="379"/>
      <c r="M2261" s="379"/>
      <c r="N2261" s="379"/>
      <c r="O2261" s="379"/>
      <c r="P2261" s="379"/>
      <c r="Q2261" s="379"/>
      <c r="R2261" s="379"/>
      <c r="S2261" s="379"/>
      <c r="T2261" s="379"/>
      <c r="U2261" s="379"/>
      <c r="V2261" s="379"/>
      <c r="W2261" s="379"/>
      <c r="X2261" s="379"/>
      <c r="Y2261" s="379"/>
      <c r="Z2261" s="379"/>
      <c r="AA2261" s="379"/>
      <c r="AB2261" s="379"/>
      <c r="AC2261" s="379"/>
      <c r="AD2261" s="379"/>
      <c r="AE2261" s="379"/>
      <c r="AF2261" s="379"/>
      <c r="AG2261" s="379"/>
      <c r="AH2261" s="379"/>
      <c r="AI2261" s="379"/>
      <c r="AJ2261" s="379"/>
      <c r="AK2261" s="379"/>
      <c r="AL2261" s="379"/>
      <c r="AM2261" s="379"/>
      <c r="AN2261" s="379"/>
      <c r="AO2261" s="379"/>
      <c r="AP2261" s="379"/>
      <c r="AQ2261" s="379"/>
      <c r="AR2261" s="379"/>
      <c r="AS2261" s="379"/>
      <c r="AT2261" s="379"/>
      <c r="AU2261" s="379"/>
      <c r="AV2261" s="379"/>
      <c r="AW2261" s="379"/>
      <c r="AX2261" s="379"/>
      <c r="AY2261" s="379"/>
      <c r="AZ2261" s="379"/>
      <c r="BA2261" s="379"/>
      <c r="BB2261" s="379"/>
      <c r="BC2261" s="379"/>
      <c r="BD2261" s="379"/>
      <c r="BE2261" s="379"/>
      <c r="BF2261" s="379"/>
      <c r="BG2261" s="379"/>
      <c r="BH2261" s="379"/>
      <c r="BI2261" s="379"/>
      <c r="BJ2261" s="379"/>
      <c r="BK2261" s="379"/>
      <c r="BL2261" s="379"/>
      <c r="BM2261" s="379"/>
      <c r="BN2261" s="379"/>
      <c r="BO2261" s="379"/>
      <c r="BP2261" s="379"/>
      <c r="BQ2261" s="379"/>
      <c r="BR2261" s="379"/>
      <c r="BS2261" s="379"/>
      <c r="BT2261" s="379"/>
      <c r="BU2261" s="379"/>
      <c r="BV2261" s="379"/>
      <c r="BW2261" s="379"/>
      <c r="BX2261" s="379"/>
      <c r="BY2261" s="379"/>
      <c r="BZ2261" s="379"/>
      <c r="CA2261" s="281"/>
      <c r="CB2261" s="3" t="str">
        <f t="shared" si="384"/>
        <v>Riadok bude skrytý.</v>
      </c>
      <c r="CC2261" s="271" t="s">
        <v>832</v>
      </c>
      <c r="CW2261" s="30">
        <f t="shared" si="387"/>
        <v>1</v>
      </c>
      <c r="CX2261" s="30">
        <f t="shared" si="389"/>
        <v>0</v>
      </c>
      <c r="CZ2261" s="30">
        <f t="shared" si="385"/>
        <v>1</v>
      </c>
      <c r="DA2261" s="52">
        <f t="shared" si="388"/>
        <v>0</v>
      </c>
      <c r="DB2261" s="2">
        <f t="shared" si="381"/>
        <v>0</v>
      </c>
      <c r="DS2261" s="130">
        <f>SI!BY2261</f>
        <v>147</v>
      </c>
      <c r="DZ2261" s="131">
        <f>SI!BZ2261</f>
        <v>0</v>
      </c>
    </row>
    <row r="2262" spans="1:130" hidden="1" x14ac:dyDescent="0.25">
      <c r="A2262" s="141"/>
      <c r="B2262" s="379"/>
      <c r="C2262" s="379"/>
      <c r="D2262" s="379"/>
      <c r="E2262" s="379"/>
      <c r="F2262" s="379"/>
      <c r="G2262" s="379"/>
      <c r="H2262" s="379"/>
      <c r="I2262" s="379"/>
      <c r="J2262" s="379"/>
      <c r="K2262" s="379"/>
      <c r="L2262" s="379"/>
      <c r="M2262" s="379"/>
      <c r="N2262" s="379"/>
      <c r="O2262" s="379"/>
      <c r="P2262" s="379"/>
      <c r="Q2262" s="379"/>
      <c r="R2262" s="379"/>
      <c r="S2262" s="379"/>
      <c r="T2262" s="379"/>
      <c r="U2262" s="379"/>
      <c r="V2262" s="379"/>
      <c r="W2262" s="379"/>
      <c r="X2262" s="379"/>
      <c r="Y2262" s="379"/>
      <c r="Z2262" s="379"/>
      <c r="AA2262" s="379"/>
      <c r="AB2262" s="379"/>
      <c r="AC2262" s="379"/>
      <c r="AD2262" s="379"/>
      <c r="AE2262" s="379"/>
      <c r="AF2262" s="379"/>
      <c r="AG2262" s="379"/>
      <c r="AH2262" s="379"/>
      <c r="AI2262" s="379"/>
      <c r="AJ2262" s="379"/>
      <c r="AK2262" s="379"/>
      <c r="AL2262" s="379"/>
      <c r="AM2262" s="379"/>
      <c r="AN2262" s="379"/>
      <c r="AO2262" s="379"/>
      <c r="AP2262" s="379"/>
      <c r="AQ2262" s="379"/>
      <c r="AR2262" s="379"/>
      <c r="AS2262" s="379"/>
      <c r="AT2262" s="379"/>
      <c r="AU2262" s="379"/>
      <c r="AV2262" s="379"/>
      <c r="AW2262" s="379"/>
      <c r="AX2262" s="379"/>
      <c r="AY2262" s="379"/>
      <c r="AZ2262" s="379"/>
      <c r="BA2262" s="379"/>
      <c r="BB2262" s="379"/>
      <c r="BC2262" s="379"/>
      <c r="BD2262" s="379"/>
      <c r="BE2262" s="379"/>
      <c r="BF2262" s="379"/>
      <c r="BG2262" s="379"/>
      <c r="BH2262" s="379"/>
      <c r="BI2262" s="379"/>
      <c r="BJ2262" s="379"/>
      <c r="BK2262" s="379"/>
      <c r="BL2262" s="379"/>
      <c r="BM2262" s="379"/>
      <c r="BN2262" s="379"/>
      <c r="BO2262" s="379"/>
      <c r="BP2262" s="379"/>
      <c r="BQ2262" s="379"/>
      <c r="BR2262" s="379"/>
      <c r="BS2262" s="379"/>
      <c r="BT2262" s="379"/>
      <c r="BU2262" s="379"/>
      <c r="BV2262" s="379"/>
      <c r="BW2262" s="379"/>
      <c r="BX2262" s="379"/>
      <c r="BY2262" s="379"/>
      <c r="BZ2262" s="379"/>
      <c r="CA2262" s="281"/>
      <c r="CB2262" s="3" t="str">
        <f t="shared" si="384"/>
        <v>Riadok bude skrytý.</v>
      </c>
      <c r="CC2262" s="271" t="s">
        <v>832</v>
      </c>
      <c r="CW2262" s="30">
        <f t="shared" si="387"/>
        <v>1</v>
      </c>
      <c r="CX2262" s="30">
        <f t="shared" si="389"/>
        <v>0</v>
      </c>
      <c r="CZ2262" s="30">
        <f t="shared" si="385"/>
        <v>1</v>
      </c>
      <c r="DA2262" s="52">
        <f t="shared" si="388"/>
        <v>0</v>
      </c>
      <c r="DB2262" s="2">
        <f t="shared" si="381"/>
        <v>0</v>
      </c>
      <c r="DS2262" s="130">
        <f>SI!BY2262</f>
        <v>173</v>
      </c>
      <c r="DZ2262" s="131">
        <f>SI!BZ2262</f>
        <v>0</v>
      </c>
    </row>
    <row r="2263" spans="1:130" hidden="1" x14ac:dyDescent="0.25">
      <c r="A2263" s="141"/>
      <c r="B2263" s="379"/>
      <c r="C2263" s="379"/>
      <c r="D2263" s="379"/>
      <c r="E2263" s="379"/>
      <c r="F2263" s="379"/>
      <c r="G2263" s="379"/>
      <c r="H2263" s="379"/>
      <c r="I2263" s="379"/>
      <c r="J2263" s="379"/>
      <c r="K2263" s="379"/>
      <c r="L2263" s="379"/>
      <c r="M2263" s="379"/>
      <c r="N2263" s="379"/>
      <c r="O2263" s="379"/>
      <c r="P2263" s="379"/>
      <c r="Q2263" s="379"/>
      <c r="R2263" s="379"/>
      <c r="S2263" s="379"/>
      <c r="T2263" s="379"/>
      <c r="U2263" s="379"/>
      <c r="V2263" s="379"/>
      <c r="W2263" s="379"/>
      <c r="X2263" s="379"/>
      <c r="Y2263" s="379"/>
      <c r="Z2263" s="379"/>
      <c r="AA2263" s="379"/>
      <c r="AB2263" s="379"/>
      <c r="AC2263" s="379"/>
      <c r="AD2263" s="379"/>
      <c r="AE2263" s="379"/>
      <c r="AF2263" s="379"/>
      <c r="AG2263" s="379"/>
      <c r="AH2263" s="379"/>
      <c r="AI2263" s="379"/>
      <c r="AJ2263" s="379"/>
      <c r="AK2263" s="379"/>
      <c r="AL2263" s="379"/>
      <c r="AM2263" s="379"/>
      <c r="AN2263" s="379"/>
      <c r="AO2263" s="379"/>
      <c r="AP2263" s="379"/>
      <c r="AQ2263" s="379"/>
      <c r="AR2263" s="379"/>
      <c r="AS2263" s="379"/>
      <c r="AT2263" s="379"/>
      <c r="AU2263" s="379"/>
      <c r="AV2263" s="379"/>
      <c r="AW2263" s="379"/>
      <c r="AX2263" s="379"/>
      <c r="AY2263" s="379"/>
      <c r="AZ2263" s="379"/>
      <c r="BA2263" s="379"/>
      <c r="BB2263" s="379"/>
      <c r="BC2263" s="379"/>
      <c r="BD2263" s="379"/>
      <c r="BE2263" s="379"/>
      <c r="BF2263" s="379"/>
      <c r="BG2263" s="379"/>
      <c r="BH2263" s="379"/>
      <c r="BI2263" s="379"/>
      <c r="BJ2263" s="379"/>
      <c r="BK2263" s="379"/>
      <c r="BL2263" s="379"/>
      <c r="BM2263" s="379"/>
      <c r="BN2263" s="379"/>
      <c r="BO2263" s="379"/>
      <c r="BP2263" s="379"/>
      <c r="BQ2263" s="379"/>
      <c r="BR2263" s="379"/>
      <c r="BS2263" s="379"/>
      <c r="BT2263" s="379"/>
      <c r="BU2263" s="379"/>
      <c r="BV2263" s="379"/>
      <c r="BW2263" s="379"/>
      <c r="BX2263" s="379"/>
      <c r="BY2263" s="379"/>
      <c r="BZ2263" s="379"/>
      <c r="CA2263" s="281"/>
      <c r="CB2263" s="3" t="str">
        <f t="shared" si="384"/>
        <v>Riadok bude skrytý.</v>
      </c>
      <c r="CC2263" s="271" t="s">
        <v>832</v>
      </c>
      <c r="CW2263" s="30">
        <f t="shared" si="387"/>
        <v>1</v>
      </c>
      <c r="CX2263" s="30">
        <f t="shared" si="389"/>
        <v>0</v>
      </c>
      <c r="CZ2263" s="30">
        <f t="shared" si="385"/>
        <v>1</v>
      </c>
      <c r="DA2263" s="52">
        <f t="shared" si="388"/>
        <v>0</v>
      </c>
      <c r="DB2263" s="2">
        <f t="shared" si="381"/>
        <v>0</v>
      </c>
      <c r="DS2263" s="130">
        <f>SI!BY2263</f>
        <v>971</v>
      </c>
      <c r="DZ2263" s="131">
        <f>SI!BZ2263</f>
        <v>0</v>
      </c>
    </row>
    <row r="2264" spans="1:130" hidden="1" x14ac:dyDescent="0.25">
      <c r="A2264" s="141"/>
      <c r="CA2264" s="281"/>
      <c r="CB2264" s="3" t="str">
        <f t="shared" si="384"/>
        <v>Riadok bude skrytý.</v>
      </c>
      <c r="CW2264" s="49">
        <v>1</v>
      </c>
      <c r="CZ2264" s="30">
        <f t="shared" si="385"/>
        <v>1</v>
      </c>
      <c r="DA2264" s="30">
        <f t="shared" ref="DA2264:DA2272" si="390">+IF(CW2264+CX2264+CY2264=0,0,IF(CZ2264=0,0,1))</f>
        <v>1</v>
      </c>
      <c r="DB2264" s="2">
        <f t="shared" si="381"/>
        <v>0</v>
      </c>
      <c r="DS2264" s="130">
        <f>SI!BY2264</f>
        <v>167</v>
      </c>
      <c r="DZ2264" s="131">
        <f>SI!BZ2264</f>
        <v>0</v>
      </c>
    </row>
    <row r="2265" spans="1:130" hidden="1" x14ac:dyDescent="0.25">
      <c r="A2265" s="141"/>
      <c r="B2265" s="289" t="s">
        <v>214</v>
      </c>
      <c r="C2265" s="288"/>
      <c r="D2265" s="288"/>
      <c r="E2265" s="288"/>
      <c r="F2265" s="288"/>
      <c r="G2265" s="289" t="s">
        <v>293</v>
      </c>
      <c r="H2265" s="289"/>
      <c r="I2265" s="288"/>
      <c r="J2265" s="288"/>
      <c r="K2265" s="288"/>
      <c r="L2265" s="288"/>
      <c r="M2265" s="288"/>
      <c r="N2265" s="288"/>
      <c r="O2265" s="288"/>
      <c r="P2265" s="288"/>
      <c r="Q2265" s="288"/>
      <c r="R2265" s="288"/>
      <c r="S2265" s="288"/>
      <c r="T2265" s="288"/>
      <c r="U2265" s="288"/>
      <c r="V2265" s="288"/>
      <c r="W2265" s="288"/>
      <c r="X2265" s="288"/>
      <c r="Y2265" s="288"/>
      <c r="Z2265" s="288"/>
      <c r="AA2265" s="288"/>
      <c r="AB2265" s="288"/>
      <c r="AC2265" s="288"/>
      <c r="AD2265" s="288"/>
      <c r="AE2265" s="288"/>
      <c r="AF2265" s="288"/>
      <c r="AG2265" s="288"/>
      <c r="AH2265" s="288"/>
      <c r="AI2265" s="288"/>
      <c r="AJ2265" s="288"/>
      <c r="AK2265" s="288"/>
      <c r="AL2265" s="288"/>
      <c r="AM2265" s="288"/>
      <c r="AN2265" s="288"/>
      <c r="AO2265" s="288"/>
      <c r="AP2265" s="288"/>
      <c r="AQ2265" s="288"/>
      <c r="AR2265" s="288"/>
      <c r="AS2265" s="288"/>
      <c r="AT2265" s="288"/>
      <c r="AU2265" s="288"/>
      <c r="AV2265" s="288"/>
      <c r="AW2265" s="288"/>
      <c r="AX2265" s="288"/>
      <c r="AY2265" s="288"/>
      <c r="AZ2265" s="288"/>
      <c r="BA2265" s="288"/>
      <c r="BB2265" s="288"/>
      <c r="BC2265" s="288"/>
      <c r="BD2265" s="288"/>
      <c r="BE2265" s="288"/>
      <c r="BF2265" s="288"/>
      <c r="BG2265" s="288"/>
      <c r="BH2265" s="288"/>
      <c r="BI2265" s="288"/>
      <c r="BJ2265" s="288"/>
      <c r="BK2265" s="288"/>
      <c r="BL2265" s="288"/>
      <c r="BM2265" s="288"/>
      <c r="BN2265" s="288"/>
      <c r="BO2265" s="288"/>
      <c r="BP2265" s="288"/>
      <c r="BQ2265" s="288"/>
      <c r="BR2265" s="288"/>
      <c r="BS2265" s="288"/>
      <c r="BT2265" s="288"/>
      <c r="BU2265" s="288"/>
      <c r="BV2265" s="288"/>
      <c r="BW2265" s="288"/>
      <c r="BX2265" s="288"/>
      <c r="BY2265" s="288"/>
      <c r="BZ2265" s="288"/>
      <c r="CA2265" s="265" t="s">
        <v>773</v>
      </c>
      <c r="CB2265" s="3" t="str">
        <f t="shared" si="384"/>
        <v>Riadok bude skrytý.</v>
      </c>
      <c r="CW2265" s="49">
        <v>1</v>
      </c>
      <c r="CZ2265" s="30">
        <f t="shared" si="385"/>
        <v>1</v>
      </c>
      <c r="DA2265" s="30">
        <f t="shared" si="390"/>
        <v>1</v>
      </c>
      <c r="DB2265" s="2">
        <f t="shared" si="381"/>
        <v>0</v>
      </c>
      <c r="DS2265" s="130">
        <f>SI!BY2265</f>
        <v>555</v>
      </c>
      <c r="DZ2265" s="131">
        <f>SI!BZ2265</f>
        <v>0</v>
      </c>
    </row>
    <row r="2266" spans="1:130" hidden="1" x14ac:dyDescent="0.25">
      <c r="A2266" s="141"/>
      <c r="B2266" s="7"/>
      <c r="G2266" s="7"/>
      <c r="H2266" s="7"/>
      <c r="CA2266" s="142"/>
      <c r="CB2266" s="3" t="str">
        <f t="shared" si="384"/>
        <v>Riadok bude skrytý.</v>
      </c>
      <c r="CW2266" s="49">
        <v>1</v>
      </c>
      <c r="CZ2266" s="30">
        <f t="shared" si="385"/>
        <v>1</v>
      </c>
      <c r="DA2266" s="30">
        <f t="shared" si="390"/>
        <v>1</v>
      </c>
      <c r="DB2266" s="2">
        <f t="shared" si="381"/>
        <v>0</v>
      </c>
      <c r="DS2266" s="130">
        <f>SI!BY2266</f>
        <v>196</v>
      </c>
      <c r="DZ2266" s="131">
        <f>SI!BZ2266</f>
        <v>0</v>
      </c>
    </row>
    <row r="2267" spans="1:130" hidden="1" x14ac:dyDescent="0.25">
      <c r="A2267" s="141"/>
      <c r="B2267" s="137" t="s">
        <v>208</v>
      </c>
      <c r="K2267" s="378" t="s">
        <v>856</v>
      </c>
      <c r="L2267" s="378"/>
      <c r="M2267" s="378"/>
      <c r="N2267" s="378"/>
      <c r="O2267" s="378"/>
      <c r="P2267" s="378"/>
      <c r="Q2267" s="378"/>
      <c r="R2267" s="378"/>
      <c r="S2267" s="378"/>
      <c r="T2267" s="378"/>
      <c r="U2267" s="137" t="str">
        <f>+IF($Q$52&lt;&gt;"",IF((CODE(MID($Q$52,1,1)))*(INT((PI()-3.1415)*10^5))*0+(LEN(SI!J5)-LEN(SI!J6))=DS2267,"vlastné dlhopisy.","NEPOVOLENÉ POUŽITIE!"),"NEPOVOLENÉ POUŽITIE!")</f>
        <v>vlastné dlhopisy.</v>
      </c>
      <c r="CA2267" s="142"/>
      <c r="CB2267" s="3" t="str">
        <f t="shared" si="384"/>
        <v>Riadok bude skrytý.</v>
      </c>
      <c r="CC2267" s="271" t="s">
        <v>832</v>
      </c>
      <c r="CF2267" s="13"/>
      <c r="CW2267" s="49">
        <v>1</v>
      </c>
      <c r="CZ2267" s="30">
        <f t="shared" si="385"/>
        <v>1</v>
      </c>
      <c r="DA2267" s="30">
        <f t="shared" si="390"/>
        <v>1</v>
      </c>
      <c r="DB2267" s="2">
        <f t="shared" si="381"/>
        <v>0</v>
      </c>
      <c r="DS2267" s="130">
        <f>SI!BY2267</f>
        <v>10</v>
      </c>
      <c r="DZ2267" s="131">
        <f>SI!BZ2267</f>
        <v>0</v>
      </c>
    </row>
    <row r="2268" spans="1:130" hidden="1" x14ac:dyDescent="0.25">
      <c r="A2268" s="141"/>
      <c r="B2268" s="137" t="str">
        <f>+IF($G$52&lt;&gt;"",IF(ROUNDDOWN(CODE(MID($G$52,1,1))*2,0)*(IF(SI!EE2268="",1,SI!EE2268-1))+(LEN(SI!J2)+LEN(SI!J3))=DS2268,IF(K2267="neemitovala","Spoločnosť nemá pre túto časť poznámok obsahovú náplň.","K emitovaným vlastným dlhopisom Spoločnosť uvádza údaje v tabuľke:"),"NEPOVOLENÉ POUŽITIE!"),"NEPOVOLENÉ POUŽITIE!")</f>
        <v>K emitovaným vlastným dlhopisom Spoločnosť uvádza údaje v tabuľke:</v>
      </c>
      <c r="CA2268" s="270"/>
      <c r="CB2268" s="3" t="str">
        <f t="shared" si="384"/>
        <v>Riadok bude skrytý.</v>
      </c>
      <c r="CC2268" s="271" t="s">
        <v>832</v>
      </c>
      <c r="CF2268" s="13"/>
      <c r="CW2268" s="30">
        <f>+IF($K$2267="neemitovala",1,1)</f>
        <v>1</v>
      </c>
      <c r="CZ2268" s="30">
        <f t="shared" si="385"/>
        <v>1</v>
      </c>
      <c r="DA2268" s="30">
        <f t="shared" si="390"/>
        <v>1</v>
      </c>
      <c r="DB2268" s="2">
        <f t="shared" si="381"/>
        <v>0</v>
      </c>
      <c r="DS2268" s="130">
        <f>SI!BY2268</f>
        <v>18</v>
      </c>
      <c r="DZ2268" s="131">
        <f>SI!BZ2268</f>
        <v>0</v>
      </c>
    </row>
    <row r="2269" spans="1:130" hidden="1" x14ac:dyDescent="0.25">
      <c r="A2269" s="141"/>
      <c r="CA2269" s="270"/>
      <c r="CB2269" s="3" t="str">
        <f t="shared" si="384"/>
        <v>Riadok bude skrytý.</v>
      </c>
      <c r="CC2269" s="271" t="s">
        <v>832</v>
      </c>
      <c r="CW2269" s="30">
        <f>+IF($K$2267="neemitovala",0,1)</f>
        <v>1</v>
      </c>
      <c r="CZ2269" s="30">
        <f t="shared" si="385"/>
        <v>1</v>
      </c>
      <c r="DA2269" s="30">
        <f t="shared" si="390"/>
        <v>1</v>
      </c>
      <c r="DB2269" s="2">
        <f t="shared" si="381"/>
        <v>0</v>
      </c>
      <c r="DS2269" s="130">
        <f>SI!BY2269</f>
        <v>173</v>
      </c>
      <c r="DZ2269" s="131">
        <f>SI!BZ2269</f>
        <v>0</v>
      </c>
    </row>
    <row r="2270" spans="1:130" ht="14.95" hidden="1" customHeight="1" x14ac:dyDescent="0.25">
      <c r="A2270" s="141"/>
      <c r="B2270" s="439" t="s">
        <v>294</v>
      </c>
      <c r="C2270" s="440"/>
      <c r="D2270" s="440"/>
      <c r="E2270" s="440"/>
      <c r="F2270" s="440"/>
      <c r="G2270" s="440"/>
      <c r="H2270" s="440"/>
      <c r="I2270" s="440"/>
      <c r="J2270" s="440"/>
      <c r="K2270" s="440"/>
      <c r="L2270" s="440"/>
      <c r="M2270" s="440"/>
      <c r="N2270" s="440"/>
      <c r="O2270" s="440"/>
      <c r="P2270" s="440"/>
      <c r="Q2270" s="440"/>
      <c r="R2270" s="440"/>
      <c r="S2270" s="440"/>
      <c r="T2270" s="441"/>
      <c r="U2270" s="543" t="s">
        <v>295</v>
      </c>
      <c r="V2270" s="544"/>
      <c r="W2270" s="544"/>
      <c r="X2270" s="544"/>
      <c r="Y2270" s="544"/>
      <c r="Z2270" s="544"/>
      <c r="AA2270" s="544"/>
      <c r="AB2270" s="544"/>
      <c r="AC2270" s="544"/>
      <c r="AD2270" s="544"/>
      <c r="AE2270" s="544"/>
      <c r="AF2270" s="544"/>
      <c r="AG2270" s="544"/>
      <c r="AH2270" s="545"/>
      <c r="AI2270" s="543" t="s">
        <v>296</v>
      </c>
      <c r="AJ2270" s="544"/>
      <c r="AK2270" s="544"/>
      <c r="AL2270" s="544"/>
      <c r="AM2270" s="544"/>
      <c r="AN2270" s="544"/>
      <c r="AO2270" s="544"/>
      <c r="AP2270" s="544"/>
      <c r="AQ2270" s="544"/>
      <c r="AR2270" s="544"/>
      <c r="AS2270" s="544"/>
      <c r="AT2270" s="545"/>
      <c r="AU2270" s="543" t="s">
        <v>297</v>
      </c>
      <c r="AV2270" s="544"/>
      <c r="AW2270" s="544"/>
      <c r="AX2270" s="544"/>
      <c r="AY2270" s="544"/>
      <c r="AZ2270" s="544"/>
      <c r="BA2270" s="544"/>
      <c r="BB2270" s="544"/>
      <c r="BC2270" s="544"/>
      <c r="BD2270" s="544"/>
      <c r="BE2270" s="544"/>
      <c r="BF2270" s="545"/>
      <c r="BG2270" s="543" t="s">
        <v>298</v>
      </c>
      <c r="BH2270" s="544"/>
      <c r="BI2270" s="544"/>
      <c r="BJ2270" s="544"/>
      <c r="BK2270" s="544"/>
      <c r="BL2270" s="544"/>
      <c r="BM2270" s="544"/>
      <c r="BN2270" s="544"/>
      <c r="BO2270" s="544"/>
      <c r="BP2270" s="545"/>
      <c r="BQ2270" s="543" t="s">
        <v>236</v>
      </c>
      <c r="BR2270" s="544"/>
      <c r="BS2270" s="544"/>
      <c r="BT2270" s="544"/>
      <c r="BU2270" s="544"/>
      <c r="BV2270" s="544"/>
      <c r="BW2270" s="544"/>
      <c r="BX2270" s="544"/>
      <c r="BY2270" s="544"/>
      <c r="BZ2270" s="545"/>
      <c r="CA2270" s="265" t="s">
        <v>773</v>
      </c>
      <c r="CB2270" s="3" t="str">
        <f t="shared" si="384"/>
        <v>Riadok bude skrytý.</v>
      </c>
      <c r="CC2270" s="271" t="s">
        <v>832</v>
      </c>
      <c r="CD2270" s="4"/>
      <c r="CW2270" s="30">
        <f>+IF($K$2267="neemitovala",0,1)</f>
        <v>1</v>
      </c>
      <c r="CZ2270" s="30">
        <f t="shared" si="385"/>
        <v>1</v>
      </c>
      <c r="DA2270" s="30">
        <f t="shared" si="390"/>
        <v>1</v>
      </c>
      <c r="DB2270" s="2">
        <f t="shared" si="381"/>
        <v>0</v>
      </c>
      <c r="DS2270" s="130">
        <f>SI!BY2270</f>
        <v>249</v>
      </c>
      <c r="DZ2270" s="131">
        <f>SI!BZ2270</f>
        <v>0</v>
      </c>
    </row>
    <row r="2271" spans="1:130" hidden="1" x14ac:dyDescent="0.25">
      <c r="A2271" s="141"/>
      <c r="B2271" s="442"/>
      <c r="C2271" s="443"/>
      <c r="D2271" s="443"/>
      <c r="E2271" s="443"/>
      <c r="F2271" s="443"/>
      <c r="G2271" s="443"/>
      <c r="H2271" s="443"/>
      <c r="I2271" s="443"/>
      <c r="J2271" s="443"/>
      <c r="K2271" s="443"/>
      <c r="L2271" s="443"/>
      <c r="M2271" s="443"/>
      <c r="N2271" s="443"/>
      <c r="O2271" s="443"/>
      <c r="P2271" s="443"/>
      <c r="Q2271" s="443"/>
      <c r="R2271" s="443"/>
      <c r="S2271" s="443"/>
      <c r="T2271" s="444"/>
      <c r="U2271" s="546"/>
      <c r="V2271" s="547"/>
      <c r="W2271" s="547"/>
      <c r="X2271" s="547"/>
      <c r="Y2271" s="547"/>
      <c r="Z2271" s="547"/>
      <c r="AA2271" s="547"/>
      <c r="AB2271" s="547"/>
      <c r="AC2271" s="547"/>
      <c r="AD2271" s="547"/>
      <c r="AE2271" s="547"/>
      <c r="AF2271" s="547"/>
      <c r="AG2271" s="547"/>
      <c r="AH2271" s="548"/>
      <c r="AI2271" s="546"/>
      <c r="AJ2271" s="547"/>
      <c r="AK2271" s="547"/>
      <c r="AL2271" s="547"/>
      <c r="AM2271" s="547"/>
      <c r="AN2271" s="547"/>
      <c r="AO2271" s="547"/>
      <c r="AP2271" s="547"/>
      <c r="AQ2271" s="547"/>
      <c r="AR2271" s="547"/>
      <c r="AS2271" s="547"/>
      <c r="AT2271" s="548"/>
      <c r="AU2271" s="546"/>
      <c r="AV2271" s="547"/>
      <c r="AW2271" s="547"/>
      <c r="AX2271" s="547"/>
      <c r="AY2271" s="547"/>
      <c r="AZ2271" s="547"/>
      <c r="BA2271" s="547"/>
      <c r="BB2271" s="547"/>
      <c r="BC2271" s="547"/>
      <c r="BD2271" s="547"/>
      <c r="BE2271" s="547"/>
      <c r="BF2271" s="548"/>
      <c r="BG2271" s="546"/>
      <c r="BH2271" s="547"/>
      <c r="BI2271" s="547"/>
      <c r="BJ2271" s="547"/>
      <c r="BK2271" s="547"/>
      <c r="BL2271" s="547"/>
      <c r="BM2271" s="547"/>
      <c r="BN2271" s="547"/>
      <c r="BO2271" s="547"/>
      <c r="BP2271" s="548"/>
      <c r="BQ2271" s="546"/>
      <c r="BR2271" s="547"/>
      <c r="BS2271" s="547"/>
      <c r="BT2271" s="547"/>
      <c r="BU2271" s="547"/>
      <c r="BV2271" s="547"/>
      <c r="BW2271" s="547"/>
      <c r="BX2271" s="547"/>
      <c r="BY2271" s="547"/>
      <c r="BZ2271" s="548"/>
      <c r="CA2271" s="270"/>
      <c r="CB2271" s="3" t="str">
        <f t="shared" si="384"/>
        <v>Riadok bude skrytý.</v>
      </c>
      <c r="CC2271" s="271" t="s">
        <v>832</v>
      </c>
      <c r="CW2271" s="30">
        <f>+IF($K$2267="neemitovala",0,1)</f>
        <v>1</v>
      </c>
      <c r="CZ2271" s="30">
        <f t="shared" si="385"/>
        <v>1</v>
      </c>
      <c r="DA2271" s="30">
        <f t="shared" si="390"/>
        <v>1</v>
      </c>
      <c r="DB2271" s="2">
        <f t="shared" si="381"/>
        <v>0</v>
      </c>
      <c r="DS2271" s="130">
        <f>SI!BY2271</f>
        <v>126</v>
      </c>
      <c r="DZ2271" s="131">
        <f>SI!BZ2271</f>
        <v>0</v>
      </c>
    </row>
    <row r="2272" spans="1:130" hidden="1" x14ac:dyDescent="0.25">
      <c r="A2272" s="141"/>
      <c r="B2272" s="561"/>
      <c r="C2272" s="562"/>
      <c r="D2272" s="562"/>
      <c r="E2272" s="562"/>
      <c r="F2272" s="562"/>
      <c r="G2272" s="562"/>
      <c r="H2272" s="562"/>
      <c r="I2272" s="562"/>
      <c r="J2272" s="562"/>
      <c r="K2272" s="562"/>
      <c r="L2272" s="562"/>
      <c r="M2272" s="562"/>
      <c r="N2272" s="562"/>
      <c r="O2272" s="562"/>
      <c r="P2272" s="562"/>
      <c r="Q2272" s="562"/>
      <c r="R2272" s="562"/>
      <c r="S2272" s="562"/>
      <c r="T2272" s="563"/>
      <c r="U2272" s="417"/>
      <c r="V2272" s="418"/>
      <c r="W2272" s="418"/>
      <c r="X2272" s="418"/>
      <c r="Y2272" s="418"/>
      <c r="Z2272" s="418"/>
      <c r="AA2272" s="418"/>
      <c r="AB2272" s="418"/>
      <c r="AC2272" s="418"/>
      <c r="AD2272" s="418"/>
      <c r="AE2272" s="418"/>
      <c r="AF2272" s="418"/>
      <c r="AG2272" s="418"/>
      <c r="AH2272" s="419"/>
      <c r="AI2272" s="617"/>
      <c r="AJ2272" s="617"/>
      <c r="AK2272" s="617"/>
      <c r="AL2272" s="617"/>
      <c r="AM2272" s="617"/>
      <c r="AN2272" s="617"/>
      <c r="AO2272" s="617"/>
      <c r="AP2272" s="617"/>
      <c r="AQ2272" s="617"/>
      <c r="AR2272" s="617"/>
      <c r="AS2272" s="617"/>
      <c r="AT2272" s="617"/>
      <c r="AU2272" s="417"/>
      <c r="AV2272" s="418"/>
      <c r="AW2272" s="418"/>
      <c r="AX2272" s="418"/>
      <c r="AY2272" s="418"/>
      <c r="AZ2272" s="418"/>
      <c r="BA2272" s="418"/>
      <c r="BB2272" s="418"/>
      <c r="BC2272" s="418"/>
      <c r="BD2272" s="418"/>
      <c r="BE2272" s="418"/>
      <c r="BF2272" s="419"/>
      <c r="BG2272" s="602"/>
      <c r="BH2272" s="603"/>
      <c r="BI2272" s="603"/>
      <c r="BJ2272" s="603"/>
      <c r="BK2272" s="603"/>
      <c r="BL2272" s="603"/>
      <c r="BM2272" s="603"/>
      <c r="BN2272" s="603"/>
      <c r="BO2272" s="603"/>
      <c r="BP2272" s="604"/>
      <c r="BQ2272" s="642"/>
      <c r="BR2272" s="643"/>
      <c r="BS2272" s="643"/>
      <c r="BT2272" s="643"/>
      <c r="BU2272" s="643"/>
      <c r="BV2272" s="643"/>
      <c r="BW2272" s="643"/>
      <c r="BX2272" s="643"/>
      <c r="BY2272" s="643"/>
      <c r="BZ2272" s="644"/>
      <c r="CA2272" s="270"/>
      <c r="CB2272" s="3" t="str">
        <f t="shared" si="384"/>
        <v>Riadok bude skrytý.</v>
      </c>
      <c r="CC2272" s="271" t="s">
        <v>832</v>
      </c>
      <c r="CW2272" s="30">
        <f>+IF($K$2267="neemitovala",0,1)</f>
        <v>1</v>
      </c>
      <c r="CZ2272" s="30">
        <f t="shared" si="385"/>
        <v>1</v>
      </c>
      <c r="DA2272" s="30">
        <f t="shared" si="390"/>
        <v>1</v>
      </c>
      <c r="DB2272" s="2">
        <f t="shared" si="381"/>
        <v>0</v>
      </c>
      <c r="DS2272" s="130">
        <f>SI!BY2272</f>
        <v>840</v>
      </c>
      <c r="DZ2272" s="131">
        <f>SI!BZ2272</f>
        <v>0</v>
      </c>
    </row>
    <row r="2273" spans="1:130" hidden="1" x14ac:dyDescent="0.25">
      <c r="A2273" s="141"/>
      <c r="B2273" s="599"/>
      <c r="C2273" s="600"/>
      <c r="D2273" s="600"/>
      <c r="E2273" s="600"/>
      <c r="F2273" s="600"/>
      <c r="G2273" s="600"/>
      <c r="H2273" s="600"/>
      <c r="I2273" s="600"/>
      <c r="J2273" s="600"/>
      <c r="K2273" s="600"/>
      <c r="L2273" s="600"/>
      <c r="M2273" s="600"/>
      <c r="N2273" s="600"/>
      <c r="O2273" s="600"/>
      <c r="P2273" s="600"/>
      <c r="Q2273" s="600"/>
      <c r="R2273" s="600"/>
      <c r="S2273" s="600"/>
      <c r="T2273" s="601"/>
      <c r="U2273" s="511"/>
      <c r="V2273" s="482"/>
      <c r="W2273" s="482"/>
      <c r="X2273" s="482"/>
      <c r="Y2273" s="482"/>
      <c r="Z2273" s="482"/>
      <c r="AA2273" s="482"/>
      <c r="AB2273" s="482"/>
      <c r="AC2273" s="482"/>
      <c r="AD2273" s="482"/>
      <c r="AE2273" s="482"/>
      <c r="AF2273" s="482"/>
      <c r="AG2273" s="482"/>
      <c r="AH2273" s="483"/>
      <c r="AI2273" s="1574"/>
      <c r="AJ2273" s="1574"/>
      <c r="AK2273" s="1574"/>
      <c r="AL2273" s="1574"/>
      <c r="AM2273" s="1574"/>
      <c r="AN2273" s="1574"/>
      <c r="AO2273" s="1574"/>
      <c r="AP2273" s="1574"/>
      <c r="AQ2273" s="1574"/>
      <c r="AR2273" s="1574"/>
      <c r="AS2273" s="1574"/>
      <c r="AT2273" s="1574"/>
      <c r="AU2273" s="511"/>
      <c r="AV2273" s="482"/>
      <c r="AW2273" s="482"/>
      <c r="AX2273" s="482"/>
      <c r="AY2273" s="482"/>
      <c r="AZ2273" s="482"/>
      <c r="BA2273" s="482"/>
      <c r="BB2273" s="482"/>
      <c r="BC2273" s="482"/>
      <c r="BD2273" s="482"/>
      <c r="BE2273" s="482"/>
      <c r="BF2273" s="483"/>
      <c r="BG2273" s="621"/>
      <c r="BH2273" s="622"/>
      <c r="BI2273" s="622"/>
      <c r="BJ2273" s="622"/>
      <c r="BK2273" s="622"/>
      <c r="BL2273" s="622"/>
      <c r="BM2273" s="622"/>
      <c r="BN2273" s="622"/>
      <c r="BO2273" s="622"/>
      <c r="BP2273" s="623"/>
      <c r="BQ2273" s="618"/>
      <c r="BR2273" s="619"/>
      <c r="BS2273" s="619"/>
      <c r="BT2273" s="619"/>
      <c r="BU2273" s="619"/>
      <c r="BV2273" s="619"/>
      <c r="BW2273" s="619"/>
      <c r="BX2273" s="619"/>
      <c r="BY2273" s="619"/>
      <c r="BZ2273" s="620"/>
      <c r="CA2273" s="270"/>
      <c r="CB2273" s="3" t="str">
        <f t="shared" si="384"/>
        <v>Riadok bude skrytý.</v>
      </c>
      <c r="CC2273" s="271" t="s">
        <v>832</v>
      </c>
      <c r="CW2273" s="30">
        <f>+IF($K$2267="neemitovala",0,1)</f>
        <v>1</v>
      </c>
      <c r="CX2273" s="30">
        <f t="shared" ref="CX2273:CX2280" si="391">+IF(B2273="",0,1)</f>
        <v>0</v>
      </c>
      <c r="CZ2273" s="30">
        <f t="shared" si="385"/>
        <v>1</v>
      </c>
      <c r="DA2273" s="52">
        <f t="shared" ref="DA2273:DA2280" si="392">+IF(CW2273*CX2273=0,0,IF(CZ2273=0,0,1))</f>
        <v>0</v>
      </c>
      <c r="DB2273" s="2">
        <f t="shared" si="381"/>
        <v>0</v>
      </c>
      <c r="DS2273" s="130">
        <f>SI!BY2273</f>
        <v>188</v>
      </c>
      <c r="DZ2273" s="131">
        <f>SI!BZ2273</f>
        <v>0</v>
      </c>
    </row>
    <row r="2274" spans="1:130" hidden="1" x14ac:dyDescent="0.25">
      <c r="A2274" s="141"/>
      <c r="B2274" s="599"/>
      <c r="C2274" s="600"/>
      <c r="D2274" s="600"/>
      <c r="E2274" s="600"/>
      <c r="F2274" s="600"/>
      <c r="G2274" s="600"/>
      <c r="H2274" s="600"/>
      <c r="I2274" s="600"/>
      <c r="J2274" s="600"/>
      <c r="K2274" s="600"/>
      <c r="L2274" s="600"/>
      <c r="M2274" s="600"/>
      <c r="N2274" s="600"/>
      <c r="O2274" s="600"/>
      <c r="P2274" s="600"/>
      <c r="Q2274" s="600"/>
      <c r="R2274" s="600"/>
      <c r="S2274" s="600"/>
      <c r="T2274" s="601"/>
      <c r="U2274" s="511"/>
      <c r="V2274" s="482"/>
      <c r="W2274" s="482"/>
      <c r="X2274" s="482"/>
      <c r="Y2274" s="482"/>
      <c r="Z2274" s="482"/>
      <c r="AA2274" s="482"/>
      <c r="AB2274" s="482"/>
      <c r="AC2274" s="482"/>
      <c r="AD2274" s="482"/>
      <c r="AE2274" s="482"/>
      <c r="AF2274" s="482"/>
      <c r="AG2274" s="482"/>
      <c r="AH2274" s="483"/>
      <c r="AI2274" s="1574"/>
      <c r="AJ2274" s="1574"/>
      <c r="AK2274" s="1574"/>
      <c r="AL2274" s="1574"/>
      <c r="AM2274" s="1574"/>
      <c r="AN2274" s="1574"/>
      <c r="AO2274" s="1574"/>
      <c r="AP2274" s="1574"/>
      <c r="AQ2274" s="1574"/>
      <c r="AR2274" s="1574"/>
      <c r="AS2274" s="1574"/>
      <c r="AT2274" s="1574"/>
      <c r="AU2274" s="511"/>
      <c r="AV2274" s="482"/>
      <c r="AW2274" s="482"/>
      <c r="AX2274" s="482"/>
      <c r="AY2274" s="482"/>
      <c r="AZ2274" s="482"/>
      <c r="BA2274" s="482"/>
      <c r="BB2274" s="482"/>
      <c r="BC2274" s="482"/>
      <c r="BD2274" s="482"/>
      <c r="BE2274" s="482"/>
      <c r="BF2274" s="483"/>
      <c r="BG2274" s="621"/>
      <c r="BH2274" s="622"/>
      <c r="BI2274" s="622"/>
      <c r="BJ2274" s="622"/>
      <c r="BK2274" s="622"/>
      <c r="BL2274" s="622"/>
      <c r="BM2274" s="622"/>
      <c r="BN2274" s="622"/>
      <c r="BO2274" s="622"/>
      <c r="BP2274" s="623"/>
      <c r="BQ2274" s="618"/>
      <c r="BR2274" s="619"/>
      <c r="BS2274" s="619"/>
      <c r="BT2274" s="619"/>
      <c r="BU2274" s="619"/>
      <c r="BV2274" s="619"/>
      <c r="BW2274" s="619"/>
      <c r="BX2274" s="619"/>
      <c r="BY2274" s="619"/>
      <c r="BZ2274" s="620"/>
      <c r="CA2274" s="270"/>
      <c r="CB2274" s="3" t="str">
        <f t="shared" si="384"/>
        <v>Riadok bude skrytý.</v>
      </c>
      <c r="CC2274" s="271" t="s">
        <v>832</v>
      </c>
      <c r="CW2274" s="30">
        <f t="shared" ref="CW2274:CW2280" si="393">+IF($K$2267="neemitovala",0,1)</f>
        <v>1</v>
      </c>
      <c r="CX2274" s="30">
        <f t="shared" si="391"/>
        <v>0</v>
      </c>
      <c r="CZ2274" s="30">
        <f t="shared" si="385"/>
        <v>1</v>
      </c>
      <c r="DA2274" s="52">
        <f t="shared" si="392"/>
        <v>0</v>
      </c>
      <c r="DB2274" s="2">
        <f t="shared" si="381"/>
        <v>0</v>
      </c>
      <c r="DS2274" s="130">
        <f>SI!BY2274</f>
        <v>563</v>
      </c>
      <c r="DZ2274" s="131">
        <f>SI!BZ2274</f>
        <v>0</v>
      </c>
    </row>
    <row r="2275" spans="1:130" hidden="1" x14ac:dyDescent="0.25">
      <c r="A2275" s="141"/>
      <c r="B2275" s="599"/>
      <c r="C2275" s="600"/>
      <c r="D2275" s="600"/>
      <c r="E2275" s="600"/>
      <c r="F2275" s="600"/>
      <c r="G2275" s="600"/>
      <c r="H2275" s="600"/>
      <c r="I2275" s="600"/>
      <c r="J2275" s="600"/>
      <c r="K2275" s="600"/>
      <c r="L2275" s="600"/>
      <c r="M2275" s="600"/>
      <c r="N2275" s="600"/>
      <c r="O2275" s="600"/>
      <c r="P2275" s="600"/>
      <c r="Q2275" s="600"/>
      <c r="R2275" s="600"/>
      <c r="S2275" s="600"/>
      <c r="T2275" s="601"/>
      <c r="U2275" s="511"/>
      <c r="V2275" s="482"/>
      <c r="W2275" s="482"/>
      <c r="X2275" s="482"/>
      <c r="Y2275" s="482"/>
      <c r="Z2275" s="482"/>
      <c r="AA2275" s="482"/>
      <c r="AB2275" s="482"/>
      <c r="AC2275" s="482"/>
      <c r="AD2275" s="482"/>
      <c r="AE2275" s="482"/>
      <c r="AF2275" s="482"/>
      <c r="AG2275" s="482"/>
      <c r="AH2275" s="483"/>
      <c r="AI2275" s="1574"/>
      <c r="AJ2275" s="1574"/>
      <c r="AK2275" s="1574"/>
      <c r="AL2275" s="1574"/>
      <c r="AM2275" s="1574"/>
      <c r="AN2275" s="1574"/>
      <c r="AO2275" s="1574"/>
      <c r="AP2275" s="1574"/>
      <c r="AQ2275" s="1574"/>
      <c r="AR2275" s="1574"/>
      <c r="AS2275" s="1574"/>
      <c r="AT2275" s="1574"/>
      <c r="AU2275" s="511"/>
      <c r="AV2275" s="482"/>
      <c r="AW2275" s="482"/>
      <c r="AX2275" s="482"/>
      <c r="AY2275" s="482"/>
      <c r="AZ2275" s="482"/>
      <c r="BA2275" s="482"/>
      <c r="BB2275" s="482"/>
      <c r="BC2275" s="482"/>
      <c r="BD2275" s="482"/>
      <c r="BE2275" s="482"/>
      <c r="BF2275" s="483"/>
      <c r="BG2275" s="621"/>
      <c r="BH2275" s="622"/>
      <c r="BI2275" s="622"/>
      <c r="BJ2275" s="622"/>
      <c r="BK2275" s="622"/>
      <c r="BL2275" s="622"/>
      <c r="BM2275" s="622"/>
      <c r="BN2275" s="622"/>
      <c r="BO2275" s="622"/>
      <c r="BP2275" s="623"/>
      <c r="BQ2275" s="618"/>
      <c r="BR2275" s="619"/>
      <c r="BS2275" s="619"/>
      <c r="BT2275" s="619"/>
      <c r="BU2275" s="619"/>
      <c r="BV2275" s="619"/>
      <c r="BW2275" s="619"/>
      <c r="BX2275" s="619"/>
      <c r="BY2275" s="619"/>
      <c r="BZ2275" s="620"/>
      <c r="CA2275" s="270"/>
      <c r="CB2275" s="3" t="str">
        <f t="shared" si="384"/>
        <v>Riadok bude skrytý.</v>
      </c>
      <c r="CC2275" s="271" t="s">
        <v>832</v>
      </c>
      <c r="CW2275" s="30">
        <f t="shared" si="393"/>
        <v>1</v>
      </c>
      <c r="CX2275" s="30">
        <f t="shared" si="391"/>
        <v>0</v>
      </c>
      <c r="CZ2275" s="30">
        <f t="shared" si="385"/>
        <v>1</v>
      </c>
      <c r="DA2275" s="52">
        <f t="shared" si="392"/>
        <v>0</v>
      </c>
      <c r="DB2275" s="2">
        <f t="shared" si="381"/>
        <v>0</v>
      </c>
      <c r="DS2275" s="130">
        <f>SI!BY2275</f>
        <v>171</v>
      </c>
      <c r="DZ2275" s="131">
        <f>SI!BZ2275</f>
        <v>0</v>
      </c>
    </row>
    <row r="2276" spans="1:130" hidden="1" x14ac:dyDescent="0.25">
      <c r="A2276" s="141"/>
      <c r="B2276" s="599"/>
      <c r="C2276" s="600"/>
      <c r="D2276" s="600"/>
      <c r="E2276" s="600"/>
      <c r="F2276" s="600"/>
      <c r="G2276" s="600"/>
      <c r="H2276" s="600"/>
      <c r="I2276" s="600"/>
      <c r="J2276" s="600"/>
      <c r="K2276" s="600"/>
      <c r="L2276" s="600"/>
      <c r="M2276" s="600"/>
      <c r="N2276" s="600"/>
      <c r="O2276" s="600"/>
      <c r="P2276" s="600"/>
      <c r="Q2276" s="600"/>
      <c r="R2276" s="600"/>
      <c r="S2276" s="600"/>
      <c r="T2276" s="601"/>
      <c r="U2276" s="511"/>
      <c r="V2276" s="482"/>
      <c r="W2276" s="482"/>
      <c r="X2276" s="482"/>
      <c r="Y2276" s="482"/>
      <c r="Z2276" s="482"/>
      <c r="AA2276" s="482"/>
      <c r="AB2276" s="482"/>
      <c r="AC2276" s="482"/>
      <c r="AD2276" s="482"/>
      <c r="AE2276" s="482"/>
      <c r="AF2276" s="482"/>
      <c r="AG2276" s="482"/>
      <c r="AH2276" s="483"/>
      <c r="AI2276" s="1574"/>
      <c r="AJ2276" s="1574"/>
      <c r="AK2276" s="1574"/>
      <c r="AL2276" s="1574"/>
      <c r="AM2276" s="1574"/>
      <c r="AN2276" s="1574"/>
      <c r="AO2276" s="1574"/>
      <c r="AP2276" s="1574"/>
      <c r="AQ2276" s="1574"/>
      <c r="AR2276" s="1574"/>
      <c r="AS2276" s="1574"/>
      <c r="AT2276" s="1574"/>
      <c r="AU2276" s="511"/>
      <c r="AV2276" s="482"/>
      <c r="AW2276" s="482"/>
      <c r="AX2276" s="482"/>
      <c r="AY2276" s="482"/>
      <c r="AZ2276" s="482"/>
      <c r="BA2276" s="482"/>
      <c r="BB2276" s="482"/>
      <c r="BC2276" s="482"/>
      <c r="BD2276" s="482"/>
      <c r="BE2276" s="482"/>
      <c r="BF2276" s="483"/>
      <c r="BG2276" s="621"/>
      <c r="BH2276" s="622"/>
      <c r="BI2276" s="622"/>
      <c r="BJ2276" s="622"/>
      <c r="BK2276" s="622"/>
      <c r="BL2276" s="622"/>
      <c r="BM2276" s="622"/>
      <c r="BN2276" s="622"/>
      <c r="BO2276" s="622"/>
      <c r="BP2276" s="623"/>
      <c r="BQ2276" s="618"/>
      <c r="BR2276" s="619"/>
      <c r="BS2276" s="619"/>
      <c r="BT2276" s="619"/>
      <c r="BU2276" s="619"/>
      <c r="BV2276" s="619"/>
      <c r="BW2276" s="619"/>
      <c r="BX2276" s="619"/>
      <c r="BY2276" s="619"/>
      <c r="BZ2276" s="620"/>
      <c r="CA2276" s="270"/>
      <c r="CB2276" s="3" t="str">
        <f t="shared" si="384"/>
        <v>Riadok bude skrytý.</v>
      </c>
      <c r="CC2276" s="271" t="s">
        <v>832</v>
      </c>
      <c r="CW2276" s="30">
        <f t="shared" si="393"/>
        <v>1</v>
      </c>
      <c r="CX2276" s="30">
        <f t="shared" si="391"/>
        <v>0</v>
      </c>
      <c r="CZ2276" s="30">
        <f t="shared" si="385"/>
        <v>1</v>
      </c>
      <c r="DA2276" s="52">
        <f t="shared" si="392"/>
        <v>0</v>
      </c>
      <c r="DB2276" s="2">
        <f t="shared" si="381"/>
        <v>0</v>
      </c>
      <c r="DS2276" s="130">
        <f>SI!BY2276</f>
        <v>308</v>
      </c>
      <c r="DZ2276" s="131">
        <f>SI!BZ2276</f>
        <v>0</v>
      </c>
    </row>
    <row r="2277" spans="1:130" hidden="1" x14ac:dyDescent="0.25">
      <c r="A2277" s="141"/>
      <c r="B2277" s="599"/>
      <c r="C2277" s="600"/>
      <c r="D2277" s="600"/>
      <c r="E2277" s="600"/>
      <c r="F2277" s="600"/>
      <c r="G2277" s="600"/>
      <c r="H2277" s="600"/>
      <c r="I2277" s="600"/>
      <c r="J2277" s="600"/>
      <c r="K2277" s="600"/>
      <c r="L2277" s="600"/>
      <c r="M2277" s="600"/>
      <c r="N2277" s="600"/>
      <c r="O2277" s="600"/>
      <c r="P2277" s="600"/>
      <c r="Q2277" s="600"/>
      <c r="R2277" s="600"/>
      <c r="S2277" s="600"/>
      <c r="T2277" s="601"/>
      <c r="U2277" s="511"/>
      <c r="V2277" s="482"/>
      <c r="W2277" s="482"/>
      <c r="X2277" s="482"/>
      <c r="Y2277" s="482"/>
      <c r="Z2277" s="482"/>
      <c r="AA2277" s="482"/>
      <c r="AB2277" s="482"/>
      <c r="AC2277" s="482"/>
      <c r="AD2277" s="482"/>
      <c r="AE2277" s="482"/>
      <c r="AF2277" s="482"/>
      <c r="AG2277" s="482"/>
      <c r="AH2277" s="483"/>
      <c r="AI2277" s="1574"/>
      <c r="AJ2277" s="1574"/>
      <c r="AK2277" s="1574"/>
      <c r="AL2277" s="1574"/>
      <c r="AM2277" s="1574"/>
      <c r="AN2277" s="1574"/>
      <c r="AO2277" s="1574"/>
      <c r="AP2277" s="1574"/>
      <c r="AQ2277" s="1574"/>
      <c r="AR2277" s="1574"/>
      <c r="AS2277" s="1574"/>
      <c r="AT2277" s="1574"/>
      <c r="AU2277" s="511"/>
      <c r="AV2277" s="482"/>
      <c r="AW2277" s="482"/>
      <c r="AX2277" s="482"/>
      <c r="AY2277" s="482"/>
      <c r="AZ2277" s="482"/>
      <c r="BA2277" s="482"/>
      <c r="BB2277" s="482"/>
      <c r="BC2277" s="482"/>
      <c r="BD2277" s="482"/>
      <c r="BE2277" s="482"/>
      <c r="BF2277" s="483"/>
      <c r="BG2277" s="621"/>
      <c r="BH2277" s="622"/>
      <c r="BI2277" s="622"/>
      <c r="BJ2277" s="622"/>
      <c r="BK2277" s="622"/>
      <c r="BL2277" s="622"/>
      <c r="BM2277" s="622"/>
      <c r="BN2277" s="622"/>
      <c r="BO2277" s="622"/>
      <c r="BP2277" s="623"/>
      <c r="BQ2277" s="618"/>
      <c r="BR2277" s="619"/>
      <c r="BS2277" s="619"/>
      <c r="BT2277" s="619"/>
      <c r="BU2277" s="619"/>
      <c r="BV2277" s="619"/>
      <c r="BW2277" s="619"/>
      <c r="BX2277" s="619"/>
      <c r="BY2277" s="619"/>
      <c r="BZ2277" s="620"/>
      <c r="CA2277" s="270"/>
      <c r="CB2277" s="3" t="str">
        <f t="shared" si="384"/>
        <v>Riadok bude skrytý.</v>
      </c>
      <c r="CC2277" s="271" t="s">
        <v>832</v>
      </c>
      <c r="CW2277" s="30">
        <f t="shared" si="393"/>
        <v>1</v>
      </c>
      <c r="CX2277" s="30">
        <f t="shared" si="391"/>
        <v>0</v>
      </c>
      <c r="CZ2277" s="30">
        <f t="shared" si="385"/>
        <v>1</v>
      </c>
      <c r="DA2277" s="52">
        <f t="shared" si="392"/>
        <v>0</v>
      </c>
      <c r="DB2277" s="2">
        <f t="shared" si="381"/>
        <v>0</v>
      </c>
      <c r="DS2277" s="130">
        <f>SI!BY2277</f>
        <v>186</v>
      </c>
      <c r="DZ2277" s="131">
        <f>SI!BZ2277</f>
        <v>0</v>
      </c>
    </row>
    <row r="2278" spans="1:130" hidden="1" x14ac:dyDescent="0.25">
      <c r="A2278" s="141"/>
      <c r="B2278" s="599"/>
      <c r="C2278" s="600"/>
      <c r="D2278" s="600"/>
      <c r="E2278" s="600"/>
      <c r="F2278" s="600"/>
      <c r="G2278" s="600"/>
      <c r="H2278" s="600"/>
      <c r="I2278" s="600"/>
      <c r="J2278" s="600"/>
      <c r="K2278" s="600"/>
      <c r="L2278" s="600"/>
      <c r="M2278" s="600"/>
      <c r="N2278" s="600"/>
      <c r="O2278" s="600"/>
      <c r="P2278" s="600"/>
      <c r="Q2278" s="600"/>
      <c r="R2278" s="600"/>
      <c r="S2278" s="600"/>
      <c r="T2278" s="601"/>
      <c r="U2278" s="511"/>
      <c r="V2278" s="482"/>
      <c r="W2278" s="482"/>
      <c r="X2278" s="482"/>
      <c r="Y2278" s="482"/>
      <c r="Z2278" s="482"/>
      <c r="AA2278" s="482"/>
      <c r="AB2278" s="482"/>
      <c r="AC2278" s="482"/>
      <c r="AD2278" s="482"/>
      <c r="AE2278" s="482"/>
      <c r="AF2278" s="482"/>
      <c r="AG2278" s="482"/>
      <c r="AH2278" s="483"/>
      <c r="AI2278" s="1574"/>
      <c r="AJ2278" s="1574"/>
      <c r="AK2278" s="1574"/>
      <c r="AL2278" s="1574"/>
      <c r="AM2278" s="1574"/>
      <c r="AN2278" s="1574"/>
      <c r="AO2278" s="1574"/>
      <c r="AP2278" s="1574"/>
      <c r="AQ2278" s="1574"/>
      <c r="AR2278" s="1574"/>
      <c r="AS2278" s="1574"/>
      <c r="AT2278" s="1574"/>
      <c r="AU2278" s="511"/>
      <c r="AV2278" s="482"/>
      <c r="AW2278" s="482"/>
      <c r="AX2278" s="482"/>
      <c r="AY2278" s="482"/>
      <c r="AZ2278" s="482"/>
      <c r="BA2278" s="482"/>
      <c r="BB2278" s="482"/>
      <c r="BC2278" s="482"/>
      <c r="BD2278" s="482"/>
      <c r="BE2278" s="482"/>
      <c r="BF2278" s="483"/>
      <c r="BG2278" s="621"/>
      <c r="BH2278" s="622"/>
      <c r="BI2278" s="622"/>
      <c r="BJ2278" s="622"/>
      <c r="BK2278" s="622"/>
      <c r="BL2278" s="622"/>
      <c r="BM2278" s="622"/>
      <c r="BN2278" s="622"/>
      <c r="BO2278" s="622"/>
      <c r="BP2278" s="623"/>
      <c r="BQ2278" s="618"/>
      <c r="BR2278" s="619"/>
      <c r="BS2278" s="619"/>
      <c r="BT2278" s="619"/>
      <c r="BU2278" s="619"/>
      <c r="BV2278" s="619"/>
      <c r="BW2278" s="619"/>
      <c r="BX2278" s="619"/>
      <c r="BY2278" s="619"/>
      <c r="BZ2278" s="620"/>
      <c r="CA2278" s="270"/>
      <c r="CB2278" s="3" t="str">
        <f t="shared" si="384"/>
        <v>Riadok bude skrytý.</v>
      </c>
      <c r="CC2278" s="271" t="s">
        <v>832</v>
      </c>
      <c r="CW2278" s="30">
        <f t="shared" si="393"/>
        <v>1</v>
      </c>
      <c r="CX2278" s="30">
        <f t="shared" si="391"/>
        <v>0</v>
      </c>
      <c r="CZ2278" s="30">
        <f t="shared" si="385"/>
        <v>1</v>
      </c>
      <c r="DA2278" s="52">
        <f t="shared" si="392"/>
        <v>0</v>
      </c>
      <c r="DB2278" s="2">
        <f t="shared" si="381"/>
        <v>0</v>
      </c>
      <c r="DS2278" s="130">
        <f>SI!BY2278</f>
        <v>143</v>
      </c>
      <c r="DZ2278" s="131">
        <f>SI!BZ2278</f>
        <v>0</v>
      </c>
    </row>
    <row r="2279" spans="1:130" hidden="1" x14ac:dyDescent="0.25">
      <c r="A2279" s="141"/>
      <c r="B2279" s="599"/>
      <c r="C2279" s="600"/>
      <c r="D2279" s="600"/>
      <c r="E2279" s="600"/>
      <c r="F2279" s="600"/>
      <c r="G2279" s="600"/>
      <c r="H2279" s="600"/>
      <c r="I2279" s="600"/>
      <c r="J2279" s="600"/>
      <c r="K2279" s="600"/>
      <c r="L2279" s="600"/>
      <c r="M2279" s="600"/>
      <c r="N2279" s="600"/>
      <c r="O2279" s="600"/>
      <c r="P2279" s="600"/>
      <c r="Q2279" s="600"/>
      <c r="R2279" s="600"/>
      <c r="S2279" s="600"/>
      <c r="T2279" s="601"/>
      <c r="U2279" s="511"/>
      <c r="V2279" s="482"/>
      <c r="W2279" s="482"/>
      <c r="X2279" s="482"/>
      <c r="Y2279" s="482"/>
      <c r="Z2279" s="482"/>
      <c r="AA2279" s="482"/>
      <c r="AB2279" s="482"/>
      <c r="AC2279" s="482"/>
      <c r="AD2279" s="482"/>
      <c r="AE2279" s="482"/>
      <c r="AF2279" s="482"/>
      <c r="AG2279" s="482"/>
      <c r="AH2279" s="483"/>
      <c r="AI2279" s="1574"/>
      <c r="AJ2279" s="1574"/>
      <c r="AK2279" s="1574"/>
      <c r="AL2279" s="1574"/>
      <c r="AM2279" s="1574"/>
      <c r="AN2279" s="1574"/>
      <c r="AO2279" s="1574"/>
      <c r="AP2279" s="1574"/>
      <c r="AQ2279" s="1574"/>
      <c r="AR2279" s="1574"/>
      <c r="AS2279" s="1574"/>
      <c r="AT2279" s="1574"/>
      <c r="AU2279" s="511"/>
      <c r="AV2279" s="482"/>
      <c r="AW2279" s="482"/>
      <c r="AX2279" s="482"/>
      <c r="AY2279" s="482"/>
      <c r="AZ2279" s="482"/>
      <c r="BA2279" s="482"/>
      <c r="BB2279" s="482"/>
      <c r="BC2279" s="482"/>
      <c r="BD2279" s="482"/>
      <c r="BE2279" s="482"/>
      <c r="BF2279" s="483"/>
      <c r="BG2279" s="621"/>
      <c r="BH2279" s="622"/>
      <c r="BI2279" s="622"/>
      <c r="BJ2279" s="622"/>
      <c r="BK2279" s="622"/>
      <c r="BL2279" s="622"/>
      <c r="BM2279" s="622"/>
      <c r="BN2279" s="622"/>
      <c r="BO2279" s="622"/>
      <c r="BP2279" s="623"/>
      <c r="BQ2279" s="618"/>
      <c r="BR2279" s="619"/>
      <c r="BS2279" s="619"/>
      <c r="BT2279" s="619"/>
      <c r="BU2279" s="619"/>
      <c r="BV2279" s="619"/>
      <c r="BW2279" s="619"/>
      <c r="BX2279" s="619"/>
      <c r="BY2279" s="619"/>
      <c r="BZ2279" s="620"/>
      <c r="CA2279" s="270"/>
      <c r="CB2279" s="3" t="str">
        <f t="shared" si="384"/>
        <v>Riadok bude skrytý.</v>
      </c>
      <c r="CC2279" s="271" t="s">
        <v>832</v>
      </c>
      <c r="CW2279" s="30">
        <f t="shared" si="393"/>
        <v>1</v>
      </c>
      <c r="CX2279" s="30">
        <f t="shared" si="391"/>
        <v>0</v>
      </c>
      <c r="CZ2279" s="30">
        <f t="shared" si="385"/>
        <v>1</v>
      </c>
      <c r="DA2279" s="52">
        <f t="shared" si="392"/>
        <v>0</v>
      </c>
      <c r="DB2279" s="2">
        <f t="shared" ref="DB2279:DB2342" si="394">+IF($CD$1="malé",0,DA2279)</f>
        <v>0</v>
      </c>
      <c r="DS2279" s="130">
        <f>SI!BY2279</f>
        <v>144</v>
      </c>
      <c r="DZ2279" s="131">
        <f>SI!BZ2279</f>
        <v>0</v>
      </c>
    </row>
    <row r="2280" spans="1:130" hidden="1" x14ac:dyDescent="0.25">
      <c r="A2280" s="141"/>
      <c r="B2280" s="599"/>
      <c r="C2280" s="600"/>
      <c r="D2280" s="600"/>
      <c r="E2280" s="600"/>
      <c r="F2280" s="600"/>
      <c r="G2280" s="600"/>
      <c r="H2280" s="600"/>
      <c r="I2280" s="600"/>
      <c r="J2280" s="600"/>
      <c r="K2280" s="600"/>
      <c r="L2280" s="600"/>
      <c r="M2280" s="600"/>
      <c r="N2280" s="600"/>
      <c r="O2280" s="600"/>
      <c r="P2280" s="600"/>
      <c r="Q2280" s="600"/>
      <c r="R2280" s="600"/>
      <c r="S2280" s="600"/>
      <c r="T2280" s="601"/>
      <c r="U2280" s="511"/>
      <c r="V2280" s="482"/>
      <c r="W2280" s="482"/>
      <c r="X2280" s="482"/>
      <c r="Y2280" s="482"/>
      <c r="Z2280" s="482"/>
      <c r="AA2280" s="482"/>
      <c r="AB2280" s="482"/>
      <c r="AC2280" s="482"/>
      <c r="AD2280" s="482"/>
      <c r="AE2280" s="482"/>
      <c r="AF2280" s="482"/>
      <c r="AG2280" s="482"/>
      <c r="AH2280" s="483"/>
      <c r="AI2280" s="1574"/>
      <c r="AJ2280" s="1574"/>
      <c r="AK2280" s="1574"/>
      <c r="AL2280" s="1574"/>
      <c r="AM2280" s="1574"/>
      <c r="AN2280" s="1574"/>
      <c r="AO2280" s="1574"/>
      <c r="AP2280" s="1574"/>
      <c r="AQ2280" s="1574"/>
      <c r="AR2280" s="1574"/>
      <c r="AS2280" s="1574"/>
      <c r="AT2280" s="1574"/>
      <c r="AU2280" s="511"/>
      <c r="AV2280" s="482"/>
      <c r="AW2280" s="482"/>
      <c r="AX2280" s="482"/>
      <c r="AY2280" s="482"/>
      <c r="AZ2280" s="482"/>
      <c r="BA2280" s="482"/>
      <c r="BB2280" s="482"/>
      <c r="BC2280" s="482"/>
      <c r="BD2280" s="482"/>
      <c r="BE2280" s="482"/>
      <c r="BF2280" s="483"/>
      <c r="BG2280" s="621"/>
      <c r="BH2280" s="622"/>
      <c r="BI2280" s="622"/>
      <c r="BJ2280" s="622"/>
      <c r="BK2280" s="622"/>
      <c r="BL2280" s="622"/>
      <c r="BM2280" s="622"/>
      <c r="BN2280" s="622"/>
      <c r="BO2280" s="622"/>
      <c r="BP2280" s="623"/>
      <c r="BQ2280" s="618"/>
      <c r="BR2280" s="619"/>
      <c r="BS2280" s="619"/>
      <c r="BT2280" s="619"/>
      <c r="BU2280" s="619"/>
      <c r="BV2280" s="619"/>
      <c r="BW2280" s="619"/>
      <c r="BX2280" s="619"/>
      <c r="BY2280" s="619"/>
      <c r="BZ2280" s="620"/>
      <c r="CA2280" s="270"/>
      <c r="CB2280" s="3" t="str">
        <f t="shared" si="384"/>
        <v>Riadok bude skrytý.</v>
      </c>
      <c r="CC2280" s="271" t="s">
        <v>832</v>
      </c>
      <c r="CW2280" s="30">
        <f t="shared" si="393"/>
        <v>1</v>
      </c>
      <c r="CX2280" s="30">
        <f t="shared" si="391"/>
        <v>0</v>
      </c>
      <c r="CZ2280" s="30">
        <f t="shared" si="385"/>
        <v>1</v>
      </c>
      <c r="DA2280" s="52">
        <f t="shared" si="392"/>
        <v>0</v>
      </c>
      <c r="DB2280" s="2">
        <f t="shared" si="394"/>
        <v>0</v>
      </c>
      <c r="DS2280" s="130">
        <f>SI!BY2280</f>
        <v>133</v>
      </c>
      <c r="DZ2280" s="131">
        <f>SI!BZ2280</f>
        <v>0</v>
      </c>
    </row>
    <row r="2281" spans="1:130" hidden="1" x14ac:dyDescent="0.25">
      <c r="A2281" s="141"/>
      <c r="B2281" s="1944"/>
      <c r="C2281" s="1945"/>
      <c r="D2281" s="1945"/>
      <c r="E2281" s="1945"/>
      <c r="F2281" s="1945"/>
      <c r="G2281" s="1945"/>
      <c r="H2281" s="1945"/>
      <c r="I2281" s="1945"/>
      <c r="J2281" s="1945"/>
      <c r="K2281" s="1945"/>
      <c r="L2281" s="1945"/>
      <c r="M2281" s="1945"/>
      <c r="N2281" s="1945"/>
      <c r="O2281" s="1945"/>
      <c r="P2281" s="1945"/>
      <c r="Q2281" s="1945"/>
      <c r="R2281" s="1945"/>
      <c r="S2281" s="1945"/>
      <c r="T2281" s="1946"/>
      <c r="U2281" s="454"/>
      <c r="V2281" s="455"/>
      <c r="W2281" s="455"/>
      <c r="X2281" s="455"/>
      <c r="Y2281" s="455"/>
      <c r="Z2281" s="455"/>
      <c r="AA2281" s="455"/>
      <c r="AB2281" s="455"/>
      <c r="AC2281" s="455"/>
      <c r="AD2281" s="455"/>
      <c r="AE2281" s="455"/>
      <c r="AF2281" s="455"/>
      <c r="AG2281" s="455"/>
      <c r="AH2281" s="456"/>
      <c r="AI2281" s="1937"/>
      <c r="AJ2281" s="1937"/>
      <c r="AK2281" s="1937"/>
      <c r="AL2281" s="1937"/>
      <c r="AM2281" s="1937"/>
      <c r="AN2281" s="1937"/>
      <c r="AO2281" s="1937"/>
      <c r="AP2281" s="1937"/>
      <c r="AQ2281" s="1937"/>
      <c r="AR2281" s="1937"/>
      <c r="AS2281" s="1937"/>
      <c r="AT2281" s="1937"/>
      <c r="AU2281" s="454"/>
      <c r="AV2281" s="455"/>
      <c r="AW2281" s="455"/>
      <c r="AX2281" s="455"/>
      <c r="AY2281" s="455"/>
      <c r="AZ2281" s="455"/>
      <c r="BA2281" s="455"/>
      <c r="BB2281" s="455"/>
      <c r="BC2281" s="455"/>
      <c r="BD2281" s="455"/>
      <c r="BE2281" s="455"/>
      <c r="BF2281" s="456"/>
      <c r="BG2281" s="1851"/>
      <c r="BH2281" s="1852"/>
      <c r="BI2281" s="1852"/>
      <c r="BJ2281" s="1852"/>
      <c r="BK2281" s="1852"/>
      <c r="BL2281" s="1852"/>
      <c r="BM2281" s="1852"/>
      <c r="BN2281" s="1852"/>
      <c r="BO2281" s="1852"/>
      <c r="BP2281" s="1853"/>
      <c r="BQ2281" s="1941"/>
      <c r="BR2281" s="1942"/>
      <c r="BS2281" s="1942"/>
      <c r="BT2281" s="1942"/>
      <c r="BU2281" s="1942"/>
      <c r="BV2281" s="1942"/>
      <c r="BW2281" s="1942"/>
      <c r="BX2281" s="1942"/>
      <c r="BY2281" s="1942"/>
      <c r="BZ2281" s="1943"/>
      <c r="CA2281" s="270"/>
      <c r="CB2281" s="3" t="str">
        <f t="shared" si="384"/>
        <v>Riadok bude skrytý.</v>
      </c>
      <c r="CC2281" s="271" t="s">
        <v>832</v>
      </c>
      <c r="CW2281" s="30">
        <f t="shared" ref="CW2281:CW2303" si="395">+IF($K$2267="neemitovala",0,1)</f>
        <v>1</v>
      </c>
      <c r="CZ2281" s="30">
        <f t="shared" si="385"/>
        <v>1</v>
      </c>
      <c r="DA2281" s="30">
        <f>+IF(CW2281+CX2281+CY2281=0,0,IF(CZ2281=0,0,1))</f>
        <v>1</v>
      </c>
      <c r="DB2281" s="2">
        <f t="shared" si="394"/>
        <v>0</v>
      </c>
      <c r="DS2281" s="130">
        <f>SI!BY2281</f>
        <v>157</v>
      </c>
      <c r="DZ2281" s="131">
        <f>SI!BZ2281</f>
        <v>0</v>
      </c>
    </row>
    <row r="2282" spans="1:130" hidden="1" x14ac:dyDescent="0.25">
      <c r="A2282" s="141"/>
      <c r="CA2282" s="142"/>
      <c r="CB2282" s="3" t="str">
        <f t="shared" si="384"/>
        <v>Riadok bude skrytý.</v>
      </c>
      <c r="CC2282" s="271" t="s">
        <v>832</v>
      </c>
      <c r="CW2282" s="30">
        <f t="shared" si="395"/>
        <v>1</v>
      </c>
      <c r="CX2282" s="30">
        <f>+IF(B2284="",0,1)</f>
        <v>0</v>
      </c>
      <c r="CZ2282" s="30">
        <f t="shared" si="385"/>
        <v>1</v>
      </c>
      <c r="DA2282" s="52">
        <f t="shared" ref="DA2282:DA2303" si="396">+IF(CW2282*CX2282=0,0,IF(CZ2282=0,0,1))</f>
        <v>0</v>
      </c>
      <c r="DB2282" s="2">
        <f t="shared" si="394"/>
        <v>0</v>
      </c>
      <c r="DS2282" s="130">
        <f>SI!BY2282</f>
        <v>831</v>
      </c>
      <c r="DZ2282" s="131">
        <f>SI!BZ2282</f>
        <v>0</v>
      </c>
    </row>
    <row r="2283" spans="1:130" hidden="1" x14ac:dyDescent="0.25">
      <c r="A2283" s="141"/>
      <c r="B2283" s="137" t="str">
        <f>+IF($C$52&lt;&gt;"",IF(CODE(MID($C$52,1,1))*(IF(SI!EE2283="",1,SI!EE2283-1-1))+LEN(SI!J2)=DS2283,"K vlastným vydaným dlhopisom Spoločnosť uvádza ďalšie doplňujúce informácie:","NEPOVOLENÉ POUŽITIE!"),"NEPOVOLENÉ POUŽITIE!")</f>
        <v>K vlastným vydaným dlhopisom Spoločnosť uvádza ďalšie doplňujúce informácie:</v>
      </c>
      <c r="CA2283" s="265" t="s">
        <v>773</v>
      </c>
      <c r="CB2283" s="3" t="str">
        <f t="shared" si="384"/>
        <v>Riadok bude skrytý.</v>
      </c>
      <c r="CC2283" s="271" t="s">
        <v>832</v>
      </c>
      <c r="CW2283" s="30">
        <f t="shared" si="395"/>
        <v>1</v>
      </c>
      <c r="CX2283" s="30">
        <f>+IF(B2284="",0,1)</f>
        <v>0</v>
      </c>
      <c r="CZ2283" s="30">
        <f t="shared" si="385"/>
        <v>1</v>
      </c>
      <c r="DA2283" s="52">
        <f t="shared" si="396"/>
        <v>0</v>
      </c>
      <c r="DB2283" s="2">
        <f t="shared" si="394"/>
        <v>0</v>
      </c>
      <c r="DS2283" s="130">
        <f>SI!BY2283</f>
        <v>13</v>
      </c>
      <c r="DZ2283" s="131">
        <f>SI!BZ2283</f>
        <v>0</v>
      </c>
    </row>
    <row r="2284" spans="1:130" hidden="1" x14ac:dyDescent="0.25">
      <c r="A2284" s="141"/>
      <c r="B2284" s="379"/>
      <c r="C2284" s="379"/>
      <c r="D2284" s="379"/>
      <c r="E2284" s="379"/>
      <c r="F2284" s="379"/>
      <c r="G2284" s="379"/>
      <c r="H2284" s="379"/>
      <c r="I2284" s="379"/>
      <c r="J2284" s="379"/>
      <c r="K2284" s="379"/>
      <c r="L2284" s="379"/>
      <c r="M2284" s="379"/>
      <c r="N2284" s="379"/>
      <c r="O2284" s="379"/>
      <c r="P2284" s="379"/>
      <c r="Q2284" s="379"/>
      <c r="R2284" s="379"/>
      <c r="S2284" s="379"/>
      <c r="T2284" s="379"/>
      <c r="U2284" s="379"/>
      <c r="V2284" s="379"/>
      <c r="W2284" s="379"/>
      <c r="X2284" s="379"/>
      <c r="Y2284" s="379"/>
      <c r="Z2284" s="379"/>
      <c r="AA2284" s="379"/>
      <c r="AB2284" s="379"/>
      <c r="AC2284" s="379"/>
      <c r="AD2284" s="379"/>
      <c r="AE2284" s="379"/>
      <c r="AF2284" s="379"/>
      <c r="AG2284" s="379"/>
      <c r="AH2284" s="379"/>
      <c r="AI2284" s="379"/>
      <c r="AJ2284" s="379"/>
      <c r="AK2284" s="379"/>
      <c r="AL2284" s="379"/>
      <c r="AM2284" s="379"/>
      <c r="AN2284" s="379"/>
      <c r="AO2284" s="379"/>
      <c r="AP2284" s="379"/>
      <c r="AQ2284" s="379"/>
      <c r="AR2284" s="379"/>
      <c r="AS2284" s="379"/>
      <c r="AT2284" s="379"/>
      <c r="AU2284" s="379"/>
      <c r="AV2284" s="379"/>
      <c r="AW2284" s="379"/>
      <c r="AX2284" s="379"/>
      <c r="AY2284" s="379"/>
      <c r="AZ2284" s="379"/>
      <c r="BA2284" s="379"/>
      <c r="BB2284" s="379"/>
      <c r="BC2284" s="379"/>
      <c r="BD2284" s="379"/>
      <c r="BE2284" s="379"/>
      <c r="BF2284" s="379"/>
      <c r="BG2284" s="379"/>
      <c r="BH2284" s="379"/>
      <c r="BI2284" s="379"/>
      <c r="BJ2284" s="379"/>
      <c r="BK2284" s="379"/>
      <c r="BL2284" s="379"/>
      <c r="BM2284" s="379"/>
      <c r="BN2284" s="379"/>
      <c r="BO2284" s="379"/>
      <c r="BP2284" s="379"/>
      <c r="BQ2284" s="379"/>
      <c r="BR2284" s="379"/>
      <c r="BS2284" s="379"/>
      <c r="BT2284" s="379"/>
      <c r="BU2284" s="379"/>
      <c r="BV2284" s="379"/>
      <c r="BW2284" s="379"/>
      <c r="BX2284" s="379"/>
      <c r="BY2284" s="379"/>
      <c r="BZ2284" s="379"/>
      <c r="CA2284" s="281"/>
      <c r="CB2284" s="3" t="str">
        <f t="shared" si="384"/>
        <v>Riadok bude skrytý.</v>
      </c>
      <c r="CC2284" s="271" t="s">
        <v>832</v>
      </c>
      <c r="CW2284" s="30">
        <f t="shared" si="395"/>
        <v>1</v>
      </c>
      <c r="CX2284" s="30">
        <f t="shared" ref="CX2284:CX2303" si="397">+IF(B2284="",0,1)</f>
        <v>0</v>
      </c>
      <c r="CZ2284" s="30">
        <f t="shared" si="385"/>
        <v>1</v>
      </c>
      <c r="DA2284" s="52">
        <f t="shared" si="396"/>
        <v>0</v>
      </c>
      <c r="DB2284" s="2">
        <f t="shared" si="394"/>
        <v>0</v>
      </c>
      <c r="DS2284" s="130">
        <f>SI!BY2284</f>
        <v>859</v>
      </c>
      <c r="DZ2284" s="131">
        <f>SI!BZ2284</f>
        <v>0</v>
      </c>
    </row>
    <row r="2285" spans="1:130" hidden="1" x14ac:dyDescent="0.25">
      <c r="A2285" s="141"/>
      <c r="B2285" s="379"/>
      <c r="C2285" s="379"/>
      <c r="D2285" s="379"/>
      <c r="E2285" s="379"/>
      <c r="F2285" s="379"/>
      <c r="G2285" s="379"/>
      <c r="H2285" s="379"/>
      <c r="I2285" s="379"/>
      <c r="J2285" s="379"/>
      <c r="K2285" s="379"/>
      <c r="L2285" s="379"/>
      <c r="M2285" s="379"/>
      <c r="N2285" s="379"/>
      <c r="O2285" s="379"/>
      <c r="P2285" s="379"/>
      <c r="Q2285" s="379"/>
      <c r="R2285" s="379"/>
      <c r="S2285" s="379"/>
      <c r="T2285" s="379"/>
      <c r="U2285" s="379"/>
      <c r="V2285" s="379"/>
      <c r="W2285" s="379"/>
      <c r="X2285" s="379"/>
      <c r="Y2285" s="379"/>
      <c r="Z2285" s="379"/>
      <c r="AA2285" s="379"/>
      <c r="AB2285" s="379"/>
      <c r="AC2285" s="379"/>
      <c r="AD2285" s="379"/>
      <c r="AE2285" s="379"/>
      <c r="AF2285" s="379"/>
      <c r="AG2285" s="379"/>
      <c r="AH2285" s="379"/>
      <c r="AI2285" s="379"/>
      <c r="AJ2285" s="379"/>
      <c r="AK2285" s="379"/>
      <c r="AL2285" s="379"/>
      <c r="AM2285" s="379"/>
      <c r="AN2285" s="379"/>
      <c r="AO2285" s="379"/>
      <c r="AP2285" s="379"/>
      <c r="AQ2285" s="379"/>
      <c r="AR2285" s="379"/>
      <c r="AS2285" s="379"/>
      <c r="AT2285" s="379"/>
      <c r="AU2285" s="379"/>
      <c r="AV2285" s="379"/>
      <c r="AW2285" s="379"/>
      <c r="AX2285" s="379"/>
      <c r="AY2285" s="379"/>
      <c r="AZ2285" s="379"/>
      <c r="BA2285" s="379"/>
      <c r="BB2285" s="379"/>
      <c r="BC2285" s="379"/>
      <c r="BD2285" s="379"/>
      <c r="BE2285" s="379"/>
      <c r="BF2285" s="379"/>
      <c r="BG2285" s="379"/>
      <c r="BH2285" s="379"/>
      <c r="BI2285" s="379"/>
      <c r="BJ2285" s="379"/>
      <c r="BK2285" s="379"/>
      <c r="BL2285" s="379"/>
      <c r="BM2285" s="379"/>
      <c r="BN2285" s="379"/>
      <c r="BO2285" s="379"/>
      <c r="BP2285" s="379"/>
      <c r="BQ2285" s="379"/>
      <c r="BR2285" s="379"/>
      <c r="BS2285" s="379"/>
      <c r="BT2285" s="379"/>
      <c r="BU2285" s="379"/>
      <c r="BV2285" s="379"/>
      <c r="BW2285" s="379"/>
      <c r="BX2285" s="379"/>
      <c r="BY2285" s="379"/>
      <c r="BZ2285" s="379"/>
      <c r="CA2285" s="281"/>
      <c r="CB2285" s="3" t="str">
        <f t="shared" si="384"/>
        <v>Riadok bude skrytý.</v>
      </c>
      <c r="CC2285" s="271" t="s">
        <v>832</v>
      </c>
      <c r="CW2285" s="30">
        <f t="shared" si="395"/>
        <v>1</v>
      </c>
      <c r="CX2285" s="30">
        <f t="shared" si="397"/>
        <v>0</v>
      </c>
      <c r="CZ2285" s="30">
        <f t="shared" si="385"/>
        <v>1</v>
      </c>
      <c r="DA2285" s="52">
        <f t="shared" si="396"/>
        <v>0</v>
      </c>
      <c r="DB2285" s="2">
        <f t="shared" si="394"/>
        <v>0</v>
      </c>
      <c r="DS2285" s="130">
        <f>SI!BY2285</f>
        <v>109</v>
      </c>
      <c r="DZ2285" s="131">
        <f>SI!BZ2285</f>
        <v>0</v>
      </c>
    </row>
    <row r="2286" spans="1:130" hidden="1" x14ac:dyDescent="0.25">
      <c r="A2286" s="141"/>
      <c r="B2286" s="379"/>
      <c r="C2286" s="379"/>
      <c r="D2286" s="379"/>
      <c r="E2286" s="379"/>
      <c r="F2286" s="379"/>
      <c r="G2286" s="379"/>
      <c r="H2286" s="379"/>
      <c r="I2286" s="379"/>
      <c r="J2286" s="379"/>
      <c r="K2286" s="379"/>
      <c r="L2286" s="379"/>
      <c r="M2286" s="379"/>
      <c r="N2286" s="379"/>
      <c r="O2286" s="379"/>
      <c r="P2286" s="379"/>
      <c r="Q2286" s="379"/>
      <c r="R2286" s="379"/>
      <c r="S2286" s="379"/>
      <c r="T2286" s="379"/>
      <c r="U2286" s="379"/>
      <c r="V2286" s="379"/>
      <c r="W2286" s="379"/>
      <c r="X2286" s="379"/>
      <c r="Y2286" s="379"/>
      <c r="Z2286" s="379"/>
      <c r="AA2286" s="379"/>
      <c r="AB2286" s="379"/>
      <c r="AC2286" s="379"/>
      <c r="AD2286" s="379"/>
      <c r="AE2286" s="379"/>
      <c r="AF2286" s="379"/>
      <c r="AG2286" s="379"/>
      <c r="AH2286" s="379"/>
      <c r="AI2286" s="379"/>
      <c r="AJ2286" s="379"/>
      <c r="AK2286" s="379"/>
      <c r="AL2286" s="379"/>
      <c r="AM2286" s="379"/>
      <c r="AN2286" s="379"/>
      <c r="AO2286" s="379"/>
      <c r="AP2286" s="379"/>
      <c r="AQ2286" s="379"/>
      <c r="AR2286" s="379"/>
      <c r="AS2286" s="379"/>
      <c r="AT2286" s="379"/>
      <c r="AU2286" s="379"/>
      <c r="AV2286" s="379"/>
      <c r="AW2286" s="379"/>
      <c r="AX2286" s="379"/>
      <c r="AY2286" s="379"/>
      <c r="AZ2286" s="379"/>
      <c r="BA2286" s="379"/>
      <c r="BB2286" s="379"/>
      <c r="BC2286" s="379"/>
      <c r="BD2286" s="379"/>
      <c r="BE2286" s="379"/>
      <c r="BF2286" s="379"/>
      <c r="BG2286" s="379"/>
      <c r="BH2286" s="379"/>
      <c r="BI2286" s="379"/>
      <c r="BJ2286" s="379"/>
      <c r="BK2286" s="379"/>
      <c r="BL2286" s="379"/>
      <c r="BM2286" s="379"/>
      <c r="BN2286" s="379"/>
      <c r="BO2286" s="379"/>
      <c r="BP2286" s="379"/>
      <c r="BQ2286" s="379"/>
      <c r="BR2286" s="379"/>
      <c r="BS2286" s="379"/>
      <c r="BT2286" s="379"/>
      <c r="BU2286" s="379"/>
      <c r="BV2286" s="379"/>
      <c r="BW2286" s="379"/>
      <c r="BX2286" s="379"/>
      <c r="BY2286" s="379"/>
      <c r="BZ2286" s="379"/>
      <c r="CA2286" s="281"/>
      <c r="CB2286" s="3" t="str">
        <f t="shared" si="384"/>
        <v>Riadok bude skrytý.</v>
      </c>
      <c r="CC2286" s="271" t="s">
        <v>832</v>
      </c>
      <c r="CW2286" s="30">
        <f t="shared" si="395"/>
        <v>1</v>
      </c>
      <c r="CX2286" s="30">
        <f t="shared" si="397"/>
        <v>0</v>
      </c>
      <c r="CZ2286" s="30">
        <f t="shared" si="385"/>
        <v>1</v>
      </c>
      <c r="DA2286" s="52">
        <f t="shared" si="396"/>
        <v>0</v>
      </c>
      <c r="DB2286" s="2">
        <f t="shared" si="394"/>
        <v>0</v>
      </c>
      <c r="DS2286" s="130">
        <f>SI!BY2286</f>
        <v>169</v>
      </c>
      <c r="DZ2286" s="131">
        <f>SI!BZ2286</f>
        <v>0</v>
      </c>
    </row>
    <row r="2287" spans="1:130" hidden="1" x14ac:dyDescent="0.25">
      <c r="A2287" s="141"/>
      <c r="B2287" s="379"/>
      <c r="C2287" s="379"/>
      <c r="D2287" s="379"/>
      <c r="E2287" s="379"/>
      <c r="F2287" s="379"/>
      <c r="G2287" s="379"/>
      <c r="H2287" s="379"/>
      <c r="I2287" s="379"/>
      <c r="J2287" s="379"/>
      <c r="K2287" s="379"/>
      <c r="L2287" s="379"/>
      <c r="M2287" s="379"/>
      <c r="N2287" s="379"/>
      <c r="O2287" s="379"/>
      <c r="P2287" s="379"/>
      <c r="Q2287" s="379"/>
      <c r="R2287" s="379"/>
      <c r="S2287" s="379"/>
      <c r="T2287" s="379"/>
      <c r="U2287" s="379"/>
      <c r="V2287" s="379"/>
      <c r="W2287" s="379"/>
      <c r="X2287" s="379"/>
      <c r="Y2287" s="379"/>
      <c r="Z2287" s="379"/>
      <c r="AA2287" s="379"/>
      <c r="AB2287" s="379"/>
      <c r="AC2287" s="379"/>
      <c r="AD2287" s="379"/>
      <c r="AE2287" s="379"/>
      <c r="AF2287" s="379"/>
      <c r="AG2287" s="379"/>
      <c r="AH2287" s="379"/>
      <c r="AI2287" s="379"/>
      <c r="AJ2287" s="379"/>
      <c r="AK2287" s="379"/>
      <c r="AL2287" s="379"/>
      <c r="AM2287" s="379"/>
      <c r="AN2287" s="379"/>
      <c r="AO2287" s="379"/>
      <c r="AP2287" s="379"/>
      <c r="AQ2287" s="379"/>
      <c r="AR2287" s="379"/>
      <c r="AS2287" s="379"/>
      <c r="AT2287" s="379"/>
      <c r="AU2287" s="379"/>
      <c r="AV2287" s="379"/>
      <c r="AW2287" s="379"/>
      <c r="AX2287" s="379"/>
      <c r="AY2287" s="379"/>
      <c r="AZ2287" s="379"/>
      <c r="BA2287" s="379"/>
      <c r="BB2287" s="379"/>
      <c r="BC2287" s="379"/>
      <c r="BD2287" s="379"/>
      <c r="BE2287" s="379"/>
      <c r="BF2287" s="379"/>
      <c r="BG2287" s="379"/>
      <c r="BH2287" s="379"/>
      <c r="BI2287" s="379"/>
      <c r="BJ2287" s="379"/>
      <c r="BK2287" s="379"/>
      <c r="BL2287" s="379"/>
      <c r="BM2287" s="379"/>
      <c r="BN2287" s="379"/>
      <c r="BO2287" s="379"/>
      <c r="BP2287" s="379"/>
      <c r="BQ2287" s="379"/>
      <c r="BR2287" s="379"/>
      <c r="BS2287" s="379"/>
      <c r="BT2287" s="379"/>
      <c r="BU2287" s="379"/>
      <c r="BV2287" s="379"/>
      <c r="BW2287" s="379"/>
      <c r="BX2287" s="379"/>
      <c r="BY2287" s="379"/>
      <c r="BZ2287" s="379"/>
      <c r="CA2287" s="281"/>
      <c r="CB2287" s="3" t="str">
        <f t="shared" si="384"/>
        <v>Riadok bude skrytý.</v>
      </c>
      <c r="CC2287" s="271" t="s">
        <v>832</v>
      </c>
      <c r="CW2287" s="30">
        <f t="shared" si="395"/>
        <v>1</v>
      </c>
      <c r="CX2287" s="30">
        <f t="shared" si="397"/>
        <v>0</v>
      </c>
      <c r="CZ2287" s="30">
        <f t="shared" si="385"/>
        <v>1</v>
      </c>
      <c r="DA2287" s="52">
        <f t="shared" si="396"/>
        <v>0</v>
      </c>
      <c r="DB2287" s="2">
        <f t="shared" si="394"/>
        <v>0</v>
      </c>
      <c r="DS2287" s="130">
        <f>SI!BY2287</f>
        <v>124</v>
      </c>
      <c r="DZ2287" s="131">
        <f>SI!BZ2287</f>
        <v>0</v>
      </c>
    </row>
    <row r="2288" spans="1:130" hidden="1" x14ac:dyDescent="0.25">
      <c r="A2288" s="141"/>
      <c r="B2288" s="379"/>
      <c r="C2288" s="379"/>
      <c r="D2288" s="379"/>
      <c r="E2288" s="379"/>
      <c r="F2288" s="379"/>
      <c r="G2288" s="379"/>
      <c r="H2288" s="379"/>
      <c r="I2288" s="379"/>
      <c r="J2288" s="379"/>
      <c r="K2288" s="379"/>
      <c r="L2288" s="379"/>
      <c r="M2288" s="379"/>
      <c r="N2288" s="379"/>
      <c r="O2288" s="379"/>
      <c r="P2288" s="379"/>
      <c r="Q2288" s="379"/>
      <c r="R2288" s="379"/>
      <c r="S2288" s="379"/>
      <c r="T2288" s="379"/>
      <c r="U2288" s="379"/>
      <c r="V2288" s="379"/>
      <c r="W2288" s="379"/>
      <c r="X2288" s="379"/>
      <c r="Y2288" s="379"/>
      <c r="Z2288" s="379"/>
      <c r="AA2288" s="379"/>
      <c r="AB2288" s="379"/>
      <c r="AC2288" s="379"/>
      <c r="AD2288" s="379"/>
      <c r="AE2288" s="379"/>
      <c r="AF2288" s="379"/>
      <c r="AG2288" s="379"/>
      <c r="AH2288" s="379"/>
      <c r="AI2288" s="379"/>
      <c r="AJ2288" s="379"/>
      <c r="AK2288" s="379"/>
      <c r="AL2288" s="379"/>
      <c r="AM2288" s="379"/>
      <c r="AN2288" s="379"/>
      <c r="AO2288" s="379"/>
      <c r="AP2288" s="379"/>
      <c r="AQ2288" s="379"/>
      <c r="AR2288" s="379"/>
      <c r="AS2288" s="379"/>
      <c r="AT2288" s="379"/>
      <c r="AU2288" s="379"/>
      <c r="AV2288" s="379"/>
      <c r="AW2288" s="379"/>
      <c r="AX2288" s="379"/>
      <c r="AY2288" s="379"/>
      <c r="AZ2288" s="379"/>
      <c r="BA2288" s="379"/>
      <c r="BB2288" s="379"/>
      <c r="BC2288" s="379"/>
      <c r="BD2288" s="379"/>
      <c r="BE2288" s="379"/>
      <c r="BF2288" s="379"/>
      <c r="BG2288" s="379"/>
      <c r="BH2288" s="379"/>
      <c r="BI2288" s="379"/>
      <c r="BJ2288" s="379"/>
      <c r="BK2288" s="379"/>
      <c r="BL2288" s="379"/>
      <c r="BM2288" s="379"/>
      <c r="BN2288" s="379"/>
      <c r="BO2288" s="379"/>
      <c r="BP2288" s="379"/>
      <c r="BQ2288" s="379"/>
      <c r="BR2288" s="379"/>
      <c r="BS2288" s="379"/>
      <c r="BT2288" s="379"/>
      <c r="BU2288" s="379"/>
      <c r="BV2288" s="379"/>
      <c r="BW2288" s="379"/>
      <c r="BX2288" s="379"/>
      <c r="BY2288" s="379"/>
      <c r="BZ2288" s="379"/>
      <c r="CA2288" s="281"/>
      <c r="CB2288" s="3" t="str">
        <f t="shared" si="384"/>
        <v>Riadok bude skrytý.</v>
      </c>
      <c r="CC2288" s="271" t="s">
        <v>832</v>
      </c>
      <c r="CW2288" s="30">
        <f t="shared" si="395"/>
        <v>1</v>
      </c>
      <c r="CX2288" s="30">
        <f t="shared" si="397"/>
        <v>0</v>
      </c>
      <c r="CZ2288" s="30">
        <f t="shared" si="385"/>
        <v>1</v>
      </c>
      <c r="DA2288" s="52">
        <f t="shared" si="396"/>
        <v>0</v>
      </c>
      <c r="DB2288" s="2">
        <f t="shared" si="394"/>
        <v>0</v>
      </c>
      <c r="DS2288" s="130">
        <f>SI!BY2288</f>
        <v>692</v>
      </c>
      <c r="DZ2288" s="131">
        <f>SI!BZ2288</f>
        <v>0</v>
      </c>
    </row>
    <row r="2289" spans="1:130" hidden="1" x14ac:dyDescent="0.25">
      <c r="A2289" s="141"/>
      <c r="B2289" s="379"/>
      <c r="C2289" s="379"/>
      <c r="D2289" s="379"/>
      <c r="E2289" s="379"/>
      <c r="F2289" s="379"/>
      <c r="G2289" s="379"/>
      <c r="H2289" s="379"/>
      <c r="I2289" s="379"/>
      <c r="J2289" s="379"/>
      <c r="K2289" s="379"/>
      <c r="L2289" s="379"/>
      <c r="M2289" s="379"/>
      <c r="N2289" s="379"/>
      <c r="O2289" s="379"/>
      <c r="P2289" s="379"/>
      <c r="Q2289" s="379"/>
      <c r="R2289" s="379"/>
      <c r="S2289" s="379"/>
      <c r="T2289" s="379"/>
      <c r="U2289" s="379"/>
      <c r="V2289" s="379"/>
      <c r="W2289" s="379"/>
      <c r="X2289" s="379"/>
      <c r="Y2289" s="379"/>
      <c r="Z2289" s="379"/>
      <c r="AA2289" s="379"/>
      <c r="AB2289" s="379"/>
      <c r="AC2289" s="379"/>
      <c r="AD2289" s="379"/>
      <c r="AE2289" s="379"/>
      <c r="AF2289" s="379"/>
      <c r="AG2289" s="379"/>
      <c r="AH2289" s="379"/>
      <c r="AI2289" s="379"/>
      <c r="AJ2289" s="379"/>
      <c r="AK2289" s="379"/>
      <c r="AL2289" s="379"/>
      <c r="AM2289" s="379"/>
      <c r="AN2289" s="379"/>
      <c r="AO2289" s="379"/>
      <c r="AP2289" s="379"/>
      <c r="AQ2289" s="379"/>
      <c r="AR2289" s="379"/>
      <c r="AS2289" s="379"/>
      <c r="AT2289" s="379"/>
      <c r="AU2289" s="379"/>
      <c r="AV2289" s="379"/>
      <c r="AW2289" s="379"/>
      <c r="AX2289" s="379"/>
      <c r="AY2289" s="379"/>
      <c r="AZ2289" s="379"/>
      <c r="BA2289" s="379"/>
      <c r="BB2289" s="379"/>
      <c r="BC2289" s="379"/>
      <c r="BD2289" s="379"/>
      <c r="BE2289" s="379"/>
      <c r="BF2289" s="379"/>
      <c r="BG2289" s="379"/>
      <c r="BH2289" s="379"/>
      <c r="BI2289" s="379"/>
      <c r="BJ2289" s="379"/>
      <c r="BK2289" s="379"/>
      <c r="BL2289" s="379"/>
      <c r="BM2289" s="379"/>
      <c r="BN2289" s="379"/>
      <c r="BO2289" s="379"/>
      <c r="BP2289" s="379"/>
      <c r="BQ2289" s="379"/>
      <c r="BR2289" s="379"/>
      <c r="BS2289" s="379"/>
      <c r="BT2289" s="379"/>
      <c r="BU2289" s="379"/>
      <c r="BV2289" s="379"/>
      <c r="BW2289" s="379"/>
      <c r="BX2289" s="379"/>
      <c r="BY2289" s="379"/>
      <c r="BZ2289" s="379"/>
      <c r="CA2289" s="281"/>
      <c r="CB2289" s="3" t="str">
        <f t="shared" si="384"/>
        <v>Riadok bude skrytý.</v>
      </c>
      <c r="CC2289" s="271" t="s">
        <v>832</v>
      </c>
      <c r="CW2289" s="30">
        <f t="shared" si="395"/>
        <v>1</v>
      </c>
      <c r="CX2289" s="30">
        <f t="shared" si="397"/>
        <v>0</v>
      </c>
      <c r="CZ2289" s="30">
        <f t="shared" si="385"/>
        <v>1</v>
      </c>
      <c r="DA2289" s="52">
        <f t="shared" si="396"/>
        <v>0</v>
      </c>
      <c r="DB2289" s="2">
        <f t="shared" si="394"/>
        <v>0</v>
      </c>
      <c r="DS2289" s="130">
        <f>SI!BY2289</f>
        <v>114</v>
      </c>
      <c r="DZ2289" s="131">
        <f>SI!BZ2289</f>
        <v>0</v>
      </c>
    </row>
    <row r="2290" spans="1:130" hidden="1" x14ac:dyDescent="0.25">
      <c r="A2290" s="141"/>
      <c r="B2290" s="379"/>
      <c r="C2290" s="379"/>
      <c r="D2290" s="379"/>
      <c r="E2290" s="379"/>
      <c r="F2290" s="379"/>
      <c r="G2290" s="379"/>
      <c r="H2290" s="379"/>
      <c r="I2290" s="379"/>
      <c r="J2290" s="379"/>
      <c r="K2290" s="379"/>
      <c r="L2290" s="379"/>
      <c r="M2290" s="379"/>
      <c r="N2290" s="379"/>
      <c r="O2290" s="379"/>
      <c r="P2290" s="379"/>
      <c r="Q2290" s="379"/>
      <c r="R2290" s="379"/>
      <c r="S2290" s="379"/>
      <c r="T2290" s="379"/>
      <c r="U2290" s="379"/>
      <c r="V2290" s="379"/>
      <c r="W2290" s="379"/>
      <c r="X2290" s="379"/>
      <c r="Y2290" s="379"/>
      <c r="Z2290" s="379"/>
      <c r="AA2290" s="379"/>
      <c r="AB2290" s="379"/>
      <c r="AC2290" s="379"/>
      <c r="AD2290" s="379"/>
      <c r="AE2290" s="379"/>
      <c r="AF2290" s="379"/>
      <c r="AG2290" s="379"/>
      <c r="AH2290" s="379"/>
      <c r="AI2290" s="379"/>
      <c r="AJ2290" s="379"/>
      <c r="AK2290" s="379"/>
      <c r="AL2290" s="379"/>
      <c r="AM2290" s="379"/>
      <c r="AN2290" s="379"/>
      <c r="AO2290" s="379"/>
      <c r="AP2290" s="379"/>
      <c r="AQ2290" s="379"/>
      <c r="AR2290" s="379"/>
      <c r="AS2290" s="379"/>
      <c r="AT2290" s="379"/>
      <c r="AU2290" s="379"/>
      <c r="AV2290" s="379"/>
      <c r="AW2290" s="379"/>
      <c r="AX2290" s="379"/>
      <c r="AY2290" s="379"/>
      <c r="AZ2290" s="379"/>
      <c r="BA2290" s="379"/>
      <c r="BB2290" s="379"/>
      <c r="BC2290" s="379"/>
      <c r="BD2290" s="379"/>
      <c r="BE2290" s="379"/>
      <c r="BF2290" s="379"/>
      <c r="BG2290" s="379"/>
      <c r="BH2290" s="379"/>
      <c r="BI2290" s="379"/>
      <c r="BJ2290" s="379"/>
      <c r="BK2290" s="379"/>
      <c r="BL2290" s="379"/>
      <c r="BM2290" s="379"/>
      <c r="BN2290" s="379"/>
      <c r="BO2290" s="379"/>
      <c r="BP2290" s="379"/>
      <c r="BQ2290" s="379"/>
      <c r="BR2290" s="379"/>
      <c r="BS2290" s="379"/>
      <c r="BT2290" s="379"/>
      <c r="BU2290" s="379"/>
      <c r="BV2290" s="379"/>
      <c r="BW2290" s="379"/>
      <c r="BX2290" s="379"/>
      <c r="BY2290" s="379"/>
      <c r="BZ2290" s="379"/>
      <c r="CA2290" s="281"/>
      <c r="CB2290" s="3" t="str">
        <f t="shared" si="384"/>
        <v>Riadok bude skrytý.</v>
      </c>
      <c r="CC2290" s="271" t="s">
        <v>832</v>
      </c>
      <c r="CW2290" s="30">
        <f t="shared" si="395"/>
        <v>1</v>
      </c>
      <c r="CX2290" s="30">
        <f t="shared" si="397"/>
        <v>0</v>
      </c>
      <c r="CZ2290" s="30">
        <f t="shared" si="385"/>
        <v>1</v>
      </c>
      <c r="DA2290" s="52">
        <f t="shared" si="396"/>
        <v>0</v>
      </c>
      <c r="DB2290" s="2">
        <f t="shared" si="394"/>
        <v>0</v>
      </c>
      <c r="DS2290" s="130">
        <f>SI!BY2290</f>
        <v>106</v>
      </c>
      <c r="DZ2290" s="131">
        <f>SI!BZ2290</f>
        <v>0</v>
      </c>
    </row>
    <row r="2291" spans="1:130" hidden="1" x14ac:dyDescent="0.25">
      <c r="A2291" s="141"/>
      <c r="B2291" s="379"/>
      <c r="C2291" s="379"/>
      <c r="D2291" s="379"/>
      <c r="E2291" s="379"/>
      <c r="F2291" s="379"/>
      <c r="G2291" s="379"/>
      <c r="H2291" s="379"/>
      <c r="I2291" s="379"/>
      <c r="J2291" s="379"/>
      <c r="K2291" s="379"/>
      <c r="L2291" s="379"/>
      <c r="M2291" s="379"/>
      <c r="N2291" s="379"/>
      <c r="O2291" s="379"/>
      <c r="P2291" s="379"/>
      <c r="Q2291" s="379"/>
      <c r="R2291" s="379"/>
      <c r="S2291" s="379"/>
      <c r="T2291" s="379"/>
      <c r="U2291" s="379"/>
      <c r="V2291" s="379"/>
      <c r="W2291" s="379"/>
      <c r="X2291" s="379"/>
      <c r="Y2291" s="379"/>
      <c r="Z2291" s="379"/>
      <c r="AA2291" s="379"/>
      <c r="AB2291" s="379"/>
      <c r="AC2291" s="379"/>
      <c r="AD2291" s="379"/>
      <c r="AE2291" s="379"/>
      <c r="AF2291" s="379"/>
      <c r="AG2291" s="379"/>
      <c r="AH2291" s="379"/>
      <c r="AI2291" s="379"/>
      <c r="AJ2291" s="379"/>
      <c r="AK2291" s="379"/>
      <c r="AL2291" s="379"/>
      <c r="AM2291" s="379"/>
      <c r="AN2291" s="379"/>
      <c r="AO2291" s="379"/>
      <c r="AP2291" s="379"/>
      <c r="AQ2291" s="379"/>
      <c r="AR2291" s="379"/>
      <c r="AS2291" s="379"/>
      <c r="AT2291" s="379"/>
      <c r="AU2291" s="379"/>
      <c r="AV2291" s="379"/>
      <c r="AW2291" s="379"/>
      <c r="AX2291" s="379"/>
      <c r="AY2291" s="379"/>
      <c r="AZ2291" s="379"/>
      <c r="BA2291" s="379"/>
      <c r="BB2291" s="379"/>
      <c r="BC2291" s="379"/>
      <c r="BD2291" s="379"/>
      <c r="BE2291" s="379"/>
      <c r="BF2291" s="379"/>
      <c r="BG2291" s="379"/>
      <c r="BH2291" s="379"/>
      <c r="BI2291" s="379"/>
      <c r="BJ2291" s="379"/>
      <c r="BK2291" s="379"/>
      <c r="BL2291" s="379"/>
      <c r="BM2291" s="379"/>
      <c r="BN2291" s="379"/>
      <c r="BO2291" s="379"/>
      <c r="BP2291" s="379"/>
      <c r="BQ2291" s="379"/>
      <c r="BR2291" s="379"/>
      <c r="BS2291" s="379"/>
      <c r="BT2291" s="379"/>
      <c r="BU2291" s="379"/>
      <c r="BV2291" s="379"/>
      <c r="BW2291" s="379"/>
      <c r="BX2291" s="379"/>
      <c r="BY2291" s="379"/>
      <c r="BZ2291" s="379"/>
      <c r="CA2291" s="281"/>
      <c r="CB2291" s="3" t="str">
        <f t="shared" ref="CB2291:CB2354" si="398">+IF(DB2291=0,"Riadok bude skrytý.","Riadok bude vidieť.")</f>
        <v>Riadok bude skrytý.</v>
      </c>
      <c r="CC2291" s="271" t="s">
        <v>832</v>
      </c>
      <c r="CW2291" s="30">
        <f t="shared" si="395"/>
        <v>1</v>
      </c>
      <c r="CX2291" s="30">
        <f t="shared" si="397"/>
        <v>0</v>
      </c>
      <c r="CZ2291" s="30">
        <f t="shared" ref="CZ2291:CZ2354" si="399">IF(CC2291="",1,IF(CC2291="Chcem skryť riadok.",0,1))</f>
        <v>1</v>
      </c>
      <c r="DA2291" s="52">
        <f t="shared" si="396"/>
        <v>0</v>
      </c>
      <c r="DB2291" s="2">
        <f t="shared" si="394"/>
        <v>0</v>
      </c>
      <c r="DS2291" s="130">
        <f>SI!BY2291</f>
        <v>200</v>
      </c>
      <c r="DZ2291" s="131">
        <f>SI!BZ2291</f>
        <v>0</v>
      </c>
    </row>
    <row r="2292" spans="1:130" hidden="1" x14ac:dyDescent="0.25">
      <c r="A2292" s="141"/>
      <c r="B2292" s="379"/>
      <c r="C2292" s="379"/>
      <c r="D2292" s="379"/>
      <c r="E2292" s="379"/>
      <c r="F2292" s="379"/>
      <c r="G2292" s="379"/>
      <c r="H2292" s="379"/>
      <c r="I2292" s="379"/>
      <c r="J2292" s="379"/>
      <c r="K2292" s="379"/>
      <c r="L2292" s="379"/>
      <c r="M2292" s="379"/>
      <c r="N2292" s="379"/>
      <c r="O2292" s="379"/>
      <c r="P2292" s="379"/>
      <c r="Q2292" s="379"/>
      <c r="R2292" s="379"/>
      <c r="S2292" s="379"/>
      <c r="T2292" s="379"/>
      <c r="U2292" s="379"/>
      <c r="V2292" s="379"/>
      <c r="W2292" s="379"/>
      <c r="X2292" s="379"/>
      <c r="Y2292" s="379"/>
      <c r="Z2292" s="379"/>
      <c r="AA2292" s="379"/>
      <c r="AB2292" s="379"/>
      <c r="AC2292" s="379"/>
      <c r="AD2292" s="379"/>
      <c r="AE2292" s="379"/>
      <c r="AF2292" s="379"/>
      <c r="AG2292" s="379"/>
      <c r="AH2292" s="379"/>
      <c r="AI2292" s="379"/>
      <c r="AJ2292" s="379"/>
      <c r="AK2292" s="379"/>
      <c r="AL2292" s="379"/>
      <c r="AM2292" s="379"/>
      <c r="AN2292" s="379"/>
      <c r="AO2292" s="379"/>
      <c r="AP2292" s="379"/>
      <c r="AQ2292" s="379"/>
      <c r="AR2292" s="379"/>
      <c r="AS2292" s="379"/>
      <c r="AT2292" s="379"/>
      <c r="AU2292" s="379"/>
      <c r="AV2292" s="379"/>
      <c r="AW2292" s="379"/>
      <c r="AX2292" s="379"/>
      <c r="AY2292" s="379"/>
      <c r="AZ2292" s="379"/>
      <c r="BA2292" s="379"/>
      <c r="BB2292" s="379"/>
      <c r="BC2292" s="379"/>
      <c r="BD2292" s="379"/>
      <c r="BE2292" s="379"/>
      <c r="BF2292" s="379"/>
      <c r="BG2292" s="379"/>
      <c r="BH2292" s="379"/>
      <c r="BI2292" s="379"/>
      <c r="BJ2292" s="379"/>
      <c r="BK2292" s="379"/>
      <c r="BL2292" s="379"/>
      <c r="BM2292" s="379"/>
      <c r="BN2292" s="379"/>
      <c r="BO2292" s="379"/>
      <c r="BP2292" s="379"/>
      <c r="BQ2292" s="379"/>
      <c r="BR2292" s="379"/>
      <c r="BS2292" s="379"/>
      <c r="BT2292" s="379"/>
      <c r="BU2292" s="379"/>
      <c r="BV2292" s="379"/>
      <c r="BW2292" s="379"/>
      <c r="BX2292" s="379"/>
      <c r="BY2292" s="379"/>
      <c r="BZ2292" s="379"/>
      <c r="CA2292" s="281"/>
      <c r="CB2292" s="3" t="str">
        <f t="shared" si="398"/>
        <v>Riadok bude skrytý.</v>
      </c>
      <c r="CC2292" s="271" t="s">
        <v>832</v>
      </c>
      <c r="CW2292" s="30">
        <f t="shared" si="395"/>
        <v>1</v>
      </c>
      <c r="CX2292" s="30">
        <f t="shared" si="397"/>
        <v>0</v>
      </c>
      <c r="CZ2292" s="30">
        <f t="shared" si="399"/>
        <v>1</v>
      </c>
      <c r="DA2292" s="52">
        <f t="shared" si="396"/>
        <v>0</v>
      </c>
      <c r="DB2292" s="2">
        <f t="shared" si="394"/>
        <v>0</v>
      </c>
      <c r="DS2292" s="130">
        <f>SI!BY2292</f>
        <v>162</v>
      </c>
      <c r="DZ2292" s="131">
        <f>SI!BZ2292</f>
        <v>0</v>
      </c>
    </row>
    <row r="2293" spans="1:130" hidden="1" x14ac:dyDescent="0.25">
      <c r="A2293" s="141"/>
      <c r="B2293" s="379"/>
      <c r="C2293" s="379"/>
      <c r="D2293" s="379"/>
      <c r="E2293" s="379"/>
      <c r="F2293" s="379"/>
      <c r="G2293" s="379"/>
      <c r="H2293" s="379"/>
      <c r="I2293" s="379"/>
      <c r="J2293" s="379"/>
      <c r="K2293" s="379"/>
      <c r="L2293" s="379"/>
      <c r="M2293" s="379"/>
      <c r="N2293" s="379"/>
      <c r="O2293" s="379"/>
      <c r="P2293" s="379"/>
      <c r="Q2293" s="379"/>
      <c r="R2293" s="379"/>
      <c r="S2293" s="379"/>
      <c r="T2293" s="379"/>
      <c r="U2293" s="379"/>
      <c r="V2293" s="379"/>
      <c r="W2293" s="379"/>
      <c r="X2293" s="379"/>
      <c r="Y2293" s="379"/>
      <c r="Z2293" s="379"/>
      <c r="AA2293" s="379"/>
      <c r="AB2293" s="379"/>
      <c r="AC2293" s="379"/>
      <c r="AD2293" s="379"/>
      <c r="AE2293" s="379"/>
      <c r="AF2293" s="379"/>
      <c r="AG2293" s="379"/>
      <c r="AH2293" s="379"/>
      <c r="AI2293" s="379"/>
      <c r="AJ2293" s="379"/>
      <c r="AK2293" s="379"/>
      <c r="AL2293" s="379"/>
      <c r="AM2293" s="379"/>
      <c r="AN2293" s="379"/>
      <c r="AO2293" s="379"/>
      <c r="AP2293" s="379"/>
      <c r="AQ2293" s="379"/>
      <c r="AR2293" s="379"/>
      <c r="AS2293" s="379"/>
      <c r="AT2293" s="379"/>
      <c r="AU2293" s="379"/>
      <c r="AV2293" s="379"/>
      <c r="AW2293" s="379"/>
      <c r="AX2293" s="379"/>
      <c r="AY2293" s="379"/>
      <c r="AZ2293" s="379"/>
      <c r="BA2293" s="379"/>
      <c r="BB2293" s="379"/>
      <c r="BC2293" s="379"/>
      <c r="BD2293" s="379"/>
      <c r="BE2293" s="379"/>
      <c r="BF2293" s="379"/>
      <c r="BG2293" s="379"/>
      <c r="BH2293" s="379"/>
      <c r="BI2293" s="379"/>
      <c r="BJ2293" s="379"/>
      <c r="BK2293" s="379"/>
      <c r="BL2293" s="379"/>
      <c r="BM2293" s="379"/>
      <c r="BN2293" s="379"/>
      <c r="BO2293" s="379"/>
      <c r="BP2293" s="379"/>
      <c r="BQ2293" s="379"/>
      <c r="BR2293" s="379"/>
      <c r="BS2293" s="379"/>
      <c r="BT2293" s="379"/>
      <c r="BU2293" s="379"/>
      <c r="BV2293" s="379"/>
      <c r="BW2293" s="379"/>
      <c r="BX2293" s="379"/>
      <c r="BY2293" s="379"/>
      <c r="BZ2293" s="379"/>
      <c r="CA2293" s="281"/>
      <c r="CB2293" s="3" t="str">
        <f t="shared" si="398"/>
        <v>Riadok bude skrytý.</v>
      </c>
      <c r="CC2293" s="271" t="s">
        <v>832</v>
      </c>
      <c r="CW2293" s="30">
        <f t="shared" si="395"/>
        <v>1</v>
      </c>
      <c r="CX2293" s="30">
        <f t="shared" si="397"/>
        <v>0</v>
      </c>
      <c r="CZ2293" s="30">
        <f t="shared" si="399"/>
        <v>1</v>
      </c>
      <c r="DA2293" s="52">
        <f t="shared" si="396"/>
        <v>0</v>
      </c>
      <c r="DB2293" s="2">
        <f t="shared" si="394"/>
        <v>0</v>
      </c>
      <c r="DS2293" s="130">
        <f>SI!BY2293</f>
        <v>116</v>
      </c>
      <c r="DZ2293" s="131">
        <f>SI!BZ2293</f>
        <v>0</v>
      </c>
    </row>
    <row r="2294" spans="1:130" hidden="1" x14ac:dyDescent="0.25">
      <c r="A2294" s="141"/>
      <c r="B2294" s="379"/>
      <c r="C2294" s="379"/>
      <c r="D2294" s="379"/>
      <c r="E2294" s="379"/>
      <c r="F2294" s="379"/>
      <c r="G2294" s="379"/>
      <c r="H2294" s="379"/>
      <c r="I2294" s="379"/>
      <c r="J2294" s="379"/>
      <c r="K2294" s="379"/>
      <c r="L2294" s="379"/>
      <c r="M2294" s="379"/>
      <c r="N2294" s="379"/>
      <c r="O2294" s="379"/>
      <c r="P2294" s="379"/>
      <c r="Q2294" s="379"/>
      <c r="R2294" s="379"/>
      <c r="S2294" s="379"/>
      <c r="T2294" s="379"/>
      <c r="U2294" s="379"/>
      <c r="V2294" s="379"/>
      <c r="W2294" s="379"/>
      <c r="X2294" s="379"/>
      <c r="Y2294" s="379"/>
      <c r="Z2294" s="379"/>
      <c r="AA2294" s="379"/>
      <c r="AB2294" s="379"/>
      <c r="AC2294" s="379"/>
      <c r="AD2294" s="379"/>
      <c r="AE2294" s="379"/>
      <c r="AF2294" s="379"/>
      <c r="AG2294" s="379"/>
      <c r="AH2294" s="379"/>
      <c r="AI2294" s="379"/>
      <c r="AJ2294" s="379"/>
      <c r="AK2294" s="379"/>
      <c r="AL2294" s="379"/>
      <c r="AM2294" s="379"/>
      <c r="AN2294" s="379"/>
      <c r="AO2294" s="379"/>
      <c r="AP2294" s="379"/>
      <c r="AQ2294" s="379"/>
      <c r="AR2294" s="379"/>
      <c r="AS2294" s="379"/>
      <c r="AT2294" s="379"/>
      <c r="AU2294" s="379"/>
      <c r="AV2294" s="379"/>
      <c r="AW2294" s="379"/>
      <c r="AX2294" s="379"/>
      <c r="AY2294" s="379"/>
      <c r="AZ2294" s="379"/>
      <c r="BA2294" s="379"/>
      <c r="BB2294" s="379"/>
      <c r="BC2294" s="379"/>
      <c r="BD2294" s="379"/>
      <c r="BE2294" s="379"/>
      <c r="BF2294" s="379"/>
      <c r="BG2294" s="379"/>
      <c r="BH2294" s="379"/>
      <c r="BI2294" s="379"/>
      <c r="BJ2294" s="379"/>
      <c r="BK2294" s="379"/>
      <c r="BL2294" s="379"/>
      <c r="BM2294" s="379"/>
      <c r="BN2294" s="379"/>
      <c r="BO2294" s="379"/>
      <c r="BP2294" s="379"/>
      <c r="BQ2294" s="379"/>
      <c r="BR2294" s="379"/>
      <c r="BS2294" s="379"/>
      <c r="BT2294" s="379"/>
      <c r="BU2294" s="379"/>
      <c r="BV2294" s="379"/>
      <c r="BW2294" s="379"/>
      <c r="BX2294" s="379"/>
      <c r="BY2294" s="379"/>
      <c r="BZ2294" s="379"/>
      <c r="CA2294" s="281"/>
      <c r="CB2294" s="3" t="str">
        <f t="shared" si="398"/>
        <v>Riadok bude skrytý.</v>
      </c>
      <c r="CC2294" s="271" t="s">
        <v>832</v>
      </c>
      <c r="CW2294" s="30">
        <f t="shared" si="395"/>
        <v>1</v>
      </c>
      <c r="CX2294" s="30">
        <f t="shared" si="397"/>
        <v>0</v>
      </c>
      <c r="CZ2294" s="30">
        <f t="shared" si="399"/>
        <v>1</v>
      </c>
      <c r="DA2294" s="52">
        <f t="shared" si="396"/>
        <v>0</v>
      </c>
      <c r="DB2294" s="2">
        <f t="shared" si="394"/>
        <v>0</v>
      </c>
      <c r="DS2294" s="130">
        <f>SI!BY2294</f>
        <v>136</v>
      </c>
      <c r="DZ2294" s="131">
        <f>SI!BZ2294</f>
        <v>0</v>
      </c>
    </row>
    <row r="2295" spans="1:130" hidden="1" x14ac:dyDescent="0.25">
      <c r="A2295" s="141"/>
      <c r="B2295" s="379"/>
      <c r="C2295" s="379"/>
      <c r="D2295" s="379"/>
      <c r="E2295" s="379"/>
      <c r="F2295" s="379"/>
      <c r="G2295" s="379"/>
      <c r="H2295" s="379"/>
      <c r="I2295" s="379"/>
      <c r="J2295" s="379"/>
      <c r="K2295" s="379"/>
      <c r="L2295" s="379"/>
      <c r="M2295" s="379"/>
      <c r="N2295" s="379"/>
      <c r="O2295" s="379"/>
      <c r="P2295" s="379"/>
      <c r="Q2295" s="379"/>
      <c r="R2295" s="379"/>
      <c r="S2295" s="379"/>
      <c r="T2295" s="379"/>
      <c r="U2295" s="379"/>
      <c r="V2295" s="379"/>
      <c r="W2295" s="379"/>
      <c r="X2295" s="379"/>
      <c r="Y2295" s="379"/>
      <c r="Z2295" s="379"/>
      <c r="AA2295" s="379"/>
      <c r="AB2295" s="379"/>
      <c r="AC2295" s="379"/>
      <c r="AD2295" s="379"/>
      <c r="AE2295" s="379"/>
      <c r="AF2295" s="379"/>
      <c r="AG2295" s="379"/>
      <c r="AH2295" s="379"/>
      <c r="AI2295" s="379"/>
      <c r="AJ2295" s="379"/>
      <c r="AK2295" s="379"/>
      <c r="AL2295" s="379"/>
      <c r="AM2295" s="379"/>
      <c r="AN2295" s="379"/>
      <c r="AO2295" s="379"/>
      <c r="AP2295" s="379"/>
      <c r="AQ2295" s="379"/>
      <c r="AR2295" s="379"/>
      <c r="AS2295" s="379"/>
      <c r="AT2295" s="379"/>
      <c r="AU2295" s="379"/>
      <c r="AV2295" s="379"/>
      <c r="AW2295" s="379"/>
      <c r="AX2295" s="379"/>
      <c r="AY2295" s="379"/>
      <c r="AZ2295" s="379"/>
      <c r="BA2295" s="379"/>
      <c r="BB2295" s="379"/>
      <c r="BC2295" s="379"/>
      <c r="BD2295" s="379"/>
      <c r="BE2295" s="379"/>
      <c r="BF2295" s="379"/>
      <c r="BG2295" s="379"/>
      <c r="BH2295" s="379"/>
      <c r="BI2295" s="379"/>
      <c r="BJ2295" s="379"/>
      <c r="BK2295" s="379"/>
      <c r="BL2295" s="379"/>
      <c r="BM2295" s="379"/>
      <c r="BN2295" s="379"/>
      <c r="BO2295" s="379"/>
      <c r="BP2295" s="379"/>
      <c r="BQ2295" s="379"/>
      <c r="BR2295" s="379"/>
      <c r="BS2295" s="379"/>
      <c r="BT2295" s="379"/>
      <c r="BU2295" s="379"/>
      <c r="BV2295" s="379"/>
      <c r="BW2295" s="379"/>
      <c r="BX2295" s="379"/>
      <c r="BY2295" s="379"/>
      <c r="BZ2295" s="379"/>
      <c r="CA2295" s="281"/>
      <c r="CB2295" s="3" t="str">
        <f t="shared" si="398"/>
        <v>Riadok bude skrytý.</v>
      </c>
      <c r="CC2295" s="271" t="s">
        <v>832</v>
      </c>
      <c r="CW2295" s="30">
        <f t="shared" si="395"/>
        <v>1</v>
      </c>
      <c r="CX2295" s="30">
        <f t="shared" si="397"/>
        <v>0</v>
      </c>
      <c r="CZ2295" s="30">
        <f t="shared" si="399"/>
        <v>1</v>
      </c>
      <c r="DA2295" s="52">
        <f t="shared" si="396"/>
        <v>0</v>
      </c>
      <c r="DB2295" s="2">
        <f t="shared" si="394"/>
        <v>0</v>
      </c>
      <c r="DS2295" s="130">
        <f>SI!BY2295</f>
        <v>166</v>
      </c>
      <c r="DZ2295" s="131">
        <f>SI!BZ2295</f>
        <v>0</v>
      </c>
    </row>
    <row r="2296" spans="1:130" hidden="1" x14ac:dyDescent="0.25">
      <c r="A2296" s="141"/>
      <c r="B2296" s="379"/>
      <c r="C2296" s="379"/>
      <c r="D2296" s="379"/>
      <c r="E2296" s="379"/>
      <c r="F2296" s="379"/>
      <c r="G2296" s="379"/>
      <c r="H2296" s="379"/>
      <c r="I2296" s="379"/>
      <c r="J2296" s="379"/>
      <c r="K2296" s="379"/>
      <c r="L2296" s="379"/>
      <c r="M2296" s="379"/>
      <c r="N2296" s="379"/>
      <c r="O2296" s="379"/>
      <c r="P2296" s="379"/>
      <c r="Q2296" s="379"/>
      <c r="R2296" s="379"/>
      <c r="S2296" s="379"/>
      <c r="T2296" s="379"/>
      <c r="U2296" s="379"/>
      <c r="V2296" s="379"/>
      <c r="W2296" s="379"/>
      <c r="X2296" s="379"/>
      <c r="Y2296" s="379"/>
      <c r="Z2296" s="379"/>
      <c r="AA2296" s="379"/>
      <c r="AB2296" s="379"/>
      <c r="AC2296" s="379"/>
      <c r="AD2296" s="379"/>
      <c r="AE2296" s="379"/>
      <c r="AF2296" s="379"/>
      <c r="AG2296" s="379"/>
      <c r="AH2296" s="379"/>
      <c r="AI2296" s="379"/>
      <c r="AJ2296" s="379"/>
      <c r="AK2296" s="379"/>
      <c r="AL2296" s="379"/>
      <c r="AM2296" s="379"/>
      <c r="AN2296" s="379"/>
      <c r="AO2296" s="379"/>
      <c r="AP2296" s="379"/>
      <c r="AQ2296" s="379"/>
      <c r="AR2296" s="379"/>
      <c r="AS2296" s="379"/>
      <c r="AT2296" s="379"/>
      <c r="AU2296" s="379"/>
      <c r="AV2296" s="379"/>
      <c r="AW2296" s="379"/>
      <c r="AX2296" s="379"/>
      <c r="AY2296" s="379"/>
      <c r="AZ2296" s="379"/>
      <c r="BA2296" s="379"/>
      <c r="BB2296" s="379"/>
      <c r="BC2296" s="379"/>
      <c r="BD2296" s="379"/>
      <c r="BE2296" s="379"/>
      <c r="BF2296" s="379"/>
      <c r="BG2296" s="379"/>
      <c r="BH2296" s="379"/>
      <c r="BI2296" s="379"/>
      <c r="BJ2296" s="379"/>
      <c r="BK2296" s="379"/>
      <c r="BL2296" s="379"/>
      <c r="BM2296" s="379"/>
      <c r="BN2296" s="379"/>
      <c r="BO2296" s="379"/>
      <c r="BP2296" s="379"/>
      <c r="BQ2296" s="379"/>
      <c r="BR2296" s="379"/>
      <c r="BS2296" s="379"/>
      <c r="BT2296" s="379"/>
      <c r="BU2296" s="379"/>
      <c r="BV2296" s="379"/>
      <c r="BW2296" s="379"/>
      <c r="BX2296" s="379"/>
      <c r="BY2296" s="379"/>
      <c r="BZ2296" s="379"/>
      <c r="CA2296" s="281"/>
      <c r="CB2296" s="3" t="str">
        <f t="shared" si="398"/>
        <v>Riadok bude skrytý.</v>
      </c>
      <c r="CC2296" s="271" t="s">
        <v>832</v>
      </c>
      <c r="CW2296" s="30">
        <f t="shared" si="395"/>
        <v>1</v>
      </c>
      <c r="CX2296" s="30">
        <f t="shared" si="397"/>
        <v>0</v>
      </c>
      <c r="CZ2296" s="30">
        <f t="shared" si="399"/>
        <v>1</v>
      </c>
      <c r="DA2296" s="52">
        <f t="shared" si="396"/>
        <v>0</v>
      </c>
      <c r="DB2296" s="2">
        <f t="shared" si="394"/>
        <v>0</v>
      </c>
      <c r="DS2296" s="130">
        <f>SI!BY2296</f>
        <v>142</v>
      </c>
      <c r="DZ2296" s="131">
        <f>SI!BZ2296</f>
        <v>0</v>
      </c>
    </row>
    <row r="2297" spans="1:130" hidden="1" x14ac:dyDescent="0.25">
      <c r="A2297" s="141"/>
      <c r="B2297" s="379"/>
      <c r="C2297" s="379"/>
      <c r="D2297" s="379"/>
      <c r="E2297" s="379"/>
      <c r="F2297" s="379"/>
      <c r="G2297" s="379"/>
      <c r="H2297" s="379"/>
      <c r="I2297" s="379"/>
      <c r="J2297" s="379"/>
      <c r="K2297" s="379"/>
      <c r="L2297" s="379"/>
      <c r="M2297" s="379"/>
      <c r="N2297" s="379"/>
      <c r="O2297" s="379"/>
      <c r="P2297" s="379"/>
      <c r="Q2297" s="379"/>
      <c r="R2297" s="379"/>
      <c r="S2297" s="379"/>
      <c r="T2297" s="379"/>
      <c r="U2297" s="379"/>
      <c r="V2297" s="379"/>
      <c r="W2297" s="379"/>
      <c r="X2297" s="379"/>
      <c r="Y2297" s="379"/>
      <c r="Z2297" s="379"/>
      <c r="AA2297" s="379"/>
      <c r="AB2297" s="379"/>
      <c r="AC2297" s="379"/>
      <c r="AD2297" s="379"/>
      <c r="AE2297" s="379"/>
      <c r="AF2297" s="379"/>
      <c r="AG2297" s="379"/>
      <c r="AH2297" s="379"/>
      <c r="AI2297" s="379"/>
      <c r="AJ2297" s="379"/>
      <c r="AK2297" s="379"/>
      <c r="AL2297" s="379"/>
      <c r="AM2297" s="379"/>
      <c r="AN2297" s="379"/>
      <c r="AO2297" s="379"/>
      <c r="AP2297" s="379"/>
      <c r="AQ2297" s="379"/>
      <c r="AR2297" s="379"/>
      <c r="AS2297" s="379"/>
      <c r="AT2297" s="379"/>
      <c r="AU2297" s="379"/>
      <c r="AV2297" s="379"/>
      <c r="AW2297" s="379"/>
      <c r="AX2297" s="379"/>
      <c r="AY2297" s="379"/>
      <c r="AZ2297" s="379"/>
      <c r="BA2297" s="379"/>
      <c r="BB2297" s="379"/>
      <c r="BC2297" s="379"/>
      <c r="BD2297" s="379"/>
      <c r="BE2297" s="379"/>
      <c r="BF2297" s="379"/>
      <c r="BG2297" s="379"/>
      <c r="BH2297" s="379"/>
      <c r="BI2297" s="379"/>
      <c r="BJ2297" s="379"/>
      <c r="BK2297" s="379"/>
      <c r="BL2297" s="379"/>
      <c r="BM2297" s="379"/>
      <c r="BN2297" s="379"/>
      <c r="BO2297" s="379"/>
      <c r="BP2297" s="379"/>
      <c r="BQ2297" s="379"/>
      <c r="BR2297" s="379"/>
      <c r="BS2297" s="379"/>
      <c r="BT2297" s="379"/>
      <c r="BU2297" s="379"/>
      <c r="BV2297" s="379"/>
      <c r="BW2297" s="379"/>
      <c r="BX2297" s="379"/>
      <c r="BY2297" s="379"/>
      <c r="BZ2297" s="379"/>
      <c r="CA2297" s="281"/>
      <c r="CB2297" s="3" t="str">
        <f t="shared" si="398"/>
        <v>Riadok bude skrytý.</v>
      </c>
      <c r="CC2297" s="271" t="s">
        <v>832</v>
      </c>
      <c r="CW2297" s="30">
        <f t="shared" si="395"/>
        <v>1</v>
      </c>
      <c r="CX2297" s="30">
        <f t="shared" si="397"/>
        <v>0</v>
      </c>
      <c r="CZ2297" s="30">
        <f t="shared" si="399"/>
        <v>1</v>
      </c>
      <c r="DA2297" s="52">
        <f t="shared" si="396"/>
        <v>0</v>
      </c>
      <c r="DB2297" s="2">
        <f t="shared" si="394"/>
        <v>0</v>
      </c>
      <c r="DS2297" s="130">
        <f>SI!BY2297</f>
        <v>126</v>
      </c>
      <c r="DZ2297" s="131">
        <f>SI!BZ2297</f>
        <v>0</v>
      </c>
    </row>
    <row r="2298" spans="1:130" hidden="1" x14ac:dyDescent="0.25">
      <c r="A2298" s="141"/>
      <c r="B2298" s="379"/>
      <c r="C2298" s="379"/>
      <c r="D2298" s="379"/>
      <c r="E2298" s="379"/>
      <c r="F2298" s="379"/>
      <c r="G2298" s="379"/>
      <c r="H2298" s="379"/>
      <c r="I2298" s="379"/>
      <c r="J2298" s="379"/>
      <c r="K2298" s="379"/>
      <c r="L2298" s="379"/>
      <c r="M2298" s="379"/>
      <c r="N2298" s="379"/>
      <c r="O2298" s="379"/>
      <c r="P2298" s="379"/>
      <c r="Q2298" s="379"/>
      <c r="R2298" s="379"/>
      <c r="S2298" s="379"/>
      <c r="T2298" s="379"/>
      <c r="U2298" s="379"/>
      <c r="V2298" s="379"/>
      <c r="W2298" s="379"/>
      <c r="X2298" s="379"/>
      <c r="Y2298" s="379"/>
      <c r="Z2298" s="379"/>
      <c r="AA2298" s="379"/>
      <c r="AB2298" s="379"/>
      <c r="AC2298" s="379"/>
      <c r="AD2298" s="379"/>
      <c r="AE2298" s="379"/>
      <c r="AF2298" s="379"/>
      <c r="AG2298" s="379"/>
      <c r="AH2298" s="379"/>
      <c r="AI2298" s="379"/>
      <c r="AJ2298" s="379"/>
      <c r="AK2298" s="379"/>
      <c r="AL2298" s="379"/>
      <c r="AM2298" s="379"/>
      <c r="AN2298" s="379"/>
      <c r="AO2298" s="379"/>
      <c r="AP2298" s="379"/>
      <c r="AQ2298" s="379"/>
      <c r="AR2298" s="379"/>
      <c r="AS2298" s="379"/>
      <c r="AT2298" s="379"/>
      <c r="AU2298" s="379"/>
      <c r="AV2298" s="379"/>
      <c r="AW2298" s="379"/>
      <c r="AX2298" s="379"/>
      <c r="AY2298" s="379"/>
      <c r="AZ2298" s="379"/>
      <c r="BA2298" s="379"/>
      <c r="BB2298" s="379"/>
      <c r="BC2298" s="379"/>
      <c r="BD2298" s="379"/>
      <c r="BE2298" s="379"/>
      <c r="BF2298" s="379"/>
      <c r="BG2298" s="379"/>
      <c r="BH2298" s="379"/>
      <c r="BI2298" s="379"/>
      <c r="BJ2298" s="379"/>
      <c r="BK2298" s="379"/>
      <c r="BL2298" s="379"/>
      <c r="BM2298" s="379"/>
      <c r="BN2298" s="379"/>
      <c r="BO2298" s="379"/>
      <c r="BP2298" s="379"/>
      <c r="BQ2298" s="379"/>
      <c r="BR2298" s="379"/>
      <c r="BS2298" s="379"/>
      <c r="BT2298" s="379"/>
      <c r="BU2298" s="379"/>
      <c r="BV2298" s="379"/>
      <c r="BW2298" s="379"/>
      <c r="BX2298" s="379"/>
      <c r="BY2298" s="379"/>
      <c r="BZ2298" s="379"/>
      <c r="CA2298" s="281"/>
      <c r="CB2298" s="3" t="str">
        <f t="shared" si="398"/>
        <v>Riadok bude skrytý.</v>
      </c>
      <c r="CC2298" s="271" t="s">
        <v>832</v>
      </c>
      <c r="CW2298" s="30">
        <f t="shared" si="395"/>
        <v>1</v>
      </c>
      <c r="CX2298" s="30">
        <f t="shared" si="397"/>
        <v>0</v>
      </c>
      <c r="CZ2298" s="30">
        <f t="shared" si="399"/>
        <v>1</v>
      </c>
      <c r="DA2298" s="52">
        <f t="shared" si="396"/>
        <v>0</v>
      </c>
      <c r="DB2298" s="2">
        <f t="shared" si="394"/>
        <v>0</v>
      </c>
      <c r="DS2298" s="130">
        <f>SI!BY2298</f>
        <v>186</v>
      </c>
      <c r="DZ2298" s="131">
        <f>SI!BZ2298</f>
        <v>0</v>
      </c>
    </row>
    <row r="2299" spans="1:130" hidden="1" x14ac:dyDescent="0.25">
      <c r="A2299" s="141"/>
      <c r="B2299" s="379"/>
      <c r="C2299" s="379"/>
      <c r="D2299" s="379"/>
      <c r="E2299" s="379"/>
      <c r="F2299" s="379"/>
      <c r="G2299" s="379"/>
      <c r="H2299" s="379"/>
      <c r="I2299" s="379"/>
      <c r="J2299" s="379"/>
      <c r="K2299" s="379"/>
      <c r="L2299" s="379"/>
      <c r="M2299" s="379"/>
      <c r="N2299" s="379"/>
      <c r="O2299" s="379"/>
      <c r="P2299" s="379"/>
      <c r="Q2299" s="379"/>
      <c r="R2299" s="379"/>
      <c r="S2299" s="379"/>
      <c r="T2299" s="379"/>
      <c r="U2299" s="379"/>
      <c r="V2299" s="379"/>
      <c r="W2299" s="379"/>
      <c r="X2299" s="379"/>
      <c r="Y2299" s="379"/>
      <c r="Z2299" s="379"/>
      <c r="AA2299" s="379"/>
      <c r="AB2299" s="379"/>
      <c r="AC2299" s="379"/>
      <c r="AD2299" s="379"/>
      <c r="AE2299" s="379"/>
      <c r="AF2299" s="379"/>
      <c r="AG2299" s="379"/>
      <c r="AH2299" s="379"/>
      <c r="AI2299" s="379"/>
      <c r="AJ2299" s="379"/>
      <c r="AK2299" s="379"/>
      <c r="AL2299" s="379"/>
      <c r="AM2299" s="379"/>
      <c r="AN2299" s="379"/>
      <c r="AO2299" s="379"/>
      <c r="AP2299" s="379"/>
      <c r="AQ2299" s="379"/>
      <c r="AR2299" s="379"/>
      <c r="AS2299" s="379"/>
      <c r="AT2299" s="379"/>
      <c r="AU2299" s="379"/>
      <c r="AV2299" s="379"/>
      <c r="AW2299" s="379"/>
      <c r="AX2299" s="379"/>
      <c r="AY2299" s="379"/>
      <c r="AZ2299" s="379"/>
      <c r="BA2299" s="379"/>
      <c r="BB2299" s="379"/>
      <c r="BC2299" s="379"/>
      <c r="BD2299" s="379"/>
      <c r="BE2299" s="379"/>
      <c r="BF2299" s="379"/>
      <c r="BG2299" s="379"/>
      <c r="BH2299" s="379"/>
      <c r="BI2299" s="379"/>
      <c r="BJ2299" s="379"/>
      <c r="BK2299" s="379"/>
      <c r="BL2299" s="379"/>
      <c r="BM2299" s="379"/>
      <c r="BN2299" s="379"/>
      <c r="BO2299" s="379"/>
      <c r="BP2299" s="379"/>
      <c r="BQ2299" s="379"/>
      <c r="BR2299" s="379"/>
      <c r="BS2299" s="379"/>
      <c r="BT2299" s="379"/>
      <c r="BU2299" s="379"/>
      <c r="BV2299" s="379"/>
      <c r="BW2299" s="379"/>
      <c r="BX2299" s="379"/>
      <c r="BY2299" s="379"/>
      <c r="BZ2299" s="379"/>
      <c r="CA2299" s="281"/>
      <c r="CB2299" s="3" t="str">
        <f t="shared" si="398"/>
        <v>Riadok bude skrytý.</v>
      </c>
      <c r="CC2299" s="271" t="s">
        <v>832</v>
      </c>
      <c r="CW2299" s="30">
        <f t="shared" si="395"/>
        <v>1</v>
      </c>
      <c r="CX2299" s="30">
        <f t="shared" si="397"/>
        <v>0</v>
      </c>
      <c r="CZ2299" s="30">
        <f t="shared" si="399"/>
        <v>1</v>
      </c>
      <c r="DA2299" s="52">
        <f t="shared" si="396"/>
        <v>0</v>
      </c>
      <c r="DB2299" s="2">
        <f t="shared" si="394"/>
        <v>0</v>
      </c>
      <c r="DS2299" s="130">
        <f>SI!BY2299</f>
        <v>101</v>
      </c>
      <c r="DZ2299" s="131">
        <f>SI!BZ2299</f>
        <v>0</v>
      </c>
    </row>
    <row r="2300" spans="1:130" hidden="1" x14ac:dyDescent="0.25">
      <c r="A2300" s="141"/>
      <c r="B2300" s="379"/>
      <c r="C2300" s="379"/>
      <c r="D2300" s="379"/>
      <c r="E2300" s="379"/>
      <c r="F2300" s="379"/>
      <c r="G2300" s="379"/>
      <c r="H2300" s="379"/>
      <c r="I2300" s="379"/>
      <c r="J2300" s="379"/>
      <c r="K2300" s="379"/>
      <c r="L2300" s="379"/>
      <c r="M2300" s="379"/>
      <c r="N2300" s="379"/>
      <c r="O2300" s="379"/>
      <c r="P2300" s="379"/>
      <c r="Q2300" s="379"/>
      <c r="R2300" s="379"/>
      <c r="S2300" s="379"/>
      <c r="T2300" s="379"/>
      <c r="U2300" s="379"/>
      <c r="V2300" s="379"/>
      <c r="W2300" s="379"/>
      <c r="X2300" s="379"/>
      <c r="Y2300" s="379"/>
      <c r="Z2300" s="379"/>
      <c r="AA2300" s="379"/>
      <c r="AB2300" s="379"/>
      <c r="AC2300" s="379"/>
      <c r="AD2300" s="379"/>
      <c r="AE2300" s="379"/>
      <c r="AF2300" s="379"/>
      <c r="AG2300" s="379"/>
      <c r="AH2300" s="379"/>
      <c r="AI2300" s="379"/>
      <c r="AJ2300" s="379"/>
      <c r="AK2300" s="379"/>
      <c r="AL2300" s="379"/>
      <c r="AM2300" s="379"/>
      <c r="AN2300" s="379"/>
      <c r="AO2300" s="379"/>
      <c r="AP2300" s="379"/>
      <c r="AQ2300" s="379"/>
      <c r="AR2300" s="379"/>
      <c r="AS2300" s="379"/>
      <c r="AT2300" s="379"/>
      <c r="AU2300" s="379"/>
      <c r="AV2300" s="379"/>
      <c r="AW2300" s="379"/>
      <c r="AX2300" s="379"/>
      <c r="AY2300" s="379"/>
      <c r="AZ2300" s="379"/>
      <c r="BA2300" s="379"/>
      <c r="BB2300" s="379"/>
      <c r="BC2300" s="379"/>
      <c r="BD2300" s="379"/>
      <c r="BE2300" s="379"/>
      <c r="BF2300" s="379"/>
      <c r="BG2300" s="379"/>
      <c r="BH2300" s="379"/>
      <c r="BI2300" s="379"/>
      <c r="BJ2300" s="379"/>
      <c r="BK2300" s="379"/>
      <c r="BL2300" s="379"/>
      <c r="BM2300" s="379"/>
      <c r="BN2300" s="379"/>
      <c r="BO2300" s="379"/>
      <c r="BP2300" s="379"/>
      <c r="BQ2300" s="379"/>
      <c r="BR2300" s="379"/>
      <c r="BS2300" s="379"/>
      <c r="BT2300" s="379"/>
      <c r="BU2300" s="379"/>
      <c r="BV2300" s="379"/>
      <c r="BW2300" s="379"/>
      <c r="BX2300" s="379"/>
      <c r="BY2300" s="379"/>
      <c r="BZ2300" s="379"/>
      <c r="CA2300" s="281"/>
      <c r="CB2300" s="3" t="str">
        <f t="shared" si="398"/>
        <v>Riadok bude skrytý.</v>
      </c>
      <c r="CC2300" s="271" t="s">
        <v>832</v>
      </c>
      <c r="CW2300" s="30">
        <f t="shared" si="395"/>
        <v>1</v>
      </c>
      <c r="CX2300" s="30">
        <f t="shared" si="397"/>
        <v>0</v>
      </c>
      <c r="CZ2300" s="30">
        <f t="shared" si="399"/>
        <v>1</v>
      </c>
      <c r="DA2300" s="52">
        <f t="shared" si="396"/>
        <v>0</v>
      </c>
      <c r="DB2300" s="2">
        <f t="shared" si="394"/>
        <v>0</v>
      </c>
      <c r="DS2300" s="130">
        <f>SI!BY2300</f>
        <v>113</v>
      </c>
      <c r="DZ2300" s="131">
        <f>SI!BZ2300</f>
        <v>0</v>
      </c>
    </row>
    <row r="2301" spans="1:130" hidden="1" x14ac:dyDescent="0.25">
      <c r="A2301" s="141"/>
      <c r="B2301" s="379"/>
      <c r="C2301" s="379"/>
      <c r="D2301" s="379"/>
      <c r="E2301" s="379"/>
      <c r="F2301" s="379"/>
      <c r="G2301" s="379"/>
      <c r="H2301" s="379"/>
      <c r="I2301" s="379"/>
      <c r="J2301" s="379"/>
      <c r="K2301" s="379"/>
      <c r="L2301" s="379"/>
      <c r="M2301" s="379"/>
      <c r="N2301" s="379"/>
      <c r="O2301" s="379"/>
      <c r="P2301" s="379"/>
      <c r="Q2301" s="379"/>
      <c r="R2301" s="379"/>
      <c r="S2301" s="379"/>
      <c r="T2301" s="379"/>
      <c r="U2301" s="379"/>
      <c r="V2301" s="379"/>
      <c r="W2301" s="379"/>
      <c r="X2301" s="379"/>
      <c r="Y2301" s="379"/>
      <c r="Z2301" s="379"/>
      <c r="AA2301" s="379"/>
      <c r="AB2301" s="379"/>
      <c r="AC2301" s="379"/>
      <c r="AD2301" s="379"/>
      <c r="AE2301" s="379"/>
      <c r="AF2301" s="379"/>
      <c r="AG2301" s="379"/>
      <c r="AH2301" s="379"/>
      <c r="AI2301" s="379"/>
      <c r="AJ2301" s="379"/>
      <c r="AK2301" s="379"/>
      <c r="AL2301" s="379"/>
      <c r="AM2301" s="379"/>
      <c r="AN2301" s="379"/>
      <c r="AO2301" s="379"/>
      <c r="AP2301" s="379"/>
      <c r="AQ2301" s="379"/>
      <c r="AR2301" s="379"/>
      <c r="AS2301" s="379"/>
      <c r="AT2301" s="379"/>
      <c r="AU2301" s="379"/>
      <c r="AV2301" s="379"/>
      <c r="AW2301" s="379"/>
      <c r="AX2301" s="379"/>
      <c r="AY2301" s="379"/>
      <c r="AZ2301" s="379"/>
      <c r="BA2301" s="379"/>
      <c r="BB2301" s="379"/>
      <c r="BC2301" s="379"/>
      <c r="BD2301" s="379"/>
      <c r="BE2301" s="379"/>
      <c r="BF2301" s="379"/>
      <c r="BG2301" s="379"/>
      <c r="BH2301" s="379"/>
      <c r="BI2301" s="379"/>
      <c r="BJ2301" s="379"/>
      <c r="BK2301" s="379"/>
      <c r="BL2301" s="379"/>
      <c r="BM2301" s="379"/>
      <c r="BN2301" s="379"/>
      <c r="BO2301" s="379"/>
      <c r="BP2301" s="379"/>
      <c r="BQ2301" s="379"/>
      <c r="BR2301" s="379"/>
      <c r="BS2301" s="379"/>
      <c r="BT2301" s="379"/>
      <c r="BU2301" s="379"/>
      <c r="BV2301" s="379"/>
      <c r="BW2301" s="379"/>
      <c r="BX2301" s="379"/>
      <c r="BY2301" s="379"/>
      <c r="BZ2301" s="379"/>
      <c r="CA2301" s="281"/>
      <c r="CB2301" s="3" t="str">
        <f t="shared" si="398"/>
        <v>Riadok bude skrytý.</v>
      </c>
      <c r="CC2301" s="271" t="s">
        <v>832</v>
      </c>
      <c r="CW2301" s="30">
        <f t="shared" si="395"/>
        <v>1</v>
      </c>
      <c r="CX2301" s="30">
        <f t="shared" si="397"/>
        <v>0</v>
      </c>
      <c r="CZ2301" s="30">
        <f t="shared" si="399"/>
        <v>1</v>
      </c>
      <c r="DA2301" s="52">
        <f t="shared" si="396"/>
        <v>0</v>
      </c>
      <c r="DB2301" s="2">
        <f t="shared" si="394"/>
        <v>0</v>
      </c>
      <c r="DS2301" s="130">
        <f>SI!BY2301</f>
        <v>123</v>
      </c>
      <c r="DZ2301" s="131">
        <f>SI!BZ2301</f>
        <v>0</v>
      </c>
    </row>
    <row r="2302" spans="1:130" hidden="1" x14ac:dyDescent="0.25">
      <c r="A2302" s="141"/>
      <c r="B2302" s="379"/>
      <c r="C2302" s="379"/>
      <c r="D2302" s="379"/>
      <c r="E2302" s="379"/>
      <c r="F2302" s="379"/>
      <c r="G2302" s="379"/>
      <c r="H2302" s="379"/>
      <c r="I2302" s="379"/>
      <c r="J2302" s="379"/>
      <c r="K2302" s="379"/>
      <c r="L2302" s="379"/>
      <c r="M2302" s="379"/>
      <c r="N2302" s="379"/>
      <c r="O2302" s="379"/>
      <c r="P2302" s="379"/>
      <c r="Q2302" s="379"/>
      <c r="R2302" s="379"/>
      <c r="S2302" s="379"/>
      <c r="T2302" s="379"/>
      <c r="U2302" s="379"/>
      <c r="V2302" s="379"/>
      <c r="W2302" s="379"/>
      <c r="X2302" s="379"/>
      <c r="Y2302" s="379"/>
      <c r="Z2302" s="379"/>
      <c r="AA2302" s="379"/>
      <c r="AB2302" s="379"/>
      <c r="AC2302" s="379"/>
      <c r="AD2302" s="379"/>
      <c r="AE2302" s="379"/>
      <c r="AF2302" s="379"/>
      <c r="AG2302" s="379"/>
      <c r="AH2302" s="379"/>
      <c r="AI2302" s="379"/>
      <c r="AJ2302" s="379"/>
      <c r="AK2302" s="379"/>
      <c r="AL2302" s="379"/>
      <c r="AM2302" s="379"/>
      <c r="AN2302" s="379"/>
      <c r="AO2302" s="379"/>
      <c r="AP2302" s="379"/>
      <c r="AQ2302" s="379"/>
      <c r="AR2302" s="379"/>
      <c r="AS2302" s="379"/>
      <c r="AT2302" s="379"/>
      <c r="AU2302" s="379"/>
      <c r="AV2302" s="379"/>
      <c r="AW2302" s="379"/>
      <c r="AX2302" s="379"/>
      <c r="AY2302" s="379"/>
      <c r="AZ2302" s="379"/>
      <c r="BA2302" s="379"/>
      <c r="BB2302" s="379"/>
      <c r="BC2302" s="379"/>
      <c r="BD2302" s="379"/>
      <c r="BE2302" s="379"/>
      <c r="BF2302" s="379"/>
      <c r="BG2302" s="379"/>
      <c r="BH2302" s="379"/>
      <c r="BI2302" s="379"/>
      <c r="BJ2302" s="379"/>
      <c r="BK2302" s="379"/>
      <c r="BL2302" s="379"/>
      <c r="BM2302" s="379"/>
      <c r="BN2302" s="379"/>
      <c r="BO2302" s="379"/>
      <c r="BP2302" s="379"/>
      <c r="BQ2302" s="379"/>
      <c r="BR2302" s="379"/>
      <c r="BS2302" s="379"/>
      <c r="BT2302" s="379"/>
      <c r="BU2302" s="379"/>
      <c r="BV2302" s="379"/>
      <c r="BW2302" s="379"/>
      <c r="BX2302" s="379"/>
      <c r="BY2302" s="379"/>
      <c r="BZ2302" s="379"/>
      <c r="CA2302" s="281"/>
      <c r="CB2302" s="3" t="str">
        <f t="shared" si="398"/>
        <v>Riadok bude skrytý.</v>
      </c>
      <c r="CC2302" s="271" t="s">
        <v>832</v>
      </c>
      <c r="CW2302" s="30">
        <f t="shared" si="395"/>
        <v>1</v>
      </c>
      <c r="CX2302" s="30">
        <f t="shared" si="397"/>
        <v>0</v>
      </c>
      <c r="CZ2302" s="30">
        <f t="shared" si="399"/>
        <v>1</v>
      </c>
      <c r="DA2302" s="52">
        <f t="shared" si="396"/>
        <v>0</v>
      </c>
      <c r="DB2302" s="2">
        <f t="shared" si="394"/>
        <v>0</v>
      </c>
      <c r="DS2302" s="130">
        <f>SI!BY2302</f>
        <v>190</v>
      </c>
      <c r="DZ2302" s="131">
        <f>SI!BZ2302</f>
        <v>0</v>
      </c>
    </row>
    <row r="2303" spans="1:130" hidden="1" x14ac:dyDescent="0.25">
      <c r="A2303" s="141"/>
      <c r="B2303" s="379"/>
      <c r="C2303" s="379"/>
      <c r="D2303" s="379"/>
      <c r="E2303" s="379"/>
      <c r="F2303" s="379"/>
      <c r="G2303" s="379"/>
      <c r="H2303" s="379"/>
      <c r="I2303" s="379"/>
      <c r="J2303" s="379"/>
      <c r="K2303" s="379"/>
      <c r="L2303" s="379"/>
      <c r="M2303" s="379"/>
      <c r="N2303" s="379"/>
      <c r="O2303" s="379"/>
      <c r="P2303" s="379"/>
      <c r="Q2303" s="379"/>
      <c r="R2303" s="379"/>
      <c r="S2303" s="379"/>
      <c r="T2303" s="379"/>
      <c r="U2303" s="379"/>
      <c r="V2303" s="379"/>
      <c r="W2303" s="379"/>
      <c r="X2303" s="379"/>
      <c r="Y2303" s="379"/>
      <c r="Z2303" s="379"/>
      <c r="AA2303" s="379"/>
      <c r="AB2303" s="379"/>
      <c r="AC2303" s="379"/>
      <c r="AD2303" s="379"/>
      <c r="AE2303" s="379"/>
      <c r="AF2303" s="379"/>
      <c r="AG2303" s="379"/>
      <c r="AH2303" s="379"/>
      <c r="AI2303" s="379"/>
      <c r="AJ2303" s="379"/>
      <c r="AK2303" s="379"/>
      <c r="AL2303" s="379"/>
      <c r="AM2303" s="379"/>
      <c r="AN2303" s="379"/>
      <c r="AO2303" s="379"/>
      <c r="AP2303" s="379"/>
      <c r="AQ2303" s="379"/>
      <c r="AR2303" s="379"/>
      <c r="AS2303" s="379"/>
      <c r="AT2303" s="379"/>
      <c r="AU2303" s="379"/>
      <c r="AV2303" s="379"/>
      <c r="AW2303" s="379"/>
      <c r="AX2303" s="379"/>
      <c r="AY2303" s="379"/>
      <c r="AZ2303" s="379"/>
      <c r="BA2303" s="379"/>
      <c r="BB2303" s="379"/>
      <c r="BC2303" s="379"/>
      <c r="BD2303" s="379"/>
      <c r="BE2303" s="379"/>
      <c r="BF2303" s="379"/>
      <c r="BG2303" s="379"/>
      <c r="BH2303" s="379"/>
      <c r="BI2303" s="379"/>
      <c r="BJ2303" s="379"/>
      <c r="BK2303" s="379"/>
      <c r="BL2303" s="379"/>
      <c r="BM2303" s="379"/>
      <c r="BN2303" s="379"/>
      <c r="BO2303" s="379"/>
      <c r="BP2303" s="379"/>
      <c r="BQ2303" s="379"/>
      <c r="BR2303" s="379"/>
      <c r="BS2303" s="379"/>
      <c r="BT2303" s="379"/>
      <c r="BU2303" s="379"/>
      <c r="BV2303" s="379"/>
      <c r="BW2303" s="379"/>
      <c r="BX2303" s="379"/>
      <c r="BY2303" s="379"/>
      <c r="BZ2303" s="379"/>
      <c r="CA2303" s="281"/>
      <c r="CB2303" s="3" t="str">
        <f t="shared" si="398"/>
        <v>Riadok bude skrytý.</v>
      </c>
      <c r="CC2303" s="271" t="s">
        <v>832</v>
      </c>
      <c r="CW2303" s="30">
        <f t="shared" si="395"/>
        <v>1</v>
      </c>
      <c r="CX2303" s="30">
        <f t="shared" si="397"/>
        <v>0</v>
      </c>
      <c r="CZ2303" s="30">
        <f t="shared" si="399"/>
        <v>1</v>
      </c>
      <c r="DA2303" s="52">
        <f t="shared" si="396"/>
        <v>0</v>
      </c>
      <c r="DB2303" s="2">
        <f t="shared" si="394"/>
        <v>0</v>
      </c>
      <c r="DS2303" s="130">
        <f>SI!BY2303</f>
        <v>186</v>
      </c>
      <c r="DZ2303" s="131">
        <f>SI!BZ2303</f>
        <v>0</v>
      </c>
    </row>
    <row r="2304" spans="1:130" hidden="1" x14ac:dyDescent="0.25">
      <c r="A2304" s="141"/>
      <c r="CA2304" s="281"/>
      <c r="CB2304" s="3" t="str">
        <f t="shared" si="398"/>
        <v>Riadok bude skrytý.</v>
      </c>
      <c r="CC2304" s="271" t="s">
        <v>832</v>
      </c>
      <c r="CW2304" s="49">
        <v>1</v>
      </c>
      <c r="CZ2304" s="30">
        <f t="shared" si="399"/>
        <v>1</v>
      </c>
      <c r="DA2304" s="30">
        <f>+IF(CW2304+CX2304+CY2304=0,0,IF(CZ2304=0,0,1))</f>
        <v>1</v>
      </c>
      <c r="DB2304" s="2">
        <f t="shared" si="394"/>
        <v>0</v>
      </c>
      <c r="DS2304" s="130">
        <f>SI!BY2304</f>
        <v>183</v>
      </c>
      <c r="DZ2304" s="131">
        <f>SI!BZ2304</f>
        <v>0</v>
      </c>
    </row>
    <row r="2305" spans="1:130" hidden="1" x14ac:dyDescent="0.25">
      <c r="A2305" s="141"/>
      <c r="B2305" s="289" t="s">
        <v>217</v>
      </c>
      <c r="C2305" s="288"/>
      <c r="D2305" s="288"/>
      <c r="E2305" s="288"/>
      <c r="F2305" s="288"/>
      <c r="G2305" s="289" t="s">
        <v>304</v>
      </c>
      <c r="H2305" s="289"/>
      <c r="I2305" s="288"/>
      <c r="J2305" s="288"/>
      <c r="K2305" s="288"/>
      <c r="L2305" s="288"/>
      <c r="M2305" s="288"/>
      <c r="N2305" s="288"/>
      <c r="O2305" s="288"/>
      <c r="P2305" s="288"/>
      <c r="Q2305" s="288"/>
      <c r="R2305" s="288"/>
      <c r="S2305" s="288"/>
      <c r="T2305" s="288"/>
      <c r="U2305" s="288"/>
      <c r="V2305" s="288"/>
      <c r="W2305" s="288"/>
      <c r="X2305" s="288"/>
      <c r="Y2305" s="288"/>
      <c r="Z2305" s="288"/>
      <c r="AA2305" s="288"/>
      <c r="AB2305" s="288"/>
      <c r="AC2305" s="288"/>
      <c r="AD2305" s="288"/>
      <c r="AE2305" s="288"/>
      <c r="AF2305" s="288"/>
      <c r="AG2305" s="288"/>
      <c r="AH2305" s="288"/>
      <c r="AI2305" s="288"/>
      <c r="AJ2305" s="288"/>
      <c r="AK2305" s="288"/>
      <c r="AL2305" s="288"/>
      <c r="AM2305" s="288"/>
      <c r="AN2305" s="288"/>
      <c r="AO2305" s="288"/>
      <c r="AP2305" s="288"/>
      <c r="AQ2305" s="288"/>
      <c r="AR2305" s="288"/>
      <c r="AS2305" s="288"/>
      <c r="AT2305" s="288"/>
      <c r="AU2305" s="288"/>
      <c r="AV2305" s="288"/>
      <c r="AW2305" s="288"/>
      <c r="AX2305" s="288"/>
      <c r="AY2305" s="288"/>
      <c r="AZ2305" s="288"/>
      <c r="BA2305" s="288"/>
      <c r="BB2305" s="288"/>
      <c r="BC2305" s="288"/>
      <c r="BD2305" s="288"/>
      <c r="BE2305" s="288"/>
      <c r="BF2305" s="288"/>
      <c r="BG2305" s="288"/>
      <c r="BH2305" s="288"/>
      <c r="BI2305" s="288"/>
      <c r="BJ2305" s="288"/>
      <c r="BK2305" s="288"/>
      <c r="BL2305" s="288"/>
      <c r="BM2305" s="288"/>
      <c r="BN2305" s="288"/>
      <c r="BO2305" s="288"/>
      <c r="BP2305" s="288"/>
      <c r="BQ2305" s="288"/>
      <c r="BR2305" s="288"/>
      <c r="BS2305" s="288"/>
      <c r="BT2305" s="288"/>
      <c r="BU2305" s="288"/>
      <c r="BV2305" s="288"/>
      <c r="BW2305" s="288"/>
      <c r="BX2305" s="288"/>
      <c r="BY2305" s="288"/>
      <c r="BZ2305" s="288"/>
      <c r="CA2305" s="265" t="s">
        <v>773</v>
      </c>
      <c r="CB2305" s="3" t="str">
        <f t="shared" si="398"/>
        <v>Riadok bude skrytý.</v>
      </c>
      <c r="CW2305" s="49">
        <v>1</v>
      </c>
      <c r="CZ2305" s="30">
        <f t="shared" si="399"/>
        <v>1</v>
      </c>
      <c r="DA2305" s="30">
        <f>+IF(CW2305+CX2305+CY2305=0,0,IF(CZ2305=0,0,1))</f>
        <v>1</v>
      </c>
      <c r="DB2305" s="2">
        <f t="shared" si="394"/>
        <v>0</v>
      </c>
      <c r="DS2305" s="130">
        <f>SI!BY2305</f>
        <v>172</v>
      </c>
      <c r="DZ2305" s="131">
        <f>SI!BZ2305</f>
        <v>0</v>
      </c>
    </row>
    <row r="2306" spans="1:130" hidden="1" x14ac:dyDescent="0.25">
      <c r="A2306" s="141"/>
      <c r="B2306" s="7"/>
      <c r="G2306" s="7"/>
      <c r="H2306" s="7"/>
      <c r="CA2306" s="142"/>
      <c r="CB2306" s="3" t="str">
        <f t="shared" si="398"/>
        <v>Riadok bude skrytý.</v>
      </c>
      <c r="CW2306" s="49">
        <v>1</v>
      </c>
      <c r="CZ2306" s="30">
        <f t="shared" si="399"/>
        <v>1</v>
      </c>
      <c r="DA2306" s="30">
        <f>+IF(CW2306+CX2306+CY2306=0,0,IF(CZ2306=0,0,1))</f>
        <v>1</v>
      </c>
      <c r="DB2306" s="2">
        <f t="shared" si="394"/>
        <v>0</v>
      </c>
      <c r="DS2306" s="130">
        <f>SI!BY2306</f>
        <v>185</v>
      </c>
      <c r="DZ2306" s="131">
        <f>SI!BZ2306</f>
        <v>0</v>
      </c>
    </row>
    <row r="2307" spans="1:130" hidden="1" x14ac:dyDescent="0.25">
      <c r="A2307" s="141"/>
      <c r="B2307" s="137" t="s">
        <v>208</v>
      </c>
      <c r="J2307" s="378" t="s">
        <v>152</v>
      </c>
      <c r="K2307" s="378"/>
      <c r="L2307" s="378"/>
      <c r="M2307" s="378"/>
      <c r="N2307" s="378"/>
      <c r="O2307" s="378"/>
      <c r="P2307" s="378"/>
      <c r="Q2307" s="378"/>
      <c r="R2307" s="378"/>
      <c r="S2307" s="137" t="str">
        <f>+IF($M$52&lt;&gt;"",IF(SQRT(INT(FACT(DAY(24324))*FACT(DAY(24385))/576))=DS2307,"bankové úvery, pôžičky a krátkodobé finančné výpomoci.","NEPOVOLENÉ POUŽITIE!"),"NEPOVOLENÉ POUŽITIE!")</f>
        <v>bankové úvery, pôžičky a krátkodobé finančné výpomoci.</v>
      </c>
      <c r="T2307" s="38"/>
      <c r="CA2307" s="142"/>
      <c r="CB2307" s="3" t="str">
        <f t="shared" si="398"/>
        <v>Riadok bude skrytý.</v>
      </c>
      <c r="CC2307" s="271" t="s">
        <v>832</v>
      </c>
      <c r="CF2307" s="13"/>
      <c r="CW2307" s="49">
        <v>1</v>
      </c>
      <c r="CZ2307" s="30">
        <f t="shared" si="399"/>
        <v>1</v>
      </c>
      <c r="DA2307" s="30">
        <f>+IF(CW2307+CX2307+CY2307=0,0,IF(CZ2307=0,0,1))</f>
        <v>1</v>
      </c>
      <c r="DB2307" s="2">
        <f t="shared" si="394"/>
        <v>0</v>
      </c>
      <c r="DS2307" s="130">
        <f>SI!BY2307</f>
        <v>5</v>
      </c>
      <c r="DZ2307" s="131">
        <f>SI!BZ2307</f>
        <v>0</v>
      </c>
    </row>
    <row r="2308" spans="1:130" hidden="1" x14ac:dyDescent="0.25">
      <c r="A2308" s="141"/>
      <c r="B2308" s="137" t="str">
        <f>+IF($I$52&lt;&gt;"",IF((ROUNDDOWN(CODE(MID($I$52,1,1))*3,0)+DAY(36167))*0+(2*LEN(SI!J3))=DS2308,IF(J2307="neeviduje","Spoločnosť nemá pre túto časť poznámok obsahovú náplň.","K bankovým úverom, pôžičkam a krátkodobým finančným výpomociam Spoločnosť uvádza:"),"NEPOVOLENÉ POUŽITIE!"),"NEPOVOLENÉ POUŽITIE!")</f>
        <v>K bankovým úverom, pôžičkam a krátkodobým finančným výpomociam Spoločnosť uvádza:</v>
      </c>
      <c r="CA2308" s="270"/>
      <c r="CB2308" s="3" t="str">
        <f t="shared" si="398"/>
        <v>Riadok bude skrytý.</v>
      </c>
      <c r="CC2308" s="271" t="s">
        <v>832</v>
      </c>
      <c r="CF2308" s="13"/>
      <c r="CW2308" s="30">
        <f>+IF($J$2307="neeviduje",1,1)</f>
        <v>1</v>
      </c>
      <c r="CZ2308" s="30">
        <f t="shared" si="399"/>
        <v>1</v>
      </c>
      <c r="DA2308" s="30">
        <f>+IF(CW2308+CX2308+CY2308=0,0,IF(CZ2308=0,0,1))</f>
        <v>1</v>
      </c>
      <c r="DB2308" s="2">
        <f t="shared" si="394"/>
        <v>0</v>
      </c>
      <c r="DS2308" s="130">
        <f>SI!BY2308</f>
        <v>10</v>
      </c>
      <c r="DZ2308" s="131">
        <f>SI!BZ2308</f>
        <v>0</v>
      </c>
    </row>
    <row r="2309" spans="1:130" hidden="1" x14ac:dyDescent="0.25">
      <c r="A2309" s="141"/>
      <c r="B2309" s="379"/>
      <c r="C2309" s="379"/>
      <c r="D2309" s="379"/>
      <c r="E2309" s="379"/>
      <c r="F2309" s="379"/>
      <c r="G2309" s="379"/>
      <c r="H2309" s="379"/>
      <c r="I2309" s="379"/>
      <c r="J2309" s="379"/>
      <c r="K2309" s="379"/>
      <c r="L2309" s="379"/>
      <c r="M2309" s="379"/>
      <c r="N2309" s="379"/>
      <c r="O2309" s="379"/>
      <c r="P2309" s="379"/>
      <c r="Q2309" s="379"/>
      <c r="R2309" s="379"/>
      <c r="S2309" s="379"/>
      <c r="T2309" s="379"/>
      <c r="U2309" s="379"/>
      <c r="V2309" s="379"/>
      <c r="W2309" s="379"/>
      <c r="X2309" s="379"/>
      <c r="Y2309" s="379"/>
      <c r="Z2309" s="379"/>
      <c r="AA2309" s="379"/>
      <c r="AB2309" s="379"/>
      <c r="AC2309" s="379"/>
      <c r="AD2309" s="379"/>
      <c r="AE2309" s="379"/>
      <c r="AF2309" s="379"/>
      <c r="AG2309" s="379"/>
      <c r="AH2309" s="379"/>
      <c r="AI2309" s="379"/>
      <c r="AJ2309" s="379"/>
      <c r="AK2309" s="379"/>
      <c r="AL2309" s="379"/>
      <c r="AM2309" s="379"/>
      <c r="AN2309" s="379"/>
      <c r="AO2309" s="379"/>
      <c r="AP2309" s="379"/>
      <c r="AQ2309" s="379"/>
      <c r="AR2309" s="379"/>
      <c r="AS2309" s="379"/>
      <c r="AT2309" s="379"/>
      <c r="AU2309" s="379"/>
      <c r="AV2309" s="379"/>
      <c r="AW2309" s="379"/>
      <c r="AX2309" s="379"/>
      <c r="AY2309" s="379"/>
      <c r="AZ2309" s="379"/>
      <c r="BA2309" s="379"/>
      <c r="BB2309" s="379"/>
      <c r="BC2309" s="379"/>
      <c r="BD2309" s="379"/>
      <c r="BE2309" s="379"/>
      <c r="BF2309" s="379"/>
      <c r="BG2309" s="379"/>
      <c r="BH2309" s="379"/>
      <c r="BI2309" s="379"/>
      <c r="BJ2309" s="379"/>
      <c r="BK2309" s="379"/>
      <c r="BL2309" s="379"/>
      <c r="BM2309" s="379"/>
      <c r="BN2309" s="379"/>
      <c r="BO2309" s="379"/>
      <c r="BP2309" s="379"/>
      <c r="BQ2309" s="379"/>
      <c r="BR2309" s="379"/>
      <c r="BS2309" s="379"/>
      <c r="BT2309" s="379"/>
      <c r="BU2309" s="379"/>
      <c r="BV2309" s="379"/>
      <c r="BW2309" s="379"/>
      <c r="BX2309" s="379"/>
      <c r="BY2309" s="379"/>
      <c r="BZ2309" s="379"/>
      <c r="CA2309" s="281"/>
      <c r="CB2309" s="3" t="str">
        <f t="shared" si="398"/>
        <v>Riadok bude skrytý.</v>
      </c>
      <c r="CC2309" s="271" t="s">
        <v>832</v>
      </c>
      <c r="CW2309" s="30">
        <f t="shared" ref="CW2309:CW2340" si="400">+IF($J$2307="neeviduje",0,1)</f>
        <v>1</v>
      </c>
      <c r="CX2309" s="30">
        <f t="shared" ref="CX2309:CX2328" si="401">+IF(B2309="",0,1)</f>
        <v>0</v>
      </c>
      <c r="CZ2309" s="30">
        <f t="shared" si="399"/>
        <v>1</v>
      </c>
      <c r="DA2309" s="52">
        <f t="shared" ref="DA2309:DA2328" si="402">+IF(CW2309*CX2309=0,0,IF(CZ2309=0,0,1))</f>
        <v>0</v>
      </c>
      <c r="DB2309" s="2">
        <f t="shared" si="394"/>
        <v>0</v>
      </c>
      <c r="DS2309" s="130">
        <f>SI!BY2309</f>
        <v>129</v>
      </c>
      <c r="DZ2309" s="131">
        <f>SI!BZ2309</f>
        <v>0</v>
      </c>
    </row>
    <row r="2310" spans="1:130" hidden="1" x14ac:dyDescent="0.25">
      <c r="A2310" s="141"/>
      <c r="B2310" s="379"/>
      <c r="C2310" s="379"/>
      <c r="D2310" s="379"/>
      <c r="E2310" s="379"/>
      <c r="F2310" s="379"/>
      <c r="G2310" s="379"/>
      <c r="H2310" s="379"/>
      <c r="I2310" s="379"/>
      <c r="J2310" s="379"/>
      <c r="K2310" s="379"/>
      <c r="L2310" s="379"/>
      <c r="M2310" s="379"/>
      <c r="N2310" s="379"/>
      <c r="O2310" s="379"/>
      <c r="P2310" s="379"/>
      <c r="Q2310" s="379"/>
      <c r="R2310" s="379"/>
      <c r="S2310" s="379"/>
      <c r="T2310" s="379"/>
      <c r="U2310" s="379"/>
      <c r="V2310" s="379"/>
      <c r="W2310" s="379"/>
      <c r="X2310" s="379"/>
      <c r="Y2310" s="379"/>
      <c r="Z2310" s="379"/>
      <c r="AA2310" s="379"/>
      <c r="AB2310" s="379"/>
      <c r="AC2310" s="379"/>
      <c r="AD2310" s="379"/>
      <c r="AE2310" s="379"/>
      <c r="AF2310" s="379"/>
      <c r="AG2310" s="379"/>
      <c r="AH2310" s="379"/>
      <c r="AI2310" s="379"/>
      <c r="AJ2310" s="379"/>
      <c r="AK2310" s="379"/>
      <c r="AL2310" s="379"/>
      <c r="AM2310" s="379"/>
      <c r="AN2310" s="379"/>
      <c r="AO2310" s="379"/>
      <c r="AP2310" s="379"/>
      <c r="AQ2310" s="379"/>
      <c r="AR2310" s="379"/>
      <c r="AS2310" s="379"/>
      <c r="AT2310" s="379"/>
      <c r="AU2310" s="379"/>
      <c r="AV2310" s="379"/>
      <c r="AW2310" s="379"/>
      <c r="AX2310" s="379"/>
      <c r="AY2310" s="379"/>
      <c r="AZ2310" s="379"/>
      <c r="BA2310" s="379"/>
      <c r="BB2310" s="379"/>
      <c r="BC2310" s="379"/>
      <c r="BD2310" s="379"/>
      <c r="BE2310" s="379"/>
      <c r="BF2310" s="379"/>
      <c r="BG2310" s="379"/>
      <c r="BH2310" s="379"/>
      <c r="BI2310" s="379"/>
      <c r="BJ2310" s="379"/>
      <c r="BK2310" s="379"/>
      <c r="BL2310" s="379"/>
      <c r="BM2310" s="379"/>
      <c r="BN2310" s="379"/>
      <c r="BO2310" s="379"/>
      <c r="BP2310" s="379"/>
      <c r="BQ2310" s="379"/>
      <c r="BR2310" s="379"/>
      <c r="BS2310" s="379"/>
      <c r="BT2310" s="379"/>
      <c r="BU2310" s="379"/>
      <c r="BV2310" s="379"/>
      <c r="BW2310" s="379"/>
      <c r="BX2310" s="379"/>
      <c r="BY2310" s="379"/>
      <c r="BZ2310" s="379"/>
      <c r="CA2310" s="281"/>
      <c r="CB2310" s="3" t="str">
        <f t="shared" si="398"/>
        <v>Riadok bude skrytý.</v>
      </c>
      <c r="CC2310" s="271" t="s">
        <v>832</v>
      </c>
      <c r="CW2310" s="30">
        <f t="shared" si="400"/>
        <v>1</v>
      </c>
      <c r="CX2310" s="30">
        <f t="shared" si="401"/>
        <v>0</v>
      </c>
      <c r="CZ2310" s="30">
        <f t="shared" si="399"/>
        <v>1</v>
      </c>
      <c r="DA2310" s="52">
        <f t="shared" si="402"/>
        <v>0</v>
      </c>
      <c r="DB2310" s="2">
        <f t="shared" si="394"/>
        <v>0</v>
      </c>
      <c r="DS2310" s="130">
        <f>SI!BY2310</f>
        <v>94</v>
      </c>
      <c r="DZ2310" s="131">
        <f>SI!BZ2310</f>
        <v>0</v>
      </c>
    </row>
    <row r="2311" spans="1:130" hidden="1" x14ac:dyDescent="0.25">
      <c r="A2311" s="141"/>
      <c r="B2311" s="379"/>
      <c r="C2311" s="379"/>
      <c r="D2311" s="379"/>
      <c r="E2311" s="379"/>
      <c r="F2311" s="379"/>
      <c r="G2311" s="379"/>
      <c r="H2311" s="379"/>
      <c r="I2311" s="379"/>
      <c r="J2311" s="379"/>
      <c r="K2311" s="379"/>
      <c r="L2311" s="379"/>
      <c r="M2311" s="379"/>
      <c r="N2311" s="379"/>
      <c r="O2311" s="379"/>
      <c r="P2311" s="379"/>
      <c r="Q2311" s="379"/>
      <c r="R2311" s="379"/>
      <c r="S2311" s="379"/>
      <c r="T2311" s="379"/>
      <c r="U2311" s="379"/>
      <c r="V2311" s="379"/>
      <c r="W2311" s="379"/>
      <c r="X2311" s="379"/>
      <c r="Y2311" s="379"/>
      <c r="Z2311" s="379"/>
      <c r="AA2311" s="379"/>
      <c r="AB2311" s="379"/>
      <c r="AC2311" s="379"/>
      <c r="AD2311" s="379"/>
      <c r="AE2311" s="379"/>
      <c r="AF2311" s="379"/>
      <c r="AG2311" s="379"/>
      <c r="AH2311" s="379"/>
      <c r="AI2311" s="379"/>
      <c r="AJ2311" s="379"/>
      <c r="AK2311" s="379"/>
      <c r="AL2311" s="379"/>
      <c r="AM2311" s="379"/>
      <c r="AN2311" s="379"/>
      <c r="AO2311" s="379"/>
      <c r="AP2311" s="379"/>
      <c r="AQ2311" s="379"/>
      <c r="AR2311" s="379"/>
      <c r="AS2311" s="379"/>
      <c r="AT2311" s="379"/>
      <c r="AU2311" s="379"/>
      <c r="AV2311" s="379"/>
      <c r="AW2311" s="379"/>
      <c r="AX2311" s="379"/>
      <c r="AY2311" s="379"/>
      <c r="AZ2311" s="379"/>
      <c r="BA2311" s="379"/>
      <c r="BB2311" s="379"/>
      <c r="BC2311" s="379"/>
      <c r="BD2311" s="379"/>
      <c r="BE2311" s="379"/>
      <c r="BF2311" s="379"/>
      <c r="BG2311" s="379"/>
      <c r="BH2311" s="379"/>
      <c r="BI2311" s="379"/>
      <c r="BJ2311" s="379"/>
      <c r="BK2311" s="379"/>
      <c r="BL2311" s="379"/>
      <c r="BM2311" s="379"/>
      <c r="BN2311" s="379"/>
      <c r="BO2311" s="379"/>
      <c r="BP2311" s="379"/>
      <c r="BQ2311" s="379"/>
      <c r="BR2311" s="379"/>
      <c r="BS2311" s="379"/>
      <c r="BT2311" s="379"/>
      <c r="BU2311" s="379"/>
      <c r="BV2311" s="379"/>
      <c r="BW2311" s="379"/>
      <c r="BX2311" s="379"/>
      <c r="BY2311" s="379"/>
      <c r="BZ2311" s="379"/>
      <c r="CA2311" s="281"/>
      <c r="CB2311" s="3" t="str">
        <f t="shared" si="398"/>
        <v>Riadok bude skrytý.</v>
      </c>
      <c r="CC2311" s="271" t="s">
        <v>832</v>
      </c>
      <c r="CW2311" s="30">
        <f t="shared" si="400"/>
        <v>1</v>
      </c>
      <c r="CX2311" s="30">
        <f t="shared" si="401"/>
        <v>0</v>
      </c>
      <c r="CZ2311" s="30">
        <f t="shared" si="399"/>
        <v>1</v>
      </c>
      <c r="DA2311" s="52">
        <f t="shared" si="402"/>
        <v>0</v>
      </c>
      <c r="DB2311" s="2">
        <f t="shared" si="394"/>
        <v>0</v>
      </c>
      <c r="DS2311" s="130">
        <f>SI!BY2311</f>
        <v>101</v>
      </c>
      <c r="DZ2311" s="131">
        <f>SI!BZ2311</f>
        <v>0</v>
      </c>
    </row>
    <row r="2312" spans="1:130" hidden="1" x14ac:dyDescent="0.25">
      <c r="A2312" s="141"/>
      <c r="B2312" s="379"/>
      <c r="C2312" s="379"/>
      <c r="D2312" s="379"/>
      <c r="E2312" s="379"/>
      <c r="F2312" s="379"/>
      <c r="G2312" s="379"/>
      <c r="H2312" s="379"/>
      <c r="I2312" s="379"/>
      <c r="J2312" s="379"/>
      <c r="K2312" s="379"/>
      <c r="L2312" s="379"/>
      <c r="M2312" s="379"/>
      <c r="N2312" s="379"/>
      <c r="O2312" s="379"/>
      <c r="P2312" s="379"/>
      <c r="Q2312" s="379"/>
      <c r="R2312" s="379"/>
      <c r="S2312" s="379"/>
      <c r="T2312" s="379"/>
      <c r="U2312" s="379"/>
      <c r="V2312" s="379"/>
      <c r="W2312" s="379"/>
      <c r="X2312" s="379"/>
      <c r="Y2312" s="379"/>
      <c r="Z2312" s="379"/>
      <c r="AA2312" s="379"/>
      <c r="AB2312" s="379"/>
      <c r="AC2312" s="379"/>
      <c r="AD2312" s="379"/>
      <c r="AE2312" s="379"/>
      <c r="AF2312" s="379"/>
      <c r="AG2312" s="379"/>
      <c r="AH2312" s="379"/>
      <c r="AI2312" s="379"/>
      <c r="AJ2312" s="379"/>
      <c r="AK2312" s="379"/>
      <c r="AL2312" s="379"/>
      <c r="AM2312" s="379"/>
      <c r="AN2312" s="379"/>
      <c r="AO2312" s="379"/>
      <c r="AP2312" s="379"/>
      <c r="AQ2312" s="379"/>
      <c r="AR2312" s="379"/>
      <c r="AS2312" s="379"/>
      <c r="AT2312" s="379"/>
      <c r="AU2312" s="379"/>
      <c r="AV2312" s="379"/>
      <c r="AW2312" s="379"/>
      <c r="AX2312" s="379"/>
      <c r="AY2312" s="379"/>
      <c r="AZ2312" s="379"/>
      <c r="BA2312" s="379"/>
      <c r="BB2312" s="379"/>
      <c r="BC2312" s="379"/>
      <c r="BD2312" s="379"/>
      <c r="BE2312" s="379"/>
      <c r="BF2312" s="379"/>
      <c r="BG2312" s="379"/>
      <c r="BH2312" s="379"/>
      <c r="BI2312" s="379"/>
      <c r="BJ2312" s="379"/>
      <c r="BK2312" s="379"/>
      <c r="BL2312" s="379"/>
      <c r="BM2312" s="379"/>
      <c r="BN2312" s="379"/>
      <c r="BO2312" s="379"/>
      <c r="BP2312" s="379"/>
      <c r="BQ2312" s="379"/>
      <c r="BR2312" s="379"/>
      <c r="BS2312" s="379"/>
      <c r="BT2312" s="379"/>
      <c r="BU2312" s="379"/>
      <c r="BV2312" s="379"/>
      <c r="BW2312" s="379"/>
      <c r="BX2312" s="379"/>
      <c r="BY2312" s="379"/>
      <c r="BZ2312" s="379"/>
      <c r="CA2312" s="281"/>
      <c r="CB2312" s="3" t="str">
        <f t="shared" si="398"/>
        <v>Riadok bude skrytý.</v>
      </c>
      <c r="CC2312" s="271" t="s">
        <v>832</v>
      </c>
      <c r="CW2312" s="30">
        <f t="shared" si="400"/>
        <v>1</v>
      </c>
      <c r="CX2312" s="30">
        <f t="shared" si="401"/>
        <v>0</v>
      </c>
      <c r="CZ2312" s="30">
        <f t="shared" si="399"/>
        <v>1</v>
      </c>
      <c r="DA2312" s="52">
        <f t="shared" si="402"/>
        <v>0</v>
      </c>
      <c r="DB2312" s="2">
        <f t="shared" si="394"/>
        <v>0</v>
      </c>
      <c r="DS2312" s="130">
        <f>SI!BY2312</f>
        <v>199</v>
      </c>
      <c r="DZ2312" s="131">
        <f>SI!BZ2312</f>
        <v>0</v>
      </c>
    </row>
    <row r="2313" spans="1:130" hidden="1" x14ac:dyDescent="0.25">
      <c r="A2313" s="141"/>
      <c r="B2313" s="379"/>
      <c r="C2313" s="379"/>
      <c r="D2313" s="379"/>
      <c r="E2313" s="379"/>
      <c r="F2313" s="379"/>
      <c r="G2313" s="379"/>
      <c r="H2313" s="379"/>
      <c r="I2313" s="379"/>
      <c r="J2313" s="379"/>
      <c r="K2313" s="379"/>
      <c r="L2313" s="379"/>
      <c r="M2313" s="379"/>
      <c r="N2313" s="379"/>
      <c r="O2313" s="379"/>
      <c r="P2313" s="379"/>
      <c r="Q2313" s="379"/>
      <c r="R2313" s="379"/>
      <c r="S2313" s="379"/>
      <c r="T2313" s="379"/>
      <c r="U2313" s="379"/>
      <c r="V2313" s="379"/>
      <c r="W2313" s="379"/>
      <c r="X2313" s="379"/>
      <c r="Y2313" s="379"/>
      <c r="Z2313" s="379"/>
      <c r="AA2313" s="379"/>
      <c r="AB2313" s="379"/>
      <c r="AC2313" s="379"/>
      <c r="AD2313" s="379"/>
      <c r="AE2313" s="379"/>
      <c r="AF2313" s="379"/>
      <c r="AG2313" s="379"/>
      <c r="AH2313" s="379"/>
      <c r="AI2313" s="379"/>
      <c r="AJ2313" s="379"/>
      <c r="AK2313" s="379"/>
      <c r="AL2313" s="379"/>
      <c r="AM2313" s="379"/>
      <c r="AN2313" s="379"/>
      <c r="AO2313" s="379"/>
      <c r="AP2313" s="379"/>
      <c r="AQ2313" s="379"/>
      <c r="AR2313" s="379"/>
      <c r="AS2313" s="379"/>
      <c r="AT2313" s="379"/>
      <c r="AU2313" s="379"/>
      <c r="AV2313" s="379"/>
      <c r="AW2313" s="379"/>
      <c r="AX2313" s="379"/>
      <c r="AY2313" s="379"/>
      <c r="AZ2313" s="379"/>
      <c r="BA2313" s="379"/>
      <c r="BB2313" s="379"/>
      <c r="BC2313" s="379"/>
      <c r="BD2313" s="379"/>
      <c r="BE2313" s="379"/>
      <c r="BF2313" s="379"/>
      <c r="BG2313" s="379"/>
      <c r="BH2313" s="379"/>
      <c r="BI2313" s="379"/>
      <c r="BJ2313" s="379"/>
      <c r="BK2313" s="379"/>
      <c r="BL2313" s="379"/>
      <c r="BM2313" s="379"/>
      <c r="BN2313" s="379"/>
      <c r="BO2313" s="379"/>
      <c r="BP2313" s="379"/>
      <c r="BQ2313" s="379"/>
      <c r="BR2313" s="379"/>
      <c r="BS2313" s="379"/>
      <c r="BT2313" s="379"/>
      <c r="BU2313" s="379"/>
      <c r="BV2313" s="379"/>
      <c r="BW2313" s="379"/>
      <c r="BX2313" s="379"/>
      <c r="BY2313" s="379"/>
      <c r="BZ2313" s="379"/>
      <c r="CA2313" s="281"/>
      <c r="CB2313" s="3" t="str">
        <f t="shared" si="398"/>
        <v>Riadok bude skrytý.</v>
      </c>
      <c r="CC2313" s="271" t="s">
        <v>832</v>
      </c>
      <c r="CW2313" s="30">
        <f t="shared" si="400"/>
        <v>1</v>
      </c>
      <c r="CX2313" s="30">
        <f t="shared" si="401"/>
        <v>0</v>
      </c>
      <c r="CZ2313" s="30">
        <f t="shared" si="399"/>
        <v>1</v>
      </c>
      <c r="DA2313" s="52">
        <f t="shared" si="402"/>
        <v>0</v>
      </c>
      <c r="DB2313" s="2">
        <f t="shared" si="394"/>
        <v>0</v>
      </c>
      <c r="DS2313" s="130">
        <f>SI!BY2313</f>
        <v>151</v>
      </c>
      <c r="DZ2313" s="131">
        <f>SI!BZ2313</f>
        <v>0</v>
      </c>
    </row>
    <row r="2314" spans="1:130" hidden="1" x14ac:dyDescent="0.25">
      <c r="A2314" s="141"/>
      <c r="B2314" s="379"/>
      <c r="C2314" s="379"/>
      <c r="D2314" s="379"/>
      <c r="E2314" s="379"/>
      <c r="F2314" s="379"/>
      <c r="G2314" s="379"/>
      <c r="H2314" s="379"/>
      <c r="I2314" s="379"/>
      <c r="J2314" s="379"/>
      <c r="K2314" s="379"/>
      <c r="L2314" s="379"/>
      <c r="M2314" s="379"/>
      <c r="N2314" s="379"/>
      <c r="O2314" s="379"/>
      <c r="P2314" s="379"/>
      <c r="Q2314" s="379"/>
      <c r="R2314" s="379"/>
      <c r="S2314" s="379"/>
      <c r="T2314" s="379"/>
      <c r="U2314" s="379"/>
      <c r="V2314" s="379"/>
      <c r="W2314" s="379"/>
      <c r="X2314" s="379"/>
      <c r="Y2314" s="379"/>
      <c r="Z2314" s="379"/>
      <c r="AA2314" s="379"/>
      <c r="AB2314" s="379"/>
      <c r="AC2314" s="379"/>
      <c r="AD2314" s="379"/>
      <c r="AE2314" s="379"/>
      <c r="AF2314" s="379"/>
      <c r="AG2314" s="379"/>
      <c r="AH2314" s="379"/>
      <c r="AI2314" s="379"/>
      <c r="AJ2314" s="379"/>
      <c r="AK2314" s="379"/>
      <c r="AL2314" s="379"/>
      <c r="AM2314" s="379"/>
      <c r="AN2314" s="379"/>
      <c r="AO2314" s="379"/>
      <c r="AP2314" s="379"/>
      <c r="AQ2314" s="379"/>
      <c r="AR2314" s="379"/>
      <c r="AS2314" s="379"/>
      <c r="AT2314" s="379"/>
      <c r="AU2314" s="379"/>
      <c r="AV2314" s="379"/>
      <c r="AW2314" s="379"/>
      <c r="AX2314" s="379"/>
      <c r="AY2314" s="379"/>
      <c r="AZ2314" s="379"/>
      <c r="BA2314" s="379"/>
      <c r="BB2314" s="379"/>
      <c r="BC2314" s="379"/>
      <c r="BD2314" s="379"/>
      <c r="BE2314" s="379"/>
      <c r="BF2314" s="379"/>
      <c r="BG2314" s="379"/>
      <c r="BH2314" s="379"/>
      <c r="BI2314" s="379"/>
      <c r="BJ2314" s="379"/>
      <c r="BK2314" s="379"/>
      <c r="BL2314" s="379"/>
      <c r="BM2314" s="379"/>
      <c r="BN2314" s="379"/>
      <c r="BO2314" s="379"/>
      <c r="BP2314" s="379"/>
      <c r="BQ2314" s="379"/>
      <c r="BR2314" s="379"/>
      <c r="BS2314" s="379"/>
      <c r="BT2314" s="379"/>
      <c r="BU2314" s="379"/>
      <c r="BV2314" s="379"/>
      <c r="BW2314" s="379"/>
      <c r="BX2314" s="379"/>
      <c r="BY2314" s="379"/>
      <c r="BZ2314" s="379"/>
      <c r="CA2314" s="281"/>
      <c r="CB2314" s="3" t="str">
        <f t="shared" si="398"/>
        <v>Riadok bude skrytý.</v>
      </c>
      <c r="CC2314" s="271" t="s">
        <v>832</v>
      </c>
      <c r="CW2314" s="30">
        <f t="shared" si="400"/>
        <v>1</v>
      </c>
      <c r="CX2314" s="30">
        <f t="shared" si="401"/>
        <v>0</v>
      </c>
      <c r="CZ2314" s="30">
        <f t="shared" si="399"/>
        <v>1</v>
      </c>
      <c r="DA2314" s="52">
        <f t="shared" si="402"/>
        <v>0</v>
      </c>
      <c r="DB2314" s="2">
        <f t="shared" si="394"/>
        <v>0</v>
      </c>
      <c r="DS2314" s="130">
        <f>SI!BY2314</f>
        <v>196</v>
      </c>
      <c r="DZ2314" s="131">
        <f>SI!BZ2314</f>
        <v>0</v>
      </c>
    </row>
    <row r="2315" spans="1:130" hidden="1" x14ac:dyDescent="0.25">
      <c r="A2315" s="141"/>
      <c r="B2315" s="379"/>
      <c r="C2315" s="379"/>
      <c r="D2315" s="379"/>
      <c r="E2315" s="379"/>
      <c r="F2315" s="379"/>
      <c r="G2315" s="379"/>
      <c r="H2315" s="379"/>
      <c r="I2315" s="379"/>
      <c r="J2315" s="379"/>
      <c r="K2315" s="379"/>
      <c r="L2315" s="379"/>
      <c r="M2315" s="379"/>
      <c r="N2315" s="379"/>
      <c r="O2315" s="379"/>
      <c r="P2315" s="379"/>
      <c r="Q2315" s="379"/>
      <c r="R2315" s="379"/>
      <c r="S2315" s="379"/>
      <c r="T2315" s="379"/>
      <c r="U2315" s="379"/>
      <c r="V2315" s="379"/>
      <c r="W2315" s="379"/>
      <c r="X2315" s="379"/>
      <c r="Y2315" s="379"/>
      <c r="Z2315" s="379"/>
      <c r="AA2315" s="379"/>
      <c r="AB2315" s="379"/>
      <c r="AC2315" s="379"/>
      <c r="AD2315" s="379"/>
      <c r="AE2315" s="379"/>
      <c r="AF2315" s="379"/>
      <c r="AG2315" s="379"/>
      <c r="AH2315" s="379"/>
      <c r="AI2315" s="379"/>
      <c r="AJ2315" s="379"/>
      <c r="AK2315" s="379"/>
      <c r="AL2315" s="379"/>
      <c r="AM2315" s="379"/>
      <c r="AN2315" s="379"/>
      <c r="AO2315" s="379"/>
      <c r="AP2315" s="379"/>
      <c r="AQ2315" s="379"/>
      <c r="AR2315" s="379"/>
      <c r="AS2315" s="379"/>
      <c r="AT2315" s="379"/>
      <c r="AU2315" s="379"/>
      <c r="AV2315" s="379"/>
      <c r="AW2315" s="379"/>
      <c r="AX2315" s="379"/>
      <c r="AY2315" s="379"/>
      <c r="AZ2315" s="379"/>
      <c r="BA2315" s="379"/>
      <c r="BB2315" s="379"/>
      <c r="BC2315" s="379"/>
      <c r="BD2315" s="379"/>
      <c r="BE2315" s="379"/>
      <c r="BF2315" s="379"/>
      <c r="BG2315" s="379"/>
      <c r="BH2315" s="379"/>
      <c r="BI2315" s="379"/>
      <c r="BJ2315" s="379"/>
      <c r="BK2315" s="379"/>
      <c r="BL2315" s="379"/>
      <c r="BM2315" s="379"/>
      <c r="BN2315" s="379"/>
      <c r="BO2315" s="379"/>
      <c r="BP2315" s="379"/>
      <c r="BQ2315" s="379"/>
      <c r="BR2315" s="379"/>
      <c r="BS2315" s="379"/>
      <c r="BT2315" s="379"/>
      <c r="BU2315" s="379"/>
      <c r="BV2315" s="379"/>
      <c r="BW2315" s="379"/>
      <c r="BX2315" s="379"/>
      <c r="BY2315" s="379"/>
      <c r="BZ2315" s="379"/>
      <c r="CA2315" s="281"/>
      <c r="CB2315" s="3" t="str">
        <f t="shared" si="398"/>
        <v>Riadok bude skrytý.</v>
      </c>
      <c r="CC2315" s="271" t="s">
        <v>832</v>
      </c>
      <c r="CW2315" s="30">
        <f t="shared" si="400"/>
        <v>1</v>
      </c>
      <c r="CX2315" s="30">
        <f t="shared" si="401"/>
        <v>0</v>
      </c>
      <c r="CZ2315" s="30">
        <f t="shared" si="399"/>
        <v>1</v>
      </c>
      <c r="DA2315" s="52">
        <f t="shared" si="402"/>
        <v>0</v>
      </c>
      <c r="DB2315" s="2">
        <f t="shared" si="394"/>
        <v>0</v>
      </c>
      <c r="DS2315" s="130">
        <f>SI!BY2315</f>
        <v>107</v>
      </c>
      <c r="DZ2315" s="131">
        <f>SI!BZ2315</f>
        <v>0</v>
      </c>
    </row>
    <row r="2316" spans="1:130" hidden="1" x14ac:dyDescent="0.25">
      <c r="A2316" s="141"/>
      <c r="B2316" s="379"/>
      <c r="C2316" s="379"/>
      <c r="D2316" s="379"/>
      <c r="E2316" s="379"/>
      <c r="F2316" s="379"/>
      <c r="G2316" s="379"/>
      <c r="H2316" s="379"/>
      <c r="I2316" s="379"/>
      <c r="J2316" s="379"/>
      <c r="K2316" s="379"/>
      <c r="L2316" s="379"/>
      <c r="M2316" s="379"/>
      <c r="N2316" s="379"/>
      <c r="O2316" s="379"/>
      <c r="P2316" s="379"/>
      <c r="Q2316" s="379"/>
      <c r="R2316" s="379"/>
      <c r="S2316" s="379"/>
      <c r="T2316" s="379"/>
      <c r="U2316" s="379"/>
      <c r="V2316" s="379"/>
      <c r="W2316" s="379"/>
      <c r="X2316" s="379"/>
      <c r="Y2316" s="379"/>
      <c r="Z2316" s="379"/>
      <c r="AA2316" s="379"/>
      <c r="AB2316" s="379"/>
      <c r="AC2316" s="379"/>
      <c r="AD2316" s="379"/>
      <c r="AE2316" s="379"/>
      <c r="AF2316" s="379"/>
      <c r="AG2316" s="379"/>
      <c r="AH2316" s="379"/>
      <c r="AI2316" s="379"/>
      <c r="AJ2316" s="379"/>
      <c r="AK2316" s="379"/>
      <c r="AL2316" s="379"/>
      <c r="AM2316" s="379"/>
      <c r="AN2316" s="379"/>
      <c r="AO2316" s="379"/>
      <c r="AP2316" s="379"/>
      <c r="AQ2316" s="379"/>
      <c r="AR2316" s="379"/>
      <c r="AS2316" s="379"/>
      <c r="AT2316" s="379"/>
      <c r="AU2316" s="379"/>
      <c r="AV2316" s="379"/>
      <c r="AW2316" s="379"/>
      <c r="AX2316" s="379"/>
      <c r="AY2316" s="379"/>
      <c r="AZ2316" s="379"/>
      <c r="BA2316" s="379"/>
      <c r="BB2316" s="379"/>
      <c r="BC2316" s="379"/>
      <c r="BD2316" s="379"/>
      <c r="BE2316" s="379"/>
      <c r="BF2316" s="379"/>
      <c r="BG2316" s="379"/>
      <c r="BH2316" s="379"/>
      <c r="BI2316" s="379"/>
      <c r="BJ2316" s="379"/>
      <c r="BK2316" s="379"/>
      <c r="BL2316" s="379"/>
      <c r="BM2316" s="379"/>
      <c r="BN2316" s="379"/>
      <c r="BO2316" s="379"/>
      <c r="BP2316" s="379"/>
      <c r="BQ2316" s="379"/>
      <c r="BR2316" s="379"/>
      <c r="BS2316" s="379"/>
      <c r="BT2316" s="379"/>
      <c r="BU2316" s="379"/>
      <c r="BV2316" s="379"/>
      <c r="BW2316" s="379"/>
      <c r="BX2316" s="379"/>
      <c r="BY2316" s="379"/>
      <c r="BZ2316" s="379"/>
      <c r="CA2316" s="281"/>
      <c r="CB2316" s="3" t="str">
        <f t="shared" si="398"/>
        <v>Riadok bude skrytý.</v>
      </c>
      <c r="CC2316" s="271" t="s">
        <v>832</v>
      </c>
      <c r="CW2316" s="30">
        <f t="shared" si="400"/>
        <v>1</v>
      </c>
      <c r="CX2316" s="30">
        <f t="shared" si="401"/>
        <v>0</v>
      </c>
      <c r="CZ2316" s="30">
        <f t="shared" si="399"/>
        <v>1</v>
      </c>
      <c r="DA2316" s="52">
        <f t="shared" si="402"/>
        <v>0</v>
      </c>
      <c r="DB2316" s="2">
        <f t="shared" si="394"/>
        <v>0</v>
      </c>
      <c r="DS2316" s="130">
        <f>SI!BY2316</f>
        <v>109</v>
      </c>
      <c r="DZ2316" s="131">
        <f>SI!BZ2316</f>
        <v>0</v>
      </c>
    </row>
    <row r="2317" spans="1:130" hidden="1" x14ac:dyDescent="0.25">
      <c r="A2317" s="141"/>
      <c r="B2317" s="379"/>
      <c r="C2317" s="379"/>
      <c r="D2317" s="379"/>
      <c r="E2317" s="379"/>
      <c r="F2317" s="379"/>
      <c r="G2317" s="379"/>
      <c r="H2317" s="379"/>
      <c r="I2317" s="379"/>
      <c r="J2317" s="379"/>
      <c r="K2317" s="379"/>
      <c r="L2317" s="379"/>
      <c r="M2317" s="379"/>
      <c r="N2317" s="379"/>
      <c r="O2317" s="379"/>
      <c r="P2317" s="379"/>
      <c r="Q2317" s="379"/>
      <c r="R2317" s="379"/>
      <c r="S2317" s="379"/>
      <c r="T2317" s="379"/>
      <c r="U2317" s="379"/>
      <c r="V2317" s="379"/>
      <c r="W2317" s="379"/>
      <c r="X2317" s="379"/>
      <c r="Y2317" s="379"/>
      <c r="Z2317" s="379"/>
      <c r="AA2317" s="379"/>
      <c r="AB2317" s="379"/>
      <c r="AC2317" s="379"/>
      <c r="AD2317" s="379"/>
      <c r="AE2317" s="379"/>
      <c r="AF2317" s="379"/>
      <c r="AG2317" s="379"/>
      <c r="AH2317" s="379"/>
      <c r="AI2317" s="379"/>
      <c r="AJ2317" s="379"/>
      <c r="AK2317" s="379"/>
      <c r="AL2317" s="379"/>
      <c r="AM2317" s="379"/>
      <c r="AN2317" s="379"/>
      <c r="AO2317" s="379"/>
      <c r="AP2317" s="379"/>
      <c r="AQ2317" s="379"/>
      <c r="AR2317" s="379"/>
      <c r="AS2317" s="379"/>
      <c r="AT2317" s="379"/>
      <c r="AU2317" s="379"/>
      <c r="AV2317" s="379"/>
      <c r="AW2317" s="379"/>
      <c r="AX2317" s="379"/>
      <c r="AY2317" s="379"/>
      <c r="AZ2317" s="379"/>
      <c r="BA2317" s="379"/>
      <c r="BB2317" s="379"/>
      <c r="BC2317" s="379"/>
      <c r="BD2317" s="379"/>
      <c r="BE2317" s="379"/>
      <c r="BF2317" s="379"/>
      <c r="BG2317" s="379"/>
      <c r="BH2317" s="379"/>
      <c r="BI2317" s="379"/>
      <c r="BJ2317" s="379"/>
      <c r="BK2317" s="379"/>
      <c r="BL2317" s="379"/>
      <c r="BM2317" s="379"/>
      <c r="BN2317" s="379"/>
      <c r="BO2317" s="379"/>
      <c r="BP2317" s="379"/>
      <c r="BQ2317" s="379"/>
      <c r="BR2317" s="379"/>
      <c r="BS2317" s="379"/>
      <c r="BT2317" s="379"/>
      <c r="BU2317" s="379"/>
      <c r="BV2317" s="379"/>
      <c r="BW2317" s="379"/>
      <c r="BX2317" s="379"/>
      <c r="BY2317" s="379"/>
      <c r="BZ2317" s="379"/>
      <c r="CA2317" s="281"/>
      <c r="CB2317" s="3" t="str">
        <f t="shared" si="398"/>
        <v>Riadok bude skrytý.</v>
      </c>
      <c r="CC2317" s="271" t="s">
        <v>832</v>
      </c>
      <c r="CW2317" s="30">
        <f t="shared" si="400"/>
        <v>1</v>
      </c>
      <c r="CX2317" s="30">
        <f t="shared" si="401"/>
        <v>0</v>
      </c>
      <c r="CZ2317" s="30">
        <f t="shared" si="399"/>
        <v>1</v>
      </c>
      <c r="DA2317" s="52">
        <f t="shared" si="402"/>
        <v>0</v>
      </c>
      <c r="DB2317" s="2">
        <f t="shared" si="394"/>
        <v>0</v>
      </c>
      <c r="DS2317" s="130">
        <f>SI!BY2317</f>
        <v>195</v>
      </c>
      <c r="DZ2317" s="131">
        <f>SI!BZ2317</f>
        <v>0</v>
      </c>
    </row>
    <row r="2318" spans="1:130" hidden="1" x14ac:dyDescent="0.25">
      <c r="A2318" s="141"/>
      <c r="B2318" s="379"/>
      <c r="C2318" s="379"/>
      <c r="D2318" s="379"/>
      <c r="E2318" s="379"/>
      <c r="F2318" s="379"/>
      <c r="G2318" s="379"/>
      <c r="H2318" s="379"/>
      <c r="I2318" s="379"/>
      <c r="J2318" s="379"/>
      <c r="K2318" s="379"/>
      <c r="L2318" s="379"/>
      <c r="M2318" s="379"/>
      <c r="N2318" s="379"/>
      <c r="O2318" s="379"/>
      <c r="P2318" s="379"/>
      <c r="Q2318" s="379"/>
      <c r="R2318" s="379"/>
      <c r="S2318" s="379"/>
      <c r="T2318" s="379"/>
      <c r="U2318" s="379"/>
      <c r="V2318" s="379"/>
      <c r="W2318" s="379"/>
      <c r="X2318" s="379"/>
      <c r="Y2318" s="379"/>
      <c r="Z2318" s="379"/>
      <c r="AA2318" s="379"/>
      <c r="AB2318" s="379"/>
      <c r="AC2318" s="379"/>
      <c r="AD2318" s="379"/>
      <c r="AE2318" s="379"/>
      <c r="AF2318" s="379"/>
      <c r="AG2318" s="379"/>
      <c r="AH2318" s="379"/>
      <c r="AI2318" s="379"/>
      <c r="AJ2318" s="379"/>
      <c r="AK2318" s="379"/>
      <c r="AL2318" s="379"/>
      <c r="AM2318" s="379"/>
      <c r="AN2318" s="379"/>
      <c r="AO2318" s="379"/>
      <c r="AP2318" s="379"/>
      <c r="AQ2318" s="379"/>
      <c r="AR2318" s="379"/>
      <c r="AS2318" s="379"/>
      <c r="AT2318" s="379"/>
      <c r="AU2318" s="379"/>
      <c r="AV2318" s="379"/>
      <c r="AW2318" s="379"/>
      <c r="AX2318" s="379"/>
      <c r="AY2318" s="379"/>
      <c r="AZ2318" s="379"/>
      <c r="BA2318" s="379"/>
      <c r="BB2318" s="379"/>
      <c r="BC2318" s="379"/>
      <c r="BD2318" s="379"/>
      <c r="BE2318" s="379"/>
      <c r="BF2318" s="379"/>
      <c r="BG2318" s="379"/>
      <c r="BH2318" s="379"/>
      <c r="BI2318" s="379"/>
      <c r="BJ2318" s="379"/>
      <c r="BK2318" s="379"/>
      <c r="BL2318" s="379"/>
      <c r="BM2318" s="379"/>
      <c r="BN2318" s="379"/>
      <c r="BO2318" s="379"/>
      <c r="BP2318" s="379"/>
      <c r="BQ2318" s="379"/>
      <c r="BR2318" s="379"/>
      <c r="BS2318" s="379"/>
      <c r="BT2318" s="379"/>
      <c r="BU2318" s="379"/>
      <c r="BV2318" s="379"/>
      <c r="BW2318" s="379"/>
      <c r="BX2318" s="379"/>
      <c r="BY2318" s="379"/>
      <c r="BZ2318" s="379"/>
      <c r="CA2318" s="281"/>
      <c r="CB2318" s="3" t="str">
        <f t="shared" si="398"/>
        <v>Riadok bude skrytý.</v>
      </c>
      <c r="CC2318" s="271" t="s">
        <v>832</v>
      </c>
      <c r="CW2318" s="30">
        <f t="shared" si="400"/>
        <v>1</v>
      </c>
      <c r="CX2318" s="30">
        <f t="shared" si="401"/>
        <v>0</v>
      </c>
      <c r="CZ2318" s="30">
        <f t="shared" si="399"/>
        <v>1</v>
      </c>
      <c r="DA2318" s="52">
        <f t="shared" si="402"/>
        <v>0</v>
      </c>
      <c r="DB2318" s="2">
        <f t="shared" si="394"/>
        <v>0</v>
      </c>
      <c r="DS2318" s="130">
        <f>SI!BY2318</f>
        <v>128</v>
      </c>
      <c r="DZ2318" s="131">
        <f>SI!BZ2318</f>
        <v>0</v>
      </c>
    </row>
    <row r="2319" spans="1:130" hidden="1" x14ac:dyDescent="0.25">
      <c r="A2319" s="141"/>
      <c r="B2319" s="379"/>
      <c r="C2319" s="379"/>
      <c r="D2319" s="379"/>
      <c r="E2319" s="379"/>
      <c r="F2319" s="379"/>
      <c r="G2319" s="379"/>
      <c r="H2319" s="379"/>
      <c r="I2319" s="379"/>
      <c r="J2319" s="379"/>
      <c r="K2319" s="379"/>
      <c r="L2319" s="379"/>
      <c r="M2319" s="379"/>
      <c r="N2319" s="379"/>
      <c r="O2319" s="379"/>
      <c r="P2319" s="379"/>
      <c r="Q2319" s="379"/>
      <c r="R2319" s="379"/>
      <c r="S2319" s="379"/>
      <c r="T2319" s="379"/>
      <c r="U2319" s="379"/>
      <c r="V2319" s="379"/>
      <c r="W2319" s="379"/>
      <c r="X2319" s="379"/>
      <c r="Y2319" s="379"/>
      <c r="Z2319" s="379"/>
      <c r="AA2319" s="379"/>
      <c r="AB2319" s="379"/>
      <c r="AC2319" s="379"/>
      <c r="AD2319" s="379"/>
      <c r="AE2319" s="379"/>
      <c r="AF2319" s="379"/>
      <c r="AG2319" s="379"/>
      <c r="AH2319" s="379"/>
      <c r="AI2319" s="379"/>
      <c r="AJ2319" s="379"/>
      <c r="AK2319" s="379"/>
      <c r="AL2319" s="379"/>
      <c r="AM2319" s="379"/>
      <c r="AN2319" s="379"/>
      <c r="AO2319" s="379"/>
      <c r="AP2319" s="379"/>
      <c r="AQ2319" s="379"/>
      <c r="AR2319" s="379"/>
      <c r="AS2319" s="379"/>
      <c r="AT2319" s="379"/>
      <c r="AU2319" s="379"/>
      <c r="AV2319" s="379"/>
      <c r="AW2319" s="379"/>
      <c r="AX2319" s="379"/>
      <c r="AY2319" s="379"/>
      <c r="AZ2319" s="379"/>
      <c r="BA2319" s="379"/>
      <c r="BB2319" s="379"/>
      <c r="BC2319" s="379"/>
      <c r="BD2319" s="379"/>
      <c r="BE2319" s="379"/>
      <c r="BF2319" s="379"/>
      <c r="BG2319" s="379"/>
      <c r="BH2319" s="379"/>
      <c r="BI2319" s="379"/>
      <c r="BJ2319" s="379"/>
      <c r="BK2319" s="379"/>
      <c r="BL2319" s="379"/>
      <c r="BM2319" s="379"/>
      <c r="BN2319" s="379"/>
      <c r="BO2319" s="379"/>
      <c r="BP2319" s="379"/>
      <c r="BQ2319" s="379"/>
      <c r="BR2319" s="379"/>
      <c r="BS2319" s="379"/>
      <c r="BT2319" s="379"/>
      <c r="BU2319" s="379"/>
      <c r="BV2319" s="379"/>
      <c r="BW2319" s="379"/>
      <c r="BX2319" s="379"/>
      <c r="BY2319" s="379"/>
      <c r="BZ2319" s="379"/>
      <c r="CA2319" s="281"/>
      <c r="CB2319" s="3" t="str">
        <f t="shared" si="398"/>
        <v>Riadok bude skrytý.</v>
      </c>
      <c r="CC2319" s="271" t="s">
        <v>832</v>
      </c>
      <c r="CW2319" s="30">
        <f t="shared" si="400"/>
        <v>1</v>
      </c>
      <c r="CX2319" s="30">
        <f t="shared" si="401"/>
        <v>0</v>
      </c>
      <c r="CZ2319" s="30">
        <f t="shared" si="399"/>
        <v>1</v>
      </c>
      <c r="DA2319" s="52">
        <f t="shared" si="402"/>
        <v>0</v>
      </c>
      <c r="DB2319" s="2">
        <f t="shared" si="394"/>
        <v>0</v>
      </c>
      <c r="DS2319" s="130">
        <f>SI!BY2319</f>
        <v>115</v>
      </c>
      <c r="DZ2319" s="131">
        <f>SI!BZ2319</f>
        <v>0</v>
      </c>
    </row>
    <row r="2320" spans="1:130" hidden="1" x14ac:dyDescent="0.25">
      <c r="A2320" s="141"/>
      <c r="B2320" s="379"/>
      <c r="C2320" s="379"/>
      <c r="D2320" s="379"/>
      <c r="E2320" s="379"/>
      <c r="F2320" s="379"/>
      <c r="G2320" s="379"/>
      <c r="H2320" s="379"/>
      <c r="I2320" s="379"/>
      <c r="J2320" s="379"/>
      <c r="K2320" s="379"/>
      <c r="L2320" s="379"/>
      <c r="M2320" s="379"/>
      <c r="N2320" s="379"/>
      <c r="O2320" s="379"/>
      <c r="P2320" s="379"/>
      <c r="Q2320" s="379"/>
      <c r="R2320" s="379"/>
      <c r="S2320" s="379"/>
      <c r="T2320" s="379"/>
      <c r="U2320" s="379"/>
      <c r="V2320" s="379"/>
      <c r="W2320" s="379"/>
      <c r="X2320" s="379"/>
      <c r="Y2320" s="379"/>
      <c r="Z2320" s="379"/>
      <c r="AA2320" s="379"/>
      <c r="AB2320" s="379"/>
      <c r="AC2320" s="379"/>
      <c r="AD2320" s="379"/>
      <c r="AE2320" s="379"/>
      <c r="AF2320" s="379"/>
      <c r="AG2320" s="379"/>
      <c r="AH2320" s="379"/>
      <c r="AI2320" s="379"/>
      <c r="AJ2320" s="379"/>
      <c r="AK2320" s="379"/>
      <c r="AL2320" s="379"/>
      <c r="AM2320" s="379"/>
      <c r="AN2320" s="379"/>
      <c r="AO2320" s="379"/>
      <c r="AP2320" s="379"/>
      <c r="AQ2320" s="379"/>
      <c r="AR2320" s="379"/>
      <c r="AS2320" s="379"/>
      <c r="AT2320" s="379"/>
      <c r="AU2320" s="379"/>
      <c r="AV2320" s="379"/>
      <c r="AW2320" s="379"/>
      <c r="AX2320" s="379"/>
      <c r="AY2320" s="379"/>
      <c r="AZ2320" s="379"/>
      <c r="BA2320" s="379"/>
      <c r="BB2320" s="379"/>
      <c r="BC2320" s="379"/>
      <c r="BD2320" s="379"/>
      <c r="BE2320" s="379"/>
      <c r="BF2320" s="379"/>
      <c r="BG2320" s="379"/>
      <c r="BH2320" s="379"/>
      <c r="BI2320" s="379"/>
      <c r="BJ2320" s="379"/>
      <c r="BK2320" s="379"/>
      <c r="BL2320" s="379"/>
      <c r="BM2320" s="379"/>
      <c r="BN2320" s="379"/>
      <c r="BO2320" s="379"/>
      <c r="BP2320" s="379"/>
      <c r="BQ2320" s="379"/>
      <c r="BR2320" s="379"/>
      <c r="BS2320" s="379"/>
      <c r="BT2320" s="379"/>
      <c r="BU2320" s="379"/>
      <c r="BV2320" s="379"/>
      <c r="BW2320" s="379"/>
      <c r="BX2320" s="379"/>
      <c r="BY2320" s="379"/>
      <c r="BZ2320" s="379"/>
      <c r="CA2320" s="281"/>
      <c r="CB2320" s="3" t="str">
        <f t="shared" si="398"/>
        <v>Riadok bude skrytý.</v>
      </c>
      <c r="CC2320" s="271" t="s">
        <v>832</v>
      </c>
      <c r="CW2320" s="30">
        <f t="shared" si="400"/>
        <v>1</v>
      </c>
      <c r="CX2320" s="30">
        <f t="shared" si="401"/>
        <v>0</v>
      </c>
      <c r="CZ2320" s="30">
        <f t="shared" si="399"/>
        <v>1</v>
      </c>
      <c r="DA2320" s="52">
        <f t="shared" si="402"/>
        <v>0</v>
      </c>
      <c r="DB2320" s="2">
        <f t="shared" si="394"/>
        <v>0</v>
      </c>
      <c r="DS2320" s="130">
        <f>SI!BY2320</f>
        <v>104</v>
      </c>
      <c r="DZ2320" s="131">
        <f>SI!BZ2320</f>
        <v>0</v>
      </c>
    </row>
    <row r="2321" spans="1:132" hidden="1" x14ac:dyDescent="0.25">
      <c r="A2321" s="141"/>
      <c r="B2321" s="379"/>
      <c r="C2321" s="379"/>
      <c r="D2321" s="379"/>
      <c r="E2321" s="379"/>
      <c r="F2321" s="379"/>
      <c r="G2321" s="379"/>
      <c r="H2321" s="379"/>
      <c r="I2321" s="379"/>
      <c r="J2321" s="379"/>
      <c r="K2321" s="379"/>
      <c r="L2321" s="379"/>
      <c r="M2321" s="379"/>
      <c r="N2321" s="379"/>
      <c r="O2321" s="379"/>
      <c r="P2321" s="379"/>
      <c r="Q2321" s="379"/>
      <c r="R2321" s="379"/>
      <c r="S2321" s="379"/>
      <c r="T2321" s="379"/>
      <c r="U2321" s="379"/>
      <c r="V2321" s="379"/>
      <c r="W2321" s="379"/>
      <c r="X2321" s="379"/>
      <c r="Y2321" s="379"/>
      <c r="Z2321" s="379"/>
      <c r="AA2321" s="379"/>
      <c r="AB2321" s="379"/>
      <c r="AC2321" s="379"/>
      <c r="AD2321" s="379"/>
      <c r="AE2321" s="379"/>
      <c r="AF2321" s="379"/>
      <c r="AG2321" s="379"/>
      <c r="AH2321" s="379"/>
      <c r="AI2321" s="379"/>
      <c r="AJ2321" s="379"/>
      <c r="AK2321" s="379"/>
      <c r="AL2321" s="379"/>
      <c r="AM2321" s="379"/>
      <c r="AN2321" s="379"/>
      <c r="AO2321" s="379"/>
      <c r="AP2321" s="379"/>
      <c r="AQ2321" s="379"/>
      <c r="AR2321" s="379"/>
      <c r="AS2321" s="379"/>
      <c r="AT2321" s="379"/>
      <c r="AU2321" s="379"/>
      <c r="AV2321" s="379"/>
      <c r="AW2321" s="379"/>
      <c r="AX2321" s="379"/>
      <c r="AY2321" s="379"/>
      <c r="AZ2321" s="379"/>
      <c r="BA2321" s="379"/>
      <c r="BB2321" s="379"/>
      <c r="BC2321" s="379"/>
      <c r="BD2321" s="379"/>
      <c r="BE2321" s="379"/>
      <c r="BF2321" s="379"/>
      <c r="BG2321" s="379"/>
      <c r="BH2321" s="379"/>
      <c r="BI2321" s="379"/>
      <c r="BJ2321" s="379"/>
      <c r="BK2321" s="379"/>
      <c r="BL2321" s="379"/>
      <c r="BM2321" s="379"/>
      <c r="BN2321" s="379"/>
      <c r="BO2321" s="379"/>
      <c r="BP2321" s="379"/>
      <c r="BQ2321" s="379"/>
      <c r="BR2321" s="379"/>
      <c r="BS2321" s="379"/>
      <c r="BT2321" s="379"/>
      <c r="BU2321" s="379"/>
      <c r="BV2321" s="379"/>
      <c r="BW2321" s="379"/>
      <c r="BX2321" s="379"/>
      <c r="BY2321" s="379"/>
      <c r="BZ2321" s="379"/>
      <c r="CA2321" s="281"/>
      <c r="CB2321" s="3" t="str">
        <f t="shared" si="398"/>
        <v>Riadok bude skrytý.</v>
      </c>
      <c r="CC2321" s="271" t="s">
        <v>832</v>
      </c>
      <c r="CW2321" s="30">
        <f t="shared" si="400"/>
        <v>1</v>
      </c>
      <c r="CX2321" s="30">
        <f t="shared" si="401"/>
        <v>0</v>
      </c>
      <c r="CZ2321" s="30">
        <f t="shared" si="399"/>
        <v>1</v>
      </c>
      <c r="DA2321" s="52">
        <f t="shared" si="402"/>
        <v>0</v>
      </c>
      <c r="DB2321" s="2">
        <f t="shared" si="394"/>
        <v>0</v>
      </c>
      <c r="DS2321" s="130">
        <f>SI!BY2321</f>
        <v>147</v>
      </c>
      <c r="DZ2321" s="131">
        <f>SI!BZ2321</f>
        <v>0</v>
      </c>
    </row>
    <row r="2322" spans="1:132" hidden="1" x14ac:dyDescent="0.25">
      <c r="A2322" s="141"/>
      <c r="B2322" s="379"/>
      <c r="C2322" s="379"/>
      <c r="D2322" s="379"/>
      <c r="E2322" s="379"/>
      <c r="F2322" s="379"/>
      <c r="G2322" s="379"/>
      <c r="H2322" s="379"/>
      <c r="I2322" s="379"/>
      <c r="J2322" s="379"/>
      <c r="K2322" s="379"/>
      <c r="L2322" s="379"/>
      <c r="M2322" s="379"/>
      <c r="N2322" s="379"/>
      <c r="O2322" s="379"/>
      <c r="P2322" s="379"/>
      <c r="Q2322" s="379"/>
      <c r="R2322" s="379"/>
      <c r="S2322" s="379"/>
      <c r="T2322" s="379"/>
      <c r="U2322" s="379"/>
      <c r="V2322" s="379"/>
      <c r="W2322" s="379"/>
      <c r="X2322" s="379"/>
      <c r="Y2322" s="379"/>
      <c r="Z2322" s="379"/>
      <c r="AA2322" s="379"/>
      <c r="AB2322" s="379"/>
      <c r="AC2322" s="379"/>
      <c r="AD2322" s="379"/>
      <c r="AE2322" s="379"/>
      <c r="AF2322" s="379"/>
      <c r="AG2322" s="379"/>
      <c r="AH2322" s="379"/>
      <c r="AI2322" s="379"/>
      <c r="AJ2322" s="379"/>
      <c r="AK2322" s="379"/>
      <c r="AL2322" s="379"/>
      <c r="AM2322" s="379"/>
      <c r="AN2322" s="379"/>
      <c r="AO2322" s="379"/>
      <c r="AP2322" s="379"/>
      <c r="AQ2322" s="379"/>
      <c r="AR2322" s="379"/>
      <c r="AS2322" s="379"/>
      <c r="AT2322" s="379"/>
      <c r="AU2322" s="379"/>
      <c r="AV2322" s="379"/>
      <c r="AW2322" s="379"/>
      <c r="AX2322" s="379"/>
      <c r="AY2322" s="379"/>
      <c r="AZ2322" s="379"/>
      <c r="BA2322" s="379"/>
      <c r="BB2322" s="379"/>
      <c r="BC2322" s="379"/>
      <c r="BD2322" s="379"/>
      <c r="BE2322" s="379"/>
      <c r="BF2322" s="379"/>
      <c r="BG2322" s="379"/>
      <c r="BH2322" s="379"/>
      <c r="BI2322" s="379"/>
      <c r="BJ2322" s="379"/>
      <c r="BK2322" s="379"/>
      <c r="BL2322" s="379"/>
      <c r="BM2322" s="379"/>
      <c r="BN2322" s="379"/>
      <c r="BO2322" s="379"/>
      <c r="BP2322" s="379"/>
      <c r="BQ2322" s="379"/>
      <c r="BR2322" s="379"/>
      <c r="BS2322" s="379"/>
      <c r="BT2322" s="379"/>
      <c r="BU2322" s="379"/>
      <c r="BV2322" s="379"/>
      <c r="BW2322" s="379"/>
      <c r="BX2322" s="379"/>
      <c r="BY2322" s="379"/>
      <c r="BZ2322" s="379"/>
      <c r="CA2322" s="281"/>
      <c r="CB2322" s="3" t="str">
        <f t="shared" si="398"/>
        <v>Riadok bude skrytý.</v>
      </c>
      <c r="CC2322" s="271" t="s">
        <v>832</v>
      </c>
      <c r="CW2322" s="30">
        <f t="shared" si="400"/>
        <v>1</v>
      </c>
      <c r="CX2322" s="30">
        <f t="shared" si="401"/>
        <v>0</v>
      </c>
      <c r="CZ2322" s="30">
        <f t="shared" si="399"/>
        <v>1</v>
      </c>
      <c r="DA2322" s="52">
        <f t="shared" si="402"/>
        <v>0</v>
      </c>
      <c r="DB2322" s="2">
        <f t="shared" si="394"/>
        <v>0</v>
      </c>
      <c r="DS2322" s="130">
        <f>SI!BY2322</f>
        <v>152</v>
      </c>
      <c r="DZ2322" s="131">
        <f>SI!BZ2322</f>
        <v>0</v>
      </c>
    </row>
    <row r="2323" spans="1:132" hidden="1" x14ac:dyDescent="0.25">
      <c r="A2323" s="141"/>
      <c r="B2323" s="379"/>
      <c r="C2323" s="379"/>
      <c r="D2323" s="379"/>
      <c r="E2323" s="379"/>
      <c r="F2323" s="379"/>
      <c r="G2323" s="379"/>
      <c r="H2323" s="379"/>
      <c r="I2323" s="379"/>
      <c r="J2323" s="379"/>
      <c r="K2323" s="379"/>
      <c r="L2323" s="379"/>
      <c r="M2323" s="379"/>
      <c r="N2323" s="379"/>
      <c r="O2323" s="379"/>
      <c r="P2323" s="379"/>
      <c r="Q2323" s="379"/>
      <c r="R2323" s="379"/>
      <c r="S2323" s="379"/>
      <c r="T2323" s="379"/>
      <c r="U2323" s="379"/>
      <c r="V2323" s="379"/>
      <c r="W2323" s="379"/>
      <c r="X2323" s="379"/>
      <c r="Y2323" s="379"/>
      <c r="Z2323" s="379"/>
      <c r="AA2323" s="379"/>
      <c r="AB2323" s="379"/>
      <c r="AC2323" s="379"/>
      <c r="AD2323" s="379"/>
      <c r="AE2323" s="379"/>
      <c r="AF2323" s="379"/>
      <c r="AG2323" s="379"/>
      <c r="AH2323" s="379"/>
      <c r="AI2323" s="379"/>
      <c r="AJ2323" s="379"/>
      <c r="AK2323" s="379"/>
      <c r="AL2323" s="379"/>
      <c r="AM2323" s="379"/>
      <c r="AN2323" s="379"/>
      <c r="AO2323" s="379"/>
      <c r="AP2323" s="379"/>
      <c r="AQ2323" s="379"/>
      <c r="AR2323" s="379"/>
      <c r="AS2323" s="379"/>
      <c r="AT2323" s="379"/>
      <c r="AU2323" s="379"/>
      <c r="AV2323" s="379"/>
      <c r="AW2323" s="379"/>
      <c r="AX2323" s="379"/>
      <c r="AY2323" s="379"/>
      <c r="AZ2323" s="379"/>
      <c r="BA2323" s="379"/>
      <c r="BB2323" s="379"/>
      <c r="BC2323" s="379"/>
      <c r="BD2323" s="379"/>
      <c r="BE2323" s="379"/>
      <c r="BF2323" s="379"/>
      <c r="BG2323" s="379"/>
      <c r="BH2323" s="379"/>
      <c r="BI2323" s="379"/>
      <c r="BJ2323" s="379"/>
      <c r="BK2323" s="379"/>
      <c r="BL2323" s="379"/>
      <c r="BM2323" s="379"/>
      <c r="BN2323" s="379"/>
      <c r="BO2323" s="379"/>
      <c r="BP2323" s="379"/>
      <c r="BQ2323" s="379"/>
      <c r="BR2323" s="379"/>
      <c r="BS2323" s="379"/>
      <c r="BT2323" s="379"/>
      <c r="BU2323" s="379"/>
      <c r="BV2323" s="379"/>
      <c r="BW2323" s="379"/>
      <c r="BX2323" s="379"/>
      <c r="BY2323" s="379"/>
      <c r="BZ2323" s="379"/>
      <c r="CA2323" s="281"/>
      <c r="CB2323" s="3" t="str">
        <f t="shared" si="398"/>
        <v>Riadok bude skrytý.</v>
      </c>
      <c r="CC2323" s="271" t="s">
        <v>832</v>
      </c>
      <c r="CW2323" s="30">
        <f t="shared" si="400"/>
        <v>1</v>
      </c>
      <c r="CX2323" s="30">
        <f t="shared" si="401"/>
        <v>0</v>
      </c>
      <c r="CZ2323" s="30">
        <f t="shared" si="399"/>
        <v>1</v>
      </c>
      <c r="DA2323" s="52">
        <f t="shared" si="402"/>
        <v>0</v>
      </c>
      <c r="DB2323" s="2">
        <f t="shared" si="394"/>
        <v>0</v>
      </c>
      <c r="DS2323" s="130">
        <f>SI!BY2323</f>
        <v>3</v>
      </c>
      <c r="DZ2323" s="131">
        <f>SI!BZ2323</f>
        <v>0</v>
      </c>
    </row>
    <row r="2324" spans="1:132" hidden="1" x14ac:dyDescent="0.25">
      <c r="A2324" s="141"/>
      <c r="B2324" s="379"/>
      <c r="C2324" s="379"/>
      <c r="D2324" s="379"/>
      <c r="E2324" s="379"/>
      <c r="F2324" s="379"/>
      <c r="G2324" s="379"/>
      <c r="H2324" s="379"/>
      <c r="I2324" s="379"/>
      <c r="J2324" s="379"/>
      <c r="K2324" s="379"/>
      <c r="L2324" s="379"/>
      <c r="M2324" s="379"/>
      <c r="N2324" s="379"/>
      <c r="O2324" s="379"/>
      <c r="P2324" s="379"/>
      <c r="Q2324" s="379"/>
      <c r="R2324" s="379"/>
      <c r="S2324" s="379"/>
      <c r="T2324" s="379"/>
      <c r="U2324" s="379"/>
      <c r="V2324" s="379"/>
      <c r="W2324" s="379"/>
      <c r="X2324" s="379"/>
      <c r="Y2324" s="379"/>
      <c r="Z2324" s="379"/>
      <c r="AA2324" s="379"/>
      <c r="AB2324" s="379"/>
      <c r="AC2324" s="379"/>
      <c r="AD2324" s="379"/>
      <c r="AE2324" s="379"/>
      <c r="AF2324" s="379"/>
      <c r="AG2324" s="379"/>
      <c r="AH2324" s="379"/>
      <c r="AI2324" s="379"/>
      <c r="AJ2324" s="379"/>
      <c r="AK2324" s="379"/>
      <c r="AL2324" s="379"/>
      <c r="AM2324" s="379"/>
      <c r="AN2324" s="379"/>
      <c r="AO2324" s="379"/>
      <c r="AP2324" s="379"/>
      <c r="AQ2324" s="379"/>
      <c r="AR2324" s="379"/>
      <c r="AS2324" s="379"/>
      <c r="AT2324" s="379"/>
      <c r="AU2324" s="379"/>
      <c r="AV2324" s="379"/>
      <c r="AW2324" s="379"/>
      <c r="AX2324" s="379"/>
      <c r="AY2324" s="379"/>
      <c r="AZ2324" s="379"/>
      <c r="BA2324" s="379"/>
      <c r="BB2324" s="379"/>
      <c r="BC2324" s="379"/>
      <c r="BD2324" s="379"/>
      <c r="BE2324" s="379"/>
      <c r="BF2324" s="379"/>
      <c r="BG2324" s="379"/>
      <c r="BH2324" s="379"/>
      <c r="BI2324" s="379"/>
      <c r="BJ2324" s="379"/>
      <c r="BK2324" s="379"/>
      <c r="BL2324" s="379"/>
      <c r="BM2324" s="379"/>
      <c r="BN2324" s="379"/>
      <c r="BO2324" s="379"/>
      <c r="BP2324" s="379"/>
      <c r="BQ2324" s="379"/>
      <c r="BR2324" s="379"/>
      <c r="BS2324" s="379"/>
      <c r="BT2324" s="379"/>
      <c r="BU2324" s="379"/>
      <c r="BV2324" s="379"/>
      <c r="BW2324" s="379"/>
      <c r="BX2324" s="379"/>
      <c r="BY2324" s="379"/>
      <c r="BZ2324" s="379"/>
      <c r="CA2324" s="281"/>
      <c r="CB2324" s="3" t="str">
        <f t="shared" si="398"/>
        <v>Riadok bude skrytý.</v>
      </c>
      <c r="CC2324" s="271" t="s">
        <v>832</v>
      </c>
      <c r="CW2324" s="30">
        <f t="shared" si="400"/>
        <v>1</v>
      </c>
      <c r="CX2324" s="30">
        <f t="shared" si="401"/>
        <v>0</v>
      </c>
      <c r="CZ2324" s="30">
        <f t="shared" si="399"/>
        <v>1</v>
      </c>
      <c r="DA2324" s="52">
        <f t="shared" si="402"/>
        <v>0</v>
      </c>
      <c r="DB2324" s="2">
        <f t="shared" si="394"/>
        <v>0</v>
      </c>
      <c r="DS2324" s="130">
        <f>SI!BY2324</f>
        <v>190</v>
      </c>
      <c r="DZ2324" s="131">
        <f>SI!BZ2324</f>
        <v>0</v>
      </c>
    </row>
    <row r="2325" spans="1:132" hidden="1" x14ac:dyDescent="0.25">
      <c r="A2325" s="141"/>
      <c r="B2325" s="379"/>
      <c r="C2325" s="379"/>
      <c r="D2325" s="379"/>
      <c r="E2325" s="379"/>
      <c r="F2325" s="379"/>
      <c r="G2325" s="379"/>
      <c r="H2325" s="379"/>
      <c r="I2325" s="379"/>
      <c r="J2325" s="379"/>
      <c r="K2325" s="379"/>
      <c r="L2325" s="379"/>
      <c r="M2325" s="379"/>
      <c r="N2325" s="379"/>
      <c r="O2325" s="379"/>
      <c r="P2325" s="379"/>
      <c r="Q2325" s="379"/>
      <c r="R2325" s="379"/>
      <c r="S2325" s="379"/>
      <c r="T2325" s="379"/>
      <c r="U2325" s="379"/>
      <c r="V2325" s="379"/>
      <c r="W2325" s="379"/>
      <c r="X2325" s="379"/>
      <c r="Y2325" s="379"/>
      <c r="Z2325" s="379"/>
      <c r="AA2325" s="379"/>
      <c r="AB2325" s="379"/>
      <c r="AC2325" s="379"/>
      <c r="AD2325" s="379"/>
      <c r="AE2325" s="379"/>
      <c r="AF2325" s="379"/>
      <c r="AG2325" s="379"/>
      <c r="AH2325" s="379"/>
      <c r="AI2325" s="379"/>
      <c r="AJ2325" s="379"/>
      <c r="AK2325" s="379"/>
      <c r="AL2325" s="379"/>
      <c r="AM2325" s="379"/>
      <c r="AN2325" s="379"/>
      <c r="AO2325" s="379"/>
      <c r="AP2325" s="379"/>
      <c r="AQ2325" s="379"/>
      <c r="AR2325" s="379"/>
      <c r="AS2325" s="379"/>
      <c r="AT2325" s="379"/>
      <c r="AU2325" s="379"/>
      <c r="AV2325" s="379"/>
      <c r="AW2325" s="379"/>
      <c r="AX2325" s="379"/>
      <c r="AY2325" s="379"/>
      <c r="AZ2325" s="379"/>
      <c r="BA2325" s="379"/>
      <c r="BB2325" s="379"/>
      <c r="BC2325" s="379"/>
      <c r="BD2325" s="379"/>
      <c r="BE2325" s="379"/>
      <c r="BF2325" s="379"/>
      <c r="BG2325" s="379"/>
      <c r="BH2325" s="379"/>
      <c r="BI2325" s="379"/>
      <c r="BJ2325" s="379"/>
      <c r="BK2325" s="379"/>
      <c r="BL2325" s="379"/>
      <c r="BM2325" s="379"/>
      <c r="BN2325" s="379"/>
      <c r="BO2325" s="379"/>
      <c r="BP2325" s="379"/>
      <c r="BQ2325" s="379"/>
      <c r="BR2325" s="379"/>
      <c r="BS2325" s="379"/>
      <c r="BT2325" s="379"/>
      <c r="BU2325" s="379"/>
      <c r="BV2325" s="379"/>
      <c r="BW2325" s="379"/>
      <c r="BX2325" s="379"/>
      <c r="BY2325" s="379"/>
      <c r="BZ2325" s="379"/>
      <c r="CA2325" s="281"/>
      <c r="CB2325" s="3" t="str">
        <f t="shared" si="398"/>
        <v>Riadok bude skrytý.</v>
      </c>
      <c r="CC2325" s="271" t="s">
        <v>832</v>
      </c>
      <c r="CW2325" s="30">
        <f t="shared" si="400"/>
        <v>1</v>
      </c>
      <c r="CX2325" s="30">
        <f t="shared" si="401"/>
        <v>0</v>
      </c>
      <c r="CZ2325" s="30">
        <f t="shared" si="399"/>
        <v>1</v>
      </c>
      <c r="DA2325" s="52">
        <f t="shared" si="402"/>
        <v>0</v>
      </c>
      <c r="DB2325" s="2">
        <f t="shared" si="394"/>
        <v>0</v>
      </c>
      <c r="DS2325" s="130">
        <f>SI!BY2325</f>
        <v>107</v>
      </c>
      <c r="DZ2325" s="131">
        <f>SI!BZ2325</f>
        <v>0</v>
      </c>
    </row>
    <row r="2326" spans="1:132" hidden="1" x14ac:dyDescent="0.25">
      <c r="A2326" s="141"/>
      <c r="B2326" s="379"/>
      <c r="C2326" s="379"/>
      <c r="D2326" s="379"/>
      <c r="E2326" s="379"/>
      <c r="F2326" s="379"/>
      <c r="G2326" s="379"/>
      <c r="H2326" s="379"/>
      <c r="I2326" s="379"/>
      <c r="J2326" s="379"/>
      <c r="K2326" s="379"/>
      <c r="L2326" s="379"/>
      <c r="M2326" s="379"/>
      <c r="N2326" s="379"/>
      <c r="O2326" s="379"/>
      <c r="P2326" s="379"/>
      <c r="Q2326" s="379"/>
      <c r="R2326" s="379"/>
      <c r="S2326" s="379"/>
      <c r="T2326" s="379"/>
      <c r="U2326" s="379"/>
      <c r="V2326" s="379"/>
      <c r="W2326" s="379"/>
      <c r="X2326" s="379"/>
      <c r="Y2326" s="379"/>
      <c r="Z2326" s="379"/>
      <c r="AA2326" s="379"/>
      <c r="AB2326" s="379"/>
      <c r="AC2326" s="379"/>
      <c r="AD2326" s="379"/>
      <c r="AE2326" s="379"/>
      <c r="AF2326" s="379"/>
      <c r="AG2326" s="379"/>
      <c r="AH2326" s="379"/>
      <c r="AI2326" s="379"/>
      <c r="AJ2326" s="379"/>
      <c r="AK2326" s="379"/>
      <c r="AL2326" s="379"/>
      <c r="AM2326" s="379"/>
      <c r="AN2326" s="379"/>
      <c r="AO2326" s="379"/>
      <c r="AP2326" s="379"/>
      <c r="AQ2326" s="379"/>
      <c r="AR2326" s="379"/>
      <c r="AS2326" s="379"/>
      <c r="AT2326" s="379"/>
      <c r="AU2326" s="379"/>
      <c r="AV2326" s="379"/>
      <c r="AW2326" s="379"/>
      <c r="AX2326" s="379"/>
      <c r="AY2326" s="379"/>
      <c r="AZ2326" s="379"/>
      <c r="BA2326" s="379"/>
      <c r="BB2326" s="379"/>
      <c r="BC2326" s="379"/>
      <c r="BD2326" s="379"/>
      <c r="BE2326" s="379"/>
      <c r="BF2326" s="379"/>
      <c r="BG2326" s="379"/>
      <c r="BH2326" s="379"/>
      <c r="BI2326" s="379"/>
      <c r="BJ2326" s="379"/>
      <c r="BK2326" s="379"/>
      <c r="BL2326" s="379"/>
      <c r="BM2326" s="379"/>
      <c r="BN2326" s="379"/>
      <c r="BO2326" s="379"/>
      <c r="BP2326" s="379"/>
      <c r="BQ2326" s="379"/>
      <c r="BR2326" s="379"/>
      <c r="BS2326" s="379"/>
      <c r="BT2326" s="379"/>
      <c r="BU2326" s="379"/>
      <c r="BV2326" s="379"/>
      <c r="BW2326" s="379"/>
      <c r="BX2326" s="379"/>
      <c r="BY2326" s="379"/>
      <c r="BZ2326" s="379"/>
      <c r="CA2326" s="281"/>
      <c r="CB2326" s="3" t="str">
        <f t="shared" si="398"/>
        <v>Riadok bude skrytý.</v>
      </c>
      <c r="CC2326" s="271" t="s">
        <v>832</v>
      </c>
      <c r="CW2326" s="30">
        <f t="shared" si="400"/>
        <v>1</v>
      </c>
      <c r="CX2326" s="30">
        <f t="shared" si="401"/>
        <v>0</v>
      </c>
      <c r="CZ2326" s="30">
        <f t="shared" si="399"/>
        <v>1</v>
      </c>
      <c r="DA2326" s="52">
        <f t="shared" si="402"/>
        <v>0</v>
      </c>
      <c r="DB2326" s="2">
        <f t="shared" si="394"/>
        <v>0</v>
      </c>
      <c r="DS2326" s="130">
        <f>SI!BY2326</f>
        <v>998</v>
      </c>
      <c r="DZ2326" s="131">
        <f>SI!BZ2326</f>
        <v>0</v>
      </c>
    </row>
    <row r="2327" spans="1:132" hidden="1" x14ac:dyDescent="0.25">
      <c r="A2327" s="141"/>
      <c r="B2327" s="379"/>
      <c r="C2327" s="379"/>
      <c r="D2327" s="379"/>
      <c r="E2327" s="379"/>
      <c r="F2327" s="379"/>
      <c r="G2327" s="379"/>
      <c r="H2327" s="379"/>
      <c r="I2327" s="379"/>
      <c r="J2327" s="379"/>
      <c r="K2327" s="379"/>
      <c r="L2327" s="379"/>
      <c r="M2327" s="379"/>
      <c r="N2327" s="379"/>
      <c r="O2327" s="379"/>
      <c r="P2327" s="379"/>
      <c r="Q2327" s="379"/>
      <c r="R2327" s="379"/>
      <c r="S2327" s="379"/>
      <c r="T2327" s="379"/>
      <c r="U2327" s="379"/>
      <c r="V2327" s="379"/>
      <c r="W2327" s="379"/>
      <c r="X2327" s="379"/>
      <c r="Y2327" s="379"/>
      <c r="Z2327" s="379"/>
      <c r="AA2327" s="379"/>
      <c r="AB2327" s="379"/>
      <c r="AC2327" s="379"/>
      <c r="AD2327" s="379"/>
      <c r="AE2327" s="379"/>
      <c r="AF2327" s="379"/>
      <c r="AG2327" s="379"/>
      <c r="AH2327" s="379"/>
      <c r="AI2327" s="379"/>
      <c r="AJ2327" s="379"/>
      <c r="AK2327" s="379"/>
      <c r="AL2327" s="379"/>
      <c r="AM2327" s="379"/>
      <c r="AN2327" s="379"/>
      <c r="AO2327" s="379"/>
      <c r="AP2327" s="379"/>
      <c r="AQ2327" s="379"/>
      <c r="AR2327" s="379"/>
      <c r="AS2327" s="379"/>
      <c r="AT2327" s="379"/>
      <c r="AU2327" s="379"/>
      <c r="AV2327" s="379"/>
      <c r="AW2327" s="379"/>
      <c r="AX2327" s="379"/>
      <c r="AY2327" s="379"/>
      <c r="AZ2327" s="379"/>
      <c r="BA2327" s="379"/>
      <c r="BB2327" s="379"/>
      <c r="BC2327" s="379"/>
      <c r="BD2327" s="379"/>
      <c r="BE2327" s="379"/>
      <c r="BF2327" s="379"/>
      <c r="BG2327" s="379"/>
      <c r="BH2327" s="379"/>
      <c r="BI2327" s="379"/>
      <c r="BJ2327" s="379"/>
      <c r="BK2327" s="379"/>
      <c r="BL2327" s="379"/>
      <c r="BM2327" s="379"/>
      <c r="BN2327" s="379"/>
      <c r="BO2327" s="379"/>
      <c r="BP2327" s="379"/>
      <c r="BQ2327" s="379"/>
      <c r="BR2327" s="379"/>
      <c r="BS2327" s="379"/>
      <c r="BT2327" s="379"/>
      <c r="BU2327" s="379"/>
      <c r="BV2327" s="379"/>
      <c r="BW2327" s="379"/>
      <c r="BX2327" s="379"/>
      <c r="BY2327" s="379"/>
      <c r="BZ2327" s="379"/>
      <c r="CA2327" s="281"/>
      <c r="CB2327" s="3" t="str">
        <f t="shared" si="398"/>
        <v>Riadok bude skrytý.</v>
      </c>
      <c r="CC2327" s="271" t="s">
        <v>832</v>
      </c>
      <c r="CW2327" s="30">
        <f t="shared" si="400"/>
        <v>1</v>
      </c>
      <c r="CX2327" s="30">
        <f t="shared" si="401"/>
        <v>0</v>
      </c>
      <c r="CZ2327" s="30">
        <f t="shared" si="399"/>
        <v>1</v>
      </c>
      <c r="DA2327" s="52">
        <f t="shared" si="402"/>
        <v>0</v>
      </c>
      <c r="DB2327" s="2">
        <f t="shared" si="394"/>
        <v>0</v>
      </c>
      <c r="DS2327" s="130">
        <f>SI!BY2327</f>
        <v>139</v>
      </c>
      <c r="DZ2327" s="131">
        <f>SI!BZ2327</f>
        <v>0</v>
      </c>
    </row>
    <row r="2328" spans="1:132" hidden="1" x14ac:dyDescent="0.25">
      <c r="A2328" s="141"/>
      <c r="B2328" s="379"/>
      <c r="C2328" s="379"/>
      <c r="D2328" s="379"/>
      <c r="E2328" s="379"/>
      <c r="F2328" s="379"/>
      <c r="G2328" s="379"/>
      <c r="H2328" s="379"/>
      <c r="I2328" s="379"/>
      <c r="J2328" s="379"/>
      <c r="K2328" s="379"/>
      <c r="L2328" s="379"/>
      <c r="M2328" s="379"/>
      <c r="N2328" s="379"/>
      <c r="O2328" s="379"/>
      <c r="P2328" s="379"/>
      <c r="Q2328" s="379"/>
      <c r="R2328" s="379"/>
      <c r="S2328" s="379"/>
      <c r="T2328" s="379"/>
      <c r="U2328" s="379"/>
      <c r="V2328" s="379"/>
      <c r="W2328" s="379"/>
      <c r="X2328" s="379"/>
      <c r="Y2328" s="379"/>
      <c r="Z2328" s="379"/>
      <c r="AA2328" s="379"/>
      <c r="AB2328" s="379"/>
      <c r="AC2328" s="379"/>
      <c r="AD2328" s="379"/>
      <c r="AE2328" s="379"/>
      <c r="AF2328" s="379"/>
      <c r="AG2328" s="379"/>
      <c r="AH2328" s="379"/>
      <c r="AI2328" s="379"/>
      <c r="AJ2328" s="379"/>
      <c r="AK2328" s="379"/>
      <c r="AL2328" s="379"/>
      <c r="AM2328" s="379"/>
      <c r="AN2328" s="379"/>
      <c r="AO2328" s="379"/>
      <c r="AP2328" s="379"/>
      <c r="AQ2328" s="379"/>
      <c r="AR2328" s="379"/>
      <c r="AS2328" s="379"/>
      <c r="AT2328" s="379"/>
      <c r="AU2328" s="379"/>
      <c r="AV2328" s="379"/>
      <c r="AW2328" s="379"/>
      <c r="AX2328" s="379"/>
      <c r="AY2328" s="379"/>
      <c r="AZ2328" s="379"/>
      <c r="BA2328" s="379"/>
      <c r="BB2328" s="379"/>
      <c r="BC2328" s="379"/>
      <c r="BD2328" s="379"/>
      <c r="BE2328" s="379"/>
      <c r="BF2328" s="379"/>
      <c r="BG2328" s="379"/>
      <c r="BH2328" s="379"/>
      <c r="BI2328" s="379"/>
      <c r="BJ2328" s="379"/>
      <c r="BK2328" s="379"/>
      <c r="BL2328" s="379"/>
      <c r="BM2328" s="379"/>
      <c r="BN2328" s="379"/>
      <c r="BO2328" s="379"/>
      <c r="BP2328" s="379"/>
      <c r="BQ2328" s="379"/>
      <c r="BR2328" s="379"/>
      <c r="BS2328" s="379"/>
      <c r="BT2328" s="379"/>
      <c r="BU2328" s="379"/>
      <c r="BV2328" s="379"/>
      <c r="BW2328" s="379"/>
      <c r="BX2328" s="379"/>
      <c r="BY2328" s="379"/>
      <c r="BZ2328" s="379"/>
      <c r="CA2328" s="281"/>
      <c r="CB2328" s="3" t="str">
        <f t="shared" si="398"/>
        <v>Riadok bude skrytý.</v>
      </c>
      <c r="CC2328" s="271" t="s">
        <v>832</v>
      </c>
      <c r="CW2328" s="30">
        <f t="shared" si="400"/>
        <v>1</v>
      </c>
      <c r="CX2328" s="30">
        <f t="shared" si="401"/>
        <v>0</v>
      </c>
      <c r="CZ2328" s="30">
        <f t="shared" si="399"/>
        <v>1</v>
      </c>
      <c r="DA2328" s="52">
        <f t="shared" si="402"/>
        <v>0</v>
      </c>
      <c r="DB2328" s="2">
        <f t="shared" si="394"/>
        <v>0</v>
      </c>
      <c r="DS2328" s="130">
        <f>SI!BY2328</f>
        <v>185</v>
      </c>
      <c r="DZ2328" s="131">
        <f>SI!BZ2328</f>
        <v>0</v>
      </c>
    </row>
    <row r="2329" spans="1:132" hidden="1" x14ac:dyDescent="0.25">
      <c r="A2329" s="141"/>
      <c r="CA2329" s="270"/>
      <c r="CB2329" s="3" t="str">
        <f t="shared" si="398"/>
        <v>Riadok bude skrytý.</v>
      </c>
      <c r="CC2329" s="271" t="s">
        <v>832</v>
      </c>
      <c r="CW2329" s="30">
        <f t="shared" si="400"/>
        <v>1</v>
      </c>
      <c r="CZ2329" s="30">
        <f t="shared" si="399"/>
        <v>1</v>
      </c>
      <c r="DA2329" s="30">
        <f>+IF(CW2329+CX2329+CY2329=0,0,IF(CZ2329=0,0,1))</f>
        <v>1</v>
      </c>
      <c r="DB2329" s="2">
        <f t="shared" si="394"/>
        <v>0</v>
      </c>
      <c r="DS2329" s="130">
        <f>SI!BY2329</f>
        <v>157</v>
      </c>
      <c r="DZ2329" s="131">
        <f>SI!BZ2329</f>
        <v>0</v>
      </c>
    </row>
    <row r="2330" spans="1:132" hidden="1" x14ac:dyDescent="0.25">
      <c r="A2330" s="141"/>
      <c r="B2330" s="137" t="s">
        <v>208</v>
      </c>
      <c r="K2330" s="378" t="s">
        <v>97</v>
      </c>
      <c r="L2330" s="378"/>
      <c r="M2330" s="378"/>
      <c r="N2330" s="378"/>
      <c r="O2330" s="378"/>
      <c r="P2330" s="378"/>
      <c r="Q2330" s="137" t="str">
        <f>+IF($Q$52&lt;&gt;"",IF((CODE(MID($Q$52,1,1)))*(GCD(121,132))*0+(LEN(SI!J5)+LEN(SI!J6))=DS2330,"záväzky voči banke z dôvodu čerpania bankových úverov.","NEPOVOLENÉ POUŽITIE!"),"NEPOVOLENÉ POUŽITIE!")</f>
        <v>záväzky voči banke z dôvodu čerpania bankových úverov.</v>
      </c>
      <c r="CA2330" s="265" t="s">
        <v>773</v>
      </c>
      <c r="CB2330" s="3" t="str">
        <f t="shared" si="398"/>
        <v>Riadok bude skrytý.</v>
      </c>
      <c r="CC2330" s="271" t="s">
        <v>832</v>
      </c>
      <c r="CW2330" s="30">
        <f t="shared" si="400"/>
        <v>1</v>
      </c>
      <c r="CZ2330" s="30">
        <f t="shared" si="399"/>
        <v>1</v>
      </c>
      <c r="DA2330" s="30">
        <f>+IF(CW2330+CX2330+CY2330=0,0,IF(CZ2330=0,0,1))</f>
        <v>1</v>
      </c>
      <c r="DB2330" s="2">
        <f t="shared" si="394"/>
        <v>0</v>
      </c>
      <c r="DS2330" s="130">
        <f>SI!BY2330</f>
        <v>20</v>
      </c>
      <c r="DZ2330" s="131">
        <f>SI!BZ2330</f>
        <v>0</v>
      </c>
    </row>
    <row r="2331" spans="1:132" hidden="1" x14ac:dyDescent="0.25">
      <c r="A2331" s="141"/>
      <c r="B2331" s="137" t="str">
        <f>+IF($G$52&lt;&gt;"",IF(ROUNDDOWN(CODE(MID($G$52,1,1))*2,0)*(IF(SI!EE2331="",1,SI!EE2331-3-1))+(LEN(SI!J2)+LEN(SI!J3))=DS2331,IF(K2330="má","Štruktúra bankových úverov je uvedená v tabuľke:",""),"NEPOVOLENÉ POUŽITIE!"),"NEPOVOLENÉ POUŽITIE!")</f>
        <v>Štruktúra bankových úverov je uvedená v tabuľke:</v>
      </c>
      <c r="CA2331" s="270"/>
      <c r="CB2331" s="3" t="str">
        <f t="shared" si="398"/>
        <v>Riadok bude skrytý.</v>
      </c>
      <c r="CC2331" s="271" t="s">
        <v>832</v>
      </c>
      <c r="CW2331" s="30">
        <f t="shared" si="400"/>
        <v>1</v>
      </c>
      <c r="CX2331" s="30">
        <f t="shared" ref="CX2331:CX2357" si="403">+IF($K$2330="nemá",0,1)</f>
        <v>1</v>
      </c>
      <c r="CZ2331" s="30">
        <f t="shared" si="399"/>
        <v>1</v>
      </c>
      <c r="DA2331" s="52">
        <f t="shared" ref="DA2331:DA2337" si="404">+IF(CW2331*CX2331=0,0,IF(CZ2331=0,0,1))</f>
        <v>1</v>
      </c>
      <c r="DB2331" s="2">
        <f t="shared" si="394"/>
        <v>0</v>
      </c>
      <c r="DS2331" s="130">
        <f>SI!BY2331</f>
        <v>18</v>
      </c>
      <c r="DZ2331" s="131">
        <f>SI!BZ2331</f>
        <v>0</v>
      </c>
    </row>
    <row r="2332" spans="1:132" hidden="1" x14ac:dyDescent="0.25">
      <c r="A2332" s="141"/>
      <c r="CA2332" s="270"/>
      <c r="CB2332" s="3" t="str">
        <f t="shared" si="398"/>
        <v>Riadok bude skrytý.</v>
      </c>
      <c r="CC2332" s="271" t="s">
        <v>832</v>
      </c>
      <c r="CW2332" s="30">
        <f t="shared" si="400"/>
        <v>1</v>
      </c>
      <c r="CX2332" s="30">
        <f t="shared" si="403"/>
        <v>1</v>
      </c>
      <c r="CZ2332" s="30">
        <f t="shared" si="399"/>
        <v>1</v>
      </c>
      <c r="DA2332" s="52">
        <f t="shared" si="404"/>
        <v>1</v>
      </c>
      <c r="DB2332" s="2">
        <f t="shared" si="394"/>
        <v>0</v>
      </c>
      <c r="DS2332" s="130">
        <f>SI!BY2332</f>
        <v>470</v>
      </c>
      <c r="DZ2332" s="131">
        <f>SI!BZ2332</f>
        <v>0</v>
      </c>
    </row>
    <row r="2333" spans="1:132" ht="23.95" hidden="1" customHeight="1" x14ac:dyDescent="0.25">
      <c r="A2333" s="141"/>
      <c r="B2333" s="439" t="s">
        <v>171</v>
      </c>
      <c r="C2333" s="440"/>
      <c r="D2333" s="440"/>
      <c r="E2333" s="440"/>
      <c r="F2333" s="440"/>
      <c r="G2333" s="440"/>
      <c r="H2333" s="440"/>
      <c r="I2333" s="440"/>
      <c r="J2333" s="440"/>
      <c r="K2333" s="440"/>
      <c r="L2333" s="440"/>
      <c r="M2333" s="440"/>
      <c r="N2333" s="440"/>
      <c r="O2333" s="440"/>
      <c r="P2333" s="440"/>
      <c r="Q2333" s="440"/>
      <c r="R2333" s="440"/>
      <c r="S2333" s="440"/>
      <c r="T2333" s="605" t="s">
        <v>299</v>
      </c>
      <c r="U2333" s="606"/>
      <c r="V2333" s="606"/>
      <c r="W2333" s="606"/>
      <c r="X2333" s="606"/>
      <c r="Y2333" s="606"/>
      <c r="Z2333" s="606"/>
      <c r="AA2333" s="607"/>
      <c r="AB2333" s="605" t="s">
        <v>300</v>
      </c>
      <c r="AC2333" s="606"/>
      <c r="AD2333" s="606"/>
      <c r="AE2333" s="606"/>
      <c r="AF2333" s="606"/>
      <c r="AG2333" s="606"/>
      <c r="AH2333" s="607"/>
      <c r="AI2333" s="605" t="s">
        <v>301</v>
      </c>
      <c r="AJ2333" s="606"/>
      <c r="AK2333" s="606"/>
      <c r="AL2333" s="606"/>
      <c r="AM2333" s="606"/>
      <c r="AN2333" s="606"/>
      <c r="AO2333" s="606"/>
      <c r="AP2333" s="607"/>
      <c r="AQ2333" s="611" t="s">
        <v>930</v>
      </c>
      <c r="AR2333" s="612"/>
      <c r="AS2333" s="612"/>
      <c r="AT2333" s="612"/>
      <c r="AU2333" s="612"/>
      <c r="AV2333" s="612"/>
      <c r="AW2333" s="612"/>
      <c r="AX2333" s="612"/>
      <c r="AY2333" s="612"/>
      <c r="AZ2333" s="613"/>
      <c r="BA2333" s="543" t="s">
        <v>931</v>
      </c>
      <c r="BB2333" s="544"/>
      <c r="BC2333" s="544"/>
      <c r="BD2333" s="544"/>
      <c r="BE2333" s="544"/>
      <c r="BF2333" s="544"/>
      <c r="BG2333" s="544"/>
      <c r="BH2333" s="544"/>
      <c r="BI2333" s="544"/>
      <c r="BJ2333" s="544"/>
      <c r="BK2333" s="544"/>
      <c r="BL2333" s="545"/>
      <c r="BM2333" s="543" t="s">
        <v>932</v>
      </c>
      <c r="BN2333" s="544"/>
      <c r="BO2333" s="544"/>
      <c r="BP2333" s="544"/>
      <c r="BQ2333" s="544"/>
      <c r="BR2333" s="544"/>
      <c r="BS2333" s="544"/>
      <c r="BT2333" s="544"/>
      <c r="BU2333" s="544"/>
      <c r="BV2333" s="544"/>
      <c r="BW2333" s="544"/>
      <c r="BX2333" s="544"/>
      <c r="BY2333" s="544"/>
      <c r="BZ2333" s="545"/>
      <c r="CA2333" s="265" t="s">
        <v>773</v>
      </c>
      <c r="CB2333" s="3" t="str">
        <f t="shared" si="398"/>
        <v>Riadok bude skrytý.</v>
      </c>
      <c r="CC2333" s="271" t="s">
        <v>832</v>
      </c>
      <c r="CD2333" s="4"/>
      <c r="CW2333" s="30">
        <f t="shared" si="400"/>
        <v>1</v>
      </c>
      <c r="CX2333" s="30">
        <f t="shared" si="403"/>
        <v>1</v>
      </c>
      <c r="CZ2333" s="30">
        <f t="shared" si="399"/>
        <v>1</v>
      </c>
      <c r="DA2333" s="52">
        <f t="shared" si="404"/>
        <v>1</v>
      </c>
      <c r="DB2333" s="2">
        <f t="shared" si="394"/>
        <v>0</v>
      </c>
      <c r="DS2333" s="130">
        <f>SI!BY2333</f>
        <v>199</v>
      </c>
      <c r="DZ2333" s="131">
        <f>SI!BZ2333</f>
        <v>0</v>
      </c>
    </row>
    <row r="2334" spans="1:132" ht="23.95" hidden="1" customHeight="1" x14ac:dyDescent="0.25">
      <c r="A2334" s="141"/>
      <c r="B2334" s="442"/>
      <c r="C2334" s="443"/>
      <c r="D2334" s="443"/>
      <c r="E2334" s="443"/>
      <c r="F2334" s="443"/>
      <c r="G2334" s="443"/>
      <c r="H2334" s="443"/>
      <c r="I2334" s="443"/>
      <c r="J2334" s="443"/>
      <c r="K2334" s="443"/>
      <c r="L2334" s="443"/>
      <c r="M2334" s="443"/>
      <c r="N2334" s="443"/>
      <c r="O2334" s="443"/>
      <c r="P2334" s="443"/>
      <c r="Q2334" s="443"/>
      <c r="R2334" s="443"/>
      <c r="S2334" s="443"/>
      <c r="T2334" s="608"/>
      <c r="U2334" s="609"/>
      <c r="V2334" s="609"/>
      <c r="W2334" s="609"/>
      <c r="X2334" s="609"/>
      <c r="Y2334" s="609"/>
      <c r="Z2334" s="609"/>
      <c r="AA2334" s="610"/>
      <c r="AB2334" s="608"/>
      <c r="AC2334" s="609"/>
      <c r="AD2334" s="609"/>
      <c r="AE2334" s="609"/>
      <c r="AF2334" s="609"/>
      <c r="AG2334" s="609"/>
      <c r="AH2334" s="610"/>
      <c r="AI2334" s="608"/>
      <c r="AJ2334" s="609"/>
      <c r="AK2334" s="609"/>
      <c r="AL2334" s="609"/>
      <c r="AM2334" s="609"/>
      <c r="AN2334" s="609"/>
      <c r="AO2334" s="609"/>
      <c r="AP2334" s="610"/>
      <c r="AQ2334" s="1429">
        <f>+AJ141</f>
        <v>2021</v>
      </c>
      <c r="AR2334" s="1430"/>
      <c r="AS2334" s="1430"/>
      <c r="AT2334" s="1430"/>
      <c r="AU2334" s="1430"/>
      <c r="AV2334" s="1430"/>
      <c r="AW2334" s="1430"/>
      <c r="AX2334" s="1430"/>
      <c r="AY2334" s="1430"/>
      <c r="AZ2334" s="1431"/>
      <c r="BA2334" s="1429">
        <f>+AJ141</f>
        <v>2021</v>
      </c>
      <c r="BB2334" s="1430"/>
      <c r="BC2334" s="1430"/>
      <c r="BD2334" s="1430"/>
      <c r="BE2334" s="1430"/>
      <c r="BF2334" s="1430"/>
      <c r="BG2334" s="1430"/>
      <c r="BH2334" s="1430"/>
      <c r="BI2334" s="1430"/>
      <c r="BJ2334" s="1430"/>
      <c r="BK2334" s="1430"/>
      <c r="BL2334" s="1431"/>
      <c r="BM2334" s="1429">
        <f>+BE141</f>
        <v>2020</v>
      </c>
      <c r="BN2334" s="1430"/>
      <c r="BO2334" s="1430"/>
      <c r="BP2334" s="1430"/>
      <c r="BQ2334" s="1430"/>
      <c r="BR2334" s="1430"/>
      <c r="BS2334" s="1430"/>
      <c r="BT2334" s="1430"/>
      <c r="BU2334" s="1430"/>
      <c r="BV2334" s="1430"/>
      <c r="BW2334" s="1430"/>
      <c r="BX2334" s="1430"/>
      <c r="BY2334" s="1430"/>
      <c r="BZ2334" s="1431"/>
      <c r="CA2334" s="270"/>
      <c r="CB2334" s="3" t="str">
        <f t="shared" si="398"/>
        <v>Riadok bude skrytý.</v>
      </c>
      <c r="CC2334" s="271" t="s">
        <v>832</v>
      </c>
      <c r="CD2334" s="4"/>
      <c r="CE2334" s="4"/>
      <c r="CW2334" s="30">
        <f t="shared" si="400"/>
        <v>1</v>
      </c>
      <c r="CX2334" s="30">
        <f t="shared" si="403"/>
        <v>1</v>
      </c>
      <c r="CZ2334" s="30">
        <f t="shared" si="399"/>
        <v>1</v>
      </c>
      <c r="DA2334" s="52">
        <f t="shared" si="404"/>
        <v>1</v>
      </c>
      <c r="DB2334" s="2">
        <f t="shared" si="394"/>
        <v>0</v>
      </c>
      <c r="DS2334" s="130">
        <f>SI!BY2334</f>
        <v>588</v>
      </c>
      <c r="DZ2334" s="131">
        <f>SI!BZ2334</f>
        <v>0</v>
      </c>
    </row>
    <row r="2335" spans="1:132" s="30" customFormat="1" hidden="1" x14ac:dyDescent="0.25">
      <c r="A2335" s="226"/>
      <c r="B2335" s="597" t="s">
        <v>0</v>
      </c>
      <c r="C2335" s="597"/>
      <c r="D2335" s="597"/>
      <c r="E2335" s="597"/>
      <c r="F2335" s="597"/>
      <c r="G2335" s="597"/>
      <c r="H2335" s="597"/>
      <c r="I2335" s="597"/>
      <c r="J2335" s="597"/>
      <c r="K2335" s="597"/>
      <c r="L2335" s="597"/>
      <c r="M2335" s="597"/>
      <c r="N2335" s="597"/>
      <c r="O2335" s="597"/>
      <c r="P2335" s="597"/>
      <c r="Q2335" s="597"/>
      <c r="R2335" s="597"/>
      <c r="S2335" s="598"/>
      <c r="T2335" s="597" t="s">
        <v>1</v>
      </c>
      <c r="U2335" s="597"/>
      <c r="V2335" s="597"/>
      <c r="W2335" s="597"/>
      <c r="X2335" s="597"/>
      <c r="Y2335" s="597"/>
      <c r="Z2335" s="597"/>
      <c r="AA2335" s="597"/>
      <c r="AB2335" s="597" t="s">
        <v>2</v>
      </c>
      <c r="AC2335" s="597"/>
      <c r="AD2335" s="597"/>
      <c r="AE2335" s="597"/>
      <c r="AF2335" s="597"/>
      <c r="AG2335" s="597"/>
      <c r="AH2335" s="597"/>
      <c r="AI2335" s="597" t="s">
        <v>28</v>
      </c>
      <c r="AJ2335" s="597"/>
      <c r="AK2335" s="597"/>
      <c r="AL2335" s="597"/>
      <c r="AM2335" s="597"/>
      <c r="AN2335" s="597"/>
      <c r="AO2335" s="597"/>
      <c r="AP2335" s="597"/>
      <c r="AQ2335" s="597" t="s">
        <v>29</v>
      </c>
      <c r="AR2335" s="597"/>
      <c r="AS2335" s="597"/>
      <c r="AT2335" s="597"/>
      <c r="AU2335" s="597"/>
      <c r="AV2335" s="597"/>
      <c r="AW2335" s="597"/>
      <c r="AX2335" s="597"/>
      <c r="AY2335" s="597"/>
      <c r="AZ2335" s="597"/>
      <c r="BA2335" s="597" t="s">
        <v>103</v>
      </c>
      <c r="BB2335" s="597"/>
      <c r="BC2335" s="597"/>
      <c r="BD2335" s="597"/>
      <c r="BE2335" s="597"/>
      <c r="BF2335" s="597"/>
      <c r="BG2335" s="597"/>
      <c r="BH2335" s="597"/>
      <c r="BI2335" s="597"/>
      <c r="BJ2335" s="597"/>
      <c r="BK2335" s="597"/>
      <c r="BL2335" s="597"/>
      <c r="BM2335" s="597" t="s">
        <v>104</v>
      </c>
      <c r="BN2335" s="597"/>
      <c r="BO2335" s="597"/>
      <c r="BP2335" s="597"/>
      <c r="BQ2335" s="597"/>
      <c r="BR2335" s="597"/>
      <c r="BS2335" s="597"/>
      <c r="BT2335" s="597"/>
      <c r="BU2335" s="597"/>
      <c r="BV2335" s="597"/>
      <c r="BW2335" s="597"/>
      <c r="BX2335" s="597"/>
      <c r="BY2335" s="597"/>
      <c r="BZ2335" s="597"/>
      <c r="CA2335" s="270"/>
      <c r="CB2335" s="3" t="str">
        <f t="shared" si="398"/>
        <v>Riadok bude skrytý.</v>
      </c>
      <c r="CC2335" s="271" t="s">
        <v>832</v>
      </c>
      <c r="CW2335" s="30">
        <f t="shared" si="400"/>
        <v>1</v>
      </c>
      <c r="CX2335" s="30">
        <f t="shared" si="403"/>
        <v>1</v>
      </c>
      <c r="CZ2335" s="30">
        <f t="shared" si="399"/>
        <v>1</v>
      </c>
      <c r="DA2335" s="52">
        <f t="shared" si="404"/>
        <v>1</v>
      </c>
      <c r="DB2335" s="2">
        <f t="shared" si="394"/>
        <v>0</v>
      </c>
      <c r="DR2335" s="84"/>
      <c r="DS2335" s="130">
        <f>SI!BY2335</f>
        <v>170</v>
      </c>
      <c r="DT2335" s="130"/>
      <c r="DU2335" s="130"/>
      <c r="DV2335" s="130"/>
      <c r="DW2335" s="130"/>
      <c r="DX2335" s="130"/>
      <c r="DY2335" s="130"/>
      <c r="DZ2335" s="131">
        <f>SI!BZ2335</f>
        <v>0</v>
      </c>
      <c r="EA2335" s="84"/>
      <c r="EB2335" s="84"/>
    </row>
    <row r="2336" spans="1:132" s="58" customFormat="1" hidden="1" x14ac:dyDescent="0.25">
      <c r="A2336" s="266"/>
      <c r="B2336" s="579" t="s">
        <v>302</v>
      </c>
      <c r="C2336" s="580"/>
      <c r="D2336" s="580"/>
      <c r="E2336" s="580"/>
      <c r="F2336" s="580"/>
      <c r="G2336" s="580"/>
      <c r="H2336" s="580"/>
      <c r="I2336" s="580"/>
      <c r="J2336" s="580"/>
      <c r="K2336" s="580"/>
      <c r="L2336" s="580"/>
      <c r="M2336" s="580"/>
      <c r="N2336" s="580"/>
      <c r="O2336" s="580"/>
      <c r="P2336" s="580"/>
      <c r="Q2336" s="580"/>
      <c r="R2336" s="580"/>
      <c r="S2336" s="580"/>
      <c r="T2336" s="580"/>
      <c r="U2336" s="580"/>
      <c r="V2336" s="580"/>
      <c r="W2336" s="580"/>
      <c r="X2336" s="580"/>
      <c r="Y2336" s="580"/>
      <c r="Z2336" s="580"/>
      <c r="AA2336" s="580"/>
      <c r="AB2336" s="580"/>
      <c r="AC2336" s="580"/>
      <c r="AD2336" s="580"/>
      <c r="AE2336" s="580"/>
      <c r="AF2336" s="580"/>
      <c r="AG2336" s="580"/>
      <c r="AH2336" s="580"/>
      <c r="AI2336" s="580"/>
      <c r="AJ2336" s="580"/>
      <c r="AK2336" s="580"/>
      <c r="AL2336" s="580"/>
      <c r="AM2336" s="580"/>
      <c r="AN2336" s="580"/>
      <c r="AO2336" s="580"/>
      <c r="AP2336" s="580"/>
      <c r="AQ2336" s="580"/>
      <c r="AR2336" s="580"/>
      <c r="AS2336" s="580"/>
      <c r="AT2336" s="580"/>
      <c r="AU2336" s="580"/>
      <c r="AV2336" s="580"/>
      <c r="AW2336" s="580"/>
      <c r="AX2336" s="580"/>
      <c r="AY2336" s="580"/>
      <c r="AZ2336" s="580"/>
      <c r="BA2336" s="580"/>
      <c r="BB2336" s="580"/>
      <c r="BC2336" s="580"/>
      <c r="BD2336" s="580"/>
      <c r="BE2336" s="580"/>
      <c r="BF2336" s="580"/>
      <c r="BG2336" s="580"/>
      <c r="BH2336" s="580"/>
      <c r="BI2336" s="580"/>
      <c r="BJ2336" s="580"/>
      <c r="BK2336" s="580"/>
      <c r="BL2336" s="580"/>
      <c r="BM2336" s="580"/>
      <c r="BN2336" s="580"/>
      <c r="BO2336" s="580"/>
      <c r="BP2336" s="580"/>
      <c r="BQ2336" s="580"/>
      <c r="BR2336" s="580"/>
      <c r="BS2336" s="580"/>
      <c r="BT2336" s="580"/>
      <c r="BU2336" s="580"/>
      <c r="BV2336" s="580"/>
      <c r="BW2336" s="580"/>
      <c r="BX2336" s="580"/>
      <c r="BY2336" s="580"/>
      <c r="BZ2336" s="581"/>
      <c r="CA2336" s="270"/>
      <c r="CB2336" s="3" t="str">
        <f t="shared" si="398"/>
        <v>Riadok bude skrytý.</v>
      </c>
      <c r="CC2336" s="271" t="s">
        <v>832</v>
      </c>
      <c r="CW2336" s="30">
        <f t="shared" si="400"/>
        <v>1</v>
      </c>
      <c r="CX2336" s="30">
        <f t="shared" si="403"/>
        <v>1</v>
      </c>
      <c r="CY2336" s="46"/>
      <c r="CZ2336" s="30">
        <f t="shared" si="399"/>
        <v>1</v>
      </c>
      <c r="DA2336" s="52">
        <f t="shared" si="404"/>
        <v>1</v>
      </c>
      <c r="DB2336" s="2">
        <f t="shared" si="394"/>
        <v>0</v>
      </c>
      <c r="DR2336" s="85"/>
      <c r="DS2336" s="130">
        <f>SI!BY2336</f>
        <v>421</v>
      </c>
      <c r="DT2336" s="130"/>
      <c r="DU2336" s="130"/>
      <c r="DV2336" s="130"/>
      <c r="DW2336" s="130"/>
      <c r="DX2336" s="130"/>
      <c r="DY2336" s="130"/>
      <c r="DZ2336" s="131">
        <f>SI!BZ2336</f>
        <v>0</v>
      </c>
      <c r="EA2336" s="85"/>
      <c r="EB2336" s="85"/>
    </row>
    <row r="2337" spans="1:130" hidden="1" x14ac:dyDescent="0.25">
      <c r="A2337" s="141"/>
      <c r="B2337" s="596"/>
      <c r="C2337" s="596"/>
      <c r="D2337" s="596"/>
      <c r="E2337" s="596"/>
      <c r="F2337" s="596"/>
      <c r="G2337" s="596"/>
      <c r="H2337" s="596"/>
      <c r="I2337" s="596"/>
      <c r="J2337" s="596"/>
      <c r="K2337" s="596"/>
      <c r="L2337" s="596"/>
      <c r="M2337" s="596"/>
      <c r="N2337" s="596"/>
      <c r="O2337" s="596"/>
      <c r="P2337" s="596"/>
      <c r="Q2337" s="596"/>
      <c r="R2337" s="596"/>
      <c r="S2337" s="549"/>
      <c r="T2337" s="582"/>
      <c r="U2337" s="583"/>
      <c r="V2337" s="583"/>
      <c r="W2337" s="583"/>
      <c r="X2337" s="583"/>
      <c r="Y2337" s="583"/>
      <c r="Z2337" s="583"/>
      <c r="AA2337" s="584"/>
      <c r="AB2337" s="582"/>
      <c r="AC2337" s="583"/>
      <c r="AD2337" s="583"/>
      <c r="AE2337" s="583"/>
      <c r="AF2337" s="583"/>
      <c r="AG2337" s="583"/>
      <c r="AH2337" s="585"/>
      <c r="AI2337" s="586"/>
      <c r="AJ2337" s="583"/>
      <c r="AK2337" s="583"/>
      <c r="AL2337" s="583"/>
      <c r="AM2337" s="583"/>
      <c r="AN2337" s="583"/>
      <c r="AO2337" s="583"/>
      <c r="AP2337" s="584"/>
      <c r="AQ2337" s="582"/>
      <c r="AR2337" s="583"/>
      <c r="AS2337" s="583"/>
      <c r="AT2337" s="583"/>
      <c r="AU2337" s="583"/>
      <c r="AV2337" s="583"/>
      <c r="AW2337" s="583"/>
      <c r="AX2337" s="583"/>
      <c r="AY2337" s="583"/>
      <c r="AZ2337" s="585"/>
      <c r="BA2337" s="586"/>
      <c r="BB2337" s="583"/>
      <c r="BC2337" s="583"/>
      <c r="BD2337" s="583"/>
      <c r="BE2337" s="583"/>
      <c r="BF2337" s="583"/>
      <c r="BG2337" s="583"/>
      <c r="BH2337" s="583"/>
      <c r="BI2337" s="583"/>
      <c r="BJ2337" s="583"/>
      <c r="BK2337" s="583"/>
      <c r="BL2337" s="584"/>
      <c r="BM2337" s="582"/>
      <c r="BN2337" s="583"/>
      <c r="BO2337" s="583"/>
      <c r="BP2337" s="583"/>
      <c r="BQ2337" s="583"/>
      <c r="BR2337" s="583"/>
      <c r="BS2337" s="583"/>
      <c r="BT2337" s="583"/>
      <c r="BU2337" s="583"/>
      <c r="BV2337" s="583"/>
      <c r="BW2337" s="583"/>
      <c r="BX2337" s="583"/>
      <c r="BY2337" s="583"/>
      <c r="BZ2337" s="585"/>
      <c r="CA2337" s="270"/>
      <c r="CB2337" s="3" t="str">
        <f t="shared" si="398"/>
        <v>Riadok bude skrytý.</v>
      </c>
      <c r="CC2337" s="271" t="s">
        <v>832</v>
      </c>
      <c r="CW2337" s="30">
        <f t="shared" si="400"/>
        <v>1</v>
      </c>
      <c r="CX2337" s="30">
        <f t="shared" si="403"/>
        <v>1</v>
      </c>
      <c r="CZ2337" s="30">
        <f t="shared" si="399"/>
        <v>1</v>
      </c>
      <c r="DA2337" s="52">
        <f t="shared" si="404"/>
        <v>1</v>
      </c>
      <c r="DB2337" s="2">
        <f t="shared" si="394"/>
        <v>0</v>
      </c>
      <c r="DS2337" s="130">
        <f>SI!BY2337</f>
        <v>111</v>
      </c>
      <c r="DZ2337" s="131">
        <f>SI!BZ2337</f>
        <v>0</v>
      </c>
    </row>
    <row r="2338" spans="1:130" hidden="1" x14ac:dyDescent="0.25">
      <c r="A2338" s="141"/>
      <c r="B2338" s="596"/>
      <c r="C2338" s="596"/>
      <c r="D2338" s="596"/>
      <c r="E2338" s="596"/>
      <c r="F2338" s="596"/>
      <c r="G2338" s="596"/>
      <c r="H2338" s="596"/>
      <c r="I2338" s="596"/>
      <c r="J2338" s="596"/>
      <c r="K2338" s="596"/>
      <c r="L2338" s="596"/>
      <c r="M2338" s="596"/>
      <c r="N2338" s="596"/>
      <c r="O2338" s="596"/>
      <c r="P2338" s="596"/>
      <c r="Q2338" s="596"/>
      <c r="R2338" s="596"/>
      <c r="S2338" s="549"/>
      <c r="T2338" s="407"/>
      <c r="U2338" s="408"/>
      <c r="V2338" s="408"/>
      <c r="W2338" s="408"/>
      <c r="X2338" s="408"/>
      <c r="Y2338" s="408"/>
      <c r="Z2338" s="408"/>
      <c r="AA2338" s="410"/>
      <c r="AB2338" s="407"/>
      <c r="AC2338" s="408"/>
      <c r="AD2338" s="408"/>
      <c r="AE2338" s="408"/>
      <c r="AF2338" s="408"/>
      <c r="AG2338" s="408"/>
      <c r="AH2338" s="409"/>
      <c r="AI2338" s="541"/>
      <c r="AJ2338" s="408"/>
      <c r="AK2338" s="408"/>
      <c r="AL2338" s="408"/>
      <c r="AM2338" s="408"/>
      <c r="AN2338" s="408"/>
      <c r="AO2338" s="408"/>
      <c r="AP2338" s="410"/>
      <c r="AQ2338" s="407"/>
      <c r="AR2338" s="408"/>
      <c r="AS2338" s="408"/>
      <c r="AT2338" s="408"/>
      <c r="AU2338" s="408"/>
      <c r="AV2338" s="408"/>
      <c r="AW2338" s="408"/>
      <c r="AX2338" s="408"/>
      <c r="AY2338" s="408"/>
      <c r="AZ2338" s="409"/>
      <c r="BA2338" s="541"/>
      <c r="BB2338" s="408"/>
      <c r="BC2338" s="408"/>
      <c r="BD2338" s="408"/>
      <c r="BE2338" s="408"/>
      <c r="BF2338" s="408"/>
      <c r="BG2338" s="408"/>
      <c r="BH2338" s="408"/>
      <c r="BI2338" s="408"/>
      <c r="BJ2338" s="408"/>
      <c r="BK2338" s="408"/>
      <c r="BL2338" s="410"/>
      <c r="BM2338" s="407"/>
      <c r="BN2338" s="408"/>
      <c r="BO2338" s="408"/>
      <c r="BP2338" s="408"/>
      <c r="BQ2338" s="408"/>
      <c r="BR2338" s="408"/>
      <c r="BS2338" s="408"/>
      <c r="BT2338" s="408"/>
      <c r="BU2338" s="408"/>
      <c r="BV2338" s="408"/>
      <c r="BW2338" s="408"/>
      <c r="BX2338" s="408"/>
      <c r="BY2338" s="408"/>
      <c r="BZ2338" s="409"/>
      <c r="CA2338" s="270"/>
      <c r="CB2338" s="3" t="str">
        <f t="shared" si="398"/>
        <v>Riadok bude skrytý.</v>
      </c>
      <c r="CC2338" s="271" t="s">
        <v>832</v>
      </c>
      <c r="CW2338" s="30">
        <f t="shared" si="400"/>
        <v>1</v>
      </c>
      <c r="CX2338" s="30">
        <f t="shared" si="403"/>
        <v>1</v>
      </c>
      <c r="CY2338" s="30">
        <f t="shared" ref="CY2338:CY2345" si="405">+IF(B2338="",0,1)</f>
        <v>0</v>
      </c>
      <c r="CZ2338" s="30">
        <f t="shared" si="399"/>
        <v>1</v>
      </c>
      <c r="DA2338" s="53">
        <f>+IF(CW2338*CX2338*CY2338=0,0,IF(CZ2338=0,0,1))</f>
        <v>0</v>
      </c>
      <c r="DB2338" s="2">
        <f t="shared" si="394"/>
        <v>0</v>
      </c>
      <c r="DS2338" s="130">
        <f>SI!BY2338</f>
        <v>995</v>
      </c>
      <c r="DZ2338" s="131">
        <f>SI!BZ2338</f>
        <v>0</v>
      </c>
    </row>
    <row r="2339" spans="1:130" hidden="1" x14ac:dyDescent="0.25">
      <c r="A2339" s="141"/>
      <c r="B2339" s="596"/>
      <c r="C2339" s="596"/>
      <c r="D2339" s="596"/>
      <c r="E2339" s="596"/>
      <c r="F2339" s="596"/>
      <c r="G2339" s="596"/>
      <c r="H2339" s="596"/>
      <c r="I2339" s="596"/>
      <c r="J2339" s="596"/>
      <c r="K2339" s="596"/>
      <c r="L2339" s="596"/>
      <c r="M2339" s="596"/>
      <c r="N2339" s="596"/>
      <c r="O2339" s="596"/>
      <c r="P2339" s="596"/>
      <c r="Q2339" s="596"/>
      <c r="R2339" s="596"/>
      <c r="S2339" s="549"/>
      <c r="T2339" s="407"/>
      <c r="U2339" s="408"/>
      <c r="V2339" s="408"/>
      <c r="W2339" s="408"/>
      <c r="X2339" s="408"/>
      <c r="Y2339" s="408"/>
      <c r="Z2339" s="408"/>
      <c r="AA2339" s="410"/>
      <c r="AB2339" s="407"/>
      <c r="AC2339" s="408"/>
      <c r="AD2339" s="408"/>
      <c r="AE2339" s="408"/>
      <c r="AF2339" s="408"/>
      <c r="AG2339" s="408"/>
      <c r="AH2339" s="409"/>
      <c r="AI2339" s="541"/>
      <c r="AJ2339" s="408"/>
      <c r="AK2339" s="408"/>
      <c r="AL2339" s="408"/>
      <c r="AM2339" s="408"/>
      <c r="AN2339" s="408"/>
      <c r="AO2339" s="408"/>
      <c r="AP2339" s="410"/>
      <c r="AQ2339" s="407"/>
      <c r="AR2339" s="408"/>
      <c r="AS2339" s="408"/>
      <c r="AT2339" s="408"/>
      <c r="AU2339" s="408"/>
      <c r="AV2339" s="408"/>
      <c r="AW2339" s="408"/>
      <c r="AX2339" s="408"/>
      <c r="AY2339" s="408"/>
      <c r="AZ2339" s="409"/>
      <c r="BA2339" s="541"/>
      <c r="BB2339" s="408"/>
      <c r="BC2339" s="408"/>
      <c r="BD2339" s="408"/>
      <c r="BE2339" s="408"/>
      <c r="BF2339" s="408"/>
      <c r="BG2339" s="408"/>
      <c r="BH2339" s="408"/>
      <c r="BI2339" s="408"/>
      <c r="BJ2339" s="408"/>
      <c r="BK2339" s="408"/>
      <c r="BL2339" s="410"/>
      <c r="BM2339" s="407"/>
      <c r="BN2339" s="408"/>
      <c r="BO2339" s="408"/>
      <c r="BP2339" s="408"/>
      <c r="BQ2339" s="408"/>
      <c r="BR2339" s="408"/>
      <c r="BS2339" s="408"/>
      <c r="BT2339" s="408"/>
      <c r="BU2339" s="408"/>
      <c r="BV2339" s="408"/>
      <c r="BW2339" s="408"/>
      <c r="BX2339" s="408"/>
      <c r="BY2339" s="408"/>
      <c r="BZ2339" s="409"/>
      <c r="CA2339" s="270"/>
      <c r="CB2339" s="3" t="str">
        <f t="shared" si="398"/>
        <v>Riadok bude skrytý.</v>
      </c>
      <c r="CC2339" s="271" t="s">
        <v>832</v>
      </c>
      <c r="CW2339" s="30">
        <f t="shared" si="400"/>
        <v>1</v>
      </c>
      <c r="CX2339" s="30">
        <f t="shared" si="403"/>
        <v>1</v>
      </c>
      <c r="CY2339" s="30">
        <f t="shared" si="405"/>
        <v>0</v>
      </c>
      <c r="CZ2339" s="30">
        <f t="shared" si="399"/>
        <v>1</v>
      </c>
      <c r="DA2339" s="53">
        <f t="shared" ref="DA2339:DA2345" si="406">+IF(CW2339*CX2339*CY2339=0,0,IF(CZ2339=0,0,1))</f>
        <v>0</v>
      </c>
      <c r="DB2339" s="2">
        <f t="shared" si="394"/>
        <v>0</v>
      </c>
      <c r="DS2339" s="130">
        <f>SI!BY2339</f>
        <v>990</v>
      </c>
      <c r="DZ2339" s="131">
        <f>SI!BZ2339</f>
        <v>0</v>
      </c>
    </row>
    <row r="2340" spans="1:130" hidden="1" x14ac:dyDescent="0.25">
      <c r="A2340" s="141"/>
      <c r="B2340" s="596"/>
      <c r="C2340" s="596"/>
      <c r="D2340" s="596"/>
      <c r="E2340" s="596"/>
      <c r="F2340" s="596"/>
      <c r="G2340" s="596"/>
      <c r="H2340" s="596"/>
      <c r="I2340" s="596"/>
      <c r="J2340" s="596"/>
      <c r="K2340" s="596"/>
      <c r="L2340" s="596"/>
      <c r="M2340" s="596"/>
      <c r="N2340" s="596"/>
      <c r="O2340" s="596"/>
      <c r="P2340" s="596"/>
      <c r="Q2340" s="596"/>
      <c r="R2340" s="596"/>
      <c r="S2340" s="549"/>
      <c r="T2340" s="407"/>
      <c r="U2340" s="408"/>
      <c r="V2340" s="408"/>
      <c r="W2340" s="408"/>
      <c r="X2340" s="408"/>
      <c r="Y2340" s="408"/>
      <c r="Z2340" s="408"/>
      <c r="AA2340" s="410"/>
      <c r="AB2340" s="407"/>
      <c r="AC2340" s="408"/>
      <c r="AD2340" s="408"/>
      <c r="AE2340" s="408"/>
      <c r="AF2340" s="408"/>
      <c r="AG2340" s="408"/>
      <c r="AH2340" s="409"/>
      <c r="AI2340" s="541"/>
      <c r="AJ2340" s="408"/>
      <c r="AK2340" s="408"/>
      <c r="AL2340" s="408"/>
      <c r="AM2340" s="408"/>
      <c r="AN2340" s="408"/>
      <c r="AO2340" s="408"/>
      <c r="AP2340" s="410"/>
      <c r="AQ2340" s="407"/>
      <c r="AR2340" s="408"/>
      <c r="AS2340" s="408"/>
      <c r="AT2340" s="408"/>
      <c r="AU2340" s="408"/>
      <c r="AV2340" s="408"/>
      <c r="AW2340" s="408"/>
      <c r="AX2340" s="408"/>
      <c r="AY2340" s="408"/>
      <c r="AZ2340" s="409"/>
      <c r="BA2340" s="541"/>
      <c r="BB2340" s="408"/>
      <c r="BC2340" s="408"/>
      <c r="BD2340" s="408"/>
      <c r="BE2340" s="408"/>
      <c r="BF2340" s="408"/>
      <c r="BG2340" s="408"/>
      <c r="BH2340" s="408"/>
      <c r="BI2340" s="408"/>
      <c r="BJ2340" s="408"/>
      <c r="BK2340" s="408"/>
      <c r="BL2340" s="410"/>
      <c r="BM2340" s="407"/>
      <c r="BN2340" s="408"/>
      <c r="BO2340" s="408"/>
      <c r="BP2340" s="408"/>
      <c r="BQ2340" s="408"/>
      <c r="BR2340" s="408"/>
      <c r="BS2340" s="408"/>
      <c r="BT2340" s="408"/>
      <c r="BU2340" s="408"/>
      <c r="BV2340" s="408"/>
      <c r="BW2340" s="408"/>
      <c r="BX2340" s="408"/>
      <c r="BY2340" s="408"/>
      <c r="BZ2340" s="409"/>
      <c r="CA2340" s="270"/>
      <c r="CB2340" s="3" t="str">
        <f t="shared" si="398"/>
        <v>Riadok bude skrytý.</v>
      </c>
      <c r="CC2340" s="271" t="s">
        <v>832</v>
      </c>
      <c r="CW2340" s="30">
        <f t="shared" si="400"/>
        <v>1</v>
      </c>
      <c r="CX2340" s="30">
        <f t="shared" si="403"/>
        <v>1</v>
      </c>
      <c r="CY2340" s="30">
        <f t="shared" si="405"/>
        <v>0</v>
      </c>
      <c r="CZ2340" s="30">
        <f t="shared" si="399"/>
        <v>1</v>
      </c>
      <c r="DA2340" s="53">
        <f t="shared" si="406"/>
        <v>0</v>
      </c>
      <c r="DB2340" s="2">
        <f t="shared" si="394"/>
        <v>0</v>
      </c>
      <c r="DS2340" s="130">
        <f>SI!BY2340</f>
        <v>108</v>
      </c>
      <c r="DZ2340" s="131">
        <f>SI!BZ2340</f>
        <v>0</v>
      </c>
    </row>
    <row r="2341" spans="1:130" hidden="1" x14ac:dyDescent="0.25">
      <c r="A2341" s="141"/>
      <c r="B2341" s="596"/>
      <c r="C2341" s="596"/>
      <c r="D2341" s="596"/>
      <c r="E2341" s="596"/>
      <c r="F2341" s="596"/>
      <c r="G2341" s="596"/>
      <c r="H2341" s="596"/>
      <c r="I2341" s="596"/>
      <c r="J2341" s="596"/>
      <c r="K2341" s="596"/>
      <c r="L2341" s="596"/>
      <c r="M2341" s="596"/>
      <c r="N2341" s="596"/>
      <c r="O2341" s="596"/>
      <c r="P2341" s="596"/>
      <c r="Q2341" s="596"/>
      <c r="R2341" s="596"/>
      <c r="S2341" s="549"/>
      <c r="T2341" s="407"/>
      <c r="U2341" s="408"/>
      <c r="V2341" s="408"/>
      <c r="W2341" s="408"/>
      <c r="X2341" s="408"/>
      <c r="Y2341" s="408"/>
      <c r="Z2341" s="408"/>
      <c r="AA2341" s="410"/>
      <c r="AB2341" s="407"/>
      <c r="AC2341" s="408"/>
      <c r="AD2341" s="408"/>
      <c r="AE2341" s="408"/>
      <c r="AF2341" s="408"/>
      <c r="AG2341" s="408"/>
      <c r="AH2341" s="409"/>
      <c r="AI2341" s="541"/>
      <c r="AJ2341" s="408"/>
      <c r="AK2341" s="408"/>
      <c r="AL2341" s="408"/>
      <c r="AM2341" s="408"/>
      <c r="AN2341" s="408"/>
      <c r="AO2341" s="408"/>
      <c r="AP2341" s="410"/>
      <c r="AQ2341" s="407"/>
      <c r="AR2341" s="408"/>
      <c r="AS2341" s="408"/>
      <c r="AT2341" s="408"/>
      <c r="AU2341" s="408"/>
      <c r="AV2341" s="408"/>
      <c r="AW2341" s="408"/>
      <c r="AX2341" s="408"/>
      <c r="AY2341" s="408"/>
      <c r="AZ2341" s="409"/>
      <c r="BA2341" s="541"/>
      <c r="BB2341" s="408"/>
      <c r="BC2341" s="408"/>
      <c r="BD2341" s="408"/>
      <c r="BE2341" s="408"/>
      <c r="BF2341" s="408"/>
      <c r="BG2341" s="408"/>
      <c r="BH2341" s="408"/>
      <c r="BI2341" s="408"/>
      <c r="BJ2341" s="408"/>
      <c r="BK2341" s="408"/>
      <c r="BL2341" s="410"/>
      <c r="BM2341" s="407"/>
      <c r="BN2341" s="408"/>
      <c r="BO2341" s="408"/>
      <c r="BP2341" s="408"/>
      <c r="BQ2341" s="408"/>
      <c r="BR2341" s="408"/>
      <c r="BS2341" s="408"/>
      <c r="BT2341" s="408"/>
      <c r="BU2341" s="408"/>
      <c r="BV2341" s="408"/>
      <c r="BW2341" s="408"/>
      <c r="BX2341" s="408"/>
      <c r="BY2341" s="408"/>
      <c r="BZ2341" s="409"/>
      <c r="CA2341" s="270"/>
      <c r="CB2341" s="3" t="str">
        <f t="shared" si="398"/>
        <v>Riadok bude skrytý.</v>
      </c>
      <c r="CC2341" s="271" t="s">
        <v>832</v>
      </c>
      <c r="CW2341" s="30">
        <f t="shared" ref="CW2341:CW2372" si="407">+IF($J$2307="neeviduje",0,1)</f>
        <v>1</v>
      </c>
      <c r="CX2341" s="30">
        <f t="shared" si="403"/>
        <v>1</v>
      </c>
      <c r="CY2341" s="30">
        <f t="shared" si="405"/>
        <v>0</v>
      </c>
      <c r="CZ2341" s="30">
        <f t="shared" si="399"/>
        <v>1</v>
      </c>
      <c r="DA2341" s="53">
        <f t="shared" si="406"/>
        <v>0</v>
      </c>
      <c r="DB2341" s="2">
        <f t="shared" si="394"/>
        <v>0</v>
      </c>
      <c r="DS2341" s="130">
        <f>SI!BY2341</f>
        <v>131</v>
      </c>
      <c r="DZ2341" s="131">
        <f>SI!BZ2341</f>
        <v>0</v>
      </c>
    </row>
    <row r="2342" spans="1:130" hidden="1" x14ac:dyDescent="0.25">
      <c r="A2342" s="141"/>
      <c r="B2342" s="596"/>
      <c r="C2342" s="596"/>
      <c r="D2342" s="596"/>
      <c r="E2342" s="596"/>
      <c r="F2342" s="596"/>
      <c r="G2342" s="596"/>
      <c r="H2342" s="596"/>
      <c r="I2342" s="596"/>
      <c r="J2342" s="596"/>
      <c r="K2342" s="596"/>
      <c r="L2342" s="596"/>
      <c r="M2342" s="596"/>
      <c r="N2342" s="596"/>
      <c r="O2342" s="596"/>
      <c r="P2342" s="596"/>
      <c r="Q2342" s="596"/>
      <c r="R2342" s="596"/>
      <c r="S2342" s="549"/>
      <c r="T2342" s="407"/>
      <c r="U2342" s="408"/>
      <c r="V2342" s="408"/>
      <c r="W2342" s="408"/>
      <c r="X2342" s="408"/>
      <c r="Y2342" s="408"/>
      <c r="Z2342" s="408"/>
      <c r="AA2342" s="410"/>
      <c r="AB2342" s="407"/>
      <c r="AC2342" s="408"/>
      <c r="AD2342" s="408"/>
      <c r="AE2342" s="408"/>
      <c r="AF2342" s="408"/>
      <c r="AG2342" s="408"/>
      <c r="AH2342" s="409"/>
      <c r="AI2342" s="541"/>
      <c r="AJ2342" s="408"/>
      <c r="AK2342" s="408"/>
      <c r="AL2342" s="408"/>
      <c r="AM2342" s="408"/>
      <c r="AN2342" s="408"/>
      <c r="AO2342" s="408"/>
      <c r="AP2342" s="410"/>
      <c r="AQ2342" s="407"/>
      <c r="AR2342" s="408"/>
      <c r="AS2342" s="408"/>
      <c r="AT2342" s="408"/>
      <c r="AU2342" s="408"/>
      <c r="AV2342" s="408"/>
      <c r="AW2342" s="408"/>
      <c r="AX2342" s="408"/>
      <c r="AY2342" s="408"/>
      <c r="AZ2342" s="409"/>
      <c r="BA2342" s="541"/>
      <c r="BB2342" s="408"/>
      <c r="BC2342" s="408"/>
      <c r="BD2342" s="408"/>
      <c r="BE2342" s="408"/>
      <c r="BF2342" s="408"/>
      <c r="BG2342" s="408"/>
      <c r="BH2342" s="408"/>
      <c r="BI2342" s="408"/>
      <c r="BJ2342" s="408"/>
      <c r="BK2342" s="408"/>
      <c r="BL2342" s="410"/>
      <c r="BM2342" s="407"/>
      <c r="BN2342" s="408"/>
      <c r="BO2342" s="408"/>
      <c r="BP2342" s="408"/>
      <c r="BQ2342" s="408"/>
      <c r="BR2342" s="408"/>
      <c r="BS2342" s="408"/>
      <c r="BT2342" s="408"/>
      <c r="BU2342" s="408"/>
      <c r="BV2342" s="408"/>
      <c r="BW2342" s="408"/>
      <c r="BX2342" s="408"/>
      <c r="BY2342" s="408"/>
      <c r="BZ2342" s="409"/>
      <c r="CA2342" s="270"/>
      <c r="CB2342" s="3" t="str">
        <f t="shared" si="398"/>
        <v>Riadok bude skrytý.</v>
      </c>
      <c r="CC2342" s="271" t="s">
        <v>832</v>
      </c>
      <c r="CW2342" s="30">
        <f t="shared" si="407"/>
        <v>1</v>
      </c>
      <c r="CX2342" s="30">
        <f t="shared" si="403"/>
        <v>1</v>
      </c>
      <c r="CY2342" s="30">
        <f t="shared" si="405"/>
        <v>0</v>
      </c>
      <c r="CZ2342" s="30">
        <f t="shared" si="399"/>
        <v>1</v>
      </c>
      <c r="DA2342" s="53">
        <f t="shared" si="406"/>
        <v>0</v>
      </c>
      <c r="DB2342" s="2">
        <f t="shared" si="394"/>
        <v>0</v>
      </c>
      <c r="DS2342" s="130">
        <f>SI!BY2342</f>
        <v>200</v>
      </c>
      <c r="DZ2342" s="131">
        <f>SI!BZ2342</f>
        <v>0</v>
      </c>
    </row>
    <row r="2343" spans="1:130" hidden="1" x14ac:dyDescent="0.25">
      <c r="A2343" s="141"/>
      <c r="B2343" s="596"/>
      <c r="C2343" s="596"/>
      <c r="D2343" s="596"/>
      <c r="E2343" s="596"/>
      <c r="F2343" s="596"/>
      <c r="G2343" s="596"/>
      <c r="H2343" s="596"/>
      <c r="I2343" s="596"/>
      <c r="J2343" s="596"/>
      <c r="K2343" s="596"/>
      <c r="L2343" s="596"/>
      <c r="M2343" s="596"/>
      <c r="N2343" s="596"/>
      <c r="O2343" s="596"/>
      <c r="P2343" s="596"/>
      <c r="Q2343" s="596"/>
      <c r="R2343" s="596"/>
      <c r="S2343" s="549"/>
      <c r="T2343" s="407"/>
      <c r="U2343" s="408"/>
      <c r="V2343" s="408"/>
      <c r="W2343" s="408"/>
      <c r="X2343" s="408"/>
      <c r="Y2343" s="408"/>
      <c r="Z2343" s="408"/>
      <c r="AA2343" s="410"/>
      <c r="AB2343" s="407"/>
      <c r="AC2343" s="408"/>
      <c r="AD2343" s="408"/>
      <c r="AE2343" s="408"/>
      <c r="AF2343" s="408"/>
      <c r="AG2343" s="408"/>
      <c r="AH2343" s="409"/>
      <c r="AI2343" s="541"/>
      <c r="AJ2343" s="408"/>
      <c r="AK2343" s="408"/>
      <c r="AL2343" s="408"/>
      <c r="AM2343" s="408"/>
      <c r="AN2343" s="408"/>
      <c r="AO2343" s="408"/>
      <c r="AP2343" s="410"/>
      <c r="AQ2343" s="407"/>
      <c r="AR2343" s="408"/>
      <c r="AS2343" s="408"/>
      <c r="AT2343" s="408"/>
      <c r="AU2343" s="408"/>
      <c r="AV2343" s="408"/>
      <c r="AW2343" s="408"/>
      <c r="AX2343" s="408"/>
      <c r="AY2343" s="408"/>
      <c r="AZ2343" s="409"/>
      <c r="BA2343" s="541"/>
      <c r="BB2343" s="408"/>
      <c r="BC2343" s="408"/>
      <c r="BD2343" s="408"/>
      <c r="BE2343" s="408"/>
      <c r="BF2343" s="408"/>
      <c r="BG2343" s="408"/>
      <c r="BH2343" s="408"/>
      <c r="BI2343" s="408"/>
      <c r="BJ2343" s="408"/>
      <c r="BK2343" s="408"/>
      <c r="BL2343" s="410"/>
      <c r="BM2343" s="407"/>
      <c r="BN2343" s="408"/>
      <c r="BO2343" s="408"/>
      <c r="BP2343" s="408"/>
      <c r="BQ2343" s="408"/>
      <c r="BR2343" s="408"/>
      <c r="BS2343" s="408"/>
      <c r="BT2343" s="408"/>
      <c r="BU2343" s="408"/>
      <c r="BV2343" s="408"/>
      <c r="BW2343" s="408"/>
      <c r="BX2343" s="408"/>
      <c r="BY2343" s="408"/>
      <c r="BZ2343" s="409"/>
      <c r="CA2343" s="270"/>
      <c r="CB2343" s="3" t="str">
        <f t="shared" si="398"/>
        <v>Riadok bude skrytý.</v>
      </c>
      <c r="CC2343" s="271" t="s">
        <v>832</v>
      </c>
      <c r="CW2343" s="30">
        <f t="shared" si="407"/>
        <v>1</v>
      </c>
      <c r="CX2343" s="30">
        <f t="shared" si="403"/>
        <v>1</v>
      </c>
      <c r="CY2343" s="30">
        <f t="shared" si="405"/>
        <v>0</v>
      </c>
      <c r="CZ2343" s="30">
        <f t="shared" si="399"/>
        <v>1</v>
      </c>
      <c r="DA2343" s="53">
        <f t="shared" si="406"/>
        <v>0</v>
      </c>
      <c r="DB2343" s="2">
        <f t="shared" ref="DB2343:DB2406" si="408">+IF($CD$1="malé",0,DA2343)</f>
        <v>0</v>
      </c>
      <c r="DS2343" s="130">
        <f>SI!BY2343</f>
        <v>388</v>
      </c>
      <c r="DZ2343" s="131">
        <f>SI!BZ2343</f>
        <v>0</v>
      </c>
    </row>
    <row r="2344" spans="1:130" hidden="1" x14ac:dyDescent="0.25">
      <c r="A2344" s="141"/>
      <c r="B2344" s="596"/>
      <c r="C2344" s="596"/>
      <c r="D2344" s="596"/>
      <c r="E2344" s="596"/>
      <c r="F2344" s="596"/>
      <c r="G2344" s="596"/>
      <c r="H2344" s="596"/>
      <c r="I2344" s="596"/>
      <c r="J2344" s="596"/>
      <c r="K2344" s="596"/>
      <c r="L2344" s="596"/>
      <c r="M2344" s="596"/>
      <c r="N2344" s="596"/>
      <c r="O2344" s="596"/>
      <c r="P2344" s="596"/>
      <c r="Q2344" s="596"/>
      <c r="R2344" s="596"/>
      <c r="S2344" s="549"/>
      <c r="T2344" s="407"/>
      <c r="U2344" s="408"/>
      <c r="V2344" s="408"/>
      <c r="W2344" s="408"/>
      <c r="X2344" s="408"/>
      <c r="Y2344" s="408"/>
      <c r="Z2344" s="408"/>
      <c r="AA2344" s="410"/>
      <c r="AB2344" s="407"/>
      <c r="AC2344" s="408"/>
      <c r="AD2344" s="408"/>
      <c r="AE2344" s="408"/>
      <c r="AF2344" s="408"/>
      <c r="AG2344" s="408"/>
      <c r="AH2344" s="409"/>
      <c r="AI2344" s="541"/>
      <c r="AJ2344" s="408"/>
      <c r="AK2344" s="408"/>
      <c r="AL2344" s="408"/>
      <c r="AM2344" s="408"/>
      <c r="AN2344" s="408"/>
      <c r="AO2344" s="408"/>
      <c r="AP2344" s="410"/>
      <c r="AQ2344" s="407"/>
      <c r="AR2344" s="408"/>
      <c r="AS2344" s="408"/>
      <c r="AT2344" s="408"/>
      <c r="AU2344" s="408"/>
      <c r="AV2344" s="408"/>
      <c r="AW2344" s="408"/>
      <c r="AX2344" s="408"/>
      <c r="AY2344" s="408"/>
      <c r="AZ2344" s="409"/>
      <c r="BA2344" s="541"/>
      <c r="BB2344" s="408"/>
      <c r="BC2344" s="408"/>
      <c r="BD2344" s="408"/>
      <c r="BE2344" s="408"/>
      <c r="BF2344" s="408"/>
      <c r="BG2344" s="408"/>
      <c r="BH2344" s="408"/>
      <c r="BI2344" s="408"/>
      <c r="BJ2344" s="408"/>
      <c r="BK2344" s="408"/>
      <c r="BL2344" s="410"/>
      <c r="BM2344" s="407"/>
      <c r="BN2344" s="408"/>
      <c r="BO2344" s="408"/>
      <c r="BP2344" s="408"/>
      <c r="BQ2344" s="408"/>
      <c r="BR2344" s="408"/>
      <c r="BS2344" s="408"/>
      <c r="BT2344" s="408"/>
      <c r="BU2344" s="408"/>
      <c r="BV2344" s="408"/>
      <c r="BW2344" s="408"/>
      <c r="BX2344" s="408"/>
      <c r="BY2344" s="408"/>
      <c r="BZ2344" s="409"/>
      <c r="CA2344" s="270"/>
      <c r="CB2344" s="3" t="str">
        <f t="shared" si="398"/>
        <v>Riadok bude skrytý.</v>
      </c>
      <c r="CC2344" s="271" t="s">
        <v>832</v>
      </c>
      <c r="CW2344" s="30">
        <f t="shared" si="407"/>
        <v>1</v>
      </c>
      <c r="CX2344" s="30">
        <f t="shared" si="403"/>
        <v>1</v>
      </c>
      <c r="CY2344" s="30">
        <f t="shared" si="405"/>
        <v>0</v>
      </c>
      <c r="CZ2344" s="30">
        <f t="shared" si="399"/>
        <v>1</v>
      </c>
      <c r="DA2344" s="53">
        <f t="shared" si="406"/>
        <v>0</v>
      </c>
      <c r="DB2344" s="2">
        <f t="shared" si="408"/>
        <v>0</v>
      </c>
      <c r="DS2344" s="130">
        <f>SI!BY2344</f>
        <v>139</v>
      </c>
      <c r="DZ2344" s="131">
        <f>SI!BZ2344</f>
        <v>0</v>
      </c>
    </row>
    <row r="2345" spans="1:130" hidden="1" x14ac:dyDescent="0.25">
      <c r="A2345" s="141"/>
      <c r="B2345" s="596"/>
      <c r="C2345" s="596"/>
      <c r="D2345" s="596"/>
      <c r="E2345" s="596"/>
      <c r="F2345" s="596"/>
      <c r="G2345" s="596"/>
      <c r="H2345" s="596"/>
      <c r="I2345" s="596"/>
      <c r="J2345" s="596"/>
      <c r="K2345" s="596"/>
      <c r="L2345" s="596"/>
      <c r="M2345" s="596"/>
      <c r="N2345" s="596"/>
      <c r="O2345" s="596"/>
      <c r="P2345" s="596"/>
      <c r="Q2345" s="596"/>
      <c r="R2345" s="596"/>
      <c r="S2345" s="549"/>
      <c r="T2345" s="407"/>
      <c r="U2345" s="408"/>
      <c r="V2345" s="408"/>
      <c r="W2345" s="408"/>
      <c r="X2345" s="408"/>
      <c r="Y2345" s="408"/>
      <c r="Z2345" s="408"/>
      <c r="AA2345" s="410"/>
      <c r="AB2345" s="407"/>
      <c r="AC2345" s="408"/>
      <c r="AD2345" s="408"/>
      <c r="AE2345" s="408"/>
      <c r="AF2345" s="408"/>
      <c r="AG2345" s="408"/>
      <c r="AH2345" s="409"/>
      <c r="AI2345" s="541"/>
      <c r="AJ2345" s="408"/>
      <c r="AK2345" s="408"/>
      <c r="AL2345" s="408"/>
      <c r="AM2345" s="408"/>
      <c r="AN2345" s="408"/>
      <c r="AO2345" s="408"/>
      <c r="AP2345" s="410"/>
      <c r="AQ2345" s="407"/>
      <c r="AR2345" s="408"/>
      <c r="AS2345" s="408"/>
      <c r="AT2345" s="408"/>
      <c r="AU2345" s="408"/>
      <c r="AV2345" s="408"/>
      <c r="AW2345" s="408"/>
      <c r="AX2345" s="408"/>
      <c r="AY2345" s="408"/>
      <c r="AZ2345" s="409"/>
      <c r="BA2345" s="541"/>
      <c r="BB2345" s="408"/>
      <c r="BC2345" s="408"/>
      <c r="BD2345" s="408"/>
      <c r="BE2345" s="408"/>
      <c r="BF2345" s="408"/>
      <c r="BG2345" s="408"/>
      <c r="BH2345" s="408"/>
      <c r="BI2345" s="408"/>
      <c r="BJ2345" s="408"/>
      <c r="BK2345" s="408"/>
      <c r="BL2345" s="410"/>
      <c r="BM2345" s="407"/>
      <c r="BN2345" s="408"/>
      <c r="BO2345" s="408"/>
      <c r="BP2345" s="408"/>
      <c r="BQ2345" s="408"/>
      <c r="BR2345" s="408"/>
      <c r="BS2345" s="408"/>
      <c r="BT2345" s="408"/>
      <c r="BU2345" s="408"/>
      <c r="BV2345" s="408"/>
      <c r="BW2345" s="408"/>
      <c r="BX2345" s="408"/>
      <c r="BY2345" s="408"/>
      <c r="BZ2345" s="409"/>
      <c r="CA2345" s="270"/>
      <c r="CB2345" s="3" t="str">
        <f t="shared" si="398"/>
        <v>Riadok bude skrytý.</v>
      </c>
      <c r="CC2345" s="271" t="s">
        <v>832</v>
      </c>
      <c r="CW2345" s="30">
        <f t="shared" si="407"/>
        <v>1</v>
      </c>
      <c r="CX2345" s="30">
        <f t="shared" si="403"/>
        <v>1</v>
      </c>
      <c r="CY2345" s="30">
        <f t="shared" si="405"/>
        <v>0</v>
      </c>
      <c r="CZ2345" s="30">
        <f t="shared" si="399"/>
        <v>1</v>
      </c>
      <c r="DA2345" s="53">
        <f t="shared" si="406"/>
        <v>0</v>
      </c>
      <c r="DB2345" s="2">
        <f t="shared" si="408"/>
        <v>0</v>
      </c>
      <c r="DS2345" s="130">
        <f>SI!BY2345</f>
        <v>1123</v>
      </c>
      <c r="DZ2345" s="131">
        <f>SI!BZ2345</f>
        <v>0</v>
      </c>
    </row>
    <row r="2346" spans="1:130" hidden="1" x14ac:dyDescent="0.25">
      <c r="A2346" s="141"/>
      <c r="B2346" s="1432"/>
      <c r="C2346" s="1432"/>
      <c r="D2346" s="1432"/>
      <c r="E2346" s="1432"/>
      <c r="F2346" s="1432"/>
      <c r="G2346" s="1432"/>
      <c r="H2346" s="1432"/>
      <c r="I2346" s="1432"/>
      <c r="J2346" s="1432"/>
      <c r="K2346" s="1432"/>
      <c r="L2346" s="1432"/>
      <c r="M2346" s="1432"/>
      <c r="N2346" s="1432"/>
      <c r="O2346" s="1432"/>
      <c r="P2346" s="1432"/>
      <c r="Q2346" s="1432"/>
      <c r="R2346" s="1432"/>
      <c r="S2346" s="1433"/>
      <c r="T2346" s="576"/>
      <c r="U2346" s="577"/>
      <c r="V2346" s="577"/>
      <c r="W2346" s="577"/>
      <c r="X2346" s="577"/>
      <c r="Y2346" s="577"/>
      <c r="Z2346" s="577"/>
      <c r="AA2346" s="588"/>
      <c r="AB2346" s="576"/>
      <c r="AC2346" s="577"/>
      <c r="AD2346" s="577"/>
      <c r="AE2346" s="577"/>
      <c r="AF2346" s="577"/>
      <c r="AG2346" s="577"/>
      <c r="AH2346" s="578"/>
      <c r="AI2346" s="587"/>
      <c r="AJ2346" s="577"/>
      <c r="AK2346" s="577"/>
      <c r="AL2346" s="577"/>
      <c r="AM2346" s="577"/>
      <c r="AN2346" s="577"/>
      <c r="AO2346" s="577"/>
      <c r="AP2346" s="588"/>
      <c r="AQ2346" s="576"/>
      <c r="AR2346" s="577"/>
      <c r="AS2346" s="577"/>
      <c r="AT2346" s="577"/>
      <c r="AU2346" s="577"/>
      <c r="AV2346" s="577"/>
      <c r="AW2346" s="577"/>
      <c r="AX2346" s="577"/>
      <c r="AY2346" s="577"/>
      <c r="AZ2346" s="578"/>
      <c r="BA2346" s="587"/>
      <c r="BB2346" s="577"/>
      <c r="BC2346" s="577"/>
      <c r="BD2346" s="577"/>
      <c r="BE2346" s="577"/>
      <c r="BF2346" s="577"/>
      <c r="BG2346" s="577"/>
      <c r="BH2346" s="577"/>
      <c r="BI2346" s="577"/>
      <c r="BJ2346" s="577"/>
      <c r="BK2346" s="577"/>
      <c r="BL2346" s="588"/>
      <c r="BM2346" s="576"/>
      <c r="BN2346" s="577"/>
      <c r="BO2346" s="577"/>
      <c r="BP2346" s="577"/>
      <c r="BQ2346" s="577"/>
      <c r="BR2346" s="577"/>
      <c r="BS2346" s="577"/>
      <c r="BT2346" s="577"/>
      <c r="BU2346" s="577"/>
      <c r="BV2346" s="577"/>
      <c r="BW2346" s="577"/>
      <c r="BX2346" s="577"/>
      <c r="BY2346" s="577"/>
      <c r="BZ2346" s="578"/>
      <c r="CA2346" s="270"/>
      <c r="CB2346" s="3" t="str">
        <f t="shared" si="398"/>
        <v>Riadok bude skrytý.</v>
      </c>
      <c r="CC2346" s="271" t="s">
        <v>832</v>
      </c>
      <c r="CW2346" s="30">
        <f t="shared" si="407"/>
        <v>1</v>
      </c>
      <c r="CX2346" s="30">
        <f t="shared" si="403"/>
        <v>1</v>
      </c>
      <c r="CZ2346" s="30">
        <f>IF(CC2346="",1,IF(CC2346="Chcem skryť riadok.",0,1))</f>
        <v>1</v>
      </c>
      <c r="DA2346" s="52">
        <f>+IF(CW2346*CX2346=0,0,IF(CZ2346=0,0,1))</f>
        <v>1</v>
      </c>
      <c r="DB2346" s="2">
        <f t="shared" si="408"/>
        <v>0</v>
      </c>
      <c r="DS2346" s="130">
        <f>SI!BY2346</f>
        <v>179</v>
      </c>
      <c r="DZ2346" s="131">
        <f>SI!BZ2346</f>
        <v>0</v>
      </c>
    </row>
    <row r="2347" spans="1:130" hidden="1" x14ac:dyDescent="0.25">
      <c r="A2347" s="141"/>
      <c r="B2347" s="579" t="s">
        <v>303</v>
      </c>
      <c r="C2347" s="580"/>
      <c r="D2347" s="580"/>
      <c r="E2347" s="580"/>
      <c r="F2347" s="580"/>
      <c r="G2347" s="580"/>
      <c r="H2347" s="580"/>
      <c r="I2347" s="580"/>
      <c r="J2347" s="580"/>
      <c r="K2347" s="580"/>
      <c r="L2347" s="580"/>
      <c r="M2347" s="580"/>
      <c r="N2347" s="580"/>
      <c r="O2347" s="580"/>
      <c r="P2347" s="580"/>
      <c r="Q2347" s="580"/>
      <c r="R2347" s="580"/>
      <c r="S2347" s="580"/>
      <c r="T2347" s="580"/>
      <c r="U2347" s="580"/>
      <c r="V2347" s="580"/>
      <c r="W2347" s="580"/>
      <c r="X2347" s="580"/>
      <c r="Y2347" s="580"/>
      <c r="Z2347" s="580"/>
      <c r="AA2347" s="580"/>
      <c r="AB2347" s="580"/>
      <c r="AC2347" s="580"/>
      <c r="AD2347" s="580"/>
      <c r="AE2347" s="580"/>
      <c r="AF2347" s="580"/>
      <c r="AG2347" s="580"/>
      <c r="AH2347" s="580"/>
      <c r="AI2347" s="580"/>
      <c r="AJ2347" s="580"/>
      <c r="AK2347" s="580"/>
      <c r="AL2347" s="580"/>
      <c r="AM2347" s="580"/>
      <c r="AN2347" s="580"/>
      <c r="AO2347" s="580"/>
      <c r="AP2347" s="580"/>
      <c r="AQ2347" s="580"/>
      <c r="AR2347" s="580"/>
      <c r="AS2347" s="580"/>
      <c r="AT2347" s="580"/>
      <c r="AU2347" s="580"/>
      <c r="AV2347" s="580"/>
      <c r="AW2347" s="580"/>
      <c r="AX2347" s="580"/>
      <c r="AY2347" s="580"/>
      <c r="AZ2347" s="580"/>
      <c r="BA2347" s="580"/>
      <c r="BB2347" s="580"/>
      <c r="BC2347" s="580"/>
      <c r="BD2347" s="580"/>
      <c r="BE2347" s="580"/>
      <c r="BF2347" s="580"/>
      <c r="BG2347" s="580"/>
      <c r="BH2347" s="580"/>
      <c r="BI2347" s="580"/>
      <c r="BJ2347" s="580"/>
      <c r="BK2347" s="580"/>
      <c r="BL2347" s="580"/>
      <c r="BM2347" s="580"/>
      <c r="BN2347" s="580"/>
      <c r="BO2347" s="580"/>
      <c r="BP2347" s="580"/>
      <c r="BQ2347" s="580"/>
      <c r="BR2347" s="580"/>
      <c r="BS2347" s="580"/>
      <c r="BT2347" s="580"/>
      <c r="BU2347" s="580"/>
      <c r="BV2347" s="580"/>
      <c r="BW2347" s="580"/>
      <c r="BX2347" s="580"/>
      <c r="BY2347" s="580"/>
      <c r="BZ2347" s="581"/>
      <c r="CA2347" s="270"/>
      <c r="CB2347" s="3" t="str">
        <f t="shared" si="398"/>
        <v>Riadok bude skrytý.</v>
      </c>
      <c r="CC2347" s="271" t="s">
        <v>832</v>
      </c>
      <c r="CW2347" s="30">
        <f t="shared" si="407"/>
        <v>1</v>
      </c>
      <c r="CX2347" s="30">
        <f t="shared" si="403"/>
        <v>1</v>
      </c>
      <c r="CZ2347" s="30">
        <f t="shared" si="399"/>
        <v>1</v>
      </c>
      <c r="DA2347" s="52">
        <f>+IF(CW2347*CX2347=0,0,IF(CZ2347=0,0,1))</f>
        <v>1</v>
      </c>
      <c r="DB2347" s="2">
        <f t="shared" si="408"/>
        <v>0</v>
      </c>
      <c r="DS2347" s="130">
        <f>SI!BY2347</f>
        <v>650</v>
      </c>
      <c r="DZ2347" s="131">
        <f>SI!BZ2347</f>
        <v>0</v>
      </c>
    </row>
    <row r="2348" spans="1:130" hidden="1" x14ac:dyDescent="0.25">
      <c r="A2348" s="141"/>
      <c r="B2348" s="596"/>
      <c r="C2348" s="596"/>
      <c r="D2348" s="596"/>
      <c r="E2348" s="596"/>
      <c r="F2348" s="596"/>
      <c r="G2348" s="596"/>
      <c r="H2348" s="596"/>
      <c r="I2348" s="596"/>
      <c r="J2348" s="596"/>
      <c r="K2348" s="596"/>
      <c r="L2348" s="596"/>
      <c r="M2348" s="596"/>
      <c r="N2348" s="596"/>
      <c r="O2348" s="596"/>
      <c r="P2348" s="596"/>
      <c r="Q2348" s="596"/>
      <c r="R2348" s="596"/>
      <c r="S2348" s="549"/>
      <c r="T2348" s="582"/>
      <c r="U2348" s="583"/>
      <c r="V2348" s="583"/>
      <c r="W2348" s="583"/>
      <c r="X2348" s="583"/>
      <c r="Y2348" s="583"/>
      <c r="Z2348" s="583"/>
      <c r="AA2348" s="584"/>
      <c r="AB2348" s="582"/>
      <c r="AC2348" s="583"/>
      <c r="AD2348" s="583"/>
      <c r="AE2348" s="583"/>
      <c r="AF2348" s="583"/>
      <c r="AG2348" s="583"/>
      <c r="AH2348" s="585"/>
      <c r="AI2348" s="586"/>
      <c r="AJ2348" s="583"/>
      <c r="AK2348" s="583"/>
      <c r="AL2348" s="583"/>
      <c r="AM2348" s="583"/>
      <c r="AN2348" s="583"/>
      <c r="AO2348" s="583"/>
      <c r="AP2348" s="584"/>
      <c r="AQ2348" s="582"/>
      <c r="AR2348" s="583"/>
      <c r="AS2348" s="583"/>
      <c r="AT2348" s="583"/>
      <c r="AU2348" s="583"/>
      <c r="AV2348" s="583"/>
      <c r="AW2348" s="583"/>
      <c r="AX2348" s="583"/>
      <c r="AY2348" s="583"/>
      <c r="AZ2348" s="585"/>
      <c r="BA2348" s="586"/>
      <c r="BB2348" s="583"/>
      <c r="BC2348" s="583"/>
      <c r="BD2348" s="583"/>
      <c r="BE2348" s="583"/>
      <c r="BF2348" s="583"/>
      <c r="BG2348" s="583"/>
      <c r="BH2348" s="583"/>
      <c r="BI2348" s="583"/>
      <c r="BJ2348" s="583"/>
      <c r="BK2348" s="583"/>
      <c r="BL2348" s="584"/>
      <c r="BM2348" s="582"/>
      <c r="BN2348" s="583"/>
      <c r="BO2348" s="583"/>
      <c r="BP2348" s="583"/>
      <c r="BQ2348" s="583"/>
      <c r="BR2348" s="583"/>
      <c r="BS2348" s="583"/>
      <c r="BT2348" s="583"/>
      <c r="BU2348" s="583"/>
      <c r="BV2348" s="583"/>
      <c r="BW2348" s="583"/>
      <c r="BX2348" s="583"/>
      <c r="BY2348" s="583"/>
      <c r="BZ2348" s="585"/>
      <c r="CA2348" s="270"/>
      <c r="CB2348" s="3" t="str">
        <f t="shared" si="398"/>
        <v>Riadok bude skrytý.</v>
      </c>
      <c r="CC2348" s="271" t="s">
        <v>832</v>
      </c>
      <c r="CW2348" s="30">
        <f t="shared" si="407"/>
        <v>1</v>
      </c>
      <c r="CX2348" s="30">
        <f t="shared" si="403"/>
        <v>1</v>
      </c>
      <c r="CZ2348" s="30">
        <f t="shared" si="399"/>
        <v>1</v>
      </c>
      <c r="DA2348" s="52">
        <f>+IF(CW2348*CX2348=0,0,IF(CZ2348=0,0,1))</f>
        <v>1</v>
      </c>
      <c r="DB2348" s="2">
        <f t="shared" si="408"/>
        <v>0</v>
      </c>
      <c r="DS2348" s="130">
        <f>SI!BY2348</f>
        <v>193</v>
      </c>
      <c r="DZ2348" s="131">
        <f>SI!BZ2348</f>
        <v>0</v>
      </c>
    </row>
    <row r="2349" spans="1:130" hidden="1" x14ac:dyDescent="0.25">
      <c r="A2349" s="141"/>
      <c r="B2349" s="596"/>
      <c r="C2349" s="596"/>
      <c r="D2349" s="596"/>
      <c r="E2349" s="596"/>
      <c r="F2349" s="596"/>
      <c r="G2349" s="596"/>
      <c r="H2349" s="596"/>
      <c r="I2349" s="596"/>
      <c r="J2349" s="596"/>
      <c r="K2349" s="596"/>
      <c r="L2349" s="596"/>
      <c r="M2349" s="596"/>
      <c r="N2349" s="596"/>
      <c r="O2349" s="596"/>
      <c r="P2349" s="596"/>
      <c r="Q2349" s="596"/>
      <c r="R2349" s="596"/>
      <c r="S2349" s="549"/>
      <c r="T2349" s="407"/>
      <c r="U2349" s="408"/>
      <c r="V2349" s="408"/>
      <c r="W2349" s="408"/>
      <c r="X2349" s="408"/>
      <c r="Y2349" s="408"/>
      <c r="Z2349" s="408"/>
      <c r="AA2349" s="410"/>
      <c r="AB2349" s="407"/>
      <c r="AC2349" s="408"/>
      <c r="AD2349" s="408"/>
      <c r="AE2349" s="408"/>
      <c r="AF2349" s="408"/>
      <c r="AG2349" s="408"/>
      <c r="AH2349" s="409"/>
      <c r="AI2349" s="541"/>
      <c r="AJ2349" s="408"/>
      <c r="AK2349" s="408"/>
      <c r="AL2349" s="408"/>
      <c r="AM2349" s="408"/>
      <c r="AN2349" s="408"/>
      <c r="AO2349" s="408"/>
      <c r="AP2349" s="410"/>
      <c r="AQ2349" s="407"/>
      <c r="AR2349" s="408"/>
      <c r="AS2349" s="408"/>
      <c r="AT2349" s="408"/>
      <c r="AU2349" s="408"/>
      <c r="AV2349" s="408"/>
      <c r="AW2349" s="408"/>
      <c r="AX2349" s="408"/>
      <c r="AY2349" s="408"/>
      <c r="AZ2349" s="409"/>
      <c r="BA2349" s="541"/>
      <c r="BB2349" s="408"/>
      <c r="BC2349" s="408"/>
      <c r="BD2349" s="408"/>
      <c r="BE2349" s="408"/>
      <c r="BF2349" s="408"/>
      <c r="BG2349" s="408"/>
      <c r="BH2349" s="408"/>
      <c r="BI2349" s="408"/>
      <c r="BJ2349" s="408"/>
      <c r="BK2349" s="408"/>
      <c r="BL2349" s="410"/>
      <c r="BM2349" s="407"/>
      <c r="BN2349" s="408"/>
      <c r="BO2349" s="408"/>
      <c r="BP2349" s="408"/>
      <c r="BQ2349" s="408"/>
      <c r="BR2349" s="408"/>
      <c r="BS2349" s="408"/>
      <c r="BT2349" s="408"/>
      <c r="BU2349" s="408"/>
      <c r="BV2349" s="408"/>
      <c r="BW2349" s="408"/>
      <c r="BX2349" s="408"/>
      <c r="BY2349" s="408"/>
      <c r="BZ2349" s="409"/>
      <c r="CA2349" s="270"/>
      <c r="CB2349" s="3" t="str">
        <f t="shared" si="398"/>
        <v>Riadok bude skrytý.</v>
      </c>
      <c r="CC2349" s="271" t="s">
        <v>832</v>
      </c>
      <c r="CW2349" s="30">
        <f t="shared" si="407"/>
        <v>1</v>
      </c>
      <c r="CX2349" s="30">
        <f t="shared" si="403"/>
        <v>1</v>
      </c>
      <c r="CY2349" s="30">
        <f t="shared" ref="CY2349:CY2356" si="409">+IF(B2349="",0,1)</f>
        <v>0</v>
      </c>
      <c r="CZ2349" s="30">
        <f t="shared" si="399"/>
        <v>1</v>
      </c>
      <c r="DA2349" s="53">
        <f t="shared" ref="DA2349:DA2356" si="410">+IF(CW2349*CX2349*CY2349=0,0,IF(CZ2349=0,0,1))</f>
        <v>0</v>
      </c>
      <c r="DB2349" s="2">
        <f t="shared" si="408"/>
        <v>0</v>
      </c>
      <c r="DS2349" s="130">
        <f>SI!BY2349</f>
        <v>209</v>
      </c>
      <c r="DZ2349" s="131">
        <f>SI!BZ2349</f>
        <v>0</v>
      </c>
    </row>
    <row r="2350" spans="1:130" hidden="1" x14ac:dyDescent="0.25">
      <c r="A2350" s="141"/>
      <c r="B2350" s="596"/>
      <c r="C2350" s="596"/>
      <c r="D2350" s="596"/>
      <c r="E2350" s="596"/>
      <c r="F2350" s="596"/>
      <c r="G2350" s="596"/>
      <c r="H2350" s="596"/>
      <c r="I2350" s="596"/>
      <c r="J2350" s="596"/>
      <c r="K2350" s="596"/>
      <c r="L2350" s="596"/>
      <c r="M2350" s="596"/>
      <c r="N2350" s="596"/>
      <c r="O2350" s="596"/>
      <c r="P2350" s="596"/>
      <c r="Q2350" s="596"/>
      <c r="R2350" s="596"/>
      <c r="S2350" s="549"/>
      <c r="T2350" s="407"/>
      <c r="U2350" s="408"/>
      <c r="V2350" s="408"/>
      <c r="W2350" s="408"/>
      <c r="X2350" s="408"/>
      <c r="Y2350" s="408"/>
      <c r="Z2350" s="408"/>
      <c r="AA2350" s="410"/>
      <c r="AB2350" s="407"/>
      <c r="AC2350" s="408"/>
      <c r="AD2350" s="408"/>
      <c r="AE2350" s="408"/>
      <c r="AF2350" s="408"/>
      <c r="AG2350" s="408"/>
      <c r="AH2350" s="409"/>
      <c r="AI2350" s="541"/>
      <c r="AJ2350" s="408"/>
      <c r="AK2350" s="408"/>
      <c r="AL2350" s="408"/>
      <c r="AM2350" s="408"/>
      <c r="AN2350" s="408"/>
      <c r="AO2350" s="408"/>
      <c r="AP2350" s="410"/>
      <c r="AQ2350" s="407"/>
      <c r="AR2350" s="408"/>
      <c r="AS2350" s="408"/>
      <c r="AT2350" s="408"/>
      <c r="AU2350" s="408"/>
      <c r="AV2350" s="408"/>
      <c r="AW2350" s="408"/>
      <c r="AX2350" s="408"/>
      <c r="AY2350" s="408"/>
      <c r="AZ2350" s="409"/>
      <c r="BA2350" s="541"/>
      <c r="BB2350" s="408"/>
      <c r="BC2350" s="408"/>
      <c r="BD2350" s="408"/>
      <c r="BE2350" s="408"/>
      <c r="BF2350" s="408"/>
      <c r="BG2350" s="408"/>
      <c r="BH2350" s="408"/>
      <c r="BI2350" s="408"/>
      <c r="BJ2350" s="408"/>
      <c r="BK2350" s="408"/>
      <c r="BL2350" s="410"/>
      <c r="BM2350" s="407"/>
      <c r="BN2350" s="408"/>
      <c r="BO2350" s="408"/>
      <c r="BP2350" s="408"/>
      <c r="BQ2350" s="408"/>
      <c r="BR2350" s="408"/>
      <c r="BS2350" s="408"/>
      <c r="BT2350" s="408"/>
      <c r="BU2350" s="408"/>
      <c r="BV2350" s="408"/>
      <c r="BW2350" s="408"/>
      <c r="BX2350" s="408"/>
      <c r="BY2350" s="408"/>
      <c r="BZ2350" s="409"/>
      <c r="CA2350" s="270"/>
      <c r="CB2350" s="3" t="str">
        <f t="shared" si="398"/>
        <v>Riadok bude skrytý.</v>
      </c>
      <c r="CC2350" s="271" t="s">
        <v>832</v>
      </c>
      <c r="CW2350" s="30">
        <f t="shared" si="407"/>
        <v>1</v>
      </c>
      <c r="CX2350" s="30">
        <f t="shared" si="403"/>
        <v>1</v>
      </c>
      <c r="CY2350" s="30">
        <f t="shared" si="409"/>
        <v>0</v>
      </c>
      <c r="CZ2350" s="30">
        <f t="shared" si="399"/>
        <v>1</v>
      </c>
      <c r="DA2350" s="53">
        <f t="shared" si="410"/>
        <v>0</v>
      </c>
      <c r="DB2350" s="2">
        <f t="shared" si="408"/>
        <v>0</v>
      </c>
      <c r="DS2350" s="130">
        <f>SI!BY2350</f>
        <v>196</v>
      </c>
      <c r="DZ2350" s="131">
        <f>SI!BZ2350</f>
        <v>0</v>
      </c>
    </row>
    <row r="2351" spans="1:130" hidden="1" x14ac:dyDescent="0.25">
      <c r="A2351" s="141"/>
      <c r="B2351" s="596"/>
      <c r="C2351" s="596"/>
      <c r="D2351" s="596"/>
      <c r="E2351" s="596"/>
      <c r="F2351" s="596"/>
      <c r="G2351" s="596"/>
      <c r="H2351" s="596"/>
      <c r="I2351" s="596"/>
      <c r="J2351" s="596"/>
      <c r="K2351" s="596"/>
      <c r="L2351" s="596"/>
      <c r="M2351" s="596"/>
      <c r="N2351" s="596"/>
      <c r="O2351" s="596"/>
      <c r="P2351" s="596"/>
      <c r="Q2351" s="596"/>
      <c r="R2351" s="596"/>
      <c r="S2351" s="549"/>
      <c r="T2351" s="407"/>
      <c r="U2351" s="408"/>
      <c r="V2351" s="408"/>
      <c r="W2351" s="408"/>
      <c r="X2351" s="408"/>
      <c r="Y2351" s="408"/>
      <c r="Z2351" s="408"/>
      <c r="AA2351" s="410"/>
      <c r="AB2351" s="407"/>
      <c r="AC2351" s="408"/>
      <c r="AD2351" s="408"/>
      <c r="AE2351" s="408"/>
      <c r="AF2351" s="408"/>
      <c r="AG2351" s="408"/>
      <c r="AH2351" s="409"/>
      <c r="AI2351" s="541"/>
      <c r="AJ2351" s="408"/>
      <c r="AK2351" s="408"/>
      <c r="AL2351" s="408"/>
      <c r="AM2351" s="408"/>
      <c r="AN2351" s="408"/>
      <c r="AO2351" s="408"/>
      <c r="AP2351" s="410"/>
      <c r="AQ2351" s="407"/>
      <c r="AR2351" s="408"/>
      <c r="AS2351" s="408"/>
      <c r="AT2351" s="408"/>
      <c r="AU2351" s="408"/>
      <c r="AV2351" s="408"/>
      <c r="AW2351" s="408"/>
      <c r="AX2351" s="408"/>
      <c r="AY2351" s="408"/>
      <c r="AZ2351" s="409"/>
      <c r="BA2351" s="541"/>
      <c r="BB2351" s="408"/>
      <c r="BC2351" s="408"/>
      <c r="BD2351" s="408"/>
      <c r="BE2351" s="408"/>
      <c r="BF2351" s="408"/>
      <c r="BG2351" s="408"/>
      <c r="BH2351" s="408"/>
      <c r="BI2351" s="408"/>
      <c r="BJ2351" s="408"/>
      <c r="BK2351" s="408"/>
      <c r="BL2351" s="410"/>
      <c r="BM2351" s="407"/>
      <c r="BN2351" s="408"/>
      <c r="BO2351" s="408"/>
      <c r="BP2351" s="408"/>
      <c r="BQ2351" s="408"/>
      <c r="BR2351" s="408"/>
      <c r="BS2351" s="408"/>
      <c r="BT2351" s="408"/>
      <c r="BU2351" s="408"/>
      <c r="BV2351" s="408"/>
      <c r="BW2351" s="408"/>
      <c r="BX2351" s="408"/>
      <c r="BY2351" s="408"/>
      <c r="BZ2351" s="409"/>
      <c r="CA2351" s="270"/>
      <c r="CB2351" s="3" t="str">
        <f t="shared" si="398"/>
        <v>Riadok bude skrytý.</v>
      </c>
      <c r="CC2351" s="271" t="s">
        <v>832</v>
      </c>
      <c r="CW2351" s="30">
        <f t="shared" si="407"/>
        <v>1</v>
      </c>
      <c r="CX2351" s="30">
        <f t="shared" si="403"/>
        <v>1</v>
      </c>
      <c r="CY2351" s="30">
        <f t="shared" si="409"/>
        <v>0</v>
      </c>
      <c r="CZ2351" s="30">
        <f t="shared" si="399"/>
        <v>1</v>
      </c>
      <c r="DA2351" s="53">
        <f t="shared" si="410"/>
        <v>0</v>
      </c>
      <c r="DB2351" s="2">
        <f t="shared" si="408"/>
        <v>0</v>
      </c>
      <c r="DS2351" s="130">
        <f>SI!BY2351</f>
        <v>179</v>
      </c>
      <c r="DZ2351" s="131">
        <f>SI!BZ2351</f>
        <v>0</v>
      </c>
    </row>
    <row r="2352" spans="1:130" hidden="1" x14ac:dyDescent="0.25">
      <c r="A2352" s="141"/>
      <c r="B2352" s="596"/>
      <c r="C2352" s="596"/>
      <c r="D2352" s="596"/>
      <c r="E2352" s="596"/>
      <c r="F2352" s="596"/>
      <c r="G2352" s="596"/>
      <c r="H2352" s="596"/>
      <c r="I2352" s="596"/>
      <c r="J2352" s="596"/>
      <c r="K2352" s="596"/>
      <c r="L2352" s="596"/>
      <c r="M2352" s="596"/>
      <c r="N2352" s="596"/>
      <c r="O2352" s="596"/>
      <c r="P2352" s="596"/>
      <c r="Q2352" s="596"/>
      <c r="R2352" s="596"/>
      <c r="S2352" s="549"/>
      <c r="T2352" s="407"/>
      <c r="U2352" s="408"/>
      <c r="V2352" s="408"/>
      <c r="W2352" s="408"/>
      <c r="X2352" s="408"/>
      <c r="Y2352" s="408"/>
      <c r="Z2352" s="408"/>
      <c r="AA2352" s="410"/>
      <c r="AB2352" s="407"/>
      <c r="AC2352" s="408"/>
      <c r="AD2352" s="408"/>
      <c r="AE2352" s="408"/>
      <c r="AF2352" s="408"/>
      <c r="AG2352" s="408"/>
      <c r="AH2352" s="409"/>
      <c r="AI2352" s="541"/>
      <c r="AJ2352" s="408"/>
      <c r="AK2352" s="408"/>
      <c r="AL2352" s="408"/>
      <c r="AM2352" s="408"/>
      <c r="AN2352" s="408"/>
      <c r="AO2352" s="408"/>
      <c r="AP2352" s="410"/>
      <c r="AQ2352" s="407"/>
      <c r="AR2352" s="408"/>
      <c r="AS2352" s="408"/>
      <c r="AT2352" s="408"/>
      <c r="AU2352" s="408"/>
      <c r="AV2352" s="408"/>
      <c r="AW2352" s="408"/>
      <c r="AX2352" s="408"/>
      <c r="AY2352" s="408"/>
      <c r="AZ2352" s="409"/>
      <c r="BA2352" s="541"/>
      <c r="BB2352" s="408"/>
      <c r="BC2352" s="408"/>
      <c r="BD2352" s="408"/>
      <c r="BE2352" s="408"/>
      <c r="BF2352" s="408"/>
      <c r="BG2352" s="408"/>
      <c r="BH2352" s="408"/>
      <c r="BI2352" s="408"/>
      <c r="BJ2352" s="408"/>
      <c r="BK2352" s="408"/>
      <c r="BL2352" s="410"/>
      <c r="BM2352" s="407"/>
      <c r="BN2352" s="408"/>
      <c r="BO2352" s="408"/>
      <c r="BP2352" s="408"/>
      <c r="BQ2352" s="408"/>
      <c r="BR2352" s="408"/>
      <c r="BS2352" s="408"/>
      <c r="BT2352" s="408"/>
      <c r="BU2352" s="408"/>
      <c r="BV2352" s="408"/>
      <c r="BW2352" s="408"/>
      <c r="BX2352" s="408"/>
      <c r="BY2352" s="408"/>
      <c r="BZ2352" s="409"/>
      <c r="CA2352" s="270"/>
      <c r="CB2352" s="3" t="str">
        <f t="shared" si="398"/>
        <v>Riadok bude skrytý.</v>
      </c>
      <c r="CC2352" s="271" t="s">
        <v>832</v>
      </c>
      <c r="CW2352" s="30">
        <f t="shared" si="407"/>
        <v>1</v>
      </c>
      <c r="CX2352" s="30">
        <f t="shared" si="403"/>
        <v>1</v>
      </c>
      <c r="CY2352" s="30">
        <f t="shared" si="409"/>
        <v>0</v>
      </c>
      <c r="CZ2352" s="30">
        <f t="shared" si="399"/>
        <v>1</v>
      </c>
      <c r="DA2352" s="53">
        <f t="shared" si="410"/>
        <v>0</v>
      </c>
      <c r="DB2352" s="2">
        <f t="shared" si="408"/>
        <v>0</v>
      </c>
      <c r="DS2352" s="130">
        <f>SI!BY2352</f>
        <v>142</v>
      </c>
      <c r="DZ2352" s="131">
        <f>SI!BZ2352</f>
        <v>0</v>
      </c>
    </row>
    <row r="2353" spans="1:130" hidden="1" x14ac:dyDescent="0.25">
      <c r="A2353" s="141"/>
      <c r="B2353" s="596"/>
      <c r="C2353" s="596"/>
      <c r="D2353" s="596"/>
      <c r="E2353" s="596"/>
      <c r="F2353" s="596"/>
      <c r="G2353" s="596"/>
      <c r="H2353" s="596"/>
      <c r="I2353" s="596"/>
      <c r="J2353" s="596"/>
      <c r="K2353" s="596"/>
      <c r="L2353" s="596"/>
      <c r="M2353" s="596"/>
      <c r="N2353" s="596"/>
      <c r="O2353" s="596"/>
      <c r="P2353" s="596"/>
      <c r="Q2353" s="596"/>
      <c r="R2353" s="596"/>
      <c r="S2353" s="549"/>
      <c r="T2353" s="407"/>
      <c r="U2353" s="408"/>
      <c r="V2353" s="408"/>
      <c r="W2353" s="408"/>
      <c r="X2353" s="408"/>
      <c r="Y2353" s="408"/>
      <c r="Z2353" s="408"/>
      <c r="AA2353" s="410"/>
      <c r="AB2353" s="407"/>
      <c r="AC2353" s="408"/>
      <c r="AD2353" s="408"/>
      <c r="AE2353" s="408"/>
      <c r="AF2353" s="408"/>
      <c r="AG2353" s="408"/>
      <c r="AH2353" s="409"/>
      <c r="AI2353" s="541"/>
      <c r="AJ2353" s="408"/>
      <c r="AK2353" s="408"/>
      <c r="AL2353" s="408"/>
      <c r="AM2353" s="408"/>
      <c r="AN2353" s="408"/>
      <c r="AO2353" s="408"/>
      <c r="AP2353" s="410"/>
      <c r="AQ2353" s="407"/>
      <c r="AR2353" s="408"/>
      <c r="AS2353" s="408"/>
      <c r="AT2353" s="408"/>
      <c r="AU2353" s="408"/>
      <c r="AV2353" s="408"/>
      <c r="AW2353" s="408"/>
      <c r="AX2353" s="408"/>
      <c r="AY2353" s="408"/>
      <c r="AZ2353" s="409"/>
      <c r="BA2353" s="541"/>
      <c r="BB2353" s="408"/>
      <c r="BC2353" s="408"/>
      <c r="BD2353" s="408"/>
      <c r="BE2353" s="408"/>
      <c r="BF2353" s="408"/>
      <c r="BG2353" s="408"/>
      <c r="BH2353" s="408"/>
      <c r="BI2353" s="408"/>
      <c r="BJ2353" s="408"/>
      <c r="BK2353" s="408"/>
      <c r="BL2353" s="410"/>
      <c r="BM2353" s="407"/>
      <c r="BN2353" s="408"/>
      <c r="BO2353" s="408"/>
      <c r="BP2353" s="408"/>
      <c r="BQ2353" s="408"/>
      <c r="BR2353" s="408"/>
      <c r="BS2353" s="408"/>
      <c r="BT2353" s="408"/>
      <c r="BU2353" s="408"/>
      <c r="BV2353" s="408"/>
      <c r="BW2353" s="408"/>
      <c r="BX2353" s="408"/>
      <c r="BY2353" s="408"/>
      <c r="BZ2353" s="409"/>
      <c r="CA2353" s="270"/>
      <c r="CB2353" s="3" t="str">
        <f t="shared" si="398"/>
        <v>Riadok bude skrytý.</v>
      </c>
      <c r="CC2353" s="271" t="s">
        <v>832</v>
      </c>
      <c r="CW2353" s="30">
        <f t="shared" si="407"/>
        <v>1</v>
      </c>
      <c r="CX2353" s="30">
        <f t="shared" si="403"/>
        <v>1</v>
      </c>
      <c r="CY2353" s="30">
        <f t="shared" si="409"/>
        <v>0</v>
      </c>
      <c r="CZ2353" s="30">
        <f t="shared" si="399"/>
        <v>1</v>
      </c>
      <c r="DA2353" s="53">
        <f t="shared" si="410"/>
        <v>0</v>
      </c>
      <c r="DB2353" s="2">
        <f t="shared" si="408"/>
        <v>0</v>
      </c>
      <c r="DS2353" s="130">
        <f>SI!BY2353</f>
        <v>644</v>
      </c>
      <c r="DZ2353" s="131">
        <f>SI!BZ2353</f>
        <v>0</v>
      </c>
    </row>
    <row r="2354" spans="1:130" hidden="1" x14ac:dyDescent="0.25">
      <c r="A2354" s="141"/>
      <c r="B2354" s="596"/>
      <c r="C2354" s="596"/>
      <c r="D2354" s="596"/>
      <c r="E2354" s="596"/>
      <c r="F2354" s="596"/>
      <c r="G2354" s="596"/>
      <c r="H2354" s="596"/>
      <c r="I2354" s="596"/>
      <c r="J2354" s="596"/>
      <c r="K2354" s="596"/>
      <c r="L2354" s="596"/>
      <c r="M2354" s="596"/>
      <c r="N2354" s="596"/>
      <c r="O2354" s="596"/>
      <c r="P2354" s="596"/>
      <c r="Q2354" s="596"/>
      <c r="R2354" s="596"/>
      <c r="S2354" s="549"/>
      <c r="T2354" s="407"/>
      <c r="U2354" s="408"/>
      <c r="V2354" s="408"/>
      <c r="W2354" s="408"/>
      <c r="X2354" s="408"/>
      <c r="Y2354" s="408"/>
      <c r="Z2354" s="408"/>
      <c r="AA2354" s="410"/>
      <c r="AB2354" s="407"/>
      <c r="AC2354" s="408"/>
      <c r="AD2354" s="408"/>
      <c r="AE2354" s="408"/>
      <c r="AF2354" s="408"/>
      <c r="AG2354" s="408"/>
      <c r="AH2354" s="409"/>
      <c r="AI2354" s="541"/>
      <c r="AJ2354" s="408"/>
      <c r="AK2354" s="408"/>
      <c r="AL2354" s="408"/>
      <c r="AM2354" s="408"/>
      <c r="AN2354" s="408"/>
      <c r="AO2354" s="408"/>
      <c r="AP2354" s="410"/>
      <c r="AQ2354" s="407"/>
      <c r="AR2354" s="408"/>
      <c r="AS2354" s="408"/>
      <c r="AT2354" s="408"/>
      <c r="AU2354" s="408"/>
      <c r="AV2354" s="408"/>
      <c r="AW2354" s="408"/>
      <c r="AX2354" s="408"/>
      <c r="AY2354" s="408"/>
      <c r="AZ2354" s="409"/>
      <c r="BA2354" s="541"/>
      <c r="BB2354" s="408"/>
      <c r="BC2354" s="408"/>
      <c r="BD2354" s="408"/>
      <c r="BE2354" s="408"/>
      <c r="BF2354" s="408"/>
      <c r="BG2354" s="408"/>
      <c r="BH2354" s="408"/>
      <c r="BI2354" s="408"/>
      <c r="BJ2354" s="408"/>
      <c r="BK2354" s="408"/>
      <c r="BL2354" s="410"/>
      <c r="BM2354" s="407"/>
      <c r="BN2354" s="408"/>
      <c r="BO2354" s="408"/>
      <c r="BP2354" s="408"/>
      <c r="BQ2354" s="408"/>
      <c r="BR2354" s="408"/>
      <c r="BS2354" s="408"/>
      <c r="BT2354" s="408"/>
      <c r="BU2354" s="408"/>
      <c r="BV2354" s="408"/>
      <c r="BW2354" s="408"/>
      <c r="BX2354" s="408"/>
      <c r="BY2354" s="408"/>
      <c r="BZ2354" s="409"/>
      <c r="CA2354" s="270"/>
      <c r="CB2354" s="3" t="str">
        <f t="shared" si="398"/>
        <v>Riadok bude skrytý.</v>
      </c>
      <c r="CC2354" s="271" t="s">
        <v>832</v>
      </c>
      <c r="CW2354" s="30">
        <f t="shared" si="407"/>
        <v>1</v>
      </c>
      <c r="CX2354" s="30">
        <f t="shared" si="403"/>
        <v>1</v>
      </c>
      <c r="CY2354" s="30">
        <f t="shared" si="409"/>
        <v>0</v>
      </c>
      <c r="CZ2354" s="30">
        <f t="shared" si="399"/>
        <v>1</v>
      </c>
      <c r="DA2354" s="53">
        <f t="shared" si="410"/>
        <v>0</v>
      </c>
      <c r="DB2354" s="2">
        <f t="shared" si="408"/>
        <v>0</v>
      </c>
      <c r="DS2354" s="130">
        <f>SI!BY2354</f>
        <v>132</v>
      </c>
      <c r="DZ2354" s="131">
        <f>SI!BZ2354</f>
        <v>0</v>
      </c>
    </row>
    <row r="2355" spans="1:130" hidden="1" x14ac:dyDescent="0.25">
      <c r="A2355" s="141"/>
      <c r="B2355" s="596"/>
      <c r="C2355" s="596"/>
      <c r="D2355" s="596"/>
      <c r="E2355" s="596"/>
      <c r="F2355" s="596"/>
      <c r="G2355" s="596"/>
      <c r="H2355" s="596"/>
      <c r="I2355" s="596"/>
      <c r="J2355" s="596"/>
      <c r="K2355" s="596"/>
      <c r="L2355" s="596"/>
      <c r="M2355" s="596"/>
      <c r="N2355" s="596"/>
      <c r="O2355" s="596"/>
      <c r="P2355" s="596"/>
      <c r="Q2355" s="596"/>
      <c r="R2355" s="596"/>
      <c r="S2355" s="549"/>
      <c r="T2355" s="407"/>
      <c r="U2355" s="408"/>
      <c r="V2355" s="408"/>
      <c r="W2355" s="408"/>
      <c r="X2355" s="408"/>
      <c r="Y2355" s="408"/>
      <c r="Z2355" s="408"/>
      <c r="AA2355" s="410"/>
      <c r="AB2355" s="407"/>
      <c r="AC2355" s="408"/>
      <c r="AD2355" s="408"/>
      <c r="AE2355" s="408"/>
      <c r="AF2355" s="408"/>
      <c r="AG2355" s="408"/>
      <c r="AH2355" s="409"/>
      <c r="AI2355" s="541"/>
      <c r="AJ2355" s="408"/>
      <c r="AK2355" s="408"/>
      <c r="AL2355" s="408"/>
      <c r="AM2355" s="408"/>
      <c r="AN2355" s="408"/>
      <c r="AO2355" s="408"/>
      <c r="AP2355" s="410"/>
      <c r="AQ2355" s="407"/>
      <c r="AR2355" s="408"/>
      <c r="AS2355" s="408"/>
      <c r="AT2355" s="408"/>
      <c r="AU2355" s="408"/>
      <c r="AV2355" s="408"/>
      <c r="AW2355" s="408"/>
      <c r="AX2355" s="408"/>
      <c r="AY2355" s="408"/>
      <c r="AZ2355" s="409"/>
      <c r="BA2355" s="541"/>
      <c r="BB2355" s="408"/>
      <c r="BC2355" s="408"/>
      <c r="BD2355" s="408"/>
      <c r="BE2355" s="408"/>
      <c r="BF2355" s="408"/>
      <c r="BG2355" s="408"/>
      <c r="BH2355" s="408"/>
      <c r="BI2355" s="408"/>
      <c r="BJ2355" s="408"/>
      <c r="BK2355" s="408"/>
      <c r="BL2355" s="410"/>
      <c r="BM2355" s="407"/>
      <c r="BN2355" s="408"/>
      <c r="BO2355" s="408"/>
      <c r="BP2355" s="408"/>
      <c r="BQ2355" s="408"/>
      <c r="BR2355" s="408"/>
      <c r="BS2355" s="408"/>
      <c r="BT2355" s="408"/>
      <c r="BU2355" s="408"/>
      <c r="BV2355" s="408"/>
      <c r="BW2355" s="408"/>
      <c r="BX2355" s="408"/>
      <c r="BY2355" s="408"/>
      <c r="BZ2355" s="409"/>
      <c r="CA2355" s="270"/>
      <c r="CB2355" s="3" t="str">
        <f t="shared" ref="CB2355:CB2418" si="411">+IF(DB2355=0,"Riadok bude skrytý.","Riadok bude vidieť.")</f>
        <v>Riadok bude skrytý.</v>
      </c>
      <c r="CC2355" s="271" t="s">
        <v>832</v>
      </c>
      <c r="CW2355" s="30">
        <f t="shared" si="407"/>
        <v>1</v>
      </c>
      <c r="CX2355" s="30">
        <f t="shared" si="403"/>
        <v>1</v>
      </c>
      <c r="CY2355" s="30">
        <f t="shared" si="409"/>
        <v>0</v>
      </c>
      <c r="CZ2355" s="30">
        <f t="shared" ref="CZ2355:CZ2418" si="412">IF(CC2355="",1,IF(CC2355="Chcem skryť riadok.",0,1))</f>
        <v>1</v>
      </c>
      <c r="DA2355" s="53">
        <f t="shared" si="410"/>
        <v>0</v>
      </c>
      <c r="DB2355" s="2">
        <f t="shared" si="408"/>
        <v>0</v>
      </c>
      <c r="DS2355" s="130">
        <f>SI!BY2355</f>
        <v>550</v>
      </c>
      <c r="DZ2355" s="131">
        <f>SI!BZ2355</f>
        <v>0</v>
      </c>
    </row>
    <row r="2356" spans="1:130" hidden="1" x14ac:dyDescent="0.25">
      <c r="A2356" s="141"/>
      <c r="B2356" s="596"/>
      <c r="C2356" s="596"/>
      <c r="D2356" s="596"/>
      <c r="E2356" s="596"/>
      <c r="F2356" s="596"/>
      <c r="G2356" s="596"/>
      <c r="H2356" s="596"/>
      <c r="I2356" s="596"/>
      <c r="J2356" s="596"/>
      <c r="K2356" s="596"/>
      <c r="L2356" s="596"/>
      <c r="M2356" s="596"/>
      <c r="N2356" s="596"/>
      <c r="O2356" s="596"/>
      <c r="P2356" s="596"/>
      <c r="Q2356" s="596"/>
      <c r="R2356" s="596"/>
      <c r="S2356" s="549"/>
      <c r="T2356" s="407"/>
      <c r="U2356" s="408"/>
      <c r="V2356" s="408"/>
      <c r="W2356" s="408"/>
      <c r="X2356" s="408"/>
      <c r="Y2356" s="408"/>
      <c r="Z2356" s="408"/>
      <c r="AA2356" s="410"/>
      <c r="AB2356" s="407"/>
      <c r="AC2356" s="408"/>
      <c r="AD2356" s="408"/>
      <c r="AE2356" s="408"/>
      <c r="AF2356" s="408"/>
      <c r="AG2356" s="408"/>
      <c r="AH2356" s="409"/>
      <c r="AI2356" s="541"/>
      <c r="AJ2356" s="408"/>
      <c r="AK2356" s="408"/>
      <c r="AL2356" s="408"/>
      <c r="AM2356" s="408"/>
      <c r="AN2356" s="408"/>
      <c r="AO2356" s="408"/>
      <c r="AP2356" s="410"/>
      <c r="AQ2356" s="407"/>
      <c r="AR2356" s="408"/>
      <c r="AS2356" s="408"/>
      <c r="AT2356" s="408"/>
      <c r="AU2356" s="408"/>
      <c r="AV2356" s="408"/>
      <c r="AW2356" s="408"/>
      <c r="AX2356" s="408"/>
      <c r="AY2356" s="408"/>
      <c r="AZ2356" s="409"/>
      <c r="BA2356" s="541"/>
      <c r="BB2356" s="408"/>
      <c r="BC2356" s="408"/>
      <c r="BD2356" s="408"/>
      <c r="BE2356" s="408"/>
      <c r="BF2356" s="408"/>
      <c r="BG2356" s="408"/>
      <c r="BH2356" s="408"/>
      <c r="BI2356" s="408"/>
      <c r="BJ2356" s="408"/>
      <c r="BK2356" s="408"/>
      <c r="BL2356" s="410"/>
      <c r="BM2356" s="407"/>
      <c r="BN2356" s="408"/>
      <c r="BO2356" s="408"/>
      <c r="BP2356" s="408"/>
      <c r="BQ2356" s="408"/>
      <c r="BR2356" s="408"/>
      <c r="BS2356" s="408"/>
      <c r="BT2356" s="408"/>
      <c r="BU2356" s="408"/>
      <c r="BV2356" s="408"/>
      <c r="BW2356" s="408"/>
      <c r="BX2356" s="408"/>
      <c r="BY2356" s="408"/>
      <c r="BZ2356" s="409"/>
      <c r="CA2356" s="270"/>
      <c r="CB2356" s="3" t="str">
        <f t="shared" si="411"/>
        <v>Riadok bude skrytý.</v>
      </c>
      <c r="CC2356" s="271" t="s">
        <v>832</v>
      </c>
      <c r="CW2356" s="30">
        <f t="shared" si="407"/>
        <v>1</v>
      </c>
      <c r="CX2356" s="30">
        <f t="shared" si="403"/>
        <v>1</v>
      </c>
      <c r="CY2356" s="30">
        <f t="shared" si="409"/>
        <v>0</v>
      </c>
      <c r="CZ2356" s="30">
        <f t="shared" si="412"/>
        <v>1</v>
      </c>
      <c r="DA2356" s="53">
        <f t="shared" si="410"/>
        <v>0</v>
      </c>
      <c r="DB2356" s="2">
        <f t="shared" si="408"/>
        <v>0</v>
      </c>
      <c r="DS2356" s="130">
        <f>SI!BY2356</f>
        <v>150</v>
      </c>
      <c r="DZ2356" s="131">
        <f>SI!BZ2356</f>
        <v>0</v>
      </c>
    </row>
    <row r="2357" spans="1:130" hidden="1" x14ac:dyDescent="0.25">
      <c r="A2357" s="141"/>
      <c r="B2357" s="1432"/>
      <c r="C2357" s="1432"/>
      <c r="D2357" s="1432"/>
      <c r="E2357" s="1432"/>
      <c r="F2357" s="1432"/>
      <c r="G2357" s="1432"/>
      <c r="H2357" s="1432"/>
      <c r="I2357" s="1432"/>
      <c r="J2357" s="1432"/>
      <c r="K2357" s="1432"/>
      <c r="L2357" s="1432"/>
      <c r="M2357" s="1432"/>
      <c r="N2357" s="1432"/>
      <c r="O2357" s="1432"/>
      <c r="P2357" s="1432"/>
      <c r="Q2357" s="1432"/>
      <c r="R2357" s="1432"/>
      <c r="S2357" s="1433"/>
      <c r="T2357" s="576"/>
      <c r="U2357" s="577"/>
      <c r="V2357" s="577"/>
      <c r="W2357" s="577"/>
      <c r="X2357" s="577"/>
      <c r="Y2357" s="577"/>
      <c r="Z2357" s="577"/>
      <c r="AA2357" s="588"/>
      <c r="AB2357" s="576"/>
      <c r="AC2357" s="577"/>
      <c r="AD2357" s="577"/>
      <c r="AE2357" s="577"/>
      <c r="AF2357" s="577"/>
      <c r="AG2357" s="577"/>
      <c r="AH2357" s="578"/>
      <c r="AI2357" s="587"/>
      <c r="AJ2357" s="577"/>
      <c r="AK2357" s="577"/>
      <c r="AL2357" s="577"/>
      <c r="AM2357" s="577"/>
      <c r="AN2357" s="577"/>
      <c r="AO2357" s="577"/>
      <c r="AP2357" s="588"/>
      <c r="AQ2357" s="576"/>
      <c r="AR2357" s="577"/>
      <c r="AS2357" s="577"/>
      <c r="AT2357" s="577"/>
      <c r="AU2357" s="577"/>
      <c r="AV2357" s="577"/>
      <c r="AW2357" s="577"/>
      <c r="AX2357" s="577"/>
      <c r="AY2357" s="577"/>
      <c r="AZ2357" s="578"/>
      <c r="BA2357" s="587"/>
      <c r="BB2357" s="577"/>
      <c r="BC2357" s="577"/>
      <c r="BD2357" s="577"/>
      <c r="BE2357" s="577"/>
      <c r="BF2357" s="577"/>
      <c r="BG2357" s="577"/>
      <c r="BH2357" s="577"/>
      <c r="BI2357" s="577"/>
      <c r="BJ2357" s="577"/>
      <c r="BK2357" s="577"/>
      <c r="BL2357" s="588"/>
      <c r="BM2357" s="576"/>
      <c r="BN2357" s="577"/>
      <c r="BO2357" s="577"/>
      <c r="BP2357" s="577"/>
      <c r="BQ2357" s="577"/>
      <c r="BR2357" s="577"/>
      <c r="BS2357" s="577"/>
      <c r="BT2357" s="577"/>
      <c r="BU2357" s="577"/>
      <c r="BV2357" s="577"/>
      <c r="BW2357" s="577"/>
      <c r="BX2357" s="577"/>
      <c r="BY2357" s="577"/>
      <c r="BZ2357" s="578"/>
      <c r="CA2357" s="270"/>
      <c r="CB2357" s="3" t="str">
        <f t="shared" si="411"/>
        <v>Riadok bude skrytý.</v>
      </c>
      <c r="CC2357" s="271" t="s">
        <v>832</v>
      </c>
      <c r="CW2357" s="30">
        <f t="shared" si="407"/>
        <v>1</v>
      </c>
      <c r="CX2357" s="30">
        <f t="shared" si="403"/>
        <v>1</v>
      </c>
      <c r="CZ2357" s="30">
        <f t="shared" si="412"/>
        <v>1</v>
      </c>
      <c r="DA2357" s="52">
        <f>+IF(CW2357*CX2357=0,0,IF(CZ2357=0,0,1))</f>
        <v>1</v>
      </c>
      <c r="DB2357" s="2">
        <f t="shared" si="408"/>
        <v>0</v>
      </c>
      <c r="DS2357" s="130">
        <f>SI!BY2357</f>
        <v>187</v>
      </c>
      <c r="DZ2357" s="131">
        <f>SI!BZ2357</f>
        <v>0</v>
      </c>
    </row>
    <row r="2358" spans="1:130" hidden="1" x14ac:dyDescent="0.25">
      <c r="A2358" s="141"/>
      <c r="CA2358" s="142"/>
      <c r="CB2358" s="3" t="str">
        <f t="shared" si="411"/>
        <v>Riadok bude skrytý.</v>
      </c>
      <c r="CC2358" s="271" t="s">
        <v>832</v>
      </c>
      <c r="CW2358" s="30">
        <f t="shared" si="407"/>
        <v>1</v>
      </c>
      <c r="CZ2358" s="30">
        <f t="shared" si="412"/>
        <v>1</v>
      </c>
      <c r="DA2358" s="30">
        <f>+IF(CW2358+CX2358+CY2358=0,0,IF(CZ2358=0,0,1))</f>
        <v>1</v>
      </c>
      <c r="DB2358" s="2">
        <f t="shared" si="408"/>
        <v>0</v>
      </c>
      <c r="DS2358" s="130">
        <f>SI!BY2358</f>
        <v>146</v>
      </c>
      <c r="DZ2358" s="131">
        <f>SI!BZ2358</f>
        <v>0</v>
      </c>
    </row>
    <row r="2359" spans="1:130" hidden="1" x14ac:dyDescent="0.25">
      <c r="A2359" s="141"/>
      <c r="B2359" s="137" t="s">
        <v>208</v>
      </c>
      <c r="K2359" s="378" t="s">
        <v>97</v>
      </c>
      <c r="L2359" s="378"/>
      <c r="M2359" s="378"/>
      <c r="N2359" s="378"/>
      <c r="O2359" s="378"/>
      <c r="P2359" s="378"/>
      <c r="Q2359" s="137" t="str">
        <f>+IF($K$52&lt;&gt;"",IF(INT(SQRT((CODE(MID($K$52,1,1)))))*0+LEN(SI!J5)=DS2359,"záväzky z dôvodu pôžičiek a krátkodobých finančných výpomoci.","NEPOVOLENÉ POUŽITIE!"),"NEPOVOLENÉ POUŽITIE!")</f>
        <v>záväzky z dôvodu pôžičiek a krátkodobých finančných výpomoci.</v>
      </c>
      <c r="CA2359" s="265" t="s">
        <v>773</v>
      </c>
      <c r="CB2359" s="3" t="str">
        <f t="shared" si="411"/>
        <v>Riadok bude skrytý.</v>
      </c>
      <c r="CC2359" s="271" t="s">
        <v>832</v>
      </c>
      <c r="CW2359" s="30">
        <f t="shared" si="407"/>
        <v>1</v>
      </c>
      <c r="CZ2359" s="30">
        <f t="shared" si="412"/>
        <v>1</v>
      </c>
      <c r="DA2359" s="30">
        <f>+IF(CW2359+CX2359+CY2359=0,0,IF(CZ2359=0,0,1))</f>
        <v>1</v>
      </c>
      <c r="DB2359" s="2">
        <f t="shared" si="408"/>
        <v>0</v>
      </c>
      <c r="DS2359" s="130">
        <f>SI!BY2359</f>
        <v>15</v>
      </c>
      <c r="DZ2359" s="131">
        <f>SI!BZ2359</f>
        <v>0</v>
      </c>
    </row>
    <row r="2360" spans="1:130" hidden="1" x14ac:dyDescent="0.25">
      <c r="A2360" s="141"/>
      <c r="CA2360" s="270"/>
      <c r="CB2360" s="3" t="str">
        <f t="shared" si="411"/>
        <v>Riadok bude skrytý.</v>
      </c>
      <c r="CC2360" s="271" t="s">
        <v>832</v>
      </c>
      <c r="CW2360" s="30">
        <f t="shared" si="407"/>
        <v>1</v>
      </c>
      <c r="CX2360" s="30">
        <f>+IF($K$2359="nemá",0,1)</f>
        <v>1</v>
      </c>
      <c r="CZ2360" s="30">
        <f t="shared" si="412"/>
        <v>1</v>
      </c>
      <c r="DA2360" s="52">
        <f t="shared" ref="DA2360:DA2367" si="413">+IF(CW2360*CX2360=0,0,IF(CZ2360=0,0,1))</f>
        <v>1</v>
      </c>
      <c r="DB2360" s="2">
        <f t="shared" si="408"/>
        <v>0</v>
      </c>
      <c r="DS2360" s="130">
        <f>SI!BY2360</f>
        <v>158</v>
      </c>
      <c r="DZ2360" s="131">
        <f>SI!BZ2360</f>
        <v>0</v>
      </c>
    </row>
    <row r="2361" spans="1:130" hidden="1" x14ac:dyDescent="0.25">
      <c r="A2361" s="141"/>
      <c r="B2361" s="137" t="str">
        <f>+IF(K2359="má","Štruktúra pôžičiek a krátkodobých finančných výpomoci je uvedená v tabuľke:","")</f>
        <v>Štruktúra pôžičiek a krátkodobých finančných výpomoci je uvedená v tabuľke:</v>
      </c>
      <c r="CA2361" s="270"/>
      <c r="CB2361" s="3" t="str">
        <f t="shared" si="411"/>
        <v>Riadok bude skrytý.</v>
      </c>
      <c r="CC2361" s="271" t="s">
        <v>832</v>
      </c>
      <c r="CW2361" s="30">
        <f t="shared" si="407"/>
        <v>1</v>
      </c>
      <c r="CX2361" s="30">
        <f t="shared" ref="CX2361:CX2398" si="414">+IF($K$2359="nemá",0,1)</f>
        <v>1</v>
      </c>
      <c r="CZ2361" s="30">
        <f t="shared" si="412"/>
        <v>1</v>
      </c>
      <c r="DA2361" s="52">
        <f t="shared" si="413"/>
        <v>1</v>
      </c>
      <c r="DB2361" s="2">
        <f t="shared" si="408"/>
        <v>0</v>
      </c>
      <c r="DS2361" s="130">
        <f>SI!BY2361</f>
        <v>617</v>
      </c>
      <c r="DZ2361" s="131">
        <f>SI!BZ2361</f>
        <v>0</v>
      </c>
    </row>
    <row r="2362" spans="1:130" hidden="1" x14ac:dyDescent="0.25">
      <c r="A2362" s="141"/>
      <c r="CA2362" s="270"/>
      <c r="CB2362" s="3" t="str">
        <f t="shared" si="411"/>
        <v>Riadok bude skrytý.</v>
      </c>
      <c r="CC2362" s="271" t="s">
        <v>832</v>
      </c>
      <c r="CW2362" s="30">
        <f t="shared" si="407"/>
        <v>1</v>
      </c>
      <c r="CX2362" s="30">
        <f t="shared" si="414"/>
        <v>1</v>
      </c>
      <c r="CZ2362" s="30">
        <f t="shared" si="412"/>
        <v>1</v>
      </c>
      <c r="DA2362" s="52">
        <f t="shared" si="413"/>
        <v>1</v>
      </c>
      <c r="DB2362" s="2">
        <f t="shared" si="408"/>
        <v>0</v>
      </c>
      <c r="DS2362" s="130">
        <f>SI!BY2362</f>
        <v>166</v>
      </c>
      <c r="DZ2362" s="131">
        <f>SI!BZ2362</f>
        <v>0</v>
      </c>
    </row>
    <row r="2363" spans="1:130" ht="25.5" hidden="1" customHeight="1" x14ac:dyDescent="0.25">
      <c r="A2363" s="141"/>
      <c r="B2363" s="439" t="s">
        <v>171</v>
      </c>
      <c r="C2363" s="440"/>
      <c r="D2363" s="440"/>
      <c r="E2363" s="440"/>
      <c r="F2363" s="440"/>
      <c r="G2363" s="440"/>
      <c r="H2363" s="440"/>
      <c r="I2363" s="440"/>
      <c r="J2363" s="440"/>
      <c r="K2363" s="440"/>
      <c r="L2363" s="440"/>
      <c r="M2363" s="440"/>
      <c r="N2363" s="440"/>
      <c r="O2363" s="440"/>
      <c r="P2363" s="440"/>
      <c r="Q2363" s="440"/>
      <c r="R2363" s="440"/>
      <c r="S2363" s="440"/>
      <c r="T2363" s="605" t="s">
        <v>299</v>
      </c>
      <c r="U2363" s="606"/>
      <c r="V2363" s="606"/>
      <c r="W2363" s="606"/>
      <c r="X2363" s="606"/>
      <c r="Y2363" s="606"/>
      <c r="Z2363" s="606"/>
      <c r="AA2363" s="607"/>
      <c r="AB2363" s="605" t="s">
        <v>300</v>
      </c>
      <c r="AC2363" s="606"/>
      <c r="AD2363" s="606"/>
      <c r="AE2363" s="606"/>
      <c r="AF2363" s="606"/>
      <c r="AG2363" s="606"/>
      <c r="AH2363" s="607"/>
      <c r="AI2363" s="605" t="s">
        <v>301</v>
      </c>
      <c r="AJ2363" s="606"/>
      <c r="AK2363" s="606"/>
      <c r="AL2363" s="606"/>
      <c r="AM2363" s="606"/>
      <c r="AN2363" s="606"/>
      <c r="AO2363" s="606"/>
      <c r="AP2363" s="607"/>
      <c r="AQ2363" s="611" t="s">
        <v>930</v>
      </c>
      <c r="AR2363" s="612"/>
      <c r="AS2363" s="612"/>
      <c r="AT2363" s="612"/>
      <c r="AU2363" s="612"/>
      <c r="AV2363" s="612"/>
      <c r="AW2363" s="612"/>
      <c r="AX2363" s="612"/>
      <c r="AY2363" s="612"/>
      <c r="AZ2363" s="613"/>
      <c r="BA2363" s="543" t="s">
        <v>931</v>
      </c>
      <c r="BB2363" s="544"/>
      <c r="BC2363" s="544"/>
      <c r="BD2363" s="544"/>
      <c r="BE2363" s="544"/>
      <c r="BF2363" s="544"/>
      <c r="BG2363" s="544"/>
      <c r="BH2363" s="544"/>
      <c r="BI2363" s="544"/>
      <c r="BJ2363" s="544"/>
      <c r="BK2363" s="544"/>
      <c r="BL2363" s="545"/>
      <c r="BM2363" s="543" t="s">
        <v>932</v>
      </c>
      <c r="BN2363" s="544"/>
      <c r="BO2363" s="544"/>
      <c r="BP2363" s="544"/>
      <c r="BQ2363" s="544"/>
      <c r="BR2363" s="544"/>
      <c r="BS2363" s="544"/>
      <c r="BT2363" s="544"/>
      <c r="BU2363" s="544"/>
      <c r="BV2363" s="544"/>
      <c r="BW2363" s="544"/>
      <c r="BX2363" s="544"/>
      <c r="BY2363" s="544"/>
      <c r="BZ2363" s="545"/>
      <c r="CA2363" s="265" t="s">
        <v>773</v>
      </c>
      <c r="CB2363" s="3" t="str">
        <f t="shared" si="411"/>
        <v>Riadok bude skrytý.</v>
      </c>
      <c r="CC2363" s="271" t="s">
        <v>832</v>
      </c>
      <c r="CD2363" s="4"/>
      <c r="CW2363" s="30">
        <f t="shared" si="407"/>
        <v>1</v>
      </c>
      <c r="CX2363" s="30">
        <f t="shared" si="414"/>
        <v>1</v>
      </c>
      <c r="CZ2363" s="30">
        <f t="shared" si="412"/>
        <v>1</v>
      </c>
      <c r="DA2363" s="52">
        <f t="shared" si="413"/>
        <v>1</v>
      </c>
      <c r="DB2363" s="2">
        <f t="shared" si="408"/>
        <v>0</v>
      </c>
      <c r="DS2363" s="130">
        <f>SI!BY2363</f>
        <v>912</v>
      </c>
      <c r="DZ2363" s="131">
        <f>SI!BZ2363</f>
        <v>0</v>
      </c>
    </row>
    <row r="2364" spans="1:130" ht="25.5" hidden="1" customHeight="1" x14ac:dyDescent="0.25">
      <c r="A2364" s="141"/>
      <c r="B2364" s="442"/>
      <c r="C2364" s="443"/>
      <c r="D2364" s="443"/>
      <c r="E2364" s="443"/>
      <c r="F2364" s="443"/>
      <c r="G2364" s="443"/>
      <c r="H2364" s="443"/>
      <c r="I2364" s="443"/>
      <c r="J2364" s="443"/>
      <c r="K2364" s="443"/>
      <c r="L2364" s="443"/>
      <c r="M2364" s="443"/>
      <c r="N2364" s="443"/>
      <c r="O2364" s="443"/>
      <c r="P2364" s="443"/>
      <c r="Q2364" s="443"/>
      <c r="R2364" s="443"/>
      <c r="S2364" s="443"/>
      <c r="T2364" s="608"/>
      <c r="U2364" s="609"/>
      <c r="V2364" s="609"/>
      <c r="W2364" s="609"/>
      <c r="X2364" s="609"/>
      <c r="Y2364" s="609"/>
      <c r="Z2364" s="609"/>
      <c r="AA2364" s="610"/>
      <c r="AB2364" s="608"/>
      <c r="AC2364" s="609"/>
      <c r="AD2364" s="609"/>
      <c r="AE2364" s="609"/>
      <c r="AF2364" s="609"/>
      <c r="AG2364" s="609"/>
      <c r="AH2364" s="610"/>
      <c r="AI2364" s="608"/>
      <c r="AJ2364" s="609"/>
      <c r="AK2364" s="609"/>
      <c r="AL2364" s="609"/>
      <c r="AM2364" s="609"/>
      <c r="AN2364" s="609"/>
      <c r="AO2364" s="609"/>
      <c r="AP2364" s="610"/>
      <c r="AQ2364" s="1429">
        <f>+AJ141</f>
        <v>2021</v>
      </c>
      <c r="AR2364" s="1430"/>
      <c r="AS2364" s="1430"/>
      <c r="AT2364" s="1430"/>
      <c r="AU2364" s="1430"/>
      <c r="AV2364" s="1430"/>
      <c r="AW2364" s="1430"/>
      <c r="AX2364" s="1430"/>
      <c r="AY2364" s="1430"/>
      <c r="AZ2364" s="1431"/>
      <c r="BA2364" s="1429">
        <f>+AJ141</f>
        <v>2021</v>
      </c>
      <c r="BB2364" s="1430"/>
      <c r="BC2364" s="1430"/>
      <c r="BD2364" s="1430"/>
      <c r="BE2364" s="1430"/>
      <c r="BF2364" s="1430"/>
      <c r="BG2364" s="1430"/>
      <c r="BH2364" s="1430"/>
      <c r="BI2364" s="1430"/>
      <c r="BJ2364" s="1430"/>
      <c r="BK2364" s="1430"/>
      <c r="BL2364" s="1431"/>
      <c r="BM2364" s="1429">
        <f>+BE141</f>
        <v>2020</v>
      </c>
      <c r="BN2364" s="1430"/>
      <c r="BO2364" s="1430"/>
      <c r="BP2364" s="1430"/>
      <c r="BQ2364" s="1430"/>
      <c r="BR2364" s="1430"/>
      <c r="BS2364" s="1430"/>
      <c r="BT2364" s="1430"/>
      <c r="BU2364" s="1430"/>
      <c r="BV2364" s="1430"/>
      <c r="BW2364" s="1430"/>
      <c r="BX2364" s="1430"/>
      <c r="BY2364" s="1430"/>
      <c r="BZ2364" s="1431"/>
      <c r="CA2364" s="270"/>
      <c r="CB2364" s="3" t="str">
        <f t="shared" si="411"/>
        <v>Riadok bude skrytý.</v>
      </c>
      <c r="CC2364" s="271" t="s">
        <v>832</v>
      </c>
      <c r="CD2364" s="4"/>
      <c r="CE2364" s="4"/>
      <c r="CW2364" s="30">
        <f t="shared" si="407"/>
        <v>1</v>
      </c>
      <c r="CX2364" s="30">
        <f t="shared" si="414"/>
        <v>1</v>
      </c>
      <c r="CZ2364" s="30">
        <f t="shared" si="412"/>
        <v>1</v>
      </c>
      <c r="DA2364" s="52">
        <f t="shared" si="413"/>
        <v>1</v>
      </c>
      <c r="DB2364" s="2">
        <f t="shared" si="408"/>
        <v>0</v>
      </c>
      <c r="DS2364" s="130">
        <f>SI!BY2364</f>
        <v>117</v>
      </c>
      <c r="DZ2364" s="131">
        <f>SI!BZ2364</f>
        <v>0</v>
      </c>
    </row>
    <row r="2365" spans="1:130" hidden="1" x14ac:dyDescent="0.25">
      <c r="A2365" s="141"/>
      <c r="B2365" s="597" t="s">
        <v>0</v>
      </c>
      <c r="C2365" s="597"/>
      <c r="D2365" s="597"/>
      <c r="E2365" s="597"/>
      <c r="F2365" s="597"/>
      <c r="G2365" s="597"/>
      <c r="H2365" s="597"/>
      <c r="I2365" s="597"/>
      <c r="J2365" s="597"/>
      <c r="K2365" s="597"/>
      <c r="L2365" s="597"/>
      <c r="M2365" s="597"/>
      <c r="N2365" s="597"/>
      <c r="O2365" s="597"/>
      <c r="P2365" s="597"/>
      <c r="Q2365" s="597"/>
      <c r="R2365" s="597"/>
      <c r="S2365" s="598"/>
      <c r="T2365" s="597" t="s">
        <v>1</v>
      </c>
      <c r="U2365" s="597"/>
      <c r="V2365" s="597"/>
      <c r="W2365" s="597"/>
      <c r="X2365" s="597"/>
      <c r="Y2365" s="597"/>
      <c r="Z2365" s="597"/>
      <c r="AA2365" s="597"/>
      <c r="AB2365" s="597" t="s">
        <v>2</v>
      </c>
      <c r="AC2365" s="597"/>
      <c r="AD2365" s="597"/>
      <c r="AE2365" s="597"/>
      <c r="AF2365" s="597"/>
      <c r="AG2365" s="597"/>
      <c r="AH2365" s="597"/>
      <c r="AI2365" s="597" t="s">
        <v>28</v>
      </c>
      <c r="AJ2365" s="597"/>
      <c r="AK2365" s="597"/>
      <c r="AL2365" s="597"/>
      <c r="AM2365" s="597"/>
      <c r="AN2365" s="597"/>
      <c r="AO2365" s="597"/>
      <c r="AP2365" s="597"/>
      <c r="AQ2365" s="597" t="s">
        <v>29</v>
      </c>
      <c r="AR2365" s="597"/>
      <c r="AS2365" s="597"/>
      <c r="AT2365" s="597"/>
      <c r="AU2365" s="597"/>
      <c r="AV2365" s="597"/>
      <c r="AW2365" s="597"/>
      <c r="AX2365" s="597"/>
      <c r="AY2365" s="597"/>
      <c r="AZ2365" s="597"/>
      <c r="BA2365" s="597" t="s">
        <v>103</v>
      </c>
      <c r="BB2365" s="597"/>
      <c r="BC2365" s="597"/>
      <c r="BD2365" s="597"/>
      <c r="BE2365" s="597"/>
      <c r="BF2365" s="597"/>
      <c r="BG2365" s="597"/>
      <c r="BH2365" s="597"/>
      <c r="BI2365" s="597"/>
      <c r="BJ2365" s="597"/>
      <c r="BK2365" s="597"/>
      <c r="BL2365" s="597"/>
      <c r="BM2365" s="597" t="s">
        <v>104</v>
      </c>
      <c r="BN2365" s="597"/>
      <c r="BO2365" s="597"/>
      <c r="BP2365" s="597"/>
      <c r="BQ2365" s="597"/>
      <c r="BR2365" s="597"/>
      <c r="BS2365" s="597"/>
      <c r="BT2365" s="597"/>
      <c r="BU2365" s="597"/>
      <c r="BV2365" s="597"/>
      <c r="BW2365" s="597"/>
      <c r="BX2365" s="597"/>
      <c r="BY2365" s="597"/>
      <c r="BZ2365" s="597"/>
      <c r="CA2365" s="270"/>
      <c r="CB2365" s="3" t="str">
        <f t="shared" si="411"/>
        <v>Riadok bude skrytý.</v>
      </c>
      <c r="CC2365" s="271" t="s">
        <v>832</v>
      </c>
      <c r="CW2365" s="30">
        <f t="shared" si="407"/>
        <v>1</v>
      </c>
      <c r="CX2365" s="30">
        <f t="shared" si="414"/>
        <v>1</v>
      </c>
      <c r="CZ2365" s="30">
        <f t="shared" si="412"/>
        <v>1</v>
      </c>
      <c r="DA2365" s="52">
        <f t="shared" si="413"/>
        <v>1</v>
      </c>
      <c r="DB2365" s="2">
        <f t="shared" si="408"/>
        <v>0</v>
      </c>
      <c r="DS2365" s="130">
        <f>SI!BY2365</f>
        <v>124</v>
      </c>
      <c r="DZ2365" s="131">
        <f>SI!BZ2365</f>
        <v>0</v>
      </c>
    </row>
    <row r="2366" spans="1:130" hidden="1" x14ac:dyDescent="0.25">
      <c r="A2366" s="141"/>
      <c r="B2366" s="579" t="s">
        <v>147</v>
      </c>
      <c r="C2366" s="580"/>
      <c r="D2366" s="580"/>
      <c r="E2366" s="580"/>
      <c r="F2366" s="580"/>
      <c r="G2366" s="580"/>
      <c r="H2366" s="580"/>
      <c r="I2366" s="580"/>
      <c r="J2366" s="580"/>
      <c r="K2366" s="580"/>
      <c r="L2366" s="580"/>
      <c r="M2366" s="580"/>
      <c r="N2366" s="580"/>
      <c r="O2366" s="580"/>
      <c r="P2366" s="580"/>
      <c r="Q2366" s="580"/>
      <c r="R2366" s="580"/>
      <c r="S2366" s="580"/>
      <c r="T2366" s="580"/>
      <c r="U2366" s="580"/>
      <c r="V2366" s="580"/>
      <c r="W2366" s="580"/>
      <c r="X2366" s="580"/>
      <c r="Y2366" s="580"/>
      <c r="Z2366" s="580"/>
      <c r="AA2366" s="580"/>
      <c r="AB2366" s="580"/>
      <c r="AC2366" s="580"/>
      <c r="AD2366" s="580"/>
      <c r="AE2366" s="580"/>
      <c r="AF2366" s="580"/>
      <c r="AG2366" s="580"/>
      <c r="AH2366" s="580"/>
      <c r="AI2366" s="580"/>
      <c r="AJ2366" s="580"/>
      <c r="AK2366" s="580"/>
      <c r="AL2366" s="580"/>
      <c r="AM2366" s="580"/>
      <c r="AN2366" s="580"/>
      <c r="AO2366" s="580"/>
      <c r="AP2366" s="580"/>
      <c r="AQ2366" s="580"/>
      <c r="AR2366" s="580"/>
      <c r="AS2366" s="580"/>
      <c r="AT2366" s="580"/>
      <c r="AU2366" s="580"/>
      <c r="AV2366" s="580"/>
      <c r="AW2366" s="580"/>
      <c r="AX2366" s="580"/>
      <c r="AY2366" s="580"/>
      <c r="AZ2366" s="580"/>
      <c r="BA2366" s="580"/>
      <c r="BB2366" s="580"/>
      <c r="BC2366" s="580"/>
      <c r="BD2366" s="580"/>
      <c r="BE2366" s="580"/>
      <c r="BF2366" s="580"/>
      <c r="BG2366" s="580"/>
      <c r="BH2366" s="580"/>
      <c r="BI2366" s="580"/>
      <c r="BJ2366" s="580"/>
      <c r="BK2366" s="580"/>
      <c r="BL2366" s="580"/>
      <c r="BM2366" s="580"/>
      <c r="BN2366" s="580"/>
      <c r="BO2366" s="580"/>
      <c r="BP2366" s="580"/>
      <c r="BQ2366" s="580"/>
      <c r="BR2366" s="580"/>
      <c r="BS2366" s="580"/>
      <c r="BT2366" s="580"/>
      <c r="BU2366" s="580"/>
      <c r="BV2366" s="580"/>
      <c r="BW2366" s="580"/>
      <c r="BX2366" s="580"/>
      <c r="BY2366" s="580"/>
      <c r="BZ2366" s="581"/>
      <c r="CA2366" s="270"/>
      <c r="CB2366" s="3" t="str">
        <f t="shared" si="411"/>
        <v>Riadok bude skrytý.</v>
      </c>
      <c r="CC2366" s="271" t="s">
        <v>832</v>
      </c>
      <c r="CW2366" s="30">
        <f t="shared" si="407"/>
        <v>1</v>
      </c>
      <c r="CX2366" s="30">
        <f t="shared" si="414"/>
        <v>1</v>
      </c>
      <c r="CZ2366" s="30">
        <f t="shared" si="412"/>
        <v>1</v>
      </c>
      <c r="DA2366" s="52">
        <f t="shared" si="413"/>
        <v>1</v>
      </c>
      <c r="DB2366" s="2">
        <f t="shared" si="408"/>
        <v>0</v>
      </c>
      <c r="DS2366" s="130">
        <f>SI!BY2366</f>
        <v>330</v>
      </c>
      <c r="DZ2366" s="131">
        <f>SI!BZ2366</f>
        <v>0</v>
      </c>
    </row>
    <row r="2367" spans="1:130" hidden="1" x14ac:dyDescent="0.25">
      <c r="A2367" s="141"/>
      <c r="B2367" s="596"/>
      <c r="C2367" s="596"/>
      <c r="D2367" s="596"/>
      <c r="E2367" s="596"/>
      <c r="F2367" s="596"/>
      <c r="G2367" s="596"/>
      <c r="H2367" s="596"/>
      <c r="I2367" s="596"/>
      <c r="J2367" s="596"/>
      <c r="K2367" s="596"/>
      <c r="L2367" s="596"/>
      <c r="M2367" s="596"/>
      <c r="N2367" s="596"/>
      <c r="O2367" s="596"/>
      <c r="P2367" s="596"/>
      <c r="Q2367" s="596"/>
      <c r="R2367" s="596"/>
      <c r="S2367" s="549"/>
      <c r="T2367" s="582"/>
      <c r="U2367" s="583"/>
      <c r="V2367" s="583"/>
      <c r="W2367" s="583"/>
      <c r="X2367" s="583"/>
      <c r="Y2367" s="583"/>
      <c r="Z2367" s="583"/>
      <c r="AA2367" s="584"/>
      <c r="AB2367" s="582"/>
      <c r="AC2367" s="583"/>
      <c r="AD2367" s="583"/>
      <c r="AE2367" s="583"/>
      <c r="AF2367" s="583"/>
      <c r="AG2367" s="583"/>
      <c r="AH2367" s="585"/>
      <c r="AI2367" s="586"/>
      <c r="AJ2367" s="583"/>
      <c r="AK2367" s="583"/>
      <c r="AL2367" s="583"/>
      <c r="AM2367" s="583"/>
      <c r="AN2367" s="583"/>
      <c r="AO2367" s="583"/>
      <c r="AP2367" s="584"/>
      <c r="AQ2367" s="582"/>
      <c r="AR2367" s="583"/>
      <c r="AS2367" s="583"/>
      <c r="AT2367" s="583"/>
      <c r="AU2367" s="583"/>
      <c r="AV2367" s="583"/>
      <c r="AW2367" s="583"/>
      <c r="AX2367" s="583"/>
      <c r="AY2367" s="583"/>
      <c r="AZ2367" s="585"/>
      <c r="BA2367" s="586"/>
      <c r="BB2367" s="583"/>
      <c r="BC2367" s="583"/>
      <c r="BD2367" s="583"/>
      <c r="BE2367" s="583"/>
      <c r="BF2367" s="583"/>
      <c r="BG2367" s="583"/>
      <c r="BH2367" s="583"/>
      <c r="BI2367" s="583"/>
      <c r="BJ2367" s="583"/>
      <c r="BK2367" s="583"/>
      <c r="BL2367" s="584"/>
      <c r="BM2367" s="582"/>
      <c r="BN2367" s="583"/>
      <c r="BO2367" s="583"/>
      <c r="BP2367" s="583"/>
      <c r="BQ2367" s="583"/>
      <c r="BR2367" s="583"/>
      <c r="BS2367" s="583"/>
      <c r="BT2367" s="583"/>
      <c r="BU2367" s="583"/>
      <c r="BV2367" s="583"/>
      <c r="BW2367" s="583"/>
      <c r="BX2367" s="583"/>
      <c r="BY2367" s="583"/>
      <c r="BZ2367" s="585"/>
      <c r="CA2367" s="270"/>
      <c r="CB2367" s="3" t="str">
        <f t="shared" si="411"/>
        <v>Riadok bude skrytý.</v>
      </c>
      <c r="CC2367" s="271" t="s">
        <v>832</v>
      </c>
      <c r="CW2367" s="30">
        <f t="shared" si="407"/>
        <v>1</v>
      </c>
      <c r="CX2367" s="30">
        <f t="shared" si="414"/>
        <v>1</v>
      </c>
      <c r="CZ2367" s="30">
        <f t="shared" si="412"/>
        <v>1</v>
      </c>
      <c r="DA2367" s="52">
        <f t="shared" si="413"/>
        <v>1</v>
      </c>
      <c r="DB2367" s="2">
        <f t="shared" si="408"/>
        <v>0</v>
      </c>
      <c r="DS2367" s="130">
        <f>SI!BY2367</f>
        <v>192</v>
      </c>
      <c r="DZ2367" s="131">
        <f>SI!BZ2367</f>
        <v>0</v>
      </c>
    </row>
    <row r="2368" spans="1:130" hidden="1" x14ac:dyDescent="0.25">
      <c r="A2368" s="141"/>
      <c r="B2368" s="596"/>
      <c r="C2368" s="596"/>
      <c r="D2368" s="596"/>
      <c r="E2368" s="596"/>
      <c r="F2368" s="596"/>
      <c r="G2368" s="596"/>
      <c r="H2368" s="596"/>
      <c r="I2368" s="596"/>
      <c r="J2368" s="596"/>
      <c r="K2368" s="596"/>
      <c r="L2368" s="596"/>
      <c r="M2368" s="596"/>
      <c r="N2368" s="596"/>
      <c r="O2368" s="596"/>
      <c r="P2368" s="596"/>
      <c r="Q2368" s="596"/>
      <c r="R2368" s="596"/>
      <c r="S2368" s="549"/>
      <c r="T2368" s="407"/>
      <c r="U2368" s="408"/>
      <c r="V2368" s="408"/>
      <c r="W2368" s="408"/>
      <c r="X2368" s="408"/>
      <c r="Y2368" s="408"/>
      <c r="Z2368" s="408"/>
      <c r="AA2368" s="410"/>
      <c r="AB2368" s="407"/>
      <c r="AC2368" s="408"/>
      <c r="AD2368" s="408"/>
      <c r="AE2368" s="408"/>
      <c r="AF2368" s="408"/>
      <c r="AG2368" s="408"/>
      <c r="AH2368" s="409"/>
      <c r="AI2368" s="541"/>
      <c r="AJ2368" s="408"/>
      <c r="AK2368" s="408"/>
      <c r="AL2368" s="408"/>
      <c r="AM2368" s="408"/>
      <c r="AN2368" s="408"/>
      <c r="AO2368" s="408"/>
      <c r="AP2368" s="410"/>
      <c r="AQ2368" s="407"/>
      <c r="AR2368" s="408"/>
      <c r="AS2368" s="408"/>
      <c r="AT2368" s="408"/>
      <c r="AU2368" s="408"/>
      <c r="AV2368" s="408"/>
      <c r="AW2368" s="408"/>
      <c r="AX2368" s="408"/>
      <c r="AY2368" s="408"/>
      <c r="AZ2368" s="409"/>
      <c r="BA2368" s="541"/>
      <c r="BB2368" s="408"/>
      <c r="BC2368" s="408"/>
      <c r="BD2368" s="408"/>
      <c r="BE2368" s="408"/>
      <c r="BF2368" s="408"/>
      <c r="BG2368" s="408"/>
      <c r="BH2368" s="408"/>
      <c r="BI2368" s="408"/>
      <c r="BJ2368" s="408"/>
      <c r="BK2368" s="408"/>
      <c r="BL2368" s="410"/>
      <c r="BM2368" s="407"/>
      <c r="BN2368" s="408"/>
      <c r="BO2368" s="408"/>
      <c r="BP2368" s="408"/>
      <c r="BQ2368" s="408"/>
      <c r="BR2368" s="408"/>
      <c r="BS2368" s="408"/>
      <c r="BT2368" s="408"/>
      <c r="BU2368" s="408"/>
      <c r="BV2368" s="408"/>
      <c r="BW2368" s="408"/>
      <c r="BX2368" s="408"/>
      <c r="BY2368" s="408"/>
      <c r="BZ2368" s="409"/>
      <c r="CA2368" s="270"/>
      <c r="CB2368" s="3" t="str">
        <f t="shared" si="411"/>
        <v>Riadok bude skrytý.</v>
      </c>
      <c r="CC2368" s="271" t="s">
        <v>832</v>
      </c>
      <c r="CW2368" s="30">
        <f t="shared" si="407"/>
        <v>1</v>
      </c>
      <c r="CX2368" s="30">
        <f t="shared" si="414"/>
        <v>1</v>
      </c>
      <c r="CY2368" s="30">
        <f t="shared" ref="CY2368:CY2375" si="415">+IF(B2368="",0,1)</f>
        <v>0</v>
      </c>
      <c r="CZ2368" s="30">
        <f t="shared" si="412"/>
        <v>1</v>
      </c>
      <c r="DA2368" s="53">
        <f t="shared" ref="DA2368:DA2375" si="416">+IF(CW2368*CX2368*CY2368=0,0,IF(CZ2368=0,0,1))</f>
        <v>0</v>
      </c>
      <c r="DB2368" s="2">
        <f t="shared" si="408"/>
        <v>0</v>
      </c>
      <c r="DS2368" s="130">
        <f>SI!BY2368</f>
        <v>599</v>
      </c>
      <c r="DZ2368" s="131">
        <f>SI!BZ2368</f>
        <v>0</v>
      </c>
    </row>
    <row r="2369" spans="1:130" hidden="1" x14ac:dyDescent="0.25">
      <c r="A2369" s="141"/>
      <c r="B2369" s="596"/>
      <c r="C2369" s="596"/>
      <c r="D2369" s="596"/>
      <c r="E2369" s="596"/>
      <c r="F2369" s="596"/>
      <c r="G2369" s="596"/>
      <c r="H2369" s="596"/>
      <c r="I2369" s="596"/>
      <c r="J2369" s="596"/>
      <c r="K2369" s="596"/>
      <c r="L2369" s="596"/>
      <c r="M2369" s="596"/>
      <c r="N2369" s="596"/>
      <c r="O2369" s="596"/>
      <c r="P2369" s="596"/>
      <c r="Q2369" s="596"/>
      <c r="R2369" s="596"/>
      <c r="S2369" s="549"/>
      <c r="T2369" s="407"/>
      <c r="U2369" s="408"/>
      <c r="V2369" s="408"/>
      <c r="W2369" s="408"/>
      <c r="X2369" s="408"/>
      <c r="Y2369" s="408"/>
      <c r="Z2369" s="408"/>
      <c r="AA2369" s="410"/>
      <c r="AB2369" s="407"/>
      <c r="AC2369" s="408"/>
      <c r="AD2369" s="408"/>
      <c r="AE2369" s="408"/>
      <c r="AF2369" s="408"/>
      <c r="AG2369" s="408"/>
      <c r="AH2369" s="409"/>
      <c r="AI2369" s="541"/>
      <c r="AJ2369" s="408"/>
      <c r="AK2369" s="408"/>
      <c r="AL2369" s="408"/>
      <c r="AM2369" s="408"/>
      <c r="AN2369" s="408"/>
      <c r="AO2369" s="408"/>
      <c r="AP2369" s="410"/>
      <c r="AQ2369" s="407"/>
      <c r="AR2369" s="408"/>
      <c r="AS2369" s="408"/>
      <c r="AT2369" s="408"/>
      <c r="AU2369" s="408"/>
      <c r="AV2369" s="408"/>
      <c r="AW2369" s="408"/>
      <c r="AX2369" s="408"/>
      <c r="AY2369" s="408"/>
      <c r="AZ2369" s="409"/>
      <c r="BA2369" s="541"/>
      <c r="BB2369" s="408"/>
      <c r="BC2369" s="408"/>
      <c r="BD2369" s="408"/>
      <c r="BE2369" s="408"/>
      <c r="BF2369" s="408"/>
      <c r="BG2369" s="408"/>
      <c r="BH2369" s="408"/>
      <c r="BI2369" s="408"/>
      <c r="BJ2369" s="408"/>
      <c r="BK2369" s="408"/>
      <c r="BL2369" s="410"/>
      <c r="BM2369" s="407"/>
      <c r="BN2369" s="408"/>
      <c r="BO2369" s="408"/>
      <c r="BP2369" s="408"/>
      <c r="BQ2369" s="408"/>
      <c r="BR2369" s="408"/>
      <c r="BS2369" s="408"/>
      <c r="BT2369" s="408"/>
      <c r="BU2369" s="408"/>
      <c r="BV2369" s="408"/>
      <c r="BW2369" s="408"/>
      <c r="BX2369" s="408"/>
      <c r="BY2369" s="408"/>
      <c r="BZ2369" s="409"/>
      <c r="CA2369" s="270"/>
      <c r="CB2369" s="3" t="str">
        <f t="shared" si="411"/>
        <v>Riadok bude skrytý.</v>
      </c>
      <c r="CC2369" s="271" t="s">
        <v>832</v>
      </c>
      <c r="CW2369" s="30">
        <f t="shared" si="407"/>
        <v>1</v>
      </c>
      <c r="CX2369" s="30">
        <f t="shared" si="414"/>
        <v>1</v>
      </c>
      <c r="CY2369" s="30">
        <f t="shared" si="415"/>
        <v>0</v>
      </c>
      <c r="CZ2369" s="30">
        <f t="shared" si="412"/>
        <v>1</v>
      </c>
      <c r="DA2369" s="53">
        <f t="shared" si="416"/>
        <v>0</v>
      </c>
      <c r="DB2369" s="2">
        <f t="shared" si="408"/>
        <v>0</v>
      </c>
      <c r="DS2369" s="130">
        <f>SI!BY2369</f>
        <v>151</v>
      </c>
      <c r="DZ2369" s="131">
        <f>SI!BZ2369</f>
        <v>0</v>
      </c>
    </row>
    <row r="2370" spans="1:130" hidden="1" x14ac:dyDescent="0.25">
      <c r="A2370" s="141"/>
      <c r="B2370" s="596"/>
      <c r="C2370" s="596"/>
      <c r="D2370" s="596"/>
      <c r="E2370" s="596"/>
      <c r="F2370" s="596"/>
      <c r="G2370" s="596"/>
      <c r="H2370" s="596"/>
      <c r="I2370" s="596"/>
      <c r="J2370" s="596"/>
      <c r="K2370" s="596"/>
      <c r="L2370" s="596"/>
      <c r="M2370" s="596"/>
      <c r="N2370" s="596"/>
      <c r="O2370" s="596"/>
      <c r="P2370" s="596"/>
      <c r="Q2370" s="596"/>
      <c r="R2370" s="596"/>
      <c r="S2370" s="549"/>
      <c r="T2370" s="407"/>
      <c r="U2370" s="408"/>
      <c r="V2370" s="408"/>
      <c r="W2370" s="408"/>
      <c r="X2370" s="408"/>
      <c r="Y2370" s="408"/>
      <c r="Z2370" s="408"/>
      <c r="AA2370" s="410"/>
      <c r="AB2370" s="407"/>
      <c r="AC2370" s="408"/>
      <c r="AD2370" s="408"/>
      <c r="AE2370" s="408"/>
      <c r="AF2370" s="408"/>
      <c r="AG2370" s="408"/>
      <c r="AH2370" s="409"/>
      <c r="AI2370" s="541"/>
      <c r="AJ2370" s="408"/>
      <c r="AK2370" s="408"/>
      <c r="AL2370" s="408"/>
      <c r="AM2370" s="408"/>
      <c r="AN2370" s="408"/>
      <c r="AO2370" s="408"/>
      <c r="AP2370" s="410"/>
      <c r="AQ2370" s="407"/>
      <c r="AR2370" s="408"/>
      <c r="AS2370" s="408"/>
      <c r="AT2370" s="408"/>
      <c r="AU2370" s="408"/>
      <c r="AV2370" s="408"/>
      <c r="AW2370" s="408"/>
      <c r="AX2370" s="408"/>
      <c r="AY2370" s="408"/>
      <c r="AZ2370" s="409"/>
      <c r="BA2370" s="541"/>
      <c r="BB2370" s="408"/>
      <c r="BC2370" s="408"/>
      <c r="BD2370" s="408"/>
      <c r="BE2370" s="408"/>
      <c r="BF2370" s="408"/>
      <c r="BG2370" s="408"/>
      <c r="BH2370" s="408"/>
      <c r="BI2370" s="408"/>
      <c r="BJ2370" s="408"/>
      <c r="BK2370" s="408"/>
      <c r="BL2370" s="410"/>
      <c r="BM2370" s="407"/>
      <c r="BN2370" s="408"/>
      <c r="BO2370" s="408"/>
      <c r="BP2370" s="408"/>
      <c r="BQ2370" s="408"/>
      <c r="BR2370" s="408"/>
      <c r="BS2370" s="408"/>
      <c r="BT2370" s="408"/>
      <c r="BU2370" s="408"/>
      <c r="BV2370" s="408"/>
      <c r="BW2370" s="408"/>
      <c r="BX2370" s="408"/>
      <c r="BY2370" s="408"/>
      <c r="BZ2370" s="409"/>
      <c r="CA2370" s="270"/>
      <c r="CB2370" s="3" t="str">
        <f t="shared" si="411"/>
        <v>Riadok bude skrytý.</v>
      </c>
      <c r="CC2370" s="271" t="s">
        <v>832</v>
      </c>
      <c r="CW2370" s="30">
        <f t="shared" si="407"/>
        <v>1</v>
      </c>
      <c r="CX2370" s="30">
        <f t="shared" si="414"/>
        <v>1</v>
      </c>
      <c r="CY2370" s="30">
        <f t="shared" si="415"/>
        <v>0</v>
      </c>
      <c r="CZ2370" s="30">
        <f t="shared" si="412"/>
        <v>1</v>
      </c>
      <c r="DA2370" s="53">
        <f t="shared" si="416"/>
        <v>0</v>
      </c>
      <c r="DB2370" s="2">
        <f t="shared" si="408"/>
        <v>0</v>
      </c>
      <c r="DS2370" s="130">
        <f>SI!BY2370</f>
        <v>371</v>
      </c>
      <c r="DZ2370" s="131">
        <f>SI!BZ2370</f>
        <v>0</v>
      </c>
    </row>
    <row r="2371" spans="1:130" hidden="1" x14ac:dyDescent="0.25">
      <c r="A2371" s="141"/>
      <c r="B2371" s="596"/>
      <c r="C2371" s="596"/>
      <c r="D2371" s="596"/>
      <c r="E2371" s="596"/>
      <c r="F2371" s="596"/>
      <c r="G2371" s="596"/>
      <c r="H2371" s="596"/>
      <c r="I2371" s="596"/>
      <c r="J2371" s="596"/>
      <c r="K2371" s="596"/>
      <c r="L2371" s="596"/>
      <c r="M2371" s="596"/>
      <c r="N2371" s="596"/>
      <c r="O2371" s="596"/>
      <c r="P2371" s="596"/>
      <c r="Q2371" s="596"/>
      <c r="R2371" s="596"/>
      <c r="S2371" s="549"/>
      <c r="T2371" s="407"/>
      <c r="U2371" s="408"/>
      <c r="V2371" s="408"/>
      <c r="W2371" s="408"/>
      <c r="X2371" s="408"/>
      <c r="Y2371" s="408"/>
      <c r="Z2371" s="408"/>
      <c r="AA2371" s="410"/>
      <c r="AB2371" s="407"/>
      <c r="AC2371" s="408"/>
      <c r="AD2371" s="408"/>
      <c r="AE2371" s="408"/>
      <c r="AF2371" s="408"/>
      <c r="AG2371" s="408"/>
      <c r="AH2371" s="409"/>
      <c r="AI2371" s="541"/>
      <c r="AJ2371" s="408"/>
      <c r="AK2371" s="408"/>
      <c r="AL2371" s="408"/>
      <c r="AM2371" s="408"/>
      <c r="AN2371" s="408"/>
      <c r="AO2371" s="408"/>
      <c r="AP2371" s="410"/>
      <c r="AQ2371" s="407"/>
      <c r="AR2371" s="408"/>
      <c r="AS2371" s="408"/>
      <c r="AT2371" s="408"/>
      <c r="AU2371" s="408"/>
      <c r="AV2371" s="408"/>
      <c r="AW2371" s="408"/>
      <c r="AX2371" s="408"/>
      <c r="AY2371" s="408"/>
      <c r="AZ2371" s="409"/>
      <c r="BA2371" s="541"/>
      <c r="BB2371" s="408"/>
      <c r="BC2371" s="408"/>
      <c r="BD2371" s="408"/>
      <c r="BE2371" s="408"/>
      <c r="BF2371" s="408"/>
      <c r="BG2371" s="408"/>
      <c r="BH2371" s="408"/>
      <c r="BI2371" s="408"/>
      <c r="BJ2371" s="408"/>
      <c r="BK2371" s="408"/>
      <c r="BL2371" s="410"/>
      <c r="BM2371" s="407"/>
      <c r="BN2371" s="408"/>
      <c r="BO2371" s="408"/>
      <c r="BP2371" s="408"/>
      <c r="BQ2371" s="408"/>
      <c r="BR2371" s="408"/>
      <c r="BS2371" s="408"/>
      <c r="BT2371" s="408"/>
      <c r="BU2371" s="408"/>
      <c r="BV2371" s="408"/>
      <c r="BW2371" s="408"/>
      <c r="BX2371" s="408"/>
      <c r="BY2371" s="408"/>
      <c r="BZ2371" s="409"/>
      <c r="CA2371" s="270"/>
      <c r="CB2371" s="3" t="str">
        <f t="shared" si="411"/>
        <v>Riadok bude skrytý.</v>
      </c>
      <c r="CC2371" s="271" t="s">
        <v>832</v>
      </c>
      <c r="CW2371" s="30">
        <f t="shared" si="407"/>
        <v>1</v>
      </c>
      <c r="CX2371" s="30">
        <f t="shared" si="414"/>
        <v>1</v>
      </c>
      <c r="CY2371" s="30">
        <f t="shared" si="415"/>
        <v>0</v>
      </c>
      <c r="CZ2371" s="30">
        <f t="shared" si="412"/>
        <v>1</v>
      </c>
      <c r="DA2371" s="53">
        <f t="shared" si="416"/>
        <v>0</v>
      </c>
      <c r="DB2371" s="2">
        <f t="shared" si="408"/>
        <v>0</v>
      </c>
      <c r="DS2371" s="130">
        <f>SI!BY2371</f>
        <v>186</v>
      </c>
      <c r="DZ2371" s="131">
        <f>SI!BZ2371</f>
        <v>0</v>
      </c>
    </row>
    <row r="2372" spans="1:130" hidden="1" x14ac:dyDescent="0.25">
      <c r="A2372" s="141"/>
      <c r="B2372" s="596"/>
      <c r="C2372" s="596"/>
      <c r="D2372" s="596"/>
      <c r="E2372" s="596"/>
      <c r="F2372" s="596"/>
      <c r="G2372" s="596"/>
      <c r="H2372" s="596"/>
      <c r="I2372" s="596"/>
      <c r="J2372" s="596"/>
      <c r="K2372" s="596"/>
      <c r="L2372" s="596"/>
      <c r="M2372" s="596"/>
      <c r="N2372" s="596"/>
      <c r="O2372" s="596"/>
      <c r="P2372" s="596"/>
      <c r="Q2372" s="596"/>
      <c r="R2372" s="596"/>
      <c r="S2372" s="549"/>
      <c r="T2372" s="407"/>
      <c r="U2372" s="408"/>
      <c r="V2372" s="408"/>
      <c r="W2372" s="408"/>
      <c r="X2372" s="408"/>
      <c r="Y2372" s="408"/>
      <c r="Z2372" s="408"/>
      <c r="AA2372" s="410"/>
      <c r="AB2372" s="407"/>
      <c r="AC2372" s="408"/>
      <c r="AD2372" s="408"/>
      <c r="AE2372" s="408"/>
      <c r="AF2372" s="408"/>
      <c r="AG2372" s="408"/>
      <c r="AH2372" s="409"/>
      <c r="AI2372" s="541"/>
      <c r="AJ2372" s="408"/>
      <c r="AK2372" s="408"/>
      <c r="AL2372" s="408"/>
      <c r="AM2372" s="408"/>
      <c r="AN2372" s="408"/>
      <c r="AO2372" s="408"/>
      <c r="AP2372" s="410"/>
      <c r="AQ2372" s="407"/>
      <c r="AR2372" s="408"/>
      <c r="AS2372" s="408"/>
      <c r="AT2372" s="408"/>
      <c r="AU2372" s="408"/>
      <c r="AV2372" s="408"/>
      <c r="AW2372" s="408"/>
      <c r="AX2372" s="408"/>
      <c r="AY2372" s="408"/>
      <c r="AZ2372" s="409"/>
      <c r="BA2372" s="541"/>
      <c r="BB2372" s="408"/>
      <c r="BC2372" s="408"/>
      <c r="BD2372" s="408"/>
      <c r="BE2372" s="408"/>
      <c r="BF2372" s="408"/>
      <c r="BG2372" s="408"/>
      <c r="BH2372" s="408"/>
      <c r="BI2372" s="408"/>
      <c r="BJ2372" s="408"/>
      <c r="BK2372" s="408"/>
      <c r="BL2372" s="410"/>
      <c r="BM2372" s="407"/>
      <c r="BN2372" s="408"/>
      <c r="BO2372" s="408"/>
      <c r="BP2372" s="408"/>
      <c r="BQ2372" s="408"/>
      <c r="BR2372" s="408"/>
      <c r="BS2372" s="408"/>
      <c r="BT2372" s="408"/>
      <c r="BU2372" s="408"/>
      <c r="BV2372" s="408"/>
      <c r="BW2372" s="408"/>
      <c r="BX2372" s="408"/>
      <c r="BY2372" s="408"/>
      <c r="BZ2372" s="409"/>
      <c r="CA2372" s="270"/>
      <c r="CB2372" s="3" t="str">
        <f t="shared" si="411"/>
        <v>Riadok bude skrytý.</v>
      </c>
      <c r="CC2372" s="271" t="s">
        <v>832</v>
      </c>
      <c r="CW2372" s="30">
        <f t="shared" si="407"/>
        <v>1</v>
      </c>
      <c r="CX2372" s="30">
        <f t="shared" si="414"/>
        <v>1</v>
      </c>
      <c r="CY2372" s="30">
        <f t="shared" si="415"/>
        <v>0</v>
      </c>
      <c r="CZ2372" s="30">
        <f t="shared" si="412"/>
        <v>1</v>
      </c>
      <c r="DA2372" s="53">
        <f t="shared" si="416"/>
        <v>0</v>
      </c>
      <c r="DB2372" s="2">
        <f t="shared" si="408"/>
        <v>0</v>
      </c>
      <c r="DS2372" s="130">
        <f>SI!BY2372</f>
        <v>998</v>
      </c>
      <c r="DZ2372" s="131">
        <f>SI!BZ2372</f>
        <v>0</v>
      </c>
    </row>
    <row r="2373" spans="1:130" hidden="1" x14ac:dyDescent="0.25">
      <c r="A2373" s="141"/>
      <c r="B2373" s="596"/>
      <c r="C2373" s="596"/>
      <c r="D2373" s="596"/>
      <c r="E2373" s="596"/>
      <c r="F2373" s="596"/>
      <c r="G2373" s="596"/>
      <c r="H2373" s="596"/>
      <c r="I2373" s="596"/>
      <c r="J2373" s="596"/>
      <c r="K2373" s="596"/>
      <c r="L2373" s="596"/>
      <c r="M2373" s="596"/>
      <c r="N2373" s="596"/>
      <c r="O2373" s="596"/>
      <c r="P2373" s="596"/>
      <c r="Q2373" s="596"/>
      <c r="R2373" s="596"/>
      <c r="S2373" s="549"/>
      <c r="T2373" s="407"/>
      <c r="U2373" s="408"/>
      <c r="V2373" s="408"/>
      <c r="W2373" s="408"/>
      <c r="X2373" s="408"/>
      <c r="Y2373" s="408"/>
      <c r="Z2373" s="408"/>
      <c r="AA2373" s="410"/>
      <c r="AB2373" s="407"/>
      <c r="AC2373" s="408"/>
      <c r="AD2373" s="408"/>
      <c r="AE2373" s="408"/>
      <c r="AF2373" s="408"/>
      <c r="AG2373" s="408"/>
      <c r="AH2373" s="409"/>
      <c r="AI2373" s="541"/>
      <c r="AJ2373" s="408"/>
      <c r="AK2373" s="408"/>
      <c r="AL2373" s="408"/>
      <c r="AM2373" s="408"/>
      <c r="AN2373" s="408"/>
      <c r="AO2373" s="408"/>
      <c r="AP2373" s="410"/>
      <c r="AQ2373" s="407"/>
      <c r="AR2373" s="408"/>
      <c r="AS2373" s="408"/>
      <c r="AT2373" s="408"/>
      <c r="AU2373" s="408"/>
      <c r="AV2373" s="408"/>
      <c r="AW2373" s="408"/>
      <c r="AX2373" s="408"/>
      <c r="AY2373" s="408"/>
      <c r="AZ2373" s="409"/>
      <c r="BA2373" s="541"/>
      <c r="BB2373" s="408"/>
      <c r="BC2373" s="408"/>
      <c r="BD2373" s="408"/>
      <c r="BE2373" s="408"/>
      <c r="BF2373" s="408"/>
      <c r="BG2373" s="408"/>
      <c r="BH2373" s="408"/>
      <c r="BI2373" s="408"/>
      <c r="BJ2373" s="408"/>
      <c r="BK2373" s="408"/>
      <c r="BL2373" s="410"/>
      <c r="BM2373" s="407"/>
      <c r="BN2373" s="408"/>
      <c r="BO2373" s="408"/>
      <c r="BP2373" s="408"/>
      <c r="BQ2373" s="408"/>
      <c r="BR2373" s="408"/>
      <c r="BS2373" s="408"/>
      <c r="BT2373" s="408"/>
      <c r="BU2373" s="408"/>
      <c r="BV2373" s="408"/>
      <c r="BW2373" s="408"/>
      <c r="BX2373" s="408"/>
      <c r="BY2373" s="408"/>
      <c r="BZ2373" s="409"/>
      <c r="CA2373" s="270"/>
      <c r="CB2373" s="3" t="str">
        <f t="shared" si="411"/>
        <v>Riadok bude skrytý.</v>
      </c>
      <c r="CC2373" s="271" t="s">
        <v>832</v>
      </c>
      <c r="CW2373" s="30">
        <f t="shared" ref="CW2373:CW2398" si="417">+IF($J$2307="neeviduje",0,1)</f>
        <v>1</v>
      </c>
      <c r="CX2373" s="30">
        <f t="shared" si="414"/>
        <v>1</v>
      </c>
      <c r="CY2373" s="30">
        <f t="shared" si="415"/>
        <v>0</v>
      </c>
      <c r="CZ2373" s="30">
        <f t="shared" si="412"/>
        <v>1</v>
      </c>
      <c r="DA2373" s="53">
        <f t="shared" si="416"/>
        <v>0</v>
      </c>
      <c r="DB2373" s="2">
        <f t="shared" si="408"/>
        <v>0</v>
      </c>
      <c r="DS2373" s="130">
        <f>SI!BY2373</f>
        <v>159</v>
      </c>
      <c r="DZ2373" s="131">
        <f>SI!BZ2373</f>
        <v>0</v>
      </c>
    </row>
    <row r="2374" spans="1:130" hidden="1" x14ac:dyDescent="0.25">
      <c r="A2374" s="141"/>
      <c r="B2374" s="596"/>
      <c r="C2374" s="596"/>
      <c r="D2374" s="596"/>
      <c r="E2374" s="596"/>
      <c r="F2374" s="596"/>
      <c r="G2374" s="596"/>
      <c r="H2374" s="596"/>
      <c r="I2374" s="596"/>
      <c r="J2374" s="596"/>
      <c r="K2374" s="596"/>
      <c r="L2374" s="596"/>
      <c r="M2374" s="596"/>
      <c r="N2374" s="596"/>
      <c r="O2374" s="596"/>
      <c r="P2374" s="596"/>
      <c r="Q2374" s="596"/>
      <c r="R2374" s="596"/>
      <c r="S2374" s="549"/>
      <c r="T2374" s="407"/>
      <c r="U2374" s="408"/>
      <c r="V2374" s="408"/>
      <c r="W2374" s="408"/>
      <c r="X2374" s="408"/>
      <c r="Y2374" s="408"/>
      <c r="Z2374" s="408"/>
      <c r="AA2374" s="410"/>
      <c r="AB2374" s="407"/>
      <c r="AC2374" s="408"/>
      <c r="AD2374" s="408"/>
      <c r="AE2374" s="408"/>
      <c r="AF2374" s="408"/>
      <c r="AG2374" s="408"/>
      <c r="AH2374" s="409"/>
      <c r="AI2374" s="541"/>
      <c r="AJ2374" s="408"/>
      <c r="AK2374" s="408"/>
      <c r="AL2374" s="408"/>
      <c r="AM2374" s="408"/>
      <c r="AN2374" s="408"/>
      <c r="AO2374" s="408"/>
      <c r="AP2374" s="410"/>
      <c r="AQ2374" s="407"/>
      <c r="AR2374" s="408"/>
      <c r="AS2374" s="408"/>
      <c r="AT2374" s="408"/>
      <c r="AU2374" s="408"/>
      <c r="AV2374" s="408"/>
      <c r="AW2374" s="408"/>
      <c r="AX2374" s="408"/>
      <c r="AY2374" s="408"/>
      <c r="AZ2374" s="409"/>
      <c r="BA2374" s="541"/>
      <c r="BB2374" s="408"/>
      <c r="BC2374" s="408"/>
      <c r="BD2374" s="408"/>
      <c r="BE2374" s="408"/>
      <c r="BF2374" s="408"/>
      <c r="BG2374" s="408"/>
      <c r="BH2374" s="408"/>
      <c r="BI2374" s="408"/>
      <c r="BJ2374" s="408"/>
      <c r="BK2374" s="408"/>
      <c r="BL2374" s="410"/>
      <c r="BM2374" s="407"/>
      <c r="BN2374" s="408"/>
      <c r="BO2374" s="408"/>
      <c r="BP2374" s="408"/>
      <c r="BQ2374" s="408"/>
      <c r="BR2374" s="408"/>
      <c r="BS2374" s="408"/>
      <c r="BT2374" s="408"/>
      <c r="BU2374" s="408"/>
      <c r="BV2374" s="408"/>
      <c r="BW2374" s="408"/>
      <c r="BX2374" s="408"/>
      <c r="BY2374" s="408"/>
      <c r="BZ2374" s="409"/>
      <c r="CA2374" s="270"/>
      <c r="CB2374" s="3" t="str">
        <f t="shared" si="411"/>
        <v>Riadok bude skrytý.</v>
      </c>
      <c r="CC2374" s="271" t="s">
        <v>832</v>
      </c>
      <c r="CW2374" s="30">
        <f t="shared" si="417"/>
        <v>1</v>
      </c>
      <c r="CX2374" s="30">
        <f t="shared" si="414"/>
        <v>1</v>
      </c>
      <c r="CY2374" s="30">
        <f t="shared" si="415"/>
        <v>0</v>
      </c>
      <c r="CZ2374" s="30">
        <f t="shared" si="412"/>
        <v>1</v>
      </c>
      <c r="DA2374" s="53">
        <f t="shared" si="416"/>
        <v>0</v>
      </c>
      <c r="DB2374" s="2">
        <f t="shared" si="408"/>
        <v>0</v>
      </c>
      <c r="DS2374" s="130">
        <f>SI!BY2374</f>
        <v>825</v>
      </c>
      <c r="DZ2374" s="131">
        <f>SI!BZ2374</f>
        <v>0</v>
      </c>
    </row>
    <row r="2375" spans="1:130" hidden="1" x14ac:dyDescent="0.25">
      <c r="A2375" s="141"/>
      <c r="B2375" s="596"/>
      <c r="C2375" s="596"/>
      <c r="D2375" s="596"/>
      <c r="E2375" s="596"/>
      <c r="F2375" s="596"/>
      <c r="G2375" s="596"/>
      <c r="H2375" s="596"/>
      <c r="I2375" s="596"/>
      <c r="J2375" s="596"/>
      <c r="K2375" s="596"/>
      <c r="L2375" s="596"/>
      <c r="M2375" s="596"/>
      <c r="N2375" s="596"/>
      <c r="O2375" s="596"/>
      <c r="P2375" s="596"/>
      <c r="Q2375" s="596"/>
      <c r="R2375" s="596"/>
      <c r="S2375" s="549"/>
      <c r="T2375" s="407"/>
      <c r="U2375" s="408"/>
      <c r="V2375" s="408"/>
      <c r="W2375" s="408"/>
      <c r="X2375" s="408"/>
      <c r="Y2375" s="408"/>
      <c r="Z2375" s="408"/>
      <c r="AA2375" s="410"/>
      <c r="AB2375" s="407"/>
      <c r="AC2375" s="408"/>
      <c r="AD2375" s="408"/>
      <c r="AE2375" s="408"/>
      <c r="AF2375" s="408"/>
      <c r="AG2375" s="408"/>
      <c r="AH2375" s="409"/>
      <c r="AI2375" s="541"/>
      <c r="AJ2375" s="408"/>
      <c r="AK2375" s="408"/>
      <c r="AL2375" s="408"/>
      <c r="AM2375" s="408"/>
      <c r="AN2375" s="408"/>
      <c r="AO2375" s="408"/>
      <c r="AP2375" s="410"/>
      <c r="AQ2375" s="407"/>
      <c r="AR2375" s="408"/>
      <c r="AS2375" s="408"/>
      <c r="AT2375" s="408"/>
      <c r="AU2375" s="408"/>
      <c r="AV2375" s="408"/>
      <c r="AW2375" s="408"/>
      <c r="AX2375" s="408"/>
      <c r="AY2375" s="408"/>
      <c r="AZ2375" s="409"/>
      <c r="BA2375" s="541"/>
      <c r="BB2375" s="408"/>
      <c r="BC2375" s="408"/>
      <c r="BD2375" s="408"/>
      <c r="BE2375" s="408"/>
      <c r="BF2375" s="408"/>
      <c r="BG2375" s="408"/>
      <c r="BH2375" s="408"/>
      <c r="BI2375" s="408"/>
      <c r="BJ2375" s="408"/>
      <c r="BK2375" s="408"/>
      <c r="BL2375" s="410"/>
      <c r="BM2375" s="407"/>
      <c r="BN2375" s="408"/>
      <c r="BO2375" s="408"/>
      <c r="BP2375" s="408"/>
      <c r="BQ2375" s="408"/>
      <c r="BR2375" s="408"/>
      <c r="BS2375" s="408"/>
      <c r="BT2375" s="408"/>
      <c r="BU2375" s="408"/>
      <c r="BV2375" s="408"/>
      <c r="BW2375" s="408"/>
      <c r="BX2375" s="408"/>
      <c r="BY2375" s="408"/>
      <c r="BZ2375" s="409"/>
      <c r="CA2375" s="270"/>
      <c r="CB2375" s="3" t="str">
        <f t="shared" si="411"/>
        <v>Riadok bude skrytý.</v>
      </c>
      <c r="CC2375" s="271" t="s">
        <v>832</v>
      </c>
      <c r="CW2375" s="30">
        <f t="shared" si="417"/>
        <v>1</v>
      </c>
      <c r="CX2375" s="30">
        <f t="shared" si="414"/>
        <v>1</v>
      </c>
      <c r="CY2375" s="30">
        <f t="shared" si="415"/>
        <v>0</v>
      </c>
      <c r="CZ2375" s="30">
        <f t="shared" si="412"/>
        <v>1</v>
      </c>
      <c r="DA2375" s="53">
        <f t="shared" si="416"/>
        <v>0</v>
      </c>
      <c r="DB2375" s="2">
        <f t="shared" si="408"/>
        <v>0</v>
      </c>
      <c r="DS2375" s="130">
        <f>SI!BY2375</f>
        <v>163</v>
      </c>
      <c r="DZ2375" s="131">
        <f>SI!BZ2375</f>
        <v>0</v>
      </c>
    </row>
    <row r="2376" spans="1:130" hidden="1" x14ac:dyDescent="0.25">
      <c r="A2376" s="141"/>
      <c r="B2376" s="1432"/>
      <c r="C2376" s="1432"/>
      <c r="D2376" s="1432"/>
      <c r="E2376" s="1432"/>
      <c r="F2376" s="1432"/>
      <c r="G2376" s="1432"/>
      <c r="H2376" s="1432"/>
      <c r="I2376" s="1432"/>
      <c r="J2376" s="1432"/>
      <c r="K2376" s="1432"/>
      <c r="L2376" s="1432"/>
      <c r="M2376" s="1432"/>
      <c r="N2376" s="1432"/>
      <c r="O2376" s="1432"/>
      <c r="P2376" s="1432"/>
      <c r="Q2376" s="1432"/>
      <c r="R2376" s="1432"/>
      <c r="S2376" s="1433"/>
      <c r="T2376" s="576"/>
      <c r="U2376" s="577"/>
      <c r="V2376" s="577"/>
      <c r="W2376" s="577"/>
      <c r="X2376" s="577"/>
      <c r="Y2376" s="577"/>
      <c r="Z2376" s="577"/>
      <c r="AA2376" s="588"/>
      <c r="AB2376" s="576"/>
      <c r="AC2376" s="577"/>
      <c r="AD2376" s="577"/>
      <c r="AE2376" s="577"/>
      <c r="AF2376" s="577"/>
      <c r="AG2376" s="577"/>
      <c r="AH2376" s="578"/>
      <c r="AI2376" s="587"/>
      <c r="AJ2376" s="577"/>
      <c r="AK2376" s="577"/>
      <c r="AL2376" s="577"/>
      <c r="AM2376" s="577"/>
      <c r="AN2376" s="577"/>
      <c r="AO2376" s="577"/>
      <c r="AP2376" s="588"/>
      <c r="AQ2376" s="576"/>
      <c r="AR2376" s="577"/>
      <c r="AS2376" s="577"/>
      <c r="AT2376" s="577"/>
      <c r="AU2376" s="577"/>
      <c r="AV2376" s="577"/>
      <c r="AW2376" s="577"/>
      <c r="AX2376" s="577"/>
      <c r="AY2376" s="577"/>
      <c r="AZ2376" s="578"/>
      <c r="BA2376" s="587"/>
      <c r="BB2376" s="577"/>
      <c r="BC2376" s="577"/>
      <c r="BD2376" s="577"/>
      <c r="BE2376" s="577"/>
      <c r="BF2376" s="577"/>
      <c r="BG2376" s="577"/>
      <c r="BH2376" s="577"/>
      <c r="BI2376" s="577"/>
      <c r="BJ2376" s="577"/>
      <c r="BK2376" s="577"/>
      <c r="BL2376" s="588"/>
      <c r="BM2376" s="576"/>
      <c r="BN2376" s="577"/>
      <c r="BO2376" s="577"/>
      <c r="BP2376" s="577"/>
      <c r="BQ2376" s="577"/>
      <c r="BR2376" s="577"/>
      <c r="BS2376" s="577"/>
      <c r="BT2376" s="577"/>
      <c r="BU2376" s="577"/>
      <c r="BV2376" s="577"/>
      <c r="BW2376" s="577"/>
      <c r="BX2376" s="577"/>
      <c r="BY2376" s="577"/>
      <c r="BZ2376" s="578"/>
      <c r="CA2376" s="270"/>
      <c r="CB2376" s="3" t="str">
        <f t="shared" si="411"/>
        <v>Riadok bude skrytý.</v>
      </c>
      <c r="CC2376" s="271" t="s">
        <v>832</v>
      </c>
      <c r="CW2376" s="30">
        <f t="shared" si="417"/>
        <v>1</v>
      </c>
      <c r="CX2376" s="30">
        <f t="shared" si="414"/>
        <v>1</v>
      </c>
      <c r="CZ2376" s="30">
        <f>IF(CC2376="",1,IF(CC2376="Chcem skryť riadok.",0,1))</f>
        <v>1</v>
      </c>
      <c r="DA2376" s="52">
        <f>+IF(CW2376*CX2376=0,0,IF(CZ2376=0,0,1))</f>
        <v>1</v>
      </c>
      <c r="DB2376" s="2">
        <f t="shared" si="408"/>
        <v>0</v>
      </c>
      <c r="DS2376" s="130">
        <f>SI!BY2376</f>
        <v>779</v>
      </c>
      <c r="DZ2376" s="131">
        <f>SI!BZ2376</f>
        <v>0</v>
      </c>
    </row>
    <row r="2377" spans="1:130" hidden="1" x14ac:dyDescent="0.25">
      <c r="A2377" s="141"/>
      <c r="B2377" s="579" t="s">
        <v>305</v>
      </c>
      <c r="C2377" s="580"/>
      <c r="D2377" s="580"/>
      <c r="E2377" s="580"/>
      <c r="F2377" s="580"/>
      <c r="G2377" s="580"/>
      <c r="H2377" s="580"/>
      <c r="I2377" s="580"/>
      <c r="J2377" s="580"/>
      <c r="K2377" s="580"/>
      <c r="L2377" s="580"/>
      <c r="M2377" s="580"/>
      <c r="N2377" s="580"/>
      <c r="O2377" s="580"/>
      <c r="P2377" s="580"/>
      <c r="Q2377" s="580"/>
      <c r="R2377" s="580"/>
      <c r="S2377" s="580"/>
      <c r="T2377" s="580"/>
      <c r="U2377" s="580"/>
      <c r="V2377" s="580"/>
      <c r="W2377" s="580"/>
      <c r="X2377" s="580"/>
      <c r="Y2377" s="580"/>
      <c r="Z2377" s="580"/>
      <c r="AA2377" s="580"/>
      <c r="AB2377" s="580"/>
      <c r="AC2377" s="580"/>
      <c r="AD2377" s="580"/>
      <c r="AE2377" s="580"/>
      <c r="AF2377" s="580"/>
      <c r="AG2377" s="580"/>
      <c r="AH2377" s="580"/>
      <c r="AI2377" s="580"/>
      <c r="AJ2377" s="580"/>
      <c r="AK2377" s="580"/>
      <c r="AL2377" s="580"/>
      <c r="AM2377" s="580"/>
      <c r="AN2377" s="580"/>
      <c r="AO2377" s="580"/>
      <c r="AP2377" s="580"/>
      <c r="AQ2377" s="580"/>
      <c r="AR2377" s="580"/>
      <c r="AS2377" s="580"/>
      <c r="AT2377" s="580"/>
      <c r="AU2377" s="580"/>
      <c r="AV2377" s="580"/>
      <c r="AW2377" s="580"/>
      <c r="AX2377" s="580"/>
      <c r="AY2377" s="580"/>
      <c r="AZ2377" s="580"/>
      <c r="BA2377" s="580"/>
      <c r="BB2377" s="580"/>
      <c r="BC2377" s="580"/>
      <c r="BD2377" s="580"/>
      <c r="BE2377" s="580"/>
      <c r="BF2377" s="580"/>
      <c r="BG2377" s="580"/>
      <c r="BH2377" s="580"/>
      <c r="BI2377" s="580"/>
      <c r="BJ2377" s="580"/>
      <c r="BK2377" s="580"/>
      <c r="BL2377" s="580"/>
      <c r="BM2377" s="580"/>
      <c r="BN2377" s="580"/>
      <c r="BO2377" s="580"/>
      <c r="BP2377" s="580"/>
      <c r="BQ2377" s="580"/>
      <c r="BR2377" s="580"/>
      <c r="BS2377" s="580"/>
      <c r="BT2377" s="580"/>
      <c r="BU2377" s="580"/>
      <c r="BV2377" s="580"/>
      <c r="BW2377" s="580"/>
      <c r="BX2377" s="580"/>
      <c r="BY2377" s="580"/>
      <c r="BZ2377" s="581"/>
      <c r="CA2377" s="270"/>
      <c r="CB2377" s="3" t="str">
        <f t="shared" si="411"/>
        <v>Riadok bude skrytý.</v>
      </c>
      <c r="CC2377" s="271" t="s">
        <v>832</v>
      </c>
      <c r="CW2377" s="30">
        <f t="shared" si="417"/>
        <v>1</v>
      </c>
      <c r="CX2377" s="30">
        <f t="shared" si="414"/>
        <v>1</v>
      </c>
      <c r="CZ2377" s="30">
        <f t="shared" si="412"/>
        <v>1</v>
      </c>
      <c r="DA2377" s="52">
        <f>+IF(CW2377*CX2377=0,0,IF(CZ2377=0,0,1))</f>
        <v>1</v>
      </c>
      <c r="DB2377" s="2">
        <f t="shared" si="408"/>
        <v>0</v>
      </c>
      <c r="DS2377" s="130">
        <f>SI!BY2377</f>
        <v>186</v>
      </c>
      <c r="DZ2377" s="131">
        <f>SI!BZ2377</f>
        <v>0</v>
      </c>
    </row>
    <row r="2378" spans="1:130" hidden="1" x14ac:dyDescent="0.25">
      <c r="A2378" s="141"/>
      <c r="B2378" s="596"/>
      <c r="C2378" s="596"/>
      <c r="D2378" s="596"/>
      <c r="E2378" s="596"/>
      <c r="F2378" s="596"/>
      <c r="G2378" s="596"/>
      <c r="H2378" s="596"/>
      <c r="I2378" s="596"/>
      <c r="J2378" s="596"/>
      <c r="K2378" s="596"/>
      <c r="L2378" s="596"/>
      <c r="M2378" s="596"/>
      <c r="N2378" s="596"/>
      <c r="O2378" s="596"/>
      <c r="P2378" s="596"/>
      <c r="Q2378" s="596"/>
      <c r="R2378" s="596"/>
      <c r="S2378" s="549"/>
      <c r="T2378" s="582"/>
      <c r="U2378" s="583"/>
      <c r="V2378" s="583"/>
      <c r="W2378" s="583"/>
      <c r="X2378" s="583"/>
      <c r="Y2378" s="583"/>
      <c r="Z2378" s="583"/>
      <c r="AA2378" s="584"/>
      <c r="AB2378" s="582"/>
      <c r="AC2378" s="583"/>
      <c r="AD2378" s="583"/>
      <c r="AE2378" s="583"/>
      <c r="AF2378" s="583"/>
      <c r="AG2378" s="583"/>
      <c r="AH2378" s="585"/>
      <c r="AI2378" s="586"/>
      <c r="AJ2378" s="583"/>
      <c r="AK2378" s="583"/>
      <c r="AL2378" s="583"/>
      <c r="AM2378" s="583"/>
      <c r="AN2378" s="583"/>
      <c r="AO2378" s="583"/>
      <c r="AP2378" s="584"/>
      <c r="AQ2378" s="582"/>
      <c r="AR2378" s="583"/>
      <c r="AS2378" s="583"/>
      <c r="AT2378" s="583"/>
      <c r="AU2378" s="583"/>
      <c r="AV2378" s="583"/>
      <c r="AW2378" s="583"/>
      <c r="AX2378" s="583"/>
      <c r="AY2378" s="583"/>
      <c r="AZ2378" s="585"/>
      <c r="BA2378" s="586"/>
      <c r="BB2378" s="583"/>
      <c r="BC2378" s="583"/>
      <c r="BD2378" s="583"/>
      <c r="BE2378" s="583"/>
      <c r="BF2378" s="583"/>
      <c r="BG2378" s="583"/>
      <c r="BH2378" s="583"/>
      <c r="BI2378" s="583"/>
      <c r="BJ2378" s="583"/>
      <c r="BK2378" s="583"/>
      <c r="BL2378" s="584"/>
      <c r="BM2378" s="582"/>
      <c r="BN2378" s="583"/>
      <c r="BO2378" s="583"/>
      <c r="BP2378" s="583"/>
      <c r="BQ2378" s="583"/>
      <c r="BR2378" s="583"/>
      <c r="BS2378" s="583"/>
      <c r="BT2378" s="583"/>
      <c r="BU2378" s="583"/>
      <c r="BV2378" s="583"/>
      <c r="BW2378" s="583"/>
      <c r="BX2378" s="583"/>
      <c r="BY2378" s="583"/>
      <c r="BZ2378" s="585"/>
      <c r="CA2378" s="270"/>
      <c r="CB2378" s="3" t="str">
        <f t="shared" si="411"/>
        <v>Riadok bude skrytý.</v>
      </c>
      <c r="CC2378" s="271" t="s">
        <v>832</v>
      </c>
      <c r="CW2378" s="30">
        <f t="shared" si="417"/>
        <v>1</v>
      </c>
      <c r="CX2378" s="30">
        <f t="shared" si="414"/>
        <v>1</v>
      </c>
      <c r="CZ2378" s="30">
        <f t="shared" si="412"/>
        <v>1</v>
      </c>
      <c r="DA2378" s="52">
        <f>+IF(CW2378*CX2378=0,0,IF(CZ2378=0,0,1))</f>
        <v>1</v>
      </c>
      <c r="DB2378" s="2">
        <f t="shared" si="408"/>
        <v>0</v>
      </c>
      <c r="DS2378" s="130">
        <f>SI!BY2378</f>
        <v>370</v>
      </c>
      <c r="DZ2378" s="131">
        <f>SI!BZ2378</f>
        <v>0</v>
      </c>
    </row>
    <row r="2379" spans="1:130" hidden="1" x14ac:dyDescent="0.25">
      <c r="A2379" s="141"/>
      <c r="B2379" s="596"/>
      <c r="C2379" s="596"/>
      <c r="D2379" s="596"/>
      <c r="E2379" s="596"/>
      <c r="F2379" s="596"/>
      <c r="G2379" s="596"/>
      <c r="H2379" s="596"/>
      <c r="I2379" s="596"/>
      <c r="J2379" s="596"/>
      <c r="K2379" s="596"/>
      <c r="L2379" s="596"/>
      <c r="M2379" s="596"/>
      <c r="N2379" s="596"/>
      <c r="O2379" s="596"/>
      <c r="P2379" s="596"/>
      <c r="Q2379" s="596"/>
      <c r="R2379" s="596"/>
      <c r="S2379" s="549"/>
      <c r="T2379" s="407"/>
      <c r="U2379" s="408"/>
      <c r="V2379" s="408"/>
      <c r="W2379" s="408"/>
      <c r="X2379" s="408"/>
      <c r="Y2379" s="408"/>
      <c r="Z2379" s="408"/>
      <c r="AA2379" s="410"/>
      <c r="AB2379" s="407"/>
      <c r="AC2379" s="408"/>
      <c r="AD2379" s="408"/>
      <c r="AE2379" s="408"/>
      <c r="AF2379" s="408"/>
      <c r="AG2379" s="408"/>
      <c r="AH2379" s="409"/>
      <c r="AI2379" s="541"/>
      <c r="AJ2379" s="408"/>
      <c r="AK2379" s="408"/>
      <c r="AL2379" s="408"/>
      <c r="AM2379" s="408"/>
      <c r="AN2379" s="408"/>
      <c r="AO2379" s="408"/>
      <c r="AP2379" s="410"/>
      <c r="AQ2379" s="407"/>
      <c r="AR2379" s="408"/>
      <c r="AS2379" s="408"/>
      <c r="AT2379" s="408"/>
      <c r="AU2379" s="408"/>
      <c r="AV2379" s="408"/>
      <c r="AW2379" s="408"/>
      <c r="AX2379" s="408"/>
      <c r="AY2379" s="408"/>
      <c r="AZ2379" s="409"/>
      <c r="BA2379" s="541"/>
      <c r="BB2379" s="408"/>
      <c r="BC2379" s="408"/>
      <c r="BD2379" s="408"/>
      <c r="BE2379" s="408"/>
      <c r="BF2379" s="408"/>
      <c r="BG2379" s="408"/>
      <c r="BH2379" s="408"/>
      <c r="BI2379" s="408"/>
      <c r="BJ2379" s="408"/>
      <c r="BK2379" s="408"/>
      <c r="BL2379" s="410"/>
      <c r="BM2379" s="407"/>
      <c r="BN2379" s="408"/>
      <c r="BO2379" s="408"/>
      <c r="BP2379" s="408"/>
      <c r="BQ2379" s="408"/>
      <c r="BR2379" s="408"/>
      <c r="BS2379" s="408"/>
      <c r="BT2379" s="408"/>
      <c r="BU2379" s="408"/>
      <c r="BV2379" s="408"/>
      <c r="BW2379" s="408"/>
      <c r="BX2379" s="408"/>
      <c r="BY2379" s="408"/>
      <c r="BZ2379" s="409"/>
      <c r="CA2379" s="270"/>
      <c r="CB2379" s="3" t="str">
        <f t="shared" si="411"/>
        <v>Riadok bude skrytý.</v>
      </c>
      <c r="CC2379" s="271" t="s">
        <v>832</v>
      </c>
      <c r="CW2379" s="30">
        <f t="shared" si="417"/>
        <v>1</v>
      </c>
      <c r="CX2379" s="30">
        <f t="shared" si="414"/>
        <v>1</v>
      </c>
      <c r="CY2379" s="30">
        <f t="shared" ref="CY2379:CY2386" si="418">+IF(B2379="",0,1)</f>
        <v>0</v>
      </c>
      <c r="CZ2379" s="30">
        <f t="shared" si="412"/>
        <v>1</v>
      </c>
      <c r="DA2379" s="53">
        <f t="shared" ref="DA2379:DA2386" si="419">+IF(CW2379*CX2379*CY2379=0,0,IF(CZ2379=0,0,1))</f>
        <v>0</v>
      </c>
      <c r="DB2379" s="2">
        <f t="shared" si="408"/>
        <v>0</v>
      </c>
      <c r="DS2379" s="130">
        <f>SI!BY2379</f>
        <v>789</v>
      </c>
      <c r="DZ2379" s="131">
        <f>SI!BZ2379</f>
        <v>0</v>
      </c>
    </row>
    <row r="2380" spans="1:130" hidden="1" x14ac:dyDescent="0.25">
      <c r="A2380" s="141"/>
      <c r="B2380" s="596"/>
      <c r="C2380" s="596"/>
      <c r="D2380" s="596"/>
      <c r="E2380" s="596"/>
      <c r="F2380" s="596"/>
      <c r="G2380" s="596"/>
      <c r="H2380" s="596"/>
      <c r="I2380" s="596"/>
      <c r="J2380" s="596"/>
      <c r="K2380" s="596"/>
      <c r="L2380" s="596"/>
      <c r="M2380" s="596"/>
      <c r="N2380" s="596"/>
      <c r="O2380" s="596"/>
      <c r="P2380" s="596"/>
      <c r="Q2380" s="596"/>
      <c r="R2380" s="596"/>
      <c r="S2380" s="549"/>
      <c r="T2380" s="407"/>
      <c r="U2380" s="408"/>
      <c r="V2380" s="408"/>
      <c r="W2380" s="408"/>
      <c r="X2380" s="408"/>
      <c r="Y2380" s="408"/>
      <c r="Z2380" s="408"/>
      <c r="AA2380" s="410"/>
      <c r="AB2380" s="407"/>
      <c r="AC2380" s="408"/>
      <c r="AD2380" s="408"/>
      <c r="AE2380" s="408"/>
      <c r="AF2380" s="408"/>
      <c r="AG2380" s="408"/>
      <c r="AH2380" s="409"/>
      <c r="AI2380" s="541"/>
      <c r="AJ2380" s="408"/>
      <c r="AK2380" s="408"/>
      <c r="AL2380" s="408"/>
      <c r="AM2380" s="408"/>
      <c r="AN2380" s="408"/>
      <c r="AO2380" s="408"/>
      <c r="AP2380" s="410"/>
      <c r="AQ2380" s="407"/>
      <c r="AR2380" s="408"/>
      <c r="AS2380" s="408"/>
      <c r="AT2380" s="408"/>
      <c r="AU2380" s="408"/>
      <c r="AV2380" s="408"/>
      <c r="AW2380" s="408"/>
      <c r="AX2380" s="408"/>
      <c r="AY2380" s="408"/>
      <c r="AZ2380" s="409"/>
      <c r="BA2380" s="541"/>
      <c r="BB2380" s="408"/>
      <c r="BC2380" s="408"/>
      <c r="BD2380" s="408"/>
      <c r="BE2380" s="408"/>
      <c r="BF2380" s="408"/>
      <c r="BG2380" s="408"/>
      <c r="BH2380" s="408"/>
      <c r="BI2380" s="408"/>
      <c r="BJ2380" s="408"/>
      <c r="BK2380" s="408"/>
      <c r="BL2380" s="410"/>
      <c r="BM2380" s="407"/>
      <c r="BN2380" s="408"/>
      <c r="BO2380" s="408"/>
      <c r="BP2380" s="408"/>
      <c r="BQ2380" s="408"/>
      <c r="BR2380" s="408"/>
      <c r="BS2380" s="408"/>
      <c r="BT2380" s="408"/>
      <c r="BU2380" s="408"/>
      <c r="BV2380" s="408"/>
      <c r="BW2380" s="408"/>
      <c r="BX2380" s="408"/>
      <c r="BY2380" s="408"/>
      <c r="BZ2380" s="409"/>
      <c r="CA2380" s="270"/>
      <c r="CB2380" s="3" t="str">
        <f t="shared" si="411"/>
        <v>Riadok bude skrytý.</v>
      </c>
      <c r="CC2380" s="271" t="s">
        <v>832</v>
      </c>
      <c r="CW2380" s="30">
        <f t="shared" si="417"/>
        <v>1</v>
      </c>
      <c r="CX2380" s="30">
        <f t="shared" si="414"/>
        <v>1</v>
      </c>
      <c r="CY2380" s="30">
        <f t="shared" si="418"/>
        <v>0</v>
      </c>
      <c r="CZ2380" s="30">
        <f t="shared" si="412"/>
        <v>1</v>
      </c>
      <c r="DA2380" s="53">
        <f t="shared" si="419"/>
        <v>0</v>
      </c>
      <c r="DB2380" s="2">
        <f t="shared" si="408"/>
        <v>0</v>
      </c>
      <c r="DS2380" s="130">
        <f>SI!BY2380</f>
        <v>173</v>
      </c>
      <c r="DZ2380" s="131">
        <f>SI!BZ2380</f>
        <v>0</v>
      </c>
    </row>
    <row r="2381" spans="1:130" hidden="1" x14ac:dyDescent="0.25">
      <c r="A2381" s="141"/>
      <c r="B2381" s="596"/>
      <c r="C2381" s="596"/>
      <c r="D2381" s="596"/>
      <c r="E2381" s="596"/>
      <c r="F2381" s="596"/>
      <c r="G2381" s="596"/>
      <c r="H2381" s="596"/>
      <c r="I2381" s="596"/>
      <c r="J2381" s="596"/>
      <c r="K2381" s="596"/>
      <c r="L2381" s="596"/>
      <c r="M2381" s="596"/>
      <c r="N2381" s="596"/>
      <c r="O2381" s="596"/>
      <c r="P2381" s="596"/>
      <c r="Q2381" s="596"/>
      <c r="R2381" s="596"/>
      <c r="S2381" s="549"/>
      <c r="T2381" s="407"/>
      <c r="U2381" s="408"/>
      <c r="V2381" s="408"/>
      <c r="W2381" s="408"/>
      <c r="X2381" s="408"/>
      <c r="Y2381" s="408"/>
      <c r="Z2381" s="408"/>
      <c r="AA2381" s="410"/>
      <c r="AB2381" s="407"/>
      <c r="AC2381" s="408"/>
      <c r="AD2381" s="408"/>
      <c r="AE2381" s="408"/>
      <c r="AF2381" s="408"/>
      <c r="AG2381" s="408"/>
      <c r="AH2381" s="409"/>
      <c r="AI2381" s="541"/>
      <c r="AJ2381" s="408"/>
      <c r="AK2381" s="408"/>
      <c r="AL2381" s="408"/>
      <c r="AM2381" s="408"/>
      <c r="AN2381" s="408"/>
      <c r="AO2381" s="408"/>
      <c r="AP2381" s="410"/>
      <c r="AQ2381" s="407"/>
      <c r="AR2381" s="408"/>
      <c r="AS2381" s="408"/>
      <c r="AT2381" s="408"/>
      <c r="AU2381" s="408"/>
      <c r="AV2381" s="408"/>
      <c r="AW2381" s="408"/>
      <c r="AX2381" s="408"/>
      <c r="AY2381" s="408"/>
      <c r="AZ2381" s="409"/>
      <c r="BA2381" s="541"/>
      <c r="BB2381" s="408"/>
      <c r="BC2381" s="408"/>
      <c r="BD2381" s="408"/>
      <c r="BE2381" s="408"/>
      <c r="BF2381" s="408"/>
      <c r="BG2381" s="408"/>
      <c r="BH2381" s="408"/>
      <c r="BI2381" s="408"/>
      <c r="BJ2381" s="408"/>
      <c r="BK2381" s="408"/>
      <c r="BL2381" s="410"/>
      <c r="BM2381" s="407"/>
      <c r="BN2381" s="408"/>
      <c r="BO2381" s="408"/>
      <c r="BP2381" s="408"/>
      <c r="BQ2381" s="408"/>
      <c r="BR2381" s="408"/>
      <c r="BS2381" s="408"/>
      <c r="BT2381" s="408"/>
      <c r="BU2381" s="408"/>
      <c r="BV2381" s="408"/>
      <c r="BW2381" s="408"/>
      <c r="BX2381" s="408"/>
      <c r="BY2381" s="408"/>
      <c r="BZ2381" s="409"/>
      <c r="CA2381" s="270"/>
      <c r="CB2381" s="3" t="str">
        <f t="shared" si="411"/>
        <v>Riadok bude skrytý.</v>
      </c>
      <c r="CC2381" s="271" t="s">
        <v>832</v>
      </c>
      <c r="CW2381" s="30">
        <f t="shared" si="417"/>
        <v>1</v>
      </c>
      <c r="CX2381" s="30">
        <f t="shared" si="414"/>
        <v>1</v>
      </c>
      <c r="CY2381" s="30">
        <f t="shared" si="418"/>
        <v>0</v>
      </c>
      <c r="CZ2381" s="30">
        <f t="shared" si="412"/>
        <v>1</v>
      </c>
      <c r="DA2381" s="53">
        <f t="shared" si="419"/>
        <v>0</v>
      </c>
      <c r="DB2381" s="2">
        <f t="shared" si="408"/>
        <v>0</v>
      </c>
      <c r="DS2381" s="130">
        <f>SI!BY2381</f>
        <v>537</v>
      </c>
      <c r="DZ2381" s="131">
        <f>SI!BZ2381</f>
        <v>0</v>
      </c>
    </row>
    <row r="2382" spans="1:130" hidden="1" x14ac:dyDescent="0.25">
      <c r="A2382" s="141"/>
      <c r="B2382" s="596"/>
      <c r="C2382" s="596"/>
      <c r="D2382" s="596"/>
      <c r="E2382" s="596"/>
      <c r="F2382" s="596"/>
      <c r="G2382" s="596"/>
      <c r="H2382" s="596"/>
      <c r="I2382" s="596"/>
      <c r="J2382" s="596"/>
      <c r="K2382" s="596"/>
      <c r="L2382" s="596"/>
      <c r="M2382" s="596"/>
      <c r="N2382" s="596"/>
      <c r="O2382" s="596"/>
      <c r="P2382" s="596"/>
      <c r="Q2382" s="596"/>
      <c r="R2382" s="596"/>
      <c r="S2382" s="549"/>
      <c r="T2382" s="407"/>
      <c r="U2382" s="408"/>
      <c r="V2382" s="408"/>
      <c r="W2382" s="408"/>
      <c r="X2382" s="408"/>
      <c r="Y2382" s="408"/>
      <c r="Z2382" s="408"/>
      <c r="AA2382" s="410"/>
      <c r="AB2382" s="407"/>
      <c r="AC2382" s="408"/>
      <c r="AD2382" s="408"/>
      <c r="AE2382" s="408"/>
      <c r="AF2382" s="408"/>
      <c r="AG2382" s="408"/>
      <c r="AH2382" s="409"/>
      <c r="AI2382" s="541"/>
      <c r="AJ2382" s="408"/>
      <c r="AK2382" s="408"/>
      <c r="AL2382" s="408"/>
      <c r="AM2382" s="408"/>
      <c r="AN2382" s="408"/>
      <c r="AO2382" s="408"/>
      <c r="AP2382" s="410"/>
      <c r="AQ2382" s="407"/>
      <c r="AR2382" s="408"/>
      <c r="AS2382" s="408"/>
      <c r="AT2382" s="408"/>
      <c r="AU2382" s="408"/>
      <c r="AV2382" s="408"/>
      <c r="AW2382" s="408"/>
      <c r="AX2382" s="408"/>
      <c r="AY2382" s="408"/>
      <c r="AZ2382" s="409"/>
      <c r="BA2382" s="541"/>
      <c r="BB2382" s="408"/>
      <c r="BC2382" s="408"/>
      <c r="BD2382" s="408"/>
      <c r="BE2382" s="408"/>
      <c r="BF2382" s="408"/>
      <c r="BG2382" s="408"/>
      <c r="BH2382" s="408"/>
      <c r="BI2382" s="408"/>
      <c r="BJ2382" s="408"/>
      <c r="BK2382" s="408"/>
      <c r="BL2382" s="410"/>
      <c r="BM2382" s="407"/>
      <c r="BN2382" s="408"/>
      <c r="BO2382" s="408"/>
      <c r="BP2382" s="408"/>
      <c r="BQ2382" s="408"/>
      <c r="BR2382" s="408"/>
      <c r="BS2382" s="408"/>
      <c r="BT2382" s="408"/>
      <c r="BU2382" s="408"/>
      <c r="BV2382" s="408"/>
      <c r="BW2382" s="408"/>
      <c r="BX2382" s="408"/>
      <c r="BY2382" s="408"/>
      <c r="BZ2382" s="409"/>
      <c r="CA2382" s="270"/>
      <c r="CB2382" s="3" t="str">
        <f t="shared" si="411"/>
        <v>Riadok bude skrytý.</v>
      </c>
      <c r="CC2382" s="271" t="s">
        <v>832</v>
      </c>
      <c r="CW2382" s="30">
        <f t="shared" si="417"/>
        <v>1</v>
      </c>
      <c r="CX2382" s="30">
        <f t="shared" si="414"/>
        <v>1</v>
      </c>
      <c r="CY2382" s="30">
        <f t="shared" si="418"/>
        <v>0</v>
      </c>
      <c r="CZ2382" s="30">
        <f t="shared" si="412"/>
        <v>1</v>
      </c>
      <c r="DA2382" s="53">
        <f t="shared" si="419"/>
        <v>0</v>
      </c>
      <c r="DB2382" s="2">
        <f t="shared" si="408"/>
        <v>0</v>
      </c>
      <c r="DS2382" s="130">
        <f>SI!BY2382</f>
        <v>123</v>
      </c>
      <c r="DZ2382" s="131">
        <f>SI!BZ2382</f>
        <v>0</v>
      </c>
    </row>
    <row r="2383" spans="1:130" hidden="1" x14ac:dyDescent="0.25">
      <c r="A2383" s="141"/>
      <c r="B2383" s="596"/>
      <c r="C2383" s="596"/>
      <c r="D2383" s="596"/>
      <c r="E2383" s="596"/>
      <c r="F2383" s="596"/>
      <c r="G2383" s="596"/>
      <c r="H2383" s="596"/>
      <c r="I2383" s="596"/>
      <c r="J2383" s="596"/>
      <c r="K2383" s="596"/>
      <c r="L2383" s="596"/>
      <c r="M2383" s="596"/>
      <c r="N2383" s="596"/>
      <c r="O2383" s="596"/>
      <c r="P2383" s="596"/>
      <c r="Q2383" s="596"/>
      <c r="R2383" s="596"/>
      <c r="S2383" s="549"/>
      <c r="T2383" s="407"/>
      <c r="U2383" s="408"/>
      <c r="V2383" s="408"/>
      <c r="W2383" s="408"/>
      <c r="X2383" s="408"/>
      <c r="Y2383" s="408"/>
      <c r="Z2383" s="408"/>
      <c r="AA2383" s="410"/>
      <c r="AB2383" s="407"/>
      <c r="AC2383" s="408"/>
      <c r="AD2383" s="408"/>
      <c r="AE2383" s="408"/>
      <c r="AF2383" s="408"/>
      <c r="AG2383" s="408"/>
      <c r="AH2383" s="409"/>
      <c r="AI2383" s="541"/>
      <c r="AJ2383" s="408"/>
      <c r="AK2383" s="408"/>
      <c r="AL2383" s="408"/>
      <c r="AM2383" s="408"/>
      <c r="AN2383" s="408"/>
      <c r="AO2383" s="408"/>
      <c r="AP2383" s="410"/>
      <c r="AQ2383" s="407"/>
      <c r="AR2383" s="408"/>
      <c r="AS2383" s="408"/>
      <c r="AT2383" s="408"/>
      <c r="AU2383" s="408"/>
      <c r="AV2383" s="408"/>
      <c r="AW2383" s="408"/>
      <c r="AX2383" s="408"/>
      <c r="AY2383" s="408"/>
      <c r="AZ2383" s="409"/>
      <c r="BA2383" s="541"/>
      <c r="BB2383" s="408"/>
      <c r="BC2383" s="408"/>
      <c r="BD2383" s="408"/>
      <c r="BE2383" s="408"/>
      <c r="BF2383" s="408"/>
      <c r="BG2383" s="408"/>
      <c r="BH2383" s="408"/>
      <c r="BI2383" s="408"/>
      <c r="BJ2383" s="408"/>
      <c r="BK2383" s="408"/>
      <c r="BL2383" s="410"/>
      <c r="BM2383" s="407"/>
      <c r="BN2383" s="408"/>
      <c r="BO2383" s="408"/>
      <c r="BP2383" s="408"/>
      <c r="BQ2383" s="408"/>
      <c r="BR2383" s="408"/>
      <c r="BS2383" s="408"/>
      <c r="BT2383" s="408"/>
      <c r="BU2383" s="408"/>
      <c r="BV2383" s="408"/>
      <c r="BW2383" s="408"/>
      <c r="BX2383" s="408"/>
      <c r="BY2383" s="408"/>
      <c r="BZ2383" s="409"/>
      <c r="CA2383" s="270"/>
      <c r="CB2383" s="3" t="str">
        <f t="shared" si="411"/>
        <v>Riadok bude skrytý.</v>
      </c>
      <c r="CC2383" s="271" t="s">
        <v>832</v>
      </c>
      <c r="CW2383" s="30">
        <f t="shared" si="417"/>
        <v>1</v>
      </c>
      <c r="CX2383" s="30">
        <f t="shared" si="414"/>
        <v>1</v>
      </c>
      <c r="CY2383" s="30">
        <f t="shared" si="418"/>
        <v>0</v>
      </c>
      <c r="CZ2383" s="30">
        <f t="shared" si="412"/>
        <v>1</v>
      </c>
      <c r="DA2383" s="53">
        <f t="shared" si="419"/>
        <v>0</v>
      </c>
      <c r="DB2383" s="2">
        <f t="shared" si="408"/>
        <v>0</v>
      </c>
      <c r="DS2383" s="130">
        <f>SI!BY2383</f>
        <v>934</v>
      </c>
      <c r="DZ2383" s="131">
        <f>SI!BZ2383</f>
        <v>0</v>
      </c>
    </row>
    <row r="2384" spans="1:130" hidden="1" x14ac:dyDescent="0.25">
      <c r="A2384" s="141"/>
      <c r="B2384" s="596"/>
      <c r="C2384" s="596"/>
      <c r="D2384" s="596"/>
      <c r="E2384" s="596"/>
      <c r="F2384" s="596"/>
      <c r="G2384" s="596"/>
      <c r="H2384" s="596"/>
      <c r="I2384" s="596"/>
      <c r="J2384" s="596"/>
      <c r="K2384" s="596"/>
      <c r="L2384" s="596"/>
      <c r="M2384" s="596"/>
      <c r="N2384" s="596"/>
      <c r="O2384" s="596"/>
      <c r="P2384" s="596"/>
      <c r="Q2384" s="596"/>
      <c r="R2384" s="596"/>
      <c r="S2384" s="549"/>
      <c r="T2384" s="407"/>
      <c r="U2384" s="408"/>
      <c r="V2384" s="408"/>
      <c r="W2384" s="408"/>
      <c r="X2384" s="408"/>
      <c r="Y2384" s="408"/>
      <c r="Z2384" s="408"/>
      <c r="AA2384" s="410"/>
      <c r="AB2384" s="407"/>
      <c r="AC2384" s="408"/>
      <c r="AD2384" s="408"/>
      <c r="AE2384" s="408"/>
      <c r="AF2384" s="408"/>
      <c r="AG2384" s="408"/>
      <c r="AH2384" s="409"/>
      <c r="AI2384" s="541"/>
      <c r="AJ2384" s="408"/>
      <c r="AK2384" s="408"/>
      <c r="AL2384" s="408"/>
      <c r="AM2384" s="408"/>
      <c r="AN2384" s="408"/>
      <c r="AO2384" s="408"/>
      <c r="AP2384" s="410"/>
      <c r="AQ2384" s="407"/>
      <c r="AR2384" s="408"/>
      <c r="AS2384" s="408"/>
      <c r="AT2384" s="408"/>
      <c r="AU2384" s="408"/>
      <c r="AV2384" s="408"/>
      <c r="AW2384" s="408"/>
      <c r="AX2384" s="408"/>
      <c r="AY2384" s="408"/>
      <c r="AZ2384" s="409"/>
      <c r="BA2384" s="541"/>
      <c r="BB2384" s="408"/>
      <c r="BC2384" s="408"/>
      <c r="BD2384" s="408"/>
      <c r="BE2384" s="408"/>
      <c r="BF2384" s="408"/>
      <c r="BG2384" s="408"/>
      <c r="BH2384" s="408"/>
      <c r="BI2384" s="408"/>
      <c r="BJ2384" s="408"/>
      <c r="BK2384" s="408"/>
      <c r="BL2384" s="410"/>
      <c r="BM2384" s="407"/>
      <c r="BN2384" s="408"/>
      <c r="BO2384" s="408"/>
      <c r="BP2384" s="408"/>
      <c r="BQ2384" s="408"/>
      <c r="BR2384" s="408"/>
      <c r="BS2384" s="408"/>
      <c r="BT2384" s="408"/>
      <c r="BU2384" s="408"/>
      <c r="BV2384" s="408"/>
      <c r="BW2384" s="408"/>
      <c r="BX2384" s="408"/>
      <c r="BY2384" s="408"/>
      <c r="BZ2384" s="409"/>
      <c r="CA2384" s="270"/>
      <c r="CB2384" s="3" t="str">
        <f t="shared" si="411"/>
        <v>Riadok bude skrytý.</v>
      </c>
      <c r="CC2384" s="271" t="s">
        <v>832</v>
      </c>
      <c r="CW2384" s="30">
        <f t="shared" si="417"/>
        <v>1</v>
      </c>
      <c r="CX2384" s="30">
        <f t="shared" si="414"/>
        <v>1</v>
      </c>
      <c r="CY2384" s="30">
        <f t="shared" si="418"/>
        <v>0</v>
      </c>
      <c r="CZ2384" s="30">
        <f t="shared" si="412"/>
        <v>1</v>
      </c>
      <c r="DA2384" s="53">
        <f t="shared" si="419"/>
        <v>0</v>
      </c>
      <c r="DB2384" s="2">
        <f t="shared" si="408"/>
        <v>0</v>
      </c>
      <c r="DS2384" s="130">
        <f>SI!BY2384</f>
        <v>142</v>
      </c>
      <c r="DZ2384" s="131">
        <f>SI!BZ2384</f>
        <v>0</v>
      </c>
    </row>
    <row r="2385" spans="1:130" hidden="1" x14ac:dyDescent="0.25">
      <c r="A2385" s="141"/>
      <c r="B2385" s="596"/>
      <c r="C2385" s="596"/>
      <c r="D2385" s="596"/>
      <c r="E2385" s="596"/>
      <c r="F2385" s="596"/>
      <c r="G2385" s="596"/>
      <c r="H2385" s="596"/>
      <c r="I2385" s="596"/>
      <c r="J2385" s="596"/>
      <c r="K2385" s="596"/>
      <c r="L2385" s="596"/>
      <c r="M2385" s="596"/>
      <c r="N2385" s="596"/>
      <c r="O2385" s="596"/>
      <c r="P2385" s="596"/>
      <c r="Q2385" s="596"/>
      <c r="R2385" s="596"/>
      <c r="S2385" s="549"/>
      <c r="T2385" s="407"/>
      <c r="U2385" s="408"/>
      <c r="V2385" s="408"/>
      <c r="W2385" s="408"/>
      <c r="X2385" s="408"/>
      <c r="Y2385" s="408"/>
      <c r="Z2385" s="408"/>
      <c r="AA2385" s="410"/>
      <c r="AB2385" s="407"/>
      <c r="AC2385" s="408"/>
      <c r="AD2385" s="408"/>
      <c r="AE2385" s="408"/>
      <c r="AF2385" s="408"/>
      <c r="AG2385" s="408"/>
      <c r="AH2385" s="409"/>
      <c r="AI2385" s="541"/>
      <c r="AJ2385" s="408"/>
      <c r="AK2385" s="408"/>
      <c r="AL2385" s="408"/>
      <c r="AM2385" s="408"/>
      <c r="AN2385" s="408"/>
      <c r="AO2385" s="408"/>
      <c r="AP2385" s="410"/>
      <c r="AQ2385" s="407"/>
      <c r="AR2385" s="408"/>
      <c r="AS2385" s="408"/>
      <c r="AT2385" s="408"/>
      <c r="AU2385" s="408"/>
      <c r="AV2385" s="408"/>
      <c r="AW2385" s="408"/>
      <c r="AX2385" s="408"/>
      <c r="AY2385" s="408"/>
      <c r="AZ2385" s="409"/>
      <c r="BA2385" s="541"/>
      <c r="BB2385" s="408"/>
      <c r="BC2385" s="408"/>
      <c r="BD2385" s="408"/>
      <c r="BE2385" s="408"/>
      <c r="BF2385" s="408"/>
      <c r="BG2385" s="408"/>
      <c r="BH2385" s="408"/>
      <c r="BI2385" s="408"/>
      <c r="BJ2385" s="408"/>
      <c r="BK2385" s="408"/>
      <c r="BL2385" s="410"/>
      <c r="BM2385" s="407"/>
      <c r="BN2385" s="408"/>
      <c r="BO2385" s="408"/>
      <c r="BP2385" s="408"/>
      <c r="BQ2385" s="408"/>
      <c r="BR2385" s="408"/>
      <c r="BS2385" s="408"/>
      <c r="BT2385" s="408"/>
      <c r="BU2385" s="408"/>
      <c r="BV2385" s="408"/>
      <c r="BW2385" s="408"/>
      <c r="BX2385" s="408"/>
      <c r="BY2385" s="408"/>
      <c r="BZ2385" s="409"/>
      <c r="CA2385" s="270"/>
      <c r="CB2385" s="3" t="str">
        <f t="shared" si="411"/>
        <v>Riadok bude skrytý.</v>
      </c>
      <c r="CC2385" s="271" t="s">
        <v>832</v>
      </c>
      <c r="CW2385" s="30">
        <f t="shared" si="417"/>
        <v>1</v>
      </c>
      <c r="CX2385" s="30">
        <f t="shared" si="414"/>
        <v>1</v>
      </c>
      <c r="CY2385" s="30">
        <f t="shared" si="418"/>
        <v>0</v>
      </c>
      <c r="CZ2385" s="30">
        <f t="shared" si="412"/>
        <v>1</v>
      </c>
      <c r="DA2385" s="53">
        <f t="shared" si="419"/>
        <v>0</v>
      </c>
      <c r="DB2385" s="2">
        <f t="shared" si="408"/>
        <v>0</v>
      </c>
      <c r="DS2385" s="130">
        <f>SI!BY2385</f>
        <v>357</v>
      </c>
      <c r="DZ2385" s="131">
        <f>SI!BZ2385</f>
        <v>0</v>
      </c>
    </row>
    <row r="2386" spans="1:130" hidden="1" x14ac:dyDescent="0.25">
      <c r="A2386" s="141"/>
      <c r="B2386" s="596"/>
      <c r="C2386" s="596"/>
      <c r="D2386" s="596"/>
      <c r="E2386" s="596"/>
      <c r="F2386" s="596"/>
      <c r="G2386" s="596"/>
      <c r="H2386" s="596"/>
      <c r="I2386" s="596"/>
      <c r="J2386" s="596"/>
      <c r="K2386" s="596"/>
      <c r="L2386" s="596"/>
      <c r="M2386" s="596"/>
      <c r="N2386" s="596"/>
      <c r="O2386" s="596"/>
      <c r="P2386" s="596"/>
      <c r="Q2386" s="596"/>
      <c r="R2386" s="596"/>
      <c r="S2386" s="549"/>
      <c r="T2386" s="407"/>
      <c r="U2386" s="408"/>
      <c r="V2386" s="408"/>
      <c r="W2386" s="408"/>
      <c r="X2386" s="408"/>
      <c r="Y2386" s="408"/>
      <c r="Z2386" s="408"/>
      <c r="AA2386" s="410"/>
      <c r="AB2386" s="407"/>
      <c r="AC2386" s="408"/>
      <c r="AD2386" s="408"/>
      <c r="AE2386" s="408"/>
      <c r="AF2386" s="408"/>
      <c r="AG2386" s="408"/>
      <c r="AH2386" s="409"/>
      <c r="AI2386" s="541"/>
      <c r="AJ2386" s="408"/>
      <c r="AK2386" s="408"/>
      <c r="AL2386" s="408"/>
      <c r="AM2386" s="408"/>
      <c r="AN2386" s="408"/>
      <c r="AO2386" s="408"/>
      <c r="AP2386" s="410"/>
      <c r="AQ2386" s="407"/>
      <c r="AR2386" s="408"/>
      <c r="AS2386" s="408"/>
      <c r="AT2386" s="408"/>
      <c r="AU2386" s="408"/>
      <c r="AV2386" s="408"/>
      <c r="AW2386" s="408"/>
      <c r="AX2386" s="408"/>
      <c r="AY2386" s="408"/>
      <c r="AZ2386" s="409"/>
      <c r="BA2386" s="541"/>
      <c r="BB2386" s="408"/>
      <c r="BC2386" s="408"/>
      <c r="BD2386" s="408"/>
      <c r="BE2386" s="408"/>
      <c r="BF2386" s="408"/>
      <c r="BG2386" s="408"/>
      <c r="BH2386" s="408"/>
      <c r="BI2386" s="408"/>
      <c r="BJ2386" s="408"/>
      <c r="BK2386" s="408"/>
      <c r="BL2386" s="410"/>
      <c r="BM2386" s="407"/>
      <c r="BN2386" s="408"/>
      <c r="BO2386" s="408"/>
      <c r="BP2386" s="408"/>
      <c r="BQ2386" s="408"/>
      <c r="BR2386" s="408"/>
      <c r="BS2386" s="408"/>
      <c r="BT2386" s="408"/>
      <c r="BU2386" s="408"/>
      <c r="BV2386" s="408"/>
      <c r="BW2386" s="408"/>
      <c r="BX2386" s="408"/>
      <c r="BY2386" s="408"/>
      <c r="BZ2386" s="409"/>
      <c r="CA2386" s="270"/>
      <c r="CB2386" s="3" t="str">
        <f t="shared" si="411"/>
        <v>Riadok bude skrytý.</v>
      </c>
      <c r="CC2386" s="271" t="s">
        <v>832</v>
      </c>
      <c r="CW2386" s="30">
        <f t="shared" si="417"/>
        <v>1</v>
      </c>
      <c r="CX2386" s="30">
        <f t="shared" si="414"/>
        <v>1</v>
      </c>
      <c r="CY2386" s="30">
        <f t="shared" si="418"/>
        <v>0</v>
      </c>
      <c r="CZ2386" s="30">
        <f t="shared" si="412"/>
        <v>1</v>
      </c>
      <c r="DA2386" s="53">
        <f t="shared" si="419"/>
        <v>0</v>
      </c>
      <c r="DB2386" s="2">
        <f t="shared" si="408"/>
        <v>0</v>
      </c>
      <c r="DS2386" s="130">
        <f>SI!BY2386</f>
        <v>132</v>
      </c>
      <c r="DZ2386" s="131">
        <f>SI!BZ2386</f>
        <v>0</v>
      </c>
    </row>
    <row r="2387" spans="1:130" hidden="1" x14ac:dyDescent="0.25">
      <c r="A2387" s="141"/>
      <c r="B2387" s="1432"/>
      <c r="C2387" s="1432"/>
      <c r="D2387" s="1432"/>
      <c r="E2387" s="1432"/>
      <c r="F2387" s="1432"/>
      <c r="G2387" s="1432"/>
      <c r="H2387" s="1432"/>
      <c r="I2387" s="1432"/>
      <c r="J2387" s="1432"/>
      <c r="K2387" s="1432"/>
      <c r="L2387" s="1432"/>
      <c r="M2387" s="1432"/>
      <c r="N2387" s="1432"/>
      <c r="O2387" s="1432"/>
      <c r="P2387" s="1432"/>
      <c r="Q2387" s="1432"/>
      <c r="R2387" s="1432"/>
      <c r="S2387" s="1433"/>
      <c r="T2387" s="576"/>
      <c r="U2387" s="577"/>
      <c r="V2387" s="577"/>
      <c r="W2387" s="577"/>
      <c r="X2387" s="577"/>
      <c r="Y2387" s="577"/>
      <c r="Z2387" s="577"/>
      <c r="AA2387" s="588"/>
      <c r="AB2387" s="576"/>
      <c r="AC2387" s="577"/>
      <c r="AD2387" s="577"/>
      <c r="AE2387" s="577"/>
      <c r="AF2387" s="577"/>
      <c r="AG2387" s="577"/>
      <c r="AH2387" s="578"/>
      <c r="AI2387" s="587"/>
      <c r="AJ2387" s="577"/>
      <c r="AK2387" s="577"/>
      <c r="AL2387" s="577"/>
      <c r="AM2387" s="577"/>
      <c r="AN2387" s="577"/>
      <c r="AO2387" s="577"/>
      <c r="AP2387" s="588"/>
      <c r="AQ2387" s="576"/>
      <c r="AR2387" s="577"/>
      <c r="AS2387" s="577"/>
      <c r="AT2387" s="577"/>
      <c r="AU2387" s="577"/>
      <c r="AV2387" s="577"/>
      <c r="AW2387" s="577"/>
      <c r="AX2387" s="577"/>
      <c r="AY2387" s="577"/>
      <c r="AZ2387" s="578"/>
      <c r="BA2387" s="587"/>
      <c r="BB2387" s="577"/>
      <c r="BC2387" s="577"/>
      <c r="BD2387" s="577"/>
      <c r="BE2387" s="577"/>
      <c r="BF2387" s="577"/>
      <c r="BG2387" s="577"/>
      <c r="BH2387" s="577"/>
      <c r="BI2387" s="577"/>
      <c r="BJ2387" s="577"/>
      <c r="BK2387" s="577"/>
      <c r="BL2387" s="588"/>
      <c r="BM2387" s="576"/>
      <c r="BN2387" s="577"/>
      <c r="BO2387" s="577"/>
      <c r="BP2387" s="577"/>
      <c r="BQ2387" s="577"/>
      <c r="BR2387" s="577"/>
      <c r="BS2387" s="577"/>
      <c r="BT2387" s="577"/>
      <c r="BU2387" s="577"/>
      <c r="BV2387" s="577"/>
      <c r="BW2387" s="577"/>
      <c r="BX2387" s="577"/>
      <c r="BY2387" s="577"/>
      <c r="BZ2387" s="578"/>
      <c r="CA2387" s="270"/>
      <c r="CB2387" s="3" t="str">
        <f t="shared" si="411"/>
        <v>Riadok bude skrytý.</v>
      </c>
      <c r="CC2387" s="271" t="s">
        <v>832</v>
      </c>
      <c r="CW2387" s="30">
        <f t="shared" si="417"/>
        <v>1</v>
      </c>
      <c r="CX2387" s="30">
        <f t="shared" si="414"/>
        <v>1</v>
      </c>
      <c r="CZ2387" s="30">
        <f t="shared" si="412"/>
        <v>1</v>
      </c>
      <c r="DA2387" s="52">
        <f>+IF(CW2387*CX2387=0,0,IF(CZ2387=0,0,1))</f>
        <v>1</v>
      </c>
      <c r="DB2387" s="2">
        <f t="shared" si="408"/>
        <v>0</v>
      </c>
      <c r="DS2387" s="130">
        <f>SI!BY2387</f>
        <v>184</v>
      </c>
      <c r="DZ2387" s="131">
        <f>SI!BZ2387</f>
        <v>0</v>
      </c>
    </row>
    <row r="2388" spans="1:130" hidden="1" x14ac:dyDescent="0.25">
      <c r="A2388" s="141"/>
      <c r="B2388" s="579" t="s">
        <v>306</v>
      </c>
      <c r="C2388" s="580"/>
      <c r="D2388" s="580"/>
      <c r="E2388" s="580"/>
      <c r="F2388" s="580"/>
      <c r="G2388" s="580"/>
      <c r="H2388" s="580"/>
      <c r="I2388" s="580"/>
      <c r="J2388" s="580"/>
      <c r="K2388" s="580"/>
      <c r="L2388" s="580"/>
      <c r="M2388" s="580"/>
      <c r="N2388" s="580"/>
      <c r="O2388" s="580"/>
      <c r="P2388" s="580"/>
      <c r="Q2388" s="580"/>
      <c r="R2388" s="580"/>
      <c r="S2388" s="580"/>
      <c r="T2388" s="580"/>
      <c r="U2388" s="580"/>
      <c r="V2388" s="580"/>
      <c r="W2388" s="580"/>
      <c r="X2388" s="580"/>
      <c r="Y2388" s="580"/>
      <c r="Z2388" s="580"/>
      <c r="AA2388" s="580"/>
      <c r="AB2388" s="580"/>
      <c r="AC2388" s="580"/>
      <c r="AD2388" s="580"/>
      <c r="AE2388" s="580"/>
      <c r="AF2388" s="580"/>
      <c r="AG2388" s="580"/>
      <c r="AH2388" s="580"/>
      <c r="AI2388" s="580"/>
      <c r="AJ2388" s="580"/>
      <c r="AK2388" s="580"/>
      <c r="AL2388" s="580"/>
      <c r="AM2388" s="580"/>
      <c r="AN2388" s="580"/>
      <c r="AO2388" s="580"/>
      <c r="AP2388" s="580"/>
      <c r="AQ2388" s="580"/>
      <c r="AR2388" s="580"/>
      <c r="AS2388" s="580"/>
      <c r="AT2388" s="580"/>
      <c r="AU2388" s="580"/>
      <c r="AV2388" s="580"/>
      <c r="AW2388" s="580"/>
      <c r="AX2388" s="580"/>
      <c r="AY2388" s="580"/>
      <c r="AZ2388" s="580"/>
      <c r="BA2388" s="580"/>
      <c r="BB2388" s="580"/>
      <c r="BC2388" s="580"/>
      <c r="BD2388" s="580"/>
      <c r="BE2388" s="580"/>
      <c r="BF2388" s="580"/>
      <c r="BG2388" s="580"/>
      <c r="BH2388" s="580"/>
      <c r="BI2388" s="580"/>
      <c r="BJ2388" s="580"/>
      <c r="BK2388" s="580"/>
      <c r="BL2388" s="580"/>
      <c r="BM2388" s="580"/>
      <c r="BN2388" s="580"/>
      <c r="BO2388" s="580"/>
      <c r="BP2388" s="580"/>
      <c r="BQ2388" s="580"/>
      <c r="BR2388" s="580"/>
      <c r="BS2388" s="580"/>
      <c r="BT2388" s="580"/>
      <c r="BU2388" s="580"/>
      <c r="BV2388" s="580"/>
      <c r="BW2388" s="580"/>
      <c r="BX2388" s="580"/>
      <c r="BY2388" s="580"/>
      <c r="BZ2388" s="581"/>
      <c r="CA2388" s="270"/>
      <c r="CB2388" s="3" t="str">
        <f t="shared" si="411"/>
        <v>Riadok bude skrytý.</v>
      </c>
      <c r="CC2388" s="271" t="s">
        <v>832</v>
      </c>
      <c r="CW2388" s="30">
        <f t="shared" si="417"/>
        <v>1</v>
      </c>
      <c r="CX2388" s="30">
        <f t="shared" si="414"/>
        <v>1</v>
      </c>
      <c r="CZ2388" s="30">
        <f t="shared" si="412"/>
        <v>1</v>
      </c>
      <c r="DA2388" s="52">
        <f>+IF(CW2388*CX2388=0,0,IF(CZ2388=0,0,1))</f>
        <v>1</v>
      </c>
      <c r="DB2388" s="2">
        <f t="shared" si="408"/>
        <v>0</v>
      </c>
      <c r="DS2388" s="130">
        <f>SI!BY2388</f>
        <v>165</v>
      </c>
      <c r="DZ2388" s="131">
        <f>SI!BZ2388</f>
        <v>0</v>
      </c>
    </row>
    <row r="2389" spans="1:130" hidden="1" x14ac:dyDescent="0.25">
      <c r="A2389" s="141"/>
      <c r="B2389" s="596"/>
      <c r="C2389" s="596"/>
      <c r="D2389" s="596"/>
      <c r="E2389" s="596"/>
      <c r="F2389" s="596"/>
      <c r="G2389" s="596"/>
      <c r="H2389" s="596"/>
      <c r="I2389" s="596"/>
      <c r="J2389" s="596"/>
      <c r="K2389" s="596"/>
      <c r="L2389" s="596"/>
      <c r="M2389" s="596"/>
      <c r="N2389" s="596"/>
      <c r="O2389" s="596"/>
      <c r="P2389" s="596"/>
      <c r="Q2389" s="596"/>
      <c r="R2389" s="596"/>
      <c r="S2389" s="549"/>
      <c r="T2389" s="582"/>
      <c r="U2389" s="583"/>
      <c r="V2389" s="583"/>
      <c r="W2389" s="583"/>
      <c r="X2389" s="583"/>
      <c r="Y2389" s="583"/>
      <c r="Z2389" s="583"/>
      <c r="AA2389" s="584"/>
      <c r="AB2389" s="582"/>
      <c r="AC2389" s="583"/>
      <c r="AD2389" s="583"/>
      <c r="AE2389" s="583"/>
      <c r="AF2389" s="583"/>
      <c r="AG2389" s="583"/>
      <c r="AH2389" s="585"/>
      <c r="AI2389" s="586"/>
      <c r="AJ2389" s="583"/>
      <c r="AK2389" s="583"/>
      <c r="AL2389" s="583"/>
      <c r="AM2389" s="583"/>
      <c r="AN2389" s="583"/>
      <c r="AO2389" s="583"/>
      <c r="AP2389" s="584"/>
      <c r="AQ2389" s="582"/>
      <c r="AR2389" s="583"/>
      <c r="AS2389" s="583"/>
      <c r="AT2389" s="583"/>
      <c r="AU2389" s="583"/>
      <c r="AV2389" s="583"/>
      <c r="AW2389" s="583"/>
      <c r="AX2389" s="583"/>
      <c r="AY2389" s="583"/>
      <c r="AZ2389" s="585"/>
      <c r="BA2389" s="586"/>
      <c r="BB2389" s="583"/>
      <c r="BC2389" s="583"/>
      <c r="BD2389" s="583"/>
      <c r="BE2389" s="583"/>
      <c r="BF2389" s="583"/>
      <c r="BG2389" s="583"/>
      <c r="BH2389" s="583"/>
      <c r="BI2389" s="583"/>
      <c r="BJ2389" s="583"/>
      <c r="BK2389" s="583"/>
      <c r="BL2389" s="584"/>
      <c r="BM2389" s="582"/>
      <c r="BN2389" s="583"/>
      <c r="BO2389" s="583"/>
      <c r="BP2389" s="583"/>
      <c r="BQ2389" s="583"/>
      <c r="BR2389" s="583"/>
      <c r="BS2389" s="583"/>
      <c r="BT2389" s="583"/>
      <c r="BU2389" s="583"/>
      <c r="BV2389" s="583"/>
      <c r="BW2389" s="583"/>
      <c r="BX2389" s="583"/>
      <c r="BY2389" s="583"/>
      <c r="BZ2389" s="585"/>
      <c r="CA2389" s="270"/>
      <c r="CB2389" s="3" t="str">
        <f t="shared" si="411"/>
        <v>Riadok bude skrytý.</v>
      </c>
      <c r="CC2389" s="271" t="s">
        <v>832</v>
      </c>
      <c r="CW2389" s="30">
        <f t="shared" si="417"/>
        <v>1</v>
      </c>
      <c r="CX2389" s="30">
        <f t="shared" si="414"/>
        <v>1</v>
      </c>
      <c r="CZ2389" s="30">
        <f t="shared" si="412"/>
        <v>1</v>
      </c>
      <c r="DA2389" s="52">
        <f>+IF(CW2389*CX2389=0,0,IF(CZ2389=0,0,1))</f>
        <v>1</v>
      </c>
      <c r="DB2389" s="2">
        <f t="shared" si="408"/>
        <v>0</v>
      </c>
      <c r="DS2389" s="130">
        <f>SI!BY2389</f>
        <v>156</v>
      </c>
      <c r="DZ2389" s="131">
        <f>SI!BZ2389</f>
        <v>0</v>
      </c>
    </row>
    <row r="2390" spans="1:130" hidden="1" x14ac:dyDescent="0.25">
      <c r="A2390" s="141"/>
      <c r="B2390" s="596"/>
      <c r="C2390" s="596"/>
      <c r="D2390" s="596"/>
      <c r="E2390" s="596"/>
      <c r="F2390" s="596"/>
      <c r="G2390" s="596"/>
      <c r="H2390" s="596"/>
      <c r="I2390" s="596"/>
      <c r="J2390" s="596"/>
      <c r="K2390" s="596"/>
      <c r="L2390" s="596"/>
      <c r="M2390" s="596"/>
      <c r="N2390" s="596"/>
      <c r="O2390" s="596"/>
      <c r="P2390" s="596"/>
      <c r="Q2390" s="596"/>
      <c r="R2390" s="596"/>
      <c r="S2390" s="549"/>
      <c r="T2390" s="407"/>
      <c r="U2390" s="408"/>
      <c r="V2390" s="408"/>
      <c r="W2390" s="408"/>
      <c r="X2390" s="408"/>
      <c r="Y2390" s="408"/>
      <c r="Z2390" s="408"/>
      <c r="AA2390" s="410"/>
      <c r="AB2390" s="407"/>
      <c r="AC2390" s="408"/>
      <c r="AD2390" s="408"/>
      <c r="AE2390" s="408"/>
      <c r="AF2390" s="408"/>
      <c r="AG2390" s="408"/>
      <c r="AH2390" s="409"/>
      <c r="AI2390" s="541"/>
      <c r="AJ2390" s="408"/>
      <c r="AK2390" s="408"/>
      <c r="AL2390" s="408"/>
      <c r="AM2390" s="408"/>
      <c r="AN2390" s="408"/>
      <c r="AO2390" s="408"/>
      <c r="AP2390" s="410"/>
      <c r="AQ2390" s="407"/>
      <c r="AR2390" s="408"/>
      <c r="AS2390" s="408"/>
      <c r="AT2390" s="408"/>
      <c r="AU2390" s="408"/>
      <c r="AV2390" s="408"/>
      <c r="AW2390" s="408"/>
      <c r="AX2390" s="408"/>
      <c r="AY2390" s="408"/>
      <c r="AZ2390" s="409"/>
      <c r="BA2390" s="541"/>
      <c r="BB2390" s="408"/>
      <c r="BC2390" s="408"/>
      <c r="BD2390" s="408"/>
      <c r="BE2390" s="408"/>
      <c r="BF2390" s="408"/>
      <c r="BG2390" s="408"/>
      <c r="BH2390" s="408"/>
      <c r="BI2390" s="408"/>
      <c r="BJ2390" s="408"/>
      <c r="BK2390" s="408"/>
      <c r="BL2390" s="410"/>
      <c r="BM2390" s="407"/>
      <c r="BN2390" s="408"/>
      <c r="BO2390" s="408"/>
      <c r="BP2390" s="408"/>
      <c r="BQ2390" s="408"/>
      <c r="BR2390" s="408"/>
      <c r="BS2390" s="408"/>
      <c r="BT2390" s="408"/>
      <c r="BU2390" s="408"/>
      <c r="BV2390" s="408"/>
      <c r="BW2390" s="408"/>
      <c r="BX2390" s="408"/>
      <c r="BY2390" s="408"/>
      <c r="BZ2390" s="409"/>
      <c r="CA2390" s="270"/>
      <c r="CB2390" s="3" t="str">
        <f t="shared" si="411"/>
        <v>Riadok bude skrytý.</v>
      </c>
      <c r="CC2390" s="271" t="s">
        <v>832</v>
      </c>
      <c r="CW2390" s="30">
        <f t="shared" si="417"/>
        <v>1</v>
      </c>
      <c r="CX2390" s="30">
        <f t="shared" si="414"/>
        <v>1</v>
      </c>
      <c r="CY2390" s="30">
        <f t="shared" ref="CY2390:CY2397" si="420">+IF(B2390="",0,1)</f>
        <v>0</v>
      </c>
      <c r="CZ2390" s="30">
        <f t="shared" si="412"/>
        <v>1</v>
      </c>
      <c r="DA2390" s="53">
        <f t="shared" ref="DA2390:DA2397" si="421">+IF(CW2390*CX2390*CY2390=0,0,IF(CZ2390=0,0,1))</f>
        <v>0</v>
      </c>
      <c r="DB2390" s="2">
        <f t="shared" si="408"/>
        <v>0</v>
      </c>
      <c r="DS2390" s="130">
        <f>SI!BY2390</f>
        <v>186</v>
      </c>
      <c r="DZ2390" s="131">
        <f>SI!BZ2390</f>
        <v>0</v>
      </c>
    </row>
    <row r="2391" spans="1:130" hidden="1" x14ac:dyDescent="0.25">
      <c r="A2391" s="141"/>
      <c r="B2391" s="596"/>
      <c r="C2391" s="596"/>
      <c r="D2391" s="596"/>
      <c r="E2391" s="596"/>
      <c r="F2391" s="596"/>
      <c r="G2391" s="596"/>
      <c r="H2391" s="596"/>
      <c r="I2391" s="596"/>
      <c r="J2391" s="596"/>
      <c r="K2391" s="596"/>
      <c r="L2391" s="596"/>
      <c r="M2391" s="596"/>
      <c r="N2391" s="596"/>
      <c r="O2391" s="596"/>
      <c r="P2391" s="596"/>
      <c r="Q2391" s="596"/>
      <c r="R2391" s="596"/>
      <c r="S2391" s="549"/>
      <c r="T2391" s="407"/>
      <c r="U2391" s="408"/>
      <c r="V2391" s="408"/>
      <c r="W2391" s="408"/>
      <c r="X2391" s="408"/>
      <c r="Y2391" s="408"/>
      <c r="Z2391" s="408"/>
      <c r="AA2391" s="410"/>
      <c r="AB2391" s="407"/>
      <c r="AC2391" s="408"/>
      <c r="AD2391" s="408"/>
      <c r="AE2391" s="408"/>
      <c r="AF2391" s="408"/>
      <c r="AG2391" s="408"/>
      <c r="AH2391" s="409"/>
      <c r="AI2391" s="541"/>
      <c r="AJ2391" s="408"/>
      <c r="AK2391" s="408"/>
      <c r="AL2391" s="408"/>
      <c r="AM2391" s="408"/>
      <c r="AN2391" s="408"/>
      <c r="AO2391" s="408"/>
      <c r="AP2391" s="410"/>
      <c r="AQ2391" s="407"/>
      <c r="AR2391" s="408"/>
      <c r="AS2391" s="408"/>
      <c r="AT2391" s="408"/>
      <c r="AU2391" s="408"/>
      <c r="AV2391" s="408"/>
      <c r="AW2391" s="408"/>
      <c r="AX2391" s="408"/>
      <c r="AY2391" s="408"/>
      <c r="AZ2391" s="409"/>
      <c r="BA2391" s="541"/>
      <c r="BB2391" s="408"/>
      <c r="BC2391" s="408"/>
      <c r="BD2391" s="408"/>
      <c r="BE2391" s="408"/>
      <c r="BF2391" s="408"/>
      <c r="BG2391" s="408"/>
      <c r="BH2391" s="408"/>
      <c r="BI2391" s="408"/>
      <c r="BJ2391" s="408"/>
      <c r="BK2391" s="408"/>
      <c r="BL2391" s="410"/>
      <c r="BM2391" s="407"/>
      <c r="BN2391" s="408"/>
      <c r="BO2391" s="408"/>
      <c r="BP2391" s="408"/>
      <c r="BQ2391" s="408"/>
      <c r="BR2391" s="408"/>
      <c r="BS2391" s="408"/>
      <c r="BT2391" s="408"/>
      <c r="BU2391" s="408"/>
      <c r="BV2391" s="408"/>
      <c r="BW2391" s="408"/>
      <c r="BX2391" s="408"/>
      <c r="BY2391" s="408"/>
      <c r="BZ2391" s="409"/>
      <c r="CA2391" s="270"/>
      <c r="CB2391" s="3" t="str">
        <f t="shared" si="411"/>
        <v>Riadok bude skrytý.</v>
      </c>
      <c r="CC2391" s="271" t="s">
        <v>832</v>
      </c>
      <c r="CW2391" s="30">
        <f t="shared" si="417"/>
        <v>1</v>
      </c>
      <c r="CX2391" s="30">
        <f t="shared" si="414"/>
        <v>1</v>
      </c>
      <c r="CY2391" s="30">
        <f t="shared" si="420"/>
        <v>0</v>
      </c>
      <c r="CZ2391" s="30">
        <f t="shared" si="412"/>
        <v>1</v>
      </c>
      <c r="DA2391" s="53">
        <f t="shared" si="421"/>
        <v>0</v>
      </c>
      <c r="DB2391" s="2">
        <f t="shared" si="408"/>
        <v>0</v>
      </c>
      <c r="DS2391" s="130">
        <f>SI!BY2391</f>
        <v>137</v>
      </c>
      <c r="DZ2391" s="131">
        <f>SI!BZ2391</f>
        <v>0</v>
      </c>
    </row>
    <row r="2392" spans="1:130" hidden="1" x14ac:dyDescent="0.25">
      <c r="A2392" s="141"/>
      <c r="B2392" s="596"/>
      <c r="C2392" s="596"/>
      <c r="D2392" s="596"/>
      <c r="E2392" s="596"/>
      <c r="F2392" s="596"/>
      <c r="G2392" s="596"/>
      <c r="H2392" s="596"/>
      <c r="I2392" s="596"/>
      <c r="J2392" s="596"/>
      <c r="K2392" s="596"/>
      <c r="L2392" s="596"/>
      <c r="M2392" s="596"/>
      <c r="N2392" s="596"/>
      <c r="O2392" s="596"/>
      <c r="P2392" s="596"/>
      <c r="Q2392" s="596"/>
      <c r="R2392" s="596"/>
      <c r="S2392" s="549"/>
      <c r="T2392" s="407"/>
      <c r="U2392" s="408"/>
      <c r="V2392" s="408"/>
      <c r="W2392" s="408"/>
      <c r="X2392" s="408"/>
      <c r="Y2392" s="408"/>
      <c r="Z2392" s="408"/>
      <c r="AA2392" s="410"/>
      <c r="AB2392" s="407"/>
      <c r="AC2392" s="408"/>
      <c r="AD2392" s="408"/>
      <c r="AE2392" s="408"/>
      <c r="AF2392" s="408"/>
      <c r="AG2392" s="408"/>
      <c r="AH2392" s="409"/>
      <c r="AI2392" s="541"/>
      <c r="AJ2392" s="408"/>
      <c r="AK2392" s="408"/>
      <c r="AL2392" s="408"/>
      <c r="AM2392" s="408"/>
      <c r="AN2392" s="408"/>
      <c r="AO2392" s="408"/>
      <c r="AP2392" s="410"/>
      <c r="AQ2392" s="407"/>
      <c r="AR2392" s="408"/>
      <c r="AS2392" s="408"/>
      <c r="AT2392" s="408"/>
      <c r="AU2392" s="408"/>
      <c r="AV2392" s="408"/>
      <c r="AW2392" s="408"/>
      <c r="AX2392" s="408"/>
      <c r="AY2392" s="408"/>
      <c r="AZ2392" s="409"/>
      <c r="BA2392" s="541"/>
      <c r="BB2392" s="408"/>
      <c r="BC2392" s="408"/>
      <c r="BD2392" s="408"/>
      <c r="BE2392" s="408"/>
      <c r="BF2392" s="408"/>
      <c r="BG2392" s="408"/>
      <c r="BH2392" s="408"/>
      <c r="BI2392" s="408"/>
      <c r="BJ2392" s="408"/>
      <c r="BK2392" s="408"/>
      <c r="BL2392" s="410"/>
      <c r="BM2392" s="407"/>
      <c r="BN2392" s="408"/>
      <c r="BO2392" s="408"/>
      <c r="BP2392" s="408"/>
      <c r="BQ2392" s="408"/>
      <c r="BR2392" s="408"/>
      <c r="BS2392" s="408"/>
      <c r="BT2392" s="408"/>
      <c r="BU2392" s="408"/>
      <c r="BV2392" s="408"/>
      <c r="BW2392" s="408"/>
      <c r="BX2392" s="408"/>
      <c r="BY2392" s="408"/>
      <c r="BZ2392" s="409"/>
      <c r="CA2392" s="270"/>
      <c r="CB2392" s="3" t="str">
        <f t="shared" si="411"/>
        <v>Riadok bude skrytý.</v>
      </c>
      <c r="CC2392" s="271" t="s">
        <v>832</v>
      </c>
      <c r="CW2392" s="30">
        <f t="shared" si="417"/>
        <v>1</v>
      </c>
      <c r="CX2392" s="30">
        <f t="shared" si="414"/>
        <v>1</v>
      </c>
      <c r="CY2392" s="30">
        <f t="shared" si="420"/>
        <v>0</v>
      </c>
      <c r="CZ2392" s="30">
        <f t="shared" si="412"/>
        <v>1</v>
      </c>
      <c r="DA2392" s="53">
        <f t="shared" si="421"/>
        <v>0</v>
      </c>
      <c r="DB2392" s="2">
        <f t="shared" si="408"/>
        <v>0</v>
      </c>
      <c r="DS2392" s="130">
        <f>SI!BY2392</f>
        <v>165</v>
      </c>
      <c r="DZ2392" s="131">
        <f>SI!BZ2392</f>
        <v>0</v>
      </c>
    </row>
    <row r="2393" spans="1:130" hidden="1" x14ac:dyDescent="0.25">
      <c r="A2393" s="141"/>
      <c r="B2393" s="596"/>
      <c r="C2393" s="596"/>
      <c r="D2393" s="596"/>
      <c r="E2393" s="596"/>
      <c r="F2393" s="596"/>
      <c r="G2393" s="596"/>
      <c r="H2393" s="596"/>
      <c r="I2393" s="596"/>
      <c r="J2393" s="596"/>
      <c r="K2393" s="596"/>
      <c r="L2393" s="596"/>
      <c r="M2393" s="596"/>
      <c r="N2393" s="596"/>
      <c r="O2393" s="596"/>
      <c r="P2393" s="596"/>
      <c r="Q2393" s="596"/>
      <c r="R2393" s="596"/>
      <c r="S2393" s="549"/>
      <c r="T2393" s="407"/>
      <c r="U2393" s="408"/>
      <c r="V2393" s="408"/>
      <c r="W2393" s="408"/>
      <c r="X2393" s="408"/>
      <c r="Y2393" s="408"/>
      <c r="Z2393" s="408"/>
      <c r="AA2393" s="410"/>
      <c r="AB2393" s="407"/>
      <c r="AC2393" s="408"/>
      <c r="AD2393" s="408"/>
      <c r="AE2393" s="408"/>
      <c r="AF2393" s="408"/>
      <c r="AG2393" s="408"/>
      <c r="AH2393" s="409"/>
      <c r="AI2393" s="541"/>
      <c r="AJ2393" s="408"/>
      <c r="AK2393" s="408"/>
      <c r="AL2393" s="408"/>
      <c r="AM2393" s="408"/>
      <c r="AN2393" s="408"/>
      <c r="AO2393" s="408"/>
      <c r="AP2393" s="410"/>
      <c r="AQ2393" s="407"/>
      <c r="AR2393" s="408"/>
      <c r="AS2393" s="408"/>
      <c r="AT2393" s="408"/>
      <c r="AU2393" s="408"/>
      <c r="AV2393" s="408"/>
      <c r="AW2393" s="408"/>
      <c r="AX2393" s="408"/>
      <c r="AY2393" s="408"/>
      <c r="AZ2393" s="409"/>
      <c r="BA2393" s="541"/>
      <c r="BB2393" s="408"/>
      <c r="BC2393" s="408"/>
      <c r="BD2393" s="408"/>
      <c r="BE2393" s="408"/>
      <c r="BF2393" s="408"/>
      <c r="BG2393" s="408"/>
      <c r="BH2393" s="408"/>
      <c r="BI2393" s="408"/>
      <c r="BJ2393" s="408"/>
      <c r="BK2393" s="408"/>
      <c r="BL2393" s="410"/>
      <c r="BM2393" s="407"/>
      <c r="BN2393" s="408"/>
      <c r="BO2393" s="408"/>
      <c r="BP2393" s="408"/>
      <c r="BQ2393" s="408"/>
      <c r="BR2393" s="408"/>
      <c r="BS2393" s="408"/>
      <c r="BT2393" s="408"/>
      <c r="BU2393" s="408"/>
      <c r="BV2393" s="408"/>
      <c r="BW2393" s="408"/>
      <c r="BX2393" s="408"/>
      <c r="BY2393" s="408"/>
      <c r="BZ2393" s="409"/>
      <c r="CA2393" s="270"/>
      <c r="CB2393" s="3" t="str">
        <f t="shared" si="411"/>
        <v>Riadok bude skrytý.</v>
      </c>
      <c r="CC2393" s="271" t="s">
        <v>832</v>
      </c>
      <c r="CW2393" s="30">
        <f t="shared" si="417"/>
        <v>1</v>
      </c>
      <c r="CX2393" s="30">
        <f t="shared" si="414"/>
        <v>1</v>
      </c>
      <c r="CY2393" s="30">
        <f t="shared" si="420"/>
        <v>0</v>
      </c>
      <c r="CZ2393" s="30">
        <f t="shared" si="412"/>
        <v>1</v>
      </c>
      <c r="DA2393" s="53">
        <f t="shared" si="421"/>
        <v>0</v>
      </c>
      <c r="DB2393" s="2">
        <f t="shared" si="408"/>
        <v>0</v>
      </c>
      <c r="DS2393" s="130">
        <f>SI!BY2393</f>
        <v>189</v>
      </c>
      <c r="DZ2393" s="131">
        <f>SI!BZ2393</f>
        <v>0</v>
      </c>
    </row>
    <row r="2394" spans="1:130" hidden="1" x14ac:dyDescent="0.25">
      <c r="A2394" s="141"/>
      <c r="B2394" s="596"/>
      <c r="C2394" s="596"/>
      <c r="D2394" s="596"/>
      <c r="E2394" s="596"/>
      <c r="F2394" s="596"/>
      <c r="G2394" s="596"/>
      <c r="H2394" s="596"/>
      <c r="I2394" s="596"/>
      <c r="J2394" s="596"/>
      <c r="K2394" s="596"/>
      <c r="L2394" s="596"/>
      <c r="M2394" s="596"/>
      <c r="N2394" s="596"/>
      <c r="O2394" s="596"/>
      <c r="P2394" s="596"/>
      <c r="Q2394" s="596"/>
      <c r="R2394" s="596"/>
      <c r="S2394" s="549"/>
      <c r="T2394" s="407"/>
      <c r="U2394" s="408"/>
      <c r="V2394" s="408"/>
      <c r="W2394" s="408"/>
      <c r="X2394" s="408"/>
      <c r="Y2394" s="408"/>
      <c r="Z2394" s="408"/>
      <c r="AA2394" s="410"/>
      <c r="AB2394" s="407"/>
      <c r="AC2394" s="408"/>
      <c r="AD2394" s="408"/>
      <c r="AE2394" s="408"/>
      <c r="AF2394" s="408"/>
      <c r="AG2394" s="408"/>
      <c r="AH2394" s="409"/>
      <c r="AI2394" s="541"/>
      <c r="AJ2394" s="408"/>
      <c r="AK2394" s="408"/>
      <c r="AL2394" s="408"/>
      <c r="AM2394" s="408"/>
      <c r="AN2394" s="408"/>
      <c r="AO2394" s="408"/>
      <c r="AP2394" s="410"/>
      <c r="AQ2394" s="407"/>
      <c r="AR2394" s="408"/>
      <c r="AS2394" s="408"/>
      <c r="AT2394" s="408"/>
      <c r="AU2394" s="408"/>
      <c r="AV2394" s="408"/>
      <c r="AW2394" s="408"/>
      <c r="AX2394" s="408"/>
      <c r="AY2394" s="408"/>
      <c r="AZ2394" s="409"/>
      <c r="BA2394" s="541"/>
      <c r="BB2394" s="408"/>
      <c r="BC2394" s="408"/>
      <c r="BD2394" s="408"/>
      <c r="BE2394" s="408"/>
      <c r="BF2394" s="408"/>
      <c r="BG2394" s="408"/>
      <c r="BH2394" s="408"/>
      <c r="BI2394" s="408"/>
      <c r="BJ2394" s="408"/>
      <c r="BK2394" s="408"/>
      <c r="BL2394" s="410"/>
      <c r="BM2394" s="407"/>
      <c r="BN2394" s="408"/>
      <c r="BO2394" s="408"/>
      <c r="BP2394" s="408"/>
      <c r="BQ2394" s="408"/>
      <c r="BR2394" s="408"/>
      <c r="BS2394" s="408"/>
      <c r="BT2394" s="408"/>
      <c r="BU2394" s="408"/>
      <c r="BV2394" s="408"/>
      <c r="BW2394" s="408"/>
      <c r="BX2394" s="408"/>
      <c r="BY2394" s="408"/>
      <c r="BZ2394" s="409"/>
      <c r="CA2394" s="270"/>
      <c r="CB2394" s="3" t="str">
        <f t="shared" si="411"/>
        <v>Riadok bude skrytý.</v>
      </c>
      <c r="CC2394" s="271" t="s">
        <v>832</v>
      </c>
      <c r="CW2394" s="30">
        <f t="shared" si="417"/>
        <v>1</v>
      </c>
      <c r="CX2394" s="30">
        <f t="shared" si="414"/>
        <v>1</v>
      </c>
      <c r="CY2394" s="30">
        <f t="shared" si="420"/>
        <v>0</v>
      </c>
      <c r="CZ2394" s="30">
        <f t="shared" si="412"/>
        <v>1</v>
      </c>
      <c r="DA2394" s="53">
        <f t="shared" si="421"/>
        <v>0</v>
      </c>
      <c r="DB2394" s="2">
        <f t="shared" si="408"/>
        <v>0</v>
      </c>
      <c r="DS2394" s="130">
        <f>SI!BY2394</f>
        <v>160</v>
      </c>
      <c r="DZ2394" s="131">
        <f>SI!BZ2394</f>
        <v>0</v>
      </c>
    </row>
    <row r="2395" spans="1:130" hidden="1" x14ac:dyDescent="0.25">
      <c r="A2395" s="141"/>
      <c r="B2395" s="596"/>
      <c r="C2395" s="596"/>
      <c r="D2395" s="596"/>
      <c r="E2395" s="596"/>
      <c r="F2395" s="596"/>
      <c r="G2395" s="596"/>
      <c r="H2395" s="596"/>
      <c r="I2395" s="596"/>
      <c r="J2395" s="596"/>
      <c r="K2395" s="596"/>
      <c r="L2395" s="596"/>
      <c r="M2395" s="596"/>
      <c r="N2395" s="596"/>
      <c r="O2395" s="596"/>
      <c r="P2395" s="596"/>
      <c r="Q2395" s="596"/>
      <c r="R2395" s="596"/>
      <c r="S2395" s="549"/>
      <c r="T2395" s="407"/>
      <c r="U2395" s="408"/>
      <c r="V2395" s="408"/>
      <c r="W2395" s="408"/>
      <c r="X2395" s="408"/>
      <c r="Y2395" s="408"/>
      <c r="Z2395" s="408"/>
      <c r="AA2395" s="410"/>
      <c r="AB2395" s="407"/>
      <c r="AC2395" s="408"/>
      <c r="AD2395" s="408"/>
      <c r="AE2395" s="408"/>
      <c r="AF2395" s="408"/>
      <c r="AG2395" s="408"/>
      <c r="AH2395" s="409"/>
      <c r="AI2395" s="541"/>
      <c r="AJ2395" s="408"/>
      <c r="AK2395" s="408"/>
      <c r="AL2395" s="408"/>
      <c r="AM2395" s="408"/>
      <c r="AN2395" s="408"/>
      <c r="AO2395" s="408"/>
      <c r="AP2395" s="410"/>
      <c r="AQ2395" s="407"/>
      <c r="AR2395" s="408"/>
      <c r="AS2395" s="408"/>
      <c r="AT2395" s="408"/>
      <c r="AU2395" s="408"/>
      <c r="AV2395" s="408"/>
      <c r="AW2395" s="408"/>
      <c r="AX2395" s="408"/>
      <c r="AY2395" s="408"/>
      <c r="AZ2395" s="409"/>
      <c r="BA2395" s="541"/>
      <c r="BB2395" s="408"/>
      <c r="BC2395" s="408"/>
      <c r="BD2395" s="408"/>
      <c r="BE2395" s="408"/>
      <c r="BF2395" s="408"/>
      <c r="BG2395" s="408"/>
      <c r="BH2395" s="408"/>
      <c r="BI2395" s="408"/>
      <c r="BJ2395" s="408"/>
      <c r="BK2395" s="408"/>
      <c r="BL2395" s="410"/>
      <c r="BM2395" s="407"/>
      <c r="BN2395" s="408"/>
      <c r="BO2395" s="408"/>
      <c r="BP2395" s="408"/>
      <c r="BQ2395" s="408"/>
      <c r="BR2395" s="408"/>
      <c r="BS2395" s="408"/>
      <c r="BT2395" s="408"/>
      <c r="BU2395" s="408"/>
      <c r="BV2395" s="408"/>
      <c r="BW2395" s="408"/>
      <c r="BX2395" s="408"/>
      <c r="BY2395" s="408"/>
      <c r="BZ2395" s="409"/>
      <c r="CA2395" s="270"/>
      <c r="CB2395" s="3" t="str">
        <f t="shared" si="411"/>
        <v>Riadok bude skrytý.</v>
      </c>
      <c r="CC2395" s="271" t="s">
        <v>832</v>
      </c>
      <c r="CW2395" s="30">
        <f t="shared" si="417"/>
        <v>1</v>
      </c>
      <c r="CX2395" s="30">
        <f t="shared" si="414"/>
        <v>1</v>
      </c>
      <c r="CY2395" s="30">
        <f t="shared" si="420"/>
        <v>0</v>
      </c>
      <c r="CZ2395" s="30">
        <f t="shared" si="412"/>
        <v>1</v>
      </c>
      <c r="DA2395" s="53">
        <f t="shared" si="421"/>
        <v>0</v>
      </c>
      <c r="DB2395" s="2">
        <f t="shared" si="408"/>
        <v>0</v>
      </c>
      <c r="DS2395" s="130">
        <f>SI!BY2395</f>
        <v>640</v>
      </c>
      <c r="DZ2395" s="131">
        <f>SI!BZ2395</f>
        <v>0</v>
      </c>
    </row>
    <row r="2396" spans="1:130" hidden="1" x14ac:dyDescent="0.25">
      <c r="A2396" s="141"/>
      <c r="B2396" s="596"/>
      <c r="C2396" s="596"/>
      <c r="D2396" s="596"/>
      <c r="E2396" s="596"/>
      <c r="F2396" s="596"/>
      <c r="G2396" s="596"/>
      <c r="H2396" s="596"/>
      <c r="I2396" s="596"/>
      <c r="J2396" s="596"/>
      <c r="K2396" s="596"/>
      <c r="L2396" s="596"/>
      <c r="M2396" s="596"/>
      <c r="N2396" s="596"/>
      <c r="O2396" s="596"/>
      <c r="P2396" s="596"/>
      <c r="Q2396" s="596"/>
      <c r="R2396" s="596"/>
      <c r="S2396" s="549"/>
      <c r="T2396" s="407"/>
      <c r="U2396" s="408"/>
      <c r="V2396" s="408"/>
      <c r="W2396" s="408"/>
      <c r="X2396" s="408"/>
      <c r="Y2396" s="408"/>
      <c r="Z2396" s="408"/>
      <c r="AA2396" s="410"/>
      <c r="AB2396" s="407"/>
      <c r="AC2396" s="408"/>
      <c r="AD2396" s="408"/>
      <c r="AE2396" s="408"/>
      <c r="AF2396" s="408"/>
      <c r="AG2396" s="408"/>
      <c r="AH2396" s="409"/>
      <c r="AI2396" s="541"/>
      <c r="AJ2396" s="408"/>
      <c r="AK2396" s="408"/>
      <c r="AL2396" s="408"/>
      <c r="AM2396" s="408"/>
      <c r="AN2396" s="408"/>
      <c r="AO2396" s="408"/>
      <c r="AP2396" s="410"/>
      <c r="AQ2396" s="407"/>
      <c r="AR2396" s="408"/>
      <c r="AS2396" s="408"/>
      <c r="AT2396" s="408"/>
      <c r="AU2396" s="408"/>
      <c r="AV2396" s="408"/>
      <c r="AW2396" s="408"/>
      <c r="AX2396" s="408"/>
      <c r="AY2396" s="408"/>
      <c r="AZ2396" s="409"/>
      <c r="BA2396" s="541"/>
      <c r="BB2396" s="408"/>
      <c r="BC2396" s="408"/>
      <c r="BD2396" s="408"/>
      <c r="BE2396" s="408"/>
      <c r="BF2396" s="408"/>
      <c r="BG2396" s="408"/>
      <c r="BH2396" s="408"/>
      <c r="BI2396" s="408"/>
      <c r="BJ2396" s="408"/>
      <c r="BK2396" s="408"/>
      <c r="BL2396" s="410"/>
      <c r="BM2396" s="407"/>
      <c r="BN2396" s="408"/>
      <c r="BO2396" s="408"/>
      <c r="BP2396" s="408"/>
      <c r="BQ2396" s="408"/>
      <c r="BR2396" s="408"/>
      <c r="BS2396" s="408"/>
      <c r="BT2396" s="408"/>
      <c r="BU2396" s="408"/>
      <c r="BV2396" s="408"/>
      <c r="BW2396" s="408"/>
      <c r="BX2396" s="408"/>
      <c r="BY2396" s="408"/>
      <c r="BZ2396" s="409"/>
      <c r="CA2396" s="270"/>
      <c r="CB2396" s="3" t="str">
        <f t="shared" si="411"/>
        <v>Riadok bude skrytý.</v>
      </c>
      <c r="CC2396" s="271" t="s">
        <v>832</v>
      </c>
      <c r="CW2396" s="30">
        <f t="shared" si="417"/>
        <v>1</v>
      </c>
      <c r="CX2396" s="30">
        <f t="shared" si="414"/>
        <v>1</v>
      </c>
      <c r="CY2396" s="30">
        <f t="shared" si="420"/>
        <v>0</v>
      </c>
      <c r="CZ2396" s="30">
        <f t="shared" si="412"/>
        <v>1</v>
      </c>
      <c r="DA2396" s="53">
        <f t="shared" si="421"/>
        <v>0</v>
      </c>
      <c r="DB2396" s="2">
        <f t="shared" si="408"/>
        <v>0</v>
      </c>
      <c r="DS2396" s="130">
        <f>SI!BY2396</f>
        <v>133</v>
      </c>
      <c r="DZ2396" s="131">
        <f>SI!BZ2396</f>
        <v>0</v>
      </c>
    </row>
    <row r="2397" spans="1:130" hidden="1" x14ac:dyDescent="0.25">
      <c r="A2397" s="141"/>
      <c r="B2397" s="596"/>
      <c r="C2397" s="596"/>
      <c r="D2397" s="596"/>
      <c r="E2397" s="596"/>
      <c r="F2397" s="596"/>
      <c r="G2397" s="596"/>
      <c r="H2397" s="596"/>
      <c r="I2397" s="596"/>
      <c r="J2397" s="596"/>
      <c r="K2397" s="596"/>
      <c r="L2397" s="596"/>
      <c r="M2397" s="596"/>
      <c r="N2397" s="596"/>
      <c r="O2397" s="596"/>
      <c r="P2397" s="596"/>
      <c r="Q2397" s="596"/>
      <c r="R2397" s="596"/>
      <c r="S2397" s="549"/>
      <c r="T2397" s="407"/>
      <c r="U2397" s="408"/>
      <c r="V2397" s="408"/>
      <c r="W2397" s="408"/>
      <c r="X2397" s="408"/>
      <c r="Y2397" s="408"/>
      <c r="Z2397" s="408"/>
      <c r="AA2397" s="410"/>
      <c r="AB2397" s="407"/>
      <c r="AC2397" s="408"/>
      <c r="AD2397" s="408"/>
      <c r="AE2397" s="408"/>
      <c r="AF2397" s="408"/>
      <c r="AG2397" s="408"/>
      <c r="AH2397" s="409"/>
      <c r="AI2397" s="541"/>
      <c r="AJ2397" s="408"/>
      <c r="AK2397" s="408"/>
      <c r="AL2397" s="408"/>
      <c r="AM2397" s="408"/>
      <c r="AN2397" s="408"/>
      <c r="AO2397" s="408"/>
      <c r="AP2397" s="410"/>
      <c r="AQ2397" s="407"/>
      <c r="AR2397" s="408"/>
      <c r="AS2397" s="408"/>
      <c r="AT2397" s="408"/>
      <c r="AU2397" s="408"/>
      <c r="AV2397" s="408"/>
      <c r="AW2397" s="408"/>
      <c r="AX2397" s="408"/>
      <c r="AY2397" s="408"/>
      <c r="AZ2397" s="409"/>
      <c r="BA2397" s="541"/>
      <c r="BB2397" s="408"/>
      <c r="BC2397" s="408"/>
      <c r="BD2397" s="408"/>
      <c r="BE2397" s="408"/>
      <c r="BF2397" s="408"/>
      <c r="BG2397" s="408"/>
      <c r="BH2397" s="408"/>
      <c r="BI2397" s="408"/>
      <c r="BJ2397" s="408"/>
      <c r="BK2397" s="408"/>
      <c r="BL2397" s="410"/>
      <c r="BM2397" s="407"/>
      <c r="BN2397" s="408"/>
      <c r="BO2397" s="408"/>
      <c r="BP2397" s="408"/>
      <c r="BQ2397" s="408"/>
      <c r="BR2397" s="408"/>
      <c r="BS2397" s="408"/>
      <c r="BT2397" s="408"/>
      <c r="BU2397" s="408"/>
      <c r="BV2397" s="408"/>
      <c r="BW2397" s="408"/>
      <c r="BX2397" s="408"/>
      <c r="BY2397" s="408"/>
      <c r="BZ2397" s="409"/>
      <c r="CA2397" s="270"/>
      <c r="CB2397" s="3" t="str">
        <f t="shared" si="411"/>
        <v>Riadok bude skrytý.</v>
      </c>
      <c r="CC2397" s="271" t="s">
        <v>832</v>
      </c>
      <c r="CW2397" s="30">
        <f t="shared" si="417"/>
        <v>1</v>
      </c>
      <c r="CX2397" s="30">
        <f t="shared" si="414"/>
        <v>1</v>
      </c>
      <c r="CY2397" s="30">
        <f t="shared" si="420"/>
        <v>0</v>
      </c>
      <c r="CZ2397" s="30">
        <f t="shared" si="412"/>
        <v>1</v>
      </c>
      <c r="DA2397" s="53">
        <f t="shared" si="421"/>
        <v>0</v>
      </c>
      <c r="DB2397" s="2">
        <f t="shared" si="408"/>
        <v>0</v>
      </c>
      <c r="DS2397" s="130">
        <f>SI!BY2397</f>
        <v>6</v>
      </c>
      <c r="DZ2397" s="131">
        <f>SI!BZ2397</f>
        <v>0</v>
      </c>
    </row>
    <row r="2398" spans="1:130" hidden="1" x14ac:dyDescent="0.25">
      <c r="A2398" s="141"/>
      <c r="B2398" s="1432"/>
      <c r="C2398" s="1432"/>
      <c r="D2398" s="1432"/>
      <c r="E2398" s="1432"/>
      <c r="F2398" s="1432"/>
      <c r="G2398" s="1432"/>
      <c r="H2398" s="1432"/>
      <c r="I2398" s="1432"/>
      <c r="J2398" s="1432"/>
      <c r="K2398" s="1432"/>
      <c r="L2398" s="1432"/>
      <c r="M2398" s="1432"/>
      <c r="N2398" s="1432"/>
      <c r="O2398" s="1432"/>
      <c r="P2398" s="1432"/>
      <c r="Q2398" s="1432"/>
      <c r="R2398" s="1432"/>
      <c r="S2398" s="1433"/>
      <c r="T2398" s="576"/>
      <c r="U2398" s="577"/>
      <c r="V2398" s="577"/>
      <c r="W2398" s="577"/>
      <c r="X2398" s="577"/>
      <c r="Y2398" s="577"/>
      <c r="Z2398" s="577"/>
      <c r="AA2398" s="588"/>
      <c r="AB2398" s="576"/>
      <c r="AC2398" s="577"/>
      <c r="AD2398" s="577"/>
      <c r="AE2398" s="577"/>
      <c r="AF2398" s="577"/>
      <c r="AG2398" s="577"/>
      <c r="AH2398" s="578"/>
      <c r="AI2398" s="587"/>
      <c r="AJ2398" s="577"/>
      <c r="AK2398" s="577"/>
      <c r="AL2398" s="577"/>
      <c r="AM2398" s="577"/>
      <c r="AN2398" s="577"/>
      <c r="AO2398" s="577"/>
      <c r="AP2398" s="588"/>
      <c r="AQ2398" s="576"/>
      <c r="AR2398" s="577"/>
      <c r="AS2398" s="577"/>
      <c r="AT2398" s="577"/>
      <c r="AU2398" s="577"/>
      <c r="AV2398" s="577"/>
      <c r="AW2398" s="577"/>
      <c r="AX2398" s="577"/>
      <c r="AY2398" s="577"/>
      <c r="AZ2398" s="578"/>
      <c r="BA2398" s="587"/>
      <c r="BB2398" s="577"/>
      <c r="BC2398" s="577"/>
      <c r="BD2398" s="577"/>
      <c r="BE2398" s="577"/>
      <c r="BF2398" s="577"/>
      <c r="BG2398" s="577"/>
      <c r="BH2398" s="577"/>
      <c r="BI2398" s="577"/>
      <c r="BJ2398" s="577"/>
      <c r="BK2398" s="577"/>
      <c r="BL2398" s="588"/>
      <c r="BM2398" s="576"/>
      <c r="BN2398" s="577"/>
      <c r="BO2398" s="577"/>
      <c r="BP2398" s="577"/>
      <c r="BQ2398" s="577"/>
      <c r="BR2398" s="577"/>
      <c r="BS2398" s="577"/>
      <c r="BT2398" s="577"/>
      <c r="BU2398" s="577"/>
      <c r="BV2398" s="577"/>
      <c r="BW2398" s="577"/>
      <c r="BX2398" s="577"/>
      <c r="BY2398" s="577"/>
      <c r="BZ2398" s="578"/>
      <c r="CA2398" s="270"/>
      <c r="CB2398" s="3" t="str">
        <f t="shared" si="411"/>
        <v>Riadok bude skrytý.</v>
      </c>
      <c r="CC2398" s="271" t="s">
        <v>832</v>
      </c>
      <c r="CW2398" s="30">
        <f t="shared" si="417"/>
        <v>1</v>
      </c>
      <c r="CX2398" s="30">
        <f t="shared" si="414"/>
        <v>1</v>
      </c>
      <c r="CZ2398" s="30">
        <f t="shared" si="412"/>
        <v>1</v>
      </c>
      <c r="DA2398" s="52">
        <f>+IF(CW2398*CX2398=0,0,IF(CZ2398=0,0,1))</f>
        <v>1</v>
      </c>
      <c r="DB2398" s="2">
        <f t="shared" si="408"/>
        <v>0</v>
      </c>
      <c r="DS2398" s="130">
        <f>SI!BY2398</f>
        <v>143</v>
      </c>
      <c r="DZ2398" s="131">
        <f>SI!BZ2398</f>
        <v>0</v>
      </c>
    </row>
    <row r="2399" spans="1:130" hidden="1" x14ac:dyDescent="0.25">
      <c r="A2399" s="141"/>
      <c r="CA2399" s="142"/>
      <c r="CB2399" s="3" t="str">
        <f t="shared" si="411"/>
        <v>Riadok bude skrytý.</v>
      </c>
      <c r="CW2399" s="49">
        <v>1</v>
      </c>
      <c r="CZ2399" s="30">
        <f t="shared" si="412"/>
        <v>1</v>
      </c>
      <c r="DA2399" s="30">
        <f t="shared" ref="DA2399:DA2410" si="422">+IF(CW2399+CX2399+CY2399=0,0,IF(CZ2399=0,0,1))</f>
        <v>1</v>
      </c>
      <c r="DB2399" s="2">
        <f t="shared" si="408"/>
        <v>0</v>
      </c>
      <c r="DS2399" s="130">
        <f>SI!BY2399</f>
        <v>461</v>
      </c>
      <c r="DZ2399" s="131">
        <f>SI!BZ2399</f>
        <v>0</v>
      </c>
    </row>
    <row r="2400" spans="1:130" hidden="1" x14ac:dyDescent="0.25">
      <c r="A2400" s="141"/>
      <c r="B2400" s="289" t="s">
        <v>244</v>
      </c>
      <c r="C2400" s="288"/>
      <c r="D2400" s="288"/>
      <c r="E2400" s="288"/>
      <c r="F2400" s="288"/>
      <c r="G2400" s="289" t="str">
        <f>+IF($S$52&lt;&gt;"",IF((CODE(MID($S$52,1,1))/100)&lt;10,IF(COMBIN(LEN(SI!J3),2)=DS2400,"Časové rozlíšenie","NEPOVOLENÉ POUŽITIE !"),"NEPOVOLENÉ POUŽITIE!"),"NEPOVOLENÉ POUŽITIE !")</f>
        <v>Časové rozlíšenie</v>
      </c>
      <c r="H2400" s="289"/>
      <c r="I2400" s="288"/>
      <c r="J2400" s="288"/>
      <c r="K2400" s="288"/>
      <c r="L2400" s="288"/>
      <c r="M2400" s="288"/>
      <c r="N2400" s="288"/>
      <c r="O2400" s="288"/>
      <c r="P2400" s="288"/>
      <c r="Q2400" s="288"/>
      <c r="R2400" s="288"/>
      <c r="S2400" s="288"/>
      <c r="T2400" s="288"/>
      <c r="U2400" s="288"/>
      <c r="V2400" s="288"/>
      <c r="W2400" s="288"/>
      <c r="X2400" s="288"/>
      <c r="Y2400" s="288"/>
      <c r="Z2400" s="288"/>
      <c r="AA2400" s="288"/>
      <c r="AB2400" s="288"/>
      <c r="AC2400" s="288"/>
      <c r="AD2400" s="288"/>
      <c r="AE2400" s="288"/>
      <c r="AF2400" s="288"/>
      <c r="AG2400" s="288"/>
      <c r="AH2400" s="288"/>
      <c r="AI2400" s="288"/>
      <c r="AJ2400" s="288"/>
      <c r="AK2400" s="288"/>
      <c r="AL2400" s="288"/>
      <c r="AM2400" s="288"/>
      <c r="AN2400" s="288"/>
      <c r="AO2400" s="288"/>
      <c r="AP2400" s="288"/>
      <c r="AQ2400" s="288"/>
      <c r="AR2400" s="288"/>
      <c r="AS2400" s="288"/>
      <c r="AT2400" s="288"/>
      <c r="AU2400" s="288"/>
      <c r="AV2400" s="288"/>
      <c r="AW2400" s="288"/>
      <c r="AX2400" s="288"/>
      <c r="AY2400" s="288"/>
      <c r="AZ2400" s="288"/>
      <c r="BA2400" s="288"/>
      <c r="BB2400" s="288"/>
      <c r="BC2400" s="288"/>
      <c r="BD2400" s="288"/>
      <c r="BE2400" s="288"/>
      <c r="BF2400" s="288"/>
      <c r="BG2400" s="288"/>
      <c r="BH2400" s="288"/>
      <c r="BI2400" s="288"/>
      <c r="BJ2400" s="288"/>
      <c r="BK2400" s="288"/>
      <c r="BL2400" s="288"/>
      <c r="BM2400" s="288"/>
      <c r="BN2400" s="288"/>
      <c r="BO2400" s="288"/>
      <c r="BP2400" s="288"/>
      <c r="BQ2400" s="288"/>
      <c r="BR2400" s="288"/>
      <c r="BS2400" s="288"/>
      <c r="BT2400" s="288"/>
      <c r="BU2400" s="288"/>
      <c r="BV2400" s="288"/>
      <c r="BW2400" s="288"/>
      <c r="BX2400" s="288"/>
      <c r="BY2400" s="288"/>
      <c r="BZ2400" s="288"/>
      <c r="CA2400" s="265" t="s">
        <v>773</v>
      </c>
      <c r="CB2400" s="3" t="str">
        <f t="shared" si="411"/>
        <v>Riadok bude skrytý.</v>
      </c>
      <c r="CW2400" s="49">
        <v>1</v>
      </c>
      <c r="CZ2400" s="30">
        <f t="shared" si="412"/>
        <v>1</v>
      </c>
      <c r="DA2400" s="30">
        <f t="shared" si="422"/>
        <v>1</v>
      </c>
      <c r="DB2400" s="2">
        <f t="shared" si="408"/>
        <v>0</v>
      </c>
      <c r="DS2400" s="130">
        <f>SI!BY2400</f>
        <v>10</v>
      </c>
      <c r="DZ2400" s="131">
        <f>SI!BZ2400</f>
        <v>0</v>
      </c>
    </row>
    <row r="2401" spans="1:130" hidden="1" x14ac:dyDescent="0.25">
      <c r="A2401" s="141"/>
      <c r="B2401" s="7"/>
      <c r="G2401" s="7"/>
      <c r="H2401" s="7"/>
      <c r="CA2401" s="142"/>
      <c r="CB2401" s="3" t="str">
        <f t="shared" si="411"/>
        <v>Riadok bude skrytý.</v>
      </c>
      <c r="CW2401" s="49">
        <v>1</v>
      </c>
      <c r="CZ2401" s="30">
        <f t="shared" si="412"/>
        <v>1</v>
      </c>
      <c r="DA2401" s="30">
        <f t="shared" si="422"/>
        <v>1</v>
      </c>
      <c r="DB2401" s="2">
        <f t="shared" si="408"/>
        <v>0</v>
      </c>
      <c r="DS2401" s="130">
        <f>SI!BY2401</f>
        <v>162</v>
      </c>
      <c r="DZ2401" s="131">
        <f>SI!BZ2401</f>
        <v>0</v>
      </c>
    </row>
    <row r="2402" spans="1:130" hidden="1" x14ac:dyDescent="0.25">
      <c r="A2402" s="141"/>
      <c r="B2402" s="14" t="s">
        <v>96</v>
      </c>
      <c r="C2402" s="14"/>
      <c r="D2402" s="14"/>
      <c r="E2402" s="14"/>
      <c r="F2402" s="14"/>
      <c r="G2402" s="14"/>
      <c r="H2402" s="14"/>
      <c r="I2402" s="14"/>
      <c r="J2402" s="378" t="s">
        <v>152</v>
      </c>
      <c r="K2402" s="378"/>
      <c r="L2402" s="378"/>
      <c r="M2402" s="378"/>
      <c r="N2402" s="378"/>
      <c r="O2402" s="378"/>
      <c r="P2402" s="378"/>
      <c r="Q2402" s="378"/>
      <c r="R2402" s="378"/>
      <c r="S2402" s="137" t="str">
        <f>+IF($C$52&lt;&gt;"",IF(CODE(MID($C$52,1,1))*0+LEN(SI!J2)=DS2402,"zostatky na účtoch časového rozlíšenia.","NEPOVOLENÉ POUŽITIE!"),"NEPOVOLENÉ POUŽITIE!")</f>
        <v>zostatky na účtoch časového rozlíšenia.</v>
      </c>
      <c r="T2402" s="38"/>
      <c r="CA2402" s="142"/>
      <c r="CB2402" s="3" t="str">
        <f t="shared" si="411"/>
        <v>Riadok bude skrytý.</v>
      </c>
      <c r="CC2402" s="271" t="s">
        <v>832</v>
      </c>
      <c r="CF2402" s="13"/>
      <c r="CW2402" s="49">
        <v>1</v>
      </c>
      <c r="CY2402" s="43"/>
      <c r="CZ2402" s="30">
        <f t="shared" si="412"/>
        <v>1</v>
      </c>
      <c r="DA2402" s="30">
        <f t="shared" si="422"/>
        <v>1</v>
      </c>
      <c r="DB2402" s="2">
        <f t="shared" si="408"/>
        <v>0</v>
      </c>
      <c r="DS2402" s="130">
        <f>SI!BY2402</f>
        <v>13</v>
      </c>
      <c r="DZ2402" s="131">
        <f>SI!BZ2402</f>
        <v>0</v>
      </c>
    </row>
    <row r="2403" spans="1:130" hidden="1" x14ac:dyDescent="0.25">
      <c r="A2403" s="141"/>
      <c r="B2403" s="137" t="str">
        <f>+IF($Q$52&lt;&gt;"",IF((CODE(MID($Q$52,1,1)))*(INT((PI()-3.1415)*10^5))*0+(LEN(SI!J5)-LEN(SI!J6))=DS2403,IF(J2402="neeviduje","Spoločnosť nemá pre túto časť poznámok obsahovú náplň.",""),"NEPOVOLENÉ POUŽITIE!"),"NEPOVOLENÉ POUŽITIE!")</f>
        <v/>
      </c>
      <c r="CA2403" s="142"/>
      <c r="CB2403" s="3" t="str">
        <f t="shared" si="411"/>
        <v>Riadok bude skrytý.</v>
      </c>
      <c r="CC2403" s="271" t="s">
        <v>832</v>
      </c>
      <c r="CW2403" s="30">
        <f>+IF($J$2402="neeviduje",1,0)</f>
        <v>0</v>
      </c>
      <c r="CZ2403" s="30">
        <f t="shared" si="412"/>
        <v>1</v>
      </c>
      <c r="DA2403" s="30">
        <f t="shared" si="422"/>
        <v>0</v>
      </c>
      <c r="DB2403" s="2">
        <f t="shared" si="408"/>
        <v>0</v>
      </c>
      <c r="DS2403" s="130">
        <f>SI!BY2403</f>
        <v>10</v>
      </c>
      <c r="DZ2403" s="131">
        <f>SI!BZ2403</f>
        <v>0</v>
      </c>
    </row>
    <row r="2404" spans="1:130" hidden="1" x14ac:dyDescent="0.25">
      <c r="A2404" s="141"/>
      <c r="B2404" s="7"/>
      <c r="G2404" s="7"/>
      <c r="H2404" s="7"/>
      <c r="CA2404" s="142"/>
      <c r="CB2404" s="3" t="str">
        <f t="shared" si="411"/>
        <v>Riadok bude skrytý.</v>
      </c>
      <c r="CC2404" s="271" t="s">
        <v>832</v>
      </c>
      <c r="CW2404" s="30">
        <f>+IF($J$2402="neeviduje",1,0)</f>
        <v>0</v>
      </c>
      <c r="CZ2404" s="30">
        <f t="shared" si="412"/>
        <v>1</v>
      </c>
      <c r="DA2404" s="30">
        <f t="shared" si="422"/>
        <v>0</v>
      </c>
      <c r="DB2404" s="2">
        <f t="shared" si="408"/>
        <v>0</v>
      </c>
      <c r="DS2404" s="130">
        <f>SI!BY2404</f>
        <v>798</v>
      </c>
      <c r="DZ2404" s="131">
        <f>SI!BZ2404</f>
        <v>0</v>
      </c>
    </row>
    <row r="2405" spans="1:130" hidden="1" x14ac:dyDescent="0.25">
      <c r="A2405" s="141"/>
      <c r="B2405" s="137" t="str">
        <f>+IF($U$52&lt;&gt;"",IF((ROUNDDOWN(CODE(MID($U$52,1,1)),0)-(BIN2DEC(1010)/10))*0+(LEN(SI!J2)+LEN(SI!J5))=DS2405,"Významné položky časového rozlíšenia na strane pasív sú uvedené v tabuľke:","NEPOVOLENÉ POUŽITIE!"),"NEPOVOLENÉ POUŽITIE!")</f>
        <v>Významné položky časového rozlíšenia na strane pasív sú uvedené v tabuľke:</v>
      </c>
      <c r="CA2405" s="142"/>
      <c r="CB2405" s="3" t="str">
        <f t="shared" si="411"/>
        <v>Riadok bude skrytý.</v>
      </c>
      <c r="CC2405" s="271" t="s">
        <v>832</v>
      </c>
      <c r="CW2405" s="30">
        <f t="shared" ref="CW2405:CW2435" si="423">+IF($J$2402="neeviduje",0,1)</f>
        <v>1</v>
      </c>
      <c r="CZ2405" s="30">
        <f t="shared" si="412"/>
        <v>1</v>
      </c>
      <c r="DA2405" s="30">
        <f t="shared" si="422"/>
        <v>1</v>
      </c>
      <c r="DB2405" s="2">
        <f t="shared" si="408"/>
        <v>0</v>
      </c>
      <c r="DS2405" s="130">
        <f>SI!BY2405</f>
        <v>28</v>
      </c>
      <c r="DZ2405" s="131">
        <f>SI!BZ2405</f>
        <v>0</v>
      </c>
    </row>
    <row r="2406" spans="1:130" hidden="1" x14ac:dyDescent="0.25">
      <c r="A2406" s="141"/>
      <c r="CA2406" s="270"/>
      <c r="CB2406" s="3" t="str">
        <f t="shared" si="411"/>
        <v>Riadok bude skrytý.</v>
      </c>
      <c r="CC2406" s="271" t="s">
        <v>832</v>
      </c>
      <c r="CW2406" s="30">
        <f t="shared" si="423"/>
        <v>1</v>
      </c>
      <c r="CZ2406" s="30">
        <f t="shared" si="412"/>
        <v>1</v>
      </c>
      <c r="DA2406" s="30">
        <f t="shared" si="422"/>
        <v>1</v>
      </c>
      <c r="DB2406" s="2">
        <f t="shared" si="408"/>
        <v>0</v>
      </c>
      <c r="DS2406" s="130">
        <f>SI!BY2406</f>
        <v>10</v>
      </c>
      <c r="DZ2406" s="131">
        <f>SI!BZ2406</f>
        <v>0</v>
      </c>
    </row>
    <row r="2407" spans="1:130" ht="14.95" hidden="1" customHeight="1" x14ac:dyDescent="0.25">
      <c r="A2407" s="141"/>
      <c r="B2407" s="439" t="str">
        <f>+IF($O$52&lt;&gt;"",IF(CODE(MID($O$52,1,1))*(IF(SI!EE2407="",1,SI!EE2407-1-1-1))+ROUNDDOWN(LEN(SI!J5)/2,0)=DS2407,"Názov položky","NEPOVOLENÉ POUŽITIE!"),"NEPOVOLENÉ POUŽITIE!")</f>
        <v>Názov položky</v>
      </c>
      <c r="C2407" s="440"/>
      <c r="D2407" s="440"/>
      <c r="E2407" s="440"/>
      <c r="F2407" s="440"/>
      <c r="G2407" s="440"/>
      <c r="H2407" s="440"/>
      <c r="I2407" s="440"/>
      <c r="J2407" s="440"/>
      <c r="K2407" s="440"/>
      <c r="L2407" s="440"/>
      <c r="M2407" s="440"/>
      <c r="N2407" s="440"/>
      <c r="O2407" s="440"/>
      <c r="P2407" s="440"/>
      <c r="Q2407" s="440"/>
      <c r="R2407" s="440"/>
      <c r="S2407" s="440"/>
      <c r="T2407" s="440"/>
      <c r="U2407" s="440"/>
      <c r="V2407" s="440"/>
      <c r="W2407" s="440"/>
      <c r="X2407" s="440"/>
      <c r="Y2407" s="440"/>
      <c r="Z2407" s="440"/>
      <c r="AA2407" s="440"/>
      <c r="AB2407" s="440"/>
      <c r="AC2407" s="440"/>
      <c r="AD2407" s="440"/>
      <c r="AE2407" s="440"/>
      <c r="AF2407" s="440"/>
      <c r="AG2407" s="440"/>
      <c r="AH2407" s="440"/>
      <c r="AI2407" s="440"/>
      <c r="AJ2407" s="440"/>
      <c r="AK2407" s="440"/>
      <c r="AL2407" s="441"/>
      <c r="AM2407" s="1434">
        <f>+AJ141</f>
        <v>2021</v>
      </c>
      <c r="AN2407" s="1435"/>
      <c r="AO2407" s="1435"/>
      <c r="AP2407" s="1435"/>
      <c r="AQ2407" s="1435"/>
      <c r="AR2407" s="1435"/>
      <c r="AS2407" s="1435"/>
      <c r="AT2407" s="1435"/>
      <c r="AU2407" s="1435"/>
      <c r="AV2407" s="1435"/>
      <c r="AW2407" s="1435"/>
      <c r="AX2407" s="1435"/>
      <c r="AY2407" s="1435"/>
      <c r="AZ2407" s="1435"/>
      <c r="BA2407" s="1435"/>
      <c r="BB2407" s="1435"/>
      <c r="BC2407" s="1435"/>
      <c r="BD2407" s="1435"/>
      <c r="BE2407" s="1435"/>
      <c r="BF2407" s="1436"/>
      <c r="BG2407" s="492">
        <f>+BE141</f>
        <v>2020</v>
      </c>
      <c r="BH2407" s="493"/>
      <c r="BI2407" s="493"/>
      <c r="BJ2407" s="493"/>
      <c r="BK2407" s="493"/>
      <c r="BL2407" s="493"/>
      <c r="BM2407" s="493"/>
      <c r="BN2407" s="493"/>
      <c r="BO2407" s="493"/>
      <c r="BP2407" s="493"/>
      <c r="BQ2407" s="493"/>
      <c r="BR2407" s="493"/>
      <c r="BS2407" s="493"/>
      <c r="BT2407" s="493"/>
      <c r="BU2407" s="493"/>
      <c r="BV2407" s="493"/>
      <c r="BW2407" s="493"/>
      <c r="BX2407" s="493"/>
      <c r="BY2407" s="493"/>
      <c r="BZ2407" s="494"/>
      <c r="CA2407" s="265" t="s">
        <v>773</v>
      </c>
      <c r="CB2407" s="3" t="str">
        <f t="shared" si="411"/>
        <v>Riadok bude skrytý.</v>
      </c>
      <c r="CC2407" s="271" t="s">
        <v>832</v>
      </c>
      <c r="CD2407" s="4"/>
      <c r="CE2407" s="4"/>
      <c r="CF2407" s="4"/>
      <c r="CG2407" s="4"/>
      <c r="CH2407" s="4"/>
      <c r="CI2407" s="4"/>
      <c r="CJ2407" s="4"/>
      <c r="CK2407" s="4"/>
      <c r="CL2407" s="4"/>
      <c r="CM2407" s="4"/>
      <c r="CN2407" s="4"/>
      <c r="CO2407" s="4"/>
      <c r="CW2407" s="30">
        <f t="shared" si="423"/>
        <v>1</v>
      </c>
      <c r="CZ2407" s="30">
        <f t="shared" si="412"/>
        <v>1</v>
      </c>
      <c r="DA2407" s="30">
        <f t="shared" si="422"/>
        <v>1</v>
      </c>
      <c r="DB2407" s="2">
        <f t="shared" ref="DB2407:DB2470" si="424">+IF($CD$1="malé",0,DA2407)</f>
        <v>0</v>
      </c>
      <c r="DS2407" s="130">
        <f>SI!BY2407</f>
        <v>7</v>
      </c>
      <c r="DZ2407" s="131">
        <f>SI!BZ2407</f>
        <v>0</v>
      </c>
    </row>
    <row r="2408" spans="1:130" hidden="1" x14ac:dyDescent="0.25">
      <c r="A2408" s="141"/>
      <c r="B2408" s="442"/>
      <c r="C2408" s="443"/>
      <c r="D2408" s="443"/>
      <c r="E2408" s="443"/>
      <c r="F2408" s="443"/>
      <c r="G2408" s="443"/>
      <c r="H2408" s="443"/>
      <c r="I2408" s="443"/>
      <c r="J2408" s="443"/>
      <c r="K2408" s="443"/>
      <c r="L2408" s="443"/>
      <c r="M2408" s="443"/>
      <c r="N2408" s="443"/>
      <c r="O2408" s="443"/>
      <c r="P2408" s="443"/>
      <c r="Q2408" s="443"/>
      <c r="R2408" s="443"/>
      <c r="S2408" s="443"/>
      <c r="T2408" s="443"/>
      <c r="U2408" s="443"/>
      <c r="V2408" s="443"/>
      <c r="W2408" s="443"/>
      <c r="X2408" s="443"/>
      <c r="Y2408" s="443"/>
      <c r="Z2408" s="443"/>
      <c r="AA2408" s="443"/>
      <c r="AB2408" s="443"/>
      <c r="AC2408" s="443"/>
      <c r="AD2408" s="443"/>
      <c r="AE2408" s="443"/>
      <c r="AF2408" s="443"/>
      <c r="AG2408" s="443"/>
      <c r="AH2408" s="443"/>
      <c r="AI2408" s="443"/>
      <c r="AJ2408" s="443"/>
      <c r="AK2408" s="443"/>
      <c r="AL2408" s="444"/>
      <c r="AM2408" s="639"/>
      <c r="AN2408" s="640"/>
      <c r="AO2408" s="640"/>
      <c r="AP2408" s="640"/>
      <c r="AQ2408" s="640"/>
      <c r="AR2408" s="640"/>
      <c r="AS2408" s="640"/>
      <c r="AT2408" s="640"/>
      <c r="AU2408" s="640"/>
      <c r="AV2408" s="640"/>
      <c r="AW2408" s="640"/>
      <c r="AX2408" s="640"/>
      <c r="AY2408" s="640"/>
      <c r="AZ2408" s="640"/>
      <c r="BA2408" s="640"/>
      <c r="BB2408" s="640"/>
      <c r="BC2408" s="640"/>
      <c r="BD2408" s="640"/>
      <c r="BE2408" s="640"/>
      <c r="BF2408" s="641"/>
      <c r="BG2408" s="495"/>
      <c r="BH2408" s="496"/>
      <c r="BI2408" s="496"/>
      <c r="BJ2408" s="496"/>
      <c r="BK2408" s="496"/>
      <c r="BL2408" s="496"/>
      <c r="BM2408" s="496"/>
      <c r="BN2408" s="496"/>
      <c r="BO2408" s="496"/>
      <c r="BP2408" s="496"/>
      <c r="BQ2408" s="496"/>
      <c r="BR2408" s="496"/>
      <c r="BS2408" s="496"/>
      <c r="BT2408" s="496"/>
      <c r="BU2408" s="496"/>
      <c r="BV2408" s="496"/>
      <c r="BW2408" s="496"/>
      <c r="BX2408" s="496"/>
      <c r="BY2408" s="496"/>
      <c r="BZ2408" s="497"/>
      <c r="CA2408" s="142"/>
      <c r="CB2408" s="3" t="str">
        <f t="shared" si="411"/>
        <v>Riadok bude skrytý.</v>
      </c>
      <c r="CC2408" s="271" t="s">
        <v>832</v>
      </c>
      <c r="CW2408" s="30">
        <f t="shared" si="423"/>
        <v>1</v>
      </c>
      <c r="CZ2408" s="30">
        <f t="shared" si="412"/>
        <v>1</v>
      </c>
      <c r="DA2408" s="30">
        <f t="shared" si="422"/>
        <v>1</v>
      </c>
      <c r="DB2408" s="2">
        <f t="shared" si="424"/>
        <v>0</v>
      </c>
      <c r="DS2408" s="130">
        <f>SI!BY2408</f>
        <v>835</v>
      </c>
      <c r="DZ2408" s="131">
        <f>SI!BZ2408</f>
        <v>0</v>
      </c>
    </row>
    <row r="2409" spans="1:130" hidden="1" x14ac:dyDescent="0.25">
      <c r="A2409" s="141"/>
      <c r="B2409" s="401" t="str">
        <f>+IF($K$52&lt;&gt;"",IF(INT(SQRT((CODE(MID($K$52,1,1)))))*(IF(SI!EE2409="",1,SI!EE2409-1-1))+LEN(SI!J5)=DS2409,"Výdavky budúcich období - dlhodobé, z toho:","NEPOVOLENÉ POUŽITIE!"),"NEPOVOLENÉ POUŽITIE!")</f>
        <v>Výdavky budúcich období - dlhodobé, z toho:</v>
      </c>
      <c r="C2409" s="402"/>
      <c r="D2409" s="402"/>
      <c r="E2409" s="402"/>
      <c r="F2409" s="402"/>
      <c r="G2409" s="402"/>
      <c r="H2409" s="402"/>
      <c r="I2409" s="402"/>
      <c r="J2409" s="402"/>
      <c r="K2409" s="402"/>
      <c r="L2409" s="402"/>
      <c r="M2409" s="402"/>
      <c r="N2409" s="402"/>
      <c r="O2409" s="402"/>
      <c r="P2409" s="402"/>
      <c r="Q2409" s="402"/>
      <c r="R2409" s="402"/>
      <c r="S2409" s="402"/>
      <c r="T2409" s="402"/>
      <c r="U2409" s="402"/>
      <c r="V2409" s="402"/>
      <c r="W2409" s="402"/>
      <c r="X2409" s="402"/>
      <c r="Y2409" s="402"/>
      <c r="Z2409" s="402"/>
      <c r="AA2409" s="402"/>
      <c r="AB2409" s="402"/>
      <c r="AC2409" s="402"/>
      <c r="AD2409" s="402"/>
      <c r="AE2409" s="402"/>
      <c r="AF2409" s="402"/>
      <c r="AG2409" s="402"/>
      <c r="AH2409" s="402"/>
      <c r="AI2409" s="402"/>
      <c r="AJ2409" s="402"/>
      <c r="AK2409" s="402"/>
      <c r="AL2409" s="776"/>
      <c r="AM2409" s="1152">
        <f>+SUM(AM2410:BF2419)</f>
        <v>0</v>
      </c>
      <c r="AN2409" s="1153"/>
      <c r="AO2409" s="1153"/>
      <c r="AP2409" s="1153"/>
      <c r="AQ2409" s="1153"/>
      <c r="AR2409" s="1153"/>
      <c r="AS2409" s="1153"/>
      <c r="AT2409" s="1153"/>
      <c r="AU2409" s="1153"/>
      <c r="AV2409" s="1153"/>
      <c r="AW2409" s="1153"/>
      <c r="AX2409" s="1153"/>
      <c r="AY2409" s="1153"/>
      <c r="AZ2409" s="1153"/>
      <c r="BA2409" s="1153"/>
      <c r="BB2409" s="1153"/>
      <c r="BC2409" s="1153"/>
      <c r="BD2409" s="1153"/>
      <c r="BE2409" s="1153"/>
      <c r="BF2409" s="1153"/>
      <c r="BG2409" s="1152">
        <f>+SUM(BG2410:BZ2419)</f>
        <v>0</v>
      </c>
      <c r="BH2409" s="1153"/>
      <c r="BI2409" s="1153"/>
      <c r="BJ2409" s="1153"/>
      <c r="BK2409" s="1153"/>
      <c r="BL2409" s="1153"/>
      <c r="BM2409" s="1153"/>
      <c r="BN2409" s="1153"/>
      <c r="BO2409" s="1153"/>
      <c r="BP2409" s="1153"/>
      <c r="BQ2409" s="1153"/>
      <c r="BR2409" s="1153"/>
      <c r="BS2409" s="1153"/>
      <c r="BT2409" s="1153"/>
      <c r="BU2409" s="1153"/>
      <c r="BV2409" s="1153"/>
      <c r="BW2409" s="1153"/>
      <c r="BX2409" s="1153"/>
      <c r="BY2409" s="1153"/>
      <c r="BZ2409" s="1154"/>
      <c r="CA2409" s="142"/>
      <c r="CB2409" s="3" t="str">
        <f t="shared" si="411"/>
        <v>Riadok bude skrytý.</v>
      </c>
      <c r="CC2409" s="271" t="s">
        <v>832</v>
      </c>
      <c r="CD2409" s="4" t="s">
        <v>757</v>
      </c>
      <c r="CW2409" s="30">
        <f t="shared" si="423"/>
        <v>1</v>
      </c>
      <c r="CZ2409" s="30">
        <f t="shared" si="412"/>
        <v>1</v>
      </c>
      <c r="DA2409" s="30">
        <f t="shared" si="422"/>
        <v>1</v>
      </c>
      <c r="DB2409" s="2">
        <f t="shared" si="424"/>
        <v>0</v>
      </c>
      <c r="DS2409" s="130">
        <f>SI!BY2409</f>
        <v>15</v>
      </c>
      <c r="DZ2409" s="131">
        <f>SI!BZ2409</f>
        <v>0</v>
      </c>
    </row>
    <row r="2410" spans="1:130" hidden="1" x14ac:dyDescent="0.25">
      <c r="A2410" s="141"/>
      <c r="B2410" s="1149"/>
      <c r="C2410" s="1150"/>
      <c r="D2410" s="1150"/>
      <c r="E2410" s="1150"/>
      <c r="F2410" s="1150"/>
      <c r="G2410" s="1150"/>
      <c r="H2410" s="1150"/>
      <c r="I2410" s="1150"/>
      <c r="J2410" s="1150"/>
      <c r="K2410" s="1150"/>
      <c r="L2410" s="1150"/>
      <c r="M2410" s="1150"/>
      <c r="N2410" s="1150"/>
      <c r="O2410" s="1150"/>
      <c r="P2410" s="1150"/>
      <c r="Q2410" s="1150"/>
      <c r="R2410" s="1150"/>
      <c r="S2410" s="1150"/>
      <c r="T2410" s="1150"/>
      <c r="U2410" s="1150"/>
      <c r="V2410" s="1150"/>
      <c r="W2410" s="1150"/>
      <c r="X2410" s="1150"/>
      <c r="Y2410" s="1150"/>
      <c r="Z2410" s="1150"/>
      <c r="AA2410" s="1150"/>
      <c r="AB2410" s="1150"/>
      <c r="AC2410" s="1150"/>
      <c r="AD2410" s="1150"/>
      <c r="AE2410" s="1150"/>
      <c r="AF2410" s="1150"/>
      <c r="AG2410" s="1150"/>
      <c r="AH2410" s="1150"/>
      <c r="AI2410" s="1150"/>
      <c r="AJ2410" s="1150"/>
      <c r="AK2410" s="1150"/>
      <c r="AL2410" s="1151"/>
      <c r="AM2410" s="1161"/>
      <c r="AN2410" s="1162"/>
      <c r="AO2410" s="1162"/>
      <c r="AP2410" s="1162"/>
      <c r="AQ2410" s="1162"/>
      <c r="AR2410" s="1162"/>
      <c r="AS2410" s="1162"/>
      <c r="AT2410" s="1162"/>
      <c r="AU2410" s="1162"/>
      <c r="AV2410" s="1162"/>
      <c r="AW2410" s="1162"/>
      <c r="AX2410" s="1162"/>
      <c r="AY2410" s="1162"/>
      <c r="AZ2410" s="1162"/>
      <c r="BA2410" s="1162"/>
      <c r="BB2410" s="1162"/>
      <c r="BC2410" s="1162"/>
      <c r="BD2410" s="1162"/>
      <c r="BE2410" s="1162"/>
      <c r="BF2410" s="1163"/>
      <c r="BG2410" s="1161"/>
      <c r="BH2410" s="1162"/>
      <c r="BI2410" s="1162"/>
      <c r="BJ2410" s="1162"/>
      <c r="BK2410" s="1162"/>
      <c r="BL2410" s="1162"/>
      <c r="BM2410" s="1162"/>
      <c r="BN2410" s="1162"/>
      <c r="BO2410" s="1162"/>
      <c r="BP2410" s="1162"/>
      <c r="BQ2410" s="1162"/>
      <c r="BR2410" s="1162"/>
      <c r="BS2410" s="1162"/>
      <c r="BT2410" s="1162"/>
      <c r="BU2410" s="1162"/>
      <c r="BV2410" s="1162"/>
      <c r="BW2410" s="1162"/>
      <c r="BX2410" s="1162"/>
      <c r="BY2410" s="1162"/>
      <c r="BZ2410" s="1163"/>
      <c r="CA2410" s="142"/>
      <c r="CB2410" s="3" t="str">
        <f t="shared" si="411"/>
        <v>Riadok bude skrytý.</v>
      </c>
      <c r="CC2410" s="271" t="s">
        <v>832</v>
      </c>
      <c r="CW2410" s="30">
        <f t="shared" si="423"/>
        <v>1</v>
      </c>
      <c r="CZ2410" s="30">
        <f t="shared" si="412"/>
        <v>1</v>
      </c>
      <c r="DA2410" s="30">
        <f t="shared" si="422"/>
        <v>1</v>
      </c>
      <c r="DB2410" s="2">
        <f t="shared" si="424"/>
        <v>0</v>
      </c>
      <c r="DS2410" s="130">
        <f>SI!BY2410</f>
        <v>913</v>
      </c>
      <c r="DZ2410" s="131">
        <f>SI!BZ2410</f>
        <v>0</v>
      </c>
    </row>
    <row r="2411" spans="1:130" hidden="1" x14ac:dyDescent="0.25">
      <c r="A2411" s="141"/>
      <c r="B2411" s="1158"/>
      <c r="C2411" s="1159"/>
      <c r="D2411" s="1159"/>
      <c r="E2411" s="1159"/>
      <c r="F2411" s="1159"/>
      <c r="G2411" s="1159"/>
      <c r="H2411" s="1159"/>
      <c r="I2411" s="1159"/>
      <c r="J2411" s="1159"/>
      <c r="K2411" s="1159"/>
      <c r="L2411" s="1159"/>
      <c r="M2411" s="1159"/>
      <c r="N2411" s="1159"/>
      <c r="O2411" s="1159"/>
      <c r="P2411" s="1159"/>
      <c r="Q2411" s="1159"/>
      <c r="R2411" s="1159"/>
      <c r="S2411" s="1159"/>
      <c r="T2411" s="1159"/>
      <c r="U2411" s="1159"/>
      <c r="V2411" s="1159"/>
      <c r="W2411" s="1159"/>
      <c r="X2411" s="1159"/>
      <c r="Y2411" s="1159"/>
      <c r="Z2411" s="1159"/>
      <c r="AA2411" s="1159"/>
      <c r="AB2411" s="1159"/>
      <c r="AC2411" s="1159"/>
      <c r="AD2411" s="1159"/>
      <c r="AE2411" s="1159"/>
      <c r="AF2411" s="1159"/>
      <c r="AG2411" s="1159"/>
      <c r="AH2411" s="1159"/>
      <c r="AI2411" s="1159"/>
      <c r="AJ2411" s="1159"/>
      <c r="AK2411" s="1159"/>
      <c r="AL2411" s="1160"/>
      <c r="AM2411" s="1155"/>
      <c r="AN2411" s="1156"/>
      <c r="AO2411" s="1156"/>
      <c r="AP2411" s="1156"/>
      <c r="AQ2411" s="1156"/>
      <c r="AR2411" s="1156"/>
      <c r="AS2411" s="1156"/>
      <c r="AT2411" s="1156"/>
      <c r="AU2411" s="1156"/>
      <c r="AV2411" s="1156"/>
      <c r="AW2411" s="1156"/>
      <c r="AX2411" s="1156"/>
      <c r="AY2411" s="1156"/>
      <c r="AZ2411" s="1156"/>
      <c r="BA2411" s="1156"/>
      <c r="BB2411" s="1156"/>
      <c r="BC2411" s="1156"/>
      <c r="BD2411" s="1156"/>
      <c r="BE2411" s="1156"/>
      <c r="BF2411" s="1157"/>
      <c r="BG2411" s="1155"/>
      <c r="BH2411" s="1156"/>
      <c r="BI2411" s="1156"/>
      <c r="BJ2411" s="1156"/>
      <c r="BK2411" s="1156"/>
      <c r="BL2411" s="1156"/>
      <c r="BM2411" s="1156"/>
      <c r="BN2411" s="1156"/>
      <c r="BO2411" s="1156"/>
      <c r="BP2411" s="1156"/>
      <c r="BQ2411" s="1156"/>
      <c r="BR2411" s="1156"/>
      <c r="BS2411" s="1156"/>
      <c r="BT2411" s="1156"/>
      <c r="BU2411" s="1156"/>
      <c r="BV2411" s="1156"/>
      <c r="BW2411" s="1156"/>
      <c r="BX2411" s="1156"/>
      <c r="BY2411" s="1156"/>
      <c r="BZ2411" s="1157"/>
      <c r="CA2411" s="270"/>
      <c r="CB2411" s="3" t="str">
        <f t="shared" si="411"/>
        <v>Riadok bude skrytý.</v>
      </c>
      <c r="CC2411" s="271" t="s">
        <v>832</v>
      </c>
      <c r="CW2411" s="30">
        <f t="shared" si="423"/>
        <v>1</v>
      </c>
      <c r="CX2411" s="30">
        <f t="shared" ref="CX2411:CX2418" si="425">+IF(B2411="",0,1)</f>
        <v>0</v>
      </c>
      <c r="CZ2411" s="30">
        <f t="shared" si="412"/>
        <v>1</v>
      </c>
      <c r="DA2411" s="52">
        <f t="shared" ref="DA2411:DA2418" si="426">+IF(CW2411*CX2411=0,0,IF(CZ2411=0,0,1))</f>
        <v>0</v>
      </c>
      <c r="DB2411" s="2">
        <f t="shared" si="424"/>
        <v>0</v>
      </c>
      <c r="DS2411" s="130">
        <f>SI!BY2411</f>
        <v>182</v>
      </c>
      <c r="DZ2411" s="131">
        <f>SI!BZ2411</f>
        <v>0</v>
      </c>
    </row>
    <row r="2412" spans="1:130" hidden="1" x14ac:dyDescent="0.25">
      <c r="A2412" s="141"/>
      <c r="B2412" s="1158"/>
      <c r="C2412" s="1159"/>
      <c r="D2412" s="1159"/>
      <c r="E2412" s="1159"/>
      <c r="F2412" s="1159"/>
      <c r="G2412" s="1159"/>
      <c r="H2412" s="1159"/>
      <c r="I2412" s="1159"/>
      <c r="J2412" s="1159"/>
      <c r="K2412" s="1159"/>
      <c r="L2412" s="1159"/>
      <c r="M2412" s="1159"/>
      <c r="N2412" s="1159"/>
      <c r="O2412" s="1159"/>
      <c r="P2412" s="1159"/>
      <c r="Q2412" s="1159"/>
      <c r="R2412" s="1159"/>
      <c r="S2412" s="1159"/>
      <c r="T2412" s="1159"/>
      <c r="U2412" s="1159"/>
      <c r="V2412" s="1159"/>
      <c r="W2412" s="1159"/>
      <c r="X2412" s="1159"/>
      <c r="Y2412" s="1159"/>
      <c r="Z2412" s="1159"/>
      <c r="AA2412" s="1159"/>
      <c r="AB2412" s="1159"/>
      <c r="AC2412" s="1159"/>
      <c r="AD2412" s="1159"/>
      <c r="AE2412" s="1159"/>
      <c r="AF2412" s="1159"/>
      <c r="AG2412" s="1159"/>
      <c r="AH2412" s="1159"/>
      <c r="AI2412" s="1159"/>
      <c r="AJ2412" s="1159"/>
      <c r="AK2412" s="1159"/>
      <c r="AL2412" s="1160"/>
      <c r="AM2412" s="1155"/>
      <c r="AN2412" s="1156"/>
      <c r="AO2412" s="1156"/>
      <c r="AP2412" s="1156"/>
      <c r="AQ2412" s="1156"/>
      <c r="AR2412" s="1156"/>
      <c r="AS2412" s="1156"/>
      <c r="AT2412" s="1156"/>
      <c r="AU2412" s="1156"/>
      <c r="AV2412" s="1156"/>
      <c r="AW2412" s="1156"/>
      <c r="AX2412" s="1156"/>
      <c r="AY2412" s="1156"/>
      <c r="AZ2412" s="1156"/>
      <c r="BA2412" s="1156"/>
      <c r="BB2412" s="1156"/>
      <c r="BC2412" s="1156"/>
      <c r="BD2412" s="1156"/>
      <c r="BE2412" s="1156"/>
      <c r="BF2412" s="1157"/>
      <c r="BG2412" s="1155"/>
      <c r="BH2412" s="1156"/>
      <c r="BI2412" s="1156"/>
      <c r="BJ2412" s="1156"/>
      <c r="BK2412" s="1156"/>
      <c r="BL2412" s="1156"/>
      <c r="BM2412" s="1156"/>
      <c r="BN2412" s="1156"/>
      <c r="BO2412" s="1156"/>
      <c r="BP2412" s="1156"/>
      <c r="BQ2412" s="1156"/>
      <c r="BR2412" s="1156"/>
      <c r="BS2412" s="1156"/>
      <c r="BT2412" s="1156"/>
      <c r="BU2412" s="1156"/>
      <c r="BV2412" s="1156"/>
      <c r="BW2412" s="1156"/>
      <c r="BX2412" s="1156"/>
      <c r="BY2412" s="1156"/>
      <c r="BZ2412" s="1157"/>
      <c r="CA2412" s="270"/>
      <c r="CB2412" s="3" t="str">
        <f t="shared" si="411"/>
        <v>Riadok bude skrytý.</v>
      </c>
      <c r="CC2412" s="271" t="s">
        <v>832</v>
      </c>
      <c r="CW2412" s="30">
        <f t="shared" si="423"/>
        <v>1</v>
      </c>
      <c r="CX2412" s="30">
        <f t="shared" si="425"/>
        <v>0</v>
      </c>
      <c r="CZ2412" s="30">
        <f t="shared" si="412"/>
        <v>1</v>
      </c>
      <c r="DA2412" s="52">
        <f t="shared" si="426"/>
        <v>0</v>
      </c>
      <c r="DB2412" s="2">
        <f t="shared" si="424"/>
        <v>0</v>
      </c>
      <c r="DS2412" s="130">
        <f>SI!BY2412</f>
        <v>152</v>
      </c>
      <c r="DZ2412" s="131">
        <f>SI!BZ2412</f>
        <v>0</v>
      </c>
    </row>
    <row r="2413" spans="1:130" hidden="1" x14ac:dyDescent="0.25">
      <c r="A2413" s="141"/>
      <c r="B2413" s="1158"/>
      <c r="C2413" s="1159"/>
      <c r="D2413" s="1159"/>
      <c r="E2413" s="1159"/>
      <c r="F2413" s="1159"/>
      <c r="G2413" s="1159"/>
      <c r="H2413" s="1159"/>
      <c r="I2413" s="1159"/>
      <c r="J2413" s="1159"/>
      <c r="K2413" s="1159"/>
      <c r="L2413" s="1159"/>
      <c r="M2413" s="1159"/>
      <c r="N2413" s="1159"/>
      <c r="O2413" s="1159"/>
      <c r="P2413" s="1159"/>
      <c r="Q2413" s="1159"/>
      <c r="R2413" s="1159"/>
      <c r="S2413" s="1159"/>
      <c r="T2413" s="1159"/>
      <c r="U2413" s="1159"/>
      <c r="V2413" s="1159"/>
      <c r="W2413" s="1159"/>
      <c r="X2413" s="1159"/>
      <c r="Y2413" s="1159"/>
      <c r="Z2413" s="1159"/>
      <c r="AA2413" s="1159"/>
      <c r="AB2413" s="1159"/>
      <c r="AC2413" s="1159"/>
      <c r="AD2413" s="1159"/>
      <c r="AE2413" s="1159"/>
      <c r="AF2413" s="1159"/>
      <c r="AG2413" s="1159"/>
      <c r="AH2413" s="1159"/>
      <c r="AI2413" s="1159"/>
      <c r="AJ2413" s="1159"/>
      <c r="AK2413" s="1159"/>
      <c r="AL2413" s="1160"/>
      <c r="AM2413" s="1155"/>
      <c r="AN2413" s="1156"/>
      <c r="AO2413" s="1156"/>
      <c r="AP2413" s="1156"/>
      <c r="AQ2413" s="1156"/>
      <c r="AR2413" s="1156"/>
      <c r="AS2413" s="1156"/>
      <c r="AT2413" s="1156"/>
      <c r="AU2413" s="1156"/>
      <c r="AV2413" s="1156"/>
      <c r="AW2413" s="1156"/>
      <c r="AX2413" s="1156"/>
      <c r="AY2413" s="1156"/>
      <c r="AZ2413" s="1156"/>
      <c r="BA2413" s="1156"/>
      <c r="BB2413" s="1156"/>
      <c r="BC2413" s="1156"/>
      <c r="BD2413" s="1156"/>
      <c r="BE2413" s="1156"/>
      <c r="BF2413" s="1157"/>
      <c r="BG2413" s="1155"/>
      <c r="BH2413" s="1156"/>
      <c r="BI2413" s="1156"/>
      <c r="BJ2413" s="1156"/>
      <c r="BK2413" s="1156"/>
      <c r="BL2413" s="1156"/>
      <c r="BM2413" s="1156"/>
      <c r="BN2413" s="1156"/>
      <c r="BO2413" s="1156"/>
      <c r="BP2413" s="1156"/>
      <c r="BQ2413" s="1156"/>
      <c r="BR2413" s="1156"/>
      <c r="BS2413" s="1156"/>
      <c r="BT2413" s="1156"/>
      <c r="BU2413" s="1156"/>
      <c r="BV2413" s="1156"/>
      <c r="BW2413" s="1156"/>
      <c r="BX2413" s="1156"/>
      <c r="BY2413" s="1156"/>
      <c r="BZ2413" s="1157"/>
      <c r="CA2413" s="270"/>
      <c r="CB2413" s="3" t="str">
        <f t="shared" si="411"/>
        <v>Riadok bude skrytý.</v>
      </c>
      <c r="CC2413" s="271" t="s">
        <v>832</v>
      </c>
      <c r="CW2413" s="30">
        <f t="shared" si="423"/>
        <v>1</v>
      </c>
      <c r="CX2413" s="30">
        <f t="shared" si="425"/>
        <v>0</v>
      </c>
      <c r="CZ2413" s="30">
        <f t="shared" si="412"/>
        <v>1</v>
      </c>
      <c r="DA2413" s="52">
        <f t="shared" si="426"/>
        <v>0</v>
      </c>
      <c r="DB2413" s="2">
        <f t="shared" si="424"/>
        <v>0</v>
      </c>
      <c r="DS2413" s="130">
        <f>SI!BY2413</f>
        <v>565</v>
      </c>
      <c r="DZ2413" s="131">
        <f>SI!BZ2413</f>
        <v>0</v>
      </c>
    </row>
    <row r="2414" spans="1:130" hidden="1" x14ac:dyDescent="0.25">
      <c r="A2414" s="141"/>
      <c r="B2414" s="1158"/>
      <c r="C2414" s="1159"/>
      <c r="D2414" s="1159"/>
      <c r="E2414" s="1159"/>
      <c r="F2414" s="1159"/>
      <c r="G2414" s="1159"/>
      <c r="H2414" s="1159"/>
      <c r="I2414" s="1159"/>
      <c r="J2414" s="1159"/>
      <c r="K2414" s="1159"/>
      <c r="L2414" s="1159"/>
      <c r="M2414" s="1159"/>
      <c r="N2414" s="1159"/>
      <c r="O2414" s="1159"/>
      <c r="P2414" s="1159"/>
      <c r="Q2414" s="1159"/>
      <c r="R2414" s="1159"/>
      <c r="S2414" s="1159"/>
      <c r="T2414" s="1159"/>
      <c r="U2414" s="1159"/>
      <c r="V2414" s="1159"/>
      <c r="W2414" s="1159"/>
      <c r="X2414" s="1159"/>
      <c r="Y2414" s="1159"/>
      <c r="Z2414" s="1159"/>
      <c r="AA2414" s="1159"/>
      <c r="AB2414" s="1159"/>
      <c r="AC2414" s="1159"/>
      <c r="AD2414" s="1159"/>
      <c r="AE2414" s="1159"/>
      <c r="AF2414" s="1159"/>
      <c r="AG2414" s="1159"/>
      <c r="AH2414" s="1159"/>
      <c r="AI2414" s="1159"/>
      <c r="AJ2414" s="1159"/>
      <c r="AK2414" s="1159"/>
      <c r="AL2414" s="1160"/>
      <c r="AM2414" s="1155"/>
      <c r="AN2414" s="1156"/>
      <c r="AO2414" s="1156"/>
      <c r="AP2414" s="1156"/>
      <c r="AQ2414" s="1156"/>
      <c r="AR2414" s="1156"/>
      <c r="AS2414" s="1156"/>
      <c r="AT2414" s="1156"/>
      <c r="AU2414" s="1156"/>
      <c r="AV2414" s="1156"/>
      <c r="AW2414" s="1156"/>
      <c r="AX2414" s="1156"/>
      <c r="AY2414" s="1156"/>
      <c r="AZ2414" s="1156"/>
      <c r="BA2414" s="1156"/>
      <c r="BB2414" s="1156"/>
      <c r="BC2414" s="1156"/>
      <c r="BD2414" s="1156"/>
      <c r="BE2414" s="1156"/>
      <c r="BF2414" s="1157"/>
      <c r="BG2414" s="1155"/>
      <c r="BH2414" s="1156"/>
      <c r="BI2414" s="1156"/>
      <c r="BJ2414" s="1156"/>
      <c r="BK2414" s="1156"/>
      <c r="BL2414" s="1156"/>
      <c r="BM2414" s="1156"/>
      <c r="BN2414" s="1156"/>
      <c r="BO2414" s="1156"/>
      <c r="BP2414" s="1156"/>
      <c r="BQ2414" s="1156"/>
      <c r="BR2414" s="1156"/>
      <c r="BS2414" s="1156"/>
      <c r="BT2414" s="1156"/>
      <c r="BU2414" s="1156"/>
      <c r="BV2414" s="1156"/>
      <c r="BW2414" s="1156"/>
      <c r="BX2414" s="1156"/>
      <c r="BY2414" s="1156"/>
      <c r="BZ2414" s="1157"/>
      <c r="CA2414" s="270"/>
      <c r="CB2414" s="3" t="str">
        <f t="shared" si="411"/>
        <v>Riadok bude skrytý.</v>
      </c>
      <c r="CC2414" s="271" t="s">
        <v>832</v>
      </c>
      <c r="CW2414" s="30">
        <f t="shared" si="423"/>
        <v>1</v>
      </c>
      <c r="CX2414" s="30">
        <f t="shared" si="425"/>
        <v>0</v>
      </c>
      <c r="CZ2414" s="30">
        <f t="shared" si="412"/>
        <v>1</v>
      </c>
      <c r="DA2414" s="52">
        <f t="shared" si="426"/>
        <v>0</v>
      </c>
      <c r="DB2414" s="2">
        <f t="shared" si="424"/>
        <v>0</v>
      </c>
      <c r="DS2414" s="130">
        <f>SI!BY2414</f>
        <v>20</v>
      </c>
      <c r="DZ2414" s="131">
        <f>SI!BZ2414</f>
        <v>0</v>
      </c>
    </row>
    <row r="2415" spans="1:130" hidden="1" x14ac:dyDescent="0.25">
      <c r="A2415" s="141"/>
      <c r="B2415" s="1158"/>
      <c r="C2415" s="1159"/>
      <c r="D2415" s="1159"/>
      <c r="E2415" s="1159"/>
      <c r="F2415" s="1159"/>
      <c r="G2415" s="1159"/>
      <c r="H2415" s="1159"/>
      <c r="I2415" s="1159"/>
      <c r="J2415" s="1159"/>
      <c r="K2415" s="1159"/>
      <c r="L2415" s="1159"/>
      <c r="M2415" s="1159"/>
      <c r="N2415" s="1159"/>
      <c r="O2415" s="1159"/>
      <c r="P2415" s="1159"/>
      <c r="Q2415" s="1159"/>
      <c r="R2415" s="1159"/>
      <c r="S2415" s="1159"/>
      <c r="T2415" s="1159"/>
      <c r="U2415" s="1159"/>
      <c r="V2415" s="1159"/>
      <c r="W2415" s="1159"/>
      <c r="X2415" s="1159"/>
      <c r="Y2415" s="1159"/>
      <c r="Z2415" s="1159"/>
      <c r="AA2415" s="1159"/>
      <c r="AB2415" s="1159"/>
      <c r="AC2415" s="1159"/>
      <c r="AD2415" s="1159"/>
      <c r="AE2415" s="1159"/>
      <c r="AF2415" s="1159"/>
      <c r="AG2415" s="1159"/>
      <c r="AH2415" s="1159"/>
      <c r="AI2415" s="1159"/>
      <c r="AJ2415" s="1159"/>
      <c r="AK2415" s="1159"/>
      <c r="AL2415" s="1160"/>
      <c r="AM2415" s="1155"/>
      <c r="AN2415" s="1156"/>
      <c r="AO2415" s="1156"/>
      <c r="AP2415" s="1156"/>
      <c r="AQ2415" s="1156"/>
      <c r="AR2415" s="1156"/>
      <c r="AS2415" s="1156"/>
      <c r="AT2415" s="1156"/>
      <c r="AU2415" s="1156"/>
      <c r="AV2415" s="1156"/>
      <c r="AW2415" s="1156"/>
      <c r="AX2415" s="1156"/>
      <c r="AY2415" s="1156"/>
      <c r="AZ2415" s="1156"/>
      <c r="BA2415" s="1156"/>
      <c r="BB2415" s="1156"/>
      <c r="BC2415" s="1156"/>
      <c r="BD2415" s="1156"/>
      <c r="BE2415" s="1156"/>
      <c r="BF2415" s="1157"/>
      <c r="BG2415" s="1155"/>
      <c r="BH2415" s="1156"/>
      <c r="BI2415" s="1156"/>
      <c r="BJ2415" s="1156"/>
      <c r="BK2415" s="1156"/>
      <c r="BL2415" s="1156"/>
      <c r="BM2415" s="1156"/>
      <c r="BN2415" s="1156"/>
      <c r="BO2415" s="1156"/>
      <c r="BP2415" s="1156"/>
      <c r="BQ2415" s="1156"/>
      <c r="BR2415" s="1156"/>
      <c r="BS2415" s="1156"/>
      <c r="BT2415" s="1156"/>
      <c r="BU2415" s="1156"/>
      <c r="BV2415" s="1156"/>
      <c r="BW2415" s="1156"/>
      <c r="BX2415" s="1156"/>
      <c r="BY2415" s="1156"/>
      <c r="BZ2415" s="1157"/>
      <c r="CA2415" s="270"/>
      <c r="CB2415" s="3" t="str">
        <f t="shared" si="411"/>
        <v>Riadok bude skrytý.</v>
      </c>
      <c r="CC2415" s="271" t="s">
        <v>832</v>
      </c>
      <c r="CW2415" s="30">
        <f t="shared" si="423"/>
        <v>1</v>
      </c>
      <c r="CX2415" s="30">
        <f t="shared" si="425"/>
        <v>0</v>
      </c>
      <c r="CZ2415" s="30">
        <f t="shared" si="412"/>
        <v>1</v>
      </c>
      <c r="DA2415" s="52">
        <f t="shared" si="426"/>
        <v>0</v>
      </c>
      <c r="DB2415" s="2">
        <f t="shared" si="424"/>
        <v>0</v>
      </c>
      <c r="DS2415" s="130">
        <f>SI!BY2415</f>
        <v>1017</v>
      </c>
      <c r="DZ2415" s="131">
        <f>SI!BZ2415</f>
        <v>0</v>
      </c>
    </row>
    <row r="2416" spans="1:130" hidden="1" x14ac:dyDescent="0.25">
      <c r="A2416" s="141"/>
      <c r="B2416" s="1158"/>
      <c r="C2416" s="1159"/>
      <c r="D2416" s="1159"/>
      <c r="E2416" s="1159"/>
      <c r="F2416" s="1159"/>
      <c r="G2416" s="1159"/>
      <c r="H2416" s="1159"/>
      <c r="I2416" s="1159"/>
      <c r="J2416" s="1159"/>
      <c r="K2416" s="1159"/>
      <c r="L2416" s="1159"/>
      <c r="M2416" s="1159"/>
      <c r="N2416" s="1159"/>
      <c r="O2416" s="1159"/>
      <c r="P2416" s="1159"/>
      <c r="Q2416" s="1159"/>
      <c r="R2416" s="1159"/>
      <c r="S2416" s="1159"/>
      <c r="T2416" s="1159"/>
      <c r="U2416" s="1159"/>
      <c r="V2416" s="1159"/>
      <c r="W2416" s="1159"/>
      <c r="X2416" s="1159"/>
      <c r="Y2416" s="1159"/>
      <c r="Z2416" s="1159"/>
      <c r="AA2416" s="1159"/>
      <c r="AB2416" s="1159"/>
      <c r="AC2416" s="1159"/>
      <c r="AD2416" s="1159"/>
      <c r="AE2416" s="1159"/>
      <c r="AF2416" s="1159"/>
      <c r="AG2416" s="1159"/>
      <c r="AH2416" s="1159"/>
      <c r="AI2416" s="1159"/>
      <c r="AJ2416" s="1159"/>
      <c r="AK2416" s="1159"/>
      <c r="AL2416" s="1160"/>
      <c r="AM2416" s="1155"/>
      <c r="AN2416" s="1156"/>
      <c r="AO2416" s="1156"/>
      <c r="AP2416" s="1156"/>
      <c r="AQ2416" s="1156"/>
      <c r="AR2416" s="1156"/>
      <c r="AS2416" s="1156"/>
      <c r="AT2416" s="1156"/>
      <c r="AU2416" s="1156"/>
      <c r="AV2416" s="1156"/>
      <c r="AW2416" s="1156"/>
      <c r="AX2416" s="1156"/>
      <c r="AY2416" s="1156"/>
      <c r="AZ2416" s="1156"/>
      <c r="BA2416" s="1156"/>
      <c r="BB2416" s="1156"/>
      <c r="BC2416" s="1156"/>
      <c r="BD2416" s="1156"/>
      <c r="BE2416" s="1156"/>
      <c r="BF2416" s="1157"/>
      <c r="BG2416" s="1155"/>
      <c r="BH2416" s="1156"/>
      <c r="BI2416" s="1156"/>
      <c r="BJ2416" s="1156"/>
      <c r="BK2416" s="1156"/>
      <c r="BL2416" s="1156"/>
      <c r="BM2416" s="1156"/>
      <c r="BN2416" s="1156"/>
      <c r="BO2416" s="1156"/>
      <c r="BP2416" s="1156"/>
      <c r="BQ2416" s="1156"/>
      <c r="BR2416" s="1156"/>
      <c r="BS2416" s="1156"/>
      <c r="BT2416" s="1156"/>
      <c r="BU2416" s="1156"/>
      <c r="BV2416" s="1156"/>
      <c r="BW2416" s="1156"/>
      <c r="BX2416" s="1156"/>
      <c r="BY2416" s="1156"/>
      <c r="BZ2416" s="1157"/>
      <c r="CA2416" s="270"/>
      <c r="CB2416" s="3" t="str">
        <f t="shared" si="411"/>
        <v>Riadok bude skrytý.</v>
      </c>
      <c r="CC2416" s="271" t="s">
        <v>832</v>
      </c>
      <c r="CW2416" s="30">
        <f t="shared" si="423"/>
        <v>1</v>
      </c>
      <c r="CX2416" s="30">
        <f t="shared" si="425"/>
        <v>0</v>
      </c>
      <c r="CZ2416" s="30">
        <f t="shared" si="412"/>
        <v>1</v>
      </c>
      <c r="DA2416" s="52">
        <f t="shared" si="426"/>
        <v>0</v>
      </c>
      <c r="DB2416" s="2">
        <f t="shared" si="424"/>
        <v>0</v>
      </c>
      <c r="DS2416" s="130">
        <f>SI!BY2416</f>
        <v>158</v>
      </c>
      <c r="DZ2416" s="131">
        <f>SI!BZ2416</f>
        <v>0</v>
      </c>
    </row>
    <row r="2417" spans="1:130" hidden="1" x14ac:dyDescent="0.25">
      <c r="A2417" s="141"/>
      <c r="B2417" s="1158"/>
      <c r="C2417" s="1159"/>
      <c r="D2417" s="1159"/>
      <c r="E2417" s="1159"/>
      <c r="F2417" s="1159"/>
      <c r="G2417" s="1159"/>
      <c r="H2417" s="1159"/>
      <c r="I2417" s="1159"/>
      <c r="J2417" s="1159"/>
      <c r="K2417" s="1159"/>
      <c r="L2417" s="1159"/>
      <c r="M2417" s="1159"/>
      <c r="N2417" s="1159"/>
      <c r="O2417" s="1159"/>
      <c r="P2417" s="1159"/>
      <c r="Q2417" s="1159"/>
      <c r="R2417" s="1159"/>
      <c r="S2417" s="1159"/>
      <c r="T2417" s="1159"/>
      <c r="U2417" s="1159"/>
      <c r="V2417" s="1159"/>
      <c r="W2417" s="1159"/>
      <c r="X2417" s="1159"/>
      <c r="Y2417" s="1159"/>
      <c r="Z2417" s="1159"/>
      <c r="AA2417" s="1159"/>
      <c r="AB2417" s="1159"/>
      <c r="AC2417" s="1159"/>
      <c r="AD2417" s="1159"/>
      <c r="AE2417" s="1159"/>
      <c r="AF2417" s="1159"/>
      <c r="AG2417" s="1159"/>
      <c r="AH2417" s="1159"/>
      <c r="AI2417" s="1159"/>
      <c r="AJ2417" s="1159"/>
      <c r="AK2417" s="1159"/>
      <c r="AL2417" s="1160"/>
      <c r="AM2417" s="1155"/>
      <c r="AN2417" s="1156"/>
      <c r="AO2417" s="1156"/>
      <c r="AP2417" s="1156"/>
      <c r="AQ2417" s="1156"/>
      <c r="AR2417" s="1156"/>
      <c r="AS2417" s="1156"/>
      <c r="AT2417" s="1156"/>
      <c r="AU2417" s="1156"/>
      <c r="AV2417" s="1156"/>
      <c r="AW2417" s="1156"/>
      <c r="AX2417" s="1156"/>
      <c r="AY2417" s="1156"/>
      <c r="AZ2417" s="1156"/>
      <c r="BA2417" s="1156"/>
      <c r="BB2417" s="1156"/>
      <c r="BC2417" s="1156"/>
      <c r="BD2417" s="1156"/>
      <c r="BE2417" s="1156"/>
      <c r="BF2417" s="1157"/>
      <c r="BG2417" s="1155"/>
      <c r="BH2417" s="1156"/>
      <c r="BI2417" s="1156"/>
      <c r="BJ2417" s="1156"/>
      <c r="BK2417" s="1156"/>
      <c r="BL2417" s="1156"/>
      <c r="BM2417" s="1156"/>
      <c r="BN2417" s="1156"/>
      <c r="BO2417" s="1156"/>
      <c r="BP2417" s="1156"/>
      <c r="BQ2417" s="1156"/>
      <c r="BR2417" s="1156"/>
      <c r="BS2417" s="1156"/>
      <c r="BT2417" s="1156"/>
      <c r="BU2417" s="1156"/>
      <c r="BV2417" s="1156"/>
      <c r="BW2417" s="1156"/>
      <c r="BX2417" s="1156"/>
      <c r="BY2417" s="1156"/>
      <c r="BZ2417" s="1157"/>
      <c r="CA2417" s="270"/>
      <c r="CB2417" s="3" t="str">
        <f t="shared" si="411"/>
        <v>Riadok bude skrytý.</v>
      </c>
      <c r="CC2417" s="271" t="s">
        <v>832</v>
      </c>
      <c r="CW2417" s="30">
        <f t="shared" si="423"/>
        <v>1</v>
      </c>
      <c r="CX2417" s="30">
        <f t="shared" si="425"/>
        <v>0</v>
      </c>
      <c r="CZ2417" s="30">
        <f t="shared" si="412"/>
        <v>1</v>
      </c>
      <c r="DA2417" s="52">
        <f t="shared" si="426"/>
        <v>0</v>
      </c>
      <c r="DB2417" s="2">
        <f t="shared" si="424"/>
        <v>0</v>
      </c>
      <c r="DS2417" s="130">
        <f>SI!BY2417</f>
        <v>426</v>
      </c>
      <c r="DZ2417" s="131">
        <f>SI!BZ2417</f>
        <v>0</v>
      </c>
    </row>
    <row r="2418" spans="1:130" hidden="1" x14ac:dyDescent="0.25">
      <c r="A2418" s="141"/>
      <c r="B2418" s="1158"/>
      <c r="C2418" s="1159"/>
      <c r="D2418" s="1159"/>
      <c r="E2418" s="1159"/>
      <c r="F2418" s="1159"/>
      <c r="G2418" s="1159"/>
      <c r="H2418" s="1159"/>
      <c r="I2418" s="1159"/>
      <c r="J2418" s="1159"/>
      <c r="K2418" s="1159"/>
      <c r="L2418" s="1159"/>
      <c r="M2418" s="1159"/>
      <c r="N2418" s="1159"/>
      <c r="O2418" s="1159"/>
      <c r="P2418" s="1159"/>
      <c r="Q2418" s="1159"/>
      <c r="R2418" s="1159"/>
      <c r="S2418" s="1159"/>
      <c r="T2418" s="1159"/>
      <c r="U2418" s="1159"/>
      <c r="V2418" s="1159"/>
      <c r="W2418" s="1159"/>
      <c r="X2418" s="1159"/>
      <c r="Y2418" s="1159"/>
      <c r="Z2418" s="1159"/>
      <c r="AA2418" s="1159"/>
      <c r="AB2418" s="1159"/>
      <c r="AC2418" s="1159"/>
      <c r="AD2418" s="1159"/>
      <c r="AE2418" s="1159"/>
      <c r="AF2418" s="1159"/>
      <c r="AG2418" s="1159"/>
      <c r="AH2418" s="1159"/>
      <c r="AI2418" s="1159"/>
      <c r="AJ2418" s="1159"/>
      <c r="AK2418" s="1159"/>
      <c r="AL2418" s="1160"/>
      <c r="AM2418" s="1155"/>
      <c r="AN2418" s="1156"/>
      <c r="AO2418" s="1156"/>
      <c r="AP2418" s="1156"/>
      <c r="AQ2418" s="1156"/>
      <c r="AR2418" s="1156"/>
      <c r="AS2418" s="1156"/>
      <c r="AT2418" s="1156"/>
      <c r="AU2418" s="1156"/>
      <c r="AV2418" s="1156"/>
      <c r="AW2418" s="1156"/>
      <c r="AX2418" s="1156"/>
      <c r="AY2418" s="1156"/>
      <c r="AZ2418" s="1156"/>
      <c r="BA2418" s="1156"/>
      <c r="BB2418" s="1156"/>
      <c r="BC2418" s="1156"/>
      <c r="BD2418" s="1156"/>
      <c r="BE2418" s="1156"/>
      <c r="BF2418" s="1157"/>
      <c r="BG2418" s="1155"/>
      <c r="BH2418" s="1156"/>
      <c r="BI2418" s="1156"/>
      <c r="BJ2418" s="1156"/>
      <c r="BK2418" s="1156"/>
      <c r="BL2418" s="1156"/>
      <c r="BM2418" s="1156"/>
      <c r="BN2418" s="1156"/>
      <c r="BO2418" s="1156"/>
      <c r="BP2418" s="1156"/>
      <c r="BQ2418" s="1156"/>
      <c r="BR2418" s="1156"/>
      <c r="BS2418" s="1156"/>
      <c r="BT2418" s="1156"/>
      <c r="BU2418" s="1156"/>
      <c r="BV2418" s="1156"/>
      <c r="BW2418" s="1156"/>
      <c r="BX2418" s="1156"/>
      <c r="BY2418" s="1156"/>
      <c r="BZ2418" s="1157"/>
      <c r="CA2418" s="270"/>
      <c r="CB2418" s="3" t="str">
        <f t="shared" si="411"/>
        <v>Riadok bude skrytý.</v>
      </c>
      <c r="CC2418" s="271" t="s">
        <v>832</v>
      </c>
      <c r="CW2418" s="30">
        <f t="shared" si="423"/>
        <v>1</v>
      </c>
      <c r="CX2418" s="30">
        <f t="shared" si="425"/>
        <v>0</v>
      </c>
      <c r="CZ2418" s="30">
        <f t="shared" si="412"/>
        <v>1</v>
      </c>
      <c r="DA2418" s="52">
        <f t="shared" si="426"/>
        <v>0</v>
      </c>
      <c r="DB2418" s="2">
        <f t="shared" si="424"/>
        <v>0</v>
      </c>
      <c r="DS2418" s="130">
        <f>SI!BY2418</f>
        <v>123</v>
      </c>
      <c r="DZ2418" s="131">
        <f>SI!BZ2418</f>
        <v>0</v>
      </c>
    </row>
    <row r="2419" spans="1:130" hidden="1" x14ac:dyDescent="0.25">
      <c r="A2419" s="141"/>
      <c r="B2419" s="1158" t="s">
        <v>701</v>
      </c>
      <c r="C2419" s="1159"/>
      <c r="D2419" s="1159"/>
      <c r="E2419" s="1159"/>
      <c r="F2419" s="1159"/>
      <c r="G2419" s="1159"/>
      <c r="H2419" s="1159"/>
      <c r="I2419" s="1159"/>
      <c r="J2419" s="1159"/>
      <c r="K2419" s="1159"/>
      <c r="L2419" s="1159"/>
      <c r="M2419" s="1159"/>
      <c r="N2419" s="1159"/>
      <c r="O2419" s="1159"/>
      <c r="P2419" s="1159"/>
      <c r="Q2419" s="1159"/>
      <c r="R2419" s="1159"/>
      <c r="S2419" s="1159"/>
      <c r="T2419" s="1159"/>
      <c r="U2419" s="1159"/>
      <c r="V2419" s="1159"/>
      <c r="W2419" s="1159"/>
      <c r="X2419" s="1159"/>
      <c r="Y2419" s="1159"/>
      <c r="Z2419" s="1159"/>
      <c r="AA2419" s="1159"/>
      <c r="AB2419" s="1159"/>
      <c r="AC2419" s="1159"/>
      <c r="AD2419" s="1159"/>
      <c r="AE2419" s="1159"/>
      <c r="AF2419" s="1159"/>
      <c r="AG2419" s="1159"/>
      <c r="AH2419" s="1159"/>
      <c r="AI2419" s="1159"/>
      <c r="AJ2419" s="1159"/>
      <c r="AK2419" s="1159"/>
      <c r="AL2419" s="1160"/>
      <c r="AM2419" s="1155"/>
      <c r="AN2419" s="1156"/>
      <c r="AO2419" s="1156"/>
      <c r="AP2419" s="1156"/>
      <c r="AQ2419" s="1156"/>
      <c r="AR2419" s="1156"/>
      <c r="AS2419" s="1156"/>
      <c r="AT2419" s="1156"/>
      <c r="AU2419" s="1156"/>
      <c r="AV2419" s="1156"/>
      <c r="AW2419" s="1156"/>
      <c r="AX2419" s="1156"/>
      <c r="AY2419" s="1156"/>
      <c r="AZ2419" s="1156"/>
      <c r="BA2419" s="1156"/>
      <c r="BB2419" s="1156"/>
      <c r="BC2419" s="1156"/>
      <c r="BD2419" s="1156"/>
      <c r="BE2419" s="1156"/>
      <c r="BF2419" s="1157"/>
      <c r="BG2419" s="1155"/>
      <c r="BH2419" s="1156"/>
      <c r="BI2419" s="1156"/>
      <c r="BJ2419" s="1156"/>
      <c r="BK2419" s="1156"/>
      <c r="BL2419" s="1156"/>
      <c r="BM2419" s="1156"/>
      <c r="BN2419" s="1156"/>
      <c r="BO2419" s="1156"/>
      <c r="BP2419" s="1156"/>
      <c r="BQ2419" s="1156"/>
      <c r="BR2419" s="1156"/>
      <c r="BS2419" s="1156"/>
      <c r="BT2419" s="1156"/>
      <c r="BU2419" s="1156"/>
      <c r="BV2419" s="1156"/>
      <c r="BW2419" s="1156"/>
      <c r="BX2419" s="1156"/>
      <c r="BY2419" s="1156"/>
      <c r="BZ2419" s="1157"/>
      <c r="CA2419" s="142"/>
      <c r="CB2419" s="3" t="str">
        <f t="shared" ref="CB2419:CB2482" si="427">+IF(DB2419=0,"Riadok bude skrytý.","Riadok bude vidieť.")</f>
        <v>Riadok bude skrytý.</v>
      </c>
      <c r="CC2419" s="271" t="s">
        <v>832</v>
      </c>
      <c r="CW2419" s="30">
        <f t="shared" si="423"/>
        <v>1</v>
      </c>
      <c r="CZ2419" s="30">
        <f t="shared" ref="CZ2419:CZ2482" si="428">IF(CC2419="",1,IF(CC2419="Chcem skryť riadok.",0,1))</f>
        <v>1</v>
      </c>
      <c r="DA2419" s="30">
        <f>+IF(CW2419+CX2419+CY2419=0,0,IF(CZ2419=0,0,1))</f>
        <v>1</v>
      </c>
      <c r="DB2419" s="2">
        <f t="shared" si="424"/>
        <v>0</v>
      </c>
      <c r="DS2419" s="130">
        <f>SI!BY2419</f>
        <v>1085</v>
      </c>
      <c r="DZ2419" s="131">
        <f>SI!BZ2419</f>
        <v>0</v>
      </c>
    </row>
    <row r="2420" spans="1:130" hidden="1" x14ac:dyDescent="0.25">
      <c r="A2420" s="141"/>
      <c r="B2420" s="401" t="s">
        <v>307</v>
      </c>
      <c r="C2420" s="402"/>
      <c r="D2420" s="402"/>
      <c r="E2420" s="402"/>
      <c r="F2420" s="402"/>
      <c r="G2420" s="402"/>
      <c r="H2420" s="402"/>
      <c r="I2420" s="402"/>
      <c r="J2420" s="402"/>
      <c r="K2420" s="402"/>
      <c r="L2420" s="402"/>
      <c r="M2420" s="402"/>
      <c r="N2420" s="402"/>
      <c r="O2420" s="402"/>
      <c r="P2420" s="402"/>
      <c r="Q2420" s="402"/>
      <c r="R2420" s="402"/>
      <c r="S2420" s="402"/>
      <c r="T2420" s="402"/>
      <c r="U2420" s="402"/>
      <c r="V2420" s="402"/>
      <c r="W2420" s="402"/>
      <c r="X2420" s="402"/>
      <c r="Y2420" s="402"/>
      <c r="Z2420" s="402"/>
      <c r="AA2420" s="402"/>
      <c r="AB2420" s="402"/>
      <c r="AC2420" s="402"/>
      <c r="AD2420" s="402"/>
      <c r="AE2420" s="402"/>
      <c r="AF2420" s="402"/>
      <c r="AG2420" s="402"/>
      <c r="AH2420" s="402"/>
      <c r="AI2420" s="402"/>
      <c r="AJ2420" s="402"/>
      <c r="AK2420" s="402"/>
      <c r="AL2420" s="776"/>
      <c r="AM2420" s="1152">
        <f>+SUM(AM2421:BF2430)</f>
        <v>0</v>
      </c>
      <c r="AN2420" s="1153"/>
      <c r="AO2420" s="1153"/>
      <c r="AP2420" s="1153"/>
      <c r="AQ2420" s="1153"/>
      <c r="AR2420" s="1153"/>
      <c r="AS2420" s="1153"/>
      <c r="AT2420" s="1153"/>
      <c r="AU2420" s="1153"/>
      <c r="AV2420" s="1153"/>
      <c r="AW2420" s="1153"/>
      <c r="AX2420" s="1153"/>
      <c r="AY2420" s="1153"/>
      <c r="AZ2420" s="1153"/>
      <c r="BA2420" s="1153"/>
      <c r="BB2420" s="1153"/>
      <c r="BC2420" s="1153"/>
      <c r="BD2420" s="1153"/>
      <c r="BE2420" s="1153"/>
      <c r="BF2420" s="1153"/>
      <c r="BG2420" s="1152">
        <f>+SUM(BG2421:BZ2430)</f>
        <v>0</v>
      </c>
      <c r="BH2420" s="1153"/>
      <c r="BI2420" s="1153"/>
      <c r="BJ2420" s="1153"/>
      <c r="BK2420" s="1153"/>
      <c r="BL2420" s="1153"/>
      <c r="BM2420" s="1153"/>
      <c r="BN2420" s="1153"/>
      <c r="BO2420" s="1153"/>
      <c r="BP2420" s="1153"/>
      <c r="BQ2420" s="1153"/>
      <c r="BR2420" s="1153"/>
      <c r="BS2420" s="1153"/>
      <c r="BT2420" s="1153"/>
      <c r="BU2420" s="1153"/>
      <c r="BV2420" s="1153"/>
      <c r="BW2420" s="1153"/>
      <c r="BX2420" s="1153"/>
      <c r="BY2420" s="1153"/>
      <c r="BZ2420" s="1154"/>
      <c r="CA2420" s="142"/>
      <c r="CB2420" s="3" t="str">
        <f t="shared" si="427"/>
        <v>Riadok bude skrytý.</v>
      </c>
      <c r="CC2420" s="271" t="s">
        <v>832</v>
      </c>
      <c r="CD2420" s="4" t="s">
        <v>757</v>
      </c>
      <c r="CW2420" s="30">
        <f t="shared" si="423"/>
        <v>1</v>
      </c>
      <c r="CX2420" s="35"/>
      <c r="CZ2420" s="30">
        <f t="shared" si="428"/>
        <v>1</v>
      </c>
      <c r="DA2420" s="30">
        <f>+IF(CW2420+CX2420+CY2420=0,0,IF(CZ2420=0,0,1))</f>
        <v>1</v>
      </c>
      <c r="DB2420" s="2">
        <f t="shared" si="424"/>
        <v>0</v>
      </c>
      <c r="DS2420" s="130">
        <f>SI!BY2420</f>
        <v>163</v>
      </c>
      <c r="DZ2420" s="131">
        <f>SI!BZ2420</f>
        <v>0</v>
      </c>
    </row>
    <row r="2421" spans="1:130" hidden="1" x14ac:dyDescent="0.25">
      <c r="A2421" s="141"/>
      <c r="B2421" s="1149"/>
      <c r="C2421" s="1150"/>
      <c r="D2421" s="1150"/>
      <c r="E2421" s="1150"/>
      <c r="F2421" s="1150"/>
      <c r="G2421" s="1150"/>
      <c r="H2421" s="1150"/>
      <c r="I2421" s="1150"/>
      <c r="J2421" s="1150"/>
      <c r="K2421" s="1150"/>
      <c r="L2421" s="1150"/>
      <c r="M2421" s="1150"/>
      <c r="N2421" s="1150"/>
      <c r="O2421" s="1150"/>
      <c r="P2421" s="1150"/>
      <c r="Q2421" s="1150"/>
      <c r="R2421" s="1150"/>
      <c r="S2421" s="1150"/>
      <c r="T2421" s="1150"/>
      <c r="U2421" s="1150"/>
      <c r="V2421" s="1150"/>
      <c r="W2421" s="1150"/>
      <c r="X2421" s="1150"/>
      <c r="Y2421" s="1150"/>
      <c r="Z2421" s="1150"/>
      <c r="AA2421" s="1150"/>
      <c r="AB2421" s="1150"/>
      <c r="AC2421" s="1150"/>
      <c r="AD2421" s="1150"/>
      <c r="AE2421" s="1150"/>
      <c r="AF2421" s="1150"/>
      <c r="AG2421" s="1150"/>
      <c r="AH2421" s="1150"/>
      <c r="AI2421" s="1150"/>
      <c r="AJ2421" s="1150"/>
      <c r="AK2421" s="1150"/>
      <c r="AL2421" s="1151"/>
      <c r="AM2421" s="1161"/>
      <c r="AN2421" s="1162"/>
      <c r="AO2421" s="1162"/>
      <c r="AP2421" s="1162"/>
      <c r="AQ2421" s="1162"/>
      <c r="AR2421" s="1162"/>
      <c r="AS2421" s="1162"/>
      <c r="AT2421" s="1162"/>
      <c r="AU2421" s="1162"/>
      <c r="AV2421" s="1162"/>
      <c r="AW2421" s="1162"/>
      <c r="AX2421" s="1162"/>
      <c r="AY2421" s="1162"/>
      <c r="AZ2421" s="1162"/>
      <c r="BA2421" s="1162"/>
      <c r="BB2421" s="1162"/>
      <c r="BC2421" s="1162"/>
      <c r="BD2421" s="1162"/>
      <c r="BE2421" s="1162"/>
      <c r="BF2421" s="1163"/>
      <c r="BG2421" s="1161"/>
      <c r="BH2421" s="1162"/>
      <c r="BI2421" s="1162"/>
      <c r="BJ2421" s="1162"/>
      <c r="BK2421" s="1162"/>
      <c r="BL2421" s="1162"/>
      <c r="BM2421" s="1162"/>
      <c r="BN2421" s="1162"/>
      <c r="BO2421" s="1162"/>
      <c r="BP2421" s="1162"/>
      <c r="BQ2421" s="1162"/>
      <c r="BR2421" s="1162"/>
      <c r="BS2421" s="1162"/>
      <c r="BT2421" s="1162"/>
      <c r="BU2421" s="1162"/>
      <c r="BV2421" s="1162"/>
      <c r="BW2421" s="1162"/>
      <c r="BX2421" s="1162"/>
      <c r="BY2421" s="1162"/>
      <c r="BZ2421" s="1163"/>
      <c r="CA2421" s="142"/>
      <c r="CB2421" s="3" t="str">
        <f t="shared" si="427"/>
        <v>Riadok bude skrytý.</v>
      </c>
      <c r="CC2421" s="271" t="s">
        <v>832</v>
      </c>
      <c r="CW2421" s="30">
        <f t="shared" si="423"/>
        <v>1</v>
      </c>
      <c r="CZ2421" s="30">
        <f t="shared" si="428"/>
        <v>1</v>
      </c>
      <c r="DA2421" s="30">
        <f>+IF(CW2421+CX2421+CY2421=0,0,IF(CZ2421=0,0,1))</f>
        <v>1</v>
      </c>
      <c r="DB2421" s="2">
        <f t="shared" si="424"/>
        <v>0</v>
      </c>
      <c r="DS2421" s="130">
        <f>SI!BY2421</f>
        <v>584</v>
      </c>
      <c r="DZ2421" s="131">
        <f>SI!BZ2421</f>
        <v>0</v>
      </c>
    </row>
    <row r="2422" spans="1:130" hidden="1" x14ac:dyDescent="0.25">
      <c r="A2422" s="141"/>
      <c r="B2422" s="1158"/>
      <c r="C2422" s="1159"/>
      <c r="D2422" s="1159"/>
      <c r="E2422" s="1159"/>
      <c r="F2422" s="1159"/>
      <c r="G2422" s="1159"/>
      <c r="H2422" s="1159"/>
      <c r="I2422" s="1159"/>
      <c r="J2422" s="1159"/>
      <c r="K2422" s="1159"/>
      <c r="L2422" s="1159"/>
      <c r="M2422" s="1159"/>
      <c r="N2422" s="1159"/>
      <c r="O2422" s="1159"/>
      <c r="P2422" s="1159"/>
      <c r="Q2422" s="1159"/>
      <c r="R2422" s="1159"/>
      <c r="S2422" s="1159"/>
      <c r="T2422" s="1159"/>
      <c r="U2422" s="1159"/>
      <c r="V2422" s="1159"/>
      <c r="W2422" s="1159"/>
      <c r="X2422" s="1159"/>
      <c r="Y2422" s="1159"/>
      <c r="Z2422" s="1159"/>
      <c r="AA2422" s="1159"/>
      <c r="AB2422" s="1159"/>
      <c r="AC2422" s="1159"/>
      <c r="AD2422" s="1159"/>
      <c r="AE2422" s="1159"/>
      <c r="AF2422" s="1159"/>
      <c r="AG2422" s="1159"/>
      <c r="AH2422" s="1159"/>
      <c r="AI2422" s="1159"/>
      <c r="AJ2422" s="1159"/>
      <c r="AK2422" s="1159"/>
      <c r="AL2422" s="1160"/>
      <c r="AM2422" s="1155"/>
      <c r="AN2422" s="1156"/>
      <c r="AO2422" s="1156"/>
      <c r="AP2422" s="1156"/>
      <c r="AQ2422" s="1156"/>
      <c r="AR2422" s="1156"/>
      <c r="AS2422" s="1156"/>
      <c r="AT2422" s="1156"/>
      <c r="AU2422" s="1156"/>
      <c r="AV2422" s="1156"/>
      <c r="AW2422" s="1156"/>
      <c r="AX2422" s="1156"/>
      <c r="AY2422" s="1156"/>
      <c r="AZ2422" s="1156"/>
      <c r="BA2422" s="1156"/>
      <c r="BB2422" s="1156"/>
      <c r="BC2422" s="1156"/>
      <c r="BD2422" s="1156"/>
      <c r="BE2422" s="1156"/>
      <c r="BF2422" s="1157"/>
      <c r="BG2422" s="1155"/>
      <c r="BH2422" s="1156"/>
      <c r="BI2422" s="1156"/>
      <c r="BJ2422" s="1156"/>
      <c r="BK2422" s="1156"/>
      <c r="BL2422" s="1156"/>
      <c r="BM2422" s="1156"/>
      <c r="BN2422" s="1156"/>
      <c r="BO2422" s="1156"/>
      <c r="BP2422" s="1156"/>
      <c r="BQ2422" s="1156"/>
      <c r="BR2422" s="1156"/>
      <c r="BS2422" s="1156"/>
      <c r="BT2422" s="1156"/>
      <c r="BU2422" s="1156"/>
      <c r="BV2422" s="1156"/>
      <c r="BW2422" s="1156"/>
      <c r="BX2422" s="1156"/>
      <c r="BY2422" s="1156"/>
      <c r="BZ2422" s="1157"/>
      <c r="CA2422" s="270"/>
      <c r="CB2422" s="3" t="str">
        <f t="shared" si="427"/>
        <v>Riadok bude skrytý.</v>
      </c>
      <c r="CC2422" s="271" t="s">
        <v>832</v>
      </c>
      <c r="CW2422" s="30">
        <f t="shared" si="423"/>
        <v>1</v>
      </c>
      <c r="CX2422" s="30">
        <f t="shared" ref="CX2422:CX2429" si="429">+IF(B2422="",0,1)</f>
        <v>0</v>
      </c>
      <c r="CZ2422" s="30">
        <f t="shared" si="428"/>
        <v>1</v>
      </c>
      <c r="DA2422" s="52">
        <f t="shared" ref="DA2422:DA2429" si="430">+IF(CW2422*CX2422=0,0,IF(CZ2422=0,0,1))</f>
        <v>0</v>
      </c>
      <c r="DB2422" s="2">
        <f t="shared" si="424"/>
        <v>0</v>
      </c>
      <c r="DS2422" s="130">
        <f>SI!BY2422</f>
        <v>136</v>
      </c>
      <c r="DZ2422" s="131">
        <f>SI!BZ2422</f>
        <v>0</v>
      </c>
    </row>
    <row r="2423" spans="1:130" hidden="1" x14ac:dyDescent="0.25">
      <c r="A2423" s="141"/>
      <c r="B2423" s="1158"/>
      <c r="C2423" s="1159"/>
      <c r="D2423" s="1159"/>
      <c r="E2423" s="1159"/>
      <c r="F2423" s="1159"/>
      <c r="G2423" s="1159"/>
      <c r="H2423" s="1159"/>
      <c r="I2423" s="1159"/>
      <c r="J2423" s="1159"/>
      <c r="K2423" s="1159"/>
      <c r="L2423" s="1159"/>
      <c r="M2423" s="1159"/>
      <c r="N2423" s="1159"/>
      <c r="O2423" s="1159"/>
      <c r="P2423" s="1159"/>
      <c r="Q2423" s="1159"/>
      <c r="R2423" s="1159"/>
      <c r="S2423" s="1159"/>
      <c r="T2423" s="1159"/>
      <c r="U2423" s="1159"/>
      <c r="V2423" s="1159"/>
      <c r="W2423" s="1159"/>
      <c r="X2423" s="1159"/>
      <c r="Y2423" s="1159"/>
      <c r="Z2423" s="1159"/>
      <c r="AA2423" s="1159"/>
      <c r="AB2423" s="1159"/>
      <c r="AC2423" s="1159"/>
      <c r="AD2423" s="1159"/>
      <c r="AE2423" s="1159"/>
      <c r="AF2423" s="1159"/>
      <c r="AG2423" s="1159"/>
      <c r="AH2423" s="1159"/>
      <c r="AI2423" s="1159"/>
      <c r="AJ2423" s="1159"/>
      <c r="AK2423" s="1159"/>
      <c r="AL2423" s="1160"/>
      <c r="AM2423" s="1155"/>
      <c r="AN2423" s="1156"/>
      <c r="AO2423" s="1156"/>
      <c r="AP2423" s="1156"/>
      <c r="AQ2423" s="1156"/>
      <c r="AR2423" s="1156"/>
      <c r="AS2423" s="1156"/>
      <c r="AT2423" s="1156"/>
      <c r="AU2423" s="1156"/>
      <c r="AV2423" s="1156"/>
      <c r="AW2423" s="1156"/>
      <c r="AX2423" s="1156"/>
      <c r="AY2423" s="1156"/>
      <c r="AZ2423" s="1156"/>
      <c r="BA2423" s="1156"/>
      <c r="BB2423" s="1156"/>
      <c r="BC2423" s="1156"/>
      <c r="BD2423" s="1156"/>
      <c r="BE2423" s="1156"/>
      <c r="BF2423" s="1157"/>
      <c r="BG2423" s="1155"/>
      <c r="BH2423" s="1156"/>
      <c r="BI2423" s="1156"/>
      <c r="BJ2423" s="1156"/>
      <c r="BK2423" s="1156"/>
      <c r="BL2423" s="1156"/>
      <c r="BM2423" s="1156"/>
      <c r="BN2423" s="1156"/>
      <c r="BO2423" s="1156"/>
      <c r="BP2423" s="1156"/>
      <c r="BQ2423" s="1156"/>
      <c r="BR2423" s="1156"/>
      <c r="BS2423" s="1156"/>
      <c r="BT2423" s="1156"/>
      <c r="BU2423" s="1156"/>
      <c r="BV2423" s="1156"/>
      <c r="BW2423" s="1156"/>
      <c r="BX2423" s="1156"/>
      <c r="BY2423" s="1156"/>
      <c r="BZ2423" s="1157"/>
      <c r="CA2423" s="270"/>
      <c r="CB2423" s="3" t="str">
        <f t="shared" si="427"/>
        <v>Riadok bude skrytý.</v>
      </c>
      <c r="CC2423" s="271" t="s">
        <v>832</v>
      </c>
      <c r="CW2423" s="30">
        <f t="shared" si="423"/>
        <v>1</v>
      </c>
      <c r="CX2423" s="30">
        <f t="shared" si="429"/>
        <v>0</v>
      </c>
      <c r="CZ2423" s="30">
        <f t="shared" si="428"/>
        <v>1</v>
      </c>
      <c r="DA2423" s="52">
        <f t="shared" si="430"/>
        <v>0</v>
      </c>
      <c r="DB2423" s="2">
        <f t="shared" si="424"/>
        <v>0</v>
      </c>
      <c r="DS2423" s="130">
        <f>SI!BY2423</f>
        <v>802</v>
      </c>
      <c r="DZ2423" s="131">
        <f>SI!BZ2423</f>
        <v>0</v>
      </c>
    </row>
    <row r="2424" spans="1:130" hidden="1" x14ac:dyDescent="0.25">
      <c r="A2424" s="141"/>
      <c r="B2424" s="1158"/>
      <c r="C2424" s="1159"/>
      <c r="D2424" s="1159"/>
      <c r="E2424" s="1159"/>
      <c r="F2424" s="1159"/>
      <c r="G2424" s="1159"/>
      <c r="H2424" s="1159"/>
      <c r="I2424" s="1159"/>
      <c r="J2424" s="1159"/>
      <c r="K2424" s="1159"/>
      <c r="L2424" s="1159"/>
      <c r="M2424" s="1159"/>
      <c r="N2424" s="1159"/>
      <c r="O2424" s="1159"/>
      <c r="P2424" s="1159"/>
      <c r="Q2424" s="1159"/>
      <c r="R2424" s="1159"/>
      <c r="S2424" s="1159"/>
      <c r="T2424" s="1159"/>
      <c r="U2424" s="1159"/>
      <c r="V2424" s="1159"/>
      <c r="W2424" s="1159"/>
      <c r="X2424" s="1159"/>
      <c r="Y2424" s="1159"/>
      <c r="Z2424" s="1159"/>
      <c r="AA2424" s="1159"/>
      <c r="AB2424" s="1159"/>
      <c r="AC2424" s="1159"/>
      <c r="AD2424" s="1159"/>
      <c r="AE2424" s="1159"/>
      <c r="AF2424" s="1159"/>
      <c r="AG2424" s="1159"/>
      <c r="AH2424" s="1159"/>
      <c r="AI2424" s="1159"/>
      <c r="AJ2424" s="1159"/>
      <c r="AK2424" s="1159"/>
      <c r="AL2424" s="1160"/>
      <c r="AM2424" s="1155"/>
      <c r="AN2424" s="1156"/>
      <c r="AO2424" s="1156"/>
      <c r="AP2424" s="1156"/>
      <c r="AQ2424" s="1156"/>
      <c r="AR2424" s="1156"/>
      <c r="AS2424" s="1156"/>
      <c r="AT2424" s="1156"/>
      <c r="AU2424" s="1156"/>
      <c r="AV2424" s="1156"/>
      <c r="AW2424" s="1156"/>
      <c r="AX2424" s="1156"/>
      <c r="AY2424" s="1156"/>
      <c r="AZ2424" s="1156"/>
      <c r="BA2424" s="1156"/>
      <c r="BB2424" s="1156"/>
      <c r="BC2424" s="1156"/>
      <c r="BD2424" s="1156"/>
      <c r="BE2424" s="1156"/>
      <c r="BF2424" s="1157"/>
      <c r="BG2424" s="1155"/>
      <c r="BH2424" s="1156"/>
      <c r="BI2424" s="1156"/>
      <c r="BJ2424" s="1156"/>
      <c r="BK2424" s="1156"/>
      <c r="BL2424" s="1156"/>
      <c r="BM2424" s="1156"/>
      <c r="BN2424" s="1156"/>
      <c r="BO2424" s="1156"/>
      <c r="BP2424" s="1156"/>
      <c r="BQ2424" s="1156"/>
      <c r="BR2424" s="1156"/>
      <c r="BS2424" s="1156"/>
      <c r="BT2424" s="1156"/>
      <c r="BU2424" s="1156"/>
      <c r="BV2424" s="1156"/>
      <c r="BW2424" s="1156"/>
      <c r="BX2424" s="1156"/>
      <c r="BY2424" s="1156"/>
      <c r="BZ2424" s="1157"/>
      <c r="CA2424" s="270"/>
      <c r="CB2424" s="3" t="str">
        <f t="shared" si="427"/>
        <v>Riadok bude skrytý.</v>
      </c>
      <c r="CC2424" s="271" t="s">
        <v>832</v>
      </c>
      <c r="CW2424" s="30">
        <f t="shared" si="423"/>
        <v>1</v>
      </c>
      <c r="CX2424" s="30">
        <f t="shared" si="429"/>
        <v>0</v>
      </c>
      <c r="CZ2424" s="30">
        <f t="shared" si="428"/>
        <v>1</v>
      </c>
      <c r="DA2424" s="52">
        <f t="shared" si="430"/>
        <v>0</v>
      </c>
      <c r="DB2424" s="2">
        <f t="shared" si="424"/>
        <v>0</v>
      </c>
      <c r="DS2424" s="130">
        <f>SI!BY2424</f>
        <v>161</v>
      </c>
      <c r="DZ2424" s="131">
        <f>SI!BZ2424</f>
        <v>0</v>
      </c>
    </row>
    <row r="2425" spans="1:130" hidden="1" x14ac:dyDescent="0.25">
      <c r="A2425" s="141"/>
      <c r="B2425" s="1158"/>
      <c r="C2425" s="1159"/>
      <c r="D2425" s="1159"/>
      <c r="E2425" s="1159"/>
      <c r="F2425" s="1159"/>
      <c r="G2425" s="1159"/>
      <c r="H2425" s="1159"/>
      <c r="I2425" s="1159"/>
      <c r="J2425" s="1159"/>
      <c r="K2425" s="1159"/>
      <c r="L2425" s="1159"/>
      <c r="M2425" s="1159"/>
      <c r="N2425" s="1159"/>
      <c r="O2425" s="1159"/>
      <c r="P2425" s="1159"/>
      <c r="Q2425" s="1159"/>
      <c r="R2425" s="1159"/>
      <c r="S2425" s="1159"/>
      <c r="T2425" s="1159"/>
      <c r="U2425" s="1159"/>
      <c r="V2425" s="1159"/>
      <c r="W2425" s="1159"/>
      <c r="X2425" s="1159"/>
      <c r="Y2425" s="1159"/>
      <c r="Z2425" s="1159"/>
      <c r="AA2425" s="1159"/>
      <c r="AB2425" s="1159"/>
      <c r="AC2425" s="1159"/>
      <c r="AD2425" s="1159"/>
      <c r="AE2425" s="1159"/>
      <c r="AF2425" s="1159"/>
      <c r="AG2425" s="1159"/>
      <c r="AH2425" s="1159"/>
      <c r="AI2425" s="1159"/>
      <c r="AJ2425" s="1159"/>
      <c r="AK2425" s="1159"/>
      <c r="AL2425" s="1160"/>
      <c r="AM2425" s="1155"/>
      <c r="AN2425" s="1156"/>
      <c r="AO2425" s="1156"/>
      <c r="AP2425" s="1156"/>
      <c r="AQ2425" s="1156"/>
      <c r="AR2425" s="1156"/>
      <c r="AS2425" s="1156"/>
      <c r="AT2425" s="1156"/>
      <c r="AU2425" s="1156"/>
      <c r="AV2425" s="1156"/>
      <c r="AW2425" s="1156"/>
      <c r="AX2425" s="1156"/>
      <c r="AY2425" s="1156"/>
      <c r="AZ2425" s="1156"/>
      <c r="BA2425" s="1156"/>
      <c r="BB2425" s="1156"/>
      <c r="BC2425" s="1156"/>
      <c r="BD2425" s="1156"/>
      <c r="BE2425" s="1156"/>
      <c r="BF2425" s="1157"/>
      <c r="BG2425" s="1155"/>
      <c r="BH2425" s="1156"/>
      <c r="BI2425" s="1156"/>
      <c r="BJ2425" s="1156"/>
      <c r="BK2425" s="1156"/>
      <c r="BL2425" s="1156"/>
      <c r="BM2425" s="1156"/>
      <c r="BN2425" s="1156"/>
      <c r="BO2425" s="1156"/>
      <c r="BP2425" s="1156"/>
      <c r="BQ2425" s="1156"/>
      <c r="BR2425" s="1156"/>
      <c r="BS2425" s="1156"/>
      <c r="BT2425" s="1156"/>
      <c r="BU2425" s="1156"/>
      <c r="BV2425" s="1156"/>
      <c r="BW2425" s="1156"/>
      <c r="BX2425" s="1156"/>
      <c r="BY2425" s="1156"/>
      <c r="BZ2425" s="1157"/>
      <c r="CA2425" s="270"/>
      <c r="CB2425" s="3" t="str">
        <f t="shared" si="427"/>
        <v>Riadok bude skrytý.</v>
      </c>
      <c r="CC2425" s="271" t="s">
        <v>832</v>
      </c>
      <c r="CW2425" s="30">
        <f t="shared" si="423"/>
        <v>1</v>
      </c>
      <c r="CX2425" s="30">
        <f t="shared" si="429"/>
        <v>0</v>
      </c>
      <c r="CZ2425" s="30">
        <f t="shared" si="428"/>
        <v>1</v>
      </c>
      <c r="DA2425" s="52">
        <f t="shared" si="430"/>
        <v>0</v>
      </c>
      <c r="DB2425" s="2">
        <f t="shared" si="424"/>
        <v>0</v>
      </c>
      <c r="DS2425" s="130">
        <f>SI!BY2425</f>
        <v>111</v>
      </c>
      <c r="DZ2425" s="131">
        <f>SI!BZ2425</f>
        <v>0</v>
      </c>
    </row>
    <row r="2426" spans="1:130" hidden="1" x14ac:dyDescent="0.25">
      <c r="A2426" s="141"/>
      <c r="B2426" s="1158"/>
      <c r="C2426" s="1159"/>
      <c r="D2426" s="1159"/>
      <c r="E2426" s="1159"/>
      <c r="F2426" s="1159"/>
      <c r="G2426" s="1159"/>
      <c r="H2426" s="1159"/>
      <c r="I2426" s="1159"/>
      <c r="J2426" s="1159"/>
      <c r="K2426" s="1159"/>
      <c r="L2426" s="1159"/>
      <c r="M2426" s="1159"/>
      <c r="N2426" s="1159"/>
      <c r="O2426" s="1159"/>
      <c r="P2426" s="1159"/>
      <c r="Q2426" s="1159"/>
      <c r="R2426" s="1159"/>
      <c r="S2426" s="1159"/>
      <c r="T2426" s="1159"/>
      <c r="U2426" s="1159"/>
      <c r="V2426" s="1159"/>
      <c r="W2426" s="1159"/>
      <c r="X2426" s="1159"/>
      <c r="Y2426" s="1159"/>
      <c r="Z2426" s="1159"/>
      <c r="AA2426" s="1159"/>
      <c r="AB2426" s="1159"/>
      <c r="AC2426" s="1159"/>
      <c r="AD2426" s="1159"/>
      <c r="AE2426" s="1159"/>
      <c r="AF2426" s="1159"/>
      <c r="AG2426" s="1159"/>
      <c r="AH2426" s="1159"/>
      <c r="AI2426" s="1159"/>
      <c r="AJ2426" s="1159"/>
      <c r="AK2426" s="1159"/>
      <c r="AL2426" s="1160"/>
      <c r="AM2426" s="1155"/>
      <c r="AN2426" s="1156"/>
      <c r="AO2426" s="1156"/>
      <c r="AP2426" s="1156"/>
      <c r="AQ2426" s="1156"/>
      <c r="AR2426" s="1156"/>
      <c r="AS2426" s="1156"/>
      <c r="AT2426" s="1156"/>
      <c r="AU2426" s="1156"/>
      <c r="AV2426" s="1156"/>
      <c r="AW2426" s="1156"/>
      <c r="AX2426" s="1156"/>
      <c r="AY2426" s="1156"/>
      <c r="AZ2426" s="1156"/>
      <c r="BA2426" s="1156"/>
      <c r="BB2426" s="1156"/>
      <c r="BC2426" s="1156"/>
      <c r="BD2426" s="1156"/>
      <c r="BE2426" s="1156"/>
      <c r="BF2426" s="1157"/>
      <c r="BG2426" s="1155"/>
      <c r="BH2426" s="1156"/>
      <c r="BI2426" s="1156"/>
      <c r="BJ2426" s="1156"/>
      <c r="BK2426" s="1156"/>
      <c r="BL2426" s="1156"/>
      <c r="BM2426" s="1156"/>
      <c r="BN2426" s="1156"/>
      <c r="BO2426" s="1156"/>
      <c r="BP2426" s="1156"/>
      <c r="BQ2426" s="1156"/>
      <c r="BR2426" s="1156"/>
      <c r="BS2426" s="1156"/>
      <c r="BT2426" s="1156"/>
      <c r="BU2426" s="1156"/>
      <c r="BV2426" s="1156"/>
      <c r="BW2426" s="1156"/>
      <c r="BX2426" s="1156"/>
      <c r="BY2426" s="1156"/>
      <c r="BZ2426" s="1157"/>
      <c r="CA2426" s="270"/>
      <c r="CB2426" s="3" t="str">
        <f t="shared" si="427"/>
        <v>Riadok bude skrytý.</v>
      </c>
      <c r="CC2426" s="271" t="s">
        <v>832</v>
      </c>
      <c r="CW2426" s="30">
        <f t="shared" si="423"/>
        <v>1</v>
      </c>
      <c r="CX2426" s="30">
        <f t="shared" si="429"/>
        <v>0</v>
      </c>
      <c r="CZ2426" s="30">
        <f t="shared" si="428"/>
        <v>1</v>
      </c>
      <c r="DA2426" s="52">
        <f t="shared" si="430"/>
        <v>0</v>
      </c>
      <c r="DB2426" s="2">
        <f t="shared" si="424"/>
        <v>0</v>
      </c>
      <c r="DS2426" s="130">
        <f>SI!BY2426</f>
        <v>189</v>
      </c>
      <c r="DZ2426" s="131">
        <f>SI!BZ2426</f>
        <v>0</v>
      </c>
    </row>
    <row r="2427" spans="1:130" hidden="1" x14ac:dyDescent="0.25">
      <c r="A2427" s="141"/>
      <c r="B2427" s="1158"/>
      <c r="C2427" s="1159"/>
      <c r="D2427" s="1159"/>
      <c r="E2427" s="1159"/>
      <c r="F2427" s="1159"/>
      <c r="G2427" s="1159"/>
      <c r="H2427" s="1159"/>
      <c r="I2427" s="1159"/>
      <c r="J2427" s="1159"/>
      <c r="K2427" s="1159"/>
      <c r="L2427" s="1159"/>
      <c r="M2427" s="1159"/>
      <c r="N2427" s="1159"/>
      <c r="O2427" s="1159"/>
      <c r="P2427" s="1159"/>
      <c r="Q2427" s="1159"/>
      <c r="R2427" s="1159"/>
      <c r="S2427" s="1159"/>
      <c r="T2427" s="1159"/>
      <c r="U2427" s="1159"/>
      <c r="V2427" s="1159"/>
      <c r="W2427" s="1159"/>
      <c r="X2427" s="1159"/>
      <c r="Y2427" s="1159"/>
      <c r="Z2427" s="1159"/>
      <c r="AA2427" s="1159"/>
      <c r="AB2427" s="1159"/>
      <c r="AC2427" s="1159"/>
      <c r="AD2427" s="1159"/>
      <c r="AE2427" s="1159"/>
      <c r="AF2427" s="1159"/>
      <c r="AG2427" s="1159"/>
      <c r="AH2427" s="1159"/>
      <c r="AI2427" s="1159"/>
      <c r="AJ2427" s="1159"/>
      <c r="AK2427" s="1159"/>
      <c r="AL2427" s="1160"/>
      <c r="AM2427" s="1155"/>
      <c r="AN2427" s="1156"/>
      <c r="AO2427" s="1156"/>
      <c r="AP2427" s="1156"/>
      <c r="AQ2427" s="1156"/>
      <c r="AR2427" s="1156"/>
      <c r="AS2427" s="1156"/>
      <c r="AT2427" s="1156"/>
      <c r="AU2427" s="1156"/>
      <c r="AV2427" s="1156"/>
      <c r="AW2427" s="1156"/>
      <c r="AX2427" s="1156"/>
      <c r="AY2427" s="1156"/>
      <c r="AZ2427" s="1156"/>
      <c r="BA2427" s="1156"/>
      <c r="BB2427" s="1156"/>
      <c r="BC2427" s="1156"/>
      <c r="BD2427" s="1156"/>
      <c r="BE2427" s="1156"/>
      <c r="BF2427" s="1157"/>
      <c r="BG2427" s="1155"/>
      <c r="BH2427" s="1156"/>
      <c r="BI2427" s="1156"/>
      <c r="BJ2427" s="1156"/>
      <c r="BK2427" s="1156"/>
      <c r="BL2427" s="1156"/>
      <c r="BM2427" s="1156"/>
      <c r="BN2427" s="1156"/>
      <c r="BO2427" s="1156"/>
      <c r="BP2427" s="1156"/>
      <c r="BQ2427" s="1156"/>
      <c r="BR2427" s="1156"/>
      <c r="BS2427" s="1156"/>
      <c r="BT2427" s="1156"/>
      <c r="BU2427" s="1156"/>
      <c r="BV2427" s="1156"/>
      <c r="BW2427" s="1156"/>
      <c r="BX2427" s="1156"/>
      <c r="BY2427" s="1156"/>
      <c r="BZ2427" s="1157"/>
      <c r="CA2427" s="270"/>
      <c r="CB2427" s="3" t="str">
        <f t="shared" si="427"/>
        <v>Riadok bude skrytý.</v>
      </c>
      <c r="CC2427" s="271" t="s">
        <v>832</v>
      </c>
      <c r="CW2427" s="30">
        <f t="shared" si="423"/>
        <v>1</v>
      </c>
      <c r="CX2427" s="30">
        <f t="shared" si="429"/>
        <v>0</v>
      </c>
      <c r="CZ2427" s="30">
        <f t="shared" si="428"/>
        <v>1</v>
      </c>
      <c r="DA2427" s="52">
        <f t="shared" si="430"/>
        <v>0</v>
      </c>
      <c r="DB2427" s="2">
        <f t="shared" si="424"/>
        <v>0</v>
      </c>
      <c r="DS2427" s="130">
        <f>SI!BY2427</f>
        <v>737</v>
      </c>
      <c r="DZ2427" s="131">
        <f>SI!BZ2427</f>
        <v>0</v>
      </c>
    </row>
    <row r="2428" spans="1:130" hidden="1" x14ac:dyDescent="0.25">
      <c r="A2428" s="141"/>
      <c r="B2428" s="1158"/>
      <c r="C2428" s="1159"/>
      <c r="D2428" s="1159"/>
      <c r="E2428" s="1159"/>
      <c r="F2428" s="1159"/>
      <c r="G2428" s="1159"/>
      <c r="H2428" s="1159"/>
      <c r="I2428" s="1159"/>
      <c r="J2428" s="1159"/>
      <c r="K2428" s="1159"/>
      <c r="L2428" s="1159"/>
      <c r="M2428" s="1159"/>
      <c r="N2428" s="1159"/>
      <c r="O2428" s="1159"/>
      <c r="P2428" s="1159"/>
      <c r="Q2428" s="1159"/>
      <c r="R2428" s="1159"/>
      <c r="S2428" s="1159"/>
      <c r="T2428" s="1159"/>
      <c r="U2428" s="1159"/>
      <c r="V2428" s="1159"/>
      <c r="W2428" s="1159"/>
      <c r="X2428" s="1159"/>
      <c r="Y2428" s="1159"/>
      <c r="Z2428" s="1159"/>
      <c r="AA2428" s="1159"/>
      <c r="AB2428" s="1159"/>
      <c r="AC2428" s="1159"/>
      <c r="AD2428" s="1159"/>
      <c r="AE2428" s="1159"/>
      <c r="AF2428" s="1159"/>
      <c r="AG2428" s="1159"/>
      <c r="AH2428" s="1159"/>
      <c r="AI2428" s="1159"/>
      <c r="AJ2428" s="1159"/>
      <c r="AK2428" s="1159"/>
      <c r="AL2428" s="1160"/>
      <c r="AM2428" s="1155"/>
      <c r="AN2428" s="1156"/>
      <c r="AO2428" s="1156"/>
      <c r="AP2428" s="1156"/>
      <c r="AQ2428" s="1156"/>
      <c r="AR2428" s="1156"/>
      <c r="AS2428" s="1156"/>
      <c r="AT2428" s="1156"/>
      <c r="AU2428" s="1156"/>
      <c r="AV2428" s="1156"/>
      <c r="AW2428" s="1156"/>
      <c r="AX2428" s="1156"/>
      <c r="AY2428" s="1156"/>
      <c r="AZ2428" s="1156"/>
      <c r="BA2428" s="1156"/>
      <c r="BB2428" s="1156"/>
      <c r="BC2428" s="1156"/>
      <c r="BD2428" s="1156"/>
      <c r="BE2428" s="1156"/>
      <c r="BF2428" s="1157"/>
      <c r="BG2428" s="1155"/>
      <c r="BH2428" s="1156"/>
      <c r="BI2428" s="1156"/>
      <c r="BJ2428" s="1156"/>
      <c r="BK2428" s="1156"/>
      <c r="BL2428" s="1156"/>
      <c r="BM2428" s="1156"/>
      <c r="BN2428" s="1156"/>
      <c r="BO2428" s="1156"/>
      <c r="BP2428" s="1156"/>
      <c r="BQ2428" s="1156"/>
      <c r="BR2428" s="1156"/>
      <c r="BS2428" s="1156"/>
      <c r="BT2428" s="1156"/>
      <c r="BU2428" s="1156"/>
      <c r="BV2428" s="1156"/>
      <c r="BW2428" s="1156"/>
      <c r="BX2428" s="1156"/>
      <c r="BY2428" s="1156"/>
      <c r="BZ2428" s="1157"/>
      <c r="CA2428" s="270"/>
      <c r="CB2428" s="3" t="str">
        <f t="shared" si="427"/>
        <v>Riadok bude skrytý.</v>
      </c>
      <c r="CC2428" s="271" t="s">
        <v>832</v>
      </c>
      <c r="CW2428" s="30">
        <f t="shared" si="423"/>
        <v>1</v>
      </c>
      <c r="CX2428" s="30">
        <f t="shared" si="429"/>
        <v>0</v>
      </c>
      <c r="CZ2428" s="30">
        <f t="shared" si="428"/>
        <v>1</v>
      </c>
      <c r="DA2428" s="52">
        <f t="shared" si="430"/>
        <v>0</v>
      </c>
      <c r="DB2428" s="2">
        <f t="shared" si="424"/>
        <v>0</v>
      </c>
      <c r="DS2428" s="130">
        <f>SI!BY2428</f>
        <v>123</v>
      </c>
      <c r="DZ2428" s="131">
        <f>SI!BZ2428</f>
        <v>0</v>
      </c>
    </row>
    <row r="2429" spans="1:130" hidden="1" x14ac:dyDescent="0.25">
      <c r="A2429" s="141"/>
      <c r="B2429" s="1158"/>
      <c r="C2429" s="1159"/>
      <c r="D2429" s="1159"/>
      <c r="E2429" s="1159"/>
      <c r="F2429" s="1159"/>
      <c r="G2429" s="1159"/>
      <c r="H2429" s="1159"/>
      <c r="I2429" s="1159"/>
      <c r="J2429" s="1159"/>
      <c r="K2429" s="1159"/>
      <c r="L2429" s="1159"/>
      <c r="M2429" s="1159"/>
      <c r="N2429" s="1159"/>
      <c r="O2429" s="1159"/>
      <c r="P2429" s="1159"/>
      <c r="Q2429" s="1159"/>
      <c r="R2429" s="1159"/>
      <c r="S2429" s="1159"/>
      <c r="T2429" s="1159"/>
      <c r="U2429" s="1159"/>
      <c r="V2429" s="1159"/>
      <c r="W2429" s="1159"/>
      <c r="X2429" s="1159"/>
      <c r="Y2429" s="1159"/>
      <c r="Z2429" s="1159"/>
      <c r="AA2429" s="1159"/>
      <c r="AB2429" s="1159"/>
      <c r="AC2429" s="1159"/>
      <c r="AD2429" s="1159"/>
      <c r="AE2429" s="1159"/>
      <c r="AF2429" s="1159"/>
      <c r="AG2429" s="1159"/>
      <c r="AH2429" s="1159"/>
      <c r="AI2429" s="1159"/>
      <c r="AJ2429" s="1159"/>
      <c r="AK2429" s="1159"/>
      <c r="AL2429" s="1160"/>
      <c r="AM2429" s="1155"/>
      <c r="AN2429" s="1156"/>
      <c r="AO2429" s="1156"/>
      <c r="AP2429" s="1156"/>
      <c r="AQ2429" s="1156"/>
      <c r="AR2429" s="1156"/>
      <c r="AS2429" s="1156"/>
      <c r="AT2429" s="1156"/>
      <c r="AU2429" s="1156"/>
      <c r="AV2429" s="1156"/>
      <c r="AW2429" s="1156"/>
      <c r="AX2429" s="1156"/>
      <c r="AY2429" s="1156"/>
      <c r="AZ2429" s="1156"/>
      <c r="BA2429" s="1156"/>
      <c r="BB2429" s="1156"/>
      <c r="BC2429" s="1156"/>
      <c r="BD2429" s="1156"/>
      <c r="BE2429" s="1156"/>
      <c r="BF2429" s="1157"/>
      <c r="BG2429" s="1155"/>
      <c r="BH2429" s="1156"/>
      <c r="BI2429" s="1156"/>
      <c r="BJ2429" s="1156"/>
      <c r="BK2429" s="1156"/>
      <c r="BL2429" s="1156"/>
      <c r="BM2429" s="1156"/>
      <c r="BN2429" s="1156"/>
      <c r="BO2429" s="1156"/>
      <c r="BP2429" s="1156"/>
      <c r="BQ2429" s="1156"/>
      <c r="BR2429" s="1156"/>
      <c r="BS2429" s="1156"/>
      <c r="BT2429" s="1156"/>
      <c r="BU2429" s="1156"/>
      <c r="BV2429" s="1156"/>
      <c r="BW2429" s="1156"/>
      <c r="BX2429" s="1156"/>
      <c r="BY2429" s="1156"/>
      <c r="BZ2429" s="1157"/>
      <c r="CA2429" s="270"/>
      <c r="CB2429" s="3" t="str">
        <f t="shared" si="427"/>
        <v>Riadok bude skrytý.</v>
      </c>
      <c r="CC2429" s="271" t="s">
        <v>832</v>
      </c>
      <c r="CW2429" s="30">
        <f t="shared" si="423"/>
        <v>1</v>
      </c>
      <c r="CX2429" s="30">
        <f t="shared" si="429"/>
        <v>0</v>
      </c>
      <c r="CZ2429" s="30">
        <f t="shared" si="428"/>
        <v>1</v>
      </c>
      <c r="DA2429" s="52">
        <f t="shared" si="430"/>
        <v>0</v>
      </c>
      <c r="DB2429" s="2">
        <f t="shared" si="424"/>
        <v>0</v>
      </c>
      <c r="DS2429" s="130">
        <f>SI!BY2429</f>
        <v>388</v>
      </c>
      <c r="DZ2429" s="131">
        <f>SI!BZ2429</f>
        <v>0</v>
      </c>
    </row>
    <row r="2430" spans="1:130" hidden="1" x14ac:dyDescent="0.25">
      <c r="A2430" s="141"/>
      <c r="B2430" s="1158" t="s">
        <v>701</v>
      </c>
      <c r="C2430" s="1159"/>
      <c r="D2430" s="1159"/>
      <c r="E2430" s="1159"/>
      <c r="F2430" s="1159"/>
      <c r="G2430" s="1159"/>
      <c r="H2430" s="1159"/>
      <c r="I2430" s="1159"/>
      <c r="J2430" s="1159"/>
      <c r="K2430" s="1159"/>
      <c r="L2430" s="1159"/>
      <c r="M2430" s="1159"/>
      <c r="N2430" s="1159"/>
      <c r="O2430" s="1159"/>
      <c r="P2430" s="1159"/>
      <c r="Q2430" s="1159"/>
      <c r="R2430" s="1159"/>
      <c r="S2430" s="1159"/>
      <c r="T2430" s="1159"/>
      <c r="U2430" s="1159"/>
      <c r="V2430" s="1159"/>
      <c r="W2430" s="1159"/>
      <c r="X2430" s="1159"/>
      <c r="Y2430" s="1159"/>
      <c r="Z2430" s="1159"/>
      <c r="AA2430" s="1159"/>
      <c r="AB2430" s="1159"/>
      <c r="AC2430" s="1159"/>
      <c r="AD2430" s="1159"/>
      <c r="AE2430" s="1159"/>
      <c r="AF2430" s="1159"/>
      <c r="AG2430" s="1159"/>
      <c r="AH2430" s="1159"/>
      <c r="AI2430" s="1159"/>
      <c r="AJ2430" s="1159"/>
      <c r="AK2430" s="1159"/>
      <c r="AL2430" s="1160"/>
      <c r="AM2430" s="1155"/>
      <c r="AN2430" s="1156"/>
      <c r="AO2430" s="1156"/>
      <c r="AP2430" s="1156"/>
      <c r="AQ2430" s="1156"/>
      <c r="AR2430" s="1156"/>
      <c r="AS2430" s="1156"/>
      <c r="AT2430" s="1156"/>
      <c r="AU2430" s="1156"/>
      <c r="AV2430" s="1156"/>
      <c r="AW2430" s="1156"/>
      <c r="AX2430" s="1156"/>
      <c r="AY2430" s="1156"/>
      <c r="AZ2430" s="1156"/>
      <c r="BA2430" s="1156"/>
      <c r="BB2430" s="1156"/>
      <c r="BC2430" s="1156"/>
      <c r="BD2430" s="1156"/>
      <c r="BE2430" s="1156"/>
      <c r="BF2430" s="1157"/>
      <c r="BG2430" s="1155"/>
      <c r="BH2430" s="1156"/>
      <c r="BI2430" s="1156"/>
      <c r="BJ2430" s="1156"/>
      <c r="BK2430" s="1156"/>
      <c r="BL2430" s="1156"/>
      <c r="BM2430" s="1156"/>
      <c r="BN2430" s="1156"/>
      <c r="BO2430" s="1156"/>
      <c r="BP2430" s="1156"/>
      <c r="BQ2430" s="1156"/>
      <c r="BR2430" s="1156"/>
      <c r="BS2430" s="1156"/>
      <c r="BT2430" s="1156"/>
      <c r="BU2430" s="1156"/>
      <c r="BV2430" s="1156"/>
      <c r="BW2430" s="1156"/>
      <c r="BX2430" s="1156"/>
      <c r="BY2430" s="1156"/>
      <c r="BZ2430" s="1157"/>
      <c r="CA2430" s="142"/>
      <c r="CB2430" s="3" t="str">
        <f t="shared" si="427"/>
        <v>Riadok bude skrytý.</v>
      </c>
      <c r="CC2430" s="271" t="s">
        <v>832</v>
      </c>
      <c r="CW2430" s="30">
        <f t="shared" si="423"/>
        <v>1</v>
      </c>
      <c r="CZ2430" s="30">
        <f t="shared" si="428"/>
        <v>1</v>
      </c>
      <c r="DA2430" s="30">
        <f>+IF(CW2430+CX2430+CY2430=0,0,IF(CZ2430=0,0,1))</f>
        <v>1</v>
      </c>
      <c r="DB2430" s="2">
        <f t="shared" si="424"/>
        <v>0</v>
      </c>
      <c r="DS2430" s="130">
        <f>SI!BY2430</f>
        <v>161</v>
      </c>
      <c r="DZ2430" s="131">
        <f>SI!BZ2430</f>
        <v>0</v>
      </c>
    </row>
    <row r="2431" spans="1:130" hidden="1" x14ac:dyDescent="0.25">
      <c r="A2431" s="141"/>
      <c r="B2431" s="401" t="s">
        <v>308</v>
      </c>
      <c r="C2431" s="402"/>
      <c r="D2431" s="402"/>
      <c r="E2431" s="402"/>
      <c r="F2431" s="402"/>
      <c r="G2431" s="402"/>
      <c r="H2431" s="402"/>
      <c r="I2431" s="402"/>
      <c r="J2431" s="402"/>
      <c r="K2431" s="402"/>
      <c r="L2431" s="402"/>
      <c r="M2431" s="402"/>
      <c r="N2431" s="402"/>
      <c r="O2431" s="402"/>
      <c r="P2431" s="402"/>
      <c r="Q2431" s="402"/>
      <c r="R2431" s="402"/>
      <c r="S2431" s="402"/>
      <c r="T2431" s="402"/>
      <c r="U2431" s="402"/>
      <c r="V2431" s="402"/>
      <c r="W2431" s="402"/>
      <c r="X2431" s="402"/>
      <c r="Y2431" s="402"/>
      <c r="Z2431" s="402"/>
      <c r="AA2431" s="402"/>
      <c r="AB2431" s="402"/>
      <c r="AC2431" s="402"/>
      <c r="AD2431" s="402"/>
      <c r="AE2431" s="402"/>
      <c r="AF2431" s="402"/>
      <c r="AG2431" s="402"/>
      <c r="AH2431" s="402"/>
      <c r="AI2431" s="402"/>
      <c r="AJ2431" s="402"/>
      <c r="AK2431" s="402"/>
      <c r="AL2431" s="776"/>
      <c r="AM2431" s="1152">
        <f>+SUM(AM2432:BF2441)</f>
        <v>0</v>
      </c>
      <c r="AN2431" s="1153"/>
      <c r="AO2431" s="1153"/>
      <c r="AP2431" s="1153"/>
      <c r="AQ2431" s="1153"/>
      <c r="AR2431" s="1153"/>
      <c r="AS2431" s="1153"/>
      <c r="AT2431" s="1153"/>
      <c r="AU2431" s="1153"/>
      <c r="AV2431" s="1153"/>
      <c r="AW2431" s="1153"/>
      <c r="AX2431" s="1153"/>
      <c r="AY2431" s="1153"/>
      <c r="AZ2431" s="1153"/>
      <c r="BA2431" s="1153"/>
      <c r="BB2431" s="1153"/>
      <c r="BC2431" s="1153"/>
      <c r="BD2431" s="1153"/>
      <c r="BE2431" s="1153"/>
      <c r="BF2431" s="1153"/>
      <c r="BG2431" s="1152">
        <f>+SUM(BG2432:BZ2441)</f>
        <v>0</v>
      </c>
      <c r="BH2431" s="1153"/>
      <c r="BI2431" s="1153"/>
      <c r="BJ2431" s="1153"/>
      <c r="BK2431" s="1153"/>
      <c r="BL2431" s="1153"/>
      <c r="BM2431" s="1153"/>
      <c r="BN2431" s="1153"/>
      <c r="BO2431" s="1153"/>
      <c r="BP2431" s="1153"/>
      <c r="BQ2431" s="1153"/>
      <c r="BR2431" s="1153"/>
      <c r="BS2431" s="1153"/>
      <c r="BT2431" s="1153"/>
      <c r="BU2431" s="1153"/>
      <c r="BV2431" s="1153"/>
      <c r="BW2431" s="1153"/>
      <c r="BX2431" s="1153"/>
      <c r="BY2431" s="1153"/>
      <c r="BZ2431" s="1154"/>
      <c r="CA2431" s="142"/>
      <c r="CB2431" s="3" t="str">
        <f t="shared" si="427"/>
        <v>Riadok bude skrytý.</v>
      </c>
      <c r="CC2431" s="271" t="s">
        <v>832</v>
      </c>
      <c r="CD2431" s="4" t="s">
        <v>757</v>
      </c>
      <c r="CW2431" s="30">
        <f t="shared" si="423"/>
        <v>1</v>
      </c>
      <c r="CX2431" s="35"/>
      <c r="CZ2431" s="30">
        <f t="shared" si="428"/>
        <v>1</v>
      </c>
      <c r="DA2431" s="30">
        <f>+IF(CW2431+CX2431+CY2431=0,0,IF(CZ2431=0,0,1))</f>
        <v>1</v>
      </c>
      <c r="DB2431" s="2">
        <f t="shared" si="424"/>
        <v>0</v>
      </c>
      <c r="DS2431" s="130">
        <f>SI!BY2431</f>
        <v>538</v>
      </c>
      <c r="DZ2431" s="131">
        <f>SI!BZ2431</f>
        <v>0</v>
      </c>
    </row>
    <row r="2432" spans="1:130" hidden="1" x14ac:dyDescent="0.25">
      <c r="A2432" s="141"/>
      <c r="B2432" s="1149"/>
      <c r="C2432" s="1150"/>
      <c r="D2432" s="1150"/>
      <c r="E2432" s="1150"/>
      <c r="F2432" s="1150"/>
      <c r="G2432" s="1150"/>
      <c r="H2432" s="1150"/>
      <c r="I2432" s="1150"/>
      <c r="J2432" s="1150"/>
      <c r="K2432" s="1150"/>
      <c r="L2432" s="1150"/>
      <c r="M2432" s="1150"/>
      <c r="N2432" s="1150"/>
      <c r="O2432" s="1150"/>
      <c r="P2432" s="1150"/>
      <c r="Q2432" s="1150"/>
      <c r="R2432" s="1150"/>
      <c r="S2432" s="1150"/>
      <c r="T2432" s="1150"/>
      <c r="U2432" s="1150"/>
      <c r="V2432" s="1150"/>
      <c r="W2432" s="1150"/>
      <c r="X2432" s="1150"/>
      <c r="Y2432" s="1150"/>
      <c r="Z2432" s="1150"/>
      <c r="AA2432" s="1150"/>
      <c r="AB2432" s="1150"/>
      <c r="AC2432" s="1150"/>
      <c r="AD2432" s="1150"/>
      <c r="AE2432" s="1150"/>
      <c r="AF2432" s="1150"/>
      <c r="AG2432" s="1150"/>
      <c r="AH2432" s="1150"/>
      <c r="AI2432" s="1150"/>
      <c r="AJ2432" s="1150"/>
      <c r="AK2432" s="1150"/>
      <c r="AL2432" s="1151"/>
      <c r="AM2432" s="1161"/>
      <c r="AN2432" s="1162"/>
      <c r="AO2432" s="1162"/>
      <c r="AP2432" s="1162"/>
      <c r="AQ2432" s="1162"/>
      <c r="AR2432" s="1162"/>
      <c r="AS2432" s="1162"/>
      <c r="AT2432" s="1162"/>
      <c r="AU2432" s="1162"/>
      <c r="AV2432" s="1162"/>
      <c r="AW2432" s="1162"/>
      <c r="AX2432" s="1162"/>
      <c r="AY2432" s="1162"/>
      <c r="AZ2432" s="1162"/>
      <c r="BA2432" s="1162"/>
      <c r="BB2432" s="1162"/>
      <c r="BC2432" s="1162"/>
      <c r="BD2432" s="1162"/>
      <c r="BE2432" s="1162"/>
      <c r="BF2432" s="1163"/>
      <c r="BG2432" s="1161"/>
      <c r="BH2432" s="1162"/>
      <c r="BI2432" s="1162"/>
      <c r="BJ2432" s="1162"/>
      <c r="BK2432" s="1162"/>
      <c r="BL2432" s="1162"/>
      <c r="BM2432" s="1162"/>
      <c r="BN2432" s="1162"/>
      <c r="BO2432" s="1162"/>
      <c r="BP2432" s="1162"/>
      <c r="BQ2432" s="1162"/>
      <c r="BR2432" s="1162"/>
      <c r="BS2432" s="1162"/>
      <c r="BT2432" s="1162"/>
      <c r="BU2432" s="1162"/>
      <c r="BV2432" s="1162"/>
      <c r="BW2432" s="1162"/>
      <c r="BX2432" s="1162"/>
      <c r="BY2432" s="1162"/>
      <c r="BZ2432" s="1163"/>
      <c r="CA2432" s="142"/>
      <c r="CB2432" s="3" t="str">
        <f t="shared" si="427"/>
        <v>Riadok bude skrytý.</v>
      </c>
      <c r="CC2432" s="271" t="s">
        <v>832</v>
      </c>
      <c r="CW2432" s="30">
        <f t="shared" si="423"/>
        <v>1</v>
      </c>
      <c r="CZ2432" s="30">
        <f t="shared" si="428"/>
        <v>1</v>
      </c>
      <c r="DA2432" s="30">
        <f>+IF(CW2432+CX2432+CY2432=0,0,IF(CZ2432=0,0,1))</f>
        <v>1</v>
      </c>
      <c r="DB2432" s="2">
        <f t="shared" si="424"/>
        <v>0</v>
      </c>
      <c r="DS2432" s="130">
        <f>SI!BY2432</f>
        <v>158</v>
      </c>
      <c r="DZ2432" s="131">
        <f>SI!BZ2432</f>
        <v>0</v>
      </c>
    </row>
    <row r="2433" spans="1:130" hidden="1" x14ac:dyDescent="0.25">
      <c r="A2433" s="141"/>
      <c r="B2433" s="1158"/>
      <c r="C2433" s="1159"/>
      <c r="D2433" s="1159"/>
      <c r="E2433" s="1159"/>
      <c r="F2433" s="1159"/>
      <c r="G2433" s="1159"/>
      <c r="H2433" s="1159"/>
      <c r="I2433" s="1159"/>
      <c r="J2433" s="1159"/>
      <c r="K2433" s="1159"/>
      <c r="L2433" s="1159"/>
      <c r="M2433" s="1159"/>
      <c r="N2433" s="1159"/>
      <c r="O2433" s="1159"/>
      <c r="P2433" s="1159"/>
      <c r="Q2433" s="1159"/>
      <c r="R2433" s="1159"/>
      <c r="S2433" s="1159"/>
      <c r="T2433" s="1159"/>
      <c r="U2433" s="1159"/>
      <c r="V2433" s="1159"/>
      <c r="W2433" s="1159"/>
      <c r="X2433" s="1159"/>
      <c r="Y2433" s="1159"/>
      <c r="Z2433" s="1159"/>
      <c r="AA2433" s="1159"/>
      <c r="AB2433" s="1159"/>
      <c r="AC2433" s="1159"/>
      <c r="AD2433" s="1159"/>
      <c r="AE2433" s="1159"/>
      <c r="AF2433" s="1159"/>
      <c r="AG2433" s="1159"/>
      <c r="AH2433" s="1159"/>
      <c r="AI2433" s="1159"/>
      <c r="AJ2433" s="1159"/>
      <c r="AK2433" s="1159"/>
      <c r="AL2433" s="1160"/>
      <c r="AM2433" s="1155"/>
      <c r="AN2433" s="1156"/>
      <c r="AO2433" s="1156"/>
      <c r="AP2433" s="1156"/>
      <c r="AQ2433" s="1156"/>
      <c r="AR2433" s="1156"/>
      <c r="AS2433" s="1156"/>
      <c r="AT2433" s="1156"/>
      <c r="AU2433" s="1156"/>
      <c r="AV2433" s="1156"/>
      <c r="AW2433" s="1156"/>
      <c r="AX2433" s="1156"/>
      <c r="AY2433" s="1156"/>
      <c r="AZ2433" s="1156"/>
      <c r="BA2433" s="1156"/>
      <c r="BB2433" s="1156"/>
      <c r="BC2433" s="1156"/>
      <c r="BD2433" s="1156"/>
      <c r="BE2433" s="1156"/>
      <c r="BF2433" s="1157"/>
      <c r="BG2433" s="1155"/>
      <c r="BH2433" s="1156"/>
      <c r="BI2433" s="1156"/>
      <c r="BJ2433" s="1156"/>
      <c r="BK2433" s="1156"/>
      <c r="BL2433" s="1156"/>
      <c r="BM2433" s="1156"/>
      <c r="BN2433" s="1156"/>
      <c r="BO2433" s="1156"/>
      <c r="BP2433" s="1156"/>
      <c r="BQ2433" s="1156"/>
      <c r="BR2433" s="1156"/>
      <c r="BS2433" s="1156"/>
      <c r="BT2433" s="1156"/>
      <c r="BU2433" s="1156"/>
      <c r="BV2433" s="1156"/>
      <c r="BW2433" s="1156"/>
      <c r="BX2433" s="1156"/>
      <c r="BY2433" s="1156"/>
      <c r="BZ2433" s="1157"/>
      <c r="CA2433" s="270"/>
      <c r="CB2433" s="3" t="str">
        <f t="shared" si="427"/>
        <v>Riadok bude skrytý.</v>
      </c>
      <c r="CC2433" s="271" t="s">
        <v>832</v>
      </c>
      <c r="CW2433" s="30">
        <f t="shared" si="423"/>
        <v>1</v>
      </c>
      <c r="CX2433" s="30">
        <f t="shared" ref="CX2433:CX2440" si="431">+IF(B2433="",0,1)</f>
        <v>0</v>
      </c>
      <c r="CZ2433" s="30">
        <f t="shared" si="428"/>
        <v>1</v>
      </c>
      <c r="DA2433" s="52">
        <f t="shared" ref="DA2433:DA2440" si="432">+IF(CW2433*CX2433=0,0,IF(CZ2433=0,0,1))</f>
        <v>0</v>
      </c>
      <c r="DB2433" s="2">
        <f t="shared" si="424"/>
        <v>0</v>
      </c>
      <c r="DS2433" s="130">
        <f>SI!BY2433</f>
        <v>562</v>
      </c>
      <c r="DZ2433" s="131">
        <f>SI!BZ2433</f>
        <v>0</v>
      </c>
    </row>
    <row r="2434" spans="1:130" hidden="1" x14ac:dyDescent="0.25">
      <c r="A2434" s="141"/>
      <c r="B2434" s="1158"/>
      <c r="C2434" s="1159"/>
      <c r="D2434" s="1159"/>
      <c r="E2434" s="1159"/>
      <c r="F2434" s="1159"/>
      <c r="G2434" s="1159"/>
      <c r="H2434" s="1159"/>
      <c r="I2434" s="1159"/>
      <c r="J2434" s="1159"/>
      <c r="K2434" s="1159"/>
      <c r="L2434" s="1159"/>
      <c r="M2434" s="1159"/>
      <c r="N2434" s="1159"/>
      <c r="O2434" s="1159"/>
      <c r="P2434" s="1159"/>
      <c r="Q2434" s="1159"/>
      <c r="R2434" s="1159"/>
      <c r="S2434" s="1159"/>
      <c r="T2434" s="1159"/>
      <c r="U2434" s="1159"/>
      <c r="V2434" s="1159"/>
      <c r="W2434" s="1159"/>
      <c r="X2434" s="1159"/>
      <c r="Y2434" s="1159"/>
      <c r="Z2434" s="1159"/>
      <c r="AA2434" s="1159"/>
      <c r="AB2434" s="1159"/>
      <c r="AC2434" s="1159"/>
      <c r="AD2434" s="1159"/>
      <c r="AE2434" s="1159"/>
      <c r="AF2434" s="1159"/>
      <c r="AG2434" s="1159"/>
      <c r="AH2434" s="1159"/>
      <c r="AI2434" s="1159"/>
      <c r="AJ2434" s="1159"/>
      <c r="AK2434" s="1159"/>
      <c r="AL2434" s="1160"/>
      <c r="AM2434" s="1155"/>
      <c r="AN2434" s="1156"/>
      <c r="AO2434" s="1156"/>
      <c r="AP2434" s="1156"/>
      <c r="AQ2434" s="1156"/>
      <c r="AR2434" s="1156"/>
      <c r="AS2434" s="1156"/>
      <c r="AT2434" s="1156"/>
      <c r="AU2434" s="1156"/>
      <c r="AV2434" s="1156"/>
      <c r="AW2434" s="1156"/>
      <c r="AX2434" s="1156"/>
      <c r="AY2434" s="1156"/>
      <c r="AZ2434" s="1156"/>
      <c r="BA2434" s="1156"/>
      <c r="BB2434" s="1156"/>
      <c r="BC2434" s="1156"/>
      <c r="BD2434" s="1156"/>
      <c r="BE2434" s="1156"/>
      <c r="BF2434" s="1157"/>
      <c r="BG2434" s="1155"/>
      <c r="BH2434" s="1156"/>
      <c r="BI2434" s="1156"/>
      <c r="BJ2434" s="1156"/>
      <c r="BK2434" s="1156"/>
      <c r="BL2434" s="1156"/>
      <c r="BM2434" s="1156"/>
      <c r="BN2434" s="1156"/>
      <c r="BO2434" s="1156"/>
      <c r="BP2434" s="1156"/>
      <c r="BQ2434" s="1156"/>
      <c r="BR2434" s="1156"/>
      <c r="BS2434" s="1156"/>
      <c r="BT2434" s="1156"/>
      <c r="BU2434" s="1156"/>
      <c r="BV2434" s="1156"/>
      <c r="BW2434" s="1156"/>
      <c r="BX2434" s="1156"/>
      <c r="BY2434" s="1156"/>
      <c r="BZ2434" s="1157"/>
      <c r="CA2434" s="270"/>
      <c r="CB2434" s="3" t="str">
        <f t="shared" si="427"/>
        <v>Riadok bude skrytý.</v>
      </c>
      <c r="CC2434" s="271" t="s">
        <v>832</v>
      </c>
      <c r="CW2434" s="30">
        <f t="shared" si="423"/>
        <v>1</v>
      </c>
      <c r="CX2434" s="30">
        <f t="shared" si="431"/>
        <v>0</v>
      </c>
      <c r="CZ2434" s="30">
        <f t="shared" si="428"/>
        <v>1</v>
      </c>
      <c r="DA2434" s="52">
        <f t="shared" si="432"/>
        <v>0</v>
      </c>
      <c r="DB2434" s="2">
        <f t="shared" si="424"/>
        <v>0</v>
      </c>
      <c r="DS2434" s="130">
        <f>SI!BY2434</f>
        <v>151</v>
      </c>
      <c r="DZ2434" s="131">
        <f>SI!BZ2434</f>
        <v>0</v>
      </c>
    </row>
    <row r="2435" spans="1:130" hidden="1" x14ac:dyDescent="0.25">
      <c r="A2435" s="141"/>
      <c r="B2435" s="1158"/>
      <c r="C2435" s="1159"/>
      <c r="D2435" s="1159"/>
      <c r="E2435" s="1159"/>
      <c r="F2435" s="1159"/>
      <c r="G2435" s="1159"/>
      <c r="H2435" s="1159"/>
      <c r="I2435" s="1159"/>
      <c r="J2435" s="1159"/>
      <c r="K2435" s="1159"/>
      <c r="L2435" s="1159"/>
      <c r="M2435" s="1159"/>
      <c r="N2435" s="1159"/>
      <c r="O2435" s="1159"/>
      <c r="P2435" s="1159"/>
      <c r="Q2435" s="1159"/>
      <c r="R2435" s="1159"/>
      <c r="S2435" s="1159"/>
      <c r="T2435" s="1159"/>
      <c r="U2435" s="1159"/>
      <c r="V2435" s="1159"/>
      <c r="W2435" s="1159"/>
      <c r="X2435" s="1159"/>
      <c r="Y2435" s="1159"/>
      <c r="Z2435" s="1159"/>
      <c r="AA2435" s="1159"/>
      <c r="AB2435" s="1159"/>
      <c r="AC2435" s="1159"/>
      <c r="AD2435" s="1159"/>
      <c r="AE2435" s="1159"/>
      <c r="AF2435" s="1159"/>
      <c r="AG2435" s="1159"/>
      <c r="AH2435" s="1159"/>
      <c r="AI2435" s="1159"/>
      <c r="AJ2435" s="1159"/>
      <c r="AK2435" s="1159"/>
      <c r="AL2435" s="1160"/>
      <c r="AM2435" s="1155"/>
      <c r="AN2435" s="1156"/>
      <c r="AO2435" s="1156"/>
      <c r="AP2435" s="1156"/>
      <c r="AQ2435" s="1156"/>
      <c r="AR2435" s="1156"/>
      <c r="AS2435" s="1156"/>
      <c r="AT2435" s="1156"/>
      <c r="AU2435" s="1156"/>
      <c r="AV2435" s="1156"/>
      <c r="AW2435" s="1156"/>
      <c r="AX2435" s="1156"/>
      <c r="AY2435" s="1156"/>
      <c r="AZ2435" s="1156"/>
      <c r="BA2435" s="1156"/>
      <c r="BB2435" s="1156"/>
      <c r="BC2435" s="1156"/>
      <c r="BD2435" s="1156"/>
      <c r="BE2435" s="1156"/>
      <c r="BF2435" s="1157"/>
      <c r="BG2435" s="1155"/>
      <c r="BH2435" s="1156"/>
      <c r="BI2435" s="1156"/>
      <c r="BJ2435" s="1156"/>
      <c r="BK2435" s="1156"/>
      <c r="BL2435" s="1156"/>
      <c r="BM2435" s="1156"/>
      <c r="BN2435" s="1156"/>
      <c r="BO2435" s="1156"/>
      <c r="BP2435" s="1156"/>
      <c r="BQ2435" s="1156"/>
      <c r="BR2435" s="1156"/>
      <c r="BS2435" s="1156"/>
      <c r="BT2435" s="1156"/>
      <c r="BU2435" s="1156"/>
      <c r="BV2435" s="1156"/>
      <c r="BW2435" s="1156"/>
      <c r="BX2435" s="1156"/>
      <c r="BY2435" s="1156"/>
      <c r="BZ2435" s="1157"/>
      <c r="CA2435" s="270"/>
      <c r="CB2435" s="3" t="str">
        <f t="shared" si="427"/>
        <v>Riadok bude skrytý.</v>
      </c>
      <c r="CC2435" s="271" t="s">
        <v>832</v>
      </c>
      <c r="CW2435" s="30">
        <f t="shared" si="423"/>
        <v>1</v>
      </c>
      <c r="CX2435" s="30">
        <f t="shared" si="431"/>
        <v>0</v>
      </c>
      <c r="CZ2435" s="30">
        <f t="shared" si="428"/>
        <v>1</v>
      </c>
      <c r="DA2435" s="52">
        <f t="shared" si="432"/>
        <v>0</v>
      </c>
      <c r="DB2435" s="2">
        <f t="shared" si="424"/>
        <v>0</v>
      </c>
      <c r="DS2435" s="130">
        <f>SI!BY2435</f>
        <v>132</v>
      </c>
      <c r="DZ2435" s="131">
        <f>SI!BZ2435</f>
        <v>0</v>
      </c>
    </row>
    <row r="2436" spans="1:130" hidden="1" x14ac:dyDescent="0.25">
      <c r="A2436" s="141"/>
      <c r="B2436" s="1158"/>
      <c r="C2436" s="1159"/>
      <c r="D2436" s="1159"/>
      <c r="E2436" s="1159"/>
      <c r="F2436" s="1159"/>
      <c r="G2436" s="1159"/>
      <c r="H2436" s="1159"/>
      <c r="I2436" s="1159"/>
      <c r="J2436" s="1159"/>
      <c r="K2436" s="1159"/>
      <c r="L2436" s="1159"/>
      <c r="M2436" s="1159"/>
      <c r="N2436" s="1159"/>
      <c r="O2436" s="1159"/>
      <c r="P2436" s="1159"/>
      <c r="Q2436" s="1159"/>
      <c r="R2436" s="1159"/>
      <c r="S2436" s="1159"/>
      <c r="T2436" s="1159"/>
      <c r="U2436" s="1159"/>
      <c r="V2436" s="1159"/>
      <c r="W2436" s="1159"/>
      <c r="X2436" s="1159"/>
      <c r="Y2436" s="1159"/>
      <c r="Z2436" s="1159"/>
      <c r="AA2436" s="1159"/>
      <c r="AB2436" s="1159"/>
      <c r="AC2436" s="1159"/>
      <c r="AD2436" s="1159"/>
      <c r="AE2436" s="1159"/>
      <c r="AF2436" s="1159"/>
      <c r="AG2436" s="1159"/>
      <c r="AH2436" s="1159"/>
      <c r="AI2436" s="1159"/>
      <c r="AJ2436" s="1159"/>
      <c r="AK2436" s="1159"/>
      <c r="AL2436" s="1160"/>
      <c r="AM2436" s="1155"/>
      <c r="AN2436" s="1156"/>
      <c r="AO2436" s="1156"/>
      <c r="AP2436" s="1156"/>
      <c r="AQ2436" s="1156"/>
      <c r="AR2436" s="1156"/>
      <c r="AS2436" s="1156"/>
      <c r="AT2436" s="1156"/>
      <c r="AU2436" s="1156"/>
      <c r="AV2436" s="1156"/>
      <c r="AW2436" s="1156"/>
      <c r="AX2436" s="1156"/>
      <c r="AY2436" s="1156"/>
      <c r="AZ2436" s="1156"/>
      <c r="BA2436" s="1156"/>
      <c r="BB2436" s="1156"/>
      <c r="BC2436" s="1156"/>
      <c r="BD2436" s="1156"/>
      <c r="BE2436" s="1156"/>
      <c r="BF2436" s="1157"/>
      <c r="BG2436" s="1155"/>
      <c r="BH2436" s="1156"/>
      <c r="BI2436" s="1156"/>
      <c r="BJ2436" s="1156"/>
      <c r="BK2436" s="1156"/>
      <c r="BL2436" s="1156"/>
      <c r="BM2436" s="1156"/>
      <c r="BN2436" s="1156"/>
      <c r="BO2436" s="1156"/>
      <c r="BP2436" s="1156"/>
      <c r="BQ2436" s="1156"/>
      <c r="BR2436" s="1156"/>
      <c r="BS2436" s="1156"/>
      <c r="BT2436" s="1156"/>
      <c r="BU2436" s="1156"/>
      <c r="BV2436" s="1156"/>
      <c r="BW2436" s="1156"/>
      <c r="BX2436" s="1156"/>
      <c r="BY2436" s="1156"/>
      <c r="BZ2436" s="1157"/>
      <c r="CA2436" s="270"/>
      <c r="CB2436" s="3" t="str">
        <f t="shared" si="427"/>
        <v>Riadok bude skrytý.</v>
      </c>
      <c r="CC2436" s="271" t="s">
        <v>832</v>
      </c>
      <c r="CW2436" s="30">
        <f t="shared" ref="CW2436:CW2467" si="433">+IF($J$2402="neeviduje",0,1)</f>
        <v>1</v>
      </c>
      <c r="CX2436" s="30">
        <f t="shared" si="431"/>
        <v>0</v>
      </c>
      <c r="CZ2436" s="30">
        <f t="shared" si="428"/>
        <v>1</v>
      </c>
      <c r="DA2436" s="52">
        <f t="shared" si="432"/>
        <v>0</v>
      </c>
      <c r="DB2436" s="2">
        <f t="shared" si="424"/>
        <v>0</v>
      </c>
      <c r="DS2436" s="130">
        <f>SI!BY2436</f>
        <v>124</v>
      </c>
      <c r="DZ2436" s="131">
        <f>SI!BZ2436</f>
        <v>0</v>
      </c>
    </row>
    <row r="2437" spans="1:130" hidden="1" x14ac:dyDescent="0.25">
      <c r="A2437" s="141"/>
      <c r="B2437" s="1158"/>
      <c r="C2437" s="1159"/>
      <c r="D2437" s="1159"/>
      <c r="E2437" s="1159"/>
      <c r="F2437" s="1159"/>
      <c r="G2437" s="1159"/>
      <c r="H2437" s="1159"/>
      <c r="I2437" s="1159"/>
      <c r="J2437" s="1159"/>
      <c r="K2437" s="1159"/>
      <c r="L2437" s="1159"/>
      <c r="M2437" s="1159"/>
      <c r="N2437" s="1159"/>
      <c r="O2437" s="1159"/>
      <c r="P2437" s="1159"/>
      <c r="Q2437" s="1159"/>
      <c r="R2437" s="1159"/>
      <c r="S2437" s="1159"/>
      <c r="T2437" s="1159"/>
      <c r="U2437" s="1159"/>
      <c r="V2437" s="1159"/>
      <c r="W2437" s="1159"/>
      <c r="X2437" s="1159"/>
      <c r="Y2437" s="1159"/>
      <c r="Z2437" s="1159"/>
      <c r="AA2437" s="1159"/>
      <c r="AB2437" s="1159"/>
      <c r="AC2437" s="1159"/>
      <c r="AD2437" s="1159"/>
      <c r="AE2437" s="1159"/>
      <c r="AF2437" s="1159"/>
      <c r="AG2437" s="1159"/>
      <c r="AH2437" s="1159"/>
      <c r="AI2437" s="1159"/>
      <c r="AJ2437" s="1159"/>
      <c r="AK2437" s="1159"/>
      <c r="AL2437" s="1160"/>
      <c r="AM2437" s="1155"/>
      <c r="AN2437" s="1156"/>
      <c r="AO2437" s="1156"/>
      <c r="AP2437" s="1156"/>
      <c r="AQ2437" s="1156"/>
      <c r="AR2437" s="1156"/>
      <c r="AS2437" s="1156"/>
      <c r="AT2437" s="1156"/>
      <c r="AU2437" s="1156"/>
      <c r="AV2437" s="1156"/>
      <c r="AW2437" s="1156"/>
      <c r="AX2437" s="1156"/>
      <c r="AY2437" s="1156"/>
      <c r="AZ2437" s="1156"/>
      <c r="BA2437" s="1156"/>
      <c r="BB2437" s="1156"/>
      <c r="BC2437" s="1156"/>
      <c r="BD2437" s="1156"/>
      <c r="BE2437" s="1156"/>
      <c r="BF2437" s="1157"/>
      <c r="BG2437" s="1155"/>
      <c r="BH2437" s="1156"/>
      <c r="BI2437" s="1156"/>
      <c r="BJ2437" s="1156"/>
      <c r="BK2437" s="1156"/>
      <c r="BL2437" s="1156"/>
      <c r="BM2437" s="1156"/>
      <c r="BN2437" s="1156"/>
      <c r="BO2437" s="1156"/>
      <c r="BP2437" s="1156"/>
      <c r="BQ2437" s="1156"/>
      <c r="BR2437" s="1156"/>
      <c r="BS2437" s="1156"/>
      <c r="BT2437" s="1156"/>
      <c r="BU2437" s="1156"/>
      <c r="BV2437" s="1156"/>
      <c r="BW2437" s="1156"/>
      <c r="BX2437" s="1156"/>
      <c r="BY2437" s="1156"/>
      <c r="BZ2437" s="1157"/>
      <c r="CA2437" s="270"/>
      <c r="CB2437" s="3" t="str">
        <f t="shared" si="427"/>
        <v>Riadok bude skrytý.</v>
      </c>
      <c r="CC2437" s="271" t="s">
        <v>832</v>
      </c>
      <c r="CW2437" s="30">
        <f t="shared" si="433"/>
        <v>1</v>
      </c>
      <c r="CX2437" s="30">
        <f t="shared" si="431"/>
        <v>0</v>
      </c>
      <c r="CZ2437" s="30">
        <f t="shared" si="428"/>
        <v>1</v>
      </c>
      <c r="DA2437" s="52">
        <f t="shared" si="432"/>
        <v>0</v>
      </c>
      <c r="DB2437" s="2">
        <f t="shared" si="424"/>
        <v>0</v>
      </c>
      <c r="DS2437" s="130">
        <f>SI!BY2437</f>
        <v>98</v>
      </c>
      <c r="DZ2437" s="131">
        <f>SI!BZ2437</f>
        <v>0</v>
      </c>
    </row>
    <row r="2438" spans="1:130" hidden="1" x14ac:dyDescent="0.25">
      <c r="A2438" s="141"/>
      <c r="B2438" s="1158"/>
      <c r="C2438" s="1159"/>
      <c r="D2438" s="1159"/>
      <c r="E2438" s="1159"/>
      <c r="F2438" s="1159"/>
      <c r="G2438" s="1159"/>
      <c r="H2438" s="1159"/>
      <c r="I2438" s="1159"/>
      <c r="J2438" s="1159"/>
      <c r="K2438" s="1159"/>
      <c r="L2438" s="1159"/>
      <c r="M2438" s="1159"/>
      <c r="N2438" s="1159"/>
      <c r="O2438" s="1159"/>
      <c r="P2438" s="1159"/>
      <c r="Q2438" s="1159"/>
      <c r="R2438" s="1159"/>
      <c r="S2438" s="1159"/>
      <c r="T2438" s="1159"/>
      <c r="U2438" s="1159"/>
      <c r="V2438" s="1159"/>
      <c r="W2438" s="1159"/>
      <c r="X2438" s="1159"/>
      <c r="Y2438" s="1159"/>
      <c r="Z2438" s="1159"/>
      <c r="AA2438" s="1159"/>
      <c r="AB2438" s="1159"/>
      <c r="AC2438" s="1159"/>
      <c r="AD2438" s="1159"/>
      <c r="AE2438" s="1159"/>
      <c r="AF2438" s="1159"/>
      <c r="AG2438" s="1159"/>
      <c r="AH2438" s="1159"/>
      <c r="AI2438" s="1159"/>
      <c r="AJ2438" s="1159"/>
      <c r="AK2438" s="1159"/>
      <c r="AL2438" s="1160"/>
      <c r="AM2438" s="1155"/>
      <c r="AN2438" s="1156"/>
      <c r="AO2438" s="1156"/>
      <c r="AP2438" s="1156"/>
      <c r="AQ2438" s="1156"/>
      <c r="AR2438" s="1156"/>
      <c r="AS2438" s="1156"/>
      <c r="AT2438" s="1156"/>
      <c r="AU2438" s="1156"/>
      <c r="AV2438" s="1156"/>
      <c r="AW2438" s="1156"/>
      <c r="AX2438" s="1156"/>
      <c r="AY2438" s="1156"/>
      <c r="AZ2438" s="1156"/>
      <c r="BA2438" s="1156"/>
      <c r="BB2438" s="1156"/>
      <c r="BC2438" s="1156"/>
      <c r="BD2438" s="1156"/>
      <c r="BE2438" s="1156"/>
      <c r="BF2438" s="1157"/>
      <c r="BG2438" s="1155"/>
      <c r="BH2438" s="1156"/>
      <c r="BI2438" s="1156"/>
      <c r="BJ2438" s="1156"/>
      <c r="BK2438" s="1156"/>
      <c r="BL2438" s="1156"/>
      <c r="BM2438" s="1156"/>
      <c r="BN2438" s="1156"/>
      <c r="BO2438" s="1156"/>
      <c r="BP2438" s="1156"/>
      <c r="BQ2438" s="1156"/>
      <c r="BR2438" s="1156"/>
      <c r="BS2438" s="1156"/>
      <c r="BT2438" s="1156"/>
      <c r="BU2438" s="1156"/>
      <c r="BV2438" s="1156"/>
      <c r="BW2438" s="1156"/>
      <c r="BX2438" s="1156"/>
      <c r="BY2438" s="1156"/>
      <c r="BZ2438" s="1157"/>
      <c r="CA2438" s="270"/>
      <c r="CB2438" s="3" t="str">
        <f t="shared" si="427"/>
        <v>Riadok bude skrytý.</v>
      </c>
      <c r="CC2438" s="271" t="s">
        <v>832</v>
      </c>
      <c r="CW2438" s="30">
        <f t="shared" si="433"/>
        <v>1</v>
      </c>
      <c r="CX2438" s="30">
        <f t="shared" si="431"/>
        <v>0</v>
      </c>
      <c r="CZ2438" s="30">
        <f t="shared" si="428"/>
        <v>1</v>
      </c>
      <c r="DA2438" s="52">
        <f t="shared" si="432"/>
        <v>0</v>
      </c>
      <c r="DB2438" s="2">
        <f t="shared" si="424"/>
        <v>0</v>
      </c>
      <c r="DS2438" s="130">
        <f>SI!BY2438</f>
        <v>108</v>
      </c>
      <c r="DZ2438" s="131">
        <f>SI!BZ2438</f>
        <v>0</v>
      </c>
    </row>
    <row r="2439" spans="1:130" hidden="1" x14ac:dyDescent="0.25">
      <c r="A2439" s="141"/>
      <c r="B2439" s="1158"/>
      <c r="C2439" s="1159"/>
      <c r="D2439" s="1159"/>
      <c r="E2439" s="1159"/>
      <c r="F2439" s="1159"/>
      <c r="G2439" s="1159"/>
      <c r="H2439" s="1159"/>
      <c r="I2439" s="1159"/>
      <c r="J2439" s="1159"/>
      <c r="K2439" s="1159"/>
      <c r="L2439" s="1159"/>
      <c r="M2439" s="1159"/>
      <c r="N2439" s="1159"/>
      <c r="O2439" s="1159"/>
      <c r="P2439" s="1159"/>
      <c r="Q2439" s="1159"/>
      <c r="R2439" s="1159"/>
      <c r="S2439" s="1159"/>
      <c r="T2439" s="1159"/>
      <c r="U2439" s="1159"/>
      <c r="V2439" s="1159"/>
      <c r="W2439" s="1159"/>
      <c r="X2439" s="1159"/>
      <c r="Y2439" s="1159"/>
      <c r="Z2439" s="1159"/>
      <c r="AA2439" s="1159"/>
      <c r="AB2439" s="1159"/>
      <c r="AC2439" s="1159"/>
      <c r="AD2439" s="1159"/>
      <c r="AE2439" s="1159"/>
      <c r="AF2439" s="1159"/>
      <c r="AG2439" s="1159"/>
      <c r="AH2439" s="1159"/>
      <c r="AI2439" s="1159"/>
      <c r="AJ2439" s="1159"/>
      <c r="AK2439" s="1159"/>
      <c r="AL2439" s="1160"/>
      <c r="AM2439" s="1155"/>
      <c r="AN2439" s="1156"/>
      <c r="AO2439" s="1156"/>
      <c r="AP2439" s="1156"/>
      <c r="AQ2439" s="1156"/>
      <c r="AR2439" s="1156"/>
      <c r="AS2439" s="1156"/>
      <c r="AT2439" s="1156"/>
      <c r="AU2439" s="1156"/>
      <c r="AV2439" s="1156"/>
      <c r="AW2439" s="1156"/>
      <c r="AX2439" s="1156"/>
      <c r="AY2439" s="1156"/>
      <c r="AZ2439" s="1156"/>
      <c r="BA2439" s="1156"/>
      <c r="BB2439" s="1156"/>
      <c r="BC2439" s="1156"/>
      <c r="BD2439" s="1156"/>
      <c r="BE2439" s="1156"/>
      <c r="BF2439" s="1157"/>
      <c r="BG2439" s="1155"/>
      <c r="BH2439" s="1156"/>
      <c r="BI2439" s="1156"/>
      <c r="BJ2439" s="1156"/>
      <c r="BK2439" s="1156"/>
      <c r="BL2439" s="1156"/>
      <c r="BM2439" s="1156"/>
      <c r="BN2439" s="1156"/>
      <c r="BO2439" s="1156"/>
      <c r="BP2439" s="1156"/>
      <c r="BQ2439" s="1156"/>
      <c r="BR2439" s="1156"/>
      <c r="BS2439" s="1156"/>
      <c r="BT2439" s="1156"/>
      <c r="BU2439" s="1156"/>
      <c r="BV2439" s="1156"/>
      <c r="BW2439" s="1156"/>
      <c r="BX2439" s="1156"/>
      <c r="BY2439" s="1156"/>
      <c r="BZ2439" s="1157"/>
      <c r="CA2439" s="270"/>
      <c r="CB2439" s="3" t="str">
        <f t="shared" si="427"/>
        <v>Riadok bude skrytý.</v>
      </c>
      <c r="CC2439" s="271" t="s">
        <v>832</v>
      </c>
      <c r="CW2439" s="30">
        <f t="shared" si="433"/>
        <v>1</v>
      </c>
      <c r="CX2439" s="30">
        <f t="shared" si="431"/>
        <v>0</v>
      </c>
      <c r="CZ2439" s="30">
        <f t="shared" si="428"/>
        <v>1</v>
      </c>
      <c r="DA2439" s="52">
        <f t="shared" si="432"/>
        <v>0</v>
      </c>
      <c r="DB2439" s="2">
        <f t="shared" si="424"/>
        <v>0</v>
      </c>
      <c r="DS2439" s="130">
        <f>SI!BY2439</f>
        <v>116</v>
      </c>
      <c r="DZ2439" s="131">
        <f>SI!BZ2439</f>
        <v>0</v>
      </c>
    </row>
    <row r="2440" spans="1:130" hidden="1" x14ac:dyDescent="0.25">
      <c r="A2440" s="141"/>
      <c r="B2440" s="1158"/>
      <c r="C2440" s="1159"/>
      <c r="D2440" s="1159"/>
      <c r="E2440" s="1159"/>
      <c r="F2440" s="1159"/>
      <c r="G2440" s="1159"/>
      <c r="H2440" s="1159"/>
      <c r="I2440" s="1159"/>
      <c r="J2440" s="1159"/>
      <c r="K2440" s="1159"/>
      <c r="L2440" s="1159"/>
      <c r="M2440" s="1159"/>
      <c r="N2440" s="1159"/>
      <c r="O2440" s="1159"/>
      <c r="P2440" s="1159"/>
      <c r="Q2440" s="1159"/>
      <c r="R2440" s="1159"/>
      <c r="S2440" s="1159"/>
      <c r="T2440" s="1159"/>
      <c r="U2440" s="1159"/>
      <c r="V2440" s="1159"/>
      <c r="W2440" s="1159"/>
      <c r="X2440" s="1159"/>
      <c r="Y2440" s="1159"/>
      <c r="Z2440" s="1159"/>
      <c r="AA2440" s="1159"/>
      <c r="AB2440" s="1159"/>
      <c r="AC2440" s="1159"/>
      <c r="AD2440" s="1159"/>
      <c r="AE2440" s="1159"/>
      <c r="AF2440" s="1159"/>
      <c r="AG2440" s="1159"/>
      <c r="AH2440" s="1159"/>
      <c r="AI2440" s="1159"/>
      <c r="AJ2440" s="1159"/>
      <c r="AK2440" s="1159"/>
      <c r="AL2440" s="1160"/>
      <c r="AM2440" s="1155"/>
      <c r="AN2440" s="1156"/>
      <c r="AO2440" s="1156"/>
      <c r="AP2440" s="1156"/>
      <c r="AQ2440" s="1156"/>
      <c r="AR2440" s="1156"/>
      <c r="AS2440" s="1156"/>
      <c r="AT2440" s="1156"/>
      <c r="AU2440" s="1156"/>
      <c r="AV2440" s="1156"/>
      <c r="AW2440" s="1156"/>
      <c r="AX2440" s="1156"/>
      <c r="AY2440" s="1156"/>
      <c r="AZ2440" s="1156"/>
      <c r="BA2440" s="1156"/>
      <c r="BB2440" s="1156"/>
      <c r="BC2440" s="1156"/>
      <c r="BD2440" s="1156"/>
      <c r="BE2440" s="1156"/>
      <c r="BF2440" s="1157"/>
      <c r="BG2440" s="1155"/>
      <c r="BH2440" s="1156"/>
      <c r="BI2440" s="1156"/>
      <c r="BJ2440" s="1156"/>
      <c r="BK2440" s="1156"/>
      <c r="BL2440" s="1156"/>
      <c r="BM2440" s="1156"/>
      <c r="BN2440" s="1156"/>
      <c r="BO2440" s="1156"/>
      <c r="BP2440" s="1156"/>
      <c r="BQ2440" s="1156"/>
      <c r="BR2440" s="1156"/>
      <c r="BS2440" s="1156"/>
      <c r="BT2440" s="1156"/>
      <c r="BU2440" s="1156"/>
      <c r="BV2440" s="1156"/>
      <c r="BW2440" s="1156"/>
      <c r="BX2440" s="1156"/>
      <c r="BY2440" s="1156"/>
      <c r="BZ2440" s="1157"/>
      <c r="CA2440" s="270"/>
      <c r="CB2440" s="3" t="str">
        <f t="shared" si="427"/>
        <v>Riadok bude skrytý.</v>
      </c>
      <c r="CC2440" s="271" t="s">
        <v>832</v>
      </c>
      <c r="CW2440" s="30">
        <f t="shared" si="433"/>
        <v>1</v>
      </c>
      <c r="CX2440" s="30">
        <f t="shared" si="431"/>
        <v>0</v>
      </c>
      <c r="CZ2440" s="30">
        <f t="shared" si="428"/>
        <v>1</v>
      </c>
      <c r="DA2440" s="52">
        <f t="shared" si="432"/>
        <v>0</v>
      </c>
      <c r="DB2440" s="2">
        <f t="shared" si="424"/>
        <v>0</v>
      </c>
      <c r="DS2440" s="130">
        <f>SI!BY2440</f>
        <v>338</v>
      </c>
      <c r="DZ2440" s="131">
        <f>SI!BZ2440</f>
        <v>0</v>
      </c>
    </row>
    <row r="2441" spans="1:130" hidden="1" x14ac:dyDescent="0.25">
      <c r="A2441" s="141"/>
      <c r="B2441" s="1158" t="s">
        <v>701</v>
      </c>
      <c r="C2441" s="1159"/>
      <c r="D2441" s="1159"/>
      <c r="E2441" s="1159"/>
      <c r="F2441" s="1159"/>
      <c r="G2441" s="1159"/>
      <c r="H2441" s="1159"/>
      <c r="I2441" s="1159"/>
      <c r="J2441" s="1159"/>
      <c r="K2441" s="1159"/>
      <c r="L2441" s="1159"/>
      <c r="M2441" s="1159"/>
      <c r="N2441" s="1159"/>
      <c r="O2441" s="1159"/>
      <c r="P2441" s="1159"/>
      <c r="Q2441" s="1159"/>
      <c r="R2441" s="1159"/>
      <c r="S2441" s="1159"/>
      <c r="T2441" s="1159"/>
      <c r="U2441" s="1159"/>
      <c r="V2441" s="1159"/>
      <c r="W2441" s="1159"/>
      <c r="X2441" s="1159"/>
      <c r="Y2441" s="1159"/>
      <c r="Z2441" s="1159"/>
      <c r="AA2441" s="1159"/>
      <c r="AB2441" s="1159"/>
      <c r="AC2441" s="1159"/>
      <c r="AD2441" s="1159"/>
      <c r="AE2441" s="1159"/>
      <c r="AF2441" s="1159"/>
      <c r="AG2441" s="1159"/>
      <c r="AH2441" s="1159"/>
      <c r="AI2441" s="1159"/>
      <c r="AJ2441" s="1159"/>
      <c r="AK2441" s="1159"/>
      <c r="AL2441" s="1160"/>
      <c r="AM2441" s="1155"/>
      <c r="AN2441" s="1156"/>
      <c r="AO2441" s="1156"/>
      <c r="AP2441" s="1156"/>
      <c r="AQ2441" s="1156"/>
      <c r="AR2441" s="1156"/>
      <c r="AS2441" s="1156"/>
      <c r="AT2441" s="1156"/>
      <c r="AU2441" s="1156"/>
      <c r="AV2441" s="1156"/>
      <c r="AW2441" s="1156"/>
      <c r="AX2441" s="1156"/>
      <c r="AY2441" s="1156"/>
      <c r="AZ2441" s="1156"/>
      <c r="BA2441" s="1156"/>
      <c r="BB2441" s="1156"/>
      <c r="BC2441" s="1156"/>
      <c r="BD2441" s="1156"/>
      <c r="BE2441" s="1156"/>
      <c r="BF2441" s="1157"/>
      <c r="BG2441" s="1155"/>
      <c r="BH2441" s="1156"/>
      <c r="BI2441" s="1156"/>
      <c r="BJ2441" s="1156"/>
      <c r="BK2441" s="1156"/>
      <c r="BL2441" s="1156"/>
      <c r="BM2441" s="1156"/>
      <c r="BN2441" s="1156"/>
      <c r="BO2441" s="1156"/>
      <c r="BP2441" s="1156"/>
      <c r="BQ2441" s="1156"/>
      <c r="BR2441" s="1156"/>
      <c r="BS2441" s="1156"/>
      <c r="BT2441" s="1156"/>
      <c r="BU2441" s="1156"/>
      <c r="BV2441" s="1156"/>
      <c r="BW2441" s="1156"/>
      <c r="BX2441" s="1156"/>
      <c r="BY2441" s="1156"/>
      <c r="BZ2441" s="1157"/>
      <c r="CA2441" s="142"/>
      <c r="CB2441" s="3" t="str">
        <f t="shared" si="427"/>
        <v>Riadok bude skrytý.</v>
      </c>
      <c r="CC2441" s="271" t="s">
        <v>832</v>
      </c>
      <c r="CW2441" s="30">
        <f t="shared" si="433"/>
        <v>1</v>
      </c>
      <c r="CZ2441" s="30">
        <f t="shared" si="428"/>
        <v>1</v>
      </c>
      <c r="DA2441" s="30">
        <f>+IF(CW2441+CX2441+CY2441=0,0,IF(CZ2441=0,0,1))</f>
        <v>1</v>
      </c>
      <c r="DB2441" s="2">
        <f t="shared" si="424"/>
        <v>0</v>
      </c>
      <c r="DS2441" s="130">
        <f>SI!BY2441</f>
        <v>162</v>
      </c>
      <c r="DZ2441" s="131">
        <f>SI!BZ2441</f>
        <v>0</v>
      </c>
    </row>
    <row r="2442" spans="1:130" hidden="1" x14ac:dyDescent="0.25">
      <c r="A2442" s="141"/>
      <c r="B2442" s="401" t="s">
        <v>309</v>
      </c>
      <c r="C2442" s="402"/>
      <c r="D2442" s="402"/>
      <c r="E2442" s="402"/>
      <c r="F2442" s="402"/>
      <c r="G2442" s="402"/>
      <c r="H2442" s="402"/>
      <c r="I2442" s="402"/>
      <c r="J2442" s="402"/>
      <c r="K2442" s="402"/>
      <c r="L2442" s="402"/>
      <c r="M2442" s="402"/>
      <c r="N2442" s="402"/>
      <c r="O2442" s="402"/>
      <c r="P2442" s="402"/>
      <c r="Q2442" s="402"/>
      <c r="R2442" s="402"/>
      <c r="S2442" s="402"/>
      <c r="T2442" s="402"/>
      <c r="U2442" s="402"/>
      <c r="V2442" s="402"/>
      <c r="W2442" s="402"/>
      <c r="X2442" s="402"/>
      <c r="Y2442" s="402"/>
      <c r="Z2442" s="402"/>
      <c r="AA2442" s="402"/>
      <c r="AB2442" s="402"/>
      <c r="AC2442" s="402"/>
      <c r="AD2442" s="402"/>
      <c r="AE2442" s="402"/>
      <c r="AF2442" s="402"/>
      <c r="AG2442" s="402"/>
      <c r="AH2442" s="402"/>
      <c r="AI2442" s="402"/>
      <c r="AJ2442" s="402"/>
      <c r="AK2442" s="402"/>
      <c r="AL2442" s="776"/>
      <c r="AM2442" s="1152">
        <f>+SUM(AM2443:BF2452)</f>
        <v>0</v>
      </c>
      <c r="AN2442" s="1153"/>
      <c r="AO2442" s="1153"/>
      <c r="AP2442" s="1153"/>
      <c r="AQ2442" s="1153"/>
      <c r="AR2442" s="1153"/>
      <c r="AS2442" s="1153"/>
      <c r="AT2442" s="1153"/>
      <c r="AU2442" s="1153"/>
      <c r="AV2442" s="1153"/>
      <c r="AW2442" s="1153"/>
      <c r="AX2442" s="1153"/>
      <c r="AY2442" s="1153"/>
      <c r="AZ2442" s="1153"/>
      <c r="BA2442" s="1153"/>
      <c r="BB2442" s="1153"/>
      <c r="BC2442" s="1153"/>
      <c r="BD2442" s="1153"/>
      <c r="BE2442" s="1153"/>
      <c r="BF2442" s="1153"/>
      <c r="BG2442" s="1152">
        <f>+SUM(BG2443:BZ2452)</f>
        <v>0</v>
      </c>
      <c r="BH2442" s="1153"/>
      <c r="BI2442" s="1153"/>
      <c r="BJ2442" s="1153"/>
      <c r="BK2442" s="1153"/>
      <c r="BL2442" s="1153"/>
      <c r="BM2442" s="1153"/>
      <c r="BN2442" s="1153"/>
      <c r="BO2442" s="1153"/>
      <c r="BP2442" s="1153"/>
      <c r="BQ2442" s="1153"/>
      <c r="BR2442" s="1153"/>
      <c r="BS2442" s="1153"/>
      <c r="BT2442" s="1153"/>
      <c r="BU2442" s="1153"/>
      <c r="BV2442" s="1153"/>
      <c r="BW2442" s="1153"/>
      <c r="BX2442" s="1153"/>
      <c r="BY2442" s="1153"/>
      <c r="BZ2442" s="1154"/>
      <c r="CA2442" s="142"/>
      <c r="CB2442" s="3" t="str">
        <f t="shared" si="427"/>
        <v>Riadok bude skrytý.</v>
      </c>
      <c r="CC2442" s="271" t="s">
        <v>832</v>
      </c>
      <c r="CD2442" s="4" t="s">
        <v>757</v>
      </c>
      <c r="CW2442" s="30">
        <f t="shared" si="433"/>
        <v>1</v>
      </c>
      <c r="CX2442" s="35"/>
      <c r="CZ2442" s="30">
        <f t="shared" si="428"/>
        <v>1</v>
      </c>
      <c r="DA2442" s="30">
        <f>+IF(CW2442+CX2442+CY2442=0,0,IF(CZ2442=0,0,1))</f>
        <v>1</v>
      </c>
      <c r="DB2442" s="2">
        <f t="shared" si="424"/>
        <v>0</v>
      </c>
      <c r="DS2442" s="130">
        <f>SI!BY2442</f>
        <v>1045</v>
      </c>
      <c r="DZ2442" s="131">
        <f>SI!BZ2442</f>
        <v>0</v>
      </c>
    </row>
    <row r="2443" spans="1:130" hidden="1" x14ac:dyDescent="0.25">
      <c r="A2443" s="141"/>
      <c r="B2443" s="1149"/>
      <c r="C2443" s="1150"/>
      <c r="D2443" s="1150"/>
      <c r="E2443" s="1150"/>
      <c r="F2443" s="1150"/>
      <c r="G2443" s="1150"/>
      <c r="H2443" s="1150"/>
      <c r="I2443" s="1150"/>
      <c r="J2443" s="1150"/>
      <c r="K2443" s="1150"/>
      <c r="L2443" s="1150"/>
      <c r="M2443" s="1150"/>
      <c r="N2443" s="1150"/>
      <c r="O2443" s="1150"/>
      <c r="P2443" s="1150"/>
      <c r="Q2443" s="1150"/>
      <c r="R2443" s="1150"/>
      <c r="S2443" s="1150"/>
      <c r="T2443" s="1150"/>
      <c r="U2443" s="1150"/>
      <c r="V2443" s="1150"/>
      <c r="W2443" s="1150"/>
      <c r="X2443" s="1150"/>
      <c r="Y2443" s="1150"/>
      <c r="Z2443" s="1150"/>
      <c r="AA2443" s="1150"/>
      <c r="AB2443" s="1150"/>
      <c r="AC2443" s="1150"/>
      <c r="AD2443" s="1150"/>
      <c r="AE2443" s="1150"/>
      <c r="AF2443" s="1150"/>
      <c r="AG2443" s="1150"/>
      <c r="AH2443" s="1150"/>
      <c r="AI2443" s="1150"/>
      <c r="AJ2443" s="1150"/>
      <c r="AK2443" s="1150"/>
      <c r="AL2443" s="1151"/>
      <c r="AM2443" s="1161"/>
      <c r="AN2443" s="1162"/>
      <c r="AO2443" s="1162"/>
      <c r="AP2443" s="1162"/>
      <c r="AQ2443" s="1162"/>
      <c r="AR2443" s="1162"/>
      <c r="AS2443" s="1162"/>
      <c r="AT2443" s="1162"/>
      <c r="AU2443" s="1162"/>
      <c r="AV2443" s="1162"/>
      <c r="AW2443" s="1162"/>
      <c r="AX2443" s="1162"/>
      <c r="AY2443" s="1162"/>
      <c r="AZ2443" s="1162"/>
      <c r="BA2443" s="1162"/>
      <c r="BB2443" s="1162"/>
      <c r="BC2443" s="1162"/>
      <c r="BD2443" s="1162"/>
      <c r="BE2443" s="1162"/>
      <c r="BF2443" s="1163"/>
      <c r="BG2443" s="1161"/>
      <c r="BH2443" s="1162"/>
      <c r="BI2443" s="1162"/>
      <c r="BJ2443" s="1162"/>
      <c r="BK2443" s="1162"/>
      <c r="BL2443" s="1162"/>
      <c r="BM2443" s="1162"/>
      <c r="BN2443" s="1162"/>
      <c r="BO2443" s="1162"/>
      <c r="BP2443" s="1162"/>
      <c r="BQ2443" s="1162"/>
      <c r="BR2443" s="1162"/>
      <c r="BS2443" s="1162"/>
      <c r="BT2443" s="1162"/>
      <c r="BU2443" s="1162"/>
      <c r="BV2443" s="1162"/>
      <c r="BW2443" s="1162"/>
      <c r="BX2443" s="1162"/>
      <c r="BY2443" s="1162"/>
      <c r="BZ2443" s="1163"/>
      <c r="CA2443" s="142"/>
      <c r="CB2443" s="3" t="str">
        <f t="shared" si="427"/>
        <v>Riadok bude skrytý.</v>
      </c>
      <c r="CC2443" s="271" t="s">
        <v>832</v>
      </c>
      <c r="CW2443" s="30">
        <f t="shared" si="433"/>
        <v>1</v>
      </c>
      <c r="CX2443" s="40"/>
      <c r="CZ2443" s="30">
        <f t="shared" si="428"/>
        <v>1</v>
      </c>
      <c r="DA2443" s="30">
        <f>+IF(CW2443+CX2443+CY2443=0,0,IF(CZ2443=0,0,1))</f>
        <v>1</v>
      </c>
      <c r="DB2443" s="2">
        <f t="shared" si="424"/>
        <v>0</v>
      </c>
      <c r="DS2443" s="130">
        <f>SI!BY2443</f>
        <v>190</v>
      </c>
      <c r="DZ2443" s="131">
        <f>SI!BZ2443</f>
        <v>0</v>
      </c>
    </row>
    <row r="2444" spans="1:130" hidden="1" x14ac:dyDescent="0.25">
      <c r="A2444" s="141"/>
      <c r="B2444" s="1158"/>
      <c r="C2444" s="1159"/>
      <c r="D2444" s="1159"/>
      <c r="E2444" s="1159"/>
      <c r="F2444" s="1159"/>
      <c r="G2444" s="1159"/>
      <c r="H2444" s="1159"/>
      <c r="I2444" s="1159"/>
      <c r="J2444" s="1159"/>
      <c r="K2444" s="1159"/>
      <c r="L2444" s="1159"/>
      <c r="M2444" s="1159"/>
      <c r="N2444" s="1159"/>
      <c r="O2444" s="1159"/>
      <c r="P2444" s="1159"/>
      <c r="Q2444" s="1159"/>
      <c r="R2444" s="1159"/>
      <c r="S2444" s="1159"/>
      <c r="T2444" s="1159"/>
      <c r="U2444" s="1159"/>
      <c r="V2444" s="1159"/>
      <c r="W2444" s="1159"/>
      <c r="X2444" s="1159"/>
      <c r="Y2444" s="1159"/>
      <c r="Z2444" s="1159"/>
      <c r="AA2444" s="1159"/>
      <c r="AB2444" s="1159"/>
      <c r="AC2444" s="1159"/>
      <c r="AD2444" s="1159"/>
      <c r="AE2444" s="1159"/>
      <c r="AF2444" s="1159"/>
      <c r="AG2444" s="1159"/>
      <c r="AH2444" s="1159"/>
      <c r="AI2444" s="1159"/>
      <c r="AJ2444" s="1159"/>
      <c r="AK2444" s="1159"/>
      <c r="AL2444" s="1160"/>
      <c r="AM2444" s="1155"/>
      <c r="AN2444" s="1156"/>
      <c r="AO2444" s="1156"/>
      <c r="AP2444" s="1156"/>
      <c r="AQ2444" s="1156"/>
      <c r="AR2444" s="1156"/>
      <c r="AS2444" s="1156"/>
      <c r="AT2444" s="1156"/>
      <c r="AU2444" s="1156"/>
      <c r="AV2444" s="1156"/>
      <c r="AW2444" s="1156"/>
      <c r="AX2444" s="1156"/>
      <c r="AY2444" s="1156"/>
      <c r="AZ2444" s="1156"/>
      <c r="BA2444" s="1156"/>
      <c r="BB2444" s="1156"/>
      <c r="BC2444" s="1156"/>
      <c r="BD2444" s="1156"/>
      <c r="BE2444" s="1156"/>
      <c r="BF2444" s="1157"/>
      <c r="BG2444" s="1155"/>
      <c r="BH2444" s="1156"/>
      <c r="BI2444" s="1156"/>
      <c r="BJ2444" s="1156"/>
      <c r="BK2444" s="1156"/>
      <c r="BL2444" s="1156"/>
      <c r="BM2444" s="1156"/>
      <c r="BN2444" s="1156"/>
      <c r="BO2444" s="1156"/>
      <c r="BP2444" s="1156"/>
      <c r="BQ2444" s="1156"/>
      <c r="BR2444" s="1156"/>
      <c r="BS2444" s="1156"/>
      <c r="BT2444" s="1156"/>
      <c r="BU2444" s="1156"/>
      <c r="BV2444" s="1156"/>
      <c r="BW2444" s="1156"/>
      <c r="BX2444" s="1156"/>
      <c r="BY2444" s="1156"/>
      <c r="BZ2444" s="1157"/>
      <c r="CA2444" s="270"/>
      <c r="CB2444" s="3" t="str">
        <f t="shared" si="427"/>
        <v>Riadok bude skrytý.</v>
      </c>
      <c r="CC2444" s="271" t="s">
        <v>832</v>
      </c>
      <c r="CW2444" s="30">
        <f t="shared" si="433"/>
        <v>1</v>
      </c>
      <c r="CX2444" s="30">
        <f t="shared" ref="CX2444:CX2451" si="434">+IF(B2444="",0,1)</f>
        <v>0</v>
      </c>
      <c r="CZ2444" s="30">
        <f t="shared" si="428"/>
        <v>1</v>
      </c>
      <c r="DA2444" s="52">
        <f t="shared" ref="DA2444:DA2451" si="435">+IF(CW2444*CX2444=0,0,IF(CZ2444=0,0,1))</f>
        <v>0</v>
      </c>
      <c r="DB2444" s="2">
        <f t="shared" si="424"/>
        <v>0</v>
      </c>
      <c r="DS2444" s="130">
        <f>SI!BY2444</f>
        <v>523</v>
      </c>
      <c r="DZ2444" s="131">
        <f>SI!BZ2444</f>
        <v>0</v>
      </c>
    </row>
    <row r="2445" spans="1:130" hidden="1" x14ac:dyDescent="0.25">
      <c r="A2445" s="141"/>
      <c r="B2445" s="1158"/>
      <c r="C2445" s="1159"/>
      <c r="D2445" s="1159"/>
      <c r="E2445" s="1159"/>
      <c r="F2445" s="1159"/>
      <c r="G2445" s="1159"/>
      <c r="H2445" s="1159"/>
      <c r="I2445" s="1159"/>
      <c r="J2445" s="1159"/>
      <c r="K2445" s="1159"/>
      <c r="L2445" s="1159"/>
      <c r="M2445" s="1159"/>
      <c r="N2445" s="1159"/>
      <c r="O2445" s="1159"/>
      <c r="P2445" s="1159"/>
      <c r="Q2445" s="1159"/>
      <c r="R2445" s="1159"/>
      <c r="S2445" s="1159"/>
      <c r="T2445" s="1159"/>
      <c r="U2445" s="1159"/>
      <c r="V2445" s="1159"/>
      <c r="W2445" s="1159"/>
      <c r="X2445" s="1159"/>
      <c r="Y2445" s="1159"/>
      <c r="Z2445" s="1159"/>
      <c r="AA2445" s="1159"/>
      <c r="AB2445" s="1159"/>
      <c r="AC2445" s="1159"/>
      <c r="AD2445" s="1159"/>
      <c r="AE2445" s="1159"/>
      <c r="AF2445" s="1159"/>
      <c r="AG2445" s="1159"/>
      <c r="AH2445" s="1159"/>
      <c r="AI2445" s="1159"/>
      <c r="AJ2445" s="1159"/>
      <c r="AK2445" s="1159"/>
      <c r="AL2445" s="1160"/>
      <c r="AM2445" s="1155"/>
      <c r="AN2445" s="1156"/>
      <c r="AO2445" s="1156"/>
      <c r="AP2445" s="1156"/>
      <c r="AQ2445" s="1156"/>
      <c r="AR2445" s="1156"/>
      <c r="AS2445" s="1156"/>
      <c r="AT2445" s="1156"/>
      <c r="AU2445" s="1156"/>
      <c r="AV2445" s="1156"/>
      <c r="AW2445" s="1156"/>
      <c r="AX2445" s="1156"/>
      <c r="AY2445" s="1156"/>
      <c r="AZ2445" s="1156"/>
      <c r="BA2445" s="1156"/>
      <c r="BB2445" s="1156"/>
      <c r="BC2445" s="1156"/>
      <c r="BD2445" s="1156"/>
      <c r="BE2445" s="1156"/>
      <c r="BF2445" s="1157"/>
      <c r="BG2445" s="1155"/>
      <c r="BH2445" s="1156"/>
      <c r="BI2445" s="1156"/>
      <c r="BJ2445" s="1156"/>
      <c r="BK2445" s="1156"/>
      <c r="BL2445" s="1156"/>
      <c r="BM2445" s="1156"/>
      <c r="BN2445" s="1156"/>
      <c r="BO2445" s="1156"/>
      <c r="BP2445" s="1156"/>
      <c r="BQ2445" s="1156"/>
      <c r="BR2445" s="1156"/>
      <c r="BS2445" s="1156"/>
      <c r="BT2445" s="1156"/>
      <c r="BU2445" s="1156"/>
      <c r="BV2445" s="1156"/>
      <c r="BW2445" s="1156"/>
      <c r="BX2445" s="1156"/>
      <c r="BY2445" s="1156"/>
      <c r="BZ2445" s="1157"/>
      <c r="CA2445" s="270"/>
      <c r="CB2445" s="3" t="str">
        <f t="shared" si="427"/>
        <v>Riadok bude skrytý.</v>
      </c>
      <c r="CC2445" s="271" t="s">
        <v>832</v>
      </c>
      <c r="CW2445" s="30">
        <f t="shared" si="433"/>
        <v>1</v>
      </c>
      <c r="CX2445" s="30">
        <f t="shared" si="434"/>
        <v>0</v>
      </c>
      <c r="CZ2445" s="30">
        <f t="shared" si="428"/>
        <v>1</v>
      </c>
      <c r="DA2445" s="52">
        <f t="shared" si="435"/>
        <v>0</v>
      </c>
      <c r="DB2445" s="2">
        <f t="shared" si="424"/>
        <v>0</v>
      </c>
      <c r="DS2445" s="130">
        <f>SI!BY2445</f>
        <v>123</v>
      </c>
      <c r="DZ2445" s="131">
        <f>SI!BZ2445</f>
        <v>0</v>
      </c>
    </row>
    <row r="2446" spans="1:130" hidden="1" x14ac:dyDescent="0.25">
      <c r="A2446" s="141"/>
      <c r="B2446" s="1158"/>
      <c r="C2446" s="1159"/>
      <c r="D2446" s="1159"/>
      <c r="E2446" s="1159"/>
      <c r="F2446" s="1159"/>
      <c r="G2446" s="1159"/>
      <c r="H2446" s="1159"/>
      <c r="I2446" s="1159"/>
      <c r="J2446" s="1159"/>
      <c r="K2446" s="1159"/>
      <c r="L2446" s="1159"/>
      <c r="M2446" s="1159"/>
      <c r="N2446" s="1159"/>
      <c r="O2446" s="1159"/>
      <c r="P2446" s="1159"/>
      <c r="Q2446" s="1159"/>
      <c r="R2446" s="1159"/>
      <c r="S2446" s="1159"/>
      <c r="T2446" s="1159"/>
      <c r="U2446" s="1159"/>
      <c r="V2446" s="1159"/>
      <c r="W2446" s="1159"/>
      <c r="X2446" s="1159"/>
      <c r="Y2446" s="1159"/>
      <c r="Z2446" s="1159"/>
      <c r="AA2446" s="1159"/>
      <c r="AB2446" s="1159"/>
      <c r="AC2446" s="1159"/>
      <c r="AD2446" s="1159"/>
      <c r="AE2446" s="1159"/>
      <c r="AF2446" s="1159"/>
      <c r="AG2446" s="1159"/>
      <c r="AH2446" s="1159"/>
      <c r="AI2446" s="1159"/>
      <c r="AJ2446" s="1159"/>
      <c r="AK2446" s="1159"/>
      <c r="AL2446" s="1160"/>
      <c r="AM2446" s="1155"/>
      <c r="AN2446" s="1156"/>
      <c r="AO2446" s="1156"/>
      <c r="AP2446" s="1156"/>
      <c r="AQ2446" s="1156"/>
      <c r="AR2446" s="1156"/>
      <c r="AS2446" s="1156"/>
      <c r="AT2446" s="1156"/>
      <c r="AU2446" s="1156"/>
      <c r="AV2446" s="1156"/>
      <c r="AW2446" s="1156"/>
      <c r="AX2446" s="1156"/>
      <c r="AY2446" s="1156"/>
      <c r="AZ2446" s="1156"/>
      <c r="BA2446" s="1156"/>
      <c r="BB2446" s="1156"/>
      <c r="BC2446" s="1156"/>
      <c r="BD2446" s="1156"/>
      <c r="BE2446" s="1156"/>
      <c r="BF2446" s="1157"/>
      <c r="BG2446" s="1155"/>
      <c r="BH2446" s="1156"/>
      <c r="BI2446" s="1156"/>
      <c r="BJ2446" s="1156"/>
      <c r="BK2446" s="1156"/>
      <c r="BL2446" s="1156"/>
      <c r="BM2446" s="1156"/>
      <c r="BN2446" s="1156"/>
      <c r="BO2446" s="1156"/>
      <c r="BP2446" s="1156"/>
      <c r="BQ2446" s="1156"/>
      <c r="BR2446" s="1156"/>
      <c r="BS2446" s="1156"/>
      <c r="BT2446" s="1156"/>
      <c r="BU2446" s="1156"/>
      <c r="BV2446" s="1156"/>
      <c r="BW2446" s="1156"/>
      <c r="BX2446" s="1156"/>
      <c r="BY2446" s="1156"/>
      <c r="BZ2446" s="1157"/>
      <c r="CA2446" s="270"/>
      <c r="CB2446" s="3" t="str">
        <f t="shared" si="427"/>
        <v>Riadok bude skrytý.</v>
      </c>
      <c r="CC2446" s="271" t="s">
        <v>832</v>
      </c>
      <c r="CW2446" s="30">
        <f t="shared" si="433"/>
        <v>1</v>
      </c>
      <c r="CX2446" s="30">
        <f t="shared" si="434"/>
        <v>0</v>
      </c>
      <c r="CZ2446" s="30">
        <f t="shared" si="428"/>
        <v>1</v>
      </c>
      <c r="DA2446" s="52">
        <f t="shared" si="435"/>
        <v>0</v>
      </c>
      <c r="DB2446" s="2">
        <f t="shared" si="424"/>
        <v>0</v>
      </c>
      <c r="DS2446" s="130">
        <f>SI!BY2446</f>
        <v>323</v>
      </c>
      <c r="DZ2446" s="131">
        <f>SI!BZ2446</f>
        <v>0</v>
      </c>
    </row>
    <row r="2447" spans="1:130" hidden="1" x14ac:dyDescent="0.25">
      <c r="A2447" s="141"/>
      <c r="B2447" s="1158"/>
      <c r="C2447" s="1159"/>
      <c r="D2447" s="1159"/>
      <c r="E2447" s="1159"/>
      <c r="F2447" s="1159"/>
      <c r="G2447" s="1159"/>
      <c r="H2447" s="1159"/>
      <c r="I2447" s="1159"/>
      <c r="J2447" s="1159"/>
      <c r="K2447" s="1159"/>
      <c r="L2447" s="1159"/>
      <c r="M2447" s="1159"/>
      <c r="N2447" s="1159"/>
      <c r="O2447" s="1159"/>
      <c r="P2447" s="1159"/>
      <c r="Q2447" s="1159"/>
      <c r="R2447" s="1159"/>
      <c r="S2447" s="1159"/>
      <c r="T2447" s="1159"/>
      <c r="U2447" s="1159"/>
      <c r="V2447" s="1159"/>
      <c r="W2447" s="1159"/>
      <c r="X2447" s="1159"/>
      <c r="Y2447" s="1159"/>
      <c r="Z2447" s="1159"/>
      <c r="AA2447" s="1159"/>
      <c r="AB2447" s="1159"/>
      <c r="AC2447" s="1159"/>
      <c r="AD2447" s="1159"/>
      <c r="AE2447" s="1159"/>
      <c r="AF2447" s="1159"/>
      <c r="AG2447" s="1159"/>
      <c r="AH2447" s="1159"/>
      <c r="AI2447" s="1159"/>
      <c r="AJ2447" s="1159"/>
      <c r="AK2447" s="1159"/>
      <c r="AL2447" s="1160"/>
      <c r="AM2447" s="1155"/>
      <c r="AN2447" s="1156"/>
      <c r="AO2447" s="1156"/>
      <c r="AP2447" s="1156"/>
      <c r="AQ2447" s="1156"/>
      <c r="AR2447" s="1156"/>
      <c r="AS2447" s="1156"/>
      <c r="AT2447" s="1156"/>
      <c r="AU2447" s="1156"/>
      <c r="AV2447" s="1156"/>
      <c r="AW2447" s="1156"/>
      <c r="AX2447" s="1156"/>
      <c r="AY2447" s="1156"/>
      <c r="AZ2447" s="1156"/>
      <c r="BA2447" s="1156"/>
      <c r="BB2447" s="1156"/>
      <c r="BC2447" s="1156"/>
      <c r="BD2447" s="1156"/>
      <c r="BE2447" s="1156"/>
      <c r="BF2447" s="1157"/>
      <c r="BG2447" s="1155"/>
      <c r="BH2447" s="1156"/>
      <c r="BI2447" s="1156"/>
      <c r="BJ2447" s="1156"/>
      <c r="BK2447" s="1156"/>
      <c r="BL2447" s="1156"/>
      <c r="BM2447" s="1156"/>
      <c r="BN2447" s="1156"/>
      <c r="BO2447" s="1156"/>
      <c r="BP2447" s="1156"/>
      <c r="BQ2447" s="1156"/>
      <c r="BR2447" s="1156"/>
      <c r="BS2447" s="1156"/>
      <c r="BT2447" s="1156"/>
      <c r="BU2447" s="1156"/>
      <c r="BV2447" s="1156"/>
      <c r="BW2447" s="1156"/>
      <c r="BX2447" s="1156"/>
      <c r="BY2447" s="1156"/>
      <c r="BZ2447" s="1157"/>
      <c r="CA2447" s="270"/>
      <c r="CB2447" s="3" t="str">
        <f t="shared" si="427"/>
        <v>Riadok bude skrytý.</v>
      </c>
      <c r="CC2447" s="271" t="s">
        <v>832</v>
      </c>
      <c r="CW2447" s="30">
        <f t="shared" si="433"/>
        <v>1</v>
      </c>
      <c r="CX2447" s="30">
        <f t="shared" si="434"/>
        <v>0</v>
      </c>
      <c r="CZ2447" s="30">
        <f t="shared" si="428"/>
        <v>1</v>
      </c>
      <c r="DA2447" s="52">
        <f t="shared" si="435"/>
        <v>0</v>
      </c>
      <c r="DB2447" s="2">
        <f t="shared" si="424"/>
        <v>0</v>
      </c>
      <c r="DS2447" s="130">
        <f>SI!BY2447</f>
        <v>173</v>
      </c>
      <c r="DZ2447" s="131">
        <f>SI!BZ2447</f>
        <v>0</v>
      </c>
    </row>
    <row r="2448" spans="1:130" hidden="1" x14ac:dyDescent="0.25">
      <c r="A2448" s="141"/>
      <c r="B2448" s="1158"/>
      <c r="C2448" s="1159"/>
      <c r="D2448" s="1159"/>
      <c r="E2448" s="1159"/>
      <c r="F2448" s="1159"/>
      <c r="G2448" s="1159"/>
      <c r="H2448" s="1159"/>
      <c r="I2448" s="1159"/>
      <c r="J2448" s="1159"/>
      <c r="K2448" s="1159"/>
      <c r="L2448" s="1159"/>
      <c r="M2448" s="1159"/>
      <c r="N2448" s="1159"/>
      <c r="O2448" s="1159"/>
      <c r="P2448" s="1159"/>
      <c r="Q2448" s="1159"/>
      <c r="R2448" s="1159"/>
      <c r="S2448" s="1159"/>
      <c r="T2448" s="1159"/>
      <c r="U2448" s="1159"/>
      <c r="V2448" s="1159"/>
      <c r="W2448" s="1159"/>
      <c r="X2448" s="1159"/>
      <c r="Y2448" s="1159"/>
      <c r="Z2448" s="1159"/>
      <c r="AA2448" s="1159"/>
      <c r="AB2448" s="1159"/>
      <c r="AC2448" s="1159"/>
      <c r="AD2448" s="1159"/>
      <c r="AE2448" s="1159"/>
      <c r="AF2448" s="1159"/>
      <c r="AG2448" s="1159"/>
      <c r="AH2448" s="1159"/>
      <c r="AI2448" s="1159"/>
      <c r="AJ2448" s="1159"/>
      <c r="AK2448" s="1159"/>
      <c r="AL2448" s="1160"/>
      <c r="AM2448" s="1155"/>
      <c r="AN2448" s="1156"/>
      <c r="AO2448" s="1156"/>
      <c r="AP2448" s="1156"/>
      <c r="AQ2448" s="1156"/>
      <c r="AR2448" s="1156"/>
      <c r="AS2448" s="1156"/>
      <c r="AT2448" s="1156"/>
      <c r="AU2448" s="1156"/>
      <c r="AV2448" s="1156"/>
      <c r="AW2448" s="1156"/>
      <c r="AX2448" s="1156"/>
      <c r="AY2448" s="1156"/>
      <c r="AZ2448" s="1156"/>
      <c r="BA2448" s="1156"/>
      <c r="BB2448" s="1156"/>
      <c r="BC2448" s="1156"/>
      <c r="BD2448" s="1156"/>
      <c r="BE2448" s="1156"/>
      <c r="BF2448" s="1157"/>
      <c r="BG2448" s="1155"/>
      <c r="BH2448" s="1156"/>
      <c r="BI2448" s="1156"/>
      <c r="BJ2448" s="1156"/>
      <c r="BK2448" s="1156"/>
      <c r="BL2448" s="1156"/>
      <c r="BM2448" s="1156"/>
      <c r="BN2448" s="1156"/>
      <c r="BO2448" s="1156"/>
      <c r="BP2448" s="1156"/>
      <c r="BQ2448" s="1156"/>
      <c r="BR2448" s="1156"/>
      <c r="BS2448" s="1156"/>
      <c r="BT2448" s="1156"/>
      <c r="BU2448" s="1156"/>
      <c r="BV2448" s="1156"/>
      <c r="BW2448" s="1156"/>
      <c r="BX2448" s="1156"/>
      <c r="BY2448" s="1156"/>
      <c r="BZ2448" s="1157"/>
      <c r="CA2448" s="270"/>
      <c r="CB2448" s="3" t="str">
        <f t="shared" si="427"/>
        <v>Riadok bude skrytý.</v>
      </c>
      <c r="CC2448" s="271" t="s">
        <v>832</v>
      </c>
      <c r="CW2448" s="30">
        <f t="shared" si="433"/>
        <v>1</v>
      </c>
      <c r="CX2448" s="30">
        <f t="shared" si="434"/>
        <v>0</v>
      </c>
      <c r="CZ2448" s="30">
        <f t="shared" si="428"/>
        <v>1</v>
      </c>
      <c r="DA2448" s="52">
        <f t="shared" si="435"/>
        <v>0</v>
      </c>
      <c r="DB2448" s="2">
        <f t="shared" si="424"/>
        <v>0</v>
      </c>
      <c r="DS2448" s="130">
        <f>SI!BY2448</f>
        <v>525</v>
      </c>
      <c r="DZ2448" s="131">
        <f>SI!BZ2448</f>
        <v>0</v>
      </c>
    </row>
    <row r="2449" spans="1:130" hidden="1" x14ac:dyDescent="0.25">
      <c r="A2449" s="141"/>
      <c r="B2449" s="1158"/>
      <c r="C2449" s="1159"/>
      <c r="D2449" s="1159"/>
      <c r="E2449" s="1159"/>
      <c r="F2449" s="1159"/>
      <c r="G2449" s="1159"/>
      <c r="H2449" s="1159"/>
      <c r="I2449" s="1159"/>
      <c r="J2449" s="1159"/>
      <c r="K2449" s="1159"/>
      <c r="L2449" s="1159"/>
      <c r="M2449" s="1159"/>
      <c r="N2449" s="1159"/>
      <c r="O2449" s="1159"/>
      <c r="P2449" s="1159"/>
      <c r="Q2449" s="1159"/>
      <c r="R2449" s="1159"/>
      <c r="S2449" s="1159"/>
      <c r="T2449" s="1159"/>
      <c r="U2449" s="1159"/>
      <c r="V2449" s="1159"/>
      <c r="W2449" s="1159"/>
      <c r="X2449" s="1159"/>
      <c r="Y2449" s="1159"/>
      <c r="Z2449" s="1159"/>
      <c r="AA2449" s="1159"/>
      <c r="AB2449" s="1159"/>
      <c r="AC2449" s="1159"/>
      <c r="AD2449" s="1159"/>
      <c r="AE2449" s="1159"/>
      <c r="AF2449" s="1159"/>
      <c r="AG2449" s="1159"/>
      <c r="AH2449" s="1159"/>
      <c r="AI2449" s="1159"/>
      <c r="AJ2449" s="1159"/>
      <c r="AK2449" s="1159"/>
      <c r="AL2449" s="1160"/>
      <c r="AM2449" s="1155"/>
      <c r="AN2449" s="1156"/>
      <c r="AO2449" s="1156"/>
      <c r="AP2449" s="1156"/>
      <c r="AQ2449" s="1156"/>
      <c r="AR2449" s="1156"/>
      <c r="AS2449" s="1156"/>
      <c r="AT2449" s="1156"/>
      <c r="AU2449" s="1156"/>
      <c r="AV2449" s="1156"/>
      <c r="AW2449" s="1156"/>
      <c r="AX2449" s="1156"/>
      <c r="AY2449" s="1156"/>
      <c r="AZ2449" s="1156"/>
      <c r="BA2449" s="1156"/>
      <c r="BB2449" s="1156"/>
      <c r="BC2449" s="1156"/>
      <c r="BD2449" s="1156"/>
      <c r="BE2449" s="1156"/>
      <c r="BF2449" s="1157"/>
      <c r="BG2449" s="1155"/>
      <c r="BH2449" s="1156"/>
      <c r="BI2449" s="1156"/>
      <c r="BJ2449" s="1156"/>
      <c r="BK2449" s="1156"/>
      <c r="BL2449" s="1156"/>
      <c r="BM2449" s="1156"/>
      <c r="BN2449" s="1156"/>
      <c r="BO2449" s="1156"/>
      <c r="BP2449" s="1156"/>
      <c r="BQ2449" s="1156"/>
      <c r="BR2449" s="1156"/>
      <c r="BS2449" s="1156"/>
      <c r="BT2449" s="1156"/>
      <c r="BU2449" s="1156"/>
      <c r="BV2449" s="1156"/>
      <c r="BW2449" s="1156"/>
      <c r="BX2449" s="1156"/>
      <c r="BY2449" s="1156"/>
      <c r="BZ2449" s="1157"/>
      <c r="CA2449" s="270"/>
      <c r="CB2449" s="3" t="str">
        <f t="shared" si="427"/>
        <v>Riadok bude skrytý.</v>
      </c>
      <c r="CC2449" s="271" t="s">
        <v>832</v>
      </c>
      <c r="CW2449" s="30">
        <f t="shared" si="433"/>
        <v>1</v>
      </c>
      <c r="CX2449" s="30">
        <f t="shared" si="434"/>
        <v>0</v>
      </c>
      <c r="CZ2449" s="30">
        <f t="shared" si="428"/>
        <v>1</v>
      </c>
      <c r="DA2449" s="52">
        <f t="shared" si="435"/>
        <v>0</v>
      </c>
      <c r="DB2449" s="2">
        <f t="shared" si="424"/>
        <v>0</v>
      </c>
      <c r="DS2449" s="130">
        <f>SI!BY2449</f>
        <v>158</v>
      </c>
      <c r="DZ2449" s="131">
        <f>SI!BZ2449</f>
        <v>0</v>
      </c>
    </row>
    <row r="2450" spans="1:130" hidden="1" x14ac:dyDescent="0.25">
      <c r="A2450" s="141"/>
      <c r="B2450" s="1158"/>
      <c r="C2450" s="1159"/>
      <c r="D2450" s="1159"/>
      <c r="E2450" s="1159"/>
      <c r="F2450" s="1159"/>
      <c r="G2450" s="1159"/>
      <c r="H2450" s="1159"/>
      <c r="I2450" s="1159"/>
      <c r="J2450" s="1159"/>
      <c r="K2450" s="1159"/>
      <c r="L2450" s="1159"/>
      <c r="M2450" s="1159"/>
      <c r="N2450" s="1159"/>
      <c r="O2450" s="1159"/>
      <c r="P2450" s="1159"/>
      <c r="Q2450" s="1159"/>
      <c r="R2450" s="1159"/>
      <c r="S2450" s="1159"/>
      <c r="T2450" s="1159"/>
      <c r="U2450" s="1159"/>
      <c r="V2450" s="1159"/>
      <c r="W2450" s="1159"/>
      <c r="X2450" s="1159"/>
      <c r="Y2450" s="1159"/>
      <c r="Z2450" s="1159"/>
      <c r="AA2450" s="1159"/>
      <c r="AB2450" s="1159"/>
      <c r="AC2450" s="1159"/>
      <c r="AD2450" s="1159"/>
      <c r="AE2450" s="1159"/>
      <c r="AF2450" s="1159"/>
      <c r="AG2450" s="1159"/>
      <c r="AH2450" s="1159"/>
      <c r="AI2450" s="1159"/>
      <c r="AJ2450" s="1159"/>
      <c r="AK2450" s="1159"/>
      <c r="AL2450" s="1160"/>
      <c r="AM2450" s="1155"/>
      <c r="AN2450" s="1156"/>
      <c r="AO2450" s="1156"/>
      <c r="AP2450" s="1156"/>
      <c r="AQ2450" s="1156"/>
      <c r="AR2450" s="1156"/>
      <c r="AS2450" s="1156"/>
      <c r="AT2450" s="1156"/>
      <c r="AU2450" s="1156"/>
      <c r="AV2450" s="1156"/>
      <c r="AW2450" s="1156"/>
      <c r="AX2450" s="1156"/>
      <c r="AY2450" s="1156"/>
      <c r="AZ2450" s="1156"/>
      <c r="BA2450" s="1156"/>
      <c r="BB2450" s="1156"/>
      <c r="BC2450" s="1156"/>
      <c r="BD2450" s="1156"/>
      <c r="BE2450" s="1156"/>
      <c r="BF2450" s="1157"/>
      <c r="BG2450" s="1155"/>
      <c r="BH2450" s="1156"/>
      <c r="BI2450" s="1156"/>
      <c r="BJ2450" s="1156"/>
      <c r="BK2450" s="1156"/>
      <c r="BL2450" s="1156"/>
      <c r="BM2450" s="1156"/>
      <c r="BN2450" s="1156"/>
      <c r="BO2450" s="1156"/>
      <c r="BP2450" s="1156"/>
      <c r="BQ2450" s="1156"/>
      <c r="BR2450" s="1156"/>
      <c r="BS2450" s="1156"/>
      <c r="BT2450" s="1156"/>
      <c r="BU2450" s="1156"/>
      <c r="BV2450" s="1156"/>
      <c r="BW2450" s="1156"/>
      <c r="BX2450" s="1156"/>
      <c r="BY2450" s="1156"/>
      <c r="BZ2450" s="1157"/>
      <c r="CA2450" s="270"/>
      <c r="CB2450" s="3" t="str">
        <f t="shared" si="427"/>
        <v>Riadok bude skrytý.</v>
      </c>
      <c r="CC2450" s="271" t="s">
        <v>832</v>
      </c>
      <c r="CW2450" s="30">
        <f t="shared" si="433"/>
        <v>1</v>
      </c>
      <c r="CX2450" s="30">
        <f t="shared" si="434"/>
        <v>0</v>
      </c>
      <c r="CZ2450" s="30">
        <f t="shared" si="428"/>
        <v>1</v>
      </c>
      <c r="DA2450" s="52">
        <f t="shared" si="435"/>
        <v>0</v>
      </c>
      <c r="DB2450" s="2">
        <f t="shared" si="424"/>
        <v>0</v>
      </c>
      <c r="DS2450" s="130">
        <f>SI!BY2450</f>
        <v>1017</v>
      </c>
      <c r="DZ2450" s="131">
        <f>SI!BZ2450</f>
        <v>0</v>
      </c>
    </row>
    <row r="2451" spans="1:130" hidden="1" x14ac:dyDescent="0.25">
      <c r="A2451" s="141"/>
      <c r="B2451" s="1158"/>
      <c r="C2451" s="1159"/>
      <c r="D2451" s="1159"/>
      <c r="E2451" s="1159"/>
      <c r="F2451" s="1159"/>
      <c r="G2451" s="1159"/>
      <c r="H2451" s="1159"/>
      <c r="I2451" s="1159"/>
      <c r="J2451" s="1159"/>
      <c r="K2451" s="1159"/>
      <c r="L2451" s="1159"/>
      <c r="M2451" s="1159"/>
      <c r="N2451" s="1159"/>
      <c r="O2451" s="1159"/>
      <c r="P2451" s="1159"/>
      <c r="Q2451" s="1159"/>
      <c r="R2451" s="1159"/>
      <c r="S2451" s="1159"/>
      <c r="T2451" s="1159"/>
      <c r="U2451" s="1159"/>
      <c r="V2451" s="1159"/>
      <c r="W2451" s="1159"/>
      <c r="X2451" s="1159"/>
      <c r="Y2451" s="1159"/>
      <c r="Z2451" s="1159"/>
      <c r="AA2451" s="1159"/>
      <c r="AB2451" s="1159"/>
      <c r="AC2451" s="1159"/>
      <c r="AD2451" s="1159"/>
      <c r="AE2451" s="1159"/>
      <c r="AF2451" s="1159"/>
      <c r="AG2451" s="1159"/>
      <c r="AH2451" s="1159"/>
      <c r="AI2451" s="1159"/>
      <c r="AJ2451" s="1159"/>
      <c r="AK2451" s="1159"/>
      <c r="AL2451" s="1160"/>
      <c r="AM2451" s="1155"/>
      <c r="AN2451" s="1156"/>
      <c r="AO2451" s="1156"/>
      <c r="AP2451" s="1156"/>
      <c r="AQ2451" s="1156"/>
      <c r="AR2451" s="1156"/>
      <c r="AS2451" s="1156"/>
      <c r="AT2451" s="1156"/>
      <c r="AU2451" s="1156"/>
      <c r="AV2451" s="1156"/>
      <c r="AW2451" s="1156"/>
      <c r="AX2451" s="1156"/>
      <c r="AY2451" s="1156"/>
      <c r="AZ2451" s="1156"/>
      <c r="BA2451" s="1156"/>
      <c r="BB2451" s="1156"/>
      <c r="BC2451" s="1156"/>
      <c r="BD2451" s="1156"/>
      <c r="BE2451" s="1156"/>
      <c r="BF2451" s="1157"/>
      <c r="BG2451" s="1155"/>
      <c r="BH2451" s="1156"/>
      <c r="BI2451" s="1156"/>
      <c r="BJ2451" s="1156"/>
      <c r="BK2451" s="1156"/>
      <c r="BL2451" s="1156"/>
      <c r="BM2451" s="1156"/>
      <c r="BN2451" s="1156"/>
      <c r="BO2451" s="1156"/>
      <c r="BP2451" s="1156"/>
      <c r="BQ2451" s="1156"/>
      <c r="BR2451" s="1156"/>
      <c r="BS2451" s="1156"/>
      <c r="BT2451" s="1156"/>
      <c r="BU2451" s="1156"/>
      <c r="BV2451" s="1156"/>
      <c r="BW2451" s="1156"/>
      <c r="BX2451" s="1156"/>
      <c r="BY2451" s="1156"/>
      <c r="BZ2451" s="1157"/>
      <c r="CA2451" s="270"/>
      <c r="CB2451" s="3" t="str">
        <f t="shared" si="427"/>
        <v>Riadok bude skrytý.</v>
      </c>
      <c r="CC2451" s="271" t="s">
        <v>832</v>
      </c>
      <c r="CW2451" s="30">
        <f t="shared" si="433"/>
        <v>1</v>
      </c>
      <c r="CX2451" s="30">
        <f t="shared" si="434"/>
        <v>0</v>
      </c>
      <c r="CZ2451" s="30">
        <f t="shared" si="428"/>
        <v>1</v>
      </c>
      <c r="DA2451" s="52">
        <f t="shared" si="435"/>
        <v>0</v>
      </c>
      <c r="DB2451" s="2">
        <f t="shared" si="424"/>
        <v>0</v>
      </c>
      <c r="DS2451" s="130">
        <f>SI!BY2451</f>
        <v>187</v>
      </c>
      <c r="DZ2451" s="131">
        <f>SI!BZ2451</f>
        <v>0</v>
      </c>
    </row>
    <row r="2452" spans="1:130" hidden="1" x14ac:dyDescent="0.25">
      <c r="A2452" s="141"/>
      <c r="B2452" s="1206" t="s">
        <v>701</v>
      </c>
      <c r="C2452" s="1207"/>
      <c r="D2452" s="1207"/>
      <c r="E2452" s="1207"/>
      <c r="F2452" s="1207"/>
      <c r="G2452" s="1207"/>
      <c r="H2452" s="1207"/>
      <c r="I2452" s="1207"/>
      <c r="J2452" s="1207"/>
      <c r="K2452" s="1207"/>
      <c r="L2452" s="1207"/>
      <c r="M2452" s="1207"/>
      <c r="N2452" s="1207"/>
      <c r="O2452" s="1207"/>
      <c r="P2452" s="1207"/>
      <c r="Q2452" s="1207"/>
      <c r="R2452" s="1207"/>
      <c r="S2452" s="1207"/>
      <c r="T2452" s="1207"/>
      <c r="U2452" s="1207"/>
      <c r="V2452" s="1207"/>
      <c r="W2452" s="1207"/>
      <c r="X2452" s="1207"/>
      <c r="Y2452" s="1207"/>
      <c r="Z2452" s="1207"/>
      <c r="AA2452" s="1207"/>
      <c r="AB2452" s="1207"/>
      <c r="AC2452" s="1207"/>
      <c r="AD2452" s="1207"/>
      <c r="AE2452" s="1207"/>
      <c r="AF2452" s="1207"/>
      <c r="AG2452" s="1207"/>
      <c r="AH2452" s="1207"/>
      <c r="AI2452" s="1207"/>
      <c r="AJ2452" s="1207"/>
      <c r="AK2452" s="1207"/>
      <c r="AL2452" s="1208"/>
      <c r="AM2452" s="1164"/>
      <c r="AN2452" s="1165"/>
      <c r="AO2452" s="1165"/>
      <c r="AP2452" s="1165"/>
      <c r="AQ2452" s="1165"/>
      <c r="AR2452" s="1165"/>
      <c r="AS2452" s="1165"/>
      <c r="AT2452" s="1165"/>
      <c r="AU2452" s="1165"/>
      <c r="AV2452" s="1165"/>
      <c r="AW2452" s="1165"/>
      <c r="AX2452" s="1165"/>
      <c r="AY2452" s="1165"/>
      <c r="AZ2452" s="1165"/>
      <c r="BA2452" s="1165"/>
      <c r="BB2452" s="1165"/>
      <c r="BC2452" s="1165"/>
      <c r="BD2452" s="1165"/>
      <c r="BE2452" s="1165"/>
      <c r="BF2452" s="1166"/>
      <c r="BG2452" s="1164"/>
      <c r="BH2452" s="1165"/>
      <c r="BI2452" s="1165"/>
      <c r="BJ2452" s="1165"/>
      <c r="BK2452" s="1165"/>
      <c r="BL2452" s="1165"/>
      <c r="BM2452" s="1165"/>
      <c r="BN2452" s="1165"/>
      <c r="BO2452" s="1165"/>
      <c r="BP2452" s="1165"/>
      <c r="BQ2452" s="1165"/>
      <c r="BR2452" s="1165"/>
      <c r="BS2452" s="1165"/>
      <c r="BT2452" s="1165"/>
      <c r="BU2452" s="1165"/>
      <c r="BV2452" s="1165"/>
      <c r="BW2452" s="1165"/>
      <c r="BX2452" s="1165"/>
      <c r="BY2452" s="1165"/>
      <c r="BZ2452" s="1166"/>
      <c r="CA2452" s="142"/>
      <c r="CB2452" s="3" t="str">
        <f t="shared" si="427"/>
        <v>Riadok bude skrytý.</v>
      </c>
      <c r="CC2452" s="271" t="s">
        <v>832</v>
      </c>
      <c r="CW2452" s="30">
        <f t="shared" si="433"/>
        <v>1</v>
      </c>
      <c r="CZ2452" s="30">
        <f t="shared" si="428"/>
        <v>1</v>
      </c>
      <c r="DA2452" s="30">
        <f>+IF(CW2452+CX2452+CY2452=0,0,IF(CZ2452=0,0,1))</f>
        <v>1</v>
      </c>
      <c r="DB2452" s="2">
        <f t="shared" si="424"/>
        <v>0</v>
      </c>
      <c r="DS2452" s="130">
        <f>SI!BY2452</f>
        <v>552</v>
      </c>
      <c r="DZ2452" s="131">
        <f>SI!BZ2452</f>
        <v>0</v>
      </c>
    </row>
    <row r="2453" spans="1:130" hidden="1" x14ac:dyDescent="0.25">
      <c r="A2453" s="141"/>
      <c r="C2453" s="7"/>
      <c r="D2453" s="7"/>
      <c r="E2453" s="7"/>
      <c r="F2453" s="7"/>
      <c r="CA2453" s="265"/>
      <c r="CB2453" s="3" t="str">
        <f t="shared" si="427"/>
        <v>Riadok bude skrytý.</v>
      </c>
      <c r="CC2453" s="271" t="s">
        <v>832</v>
      </c>
      <c r="CW2453" s="30">
        <f t="shared" si="433"/>
        <v>1</v>
      </c>
      <c r="CX2453" s="30">
        <f>+IF(B2455="",0,1)</f>
        <v>0</v>
      </c>
      <c r="CZ2453" s="30">
        <f t="shared" si="428"/>
        <v>1</v>
      </c>
      <c r="DA2453" s="52">
        <f t="shared" ref="DA2453:DA2474" si="436">+IF(CW2453*CX2453=0,0,IF(CZ2453=0,0,1))</f>
        <v>0</v>
      </c>
      <c r="DB2453" s="2">
        <f t="shared" si="424"/>
        <v>0</v>
      </c>
      <c r="DS2453" s="130">
        <f>SI!BY2453</f>
        <v>885</v>
      </c>
      <c r="DZ2453" s="131">
        <f>SI!BZ2453</f>
        <v>0</v>
      </c>
    </row>
    <row r="2454" spans="1:130" hidden="1" x14ac:dyDescent="0.25">
      <c r="A2454" s="141"/>
      <c r="B2454" s="137" t="str">
        <f>+IF($C$52&lt;&gt;"",IF(CODE(MID($C$52,1,1))*(IF(SI!EE2454="",1,SI!EE2454-1))+LEN(SI!J2)=DS2454,"Spoločnosť uvádza k časovému rozlíšeniu ďalšie doplňujúce informácie:","NEPOVOLENÉ POUŽITIE!"),"NEPOVOLENÉ POUŽITIE!")</f>
        <v>Spoločnosť uvádza k časovému rozlíšeniu ďalšie doplňujúce informácie:</v>
      </c>
      <c r="C2454" s="7"/>
      <c r="D2454" s="7"/>
      <c r="E2454" s="7"/>
      <c r="F2454" s="7"/>
      <c r="CA2454" s="265" t="s">
        <v>773</v>
      </c>
      <c r="CB2454" s="3" t="str">
        <f t="shared" si="427"/>
        <v>Riadok bude skrytý.</v>
      </c>
      <c r="CC2454" s="271" t="s">
        <v>832</v>
      </c>
      <c r="CW2454" s="30">
        <f t="shared" si="433"/>
        <v>1</v>
      </c>
      <c r="CX2454" s="30">
        <f>+IF(B2455="",0,1)</f>
        <v>0</v>
      </c>
      <c r="CZ2454" s="30">
        <f t="shared" si="428"/>
        <v>1</v>
      </c>
      <c r="DA2454" s="52">
        <f t="shared" si="436"/>
        <v>0</v>
      </c>
      <c r="DB2454" s="2">
        <f t="shared" si="424"/>
        <v>0</v>
      </c>
      <c r="DS2454" s="130">
        <f>SI!BY2454</f>
        <v>13</v>
      </c>
      <c r="DZ2454" s="131">
        <f>SI!BZ2454</f>
        <v>0</v>
      </c>
    </row>
    <row r="2455" spans="1:130" hidden="1" x14ac:dyDescent="0.25">
      <c r="A2455" s="141"/>
      <c r="B2455" s="379"/>
      <c r="C2455" s="379"/>
      <c r="D2455" s="379"/>
      <c r="E2455" s="379"/>
      <c r="F2455" s="379"/>
      <c r="G2455" s="379"/>
      <c r="H2455" s="379"/>
      <c r="I2455" s="379"/>
      <c r="J2455" s="379"/>
      <c r="K2455" s="379"/>
      <c r="L2455" s="379"/>
      <c r="M2455" s="379"/>
      <c r="N2455" s="379"/>
      <c r="O2455" s="379"/>
      <c r="P2455" s="379"/>
      <c r="Q2455" s="379"/>
      <c r="R2455" s="379"/>
      <c r="S2455" s="379"/>
      <c r="T2455" s="379"/>
      <c r="U2455" s="379"/>
      <c r="V2455" s="379"/>
      <c r="W2455" s="379"/>
      <c r="X2455" s="379"/>
      <c r="Y2455" s="379"/>
      <c r="Z2455" s="379"/>
      <c r="AA2455" s="379"/>
      <c r="AB2455" s="379"/>
      <c r="AC2455" s="379"/>
      <c r="AD2455" s="379"/>
      <c r="AE2455" s="379"/>
      <c r="AF2455" s="379"/>
      <c r="AG2455" s="379"/>
      <c r="AH2455" s="379"/>
      <c r="AI2455" s="379"/>
      <c r="AJ2455" s="379"/>
      <c r="AK2455" s="379"/>
      <c r="AL2455" s="379"/>
      <c r="AM2455" s="379"/>
      <c r="AN2455" s="379"/>
      <c r="AO2455" s="379"/>
      <c r="AP2455" s="379"/>
      <c r="AQ2455" s="379"/>
      <c r="AR2455" s="379"/>
      <c r="AS2455" s="379"/>
      <c r="AT2455" s="379"/>
      <c r="AU2455" s="379"/>
      <c r="AV2455" s="379"/>
      <c r="AW2455" s="379"/>
      <c r="AX2455" s="379"/>
      <c r="AY2455" s="379"/>
      <c r="AZ2455" s="379"/>
      <c r="BA2455" s="379"/>
      <c r="BB2455" s="379"/>
      <c r="BC2455" s="379"/>
      <c r="BD2455" s="379"/>
      <c r="BE2455" s="379"/>
      <c r="BF2455" s="379"/>
      <c r="BG2455" s="379"/>
      <c r="BH2455" s="379"/>
      <c r="BI2455" s="379"/>
      <c r="BJ2455" s="379"/>
      <c r="BK2455" s="379"/>
      <c r="BL2455" s="379"/>
      <c r="BM2455" s="379"/>
      <c r="BN2455" s="379"/>
      <c r="BO2455" s="379"/>
      <c r="BP2455" s="379"/>
      <c r="BQ2455" s="379"/>
      <c r="BR2455" s="379"/>
      <c r="BS2455" s="379"/>
      <c r="BT2455" s="379"/>
      <c r="BU2455" s="379"/>
      <c r="BV2455" s="379"/>
      <c r="BW2455" s="379"/>
      <c r="BX2455" s="379"/>
      <c r="BY2455" s="379"/>
      <c r="BZ2455" s="379"/>
      <c r="CA2455" s="270"/>
      <c r="CB2455" s="3" t="str">
        <f t="shared" si="427"/>
        <v>Riadok bude skrytý.</v>
      </c>
      <c r="CC2455" s="271" t="s">
        <v>832</v>
      </c>
      <c r="CW2455" s="30">
        <f t="shared" si="433"/>
        <v>1</v>
      </c>
      <c r="CX2455" s="30">
        <f t="shared" ref="CX2455:CX2474" si="437">+IF(B2455="",0,1)</f>
        <v>0</v>
      </c>
      <c r="CZ2455" s="30">
        <f t="shared" si="428"/>
        <v>1</v>
      </c>
      <c r="DA2455" s="52">
        <f t="shared" si="436"/>
        <v>0</v>
      </c>
      <c r="DB2455" s="2">
        <f t="shared" si="424"/>
        <v>0</v>
      </c>
      <c r="DS2455" s="130">
        <f>SI!BY2455</f>
        <v>484</v>
      </c>
      <c r="DZ2455" s="131">
        <f>SI!BZ2455</f>
        <v>0</v>
      </c>
    </row>
    <row r="2456" spans="1:130" hidden="1" x14ac:dyDescent="0.25">
      <c r="A2456" s="141"/>
      <c r="B2456" s="379"/>
      <c r="C2456" s="379"/>
      <c r="D2456" s="379"/>
      <c r="E2456" s="379"/>
      <c r="F2456" s="379"/>
      <c r="G2456" s="379"/>
      <c r="H2456" s="379"/>
      <c r="I2456" s="379"/>
      <c r="J2456" s="379"/>
      <c r="K2456" s="379"/>
      <c r="L2456" s="379"/>
      <c r="M2456" s="379"/>
      <c r="N2456" s="379"/>
      <c r="O2456" s="379"/>
      <c r="P2456" s="379"/>
      <c r="Q2456" s="379"/>
      <c r="R2456" s="379"/>
      <c r="S2456" s="379"/>
      <c r="T2456" s="379"/>
      <c r="U2456" s="379"/>
      <c r="V2456" s="379"/>
      <c r="W2456" s="379"/>
      <c r="X2456" s="379"/>
      <c r="Y2456" s="379"/>
      <c r="Z2456" s="379"/>
      <c r="AA2456" s="379"/>
      <c r="AB2456" s="379"/>
      <c r="AC2456" s="379"/>
      <c r="AD2456" s="379"/>
      <c r="AE2456" s="379"/>
      <c r="AF2456" s="379"/>
      <c r="AG2456" s="379"/>
      <c r="AH2456" s="379"/>
      <c r="AI2456" s="379"/>
      <c r="AJ2456" s="379"/>
      <c r="AK2456" s="379"/>
      <c r="AL2456" s="379"/>
      <c r="AM2456" s="379"/>
      <c r="AN2456" s="379"/>
      <c r="AO2456" s="379"/>
      <c r="AP2456" s="379"/>
      <c r="AQ2456" s="379"/>
      <c r="AR2456" s="379"/>
      <c r="AS2456" s="379"/>
      <c r="AT2456" s="379"/>
      <c r="AU2456" s="379"/>
      <c r="AV2456" s="379"/>
      <c r="AW2456" s="379"/>
      <c r="AX2456" s="379"/>
      <c r="AY2456" s="379"/>
      <c r="AZ2456" s="379"/>
      <c r="BA2456" s="379"/>
      <c r="BB2456" s="379"/>
      <c r="BC2456" s="379"/>
      <c r="BD2456" s="379"/>
      <c r="BE2456" s="379"/>
      <c r="BF2456" s="379"/>
      <c r="BG2456" s="379"/>
      <c r="BH2456" s="379"/>
      <c r="BI2456" s="379"/>
      <c r="BJ2456" s="379"/>
      <c r="BK2456" s="379"/>
      <c r="BL2456" s="379"/>
      <c r="BM2456" s="379"/>
      <c r="BN2456" s="379"/>
      <c r="BO2456" s="379"/>
      <c r="BP2456" s="379"/>
      <c r="BQ2456" s="379"/>
      <c r="BR2456" s="379"/>
      <c r="BS2456" s="379"/>
      <c r="BT2456" s="379"/>
      <c r="BU2456" s="379"/>
      <c r="BV2456" s="379"/>
      <c r="BW2456" s="379"/>
      <c r="BX2456" s="379"/>
      <c r="BY2456" s="379"/>
      <c r="BZ2456" s="379"/>
      <c r="CA2456" s="270"/>
      <c r="CB2456" s="3" t="str">
        <f t="shared" si="427"/>
        <v>Riadok bude skrytý.</v>
      </c>
      <c r="CC2456" s="271" t="s">
        <v>832</v>
      </c>
      <c r="CW2456" s="30">
        <f t="shared" si="433"/>
        <v>1</v>
      </c>
      <c r="CX2456" s="30">
        <f t="shared" si="437"/>
        <v>0</v>
      </c>
      <c r="CZ2456" s="30">
        <f t="shared" si="428"/>
        <v>1</v>
      </c>
      <c r="DA2456" s="52">
        <f t="shared" si="436"/>
        <v>0</v>
      </c>
      <c r="DB2456" s="2">
        <f t="shared" si="424"/>
        <v>0</v>
      </c>
      <c r="DS2456" s="130">
        <f>SI!BY2456</f>
        <v>185</v>
      </c>
      <c r="DZ2456" s="131">
        <f>SI!BZ2456</f>
        <v>0</v>
      </c>
    </row>
    <row r="2457" spans="1:130" hidden="1" x14ac:dyDescent="0.25">
      <c r="A2457" s="141"/>
      <c r="B2457" s="379"/>
      <c r="C2457" s="379"/>
      <c r="D2457" s="379"/>
      <c r="E2457" s="379"/>
      <c r="F2457" s="379"/>
      <c r="G2457" s="379"/>
      <c r="H2457" s="379"/>
      <c r="I2457" s="379"/>
      <c r="J2457" s="379"/>
      <c r="K2457" s="379"/>
      <c r="L2457" s="379"/>
      <c r="M2457" s="379"/>
      <c r="N2457" s="379"/>
      <c r="O2457" s="379"/>
      <c r="P2457" s="379"/>
      <c r="Q2457" s="379"/>
      <c r="R2457" s="379"/>
      <c r="S2457" s="379"/>
      <c r="T2457" s="379"/>
      <c r="U2457" s="379"/>
      <c r="V2457" s="379"/>
      <c r="W2457" s="379"/>
      <c r="X2457" s="379"/>
      <c r="Y2457" s="379"/>
      <c r="Z2457" s="379"/>
      <c r="AA2457" s="379"/>
      <c r="AB2457" s="379"/>
      <c r="AC2457" s="379"/>
      <c r="AD2457" s="379"/>
      <c r="AE2457" s="379"/>
      <c r="AF2457" s="379"/>
      <c r="AG2457" s="379"/>
      <c r="AH2457" s="379"/>
      <c r="AI2457" s="379"/>
      <c r="AJ2457" s="379"/>
      <c r="AK2457" s="379"/>
      <c r="AL2457" s="379"/>
      <c r="AM2457" s="379"/>
      <c r="AN2457" s="379"/>
      <c r="AO2457" s="379"/>
      <c r="AP2457" s="379"/>
      <c r="AQ2457" s="379"/>
      <c r="AR2457" s="379"/>
      <c r="AS2457" s="379"/>
      <c r="AT2457" s="379"/>
      <c r="AU2457" s="379"/>
      <c r="AV2457" s="379"/>
      <c r="AW2457" s="379"/>
      <c r="AX2457" s="379"/>
      <c r="AY2457" s="379"/>
      <c r="AZ2457" s="379"/>
      <c r="BA2457" s="379"/>
      <c r="BB2457" s="379"/>
      <c r="BC2457" s="379"/>
      <c r="BD2457" s="379"/>
      <c r="BE2457" s="379"/>
      <c r="BF2457" s="379"/>
      <c r="BG2457" s="379"/>
      <c r="BH2457" s="379"/>
      <c r="BI2457" s="379"/>
      <c r="BJ2457" s="379"/>
      <c r="BK2457" s="379"/>
      <c r="BL2457" s="379"/>
      <c r="BM2457" s="379"/>
      <c r="BN2457" s="379"/>
      <c r="BO2457" s="379"/>
      <c r="BP2457" s="379"/>
      <c r="BQ2457" s="379"/>
      <c r="BR2457" s="379"/>
      <c r="BS2457" s="379"/>
      <c r="BT2457" s="379"/>
      <c r="BU2457" s="379"/>
      <c r="BV2457" s="379"/>
      <c r="BW2457" s="379"/>
      <c r="BX2457" s="379"/>
      <c r="BY2457" s="379"/>
      <c r="BZ2457" s="379"/>
      <c r="CA2457" s="270"/>
      <c r="CB2457" s="3" t="str">
        <f t="shared" si="427"/>
        <v>Riadok bude skrytý.</v>
      </c>
      <c r="CC2457" s="271" t="s">
        <v>832</v>
      </c>
      <c r="CW2457" s="30">
        <f t="shared" si="433"/>
        <v>1</v>
      </c>
      <c r="CX2457" s="30">
        <f t="shared" si="437"/>
        <v>0</v>
      </c>
      <c r="CZ2457" s="30">
        <f t="shared" si="428"/>
        <v>1</v>
      </c>
      <c r="DA2457" s="52">
        <f t="shared" si="436"/>
        <v>0</v>
      </c>
      <c r="DB2457" s="2">
        <f t="shared" si="424"/>
        <v>0</v>
      </c>
      <c r="DS2457" s="130">
        <f>SI!BY2457</f>
        <v>687</v>
      </c>
      <c r="DZ2457" s="131">
        <f>SI!BZ2457</f>
        <v>0</v>
      </c>
    </row>
    <row r="2458" spans="1:130" hidden="1" x14ac:dyDescent="0.25">
      <c r="A2458" s="141"/>
      <c r="B2458" s="379"/>
      <c r="C2458" s="379"/>
      <c r="D2458" s="379"/>
      <c r="E2458" s="379"/>
      <c r="F2458" s="379"/>
      <c r="G2458" s="379"/>
      <c r="H2458" s="379"/>
      <c r="I2458" s="379"/>
      <c r="J2458" s="379"/>
      <c r="K2458" s="379"/>
      <c r="L2458" s="379"/>
      <c r="M2458" s="379"/>
      <c r="N2458" s="379"/>
      <c r="O2458" s="379"/>
      <c r="P2458" s="379"/>
      <c r="Q2458" s="379"/>
      <c r="R2458" s="379"/>
      <c r="S2458" s="379"/>
      <c r="T2458" s="379"/>
      <c r="U2458" s="379"/>
      <c r="V2458" s="379"/>
      <c r="W2458" s="379"/>
      <c r="X2458" s="379"/>
      <c r="Y2458" s="379"/>
      <c r="Z2458" s="379"/>
      <c r="AA2458" s="379"/>
      <c r="AB2458" s="379"/>
      <c r="AC2458" s="379"/>
      <c r="AD2458" s="379"/>
      <c r="AE2458" s="379"/>
      <c r="AF2458" s="379"/>
      <c r="AG2458" s="379"/>
      <c r="AH2458" s="379"/>
      <c r="AI2458" s="379"/>
      <c r="AJ2458" s="379"/>
      <c r="AK2458" s="379"/>
      <c r="AL2458" s="379"/>
      <c r="AM2458" s="379"/>
      <c r="AN2458" s="379"/>
      <c r="AO2458" s="379"/>
      <c r="AP2458" s="379"/>
      <c r="AQ2458" s="379"/>
      <c r="AR2458" s="379"/>
      <c r="AS2458" s="379"/>
      <c r="AT2458" s="379"/>
      <c r="AU2458" s="379"/>
      <c r="AV2458" s="379"/>
      <c r="AW2458" s="379"/>
      <c r="AX2458" s="379"/>
      <c r="AY2458" s="379"/>
      <c r="AZ2458" s="379"/>
      <c r="BA2458" s="379"/>
      <c r="BB2458" s="379"/>
      <c r="BC2458" s="379"/>
      <c r="BD2458" s="379"/>
      <c r="BE2458" s="379"/>
      <c r="BF2458" s="379"/>
      <c r="BG2458" s="379"/>
      <c r="BH2458" s="379"/>
      <c r="BI2458" s="379"/>
      <c r="BJ2458" s="379"/>
      <c r="BK2458" s="379"/>
      <c r="BL2458" s="379"/>
      <c r="BM2458" s="379"/>
      <c r="BN2458" s="379"/>
      <c r="BO2458" s="379"/>
      <c r="BP2458" s="379"/>
      <c r="BQ2458" s="379"/>
      <c r="BR2458" s="379"/>
      <c r="BS2458" s="379"/>
      <c r="BT2458" s="379"/>
      <c r="BU2458" s="379"/>
      <c r="BV2458" s="379"/>
      <c r="BW2458" s="379"/>
      <c r="BX2458" s="379"/>
      <c r="BY2458" s="379"/>
      <c r="BZ2458" s="379"/>
      <c r="CA2458" s="270"/>
      <c r="CB2458" s="3" t="str">
        <f t="shared" si="427"/>
        <v>Riadok bude skrytý.</v>
      </c>
      <c r="CC2458" s="271" t="s">
        <v>832</v>
      </c>
      <c r="CW2458" s="30">
        <f t="shared" si="433"/>
        <v>1</v>
      </c>
      <c r="CX2458" s="30">
        <f t="shared" si="437"/>
        <v>0</v>
      </c>
      <c r="CZ2458" s="30">
        <f t="shared" si="428"/>
        <v>1</v>
      </c>
      <c r="DA2458" s="52">
        <f t="shared" si="436"/>
        <v>0</v>
      </c>
      <c r="DB2458" s="2">
        <f t="shared" si="424"/>
        <v>0</v>
      </c>
      <c r="DS2458" s="130">
        <f>SI!BY2458</f>
        <v>158</v>
      </c>
      <c r="DZ2458" s="131">
        <f>SI!BZ2458</f>
        <v>0</v>
      </c>
    </row>
    <row r="2459" spans="1:130" hidden="1" x14ac:dyDescent="0.25">
      <c r="A2459" s="141"/>
      <c r="B2459" s="379"/>
      <c r="C2459" s="379"/>
      <c r="D2459" s="379"/>
      <c r="E2459" s="379"/>
      <c r="F2459" s="379"/>
      <c r="G2459" s="379"/>
      <c r="H2459" s="379"/>
      <c r="I2459" s="379"/>
      <c r="J2459" s="379"/>
      <c r="K2459" s="379"/>
      <c r="L2459" s="379"/>
      <c r="M2459" s="379"/>
      <c r="N2459" s="379"/>
      <c r="O2459" s="379"/>
      <c r="P2459" s="379"/>
      <c r="Q2459" s="379"/>
      <c r="R2459" s="379"/>
      <c r="S2459" s="379"/>
      <c r="T2459" s="379"/>
      <c r="U2459" s="379"/>
      <c r="V2459" s="379"/>
      <c r="W2459" s="379"/>
      <c r="X2459" s="379"/>
      <c r="Y2459" s="379"/>
      <c r="Z2459" s="379"/>
      <c r="AA2459" s="379"/>
      <c r="AB2459" s="379"/>
      <c r="AC2459" s="379"/>
      <c r="AD2459" s="379"/>
      <c r="AE2459" s="379"/>
      <c r="AF2459" s="379"/>
      <c r="AG2459" s="379"/>
      <c r="AH2459" s="379"/>
      <c r="AI2459" s="379"/>
      <c r="AJ2459" s="379"/>
      <c r="AK2459" s="379"/>
      <c r="AL2459" s="379"/>
      <c r="AM2459" s="379"/>
      <c r="AN2459" s="379"/>
      <c r="AO2459" s="379"/>
      <c r="AP2459" s="379"/>
      <c r="AQ2459" s="379"/>
      <c r="AR2459" s="379"/>
      <c r="AS2459" s="379"/>
      <c r="AT2459" s="379"/>
      <c r="AU2459" s="379"/>
      <c r="AV2459" s="379"/>
      <c r="AW2459" s="379"/>
      <c r="AX2459" s="379"/>
      <c r="AY2459" s="379"/>
      <c r="AZ2459" s="379"/>
      <c r="BA2459" s="379"/>
      <c r="BB2459" s="379"/>
      <c r="BC2459" s="379"/>
      <c r="BD2459" s="379"/>
      <c r="BE2459" s="379"/>
      <c r="BF2459" s="379"/>
      <c r="BG2459" s="379"/>
      <c r="BH2459" s="379"/>
      <c r="BI2459" s="379"/>
      <c r="BJ2459" s="379"/>
      <c r="BK2459" s="379"/>
      <c r="BL2459" s="379"/>
      <c r="BM2459" s="379"/>
      <c r="BN2459" s="379"/>
      <c r="BO2459" s="379"/>
      <c r="BP2459" s="379"/>
      <c r="BQ2459" s="379"/>
      <c r="BR2459" s="379"/>
      <c r="BS2459" s="379"/>
      <c r="BT2459" s="379"/>
      <c r="BU2459" s="379"/>
      <c r="BV2459" s="379"/>
      <c r="BW2459" s="379"/>
      <c r="BX2459" s="379"/>
      <c r="BY2459" s="379"/>
      <c r="BZ2459" s="379"/>
      <c r="CA2459" s="270"/>
      <c r="CB2459" s="3" t="str">
        <f t="shared" si="427"/>
        <v>Riadok bude skrytý.</v>
      </c>
      <c r="CC2459" s="271" t="s">
        <v>832</v>
      </c>
      <c r="CW2459" s="30">
        <f t="shared" si="433"/>
        <v>1</v>
      </c>
      <c r="CX2459" s="30">
        <f t="shared" si="437"/>
        <v>0</v>
      </c>
      <c r="CZ2459" s="30">
        <f t="shared" si="428"/>
        <v>1</v>
      </c>
      <c r="DA2459" s="52">
        <f t="shared" si="436"/>
        <v>0</v>
      </c>
      <c r="DB2459" s="2">
        <f t="shared" si="424"/>
        <v>0</v>
      </c>
      <c r="DS2459" s="130">
        <f>SI!BY2459</f>
        <v>845</v>
      </c>
      <c r="DZ2459" s="131">
        <f>SI!BZ2459</f>
        <v>0</v>
      </c>
    </row>
    <row r="2460" spans="1:130" hidden="1" x14ac:dyDescent="0.25">
      <c r="A2460" s="141"/>
      <c r="B2460" s="379"/>
      <c r="C2460" s="379"/>
      <c r="D2460" s="379"/>
      <c r="E2460" s="379"/>
      <c r="F2460" s="379"/>
      <c r="G2460" s="379"/>
      <c r="H2460" s="379"/>
      <c r="I2460" s="379"/>
      <c r="J2460" s="379"/>
      <c r="K2460" s="379"/>
      <c r="L2460" s="379"/>
      <c r="M2460" s="379"/>
      <c r="N2460" s="379"/>
      <c r="O2460" s="379"/>
      <c r="P2460" s="379"/>
      <c r="Q2460" s="379"/>
      <c r="R2460" s="379"/>
      <c r="S2460" s="379"/>
      <c r="T2460" s="379"/>
      <c r="U2460" s="379"/>
      <c r="V2460" s="379"/>
      <c r="W2460" s="379"/>
      <c r="X2460" s="379"/>
      <c r="Y2460" s="379"/>
      <c r="Z2460" s="379"/>
      <c r="AA2460" s="379"/>
      <c r="AB2460" s="379"/>
      <c r="AC2460" s="379"/>
      <c r="AD2460" s="379"/>
      <c r="AE2460" s="379"/>
      <c r="AF2460" s="379"/>
      <c r="AG2460" s="379"/>
      <c r="AH2460" s="379"/>
      <c r="AI2460" s="379"/>
      <c r="AJ2460" s="379"/>
      <c r="AK2460" s="379"/>
      <c r="AL2460" s="379"/>
      <c r="AM2460" s="379"/>
      <c r="AN2460" s="379"/>
      <c r="AO2460" s="379"/>
      <c r="AP2460" s="379"/>
      <c r="AQ2460" s="379"/>
      <c r="AR2460" s="379"/>
      <c r="AS2460" s="379"/>
      <c r="AT2460" s="379"/>
      <c r="AU2460" s="379"/>
      <c r="AV2460" s="379"/>
      <c r="AW2460" s="379"/>
      <c r="AX2460" s="379"/>
      <c r="AY2460" s="379"/>
      <c r="AZ2460" s="379"/>
      <c r="BA2460" s="379"/>
      <c r="BB2460" s="379"/>
      <c r="BC2460" s="379"/>
      <c r="BD2460" s="379"/>
      <c r="BE2460" s="379"/>
      <c r="BF2460" s="379"/>
      <c r="BG2460" s="379"/>
      <c r="BH2460" s="379"/>
      <c r="BI2460" s="379"/>
      <c r="BJ2460" s="379"/>
      <c r="BK2460" s="379"/>
      <c r="BL2460" s="379"/>
      <c r="BM2460" s="379"/>
      <c r="BN2460" s="379"/>
      <c r="BO2460" s="379"/>
      <c r="BP2460" s="379"/>
      <c r="BQ2460" s="379"/>
      <c r="BR2460" s="379"/>
      <c r="BS2460" s="379"/>
      <c r="BT2460" s="379"/>
      <c r="BU2460" s="379"/>
      <c r="BV2460" s="379"/>
      <c r="BW2460" s="379"/>
      <c r="BX2460" s="379"/>
      <c r="BY2460" s="379"/>
      <c r="BZ2460" s="379"/>
      <c r="CA2460" s="270"/>
      <c r="CB2460" s="3" t="str">
        <f t="shared" si="427"/>
        <v>Riadok bude skrytý.</v>
      </c>
      <c r="CC2460" s="271" t="s">
        <v>832</v>
      </c>
      <c r="CW2460" s="30">
        <f t="shared" si="433"/>
        <v>1</v>
      </c>
      <c r="CX2460" s="30">
        <f t="shared" si="437"/>
        <v>0</v>
      </c>
      <c r="CZ2460" s="30">
        <f t="shared" si="428"/>
        <v>1</v>
      </c>
      <c r="DA2460" s="52">
        <f t="shared" si="436"/>
        <v>0</v>
      </c>
      <c r="DB2460" s="2">
        <f t="shared" si="424"/>
        <v>0</v>
      </c>
      <c r="DS2460" s="130">
        <f>SI!BY2460</f>
        <v>13</v>
      </c>
      <c r="DZ2460" s="131">
        <f>SI!BZ2460</f>
        <v>0</v>
      </c>
    </row>
    <row r="2461" spans="1:130" hidden="1" x14ac:dyDescent="0.25">
      <c r="A2461" s="141"/>
      <c r="B2461" s="379"/>
      <c r="C2461" s="379"/>
      <c r="D2461" s="379"/>
      <c r="E2461" s="379"/>
      <c r="F2461" s="379"/>
      <c r="G2461" s="379"/>
      <c r="H2461" s="379"/>
      <c r="I2461" s="379"/>
      <c r="J2461" s="379"/>
      <c r="K2461" s="379"/>
      <c r="L2461" s="379"/>
      <c r="M2461" s="379"/>
      <c r="N2461" s="379"/>
      <c r="O2461" s="379"/>
      <c r="P2461" s="379"/>
      <c r="Q2461" s="379"/>
      <c r="R2461" s="379"/>
      <c r="S2461" s="379"/>
      <c r="T2461" s="379"/>
      <c r="U2461" s="379"/>
      <c r="V2461" s="379"/>
      <c r="W2461" s="379"/>
      <c r="X2461" s="379"/>
      <c r="Y2461" s="379"/>
      <c r="Z2461" s="379"/>
      <c r="AA2461" s="379"/>
      <c r="AB2461" s="379"/>
      <c r="AC2461" s="379"/>
      <c r="AD2461" s="379"/>
      <c r="AE2461" s="379"/>
      <c r="AF2461" s="379"/>
      <c r="AG2461" s="379"/>
      <c r="AH2461" s="379"/>
      <c r="AI2461" s="379"/>
      <c r="AJ2461" s="379"/>
      <c r="AK2461" s="379"/>
      <c r="AL2461" s="379"/>
      <c r="AM2461" s="379"/>
      <c r="AN2461" s="379"/>
      <c r="AO2461" s="379"/>
      <c r="AP2461" s="379"/>
      <c r="AQ2461" s="379"/>
      <c r="AR2461" s="379"/>
      <c r="AS2461" s="379"/>
      <c r="AT2461" s="379"/>
      <c r="AU2461" s="379"/>
      <c r="AV2461" s="379"/>
      <c r="AW2461" s="379"/>
      <c r="AX2461" s="379"/>
      <c r="AY2461" s="379"/>
      <c r="AZ2461" s="379"/>
      <c r="BA2461" s="379"/>
      <c r="BB2461" s="379"/>
      <c r="BC2461" s="379"/>
      <c r="BD2461" s="379"/>
      <c r="BE2461" s="379"/>
      <c r="BF2461" s="379"/>
      <c r="BG2461" s="379"/>
      <c r="BH2461" s="379"/>
      <c r="BI2461" s="379"/>
      <c r="BJ2461" s="379"/>
      <c r="BK2461" s="379"/>
      <c r="BL2461" s="379"/>
      <c r="BM2461" s="379"/>
      <c r="BN2461" s="379"/>
      <c r="BO2461" s="379"/>
      <c r="BP2461" s="379"/>
      <c r="BQ2461" s="379"/>
      <c r="BR2461" s="379"/>
      <c r="BS2461" s="379"/>
      <c r="BT2461" s="379"/>
      <c r="BU2461" s="379"/>
      <c r="BV2461" s="379"/>
      <c r="BW2461" s="379"/>
      <c r="BX2461" s="379"/>
      <c r="BY2461" s="379"/>
      <c r="BZ2461" s="379"/>
      <c r="CA2461" s="270"/>
      <c r="CB2461" s="3" t="str">
        <f t="shared" si="427"/>
        <v>Riadok bude skrytý.</v>
      </c>
      <c r="CC2461" s="271" t="s">
        <v>832</v>
      </c>
      <c r="CW2461" s="30">
        <f t="shared" si="433"/>
        <v>1</v>
      </c>
      <c r="CX2461" s="30">
        <f t="shared" si="437"/>
        <v>0</v>
      </c>
      <c r="CZ2461" s="30">
        <f t="shared" si="428"/>
        <v>1</v>
      </c>
      <c r="DA2461" s="52">
        <f t="shared" si="436"/>
        <v>0</v>
      </c>
      <c r="DB2461" s="2">
        <f t="shared" si="424"/>
        <v>0</v>
      </c>
      <c r="DS2461" s="130">
        <f>SI!BY2461</f>
        <v>937</v>
      </c>
      <c r="DZ2461" s="131">
        <f>SI!BZ2461</f>
        <v>0</v>
      </c>
    </row>
    <row r="2462" spans="1:130" hidden="1" x14ac:dyDescent="0.25">
      <c r="A2462" s="141"/>
      <c r="B2462" s="379"/>
      <c r="C2462" s="379"/>
      <c r="D2462" s="379"/>
      <c r="E2462" s="379"/>
      <c r="F2462" s="379"/>
      <c r="G2462" s="379"/>
      <c r="H2462" s="379"/>
      <c r="I2462" s="379"/>
      <c r="J2462" s="379"/>
      <c r="K2462" s="379"/>
      <c r="L2462" s="379"/>
      <c r="M2462" s="379"/>
      <c r="N2462" s="379"/>
      <c r="O2462" s="379"/>
      <c r="P2462" s="379"/>
      <c r="Q2462" s="379"/>
      <c r="R2462" s="379"/>
      <c r="S2462" s="379"/>
      <c r="T2462" s="379"/>
      <c r="U2462" s="379"/>
      <c r="V2462" s="379"/>
      <c r="W2462" s="379"/>
      <c r="X2462" s="379"/>
      <c r="Y2462" s="379"/>
      <c r="Z2462" s="379"/>
      <c r="AA2462" s="379"/>
      <c r="AB2462" s="379"/>
      <c r="AC2462" s="379"/>
      <c r="AD2462" s="379"/>
      <c r="AE2462" s="379"/>
      <c r="AF2462" s="379"/>
      <c r="AG2462" s="379"/>
      <c r="AH2462" s="379"/>
      <c r="AI2462" s="379"/>
      <c r="AJ2462" s="379"/>
      <c r="AK2462" s="379"/>
      <c r="AL2462" s="379"/>
      <c r="AM2462" s="379"/>
      <c r="AN2462" s="379"/>
      <c r="AO2462" s="379"/>
      <c r="AP2462" s="379"/>
      <c r="AQ2462" s="379"/>
      <c r="AR2462" s="379"/>
      <c r="AS2462" s="379"/>
      <c r="AT2462" s="379"/>
      <c r="AU2462" s="379"/>
      <c r="AV2462" s="379"/>
      <c r="AW2462" s="379"/>
      <c r="AX2462" s="379"/>
      <c r="AY2462" s="379"/>
      <c r="AZ2462" s="379"/>
      <c r="BA2462" s="379"/>
      <c r="BB2462" s="379"/>
      <c r="BC2462" s="379"/>
      <c r="BD2462" s="379"/>
      <c r="BE2462" s="379"/>
      <c r="BF2462" s="379"/>
      <c r="BG2462" s="379"/>
      <c r="BH2462" s="379"/>
      <c r="BI2462" s="379"/>
      <c r="BJ2462" s="379"/>
      <c r="BK2462" s="379"/>
      <c r="BL2462" s="379"/>
      <c r="BM2462" s="379"/>
      <c r="BN2462" s="379"/>
      <c r="BO2462" s="379"/>
      <c r="BP2462" s="379"/>
      <c r="BQ2462" s="379"/>
      <c r="BR2462" s="379"/>
      <c r="BS2462" s="379"/>
      <c r="BT2462" s="379"/>
      <c r="BU2462" s="379"/>
      <c r="BV2462" s="379"/>
      <c r="BW2462" s="379"/>
      <c r="BX2462" s="379"/>
      <c r="BY2462" s="379"/>
      <c r="BZ2462" s="379"/>
      <c r="CA2462" s="270"/>
      <c r="CB2462" s="3" t="str">
        <f t="shared" si="427"/>
        <v>Riadok bude skrytý.</v>
      </c>
      <c r="CC2462" s="271" t="s">
        <v>832</v>
      </c>
      <c r="CW2462" s="30">
        <f t="shared" si="433"/>
        <v>1</v>
      </c>
      <c r="CX2462" s="30">
        <f t="shared" si="437"/>
        <v>0</v>
      </c>
      <c r="CZ2462" s="30">
        <f t="shared" si="428"/>
        <v>1</v>
      </c>
      <c r="DA2462" s="52">
        <f t="shared" si="436"/>
        <v>0</v>
      </c>
      <c r="DB2462" s="2">
        <f t="shared" si="424"/>
        <v>0</v>
      </c>
      <c r="DS2462" s="130">
        <f>SI!BY2462</f>
        <v>161</v>
      </c>
      <c r="DZ2462" s="131">
        <f>SI!BZ2462</f>
        <v>0</v>
      </c>
    </row>
    <row r="2463" spans="1:130" hidden="1" x14ac:dyDescent="0.25">
      <c r="A2463" s="141"/>
      <c r="B2463" s="379"/>
      <c r="C2463" s="379"/>
      <c r="D2463" s="379"/>
      <c r="E2463" s="379"/>
      <c r="F2463" s="379"/>
      <c r="G2463" s="379"/>
      <c r="H2463" s="379"/>
      <c r="I2463" s="379"/>
      <c r="J2463" s="379"/>
      <c r="K2463" s="379"/>
      <c r="L2463" s="379"/>
      <c r="M2463" s="379"/>
      <c r="N2463" s="379"/>
      <c r="O2463" s="379"/>
      <c r="P2463" s="379"/>
      <c r="Q2463" s="379"/>
      <c r="R2463" s="379"/>
      <c r="S2463" s="379"/>
      <c r="T2463" s="379"/>
      <c r="U2463" s="379"/>
      <c r="V2463" s="379"/>
      <c r="W2463" s="379"/>
      <c r="X2463" s="379"/>
      <c r="Y2463" s="379"/>
      <c r="Z2463" s="379"/>
      <c r="AA2463" s="379"/>
      <c r="AB2463" s="379"/>
      <c r="AC2463" s="379"/>
      <c r="AD2463" s="379"/>
      <c r="AE2463" s="379"/>
      <c r="AF2463" s="379"/>
      <c r="AG2463" s="379"/>
      <c r="AH2463" s="379"/>
      <c r="AI2463" s="379"/>
      <c r="AJ2463" s="379"/>
      <c r="AK2463" s="379"/>
      <c r="AL2463" s="379"/>
      <c r="AM2463" s="379"/>
      <c r="AN2463" s="379"/>
      <c r="AO2463" s="379"/>
      <c r="AP2463" s="379"/>
      <c r="AQ2463" s="379"/>
      <c r="AR2463" s="379"/>
      <c r="AS2463" s="379"/>
      <c r="AT2463" s="379"/>
      <c r="AU2463" s="379"/>
      <c r="AV2463" s="379"/>
      <c r="AW2463" s="379"/>
      <c r="AX2463" s="379"/>
      <c r="AY2463" s="379"/>
      <c r="AZ2463" s="379"/>
      <c r="BA2463" s="379"/>
      <c r="BB2463" s="379"/>
      <c r="BC2463" s="379"/>
      <c r="BD2463" s="379"/>
      <c r="BE2463" s="379"/>
      <c r="BF2463" s="379"/>
      <c r="BG2463" s="379"/>
      <c r="BH2463" s="379"/>
      <c r="BI2463" s="379"/>
      <c r="BJ2463" s="379"/>
      <c r="BK2463" s="379"/>
      <c r="BL2463" s="379"/>
      <c r="BM2463" s="379"/>
      <c r="BN2463" s="379"/>
      <c r="BO2463" s="379"/>
      <c r="BP2463" s="379"/>
      <c r="BQ2463" s="379"/>
      <c r="BR2463" s="379"/>
      <c r="BS2463" s="379"/>
      <c r="BT2463" s="379"/>
      <c r="BU2463" s="379"/>
      <c r="BV2463" s="379"/>
      <c r="BW2463" s="379"/>
      <c r="BX2463" s="379"/>
      <c r="BY2463" s="379"/>
      <c r="BZ2463" s="379"/>
      <c r="CA2463" s="270"/>
      <c r="CB2463" s="3" t="str">
        <f t="shared" si="427"/>
        <v>Riadok bude skrytý.</v>
      </c>
      <c r="CC2463" s="271" t="s">
        <v>832</v>
      </c>
      <c r="CW2463" s="30">
        <f t="shared" si="433"/>
        <v>1</v>
      </c>
      <c r="CX2463" s="30">
        <f t="shared" si="437"/>
        <v>0</v>
      </c>
      <c r="CZ2463" s="30">
        <f t="shared" si="428"/>
        <v>1</v>
      </c>
      <c r="DA2463" s="52">
        <f t="shared" si="436"/>
        <v>0</v>
      </c>
      <c r="DB2463" s="2">
        <f t="shared" si="424"/>
        <v>0</v>
      </c>
      <c r="DS2463" s="130">
        <f>SI!BY2463</f>
        <v>178</v>
      </c>
      <c r="DZ2463" s="131">
        <f>SI!BZ2463</f>
        <v>0</v>
      </c>
    </row>
    <row r="2464" spans="1:130" hidden="1" x14ac:dyDescent="0.25">
      <c r="A2464" s="141"/>
      <c r="B2464" s="379"/>
      <c r="C2464" s="379"/>
      <c r="D2464" s="379"/>
      <c r="E2464" s="379"/>
      <c r="F2464" s="379"/>
      <c r="G2464" s="379"/>
      <c r="H2464" s="379"/>
      <c r="I2464" s="379"/>
      <c r="J2464" s="379"/>
      <c r="K2464" s="379"/>
      <c r="L2464" s="379"/>
      <c r="M2464" s="379"/>
      <c r="N2464" s="379"/>
      <c r="O2464" s="379"/>
      <c r="P2464" s="379"/>
      <c r="Q2464" s="379"/>
      <c r="R2464" s="379"/>
      <c r="S2464" s="379"/>
      <c r="T2464" s="379"/>
      <c r="U2464" s="379"/>
      <c r="V2464" s="379"/>
      <c r="W2464" s="379"/>
      <c r="X2464" s="379"/>
      <c r="Y2464" s="379"/>
      <c r="Z2464" s="379"/>
      <c r="AA2464" s="379"/>
      <c r="AB2464" s="379"/>
      <c r="AC2464" s="379"/>
      <c r="AD2464" s="379"/>
      <c r="AE2464" s="379"/>
      <c r="AF2464" s="379"/>
      <c r="AG2464" s="379"/>
      <c r="AH2464" s="379"/>
      <c r="AI2464" s="379"/>
      <c r="AJ2464" s="379"/>
      <c r="AK2464" s="379"/>
      <c r="AL2464" s="379"/>
      <c r="AM2464" s="379"/>
      <c r="AN2464" s="379"/>
      <c r="AO2464" s="379"/>
      <c r="AP2464" s="379"/>
      <c r="AQ2464" s="379"/>
      <c r="AR2464" s="379"/>
      <c r="AS2464" s="379"/>
      <c r="AT2464" s="379"/>
      <c r="AU2464" s="379"/>
      <c r="AV2464" s="379"/>
      <c r="AW2464" s="379"/>
      <c r="AX2464" s="379"/>
      <c r="AY2464" s="379"/>
      <c r="AZ2464" s="379"/>
      <c r="BA2464" s="379"/>
      <c r="BB2464" s="379"/>
      <c r="BC2464" s="379"/>
      <c r="BD2464" s="379"/>
      <c r="BE2464" s="379"/>
      <c r="BF2464" s="379"/>
      <c r="BG2464" s="379"/>
      <c r="BH2464" s="379"/>
      <c r="BI2464" s="379"/>
      <c r="BJ2464" s="379"/>
      <c r="BK2464" s="379"/>
      <c r="BL2464" s="379"/>
      <c r="BM2464" s="379"/>
      <c r="BN2464" s="379"/>
      <c r="BO2464" s="379"/>
      <c r="BP2464" s="379"/>
      <c r="BQ2464" s="379"/>
      <c r="BR2464" s="379"/>
      <c r="BS2464" s="379"/>
      <c r="BT2464" s="379"/>
      <c r="BU2464" s="379"/>
      <c r="BV2464" s="379"/>
      <c r="BW2464" s="379"/>
      <c r="BX2464" s="379"/>
      <c r="BY2464" s="379"/>
      <c r="BZ2464" s="379"/>
      <c r="CA2464" s="270"/>
      <c r="CB2464" s="3" t="str">
        <f t="shared" si="427"/>
        <v>Riadok bude skrytý.</v>
      </c>
      <c r="CC2464" s="271" t="s">
        <v>832</v>
      </c>
      <c r="CW2464" s="30">
        <f t="shared" si="433"/>
        <v>1</v>
      </c>
      <c r="CX2464" s="30">
        <f t="shared" si="437"/>
        <v>0</v>
      </c>
      <c r="CZ2464" s="30">
        <f t="shared" si="428"/>
        <v>1</v>
      </c>
      <c r="DA2464" s="52">
        <f t="shared" si="436"/>
        <v>0</v>
      </c>
      <c r="DB2464" s="2">
        <f t="shared" si="424"/>
        <v>0</v>
      </c>
      <c r="DS2464" s="130">
        <f>SI!BY2464</f>
        <v>113</v>
      </c>
      <c r="DZ2464" s="131">
        <f>SI!BZ2464</f>
        <v>0</v>
      </c>
    </row>
    <row r="2465" spans="1:130" hidden="1" x14ac:dyDescent="0.25">
      <c r="A2465" s="141"/>
      <c r="B2465" s="379"/>
      <c r="C2465" s="379"/>
      <c r="D2465" s="379"/>
      <c r="E2465" s="379"/>
      <c r="F2465" s="379"/>
      <c r="G2465" s="379"/>
      <c r="H2465" s="379"/>
      <c r="I2465" s="379"/>
      <c r="J2465" s="379"/>
      <c r="K2465" s="379"/>
      <c r="L2465" s="379"/>
      <c r="M2465" s="379"/>
      <c r="N2465" s="379"/>
      <c r="O2465" s="379"/>
      <c r="P2465" s="379"/>
      <c r="Q2465" s="379"/>
      <c r="R2465" s="379"/>
      <c r="S2465" s="379"/>
      <c r="T2465" s="379"/>
      <c r="U2465" s="379"/>
      <c r="V2465" s="379"/>
      <c r="W2465" s="379"/>
      <c r="X2465" s="379"/>
      <c r="Y2465" s="379"/>
      <c r="Z2465" s="379"/>
      <c r="AA2465" s="379"/>
      <c r="AB2465" s="379"/>
      <c r="AC2465" s="379"/>
      <c r="AD2465" s="379"/>
      <c r="AE2465" s="379"/>
      <c r="AF2465" s="379"/>
      <c r="AG2465" s="379"/>
      <c r="AH2465" s="379"/>
      <c r="AI2465" s="379"/>
      <c r="AJ2465" s="379"/>
      <c r="AK2465" s="379"/>
      <c r="AL2465" s="379"/>
      <c r="AM2465" s="379"/>
      <c r="AN2465" s="379"/>
      <c r="AO2465" s="379"/>
      <c r="AP2465" s="379"/>
      <c r="AQ2465" s="379"/>
      <c r="AR2465" s="379"/>
      <c r="AS2465" s="379"/>
      <c r="AT2465" s="379"/>
      <c r="AU2465" s="379"/>
      <c r="AV2465" s="379"/>
      <c r="AW2465" s="379"/>
      <c r="AX2465" s="379"/>
      <c r="AY2465" s="379"/>
      <c r="AZ2465" s="379"/>
      <c r="BA2465" s="379"/>
      <c r="BB2465" s="379"/>
      <c r="BC2465" s="379"/>
      <c r="BD2465" s="379"/>
      <c r="BE2465" s="379"/>
      <c r="BF2465" s="379"/>
      <c r="BG2465" s="379"/>
      <c r="BH2465" s="379"/>
      <c r="BI2465" s="379"/>
      <c r="BJ2465" s="379"/>
      <c r="BK2465" s="379"/>
      <c r="BL2465" s="379"/>
      <c r="BM2465" s="379"/>
      <c r="BN2465" s="379"/>
      <c r="BO2465" s="379"/>
      <c r="BP2465" s="379"/>
      <c r="BQ2465" s="379"/>
      <c r="BR2465" s="379"/>
      <c r="BS2465" s="379"/>
      <c r="BT2465" s="379"/>
      <c r="BU2465" s="379"/>
      <c r="BV2465" s="379"/>
      <c r="BW2465" s="379"/>
      <c r="BX2465" s="379"/>
      <c r="BY2465" s="379"/>
      <c r="BZ2465" s="379"/>
      <c r="CA2465" s="270"/>
      <c r="CB2465" s="3" t="str">
        <f t="shared" si="427"/>
        <v>Riadok bude skrytý.</v>
      </c>
      <c r="CC2465" s="271" t="s">
        <v>832</v>
      </c>
      <c r="CW2465" s="30">
        <f t="shared" si="433"/>
        <v>1</v>
      </c>
      <c r="CX2465" s="30">
        <f t="shared" si="437"/>
        <v>0</v>
      </c>
      <c r="CZ2465" s="30">
        <f t="shared" si="428"/>
        <v>1</v>
      </c>
      <c r="DA2465" s="52">
        <f t="shared" si="436"/>
        <v>0</v>
      </c>
      <c r="DB2465" s="2">
        <f t="shared" si="424"/>
        <v>0</v>
      </c>
      <c r="DS2465" s="130">
        <f>SI!BY2465</f>
        <v>186</v>
      </c>
      <c r="DZ2465" s="131">
        <f>SI!BZ2465</f>
        <v>0</v>
      </c>
    </row>
    <row r="2466" spans="1:130" hidden="1" x14ac:dyDescent="0.25">
      <c r="A2466" s="141"/>
      <c r="B2466" s="379"/>
      <c r="C2466" s="379"/>
      <c r="D2466" s="379"/>
      <c r="E2466" s="379"/>
      <c r="F2466" s="379"/>
      <c r="G2466" s="379"/>
      <c r="H2466" s="379"/>
      <c r="I2466" s="379"/>
      <c r="J2466" s="379"/>
      <c r="K2466" s="379"/>
      <c r="L2466" s="379"/>
      <c r="M2466" s="379"/>
      <c r="N2466" s="379"/>
      <c r="O2466" s="379"/>
      <c r="P2466" s="379"/>
      <c r="Q2466" s="379"/>
      <c r="R2466" s="379"/>
      <c r="S2466" s="379"/>
      <c r="T2466" s="379"/>
      <c r="U2466" s="379"/>
      <c r="V2466" s="379"/>
      <c r="W2466" s="379"/>
      <c r="X2466" s="379"/>
      <c r="Y2466" s="379"/>
      <c r="Z2466" s="379"/>
      <c r="AA2466" s="379"/>
      <c r="AB2466" s="379"/>
      <c r="AC2466" s="379"/>
      <c r="AD2466" s="379"/>
      <c r="AE2466" s="379"/>
      <c r="AF2466" s="379"/>
      <c r="AG2466" s="379"/>
      <c r="AH2466" s="379"/>
      <c r="AI2466" s="379"/>
      <c r="AJ2466" s="379"/>
      <c r="AK2466" s="379"/>
      <c r="AL2466" s="379"/>
      <c r="AM2466" s="379"/>
      <c r="AN2466" s="379"/>
      <c r="AO2466" s="379"/>
      <c r="AP2466" s="379"/>
      <c r="AQ2466" s="379"/>
      <c r="AR2466" s="379"/>
      <c r="AS2466" s="379"/>
      <c r="AT2466" s="379"/>
      <c r="AU2466" s="379"/>
      <c r="AV2466" s="379"/>
      <c r="AW2466" s="379"/>
      <c r="AX2466" s="379"/>
      <c r="AY2466" s="379"/>
      <c r="AZ2466" s="379"/>
      <c r="BA2466" s="379"/>
      <c r="BB2466" s="379"/>
      <c r="BC2466" s="379"/>
      <c r="BD2466" s="379"/>
      <c r="BE2466" s="379"/>
      <c r="BF2466" s="379"/>
      <c r="BG2466" s="379"/>
      <c r="BH2466" s="379"/>
      <c r="BI2466" s="379"/>
      <c r="BJ2466" s="379"/>
      <c r="BK2466" s="379"/>
      <c r="BL2466" s="379"/>
      <c r="BM2466" s="379"/>
      <c r="BN2466" s="379"/>
      <c r="BO2466" s="379"/>
      <c r="BP2466" s="379"/>
      <c r="BQ2466" s="379"/>
      <c r="BR2466" s="379"/>
      <c r="BS2466" s="379"/>
      <c r="BT2466" s="379"/>
      <c r="BU2466" s="379"/>
      <c r="BV2466" s="379"/>
      <c r="BW2466" s="379"/>
      <c r="BX2466" s="379"/>
      <c r="BY2466" s="379"/>
      <c r="BZ2466" s="379"/>
      <c r="CA2466" s="270"/>
      <c r="CB2466" s="3" t="str">
        <f t="shared" si="427"/>
        <v>Riadok bude skrytý.</v>
      </c>
      <c r="CC2466" s="271" t="s">
        <v>832</v>
      </c>
      <c r="CW2466" s="30">
        <f t="shared" si="433"/>
        <v>1</v>
      </c>
      <c r="CX2466" s="30">
        <f t="shared" si="437"/>
        <v>0</v>
      </c>
      <c r="CZ2466" s="30">
        <f t="shared" si="428"/>
        <v>1</v>
      </c>
      <c r="DA2466" s="52">
        <f t="shared" si="436"/>
        <v>0</v>
      </c>
      <c r="DB2466" s="2">
        <f t="shared" si="424"/>
        <v>0</v>
      </c>
      <c r="DS2466" s="130">
        <f>SI!BY2466</f>
        <v>137</v>
      </c>
      <c r="DZ2466" s="131">
        <f>SI!BZ2466</f>
        <v>0</v>
      </c>
    </row>
    <row r="2467" spans="1:130" hidden="1" x14ac:dyDescent="0.25">
      <c r="A2467" s="141"/>
      <c r="B2467" s="379"/>
      <c r="C2467" s="379"/>
      <c r="D2467" s="379"/>
      <c r="E2467" s="379"/>
      <c r="F2467" s="379"/>
      <c r="G2467" s="379"/>
      <c r="H2467" s="379"/>
      <c r="I2467" s="379"/>
      <c r="J2467" s="379"/>
      <c r="K2467" s="379"/>
      <c r="L2467" s="379"/>
      <c r="M2467" s="379"/>
      <c r="N2467" s="379"/>
      <c r="O2467" s="379"/>
      <c r="P2467" s="379"/>
      <c r="Q2467" s="379"/>
      <c r="R2467" s="379"/>
      <c r="S2467" s="379"/>
      <c r="T2467" s="379"/>
      <c r="U2467" s="379"/>
      <c r="V2467" s="379"/>
      <c r="W2467" s="379"/>
      <c r="X2467" s="379"/>
      <c r="Y2467" s="379"/>
      <c r="Z2467" s="379"/>
      <c r="AA2467" s="379"/>
      <c r="AB2467" s="379"/>
      <c r="AC2467" s="379"/>
      <c r="AD2467" s="379"/>
      <c r="AE2467" s="379"/>
      <c r="AF2467" s="379"/>
      <c r="AG2467" s="379"/>
      <c r="AH2467" s="379"/>
      <c r="AI2467" s="379"/>
      <c r="AJ2467" s="379"/>
      <c r="AK2467" s="379"/>
      <c r="AL2467" s="379"/>
      <c r="AM2467" s="379"/>
      <c r="AN2467" s="379"/>
      <c r="AO2467" s="379"/>
      <c r="AP2467" s="379"/>
      <c r="AQ2467" s="379"/>
      <c r="AR2467" s="379"/>
      <c r="AS2467" s="379"/>
      <c r="AT2467" s="379"/>
      <c r="AU2467" s="379"/>
      <c r="AV2467" s="379"/>
      <c r="AW2467" s="379"/>
      <c r="AX2467" s="379"/>
      <c r="AY2467" s="379"/>
      <c r="AZ2467" s="379"/>
      <c r="BA2467" s="379"/>
      <c r="BB2467" s="379"/>
      <c r="BC2467" s="379"/>
      <c r="BD2467" s="379"/>
      <c r="BE2467" s="379"/>
      <c r="BF2467" s="379"/>
      <c r="BG2467" s="379"/>
      <c r="BH2467" s="379"/>
      <c r="BI2467" s="379"/>
      <c r="BJ2467" s="379"/>
      <c r="BK2467" s="379"/>
      <c r="BL2467" s="379"/>
      <c r="BM2467" s="379"/>
      <c r="BN2467" s="379"/>
      <c r="BO2467" s="379"/>
      <c r="BP2467" s="379"/>
      <c r="BQ2467" s="379"/>
      <c r="BR2467" s="379"/>
      <c r="BS2467" s="379"/>
      <c r="BT2467" s="379"/>
      <c r="BU2467" s="379"/>
      <c r="BV2467" s="379"/>
      <c r="BW2467" s="379"/>
      <c r="BX2467" s="379"/>
      <c r="BY2467" s="379"/>
      <c r="BZ2467" s="379"/>
      <c r="CA2467" s="270"/>
      <c r="CB2467" s="3" t="str">
        <f t="shared" si="427"/>
        <v>Riadok bude skrytý.</v>
      </c>
      <c r="CC2467" s="271" t="s">
        <v>832</v>
      </c>
      <c r="CW2467" s="30">
        <f t="shared" si="433"/>
        <v>1</v>
      </c>
      <c r="CX2467" s="30">
        <f t="shared" si="437"/>
        <v>0</v>
      </c>
      <c r="CZ2467" s="30">
        <f t="shared" si="428"/>
        <v>1</v>
      </c>
      <c r="DA2467" s="52">
        <f t="shared" si="436"/>
        <v>0</v>
      </c>
      <c r="DB2467" s="2">
        <f t="shared" si="424"/>
        <v>0</v>
      </c>
      <c r="DS2467" s="130">
        <f>SI!BY2467</f>
        <v>1023</v>
      </c>
      <c r="DZ2467" s="131">
        <f>SI!BZ2467</f>
        <v>0</v>
      </c>
    </row>
    <row r="2468" spans="1:130" hidden="1" x14ac:dyDescent="0.25">
      <c r="A2468" s="141"/>
      <c r="B2468" s="379"/>
      <c r="C2468" s="379"/>
      <c r="D2468" s="379"/>
      <c r="E2468" s="379"/>
      <c r="F2468" s="379"/>
      <c r="G2468" s="379"/>
      <c r="H2468" s="379"/>
      <c r="I2468" s="379"/>
      <c r="J2468" s="379"/>
      <c r="K2468" s="379"/>
      <c r="L2468" s="379"/>
      <c r="M2468" s="379"/>
      <c r="N2468" s="379"/>
      <c r="O2468" s="379"/>
      <c r="P2468" s="379"/>
      <c r="Q2468" s="379"/>
      <c r="R2468" s="379"/>
      <c r="S2468" s="379"/>
      <c r="T2468" s="379"/>
      <c r="U2468" s="379"/>
      <c r="V2468" s="379"/>
      <c r="W2468" s="379"/>
      <c r="X2468" s="379"/>
      <c r="Y2468" s="379"/>
      <c r="Z2468" s="379"/>
      <c r="AA2468" s="379"/>
      <c r="AB2468" s="379"/>
      <c r="AC2468" s="379"/>
      <c r="AD2468" s="379"/>
      <c r="AE2468" s="379"/>
      <c r="AF2468" s="379"/>
      <c r="AG2468" s="379"/>
      <c r="AH2468" s="379"/>
      <c r="AI2468" s="379"/>
      <c r="AJ2468" s="379"/>
      <c r="AK2468" s="379"/>
      <c r="AL2468" s="379"/>
      <c r="AM2468" s="379"/>
      <c r="AN2468" s="379"/>
      <c r="AO2468" s="379"/>
      <c r="AP2468" s="379"/>
      <c r="AQ2468" s="379"/>
      <c r="AR2468" s="379"/>
      <c r="AS2468" s="379"/>
      <c r="AT2468" s="379"/>
      <c r="AU2468" s="379"/>
      <c r="AV2468" s="379"/>
      <c r="AW2468" s="379"/>
      <c r="AX2468" s="379"/>
      <c r="AY2468" s="379"/>
      <c r="AZ2468" s="379"/>
      <c r="BA2468" s="379"/>
      <c r="BB2468" s="379"/>
      <c r="BC2468" s="379"/>
      <c r="BD2468" s="379"/>
      <c r="BE2468" s="379"/>
      <c r="BF2468" s="379"/>
      <c r="BG2468" s="379"/>
      <c r="BH2468" s="379"/>
      <c r="BI2468" s="379"/>
      <c r="BJ2468" s="379"/>
      <c r="BK2468" s="379"/>
      <c r="BL2468" s="379"/>
      <c r="BM2468" s="379"/>
      <c r="BN2468" s="379"/>
      <c r="BO2468" s="379"/>
      <c r="BP2468" s="379"/>
      <c r="BQ2468" s="379"/>
      <c r="BR2468" s="379"/>
      <c r="BS2468" s="379"/>
      <c r="BT2468" s="379"/>
      <c r="BU2468" s="379"/>
      <c r="BV2468" s="379"/>
      <c r="BW2468" s="379"/>
      <c r="BX2468" s="379"/>
      <c r="BY2468" s="379"/>
      <c r="BZ2468" s="379"/>
      <c r="CA2468" s="270"/>
      <c r="CB2468" s="3" t="str">
        <f t="shared" si="427"/>
        <v>Riadok bude skrytý.</v>
      </c>
      <c r="CC2468" s="271" t="s">
        <v>832</v>
      </c>
      <c r="CW2468" s="30">
        <f t="shared" ref="CW2468:CW2474" si="438">+IF($J$2402="neeviduje",0,1)</f>
        <v>1</v>
      </c>
      <c r="CX2468" s="30">
        <f t="shared" si="437"/>
        <v>0</v>
      </c>
      <c r="CZ2468" s="30">
        <f t="shared" si="428"/>
        <v>1</v>
      </c>
      <c r="DA2468" s="52">
        <f t="shared" si="436"/>
        <v>0</v>
      </c>
      <c r="DB2468" s="2">
        <f t="shared" si="424"/>
        <v>0</v>
      </c>
      <c r="DS2468" s="130">
        <f>SI!BY2468</f>
        <v>157</v>
      </c>
      <c r="DZ2468" s="131">
        <f>SI!BZ2468</f>
        <v>0</v>
      </c>
    </row>
    <row r="2469" spans="1:130" hidden="1" x14ac:dyDescent="0.25">
      <c r="A2469" s="141"/>
      <c r="B2469" s="379"/>
      <c r="C2469" s="379"/>
      <c r="D2469" s="379"/>
      <c r="E2469" s="379"/>
      <c r="F2469" s="379"/>
      <c r="G2469" s="379"/>
      <c r="H2469" s="379"/>
      <c r="I2469" s="379"/>
      <c r="J2469" s="379"/>
      <c r="K2469" s="379"/>
      <c r="L2469" s="379"/>
      <c r="M2469" s="379"/>
      <c r="N2469" s="379"/>
      <c r="O2469" s="379"/>
      <c r="P2469" s="379"/>
      <c r="Q2469" s="379"/>
      <c r="R2469" s="379"/>
      <c r="S2469" s="379"/>
      <c r="T2469" s="379"/>
      <c r="U2469" s="379"/>
      <c r="V2469" s="379"/>
      <c r="W2469" s="379"/>
      <c r="X2469" s="379"/>
      <c r="Y2469" s="379"/>
      <c r="Z2469" s="379"/>
      <c r="AA2469" s="379"/>
      <c r="AB2469" s="379"/>
      <c r="AC2469" s="379"/>
      <c r="AD2469" s="379"/>
      <c r="AE2469" s="379"/>
      <c r="AF2469" s="379"/>
      <c r="AG2469" s="379"/>
      <c r="AH2469" s="379"/>
      <c r="AI2469" s="379"/>
      <c r="AJ2469" s="379"/>
      <c r="AK2469" s="379"/>
      <c r="AL2469" s="379"/>
      <c r="AM2469" s="379"/>
      <c r="AN2469" s="379"/>
      <c r="AO2469" s="379"/>
      <c r="AP2469" s="379"/>
      <c r="AQ2469" s="379"/>
      <c r="AR2469" s="379"/>
      <c r="AS2469" s="379"/>
      <c r="AT2469" s="379"/>
      <c r="AU2469" s="379"/>
      <c r="AV2469" s="379"/>
      <c r="AW2469" s="379"/>
      <c r="AX2469" s="379"/>
      <c r="AY2469" s="379"/>
      <c r="AZ2469" s="379"/>
      <c r="BA2469" s="379"/>
      <c r="BB2469" s="379"/>
      <c r="BC2469" s="379"/>
      <c r="BD2469" s="379"/>
      <c r="BE2469" s="379"/>
      <c r="BF2469" s="379"/>
      <c r="BG2469" s="379"/>
      <c r="BH2469" s="379"/>
      <c r="BI2469" s="379"/>
      <c r="BJ2469" s="379"/>
      <c r="BK2469" s="379"/>
      <c r="BL2469" s="379"/>
      <c r="BM2469" s="379"/>
      <c r="BN2469" s="379"/>
      <c r="BO2469" s="379"/>
      <c r="BP2469" s="379"/>
      <c r="BQ2469" s="379"/>
      <c r="BR2469" s="379"/>
      <c r="BS2469" s="379"/>
      <c r="BT2469" s="379"/>
      <c r="BU2469" s="379"/>
      <c r="BV2469" s="379"/>
      <c r="BW2469" s="379"/>
      <c r="BX2469" s="379"/>
      <c r="BY2469" s="379"/>
      <c r="BZ2469" s="379"/>
      <c r="CA2469" s="270"/>
      <c r="CB2469" s="3" t="str">
        <f t="shared" si="427"/>
        <v>Riadok bude skrytý.</v>
      </c>
      <c r="CC2469" s="271" t="s">
        <v>832</v>
      </c>
      <c r="CW2469" s="30">
        <f t="shared" si="438"/>
        <v>1</v>
      </c>
      <c r="CX2469" s="30">
        <f t="shared" si="437"/>
        <v>0</v>
      </c>
      <c r="CZ2469" s="30">
        <f t="shared" si="428"/>
        <v>1</v>
      </c>
      <c r="DA2469" s="52">
        <f t="shared" si="436"/>
        <v>0</v>
      </c>
      <c r="DB2469" s="2">
        <f t="shared" si="424"/>
        <v>0</v>
      </c>
      <c r="DS2469" s="130">
        <f>SI!BY2469</f>
        <v>431</v>
      </c>
      <c r="DZ2469" s="131">
        <f>SI!BZ2469</f>
        <v>0</v>
      </c>
    </row>
    <row r="2470" spans="1:130" hidden="1" x14ac:dyDescent="0.25">
      <c r="A2470" s="141"/>
      <c r="B2470" s="379"/>
      <c r="C2470" s="379"/>
      <c r="D2470" s="379"/>
      <c r="E2470" s="379"/>
      <c r="F2470" s="379"/>
      <c r="G2470" s="379"/>
      <c r="H2470" s="379"/>
      <c r="I2470" s="379"/>
      <c r="J2470" s="379"/>
      <c r="K2470" s="379"/>
      <c r="L2470" s="379"/>
      <c r="M2470" s="379"/>
      <c r="N2470" s="379"/>
      <c r="O2470" s="379"/>
      <c r="P2470" s="379"/>
      <c r="Q2470" s="379"/>
      <c r="R2470" s="379"/>
      <c r="S2470" s="379"/>
      <c r="T2470" s="379"/>
      <c r="U2470" s="379"/>
      <c r="V2470" s="379"/>
      <c r="W2470" s="379"/>
      <c r="X2470" s="379"/>
      <c r="Y2470" s="379"/>
      <c r="Z2470" s="379"/>
      <c r="AA2470" s="379"/>
      <c r="AB2470" s="379"/>
      <c r="AC2470" s="379"/>
      <c r="AD2470" s="379"/>
      <c r="AE2470" s="379"/>
      <c r="AF2470" s="379"/>
      <c r="AG2470" s="379"/>
      <c r="AH2470" s="379"/>
      <c r="AI2470" s="379"/>
      <c r="AJ2470" s="379"/>
      <c r="AK2470" s="379"/>
      <c r="AL2470" s="379"/>
      <c r="AM2470" s="379"/>
      <c r="AN2470" s="379"/>
      <c r="AO2470" s="379"/>
      <c r="AP2470" s="379"/>
      <c r="AQ2470" s="379"/>
      <c r="AR2470" s="379"/>
      <c r="AS2470" s="379"/>
      <c r="AT2470" s="379"/>
      <c r="AU2470" s="379"/>
      <c r="AV2470" s="379"/>
      <c r="AW2470" s="379"/>
      <c r="AX2470" s="379"/>
      <c r="AY2470" s="379"/>
      <c r="AZ2470" s="379"/>
      <c r="BA2470" s="379"/>
      <c r="BB2470" s="379"/>
      <c r="BC2470" s="379"/>
      <c r="BD2470" s="379"/>
      <c r="BE2470" s="379"/>
      <c r="BF2470" s="379"/>
      <c r="BG2470" s="379"/>
      <c r="BH2470" s="379"/>
      <c r="BI2470" s="379"/>
      <c r="BJ2470" s="379"/>
      <c r="BK2470" s="379"/>
      <c r="BL2470" s="379"/>
      <c r="BM2470" s="379"/>
      <c r="BN2470" s="379"/>
      <c r="BO2470" s="379"/>
      <c r="BP2470" s="379"/>
      <c r="BQ2470" s="379"/>
      <c r="BR2470" s="379"/>
      <c r="BS2470" s="379"/>
      <c r="BT2470" s="379"/>
      <c r="BU2470" s="379"/>
      <c r="BV2470" s="379"/>
      <c r="BW2470" s="379"/>
      <c r="BX2470" s="379"/>
      <c r="BY2470" s="379"/>
      <c r="BZ2470" s="379"/>
      <c r="CA2470" s="270"/>
      <c r="CB2470" s="3" t="str">
        <f t="shared" si="427"/>
        <v>Riadok bude skrytý.</v>
      </c>
      <c r="CC2470" s="271" t="s">
        <v>832</v>
      </c>
      <c r="CW2470" s="30">
        <f t="shared" si="438"/>
        <v>1</v>
      </c>
      <c r="CX2470" s="30">
        <f t="shared" si="437"/>
        <v>0</v>
      </c>
      <c r="CZ2470" s="30">
        <f t="shared" si="428"/>
        <v>1</v>
      </c>
      <c r="DA2470" s="52">
        <f t="shared" si="436"/>
        <v>0</v>
      </c>
      <c r="DB2470" s="2">
        <f t="shared" si="424"/>
        <v>0</v>
      </c>
      <c r="DS2470" s="130">
        <f>SI!BY2470</f>
        <v>195</v>
      </c>
      <c r="DZ2470" s="131">
        <f>SI!BZ2470</f>
        <v>0</v>
      </c>
    </row>
    <row r="2471" spans="1:130" hidden="1" x14ac:dyDescent="0.25">
      <c r="A2471" s="141"/>
      <c r="B2471" s="379"/>
      <c r="C2471" s="379"/>
      <c r="D2471" s="379"/>
      <c r="E2471" s="379"/>
      <c r="F2471" s="379"/>
      <c r="G2471" s="379"/>
      <c r="H2471" s="379"/>
      <c r="I2471" s="379"/>
      <c r="J2471" s="379"/>
      <c r="K2471" s="379"/>
      <c r="L2471" s="379"/>
      <c r="M2471" s="379"/>
      <c r="N2471" s="379"/>
      <c r="O2471" s="379"/>
      <c r="P2471" s="379"/>
      <c r="Q2471" s="379"/>
      <c r="R2471" s="379"/>
      <c r="S2471" s="379"/>
      <c r="T2471" s="379"/>
      <c r="U2471" s="379"/>
      <c r="V2471" s="379"/>
      <c r="W2471" s="379"/>
      <c r="X2471" s="379"/>
      <c r="Y2471" s="379"/>
      <c r="Z2471" s="379"/>
      <c r="AA2471" s="379"/>
      <c r="AB2471" s="379"/>
      <c r="AC2471" s="379"/>
      <c r="AD2471" s="379"/>
      <c r="AE2471" s="379"/>
      <c r="AF2471" s="379"/>
      <c r="AG2471" s="379"/>
      <c r="AH2471" s="379"/>
      <c r="AI2471" s="379"/>
      <c r="AJ2471" s="379"/>
      <c r="AK2471" s="379"/>
      <c r="AL2471" s="379"/>
      <c r="AM2471" s="379"/>
      <c r="AN2471" s="379"/>
      <c r="AO2471" s="379"/>
      <c r="AP2471" s="379"/>
      <c r="AQ2471" s="379"/>
      <c r="AR2471" s="379"/>
      <c r="AS2471" s="379"/>
      <c r="AT2471" s="379"/>
      <c r="AU2471" s="379"/>
      <c r="AV2471" s="379"/>
      <c r="AW2471" s="379"/>
      <c r="AX2471" s="379"/>
      <c r="AY2471" s="379"/>
      <c r="AZ2471" s="379"/>
      <c r="BA2471" s="379"/>
      <c r="BB2471" s="379"/>
      <c r="BC2471" s="379"/>
      <c r="BD2471" s="379"/>
      <c r="BE2471" s="379"/>
      <c r="BF2471" s="379"/>
      <c r="BG2471" s="379"/>
      <c r="BH2471" s="379"/>
      <c r="BI2471" s="379"/>
      <c r="BJ2471" s="379"/>
      <c r="BK2471" s="379"/>
      <c r="BL2471" s="379"/>
      <c r="BM2471" s="379"/>
      <c r="BN2471" s="379"/>
      <c r="BO2471" s="379"/>
      <c r="BP2471" s="379"/>
      <c r="BQ2471" s="379"/>
      <c r="BR2471" s="379"/>
      <c r="BS2471" s="379"/>
      <c r="BT2471" s="379"/>
      <c r="BU2471" s="379"/>
      <c r="BV2471" s="379"/>
      <c r="BW2471" s="379"/>
      <c r="BX2471" s="379"/>
      <c r="BY2471" s="379"/>
      <c r="BZ2471" s="379"/>
      <c r="CA2471" s="270"/>
      <c r="CB2471" s="3" t="str">
        <f t="shared" si="427"/>
        <v>Riadok bude skrytý.</v>
      </c>
      <c r="CC2471" s="271" t="s">
        <v>832</v>
      </c>
      <c r="CW2471" s="30">
        <f t="shared" si="438"/>
        <v>1</v>
      </c>
      <c r="CX2471" s="30">
        <f t="shared" si="437"/>
        <v>0</v>
      </c>
      <c r="CZ2471" s="30">
        <f t="shared" si="428"/>
        <v>1</v>
      </c>
      <c r="DA2471" s="52">
        <f t="shared" si="436"/>
        <v>0</v>
      </c>
      <c r="DB2471" s="2">
        <f t="shared" ref="DB2471:DB2477" si="439">+IF($CD$1="malé",0,DA2471)</f>
        <v>0</v>
      </c>
      <c r="DS2471" s="130">
        <f>SI!BY2471</f>
        <v>8</v>
      </c>
      <c r="DZ2471" s="131">
        <f>SI!BZ2471</f>
        <v>0</v>
      </c>
    </row>
    <row r="2472" spans="1:130" hidden="1" x14ac:dyDescent="0.25">
      <c r="A2472" s="141"/>
      <c r="B2472" s="379"/>
      <c r="C2472" s="379"/>
      <c r="D2472" s="379"/>
      <c r="E2472" s="379"/>
      <c r="F2472" s="379"/>
      <c r="G2472" s="379"/>
      <c r="H2472" s="379"/>
      <c r="I2472" s="379"/>
      <c r="J2472" s="379"/>
      <c r="K2472" s="379"/>
      <c r="L2472" s="379"/>
      <c r="M2472" s="379"/>
      <c r="N2472" s="379"/>
      <c r="O2472" s="379"/>
      <c r="P2472" s="379"/>
      <c r="Q2472" s="379"/>
      <c r="R2472" s="379"/>
      <c r="S2472" s="379"/>
      <c r="T2472" s="379"/>
      <c r="U2472" s="379"/>
      <c r="V2472" s="379"/>
      <c r="W2472" s="379"/>
      <c r="X2472" s="379"/>
      <c r="Y2472" s="379"/>
      <c r="Z2472" s="379"/>
      <c r="AA2472" s="379"/>
      <c r="AB2472" s="379"/>
      <c r="AC2472" s="379"/>
      <c r="AD2472" s="379"/>
      <c r="AE2472" s="379"/>
      <c r="AF2472" s="379"/>
      <c r="AG2472" s="379"/>
      <c r="AH2472" s="379"/>
      <c r="AI2472" s="379"/>
      <c r="AJ2472" s="379"/>
      <c r="AK2472" s="379"/>
      <c r="AL2472" s="379"/>
      <c r="AM2472" s="379"/>
      <c r="AN2472" s="379"/>
      <c r="AO2472" s="379"/>
      <c r="AP2472" s="379"/>
      <c r="AQ2472" s="379"/>
      <c r="AR2472" s="379"/>
      <c r="AS2472" s="379"/>
      <c r="AT2472" s="379"/>
      <c r="AU2472" s="379"/>
      <c r="AV2472" s="379"/>
      <c r="AW2472" s="379"/>
      <c r="AX2472" s="379"/>
      <c r="AY2472" s="379"/>
      <c r="AZ2472" s="379"/>
      <c r="BA2472" s="379"/>
      <c r="BB2472" s="379"/>
      <c r="BC2472" s="379"/>
      <c r="BD2472" s="379"/>
      <c r="BE2472" s="379"/>
      <c r="BF2472" s="379"/>
      <c r="BG2472" s="379"/>
      <c r="BH2472" s="379"/>
      <c r="BI2472" s="379"/>
      <c r="BJ2472" s="379"/>
      <c r="BK2472" s="379"/>
      <c r="BL2472" s="379"/>
      <c r="BM2472" s="379"/>
      <c r="BN2472" s="379"/>
      <c r="BO2472" s="379"/>
      <c r="BP2472" s="379"/>
      <c r="BQ2472" s="379"/>
      <c r="BR2472" s="379"/>
      <c r="BS2472" s="379"/>
      <c r="BT2472" s="379"/>
      <c r="BU2472" s="379"/>
      <c r="BV2472" s="379"/>
      <c r="BW2472" s="379"/>
      <c r="BX2472" s="379"/>
      <c r="BY2472" s="379"/>
      <c r="BZ2472" s="379"/>
      <c r="CA2472" s="270"/>
      <c r="CB2472" s="3" t="str">
        <f t="shared" si="427"/>
        <v>Riadok bude skrytý.</v>
      </c>
      <c r="CC2472" s="271" t="s">
        <v>832</v>
      </c>
      <c r="CW2472" s="30">
        <f t="shared" si="438"/>
        <v>1</v>
      </c>
      <c r="CX2472" s="30">
        <f t="shared" si="437"/>
        <v>0</v>
      </c>
      <c r="CZ2472" s="30">
        <f t="shared" si="428"/>
        <v>1</v>
      </c>
      <c r="DA2472" s="52">
        <f t="shared" si="436"/>
        <v>0</v>
      </c>
      <c r="DB2472" s="2">
        <f t="shared" si="439"/>
        <v>0</v>
      </c>
      <c r="DS2472" s="130">
        <f>SI!BY2472</f>
        <v>119</v>
      </c>
      <c r="DZ2472" s="131">
        <f>SI!BZ2472</f>
        <v>0</v>
      </c>
    </row>
    <row r="2473" spans="1:130" hidden="1" x14ac:dyDescent="0.25">
      <c r="A2473" s="141"/>
      <c r="B2473" s="379"/>
      <c r="C2473" s="379"/>
      <c r="D2473" s="379"/>
      <c r="E2473" s="379"/>
      <c r="F2473" s="379"/>
      <c r="G2473" s="379"/>
      <c r="H2473" s="379"/>
      <c r="I2473" s="379"/>
      <c r="J2473" s="379"/>
      <c r="K2473" s="379"/>
      <c r="L2473" s="379"/>
      <c r="M2473" s="379"/>
      <c r="N2473" s="379"/>
      <c r="O2473" s="379"/>
      <c r="P2473" s="379"/>
      <c r="Q2473" s="379"/>
      <c r="R2473" s="379"/>
      <c r="S2473" s="379"/>
      <c r="T2473" s="379"/>
      <c r="U2473" s="379"/>
      <c r="V2473" s="379"/>
      <c r="W2473" s="379"/>
      <c r="X2473" s="379"/>
      <c r="Y2473" s="379"/>
      <c r="Z2473" s="379"/>
      <c r="AA2473" s="379"/>
      <c r="AB2473" s="379"/>
      <c r="AC2473" s="379"/>
      <c r="AD2473" s="379"/>
      <c r="AE2473" s="379"/>
      <c r="AF2473" s="379"/>
      <c r="AG2473" s="379"/>
      <c r="AH2473" s="379"/>
      <c r="AI2473" s="379"/>
      <c r="AJ2473" s="379"/>
      <c r="AK2473" s="379"/>
      <c r="AL2473" s="379"/>
      <c r="AM2473" s="379"/>
      <c r="AN2473" s="379"/>
      <c r="AO2473" s="379"/>
      <c r="AP2473" s="379"/>
      <c r="AQ2473" s="379"/>
      <c r="AR2473" s="379"/>
      <c r="AS2473" s="379"/>
      <c r="AT2473" s="379"/>
      <c r="AU2473" s="379"/>
      <c r="AV2473" s="379"/>
      <c r="AW2473" s="379"/>
      <c r="AX2473" s="379"/>
      <c r="AY2473" s="379"/>
      <c r="AZ2473" s="379"/>
      <c r="BA2473" s="379"/>
      <c r="BB2473" s="379"/>
      <c r="BC2473" s="379"/>
      <c r="BD2473" s="379"/>
      <c r="BE2473" s="379"/>
      <c r="BF2473" s="379"/>
      <c r="BG2473" s="379"/>
      <c r="BH2473" s="379"/>
      <c r="BI2473" s="379"/>
      <c r="BJ2473" s="379"/>
      <c r="BK2473" s="379"/>
      <c r="BL2473" s="379"/>
      <c r="BM2473" s="379"/>
      <c r="BN2473" s="379"/>
      <c r="BO2473" s="379"/>
      <c r="BP2473" s="379"/>
      <c r="BQ2473" s="379"/>
      <c r="BR2473" s="379"/>
      <c r="BS2473" s="379"/>
      <c r="BT2473" s="379"/>
      <c r="BU2473" s="379"/>
      <c r="BV2473" s="379"/>
      <c r="BW2473" s="379"/>
      <c r="BX2473" s="379"/>
      <c r="BY2473" s="379"/>
      <c r="BZ2473" s="379"/>
      <c r="CA2473" s="270"/>
      <c r="CB2473" s="3" t="str">
        <f t="shared" si="427"/>
        <v>Riadok bude skrytý.</v>
      </c>
      <c r="CC2473" s="271" t="s">
        <v>832</v>
      </c>
      <c r="CW2473" s="30">
        <f t="shared" si="438"/>
        <v>1</v>
      </c>
      <c r="CX2473" s="30">
        <f t="shared" si="437"/>
        <v>0</v>
      </c>
      <c r="CZ2473" s="30">
        <f t="shared" si="428"/>
        <v>1</v>
      </c>
      <c r="DA2473" s="52">
        <f t="shared" si="436"/>
        <v>0</v>
      </c>
      <c r="DB2473" s="2">
        <f t="shared" si="439"/>
        <v>0</v>
      </c>
      <c r="DS2473" s="130">
        <f>SI!BY2473</f>
        <v>171</v>
      </c>
      <c r="DZ2473" s="131">
        <f>SI!BZ2473</f>
        <v>0</v>
      </c>
    </row>
    <row r="2474" spans="1:130" hidden="1" x14ac:dyDescent="0.25">
      <c r="A2474" s="141"/>
      <c r="B2474" s="379"/>
      <c r="C2474" s="379"/>
      <c r="D2474" s="379"/>
      <c r="E2474" s="379"/>
      <c r="F2474" s="379"/>
      <c r="G2474" s="379"/>
      <c r="H2474" s="379"/>
      <c r="I2474" s="379"/>
      <c r="J2474" s="379"/>
      <c r="K2474" s="379"/>
      <c r="L2474" s="379"/>
      <c r="M2474" s="379"/>
      <c r="N2474" s="379"/>
      <c r="O2474" s="379"/>
      <c r="P2474" s="379"/>
      <c r="Q2474" s="379"/>
      <c r="R2474" s="379"/>
      <c r="S2474" s="379"/>
      <c r="T2474" s="379"/>
      <c r="U2474" s="379"/>
      <c r="V2474" s="379"/>
      <c r="W2474" s="379"/>
      <c r="X2474" s="379"/>
      <c r="Y2474" s="379"/>
      <c r="Z2474" s="379"/>
      <c r="AA2474" s="379"/>
      <c r="AB2474" s="379"/>
      <c r="AC2474" s="379"/>
      <c r="AD2474" s="379"/>
      <c r="AE2474" s="379"/>
      <c r="AF2474" s="379"/>
      <c r="AG2474" s="379"/>
      <c r="AH2474" s="379"/>
      <c r="AI2474" s="379"/>
      <c r="AJ2474" s="379"/>
      <c r="AK2474" s="379"/>
      <c r="AL2474" s="379"/>
      <c r="AM2474" s="379"/>
      <c r="AN2474" s="379"/>
      <c r="AO2474" s="379"/>
      <c r="AP2474" s="379"/>
      <c r="AQ2474" s="379"/>
      <c r="AR2474" s="379"/>
      <c r="AS2474" s="379"/>
      <c r="AT2474" s="379"/>
      <c r="AU2474" s="379"/>
      <c r="AV2474" s="379"/>
      <c r="AW2474" s="379"/>
      <c r="AX2474" s="379"/>
      <c r="AY2474" s="379"/>
      <c r="AZ2474" s="379"/>
      <c r="BA2474" s="379"/>
      <c r="BB2474" s="379"/>
      <c r="BC2474" s="379"/>
      <c r="BD2474" s="379"/>
      <c r="BE2474" s="379"/>
      <c r="BF2474" s="379"/>
      <c r="BG2474" s="379"/>
      <c r="BH2474" s="379"/>
      <c r="BI2474" s="379"/>
      <c r="BJ2474" s="379"/>
      <c r="BK2474" s="379"/>
      <c r="BL2474" s="379"/>
      <c r="BM2474" s="379"/>
      <c r="BN2474" s="379"/>
      <c r="BO2474" s="379"/>
      <c r="BP2474" s="379"/>
      <c r="BQ2474" s="379"/>
      <c r="BR2474" s="379"/>
      <c r="BS2474" s="379"/>
      <c r="BT2474" s="379"/>
      <c r="BU2474" s="379"/>
      <c r="BV2474" s="379"/>
      <c r="BW2474" s="379"/>
      <c r="BX2474" s="379"/>
      <c r="BY2474" s="379"/>
      <c r="BZ2474" s="379"/>
      <c r="CA2474" s="270"/>
      <c r="CB2474" s="3" t="str">
        <f t="shared" si="427"/>
        <v>Riadok bude skrytý.</v>
      </c>
      <c r="CC2474" s="271" t="s">
        <v>832</v>
      </c>
      <c r="CW2474" s="30">
        <f t="shared" si="438"/>
        <v>1</v>
      </c>
      <c r="CX2474" s="30">
        <f t="shared" si="437"/>
        <v>0</v>
      </c>
      <c r="CZ2474" s="30">
        <f t="shared" si="428"/>
        <v>1</v>
      </c>
      <c r="DA2474" s="52">
        <f t="shared" si="436"/>
        <v>0</v>
      </c>
      <c r="DB2474" s="2">
        <f t="shared" si="439"/>
        <v>0</v>
      </c>
      <c r="DS2474" s="130">
        <f>SI!BY2474</f>
        <v>121</v>
      </c>
      <c r="DZ2474" s="131">
        <f>SI!BZ2474</f>
        <v>0</v>
      </c>
    </row>
    <row r="2475" spans="1:130" hidden="1" x14ac:dyDescent="0.25">
      <c r="A2475" s="141"/>
      <c r="CA2475" s="270"/>
      <c r="CB2475" s="3" t="str">
        <f t="shared" si="427"/>
        <v>Riadok bude skrytý.</v>
      </c>
      <c r="CC2475" s="271" t="s">
        <v>832</v>
      </c>
      <c r="CW2475" s="49">
        <v>1</v>
      </c>
      <c r="CZ2475" s="30">
        <f t="shared" si="428"/>
        <v>1</v>
      </c>
      <c r="DA2475" s="30">
        <f>+IF(CW2475+CX2475+CY2475=0,0,IF(CZ2475=0,0,1))</f>
        <v>1</v>
      </c>
      <c r="DB2475" s="2">
        <f t="shared" si="439"/>
        <v>0</v>
      </c>
      <c r="DS2475" s="130">
        <f>SI!BY2475</f>
        <v>139</v>
      </c>
      <c r="DZ2475" s="131">
        <f>SI!BZ2475</f>
        <v>0</v>
      </c>
    </row>
    <row r="2476" spans="1:130" hidden="1" x14ac:dyDescent="0.25">
      <c r="A2476" s="141"/>
      <c r="B2476" s="289" t="s">
        <v>260</v>
      </c>
      <c r="C2476" s="288"/>
      <c r="D2476" s="288"/>
      <c r="E2476" s="288"/>
      <c r="F2476" s="288"/>
      <c r="G2476" s="289" t="s">
        <v>71</v>
      </c>
      <c r="H2476" s="289"/>
      <c r="I2476" s="288"/>
      <c r="J2476" s="288"/>
      <c r="K2476" s="288"/>
      <c r="L2476" s="288"/>
      <c r="M2476" s="288"/>
      <c r="N2476" s="288"/>
      <c r="O2476" s="288"/>
      <c r="P2476" s="288"/>
      <c r="Q2476" s="288"/>
      <c r="R2476" s="288"/>
      <c r="S2476" s="288"/>
      <c r="T2476" s="288"/>
      <c r="U2476" s="288"/>
      <c r="V2476" s="288"/>
      <c r="W2476" s="288"/>
      <c r="X2476" s="288"/>
      <c r="Y2476" s="288"/>
      <c r="Z2476" s="288"/>
      <c r="AA2476" s="288"/>
      <c r="AB2476" s="288"/>
      <c r="AC2476" s="288"/>
      <c r="AD2476" s="288"/>
      <c r="AE2476" s="288"/>
      <c r="AF2476" s="288"/>
      <c r="AG2476" s="288"/>
      <c r="AH2476" s="288"/>
      <c r="AI2476" s="288"/>
      <c r="AJ2476" s="288"/>
      <c r="AK2476" s="288"/>
      <c r="AL2476" s="288"/>
      <c r="AM2476" s="288"/>
      <c r="AN2476" s="288"/>
      <c r="AO2476" s="288"/>
      <c r="AP2476" s="288"/>
      <c r="AQ2476" s="288"/>
      <c r="AR2476" s="288"/>
      <c r="AS2476" s="288"/>
      <c r="AT2476" s="288"/>
      <c r="AU2476" s="288"/>
      <c r="AV2476" s="288"/>
      <c r="AW2476" s="288"/>
      <c r="AX2476" s="288"/>
      <c r="AY2476" s="288"/>
      <c r="AZ2476" s="288"/>
      <c r="BA2476" s="288"/>
      <c r="BB2476" s="288"/>
      <c r="BC2476" s="288"/>
      <c r="BD2476" s="288"/>
      <c r="BE2476" s="288"/>
      <c r="BF2476" s="288"/>
      <c r="BG2476" s="288"/>
      <c r="BH2476" s="288"/>
      <c r="BI2476" s="288"/>
      <c r="BJ2476" s="288"/>
      <c r="BK2476" s="288"/>
      <c r="BL2476" s="288"/>
      <c r="BM2476" s="288"/>
      <c r="BN2476" s="288"/>
      <c r="BO2476" s="288"/>
      <c r="BP2476" s="288"/>
      <c r="BQ2476" s="288"/>
      <c r="BR2476" s="288"/>
      <c r="BS2476" s="288"/>
      <c r="BT2476" s="288"/>
      <c r="BU2476" s="288"/>
      <c r="BV2476" s="288"/>
      <c r="BW2476" s="288"/>
      <c r="BX2476" s="288"/>
      <c r="BY2476" s="288"/>
      <c r="BZ2476" s="288"/>
      <c r="CA2476" s="265" t="s">
        <v>773</v>
      </c>
      <c r="CB2476" s="3" t="str">
        <f t="shared" si="427"/>
        <v>Riadok bude skrytý.</v>
      </c>
      <c r="CW2476" s="49">
        <v>1</v>
      </c>
      <c r="CZ2476" s="30">
        <f t="shared" si="428"/>
        <v>1</v>
      </c>
      <c r="DA2476" s="30">
        <f>+IF(CW2476+CX2476+CY2476=0,0,IF(CZ2476=0,0,1))</f>
        <v>1</v>
      </c>
      <c r="DB2476" s="2">
        <f t="shared" si="439"/>
        <v>0</v>
      </c>
      <c r="DS2476" s="130">
        <f>SI!BY2476</f>
        <v>582</v>
      </c>
      <c r="DZ2476" s="131">
        <f>SI!BZ2476</f>
        <v>0</v>
      </c>
    </row>
    <row r="2477" spans="1:130" hidden="1" x14ac:dyDescent="0.25">
      <c r="A2477" s="141"/>
      <c r="B2477" s="7"/>
      <c r="G2477" s="7"/>
      <c r="H2477" s="7"/>
      <c r="CA2477" s="142"/>
      <c r="CB2477" s="3" t="str">
        <f t="shared" si="427"/>
        <v>Riadok bude skrytý.</v>
      </c>
      <c r="CW2477" s="49">
        <v>1</v>
      </c>
      <c r="CZ2477" s="30">
        <f t="shared" si="428"/>
        <v>1</v>
      </c>
      <c r="DA2477" s="30">
        <f>+IF(CW2477+CX2477+CY2477=0,0,IF(CZ2477=0,0,1))</f>
        <v>1</v>
      </c>
      <c r="DB2477" s="2">
        <f t="shared" si="439"/>
        <v>0</v>
      </c>
      <c r="DS2477" s="130">
        <f>SI!BY2477</f>
        <v>202</v>
      </c>
      <c r="DZ2477" s="131">
        <f>SI!BZ2477</f>
        <v>0</v>
      </c>
    </row>
    <row r="2478" spans="1:130" x14ac:dyDescent="0.25">
      <c r="A2478" s="141"/>
      <c r="B2478" s="137" t="s">
        <v>208</v>
      </c>
      <c r="J2478" s="378" t="s">
        <v>1064</v>
      </c>
      <c r="K2478" s="378"/>
      <c r="L2478" s="378"/>
      <c r="M2478" s="378"/>
      <c r="N2478" s="378"/>
      <c r="O2478" s="378"/>
      <c r="P2478" s="378"/>
      <c r="Q2478" s="378"/>
      <c r="R2478" s="378"/>
      <c r="S2478" s="137" t="str">
        <f>+IF($U$52&lt;&gt;"",IF((ROUNDDOWN(CODE(MID($U$52,1,1)),0)-(BIN2DEC(1010)/10))*0+(LEN(SI!J2)+LEN(SI!J5))=DS2478,"finančné deriváty pri svojej bežnej činnosti.","NEPOVOLENÉ POUŽITIE!"),"NEPOVOLENÉ POUŽITIE!")</f>
        <v>finančné deriváty pri svojej bežnej činnosti.</v>
      </c>
      <c r="T2478" s="38"/>
      <c r="CA2478" s="142"/>
      <c r="CB2478" s="3" t="str">
        <f t="shared" si="427"/>
        <v>Riadok bude vidieť.</v>
      </c>
      <c r="CC2478" s="271" t="s">
        <v>832</v>
      </c>
      <c r="CF2478" s="13"/>
      <c r="CW2478" s="49">
        <v>1</v>
      </c>
      <c r="CZ2478" s="30">
        <f t="shared" si="428"/>
        <v>1</v>
      </c>
      <c r="DA2478" s="30">
        <f>+IF(CW2478+CX2478+CY2478=0,0,IF(CZ2478=0,0,1))</f>
        <v>1</v>
      </c>
      <c r="DB2478" s="140">
        <f t="shared" ref="DB2478:DB2541" si="440">+DA2478</f>
        <v>1</v>
      </c>
      <c r="DS2478" s="130">
        <f>SI!BY2478</f>
        <v>28</v>
      </c>
      <c r="DZ2478" s="131">
        <f>SI!BZ2478</f>
        <v>0</v>
      </c>
    </row>
    <row r="2479" spans="1:130" x14ac:dyDescent="0.25">
      <c r="A2479" s="141"/>
      <c r="B2479" s="137" t="str">
        <f>+IF($K$52&lt;&gt;"",IF(INT(SQRT((CODE(MID($K$52,1,1)))))*0+LEN(SI!J5)=DS2479,IF(J2478="používa","K derivátom Spoločnosť uvádza nasledujúce údaje:","Spoločnosť nemá pre túto časť poznámok obsahovú náplň."),"NEPOVOLENÉ POUŽITIE!"),"NEPOVOLENÉ POUŽITIE!")</f>
        <v>Spoločnosť nemá pre túto časť poznámok obsahovú náplň.</v>
      </c>
      <c r="CA2479" s="270"/>
      <c r="CB2479" s="3" t="str">
        <f t="shared" si="427"/>
        <v>Riadok bude vidieť.</v>
      </c>
      <c r="CC2479" s="271" t="s">
        <v>832</v>
      </c>
      <c r="CW2479" s="32">
        <f>+IF($J$2478="nepoužíva",1,1)</f>
        <v>1</v>
      </c>
      <c r="CZ2479" s="30">
        <f t="shared" si="428"/>
        <v>1</v>
      </c>
      <c r="DA2479" s="30">
        <f>+IF(CW2479+CX2479+CY2479=0,0,IF(CZ2479=0,0,1))</f>
        <v>1</v>
      </c>
      <c r="DB2479" s="140">
        <f t="shared" si="440"/>
        <v>1</v>
      </c>
      <c r="DS2479" s="130">
        <f>SI!BY2479</f>
        <v>15</v>
      </c>
      <c r="DZ2479" s="131">
        <f>SI!BZ2479</f>
        <v>0</v>
      </c>
    </row>
    <row r="2480" spans="1:130" hidden="1" x14ac:dyDescent="0.25">
      <c r="A2480" s="141"/>
      <c r="B2480" s="379"/>
      <c r="C2480" s="379"/>
      <c r="D2480" s="379"/>
      <c r="E2480" s="379"/>
      <c r="F2480" s="379"/>
      <c r="G2480" s="379"/>
      <c r="H2480" s="379"/>
      <c r="I2480" s="379"/>
      <c r="J2480" s="379"/>
      <c r="K2480" s="379"/>
      <c r="L2480" s="379"/>
      <c r="M2480" s="379"/>
      <c r="N2480" s="379"/>
      <c r="O2480" s="379"/>
      <c r="P2480" s="379"/>
      <c r="Q2480" s="379"/>
      <c r="R2480" s="379"/>
      <c r="S2480" s="379"/>
      <c r="T2480" s="379"/>
      <c r="U2480" s="379"/>
      <c r="V2480" s="379"/>
      <c r="W2480" s="379"/>
      <c r="X2480" s="379"/>
      <c r="Y2480" s="379"/>
      <c r="Z2480" s="379"/>
      <c r="AA2480" s="379"/>
      <c r="AB2480" s="379"/>
      <c r="AC2480" s="379"/>
      <c r="AD2480" s="379"/>
      <c r="AE2480" s="379"/>
      <c r="AF2480" s="379"/>
      <c r="AG2480" s="379"/>
      <c r="AH2480" s="379"/>
      <c r="AI2480" s="379"/>
      <c r="AJ2480" s="379"/>
      <c r="AK2480" s="379"/>
      <c r="AL2480" s="379"/>
      <c r="AM2480" s="379"/>
      <c r="AN2480" s="379"/>
      <c r="AO2480" s="379"/>
      <c r="AP2480" s="379"/>
      <c r="AQ2480" s="379"/>
      <c r="AR2480" s="379"/>
      <c r="AS2480" s="379"/>
      <c r="AT2480" s="379"/>
      <c r="AU2480" s="379"/>
      <c r="AV2480" s="379"/>
      <c r="AW2480" s="379"/>
      <c r="AX2480" s="379"/>
      <c r="AY2480" s="379"/>
      <c r="AZ2480" s="379"/>
      <c r="BA2480" s="379"/>
      <c r="BB2480" s="379"/>
      <c r="BC2480" s="379"/>
      <c r="BD2480" s="379"/>
      <c r="BE2480" s="379"/>
      <c r="BF2480" s="379"/>
      <c r="BG2480" s="379"/>
      <c r="BH2480" s="379"/>
      <c r="BI2480" s="379"/>
      <c r="BJ2480" s="379"/>
      <c r="BK2480" s="379"/>
      <c r="BL2480" s="379"/>
      <c r="BM2480" s="379"/>
      <c r="BN2480" s="379"/>
      <c r="BO2480" s="379"/>
      <c r="BP2480" s="379"/>
      <c r="BQ2480" s="379"/>
      <c r="BR2480" s="379"/>
      <c r="BS2480" s="379"/>
      <c r="BT2480" s="379"/>
      <c r="BU2480" s="379"/>
      <c r="BV2480" s="379"/>
      <c r="BW2480" s="379"/>
      <c r="BX2480" s="379"/>
      <c r="BY2480" s="379"/>
      <c r="BZ2480" s="379"/>
      <c r="CA2480" s="281"/>
      <c r="CB2480" s="3" t="str">
        <f t="shared" si="427"/>
        <v>Riadok bude skrytý.</v>
      </c>
      <c r="CC2480" s="271" t="s">
        <v>832</v>
      </c>
      <c r="CW2480" s="32">
        <f t="shared" ref="CW2480:CW2511" si="441">+IF($J$2478="nepoužíva",0,1)</f>
        <v>0</v>
      </c>
      <c r="CX2480" s="30">
        <f t="shared" ref="CX2480:CX2499" si="442">+IF(B2480="",0,1)</f>
        <v>0</v>
      </c>
      <c r="CZ2480" s="30">
        <f t="shared" si="428"/>
        <v>1</v>
      </c>
      <c r="DA2480" s="52">
        <f t="shared" ref="DA2480:DA2499" si="443">+IF(CW2480*CX2480=0,0,IF(CZ2480=0,0,1))</f>
        <v>0</v>
      </c>
      <c r="DB2480" s="140">
        <f t="shared" si="440"/>
        <v>0</v>
      </c>
      <c r="DS2480" s="130">
        <f>SI!BY2480</f>
        <v>988</v>
      </c>
      <c r="DZ2480" s="131">
        <f>SI!BZ2480</f>
        <v>0</v>
      </c>
    </row>
    <row r="2481" spans="1:130" hidden="1" x14ac:dyDescent="0.25">
      <c r="A2481" s="141"/>
      <c r="B2481" s="379"/>
      <c r="C2481" s="379"/>
      <c r="D2481" s="379"/>
      <c r="E2481" s="379"/>
      <c r="F2481" s="379"/>
      <c r="G2481" s="379"/>
      <c r="H2481" s="379"/>
      <c r="I2481" s="379"/>
      <c r="J2481" s="379"/>
      <c r="K2481" s="379"/>
      <c r="L2481" s="379"/>
      <c r="M2481" s="379"/>
      <c r="N2481" s="379"/>
      <c r="O2481" s="379"/>
      <c r="P2481" s="379"/>
      <c r="Q2481" s="379"/>
      <c r="R2481" s="379"/>
      <c r="S2481" s="379"/>
      <c r="T2481" s="379"/>
      <c r="U2481" s="379"/>
      <c r="V2481" s="379"/>
      <c r="W2481" s="379"/>
      <c r="X2481" s="379"/>
      <c r="Y2481" s="379"/>
      <c r="Z2481" s="379"/>
      <c r="AA2481" s="379"/>
      <c r="AB2481" s="379"/>
      <c r="AC2481" s="379"/>
      <c r="AD2481" s="379"/>
      <c r="AE2481" s="379"/>
      <c r="AF2481" s="379"/>
      <c r="AG2481" s="379"/>
      <c r="AH2481" s="379"/>
      <c r="AI2481" s="379"/>
      <c r="AJ2481" s="379"/>
      <c r="AK2481" s="379"/>
      <c r="AL2481" s="379"/>
      <c r="AM2481" s="379"/>
      <c r="AN2481" s="379"/>
      <c r="AO2481" s="379"/>
      <c r="AP2481" s="379"/>
      <c r="AQ2481" s="379"/>
      <c r="AR2481" s="379"/>
      <c r="AS2481" s="379"/>
      <c r="AT2481" s="379"/>
      <c r="AU2481" s="379"/>
      <c r="AV2481" s="379"/>
      <c r="AW2481" s="379"/>
      <c r="AX2481" s="379"/>
      <c r="AY2481" s="379"/>
      <c r="AZ2481" s="379"/>
      <c r="BA2481" s="379"/>
      <c r="BB2481" s="379"/>
      <c r="BC2481" s="379"/>
      <c r="BD2481" s="379"/>
      <c r="BE2481" s="379"/>
      <c r="BF2481" s="379"/>
      <c r="BG2481" s="379"/>
      <c r="BH2481" s="379"/>
      <c r="BI2481" s="379"/>
      <c r="BJ2481" s="379"/>
      <c r="BK2481" s="379"/>
      <c r="BL2481" s="379"/>
      <c r="BM2481" s="379"/>
      <c r="BN2481" s="379"/>
      <c r="BO2481" s="379"/>
      <c r="BP2481" s="379"/>
      <c r="BQ2481" s="379"/>
      <c r="BR2481" s="379"/>
      <c r="BS2481" s="379"/>
      <c r="BT2481" s="379"/>
      <c r="BU2481" s="379"/>
      <c r="BV2481" s="379"/>
      <c r="BW2481" s="379"/>
      <c r="BX2481" s="379"/>
      <c r="BY2481" s="379"/>
      <c r="BZ2481" s="379"/>
      <c r="CA2481" s="281"/>
      <c r="CB2481" s="3" t="str">
        <f t="shared" si="427"/>
        <v>Riadok bude skrytý.</v>
      </c>
      <c r="CC2481" s="271" t="s">
        <v>832</v>
      </c>
      <c r="CW2481" s="32">
        <f t="shared" si="441"/>
        <v>0</v>
      </c>
      <c r="CX2481" s="30">
        <f t="shared" si="442"/>
        <v>0</v>
      </c>
      <c r="CZ2481" s="30">
        <f t="shared" si="428"/>
        <v>1</v>
      </c>
      <c r="DA2481" s="52">
        <f t="shared" si="443"/>
        <v>0</v>
      </c>
      <c r="DB2481" s="140">
        <f t="shared" si="440"/>
        <v>0</v>
      </c>
      <c r="DS2481" s="130">
        <f>SI!BY2481</f>
        <v>173</v>
      </c>
      <c r="DZ2481" s="131">
        <f>SI!BZ2481</f>
        <v>0</v>
      </c>
    </row>
    <row r="2482" spans="1:130" hidden="1" x14ac:dyDescent="0.25">
      <c r="A2482" s="141"/>
      <c r="B2482" s="379"/>
      <c r="C2482" s="379"/>
      <c r="D2482" s="379"/>
      <c r="E2482" s="379"/>
      <c r="F2482" s="379"/>
      <c r="G2482" s="379"/>
      <c r="H2482" s="379"/>
      <c r="I2482" s="379"/>
      <c r="J2482" s="379"/>
      <c r="K2482" s="379"/>
      <c r="L2482" s="379"/>
      <c r="M2482" s="379"/>
      <c r="N2482" s="379"/>
      <c r="O2482" s="379"/>
      <c r="P2482" s="379"/>
      <c r="Q2482" s="379"/>
      <c r="R2482" s="379"/>
      <c r="S2482" s="379"/>
      <c r="T2482" s="379"/>
      <c r="U2482" s="379"/>
      <c r="V2482" s="379"/>
      <c r="W2482" s="379"/>
      <c r="X2482" s="379"/>
      <c r="Y2482" s="379"/>
      <c r="Z2482" s="379"/>
      <c r="AA2482" s="379"/>
      <c r="AB2482" s="379"/>
      <c r="AC2482" s="379"/>
      <c r="AD2482" s="379"/>
      <c r="AE2482" s="379"/>
      <c r="AF2482" s="379"/>
      <c r="AG2482" s="379"/>
      <c r="AH2482" s="379"/>
      <c r="AI2482" s="379"/>
      <c r="AJ2482" s="379"/>
      <c r="AK2482" s="379"/>
      <c r="AL2482" s="379"/>
      <c r="AM2482" s="379"/>
      <c r="AN2482" s="379"/>
      <c r="AO2482" s="379"/>
      <c r="AP2482" s="379"/>
      <c r="AQ2482" s="379"/>
      <c r="AR2482" s="379"/>
      <c r="AS2482" s="379"/>
      <c r="AT2482" s="379"/>
      <c r="AU2482" s="379"/>
      <c r="AV2482" s="379"/>
      <c r="AW2482" s="379"/>
      <c r="AX2482" s="379"/>
      <c r="AY2482" s="379"/>
      <c r="AZ2482" s="379"/>
      <c r="BA2482" s="379"/>
      <c r="BB2482" s="379"/>
      <c r="BC2482" s="379"/>
      <c r="BD2482" s="379"/>
      <c r="BE2482" s="379"/>
      <c r="BF2482" s="379"/>
      <c r="BG2482" s="379"/>
      <c r="BH2482" s="379"/>
      <c r="BI2482" s="379"/>
      <c r="BJ2482" s="379"/>
      <c r="BK2482" s="379"/>
      <c r="BL2482" s="379"/>
      <c r="BM2482" s="379"/>
      <c r="BN2482" s="379"/>
      <c r="BO2482" s="379"/>
      <c r="BP2482" s="379"/>
      <c r="BQ2482" s="379"/>
      <c r="BR2482" s="379"/>
      <c r="BS2482" s="379"/>
      <c r="BT2482" s="379"/>
      <c r="BU2482" s="379"/>
      <c r="BV2482" s="379"/>
      <c r="BW2482" s="379"/>
      <c r="BX2482" s="379"/>
      <c r="BY2482" s="379"/>
      <c r="BZ2482" s="379"/>
      <c r="CA2482" s="281"/>
      <c r="CB2482" s="3" t="str">
        <f t="shared" si="427"/>
        <v>Riadok bude skrytý.</v>
      </c>
      <c r="CC2482" s="271" t="s">
        <v>832</v>
      </c>
      <c r="CW2482" s="32">
        <f t="shared" si="441"/>
        <v>0</v>
      </c>
      <c r="CX2482" s="30">
        <f t="shared" si="442"/>
        <v>0</v>
      </c>
      <c r="CZ2482" s="30">
        <f t="shared" si="428"/>
        <v>1</v>
      </c>
      <c r="DA2482" s="52">
        <f t="shared" si="443"/>
        <v>0</v>
      </c>
      <c r="DB2482" s="140">
        <f t="shared" si="440"/>
        <v>0</v>
      </c>
      <c r="DS2482" s="130">
        <f>SI!BY2482</f>
        <v>582</v>
      </c>
      <c r="DZ2482" s="131">
        <f>SI!BZ2482</f>
        <v>0</v>
      </c>
    </row>
    <row r="2483" spans="1:130" hidden="1" x14ac:dyDescent="0.25">
      <c r="A2483" s="141"/>
      <c r="B2483" s="379"/>
      <c r="C2483" s="379"/>
      <c r="D2483" s="379"/>
      <c r="E2483" s="379"/>
      <c r="F2483" s="379"/>
      <c r="G2483" s="379"/>
      <c r="H2483" s="379"/>
      <c r="I2483" s="379"/>
      <c r="J2483" s="379"/>
      <c r="K2483" s="379"/>
      <c r="L2483" s="379"/>
      <c r="M2483" s="379"/>
      <c r="N2483" s="379"/>
      <c r="O2483" s="379"/>
      <c r="P2483" s="379"/>
      <c r="Q2483" s="379"/>
      <c r="R2483" s="379"/>
      <c r="S2483" s="379"/>
      <c r="T2483" s="379"/>
      <c r="U2483" s="379"/>
      <c r="V2483" s="379"/>
      <c r="W2483" s="379"/>
      <c r="X2483" s="379"/>
      <c r="Y2483" s="379"/>
      <c r="Z2483" s="379"/>
      <c r="AA2483" s="379"/>
      <c r="AB2483" s="379"/>
      <c r="AC2483" s="379"/>
      <c r="AD2483" s="379"/>
      <c r="AE2483" s="379"/>
      <c r="AF2483" s="379"/>
      <c r="AG2483" s="379"/>
      <c r="AH2483" s="379"/>
      <c r="AI2483" s="379"/>
      <c r="AJ2483" s="379"/>
      <c r="AK2483" s="379"/>
      <c r="AL2483" s="379"/>
      <c r="AM2483" s="379"/>
      <c r="AN2483" s="379"/>
      <c r="AO2483" s="379"/>
      <c r="AP2483" s="379"/>
      <c r="AQ2483" s="379"/>
      <c r="AR2483" s="379"/>
      <c r="AS2483" s="379"/>
      <c r="AT2483" s="379"/>
      <c r="AU2483" s="379"/>
      <c r="AV2483" s="379"/>
      <c r="AW2483" s="379"/>
      <c r="AX2483" s="379"/>
      <c r="AY2483" s="379"/>
      <c r="AZ2483" s="379"/>
      <c r="BA2483" s="379"/>
      <c r="BB2483" s="379"/>
      <c r="BC2483" s="379"/>
      <c r="BD2483" s="379"/>
      <c r="BE2483" s="379"/>
      <c r="BF2483" s="379"/>
      <c r="BG2483" s="379"/>
      <c r="BH2483" s="379"/>
      <c r="BI2483" s="379"/>
      <c r="BJ2483" s="379"/>
      <c r="BK2483" s="379"/>
      <c r="BL2483" s="379"/>
      <c r="BM2483" s="379"/>
      <c r="BN2483" s="379"/>
      <c r="BO2483" s="379"/>
      <c r="BP2483" s="379"/>
      <c r="BQ2483" s="379"/>
      <c r="BR2483" s="379"/>
      <c r="BS2483" s="379"/>
      <c r="BT2483" s="379"/>
      <c r="BU2483" s="379"/>
      <c r="BV2483" s="379"/>
      <c r="BW2483" s="379"/>
      <c r="BX2483" s="379"/>
      <c r="BY2483" s="379"/>
      <c r="BZ2483" s="379"/>
      <c r="CA2483" s="281"/>
      <c r="CB2483" s="3" t="str">
        <f t="shared" ref="CB2483:CB2546" si="444">+IF(DB2483=0,"Riadok bude skrytý.","Riadok bude vidieť.")</f>
        <v>Riadok bude skrytý.</v>
      </c>
      <c r="CC2483" s="271" t="s">
        <v>832</v>
      </c>
      <c r="CW2483" s="32">
        <f t="shared" si="441"/>
        <v>0</v>
      </c>
      <c r="CX2483" s="30">
        <f t="shared" si="442"/>
        <v>0</v>
      </c>
      <c r="CZ2483" s="30">
        <f t="shared" ref="CZ2483:CZ2546" si="445">IF(CC2483="",1,IF(CC2483="Chcem skryť riadok.",0,1))</f>
        <v>1</v>
      </c>
      <c r="DA2483" s="52">
        <f t="shared" si="443"/>
        <v>0</v>
      </c>
      <c r="DB2483" s="140">
        <f t="shared" si="440"/>
        <v>0</v>
      </c>
      <c r="DS2483" s="130">
        <f>SI!BY2483</f>
        <v>152</v>
      </c>
      <c r="DZ2483" s="131">
        <f>SI!BZ2483</f>
        <v>0</v>
      </c>
    </row>
    <row r="2484" spans="1:130" hidden="1" x14ac:dyDescent="0.25">
      <c r="A2484" s="141"/>
      <c r="B2484" s="379"/>
      <c r="C2484" s="379"/>
      <c r="D2484" s="379"/>
      <c r="E2484" s="379"/>
      <c r="F2484" s="379"/>
      <c r="G2484" s="379"/>
      <c r="H2484" s="379"/>
      <c r="I2484" s="379"/>
      <c r="J2484" s="379"/>
      <c r="K2484" s="379"/>
      <c r="L2484" s="379"/>
      <c r="M2484" s="379"/>
      <c r="N2484" s="379"/>
      <c r="O2484" s="379"/>
      <c r="P2484" s="379"/>
      <c r="Q2484" s="379"/>
      <c r="R2484" s="379"/>
      <c r="S2484" s="379"/>
      <c r="T2484" s="379"/>
      <c r="U2484" s="379"/>
      <c r="V2484" s="379"/>
      <c r="W2484" s="379"/>
      <c r="X2484" s="379"/>
      <c r="Y2484" s="379"/>
      <c r="Z2484" s="379"/>
      <c r="AA2484" s="379"/>
      <c r="AB2484" s="379"/>
      <c r="AC2484" s="379"/>
      <c r="AD2484" s="379"/>
      <c r="AE2484" s="379"/>
      <c r="AF2484" s="379"/>
      <c r="AG2484" s="379"/>
      <c r="AH2484" s="379"/>
      <c r="AI2484" s="379"/>
      <c r="AJ2484" s="379"/>
      <c r="AK2484" s="379"/>
      <c r="AL2484" s="379"/>
      <c r="AM2484" s="379"/>
      <c r="AN2484" s="379"/>
      <c r="AO2484" s="379"/>
      <c r="AP2484" s="379"/>
      <c r="AQ2484" s="379"/>
      <c r="AR2484" s="379"/>
      <c r="AS2484" s="379"/>
      <c r="AT2484" s="379"/>
      <c r="AU2484" s="379"/>
      <c r="AV2484" s="379"/>
      <c r="AW2484" s="379"/>
      <c r="AX2484" s="379"/>
      <c r="AY2484" s="379"/>
      <c r="AZ2484" s="379"/>
      <c r="BA2484" s="379"/>
      <c r="BB2484" s="379"/>
      <c r="BC2484" s="379"/>
      <c r="BD2484" s="379"/>
      <c r="BE2484" s="379"/>
      <c r="BF2484" s="379"/>
      <c r="BG2484" s="379"/>
      <c r="BH2484" s="379"/>
      <c r="BI2484" s="379"/>
      <c r="BJ2484" s="379"/>
      <c r="BK2484" s="379"/>
      <c r="BL2484" s="379"/>
      <c r="BM2484" s="379"/>
      <c r="BN2484" s="379"/>
      <c r="BO2484" s="379"/>
      <c r="BP2484" s="379"/>
      <c r="BQ2484" s="379"/>
      <c r="BR2484" s="379"/>
      <c r="BS2484" s="379"/>
      <c r="BT2484" s="379"/>
      <c r="BU2484" s="379"/>
      <c r="BV2484" s="379"/>
      <c r="BW2484" s="379"/>
      <c r="BX2484" s="379"/>
      <c r="BY2484" s="379"/>
      <c r="BZ2484" s="379"/>
      <c r="CA2484" s="281"/>
      <c r="CB2484" s="3" t="str">
        <f t="shared" si="444"/>
        <v>Riadok bude skrytý.</v>
      </c>
      <c r="CC2484" s="271" t="s">
        <v>832</v>
      </c>
      <c r="CW2484" s="32">
        <f t="shared" si="441"/>
        <v>0</v>
      </c>
      <c r="CX2484" s="30">
        <f t="shared" si="442"/>
        <v>0</v>
      </c>
      <c r="CZ2484" s="30">
        <f t="shared" si="445"/>
        <v>1</v>
      </c>
      <c r="DA2484" s="52">
        <f t="shared" si="443"/>
        <v>0</v>
      </c>
      <c r="DB2484" s="140">
        <f t="shared" si="440"/>
        <v>0</v>
      </c>
      <c r="DS2484" s="130">
        <f>SI!BY2484</f>
        <v>861</v>
      </c>
      <c r="DZ2484" s="131">
        <f>SI!BZ2484</f>
        <v>0</v>
      </c>
    </row>
    <row r="2485" spans="1:130" hidden="1" x14ac:dyDescent="0.25">
      <c r="A2485" s="141"/>
      <c r="B2485" s="379"/>
      <c r="C2485" s="379"/>
      <c r="D2485" s="379"/>
      <c r="E2485" s="379"/>
      <c r="F2485" s="379"/>
      <c r="G2485" s="379"/>
      <c r="H2485" s="379"/>
      <c r="I2485" s="379"/>
      <c r="J2485" s="379"/>
      <c r="K2485" s="379"/>
      <c r="L2485" s="379"/>
      <c r="M2485" s="379"/>
      <c r="N2485" s="379"/>
      <c r="O2485" s="379"/>
      <c r="P2485" s="379"/>
      <c r="Q2485" s="379"/>
      <c r="R2485" s="379"/>
      <c r="S2485" s="379"/>
      <c r="T2485" s="379"/>
      <c r="U2485" s="379"/>
      <c r="V2485" s="379"/>
      <c r="W2485" s="379"/>
      <c r="X2485" s="379"/>
      <c r="Y2485" s="379"/>
      <c r="Z2485" s="379"/>
      <c r="AA2485" s="379"/>
      <c r="AB2485" s="379"/>
      <c r="AC2485" s="379"/>
      <c r="AD2485" s="379"/>
      <c r="AE2485" s="379"/>
      <c r="AF2485" s="379"/>
      <c r="AG2485" s="379"/>
      <c r="AH2485" s="379"/>
      <c r="AI2485" s="379"/>
      <c r="AJ2485" s="379"/>
      <c r="AK2485" s="379"/>
      <c r="AL2485" s="379"/>
      <c r="AM2485" s="379"/>
      <c r="AN2485" s="379"/>
      <c r="AO2485" s="379"/>
      <c r="AP2485" s="379"/>
      <c r="AQ2485" s="379"/>
      <c r="AR2485" s="379"/>
      <c r="AS2485" s="379"/>
      <c r="AT2485" s="379"/>
      <c r="AU2485" s="379"/>
      <c r="AV2485" s="379"/>
      <c r="AW2485" s="379"/>
      <c r="AX2485" s="379"/>
      <c r="AY2485" s="379"/>
      <c r="AZ2485" s="379"/>
      <c r="BA2485" s="379"/>
      <c r="BB2485" s="379"/>
      <c r="BC2485" s="379"/>
      <c r="BD2485" s="379"/>
      <c r="BE2485" s="379"/>
      <c r="BF2485" s="379"/>
      <c r="BG2485" s="379"/>
      <c r="BH2485" s="379"/>
      <c r="BI2485" s="379"/>
      <c r="BJ2485" s="379"/>
      <c r="BK2485" s="379"/>
      <c r="BL2485" s="379"/>
      <c r="BM2485" s="379"/>
      <c r="BN2485" s="379"/>
      <c r="BO2485" s="379"/>
      <c r="BP2485" s="379"/>
      <c r="BQ2485" s="379"/>
      <c r="BR2485" s="379"/>
      <c r="BS2485" s="379"/>
      <c r="BT2485" s="379"/>
      <c r="BU2485" s="379"/>
      <c r="BV2485" s="379"/>
      <c r="BW2485" s="379"/>
      <c r="BX2485" s="379"/>
      <c r="BY2485" s="379"/>
      <c r="BZ2485" s="379"/>
      <c r="CA2485" s="281"/>
      <c r="CB2485" s="3" t="str">
        <f t="shared" si="444"/>
        <v>Riadok bude skrytý.</v>
      </c>
      <c r="CC2485" s="271" t="s">
        <v>832</v>
      </c>
      <c r="CW2485" s="32">
        <f t="shared" si="441"/>
        <v>0</v>
      </c>
      <c r="CX2485" s="30">
        <f t="shared" si="442"/>
        <v>0</v>
      </c>
      <c r="CZ2485" s="30">
        <f t="shared" si="445"/>
        <v>1</v>
      </c>
      <c r="DA2485" s="52">
        <f t="shared" si="443"/>
        <v>0</v>
      </c>
      <c r="DB2485" s="140">
        <f t="shared" si="440"/>
        <v>0</v>
      </c>
      <c r="DS2485" s="130">
        <f>SI!BY2485</f>
        <v>160</v>
      </c>
      <c r="DZ2485" s="131">
        <f>SI!BZ2485</f>
        <v>0</v>
      </c>
    </row>
    <row r="2486" spans="1:130" hidden="1" x14ac:dyDescent="0.25">
      <c r="A2486" s="141"/>
      <c r="B2486" s="379"/>
      <c r="C2486" s="379"/>
      <c r="D2486" s="379"/>
      <c r="E2486" s="379"/>
      <c r="F2486" s="379"/>
      <c r="G2486" s="379"/>
      <c r="H2486" s="379"/>
      <c r="I2486" s="379"/>
      <c r="J2486" s="379"/>
      <c r="K2486" s="379"/>
      <c r="L2486" s="379"/>
      <c r="M2486" s="379"/>
      <c r="N2486" s="379"/>
      <c r="O2486" s="379"/>
      <c r="P2486" s="379"/>
      <c r="Q2486" s="379"/>
      <c r="R2486" s="379"/>
      <c r="S2486" s="379"/>
      <c r="T2486" s="379"/>
      <c r="U2486" s="379"/>
      <c r="V2486" s="379"/>
      <c r="W2486" s="379"/>
      <c r="X2486" s="379"/>
      <c r="Y2486" s="379"/>
      <c r="Z2486" s="379"/>
      <c r="AA2486" s="379"/>
      <c r="AB2486" s="379"/>
      <c r="AC2486" s="379"/>
      <c r="AD2486" s="379"/>
      <c r="AE2486" s="379"/>
      <c r="AF2486" s="379"/>
      <c r="AG2486" s="379"/>
      <c r="AH2486" s="379"/>
      <c r="AI2486" s="379"/>
      <c r="AJ2486" s="379"/>
      <c r="AK2486" s="379"/>
      <c r="AL2486" s="379"/>
      <c r="AM2486" s="379"/>
      <c r="AN2486" s="379"/>
      <c r="AO2486" s="379"/>
      <c r="AP2486" s="379"/>
      <c r="AQ2486" s="379"/>
      <c r="AR2486" s="379"/>
      <c r="AS2486" s="379"/>
      <c r="AT2486" s="379"/>
      <c r="AU2486" s="379"/>
      <c r="AV2486" s="379"/>
      <c r="AW2486" s="379"/>
      <c r="AX2486" s="379"/>
      <c r="AY2486" s="379"/>
      <c r="AZ2486" s="379"/>
      <c r="BA2486" s="379"/>
      <c r="BB2486" s="379"/>
      <c r="BC2486" s="379"/>
      <c r="BD2486" s="379"/>
      <c r="BE2486" s="379"/>
      <c r="BF2486" s="379"/>
      <c r="BG2486" s="379"/>
      <c r="BH2486" s="379"/>
      <c r="BI2486" s="379"/>
      <c r="BJ2486" s="379"/>
      <c r="BK2486" s="379"/>
      <c r="BL2486" s="379"/>
      <c r="BM2486" s="379"/>
      <c r="BN2486" s="379"/>
      <c r="BO2486" s="379"/>
      <c r="BP2486" s="379"/>
      <c r="BQ2486" s="379"/>
      <c r="BR2486" s="379"/>
      <c r="BS2486" s="379"/>
      <c r="BT2486" s="379"/>
      <c r="BU2486" s="379"/>
      <c r="BV2486" s="379"/>
      <c r="BW2486" s="379"/>
      <c r="BX2486" s="379"/>
      <c r="BY2486" s="379"/>
      <c r="BZ2486" s="379"/>
      <c r="CA2486" s="281"/>
      <c r="CB2486" s="3" t="str">
        <f t="shared" si="444"/>
        <v>Riadok bude skrytý.</v>
      </c>
      <c r="CC2486" s="271" t="s">
        <v>832</v>
      </c>
      <c r="CW2486" s="32">
        <f t="shared" si="441"/>
        <v>0</v>
      </c>
      <c r="CX2486" s="30">
        <f t="shared" si="442"/>
        <v>0</v>
      </c>
      <c r="CZ2486" s="30">
        <f t="shared" si="445"/>
        <v>1</v>
      </c>
      <c r="DA2486" s="52">
        <f t="shared" si="443"/>
        <v>0</v>
      </c>
      <c r="DB2486" s="140">
        <f t="shared" si="440"/>
        <v>0</v>
      </c>
      <c r="DS2486" s="130">
        <f>SI!BY2486</f>
        <v>184</v>
      </c>
      <c r="DZ2486" s="131">
        <f>SI!BZ2486</f>
        <v>0</v>
      </c>
    </row>
    <row r="2487" spans="1:130" hidden="1" x14ac:dyDescent="0.25">
      <c r="A2487" s="141"/>
      <c r="B2487" s="379"/>
      <c r="C2487" s="379"/>
      <c r="D2487" s="379"/>
      <c r="E2487" s="379"/>
      <c r="F2487" s="379"/>
      <c r="G2487" s="379"/>
      <c r="H2487" s="379"/>
      <c r="I2487" s="379"/>
      <c r="J2487" s="379"/>
      <c r="K2487" s="379"/>
      <c r="L2487" s="379"/>
      <c r="M2487" s="379"/>
      <c r="N2487" s="379"/>
      <c r="O2487" s="379"/>
      <c r="P2487" s="379"/>
      <c r="Q2487" s="379"/>
      <c r="R2487" s="379"/>
      <c r="S2487" s="379"/>
      <c r="T2487" s="379"/>
      <c r="U2487" s="379"/>
      <c r="V2487" s="379"/>
      <c r="W2487" s="379"/>
      <c r="X2487" s="379"/>
      <c r="Y2487" s="379"/>
      <c r="Z2487" s="379"/>
      <c r="AA2487" s="379"/>
      <c r="AB2487" s="379"/>
      <c r="AC2487" s="379"/>
      <c r="AD2487" s="379"/>
      <c r="AE2487" s="379"/>
      <c r="AF2487" s="379"/>
      <c r="AG2487" s="379"/>
      <c r="AH2487" s="379"/>
      <c r="AI2487" s="379"/>
      <c r="AJ2487" s="379"/>
      <c r="AK2487" s="379"/>
      <c r="AL2487" s="379"/>
      <c r="AM2487" s="379"/>
      <c r="AN2487" s="379"/>
      <c r="AO2487" s="379"/>
      <c r="AP2487" s="379"/>
      <c r="AQ2487" s="379"/>
      <c r="AR2487" s="379"/>
      <c r="AS2487" s="379"/>
      <c r="AT2487" s="379"/>
      <c r="AU2487" s="379"/>
      <c r="AV2487" s="379"/>
      <c r="AW2487" s="379"/>
      <c r="AX2487" s="379"/>
      <c r="AY2487" s="379"/>
      <c r="AZ2487" s="379"/>
      <c r="BA2487" s="379"/>
      <c r="BB2487" s="379"/>
      <c r="BC2487" s="379"/>
      <c r="BD2487" s="379"/>
      <c r="BE2487" s="379"/>
      <c r="BF2487" s="379"/>
      <c r="BG2487" s="379"/>
      <c r="BH2487" s="379"/>
      <c r="BI2487" s="379"/>
      <c r="BJ2487" s="379"/>
      <c r="BK2487" s="379"/>
      <c r="BL2487" s="379"/>
      <c r="BM2487" s="379"/>
      <c r="BN2487" s="379"/>
      <c r="BO2487" s="379"/>
      <c r="BP2487" s="379"/>
      <c r="BQ2487" s="379"/>
      <c r="BR2487" s="379"/>
      <c r="BS2487" s="379"/>
      <c r="BT2487" s="379"/>
      <c r="BU2487" s="379"/>
      <c r="BV2487" s="379"/>
      <c r="BW2487" s="379"/>
      <c r="BX2487" s="379"/>
      <c r="BY2487" s="379"/>
      <c r="BZ2487" s="379"/>
      <c r="CA2487" s="281"/>
      <c r="CB2487" s="3" t="str">
        <f t="shared" si="444"/>
        <v>Riadok bude skrytý.</v>
      </c>
      <c r="CC2487" s="271" t="s">
        <v>832</v>
      </c>
      <c r="CW2487" s="32">
        <f t="shared" si="441"/>
        <v>0</v>
      </c>
      <c r="CX2487" s="30">
        <f t="shared" si="442"/>
        <v>0</v>
      </c>
      <c r="CZ2487" s="30">
        <f t="shared" si="445"/>
        <v>1</v>
      </c>
      <c r="DA2487" s="52">
        <f t="shared" si="443"/>
        <v>0</v>
      </c>
      <c r="DB2487" s="140">
        <f t="shared" si="440"/>
        <v>0</v>
      </c>
      <c r="DS2487" s="130">
        <f>SI!BY2487</f>
        <v>461</v>
      </c>
      <c r="DZ2487" s="131">
        <f>SI!BZ2487</f>
        <v>0</v>
      </c>
    </row>
    <row r="2488" spans="1:130" hidden="1" x14ac:dyDescent="0.25">
      <c r="A2488" s="141"/>
      <c r="B2488" s="379"/>
      <c r="C2488" s="379"/>
      <c r="D2488" s="379"/>
      <c r="E2488" s="379"/>
      <c r="F2488" s="379"/>
      <c r="G2488" s="379"/>
      <c r="H2488" s="379"/>
      <c r="I2488" s="379"/>
      <c r="J2488" s="379"/>
      <c r="K2488" s="379"/>
      <c r="L2488" s="379"/>
      <c r="M2488" s="379"/>
      <c r="N2488" s="379"/>
      <c r="O2488" s="379"/>
      <c r="P2488" s="379"/>
      <c r="Q2488" s="379"/>
      <c r="R2488" s="379"/>
      <c r="S2488" s="379"/>
      <c r="T2488" s="379"/>
      <c r="U2488" s="379"/>
      <c r="V2488" s="379"/>
      <c r="W2488" s="379"/>
      <c r="X2488" s="379"/>
      <c r="Y2488" s="379"/>
      <c r="Z2488" s="379"/>
      <c r="AA2488" s="379"/>
      <c r="AB2488" s="379"/>
      <c r="AC2488" s="379"/>
      <c r="AD2488" s="379"/>
      <c r="AE2488" s="379"/>
      <c r="AF2488" s="379"/>
      <c r="AG2488" s="379"/>
      <c r="AH2488" s="379"/>
      <c r="AI2488" s="379"/>
      <c r="AJ2488" s="379"/>
      <c r="AK2488" s="379"/>
      <c r="AL2488" s="379"/>
      <c r="AM2488" s="379"/>
      <c r="AN2488" s="379"/>
      <c r="AO2488" s="379"/>
      <c r="AP2488" s="379"/>
      <c r="AQ2488" s="379"/>
      <c r="AR2488" s="379"/>
      <c r="AS2488" s="379"/>
      <c r="AT2488" s="379"/>
      <c r="AU2488" s="379"/>
      <c r="AV2488" s="379"/>
      <c r="AW2488" s="379"/>
      <c r="AX2488" s="379"/>
      <c r="AY2488" s="379"/>
      <c r="AZ2488" s="379"/>
      <c r="BA2488" s="379"/>
      <c r="BB2488" s="379"/>
      <c r="BC2488" s="379"/>
      <c r="BD2488" s="379"/>
      <c r="BE2488" s="379"/>
      <c r="BF2488" s="379"/>
      <c r="BG2488" s="379"/>
      <c r="BH2488" s="379"/>
      <c r="BI2488" s="379"/>
      <c r="BJ2488" s="379"/>
      <c r="BK2488" s="379"/>
      <c r="BL2488" s="379"/>
      <c r="BM2488" s="379"/>
      <c r="BN2488" s="379"/>
      <c r="BO2488" s="379"/>
      <c r="BP2488" s="379"/>
      <c r="BQ2488" s="379"/>
      <c r="BR2488" s="379"/>
      <c r="BS2488" s="379"/>
      <c r="BT2488" s="379"/>
      <c r="BU2488" s="379"/>
      <c r="BV2488" s="379"/>
      <c r="BW2488" s="379"/>
      <c r="BX2488" s="379"/>
      <c r="BY2488" s="379"/>
      <c r="BZ2488" s="379"/>
      <c r="CA2488" s="281"/>
      <c r="CB2488" s="3" t="str">
        <f t="shared" si="444"/>
        <v>Riadok bude skrytý.</v>
      </c>
      <c r="CC2488" s="271" t="s">
        <v>832</v>
      </c>
      <c r="CW2488" s="32">
        <f t="shared" si="441"/>
        <v>0</v>
      </c>
      <c r="CX2488" s="30">
        <f t="shared" si="442"/>
        <v>0</v>
      </c>
      <c r="CZ2488" s="30">
        <f t="shared" si="445"/>
        <v>1</v>
      </c>
      <c r="DA2488" s="52">
        <f t="shared" si="443"/>
        <v>0</v>
      </c>
      <c r="DB2488" s="140">
        <f t="shared" si="440"/>
        <v>0</v>
      </c>
      <c r="DS2488" s="130">
        <f>SI!BY2488</f>
        <v>168</v>
      </c>
      <c r="DZ2488" s="131">
        <f>SI!BZ2488</f>
        <v>0</v>
      </c>
    </row>
    <row r="2489" spans="1:130" hidden="1" x14ac:dyDescent="0.25">
      <c r="A2489" s="141"/>
      <c r="B2489" s="379"/>
      <c r="C2489" s="379"/>
      <c r="D2489" s="379"/>
      <c r="E2489" s="379"/>
      <c r="F2489" s="379"/>
      <c r="G2489" s="379"/>
      <c r="H2489" s="379"/>
      <c r="I2489" s="379"/>
      <c r="J2489" s="379"/>
      <c r="K2489" s="379"/>
      <c r="L2489" s="379"/>
      <c r="M2489" s="379"/>
      <c r="N2489" s="379"/>
      <c r="O2489" s="379"/>
      <c r="P2489" s="379"/>
      <c r="Q2489" s="379"/>
      <c r="R2489" s="379"/>
      <c r="S2489" s="379"/>
      <c r="T2489" s="379"/>
      <c r="U2489" s="379"/>
      <c r="V2489" s="379"/>
      <c r="W2489" s="379"/>
      <c r="X2489" s="379"/>
      <c r="Y2489" s="379"/>
      <c r="Z2489" s="379"/>
      <c r="AA2489" s="379"/>
      <c r="AB2489" s="379"/>
      <c r="AC2489" s="379"/>
      <c r="AD2489" s="379"/>
      <c r="AE2489" s="379"/>
      <c r="AF2489" s="379"/>
      <c r="AG2489" s="379"/>
      <c r="AH2489" s="379"/>
      <c r="AI2489" s="379"/>
      <c r="AJ2489" s="379"/>
      <c r="AK2489" s="379"/>
      <c r="AL2489" s="379"/>
      <c r="AM2489" s="379"/>
      <c r="AN2489" s="379"/>
      <c r="AO2489" s="379"/>
      <c r="AP2489" s="379"/>
      <c r="AQ2489" s="379"/>
      <c r="AR2489" s="379"/>
      <c r="AS2489" s="379"/>
      <c r="AT2489" s="379"/>
      <c r="AU2489" s="379"/>
      <c r="AV2489" s="379"/>
      <c r="AW2489" s="379"/>
      <c r="AX2489" s="379"/>
      <c r="AY2489" s="379"/>
      <c r="AZ2489" s="379"/>
      <c r="BA2489" s="379"/>
      <c r="BB2489" s="379"/>
      <c r="BC2489" s="379"/>
      <c r="BD2489" s="379"/>
      <c r="BE2489" s="379"/>
      <c r="BF2489" s="379"/>
      <c r="BG2489" s="379"/>
      <c r="BH2489" s="379"/>
      <c r="BI2489" s="379"/>
      <c r="BJ2489" s="379"/>
      <c r="BK2489" s="379"/>
      <c r="BL2489" s="379"/>
      <c r="BM2489" s="379"/>
      <c r="BN2489" s="379"/>
      <c r="BO2489" s="379"/>
      <c r="BP2489" s="379"/>
      <c r="BQ2489" s="379"/>
      <c r="BR2489" s="379"/>
      <c r="BS2489" s="379"/>
      <c r="BT2489" s="379"/>
      <c r="BU2489" s="379"/>
      <c r="BV2489" s="379"/>
      <c r="BW2489" s="379"/>
      <c r="BX2489" s="379"/>
      <c r="BY2489" s="379"/>
      <c r="BZ2489" s="379"/>
      <c r="CA2489" s="281"/>
      <c r="CB2489" s="3" t="str">
        <f t="shared" si="444"/>
        <v>Riadok bude skrytý.</v>
      </c>
      <c r="CC2489" s="271" t="s">
        <v>832</v>
      </c>
      <c r="CW2489" s="32">
        <f t="shared" si="441"/>
        <v>0</v>
      </c>
      <c r="CX2489" s="30">
        <f t="shared" si="442"/>
        <v>0</v>
      </c>
      <c r="CZ2489" s="30">
        <f t="shared" si="445"/>
        <v>1</v>
      </c>
      <c r="DA2489" s="52">
        <f t="shared" si="443"/>
        <v>0</v>
      </c>
      <c r="DB2489" s="140">
        <f t="shared" si="440"/>
        <v>0</v>
      </c>
      <c r="DS2489" s="130">
        <f>SI!BY2489</f>
        <v>948</v>
      </c>
      <c r="DZ2489" s="131">
        <f>SI!BZ2489</f>
        <v>0</v>
      </c>
    </row>
    <row r="2490" spans="1:130" hidden="1" x14ac:dyDescent="0.25">
      <c r="A2490" s="141"/>
      <c r="B2490" s="379"/>
      <c r="C2490" s="379"/>
      <c r="D2490" s="379"/>
      <c r="E2490" s="379"/>
      <c r="F2490" s="379"/>
      <c r="G2490" s="379"/>
      <c r="H2490" s="379"/>
      <c r="I2490" s="379"/>
      <c r="J2490" s="379"/>
      <c r="K2490" s="379"/>
      <c r="L2490" s="379"/>
      <c r="M2490" s="379"/>
      <c r="N2490" s="379"/>
      <c r="O2490" s="379"/>
      <c r="P2490" s="379"/>
      <c r="Q2490" s="379"/>
      <c r="R2490" s="379"/>
      <c r="S2490" s="379"/>
      <c r="T2490" s="379"/>
      <c r="U2490" s="379"/>
      <c r="V2490" s="379"/>
      <c r="W2490" s="379"/>
      <c r="X2490" s="379"/>
      <c r="Y2490" s="379"/>
      <c r="Z2490" s="379"/>
      <c r="AA2490" s="379"/>
      <c r="AB2490" s="379"/>
      <c r="AC2490" s="379"/>
      <c r="AD2490" s="379"/>
      <c r="AE2490" s="379"/>
      <c r="AF2490" s="379"/>
      <c r="AG2490" s="379"/>
      <c r="AH2490" s="379"/>
      <c r="AI2490" s="379"/>
      <c r="AJ2490" s="379"/>
      <c r="AK2490" s="379"/>
      <c r="AL2490" s="379"/>
      <c r="AM2490" s="379"/>
      <c r="AN2490" s="379"/>
      <c r="AO2490" s="379"/>
      <c r="AP2490" s="379"/>
      <c r="AQ2490" s="379"/>
      <c r="AR2490" s="379"/>
      <c r="AS2490" s="379"/>
      <c r="AT2490" s="379"/>
      <c r="AU2490" s="379"/>
      <c r="AV2490" s="379"/>
      <c r="AW2490" s="379"/>
      <c r="AX2490" s="379"/>
      <c r="AY2490" s="379"/>
      <c r="AZ2490" s="379"/>
      <c r="BA2490" s="379"/>
      <c r="BB2490" s="379"/>
      <c r="BC2490" s="379"/>
      <c r="BD2490" s="379"/>
      <c r="BE2490" s="379"/>
      <c r="BF2490" s="379"/>
      <c r="BG2490" s="379"/>
      <c r="BH2490" s="379"/>
      <c r="BI2490" s="379"/>
      <c r="BJ2490" s="379"/>
      <c r="BK2490" s="379"/>
      <c r="BL2490" s="379"/>
      <c r="BM2490" s="379"/>
      <c r="BN2490" s="379"/>
      <c r="BO2490" s="379"/>
      <c r="BP2490" s="379"/>
      <c r="BQ2490" s="379"/>
      <c r="BR2490" s="379"/>
      <c r="BS2490" s="379"/>
      <c r="BT2490" s="379"/>
      <c r="BU2490" s="379"/>
      <c r="BV2490" s="379"/>
      <c r="BW2490" s="379"/>
      <c r="BX2490" s="379"/>
      <c r="BY2490" s="379"/>
      <c r="BZ2490" s="379"/>
      <c r="CA2490" s="281"/>
      <c r="CB2490" s="3" t="str">
        <f t="shared" si="444"/>
        <v>Riadok bude skrytý.</v>
      </c>
      <c r="CC2490" s="271" t="s">
        <v>832</v>
      </c>
      <c r="CW2490" s="32">
        <f t="shared" si="441"/>
        <v>0</v>
      </c>
      <c r="CX2490" s="30">
        <f t="shared" si="442"/>
        <v>0</v>
      </c>
      <c r="CZ2490" s="30">
        <f t="shared" si="445"/>
        <v>1</v>
      </c>
      <c r="DA2490" s="52">
        <f t="shared" si="443"/>
        <v>0</v>
      </c>
      <c r="DB2490" s="140">
        <f t="shared" si="440"/>
        <v>0</v>
      </c>
      <c r="DS2490" s="130">
        <f>SI!BY2490</f>
        <v>196</v>
      </c>
      <c r="DZ2490" s="131">
        <f>SI!BZ2490</f>
        <v>0</v>
      </c>
    </row>
    <row r="2491" spans="1:130" hidden="1" x14ac:dyDescent="0.25">
      <c r="A2491" s="141"/>
      <c r="B2491" s="379"/>
      <c r="C2491" s="379"/>
      <c r="D2491" s="379"/>
      <c r="E2491" s="379"/>
      <c r="F2491" s="379"/>
      <c r="G2491" s="379"/>
      <c r="H2491" s="379"/>
      <c r="I2491" s="379"/>
      <c r="J2491" s="379"/>
      <c r="K2491" s="379"/>
      <c r="L2491" s="379"/>
      <c r="M2491" s="379"/>
      <c r="N2491" s="379"/>
      <c r="O2491" s="379"/>
      <c r="P2491" s="379"/>
      <c r="Q2491" s="379"/>
      <c r="R2491" s="379"/>
      <c r="S2491" s="379"/>
      <c r="T2491" s="379"/>
      <c r="U2491" s="379"/>
      <c r="V2491" s="379"/>
      <c r="W2491" s="379"/>
      <c r="X2491" s="379"/>
      <c r="Y2491" s="379"/>
      <c r="Z2491" s="379"/>
      <c r="AA2491" s="379"/>
      <c r="AB2491" s="379"/>
      <c r="AC2491" s="379"/>
      <c r="AD2491" s="379"/>
      <c r="AE2491" s="379"/>
      <c r="AF2491" s="379"/>
      <c r="AG2491" s="379"/>
      <c r="AH2491" s="379"/>
      <c r="AI2491" s="379"/>
      <c r="AJ2491" s="379"/>
      <c r="AK2491" s="379"/>
      <c r="AL2491" s="379"/>
      <c r="AM2491" s="379"/>
      <c r="AN2491" s="379"/>
      <c r="AO2491" s="379"/>
      <c r="AP2491" s="379"/>
      <c r="AQ2491" s="379"/>
      <c r="AR2491" s="379"/>
      <c r="AS2491" s="379"/>
      <c r="AT2491" s="379"/>
      <c r="AU2491" s="379"/>
      <c r="AV2491" s="379"/>
      <c r="AW2491" s="379"/>
      <c r="AX2491" s="379"/>
      <c r="AY2491" s="379"/>
      <c r="AZ2491" s="379"/>
      <c r="BA2491" s="379"/>
      <c r="BB2491" s="379"/>
      <c r="BC2491" s="379"/>
      <c r="BD2491" s="379"/>
      <c r="BE2491" s="379"/>
      <c r="BF2491" s="379"/>
      <c r="BG2491" s="379"/>
      <c r="BH2491" s="379"/>
      <c r="BI2491" s="379"/>
      <c r="BJ2491" s="379"/>
      <c r="BK2491" s="379"/>
      <c r="BL2491" s="379"/>
      <c r="BM2491" s="379"/>
      <c r="BN2491" s="379"/>
      <c r="BO2491" s="379"/>
      <c r="BP2491" s="379"/>
      <c r="BQ2491" s="379"/>
      <c r="BR2491" s="379"/>
      <c r="BS2491" s="379"/>
      <c r="BT2491" s="379"/>
      <c r="BU2491" s="379"/>
      <c r="BV2491" s="379"/>
      <c r="BW2491" s="379"/>
      <c r="BX2491" s="379"/>
      <c r="BY2491" s="379"/>
      <c r="BZ2491" s="379"/>
      <c r="CA2491" s="281"/>
      <c r="CB2491" s="3" t="str">
        <f t="shared" si="444"/>
        <v>Riadok bude skrytý.</v>
      </c>
      <c r="CC2491" s="271" t="s">
        <v>832</v>
      </c>
      <c r="CW2491" s="32">
        <f t="shared" si="441"/>
        <v>0</v>
      </c>
      <c r="CX2491" s="30">
        <f t="shared" si="442"/>
        <v>0</v>
      </c>
      <c r="CZ2491" s="30">
        <f t="shared" si="445"/>
        <v>1</v>
      </c>
      <c r="DA2491" s="52">
        <f t="shared" si="443"/>
        <v>0</v>
      </c>
      <c r="DB2491" s="140">
        <f t="shared" si="440"/>
        <v>0</v>
      </c>
      <c r="DS2491" s="130">
        <f>SI!BY2491</f>
        <v>1043</v>
      </c>
      <c r="DZ2491" s="131">
        <f>SI!BZ2491</f>
        <v>0</v>
      </c>
    </row>
    <row r="2492" spans="1:130" hidden="1" x14ac:dyDescent="0.25">
      <c r="A2492" s="141"/>
      <c r="B2492" s="379"/>
      <c r="C2492" s="379"/>
      <c r="D2492" s="379"/>
      <c r="E2492" s="379"/>
      <c r="F2492" s="379"/>
      <c r="G2492" s="379"/>
      <c r="H2492" s="379"/>
      <c r="I2492" s="379"/>
      <c r="J2492" s="379"/>
      <c r="K2492" s="379"/>
      <c r="L2492" s="379"/>
      <c r="M2492" s="379"/>
      <c r="N2492" s="379"/>
      <c r="O2492" s="379"/>
      <c r="P2492" s="379"/>
      <c r="Q2492" s="379"/>
      <c r="R2492" s="379"/>
      <c r="S2492" s="379"/>
      <c r="T2492" s="379"/>
      <c r="U2492" s="379"/>
      <c r="V2492" s="379"/>
      <c r="W2492" s="379"/>
      <c r="X2492" s="379"/>
      <c r="Y2492" s="379"/>
      <c r="Z2492" s="379"/>
      <c r="AA2492" s="379"/>
      <c r="AB2492" s="379"/>
      <c r="AC2492" s="379"/>
      <c r="AD2492" s="379"/>
      <c r="AE2492" s="379"/>
      <c r="AF2492" s="379"/>
      <c r="AG2492" s="379"/>
      <c r="AH2492" s="379"/>
      <c r="AI2492" s="379"/>
      <c r="AJ2492" s="379"/>
      <c r="AK2492" s="379"/>
      <c r="AL2492" s="379"/>
      <c r="AM2492" s="379"/>
      <c r="AN2492" s="379"/>
      <c r="AO2492" s="379"/>
      <c r="AP2492" s="379"/>
      <c r="AQ2492" s="379"/>
      <c r="AR2492" s="379"/>
      <c r="AS2492" s="379"/>
      <c r="AT2492" s="379"/>
      <c r="AU2492" s="379"/>
      <c r="AV2492" s="379"/>
      <c r="AW2492" s="379"/>
      <c r="AX2492" s="379"/>
      <c r="AY2492" s="379"/>
      <c r="AZ2492" s="379"/>
      <c r="BA2492" s="379"/>
      <c r="BB2492" s="379"/>
      <c r="BC2492" s="379"/>
      <c r="BD2492" s="379"/>
      <c r="BE2492" s="379"/>
      <c r="BF2492" s="379"/>
      <c r="BG2492" s="379"/>
      <c r="BH2492" s="379"/>
      <c r="BI2492" s="379"/>
      <c r="BJ2492" s="379"/>
      <c r="BK2492" s="379"/>
      <c r="BL2492" s="379"/>
      <c r="BM2492" s="379"/>
      <c r="BN2492" s="379"/>
      <c r="BO2492" s="379"/>
      <c r="BP2492" s="379"/>
      <c r="BQ2492" s="379"/>
      <c r="BR2492" s="379"/>
      <c r="BS2492" s="379"/>
      <c r="BT2492" s="379"/>
      <c r="BU2492" s="379"/>
      <c r="BV2492" s="379"/>
      <c r="BW2492" s="379"/>
      <c r="BX2492" s="379"/>
      <c r="BY2492" s="379"/>
      <c r="BZ2492" s="379"/>
      <c r="CA2492" s="281"/>
      <c r="CB2492" s="3" t="str">
        <f t="shared" si="444"/>
        <v>Riadok bude skrytý.</v>
      </c>
      <c r="CC2492" s="271" t="s">
        <v>832</v>
      </c>
      <c r="CW2492" s="32">
        <f t="shared" si="441"/>
        <v>0</v>
      </c>
      <c r="CX2492" s="30">
        <f t="shared" si="442"/>
        <v>0</v>
      </c>
      <c r="CZ2492" s="30">
        <f t="shared" si="445"/>
        <v>1</v>
      </c>
      <c r="DA2492" s="52">
        <f t="shared" si="443"/>
        <v>0</v>
      </c>
      <c r="DB2492" s="140">
        <f t="shared" si="440"/>
        <v>0</v>
      </c>
      <c r="DS2492" s="130">
        <f>SI!BY2492</f>
        <v>122</v>
      </c>
      <c r="DZ2492" s="131">
        <f>SI!BZ2492</f>
        <v>0</v>
      </c>
    </row>
    <row r="2493" spans="1:130" hidden="1" x14ac:dyDescent="0.25">
      <c r="A2493" s="141"/>
      <c r="B2493" s="379"/>
      <c r="C2493" s="379"/>
      <c r="D2493" s="379"/>
      <c r="E2493" s="379"/>
      <c r="F2493" s="379"/>
      <c r="G2493" s="379"/>
      <c r="H2493" s="379"/>
      <c r="I2493" s="379"/>
      <c r="J2493" s="379"/>
      <c r="K2493" s="379"/>
      <c r="L2493" s="379"/>
      <c r="M2493" s="379"/>
      <c r="N2493" s="379"/>
      <c r="O2493" s="379"/>
      <c r="P2493" s="379"/>
      <c r="Q2493" s="379"/>
      <c r="R2493" s="379"/>
      <c r="S2493" s="379"/>
      <c r="T2493" s="379"/>
      <c r="U2493" s="379"/>
      <c r="V2493" s="379"/>
      <c r="W2493" s="379"/>
      <c r="X2493" s="379"/>
      <c r="Y2493" s="379"/>
      <c r="Z2493" s="379"/>
      <c r="AA2493" s="379"/>
      <c r="AB2493" s="379"/>
      <c r="AC2493" s="379"/>
      <c r="AD2493" s="379"/>
      <c r="AE2493" s="379"/>
      <c r="AF2493" s="379"/>
      <c r="AG2493" s="379"/>
      <c r="AH2493" s="379"/>
      <c r="AI2493" s="379"/>
      <c r="AJ2493" s="379"/>
      <c r="AK2493" s="379"/>
      <c r="AL2493" s="379"/>
      <c r="AM2493" s="379"/>
      <c r="AN2493" s="379"/>
      <c r="AO2493" s="379"/>
      <c r="AP2493" s="379"/>
      <c r="AQ2493" s="379"/>
      <c r="AR2493" s="379"/>
      <c r="AS2493" s="379"/>
      <c r="AT2493" s="379"/>
      <c r="AU2493" s="379"/>
      <c r="AV2493" s="379"/>
      <c r="AW2493" s="379"/>
      <c r="AX2493" s="379"/>
      <c r="AY2493" s="379"/>
      <c r="AZ2493" s="379"/>
      <c r="BA2493" s="379"/>
      <c r="BB2493" s="379"/>
      <c r="BC2493" s="379"/>
      <c r="BD2493" s="379"/>
      <c r="BE2493" s="379"/>
      <c r="BF2493" s="379"/>
      <c r="BG2493" s="379"/>
      <c r="BH2493" s="379"/>
      <c r="BI2493" s="379"/>
      <c r="BJ2493" s="379"/>
      <c r="BK2493" s="379"/>
      <c r="BL2493" s="379"/>
      <c r="BM2493" s="379"/>
      <c r="BN2493" s="379"/>
      <c r="BO2493" s="379"/>
      <c r="BP2493" s="379"/>
      <c r="BQ2493" s="379"/>
      <c r="BR2493" s="379"/>
      <c r="BS2493" s="379"/>
      <c r="BT2493" s="379"/>
      <c r="BU2493" s="379"/>
      <c r="BV2493" s="379"/>
      <c r="BW2493" s="379"/>
      <c r="BX2493" s="379"/>
      <c r="BY2493" s="379"/>
      <c r="BZ2493" s="379"/>
      <c r="CA2493" s="281"/>
      <c r="CB2493" s="3" t="str">
        <f t="shared" si="444"/>
        <v>Riadok bude skrytý.</v>
      </c>
      <c r="CC2493" s="271" t="s">
        <v>832</v>
      </c>
      <c r="CW2493" s="32">
        <f t="shared" si="441"/>
        <v>0</v>
      </c>
      <c r="CX2493" s="30">
        <f t="shared" si="442"/>
        <v>0</v>
      </c>
      <c r="CZ2493" s="30">
        <f t="shared" si="445"/>
        <v>1</v>
      </c>
      <c r="DA2493" s="52">
        <f t="shared" si="443"/>
        <v>0</v>
      </c>
      <c r="DB2493" s="140">
        <f t="shared" si="440"/>
        <v>0</v>
      </c>
      <c r="DS2493" s="130">
        <f>SI!BY2493</f>
        <v>800</v>
      </c>
      <c r="DZ2493" s="131">
        <f>SI!BZ2493</f>
        <v>0</v>
      </c>
    </row>
    <row r="2494" spans="1:130" hidden="1" x14ac:dyDescent="0.25">
      <c r="A2494" s="141"/>
      <c r="B2494" s="379"/>
      <c r="C2494" s="379"/>
      <c r="D2494" s="379"/>
      <c r="E2494" s="379"/>
      <c r="F2494" s="379"/>
      <c r="G2494" s="379"/>
      <c r="H2494" s="379"/>
      <c r="I2494" s="379"/>
      <c r="J2494" s="379"/>
      <c r="K2494" s="379"/>
      <c r="L2494" s="379"/>
      <c r="M2494" s="379"/>
      <c r="N2494" s="379"/>
      <c r="O2494" s="379"/>
      <c r="P2494" s="379"/>
      <c r="Q2494" s="379"/>
      <c r="R2494" s="379"/>
      <c r="S2494" s="379"/>
      <c r="T2494" s="379"/>
      <c r="U2494" s="379"/>
      <c r="V2494" s="379"/>
      <c r="W2494" s="379"/>
      <c r="X2494" s="379"/>
      <c r="Y2494" s="379"/>
      <c r="Z2494" s="379"/>
      <c r="AA2494" s="379"/>
      <c r="AB2494" s="379"/>
      <c r="AC2494" s="379"/>
      <c r="AD2494" s="379"/>
      <c r="AE2494" s="379"/>
      <c r="AF2494" s="379"/>
      <c r="AG2494" s="379"/>
      <c r="AH2494" s="379"/>
      <c r="AI2494" s="379"/>
      <c r="AJ2494" s="379"/>
      <c r="AK2494" s="379"/>
      <c r="AL2494" s="379"/>
      <c r="AM2494" s="379"/>
      <c r="AN2494" s="379"/>
      <c r="AO2494" s="379"/>
      <c r="AP2494" s="379"/>
      <c r="AQ2494" s="379"/>
      <c r="AR2494" s="379"/>
      <c r="AS2494" s="379"/>
      <c r="AT2494" s="379"/>
      <c r="AU2494" s="379"/>
      <c r="AV2494" s="379"/>
      <c r="AW2494" s="379"/>
      <c r="AX2494" s="379"/>
      <c r="AY2494" s="379"/>
      <c r="AZ2494" s="379"/>
      <c r="BA2494" s="379"/>
      <c r="BB2494" s="379"/>
      <c r="BC2494" s="379"/>
      <c r="BD2494" s="379"/>
      <c r="BE2494" s="379"/>
      <c r="BF2494" s="379"/>
      <c r="BG2494" s="379"/>
      <c r="BH2494" s="379"/>
      <c r="BI2494" s="379"/>
      <c r="BJ2494" s="379"/>
      <c r="BK2494" s="379"/>
      <c r="BL2494" s="379"/>
      <c r="BM2494" s="379"/>
      <c r="BN2494" s="379"/>
      <c r="BO2494" s="379"/>
      <c r="BP2494" s="379"/>
      <c r="BQ2494" s="379"/>
      <c r="BR2494" s="379"/>
      <c r="BS2494" s="379"/>
      <c r="BT2494" s="379"/>
      <c r="BU2494" s="379"/>
      <c r="BV2494" s="379"/>
      <c r="BW2494" s="379"/>
      <c r="BX2494" s="379"/>
      <c r="BY2494" s="379"/>
      <c r="BZ2494" s="379"/>
      <c r="CA2494" s="281"/>
      <c r="CB2494" s="3" t="str">
        <f t="shared" si="444"/>
        <v>Riadok bude skrytý.</v>
      </c>
      <c r="CC2494" s="271" t="s">
        <v>832</v>
      </c>
      <c r="CW2494" s="32">
        <f t="shared" si="441"/>
        <v>0</v>
      </c>
      <c r="CX2494" s="30">
        <f t="shared" si="442"/>
        <v>0</v>
      </c>
      <c r="CZ2494" s="30">
        <f t="shared" si="445"/>
        <v>1</v>
      </c>
      <c r="DA2494" s="52">
        <f t="shared" si="443"/>
        <v>0</v>
      </c>
      <c r="DB2494" s="140">
        <f t="shared" si="440"/>
        <v>0</v>
      </c>
      <c r="DS2494" s="130">
        <f>SI!BY2494</f>
        <v>204</v>
      </c>
      <c r="DZ2494" s="131">
        <f>SI!BZ2494</f>
        <v>0</v>
      </c>
    </row>
    <row r="2495" spans="1:130" hidden="1" x14ac:dyDescent="0.25">
      <c r="A2495" s="141"/>
      <c r="B2495" s="379"/>
      <c r="C2495" s="379"/>
      <c r="D2495" s="379"/>
      <c r="E2495" s="379"/>
      <c r="F2495" s="379"/>
      <c r="G2495" s="379"/>
      <c r="H2495" s="379"/>
      <c r="I2495" s="379"/>
      <c r="J2495" s="379"/>
      <c r="K2495" s="379"/>
      <c r="L2495" s="379"/>
      <c r="M2495" s="379"/>
      <c r="N2495" s="379"/>
      <c r="O2495" s="379"/>
      <c r="P2495" s="379"/>
      <c r="Q2495" s="379"/>
      <c r="R2495" s="379"/>
      <c r="S2495" s="379"/>
      <c r="T2495" s="379"/>
      <c r="U2495" s="379"/>
      <c r="V2495" s="379"/>
      <c r="W2495" s="379"/>
      <c r="X2495" s="379"/>
      <c r="Y2495" s="379"/>
      <c r="Z2495" s="379"/>
      <c r="AA2495" s="379"/>
      <c r="AB2495" s="379"/>
      <c r="AC2495" s="379"/>
      <c r="AD2495" s="379"/>
      <c r="AE2495" s="379"/>
      <c r="AF2495" s="379"/>
      <c r="AG2495" s="379"/>
      <c r="AH2495" s="379"/>
      <c r="AI2495" s="379"/>
      <c r="AJ2495" s="379"/>
      <c r="AK2495" s="379"/>
      <c r="AL2495" s="379"/>
      <c r="AM2495" s="379"/>
      <c r="AN2495" s="379"/>
      <c r="AO2495" s="379"/>
      <c r="AP2495" s="379"/>
      <c r="AQ2495" s="379"/>
      <c r="AR2495" s="379"/>
      <c r="AS2495" s="379"/>
      <c r="AT2495" s="379"/>
      <c r="AU2495" s="379"/>
      <c r="AV2495" s="379"/>
      <c r="AW2495" s="379"/>
      <c r="AX2495" s="379"/>
      <c r="AY2495" s="379"/>
      <c r="AZ2495" s="379"/>
      <c r="BA2495" s="379"/>
      <c r="BB2495" s="379"/>
      <c r="BC2495" s="379"/>
      <c r="BD2495" s="379"/>
      <c r="BE2495" s="379"/>
      <c r="BF2495" s="379"/>
      <c r="BG2495" s="379"/>
      <c r="BH2495" s="379"/>
      <c r="BI2495" s="379"/>
      <c r="BJ2495" s="379"/>
      <c r="BK2495" s="379"/>
      <c r="BL2495" s="379"/>
      <c r="BM2495" s="379"/>
      <c r="BN2495" s="379"/>
      <c r="BO2495" s="379"/>
      <c r="BP2495" s="379"/>
      <c r="BQ2495" s="379"/>
      <c r="BR2495" s="379"/>
      <c r="BS2495" s="379"/>
      <c r="BT2495" s="379"/>
      <c r="BU2495" s="379"/>
      <c r="BV2495" s="379"/>
      <c r="BW2495" s="379"/>
      <c r="BX2495" s="379"/>
      <c r="BY2495" s="379"/>
      <c r="BZ2495" s="379"/>
      <c r="CA2495" s="281"/>
      <c r="CB2495" s="3" t="str">
        <f t="shared" si="444"/>
        <v>Riadok bude skrytý.</v>
      </c>
      <c r="CC2495" s="271" t="s">
        <v>832</v>
      </c>
      <c r="CW2495" s="32">
        <f t="shared" si="441"/>
        <v>0</v>
      </c>
      <c r="CX2495" s="30">
        <f t="shared" si="442"/>
        <v>0</v>
      </c>
      <c r="CZ2495" s="30">
        <f t="shared" si="445"/>
        <v>1</v>
      </c>
      <c r="DA2495" s="52">
        <f t="shared" si="443"/>
        <v>0</v>
      </c>
      <c r="DB2495" s="140">
        <f t="shared" si="440"/>
        <v>0</v>
      </c>
      <c r="DS2495" s="130">
        <f>SI!BY2495</f>
        <v>821</v>
      </c>
      <c r="DZ2495" s="131">
        <f>SI!BZ2495</f>
        <v>0</v>
      </c>
    </row>
    <row r="2496" spans="1:130" hidden="1" x14ac:dyDescent="0.25">
      <c r="A2496" s="141"/>
      <c r="B2496" s="379"/>
      <c r="C2496" s="379"/>
      <c r="D2496" s="379"/>
      <c r="E2496" s="379"/>
      <c r="F2496" s="379"/>
      <c r="G2496" s="379"/>
      <c r="H2496" s="379"/>
      <c r="I2496" s="379"/>
      <c r="J2496" s="379"/>
      <c r="K2496" s="379"/>
      <c r="L2496" s="379"/>
      <c r="M2496" s="379"/>
      <c r="N2496" s="379"/>
      <c r="O2496" s="379"/>
      <c r="P2496" s="379"/>
      <c r="Q2496" s="379"/>
      <c r="R2496" s="379"/>
      <c r="S2496" s="379"/>
      <c r="T2496" s="379"/>
      <c r="U2496" s="379"/>
      <c r="V2496" s="379"/>
      <c r="W2496" s="379"/>
      <c r="X2496" s="379"/>
      <c r="Y2496" s="379"/>
      <c r="Z2496" s="379"/>
      <c r="AA2496" s="379"/>
      <c r="AB2496" s="379"/>
      <c r="AC2496" s="379"/>
      <c r="AD2496" s="379"/>
      <c r="AE2496" s="379"/>
      <c r="AF2496" s="379"/>
      <c r="AG2496" s="379"/>
      <c r="AH2496" s="379"/>
      <c r="AI2496" s="379"/>
      <c r="AJ2496" s="379"/>
      <c r="AK2496" s="379"/>
      <c r="AL2496" s="379"/>
      <c r="AM2496" s="379"/>
      <c r="AN2496" s="379"/>
      <c r="AO2496" s="379"/>
      <c r="AP2496" s="379"/>
      <c r="AQ2496" s="379"/>
      <c r="AR2496" s="379"/>
      <c r="AS2496" s="379"/>
      <c r="AT2496" s="379"/>
      <c r="AU2496" s="379"/>
      <c r="AV2496" s="379"/>
      <c r="AW2496" s="379"/>
      <c r="AX2496" s="379"/>
      <c r="AY2496" s="379"/>
      <c r="AZ2496" s="379"/>
      <c r="BA2496" s="379"/>
      <c r="BB2496" s="379"/>
      <c r="BC2496" s="379"/>
      <c r="BD2496" s="379"/>
      <c r="BE2496" s="379"/>
      <c r="BF2496" s="379"/>
      <c r="BG2496" s="379"/>
      <c r="BH2496" s="379"/>
      <c r="BI2496" s="379"/>
      <c r="BJ2496" s="379"/>
      <c r="BK2496" s="379"/>
      <c r="BL2496" s="379"/>
      <c r="BM2496" s="379"/>
      <c r="BN2496" s="379"/>
      <c r="BO2496" s="379"/>
      <c r="BP2496" s="379"/>
      <c r="BQ2496" s="379"/>
      <c r="BR2496" s="379"/>
      <c r="BS2496" s="379"/>
      <c r="BT2496" s="379"/>
      <c r="BU2496" s="379"/>
      <c r="BV2496" s="379"/>
      <c r="BW2496" s="379"/>
      <c r="BX2496" s="379"/>
      <c r="BY2496" s="379"/>
      <c r="BZ2496" s="379"/>
      <c r="CA2496" s="281"/>
      <c r="CB2496" s="3" t="str">
        <f t="shared" si="444"/>
        <v>Riadok bude skrytý.</v>
      </c>
      <c r="CC2496" s="271" t="s">
        <v>832</v>
      </c>
      <c r="CW2496" s="32">
        <f t="shared" si="441"/>
        <v>0</v>
      </c>
      <c r="CX2496" s="30">
        <f t="shared" si="442"/>
        <v>0</v>
      </c>
      <c r="CZ2496" s="30">
        <f t="shared" si="445"/>
        <v>1</v>
      </c>
      <c r="DA2496" s="52">
        <f t="shared" si="443"/>
        <v>0</v>
      </c>
      <c r="DB2496" s="140">
        <f t="shared" si="440"/>
        <v>0</v>
      </c>
      <c r="DS2496" s="130">
        <f>SI!BY2496</f>
        <v>198</v>
      </c>
      <c r="DZ2496" s="131">
        <f>SI!BZ2496</f>
        <v>0</v>
      </c>
    </row>
    <row r="2497" spans="1:130" hidden="1" x14ac:dyDescent="0.25">
      <c r="A2497" s="141"/>
      <c r="B2497" s="379"/>
      <c r="C2497" s="379"/>
      <c r="D2497" s="379"/>
      <c r="E2497" s="379"/>
      <c r="F2497" s="379"/>
      <c r="G2497" s="379"/>
      <c r="H2497" s="379"/>
      <c r="I2497" s="379"/>
      <c r="J2497" s="379"/>
      <c r="K2497" s="379"/>
      <c r="L2497" s="379"/>
      <c r="M2497" s="379"/>
      <c r="N2497" s="379"/>
      <c r="O2497" s="379"/>
      <c r="P2497" s="379"/>
      <c r="Q2497" s="379"/>
      <c r="R2497" s="379"/>
      <c r="S2497" s="379"/>
      <c r="T2497" s="379"/>
      <c r="U2497" s="379"/>
      <c r="V2497" s="379"/>
      <c r="W2497" s="379"/>
      <c r="X2497" s="379"/>
      <c r="Y2497" s="379"/>
      <c r="Z2497" s="379"/>
      <c r="AA2497" s="379"/>
      <c r="AB2497" s="379"/>
      <c r="AC2497" s="379"/>
      <c r="AD2497" s="379"/>
      <c r="AE2497" s="379"/>
      <c r="AF2497" s="379"/>
      <c r="AG2497" s="379"/>
      <c r="AH2497" s="379"/>
      <c r="AI2497" s="379"/>
      <c r="AJ2497" s="379"/>
      <c r="AK2497" s="379"/>
      <c r="AL2497" s="379"/>
      <c r="AM2497" s="379"/>
      <c r="AN2497" s="379"/>
      <c r="AO2497" s="379"/>
      <c r="AP2497" s="379"/>
      <c r="AQ2497" s="379"/>
      <c r="AR2497" s="379"/>
      <c r="AS2497" s="379"/>
      <c r="AT2497" s="379"/>
      <c r="AU2497" s="379"/>
      <c r="AV2497" s="379"/>
      <c r="AW2497" s="379"/>
      <c r="AX2497" s="379"/>
      <c r="AY2497" s="379"/>
      <c r="AZ2497" s="379"/>
      <c r="BA2497" s="379"/>
      <c r="BB2497" s="379"/>
      <c r="BC2497" s="379"/>
      <c r="BD2497" s="379"/>
      <c r="BE2497" s="379"/>
      <c r="BF2497" s="379"/>
      <c r="BG2497" s="379"/>
      <c r="BH2497" s="379"/>
      <c r="BI2497" s="379"/>
      <c r="BJ2497" s="379"/>
      <c r="BK2497" s="379"/>
      <c r="BL2497" s="379"/>
      <c r="BM2497" s="379"/>
      <c r="BN2497" s="379"/>
      <c r="BO2497" s="379"/>
      <c r="BP2497" s="379"/>
      <c r="BQ2497" s="379"/>
      <c r="BR2497" s="379"/>
      <c r="BS2497" s="379"/>
      <c r="BT2497" s="379"/>
      <c r="BU2497" s="379"/>
      <c r="BV2497" s="379"/>
      <c r="BW2497" s="379"/>
      <c r="BX2497" s="379"/>
      <c r="BY2497" s="379"/>
      <c r="BZ2497" s="379"/>
      <c r="CA2497" s="281"/>
      <c r="CB2497" s="3" t="str">
        <f t="shared" si="444"/>
        <v>Riadok bude skrytý.</v>
      </c>
      <c r="CC2497" s="271" t="s">
        <v>832</v>
      </c>
      <c r="CW2497" s="32">
        <f t="shared" si="441"/>
        <v>0</v>
      </c>
      <c r="CX2497" s="30">
        <f t="shared" si="442"/>
        <v>0</v>
      </c>
      <c r="CZ2497" s="30">
        <f t="shared" si="445"/>
        <v>1</v>
      </c>
      <c r="DA2497" s="52">
        <f t="shared" si="443"/>
        <v>0</v>
      </c>
      <c r="DB2497" s="140">
        <f t="shared" si="440"/>
        <v>0</v>
      </c>
      <c r="DS2497" s="130">
        <f>SI!BY2497</f>
        <v>119</v>
      </c>
      <c r="DZ2497" s="131">
        <f>SI!BZ2497</f>
        <v>0</v>
      </c>
    </row>
    <row r="2498" spans="1:130" hidden="1" x14ac:dyDescent="0.25">
      <c r="A2498" s="141"/>
      <c r="B2498" s="379"/>
      <c r="C2498" s="379"/>
      <c r="D2498" s="379"/>
      <c r="E2498" s="379"/>
      <c r="F2498" s="379"/>
      <c r="G2498" s="379"/>
      <c r="H2498" s="379"/>
      <c r="I2498" s="379"/>
      <c r="J2498" s="379"/>
      <c r="K2498" s="379"/>
      <c r="L2498" s="379"/>
      <c r="M2498" s="379"/>
      <c r="N2498" s="379"/>
      <c r="O2498" s="379"/>
      <c r="P2498" s="379"/>
      <c r="Q2498" s="379"/>
      <c r="R2498" s="379"/>
      <c r="S2498" s="379"/>
      <c r="T2498" s="379"/>
      <c r="U2498" s="379"/>
      <c r="V2498" s="379"/>
      <c r="W2498" s="379"/>
      <c r="X2498" s="379"/>
      <c r="Y2498" s="379"/>
      <c r="Z2498" s="379"/>
      <c r="AA2498" s="379"/>
      <c r="AB2498" s="379"/>
      <c r="AC2498" s="379"/>
      <c r="AD2498" s="379"/>
      <c r="AE2498" s="379"/>
      <c r="AF2498" s="379"/>
      <c r="AG2498" s="379"/>
      <c r="AH2498" s="379"/>
      <c r="AI2498" s="379"/>
      <c r="AJ2498" s="379"/>
      <c r="AK2498" s="379"/>
      <c r="AL2498" s="379"/>
      <c r="AM2498" s="379"/>
      <c r="AN2498" s="379"/>
      <c r="AO2498" s="379"/>
      <c r="AP2498" s="379"/>
      <c r="AQ2498" s="379"/>
      <c r="AR2498" s="379"/>
      <c r="AS2498" s="379"/>
      <c r="AT2498" s="379"/>
      <c r="AU2498" s="379"/>
      <c r="AV2498" s="379"/>
      <c r="AW2498" s="379"/>
      <c r="AX2498" s="379"/>
      <c r="AY2498" s="379"/>
      <c r="AZ2498" s="379"/>
      <c r="BA2498" s="379"/>
      <c r="BB2498" s="379"/>
      <c r="BC2498" s="379"/>
      <c r="BD2498" s="379"/>
      <c r="BE2498" s="379"/>
      <c r="BF2498" s="379"/>
      <c r="BG2498" s="379"/>
      <c r="BH2498" s="379"/>
      <c r="BI2498" s="379"/>
      <c r="BJ2498" s="379"/>
      <c r="BK2498" s="379"/>
      <c r="BL2498" s="379"/>
      <c r="BM2498" s="379"/>
      <c r="BN2498" s="379"/>
      <c r="BO2498" s="379"/>
      <c r="BP2498" s="379"/>
      <c r="BQ2498" s="379"/>
      <c r="BR2498" s="379"/>
      <c r="BS2498" s="379"/>
      <c r="BT2498" s="379"/>
      <c r="BU2498" s="379"/>
      <c r="BV2498" s="379"/>
      <c r="BW2498" s="379"/>
      <c r="BX2498" s="379"/>
      <c r="BY2498" s="379"/>
      <c r="BZ2498" s="379"/>
      <c r="CA2498" s="281"/>
      <c r="CB2498" s="3" t="str">
        <f t="shared" si="444"/>
        <v>Riadok bude skrytý.</v>
      </c>
      <c r="CC2498" s="271" t="s">
        <v>832</v>
      </c>
      <c r="CW2498" s="32">
        <f t="shared" si="441"/>
        <v>0</v>
      </c>
      <c r="CX2498" s="30">
        <f t="shared" si="442"/>
        <v>0</v>
      </c>
      <c r="CZ2498" s="30">
        <f t="shared" si="445"/>
        <v>1</v>
      </c>
      <c r="DA2498" s="52">
        <f t="shared" si="443"/>
        <v>0</v>
      </c>
      <c r="DB2498" s="140">
        <f t="shared" si="440"/>
        <v>0</v>
      </c>
      <c r="DS2498" s="130">
        <f>SI!BY2498</f>
        <v>149</v>
      </c>
      <c r="DZ2498" s="131">
        <f>SI!BZ2498</f>
        <v>0</v>
      </c>
    </row>
    <row r="2499" spans="1:130" hidden="1" x14ac:dyDescent="0.25">
      <c r="A2499" s="141"/>
      <c r="B2499" s="379"/>
      <c r="C2499" s="379"/>
      <c r="D2499" s="379"/>
      <c r="E2499" s="379"/>
      <c r="F2499" s="379"/>
      <c r="G2499" s="379"/>
      <c r="H2499" s="379"/>
      <c r="I2499" s="379"/>
      <c r="J2499" s="379"/>
      <c r="K2499" s="379"/>
      <c r="L2499" s="379"/>
      <c r="M2499" s="379"/>
      <c r="N2499" s="379"/>
      <c r="O2499" s="379"/>
      <c r="P2499" s="379"/>
      <c r="Q2499" s="379"/>
      <c r="R2499" s="379"/>
      <c r="S2499" s="379"/>
      <c r="T2499" s="379"/>
      <c r="U2499" s="379"/>
      <c r="V2499" s="379"/>
      <c r="W2499" s="379"/>
      <c r="X2499" s="379"/>
      <c r="Y2499" s="379"/>
      <c r="Z2499" s="379"/>
      <c r="AA2499" s="379"/>
      <c r="AB2499" s="379"/>
      <c r="AC2499" s="379"/>
      <c r="AD2499" s="379"/>
      <c r="AE2499" s="379"/>
      <c r="AF2499" s="379"/>
      <c r="AG2499" s="379"/>
      <c r="AH2499" s="379"/>
      <c r="AI2499" s="379"/>
      <c r="AJ2499" s="379"/>
      <c r="AK2499" s="379"/>
      <c r="AL2499" s="379"/>
      <c r="AM2499" s="379"/>
      <c r="AN2499" s="379"/>
      <c r="AO2499" s="379"/>
      <c r="AP2499" s="379"/>
      <c r="AQ2499" s="379"/>
      <c r="AR2499" s="379"/>
      <c r="AS2499" s="379"/>
      <c r="AT2499" s="379"/>
      <c r="AU2499" s="379"/>
      <c r="AV2499" s="379"/>
      <c r="AW2499" s="379"/>
      <c r="AX2499" s="379"/>
      <c r="AY2499" s="379"/>
      <c r="AZ2499" s="379"/>
      <c r="BA2499" s="379"/>
      <c r="BB2499" s="379"/>
      <c r="BC2499" s="379"/>
      <c r="BD2499" s="379"/>
      <c r="BE2499" s="379"/>
      <c r="BF2499" s="379"/>
      <c r="BG2499" s="379"/>
      <c r="BH2499" s="379"/>
      <c r="BI2499" s="379"/>
      <c r="BJ2499" s="379"/>
      <c r="BK2499" s="379"/>
      <c r="BL2499" s="379"/>
      <c r="BM2499" s="379"/>
      <c r="BN2499" s="379"/>
      <c r="BO2499" s="379"/>
      <c r="BP2499" s="379"/>
      <c r="BQ2499" s="379"/>
      <c r="BR2499" s="379"/>
      <c r="BS2499" s="379"/>
      <c r="BT2499" s="379"/>
      <c r="BU2499" s="379"/>
      <c r="BV2499" s="379"/>
      <c r="BW2499" s="379"/>
      <c r="BX2499" s="379"/>
      <c r="BY2499" s="379"/>
      <c r="BZ2499" s="379"/>
      <c r="CA2499" s="281"/>
      <c r="CB2499" s="3" t="str">
        <f t="shared" si="444"/>
        <v>Riadok bude skrytý.</v>
      </c>
      <c r="CC2499" s="271" t="s">
        <v>832</v>
      </c>
      <c r="CW2499" s="32">
        <f t="shared" si="441"/>
        <v>0</v>
      </c>
      <c r="CX2499" s="30">
        <f t="shared" si="442"/>
        <v>0</v>
      </c>
      <c r="CZ2499" s="30">
        <f t="shared" si="445"/>
        <v>1</v>
      </c>
      <c r="DA2499" s="52">
        <f t="shared" si="443"/>
        <v>0</v>
      </c>
      <c r="DB2499" s="140">
        <f t="shared" si="440"/>
        <v>0</v>
      </c>
      <c r="DS2499" s="130">
        <f>SI!BY2499</f>
        <v>161</v>
      </c>
      <c r="DZ2499" s="131">
        <f>SI!BZ2499</f>
        <v>0</v>
      </c>
    </row>
    <row r="2500" spans="1:130" hidden="1" x14ac:dyDescent="0.25">
      <c r="A2500" s="141"/>
      <c r="CA2500" s="270"/>
      <c r="CB2500" s="3" t="str">
        <f t="shared" si="444"/>
        <v>Riadok bude skrytý.</v>
      </c>
      <c r="CC2500" s="271" t="s">
        <v>832</v>
      </c>
      <c r="CW2500" s="32">
        <f t="shared" si="441"/>
        <v>0</v>
      </c>
      <c r="CZ2500" s="30">
        <f t="shared" si="445"/>
        <v>1</v>
      </c>
      <c r="DA2500" s="30">
        <f t="shared" ref="DA2500:DA2507" si="446">+IF(CW2500+CX2500+CY2500=0,0,IF(CZ2500=0,0,1))</f>
        <v>0</v>
      </c>
      <c r="DB2500" s="140">
        <f t="shared" si="440"/>
        <v>0</v>
      </c>
      <c r="DS2500" s="130">
        <f>SI!BY2500</f>
        <v>156</v>
      </c>
      <c r="DZ2500" s="131">
        <f>SI!BZ2500</f>
        <v>0</v>
      </c>
    </row>
    <row r="2501" spans="1:130" hidden="1" x14ac:dyDescent="0.25">
      <c r="A2501" s="141"/>
      <c r="B2501" s="137" t="str">
        <f>+IF($Q$52&lt;&gt;"",IF((CODE(MID($Q$52,1,1)))*(INT((PI()-3.1415)*10^5))*0+(LEN(SI!J5)-LEN(SI!J6))=DS2501,"Prehľad o derivátoch určených na obchodovanie a zabezpečovacích derivátoch je v tabuľke:","NEPOVOLENÉ POUŽITIE!"),"NEPOVOLENÉ POUŽITIE!")</f>
        <v>Prehľad o derivátoch určených na obchodovanie a zabezpečovacích derivátoch je v tabuľke:</v>
      </c>
      <c r="CA2501" s="270"/>
      <c r="CB2501" s="3" t="str">
        <f t="shared" si="444"/>
        <v>Riadok bude skrytý.</v>
      </c>
      <c r="CC2501" s="271" t="s">
        <v>832</v>
      </c>
      <c r="CW2501" s="32">
        <f t="shared" si="441"/>
        <v>0</v>
      </c>
      <c r="CZ2501" s="30">
        <f t="shared" si="445"/>
        <v>1</v>
      </c>
      <c r="DA2501" s="30">
        <f t="shared" si="446"/>
        <v>0</v>
      </c>
      <c r="DB2501" s="140">
        <f t="shared" si="440"/>
        <v>0</v>
      </c>
      <c r="DS2501" s="130">
        <f>SI!BY2501</f>
        <v>10</v>
      </c>
      <c r="DZ2501" s="131">
        <f>SI!BZ2501</f>
        <v>0</v>
      </c>
    </row>
    <row r="2502" spans="1:130" hidden="1" x14ac:dyDescent="0.25">
      <c r="A2502" s="141"/>
      <c r="CA2502" s="270"/>
      <c r="CB2502" s="3" t="str">
        <f t="shared" si="444"/>
        <v>Riadok bude skrytý.</v>
      </c>
      <c r="CC2502" s="271" t="s">
        <v>832</v>
      </c>
      <c r="CW2502" s="32">
        <f t="shared" si="441"/>
        <v>0</v>
      </c>
      <c r="CZ2502" s="30">
        <f t="shared" si="445"/>
        <v>1</v>
      </c>
      <c r="DA2502" s="30">
        <f t="shared" si="446"/>
        <v>0</v>
      </c>
      <c r="DB2502" s="140">
        <f t="shared" si="440"/>
        <v>0</v>
      </c>
      <c r="DS2502" s="130">
        <f>SI!BY2502</f>
        <v>115</v>
      </c>
      <c r="DZ2502" s="131">
        <f>SI!BZ2502</f>
        <v>0</v>
      </c>
    </row>
    <row r="2503" spans="1:130" ht="14.95" hidden="1" customHeight="1" x14ac:dyDescent="0.25">
      <c r="A2503" s="141"/>
      <c r="B2503" s="439" t="s">
        <v>171</v>
      </c>
      <c r="C2503" s="440"/>
      <c r="D2503" s="440"/>
      <c r="E2503" s="440"/>
      <c r="F2503" s="440"/>
      <c r="G2503" s="440"/>
      <c r="H2503" s="440"/>
      <c r="I2503" s="440"/>
      <c r="J2503" s="440"/>
      <c r="K2503" s="440"/>
      <c r="L2503" s="440"/>
      <c r="M2503" s="440"/>
      <c r="N2503" s="440"/>
      <c r="O2503" s="440"/>
      <c r="P2503" s="440"/>
      <c r="Q2503" s="440"/>
      <c r="R2503" s="440"/>
      <c r="S2503" s="440"/>
      <c r="T2503" s="440"/>
      <c r="U2503" s="440"/>
      <c r="V2503" s="440"/>
      <c r="W2503" s="440"/>
      <c r="X2503" s="440"/>
      <c r="Y2503" s="440"/>
      <c r="Z2503" s="440"/>
      <c r="AA2503" s="440"/>
      <c r="AB2503" s="440"/>
      <c r="AC2503" s="441"/>
      <c r="AD2503" s="1861" t="s">
        <v>311</v>
      </c>
      <c r="AE2503" s="1862"/>
      <c r="AF2503" s="1862"/>
      <c r="AG2503" s="1862"/>
      <c r="AH2503" s="1862"/>
      <c r="AI2503" s="1862"/>
      <c r="AJ2503" s="1862"/>
      <c r="AK2503" s="1862"/>
      <c r="AL2503" s="1862"/>
      <c r="AM2503" s="1862"/>
      <c r="AN2503" s="1862"/>
      <c r="AO2503" s="1862"/>
      <c r="AP2503" s="1862"/>
      <c r="AQ2503" s="1862"/>
      <c r="AR2503" s="1862"/>
      <c r="AS2503" s="1862"/>
      <c r="AT2503" s="1862"/>
      <c r="AU2503" s="1862"/>
      <c r="AV2503" s="1862"/>
      <c r="AW2503" s="1862"/>
      <c r="AX2503" s="1862"/>
      <c r="AY2503" s="1862"/>
      <c r="AZ2503" s="1862"/>
      <c r="BA2503" s="1862"/>
      <c r="BB2503" s="1862"/>
      <c r="BC2503" s="1862"/>
      <c r="BD2503" s="1862"/>
      <c r="BE2503" s="1862"/>
      <c r="BF2503" s="1862"/>
      <c r="BG2503" s="1862"/>
      <c r="BH2503" s="1863"/>
      <c r="BI2503" s="1398" t="s">
        <v>310</v>
      </c>
      <c r="BJ2503" s="1399"/>
      <c r="BK2503" s="1399"/>
      <c r="BL2503" s="1399"/>
      <c r="BM2503" s="1399"/>
      <c r="BN2503" s="1399"/>
      <c r="BO2503" s="1399"/>
      <c r="BP2503" s="1399"/>
      <c r="BQ2503" s="1399"/>
      <c r="BR2503" s="1399"/>
      <c r="BS2503" s="1399"/>
      <c r="BT2503" s="1399"/>
      <c r="BU2503" s="1399"/>
      <c r="BV2503" s="1399"/>
      <c r="BW2503" s="1399"/>
      <c r="BX2503" s="1399"/>
      <c r="BY2503" s="1399"/>
      <c r="BZ2503" s="1400"/>
      <c r="CA2503" s="265" t="s">
        <v>773</v>
      </c>
      <c r="CB2503" s="3" t="str">
        <f t="shared" si="444"/>
        <v>Riadok bude skrytý.</v>
      </c>
      <c r="CC2503" s="271" t="s">
        <v>832</v>
      </c>
      <c r="CD2503" s="4"/>
      <c r="CW2503" s="32">
        <f t="shared" si="441"/>
        <v>0</v>
      </c>
      <c r="CZ2503" s="30">
        <f t="shared" si="445"/>
        <v>1</v>
      </c>
      <c r="DA2503" s="30">
        <f t="shared" si="446"/>
        <v>0</v>
      </c>
      <c r="DB2503" s="140">
        <f t="shared" si="440"/>
        <v>0</v>
      </c>
      <c r="DS2503" s="130">
        <f>SI!BY2503</f>
        <v>316</v>
      </c>
      <c r="DZ2503" s="131">
        <f>SI!BZ2503</f>
        <v>0</v>
      </c>
    </row>
    <row r="2504" spans="1:130" ht="14.95" hidden="1" customHeight="1" x14ac:dyDescent="0.25">
      <c r="A2504" s="141"/>
      <c r="B2504" s="442"/>
      <c r="C2504" s="443"/>
      <c r="D2504" s="443"/>
      <c r="E2504" s="443"/>
      <c r="F2504" s="443"/>
      <c r="G2504" s="443"/>
      <c r="H2504" s="443"/>
      <c r="I2504" s="443"/>
      <c r="J2504" s="443"/>
      <c r="K2504" s="443"/>
      <c r="L2504" s="443"/>
      <c r="M2504" s="443"/>
      <c r="N2504" s="443"/>
      <c r="O2504" s="443"/>
      <c r="P2504" s="443"/>
      <c r="Q2504" s="443"/>
      <c r="R2504" s="443"/>
      <c r="S2504" s="443"/>
      <c r="T2504" s="443"/>
      <c r="U2504" s="443"/>
      <c r="V2504" s="443"/>
      <c r="W2504" s="443"/>
      <c r="X2504" s="443"/>
      <c r="Y2504" s="443"/>
      <c r="Z2504" s="443"/>
      <c r="AA2504" s="443"/>
      <c r="AB2504" s="443"/>
      <c r="AC2504" s="444"/>
      <c r="AD2504" s="1861" t="s">
        <v>312</v>
      </c>
      <c r="AE2504" s="1862"/>
      <c r="AF2504" s="1862"/>
      <c r="AG2504" s="1862"/>
      <c r="AH2504" s="1862"/>
      <c r="AI2504" s="1862"/>
      <c r="AJ2504" s="1862"/>
      <c r="AK2504" s="1862"/>
      <c r="AL2504" s="1862"/>
      <c r="AM2504" s="1862"/>
      <c r="AN2504" s="1862"/>
      <c r="AO2504" s="1862"/>
      <c r="AP2504" s="1862"/>
      <c r="AQ2504" s="1862"/>
      <c r="AR2504" s="1862"/>
      <c r="AS2504" s="2084" t="s">
        <v>313</v>
      </c>
      <c r="AT2504" s="2085"/>
      <c r="AU2504" s="2085"/>
      <c r="AV2504" s="2085"/>
      <c r="AW2504" s="2085"/>
      <c r="AX2504" s="2085"/>
      <c r="AY2504" s="2085"/>
      <c r="AZ2504" s="2085"/>
      <c r="BA2504" s="2085"/>
      <c r="BB2504" s="2085"/>
      <c r="BC2504" s="2085"/>
      <c r="BD2504" s="2085"/>
      <c r="BE2504" s="2085"/>
      <c r="BF2504" s="2085"/>
      <c r="BG2504" s="2085"/>
      <c r="BH2504" s="2086"/>
      <c r="BI2504" s="1859"/>
      <c r="BJ2504" s="1859"/>
      <c r="BK2504" s="1859"/>
      <c r="BL2504" s="1859"/>
      <c r="BM2504" s="1859"/>
      <c r="BN2504" s="1859"/>
      <c r="BO2504" s="1859"/>
      <c r="BP2504" s="1859"/>
      <c r="BQ2504" s="1859"/>
      <c r="BR2504" s="1859"/>
      <c r="BS2504" s="1859"/>
      <c r="BT2504" s="1859"/>
      <c r="BU2504" s="1859"/>
      <c r="BV2504" s="1859"/>
      <c r="BW2504" s="1859"/>
      <c r="BX2504" s="1859"/>
      <c r="BY2504" s="1859"/>
      <c r="BZ2504" s="1860"/>
      <c r="CA2504" s="270"/>
      <c r="CB2504" s="3" t="str">
        <f t="shared" si="444"/>
        <v>Riadok bude skrytý.</v>
      </c>
      <c r="CC2504" s="271" t="s">
        <v>832</v>
      </c>
      <c r="CW2504" s="32">
        <f t="shared" si="441"/>
        <v>0</v>
      </c>
      <c r="CZ2504" s="30">
        <f t="shared" si="445"/>
        <v>1</v>
      </c>
      <c r="DA2504" s="30">
        <f t="shared" si="446"/>
        <v>0</v>
      </c>
      <c r="DB2504" s="140">
        <f t="shared" si="440"/>
        <v>0</v>
      </c>
      <c r="DS2504" s="130">
        <f>SI!BY2504</f>
        <v>199</v>
      </c>
      <c r="DZ2504" s="131">
        <f>SI!BZ2504</f>
        <v>0</v>
      </c>
    </row>
    <row r="2505" spans="1:130" hidden="1" x14ac:dyDescent="0.25">
      <c r="A2505" s="141"/>
      <c r="B2505" s="524" t="s">
        <v>0</v>
      </c>
      <c r="C2505" s="525"/>
      <c r="D2505" s="525"/>
      <c r="E2505" s="525"/>
      <c r="F2505" s="525"/>
      <c r="G2505" s="525"/>
      <c r="H2505" s="525"/>
      <c r="I2505" s="525"/>
      <c r="J2505" s="525"/>
      <c r="K2505" s="525"/>
      <c r="L2505" s="525"/>
      <c r="M2505" s="525"/>
      <c r="N2505" s="525"/>
      <c r="O2505" s="525"/>
      <c r="P2505" s="525"/>
      <c r="Q2505" s="525"/>
      <c r="R2505" s="525"/>
      <c r="S2505" s="525"/>
      <c r="T2505" s="525"/>
      <c r="U2505" s="525"/>
      <c r="V2505" s="525"/>
      <c r="W2505" s="525"/>
      <c r="X2505" s="525"/>
      <c r="Y2505" s="525"/>
      <c r="Z2505" s="525"/>
      <c r="AA2505" s="525"/>
      <c r="AB2505" s="525"/>
      <c r="AC2505" s="723"/>
      <c r="AD2505" s="524" t="s">
        <v>1</v>
      </c>
      <c r="AE2505" s="525"/>
      <c r="AF2505" s="525"/>
      <c r="AG2505" s="525"/>
      <c r="AH2505" s="525"/>
      <c r="AI2505" s="525"/>
      <c r="AJ2505" s="525"/>
      <c r="AK2505" s="525"/>
      <c r="AL2505" s="525"/>
      <c r="AM2505" s="525"/>
      <c r="AN2505" s="525"/>
      <c r="AO2505" s="525"/>
      <c r="AP2505" s="525"/>
      <c r="AQ2505" s="525"/>
      <c r="AR2505" s="525"/>
      <c r="AS2505" s="524" t="s">
        <v>2</v>
      </c>
      <c r="AT2505" s="525"/>
      <c r="AU2505" s="525"/>
      <c r="AV2505" s="525"/>
      <c r="AW2505" s="525"/>
      <c r="AX2505" s="525"/>
      <c r="AY2505" s="525"/>
      <c r="AZ2505" s="525"/>
      <c r="BA2505" s="525"/>
      <c r="BB2505" s="525"/>
      <c r="BC2505" s="525"/>
      <c r="BD2505" s="525"/>
      <c r="BE2505" s="525"/>
      <c r="BF2505" s="525"/>
      <c r="BG2505" s="525"/>
      <c r="BH2505" s="723"/>
      <c r="BI2505" s="525" t="s">
        <v>28</v>
      </c>
      <c r="BJ2505" s="525"/>
      <c r="BK2505" s="525"/>
      <c r="BL2505" s="525"/>
      <c r="BM2505" s="525"/>
      <c r="BN2505" s="525"/>
      <c r="BO2505" s="525"/>
      <c r="BP2505" s="525"/>
      <c r="BQ2505" s="525"/>
      <c r="BR2505" s="525"/>
      <c r="BS2505" s="525"/>
      <c r="BT2505" s="525"/>
      <c r="BU2505" s="525"/>
      <c r="BV2505" s="525"/>
      <c r="BW2505" s="525"/>
      <c r="BX2505" s="525"/>
      <c r="BY2505" s="525"/>
      <c r="BZ2505" s="723"/>
      <c r="CA2505" s="270"/>
      <c r="CB2505" s="3" t="str">
        <f t="shared" si="444"/>
        <v>Riadok bude skrytý.</v>
      </c>
      <c r="CC2505" s="271" t="s">
        <v>832</v>
      </c>
      <c r="CW2505" s="32">
        <f t="shared" si="441"/>
        <v>0</v>
      </c>
      <c r="CZ2505" s="30">
        <f t="shared" si="445"/>
        <v>1</v>
      </c>
      <c r="DA2505" s="30">
        <f t="shared" si="446"/>
        <v>0</v>
      </c>
      <c r="DB2505" s="140">
        <f t="shared" si="440"/>
        <v>0</v>
      </c>
      <c r="DS2505" s="130">
        <f>SI!BY2505</f>
        <v>555</v>
      </c>
      <c r="DZ2505" s="131">
        <f>SI!BZ2505</f>
        <v>0</v>
      </c>
    </row>
    <row r="2506" spans="1:130" hidden="1" x14ac:dyDescent="0.25">
      <c r="A2506" s="141"/>
      <c r="B2506" s="1856" t="s">
        <v>318</v>
      </c>
      <c r="C2506" s="1857"/>
      <c r="D2506" s="1857"/>
      <c r="E2506" s="1857"/>
      <c r="F2506" s="1857"/>
      <c r="G2506" s="1857"/>
      <c r="H2506" s="1857"/>
      <c r="I2506" s="1857"/>
      <c r="J2506" s="1857"/>
      <c r="K2506" s="1857"/>
      <c r="L2506" s="1857"/>
      <c r="M2506" s="1857"/>
      <c r="N2506" s="1857"/>
      <c r="O2506" s="1857"/>
      <c r="P2506" s="1857"/>
      <c r="Q2506" s="1857"/>
      <c r="R2506" s="1857"/>
      <c r="S2506" s="1857"/>
      <c r="T2506" s="1857"/>
      <c r="U2506" s="1857"/>
      <c r="V2506" s="1857"/>
      <c r="W2506" s="1857"/>
      <c r="X2506" s="1857"/>
      <c r="Y2506" s="1857"/>
      <c r="Z2506" s="1857"/>
      <c r="AA2506" s="1857"/>
      <c r="AB2506" s="1857"/>
      <c r="AC2506" s="1858"/>
      <c r="AD2506" s="423">
        <f>+SUM(AD2507:AR2516)</f>
        <v>0</v>
      </c>
      <c r="AE2506" s="424"/>
      <c r="AF2506" s="424"/>
      <c r="AG2506" s="424"/>
      <c r="AH2506" s="424"/>
      <c r="AI2506" s="424"/>
      <c r="AJ2506" s="424"/>
      <c r="AK2506" s="424"/>
      <c r="AL2506" s="424"/>
      <c r="AM2506" s="424"/>
      <c r="AN2506" s="424"/>
      <c r="AO2506" s="424"/>
      <c r="AP2506" s="424"/>
      <c r="AQ2506" s="424"/>
      <c r="AR2506" s="424"/>
      <c r="AS2506" s="423">
        <f>+SUM(AS2507:BH2516)</f>
        <v>0</v>
      </c>
      <c r="AT2506" s="424"/>
      <c r="AU2506" s="424"/>
      <c r="AV2506" s="424"/>
      <c r="AW2506" s="424"/>
      <c r="AX2506" s="424"/>
      <c r="AY2506" s="424"/>
      <c r="AZ2506" s="424"/>
      <c r="BA2506" s="424"/>
      <c r="BB2506" s="424"/>
      <c r="BC2506" s="424"/>
      <c r="BD2506" s="424"/>
      <c r="BE2506" s="424"/>
      <c r="BF2506" s="424"/>
      <c r="BG2506" s="424"/>
      <c r="BH2506" s="425"/>
      <c r="BI2506" s="424">
        <f>+SUM(BI2507:BZ2516)</f>
        <v>0</v>
      </c>
      <c r="BJ2506" s="424"/>
      <c r="BK2506" s="424"/>
      <c r="BL2506" s="424"/>
      <c r="BM2506" s="424"/>
      <c r="BN2506" s="424"/>
      <c r="BO2506" s="424"/>
      <c r="BP2506" s="424"/>
      <c r="BQ2506" s="424"/>
      <c r="BR2506" s="424"/>
      <c r="BS2506" s="424"/>
      <c r="BT2506" s="424"/>
      <c r="BU2506" s="424"/>
      <c r="BV2506" s="424"/>
      <c r="BW2506" s="424"/>
      <c r="BX2506" s="424"/>
      <c r="BY2506" s="424"/>
      <c r="BZ2506" s="425"/>
      <c r="CA2506" s="270"/>
      <c r="CB2506" s="3" t="str">
        <f t="shared" si="444"/>
        <v>Riadok bude skrytý.</v>
      </c>
      <c r="CC2506" s="271" t="s">
        <v>832</v>
      </c>
      <c r="CW2506" s="32">
        <f t="shared" si="441"/>
        <v>0</v>
      </c>
      <c r="CY2506" s="47"/>
      <c r="CZ2506" s="30">
        <f t="shared" si="445"/>
        <v>1</v>
      </c>
      <c r="DA2506" s="30">
        <f t="shared" si="446"/>
        <v>0</v>
      </c>
      <c r="DB2506" s="140">
        <f t="shared" si="440"/>
        <v>0</v>
      </c>
      <c r="DS2506" s="130">
        <f>SI!BY2506</f>
        <v>113</v>
      </c>
      <c r="DZ2506" s="131">
        <f>SI!BZ2506</f>
        <v>0</v>
      </c>
    </row>
    <row r="2507" spans="1:130" ht="14.95" hidden="1" customHeight="1" x14ac:dyDescent="0.25">
      <c r="A2507" s="141"/>
      <c r="B2507" s="1864"/>
      <c r="C2507" s="1865"/>
      <c r="D2507" s="1865"/>
      <c r="E2507" s="1865"/>
      <c r="F2507" s="1865"/>
      <c r="G2507" s="1865"/>
      <c r="H2507" s="1865"/>
      <c r="I2507" s="1865"/>
      <c r="J2507" s="1865"/>
      <c r="K2507" s="1865"/>
      <c r="L2507" s="1865"/>
      <c r="M2507" s="1865"/>
      <c r="N2507" s="1865"/>
      <c r="O2507" s="1865"/>
      <c r="P2507" s="1865"/>
      <c r="Q2507" s="1865"/>
      <c r="R2507" s="1865"/>
      <c r="S2507" s="1865"/>
      <c r="T2507" s="1865"/>
      <c r="U2507" s="1865"/>
      <c r="V2507" s="1865"/>
      <c r="W2507" s="1865"/>
      <c r="X2507" s="1865"/>
      <c r="Y2507" s="1865"/>
      <c r="Z2507" s="1865"/>
      <c r="AA2507" s="1865"/>
      <c r="AB2507" s="1865"/>
      <c r="AC2507" s="1866"/>
      <c r="AD2507" s="535"/>
      <c r="AE2507" s="536"/>
      <c r="AF2507" s="536"/>
      <c r="AG2507" s="536"/>
      <c r="AH2507" s="536"/>
      <c r="AI2507" s="536"/>
      <c r="AJ2507" s="536"/>
      <c r="AK2507" s="536"/>
      <c r="AL2507" s="536"/>
      <c r="AM2507" s="536"/>
      <c r="AN2507" s="536"/>
      <c r="AO2507" s="536"/>
      <c r="AP2507" s="536"/>
      <c r="AQ2507" s="536"/>
      <c r="AR2507" s="713"/>
      <c r="AS2507" s="535"/>
      <c r="AT2507" s="536"/>
      <c r="AU2507" s="536"/>
      <c r="AV2507" s="536"/>
      <c r="AW2507" s="536"/>
      <c r="AX2507" s="536"/>
      <c r="AY2507" s="536"/>
      <c r="AZ2507" s="536"/>
      <c r="BA2507" s="536"/>
      <c r="BB2507" s="536"/>
      <c r="BC2507" s="536"/>
      <c r="BD2507" s="536"/>
      <c r="BE2507" s="536"/>
      <c r="BF2507" s="536"/>
      <c r="BG2507" s="536"/>
      <c r="BH2507" s="537"/>
      <c r="BI2507" s="1014"/>
      <c r="BJ2507" s="536"/>
      <c r="BK2507" s="536"/>
      <c r="BL2507" s="536"/>
      <c r="BM2507" s="536"/>
      <c r="BN2507" s="536"/>
      <c r="BO2507" s="536"/>
      <c r="BP2507" s="536"/>
      <c r="BQ2507" s="536"/>
      <c r="BR2507" s="536"/>
      <c r="BS2507" s="536"/>
      <c r="BT2507" s="536"/>
      <c r="BU2507" s="536"/>
      <c r="BV2507" s="536"/>
      <c r="BW2507" s="536"/>
      <c r="BX2507" s="536"/>
      <c r="BY2507" s="536"/>
      <c r="BZ2507" s="537"/>
      <c r="CA2507" s="270"/>
      <c r="CB2507" s="3" t="str">
        <f t="shared" si="444"/>
        <v>Riadok bude skrytý.</v>
      </c>
      <c r="CC2507" s="271" t="s">
        <v>832</v>
      </c>
      <c r="CW2507" s="32">
        <f t="shared" si="441"/>
        <v>0</v>
      </c>
      <c r="CZ2507" s="30">
        <f t="shared" si="445"/>
        <v>1</v>
      </c>
      <c r="DA2507" s="30">
        <f t="shared" si="446"/>
        <v>0</v>
      </c>
      <c r="DB2507" s="140">
        <f t="shared" si="440"/>
        <v>0</v>
      </c>
      <c r="DS2507" s="130">
        <f>SI!BY2507</f>
        <v>562</v>
      </c>
      <c r="DZ2507" s="131">
        <f>SI!BZ2507</f>
        <v>0</v>
      </c>
    </row>
    <row r="2508" spans="1:130" hidden="1" x14ac:dyDescent="0.25">
      <c r="A2508" s="141"/>
      <c r="B2508" s="1158"/>
      <c r="C2508" s="1159"/>
      <c r="D2508" s="1159"/>
      <c r="E2508" s="1159"/>
      <c r="F2508" s="1159"/>
      <c r="G2508" s="1159"/>
      <c r="H2508" s="1159"/>
      <c r="I2508" s="1159"/>
      <c r="J2508" s="1159"/>
      <c r="K2508" s="1159"/>
      <c r="L2508" s="1159"/>
      <c r="M2508" s="1159"/>
      <c r="N2508" s="1159"/>
      <c r="O2508" s="1159"/>
      <c r="P2508" s="1159"/>
      <c r="Q2508" s="1159"/>
      <c r="R2508" s="1159"/>
      <c r="S2508" s="1159"/>
      <c r="T2508" s="1159"/>
      <c r="U2508" s="1159"/>
      <c r="V2508" s="1159"/>
      <c r="W2508" s="1159"/>
      <c r="X2508" s="1159"/>
      <c r="Y2508" s="1159"/>
      <c r="Z2508" s="1159"/>
      <c r="AA2508" s="1159"/>
      <c r="AB2508" s="1159"/>
      <c r="AC2508" s="1160"/>
      <c r="AD2508" s="363"/>
      <c r="AE2508" s="364"/>
      <c r="AF2508" s="364"/>
      <c r="AG2508" s="364"/>
      <c r="AH2508" s="364"/>
      <c r="AI2508" s="364"/>
      <c r="AJ2508" s="364"/>
      <c r="AK2508" s="364"/>
      <c r="AL2508" s="364"/>
      <c r="AM2508" s="364"/>
      <c r="AN2508" s="364"/>
      <c r="AO2508" s="364"/>
      <c r="AP2508" s="364"/>
      <c r="AQ2508" s="364"/>
      <c r="AR2508" s="475"/>
      <c r="AS2508" s="363"/>
      <c r="AT2508" s="364"/>
      <c r="AU2508" s="364"/>
      <c r="AV2508" s="364"/>
      <c r="AW2508" s="364"/>
      <c r="AX2508" s="364"/>
      <c r="AY2508" s="364"/>
      <c r="AZ2508" s="364"/>
      <c r="BA2508" s="364"/>
      <c r="BB2508" s="364"/>
      <c r="BC2508" s="364"/>
      <c r="BD2508" s="364"/>
      <c r="BE2508" s="364"/>
      <c r="BF2508" s="364"/>
      <c r="BG2508" s="364"/>
      <c r="BH2508" s="387"/>
      <c r="BI2508" s="386"/>
      <c r="BJ2508" s="364"/>
      <c r="BK2508" s="364"/>
      <c r="BL2508" s="364"/>
      <c r="BM2508" s="364"/>
      <c r="BN2508" s="364"/>
      <c r="BO2508" s="364"/>
      <c r="BP2508" s="364"/>
      <c r="BQ2508" s="364"/>
      <c r="BR2508" s="364"/>
      <c r="BS2508" s="364"/>
      <c r="BT2508" s="364"/>
      <c r="BU2508" s="364"/>
      <c r="BV2508" s="364"/>
      <c r="BW2508" s="364"/>
      <c r="BX2508" s="364"/>
      <c r="BY2508" s="364"/>
      <c r="BZ2508" s="387"/>
      <c r="CA2508" s="270"/>
      <c r="CB2508" s="3" t="str">
        <f t="shared" si="444"/>
        <v>Riadok bude skrytý.</v>
      </c>
      <c r="CC2508" s="271" t="s">
        <v>832</v>
      </c>
      <c r="CW2508" s="32">
        <f t="shared" si="441"/>
        <v>0</v>
      </c>
      <c r="CX2508" s="30">
        <f t="shared" ref="CX2508:CX2515" si="447">+IF(B2508="",0,1)</f>
        <v>0</v>
      </c>
      <c r="CZ2508" s="30">
        <f t="shared" si="445"/>
        <v>1</v>
      </c>
      <c r="DA2508" s="52">
        <f t="shared" ref="DA2508:DA2515" si="448">+IF(CW2508*CX2508=0,0,IF(CZ2508=0,0,1))</f>
        <v>0</v>
      </c>
      <c r="DB2508" s="140">
        <f t="shared" si="440"/>
        <v>0</v>
      </c>
      <c r="DS2508" s="130">
        <f>SI!BY2508</f>
        <v>164</v>
      </c>
      <c r="DZ2508" s="131">
        <f>SI!BZ2508</f>
        <v>0</v>
      </c>
    </row>
    <row r="2509" spans="1:130" hidden="1" x14ac:dyDescent="0.25">
      <c r="A2509" s="141"/>
      <c r="B2509" s="1158"/>
      <c r="C2509" s="1159"/>
      <c r="D2509" s="1159"/>
      <c r="E2509" s="1159"/>
      <c r="F2509" s="1159"/>
      <c r="G2509" s="1159"/>
      <c r="H2509" s="1159"/>
      <c r="I2509" s="1159"/>
      <c r="J2509" s="1159"/>
      <c r="K2509" s="1159"/>
      <c r="L2509" s="1159"/>
      <c r="M2509" s="1159"/>
      <c r="N2509" s="1159"/>
      <c r="O2509" s="1159"/>
      <c r="P2509" s="1159"/>
      <c r="Q2509" s="1159"/>
      <c r="R2509" s="1159"/>
      <c r="S2509" s="1159"/>
      <c r="T2509" s="1159"/>
      <c r="U2509" s="1159"/>
      <c r="V2509" s="1159"/>
      <c r="W2509" s="1159"/>
      <c r="X2509" s="1159"/>
      <c r="Y2509" s="1159"/>
      <c r="Z2509" s="1159"/>
      <c r="AA2509" s="1159"/>
      <c r="AB2509" s="1159"/>
      <c r="AC2509" s="1160"/>
      <c r="AD2509" s="363"/>
      <c r="AE2509" s="364"/>
      <c r="AF2509" s="364"/>
      <c r="AG2509" s="364"/>
      <c r="AH2509" s="364"/>
      <c r="AI2509" s="364"/>
      <c r="AJ2509" s="364"/>
      <c r="AK2509" s="364"/>
      <c r="AL2509" s="364"/>
      <c r="AM2509" s="364"/>
      <c r="AN2509" s="364"/>
      <c r="AO2509" s="364"/>
      <c r="AP2509" s="364"/>
      <c r="AQ2509" s="364"/>
      <c r="AR2509" s="475"/>
      <c r="AS2509" s="363"/>
      <c r="AT2509" s="364"/>
      <c r="AU2509" s="364"/>
      <c r="AV2509" s="364"/>
      <c r="AW2509" s="364"/>
      <c r="AX2509" s="364"/>
      <c r="AY2509" s="364"/>
      <c r="AZ2509" s="364"/>
      <c r="BA2509" s="364"/>
      <c r="BB2509" s="364"/>
      <c r="BC2509" s="364"/>
      <c r="BD2509" s="364"/>
      <c r="BE2509" s="364"/>
      <c r="BF2509" s="364"/>
      <c r="BG2509" s="364"/>
      <c r="BH2509" s="387"/>
      <c r="BI2509" s="386"/>
      <c r="BJ2509" s="364"/>
      <c r="BK2509" s="364"/>
      <c r="BL2509" s="364"/>
      <c r="BM2509" s="364"/>
      <c r="BN2509" s="364"/>
      <c r="BO2509" s="364"/>
      <c r="BP2509" s="364"/>
      <c r="BQ2509" s="364"/>
      <c r="BR2509" s="364"/>
      <c r="BS2509" s="364"/>
      <c r="BT2509" s="364"/>
      <c r="BU2509" s="364"/>
      <c r="BV2509" s="364"/>
      <c r="BW2509" s="364"/>
      <c r="BX2509" s="364"/>
      <c r="BY2509" s="364"/>
      <c r="BZ2509" s="387"/>
      <c r="CA2509" s="270"/>
      <c r="CB2509" s="3" t="str">
        <f t="shared" si="444"/>
        <v>Riadok bude skrytý.</v>
      </c>
      <c r="CC2509" s="271" t="s">
        <v>832</v>
      </c>
      <c r="CW2509" s="32">
        <f t="shared" si="441"/>
        <v>0</v>
      </c>
      <c r="CX2509" s="30">
        <f t="shared" si="447"/>
        <v>0</v>
      </c>
      <c r="CZ2509" s="30">
        <f t="shared" si="445"/>
        <v>1</v>
      </c>
      <c r="DA2509" s="52">
        <f t="shared" si="448"/>
        <v>0</v>
      </c>
      <c r="DB2509" s="140">
        <f t="shared" si="440"/>
        <v>0</v>
      </c>
      <c r="DS2509" s="130">
        <f>SI!BY2509</f>
        <v>1053</v>
      </c>
      <c r="DZ2509" s="131">
        <f>SI!BZ2509</f>
        <v>0</v>
      </c>
    </row>
    <row r="2510" spans="1:130" hidden="1" x14ac:dyDescent="0.25">
      <c r="A2510" s="141"/>
      <c r="B2510" s="1158"/>
      <c r="C2510" s="1159"/>
      <c r="D2510" s="1159"/>
      <c r="E2510" s="1159"/>
      <c r="F2510" s="1159"/>
      <c r="G2510" s="1159"/>
      <c r="H2510" s="1159"/>
      <c r="I2510" s="1159"/>
      <c r="J2510" s="1159"/>
      <c r="K2510" s="1159"/>
      <c r="L2510" s="1159"/>
      <c r="M2510" s="1159"/>
      <c r="N2510" s="1159"/>
      <c r="O2510" s="1159"/>
      <c r="P2510" s="1159"/>
      <c r="Q2510" s="1159"/>
      <c r="R2510" s="1159"/>
      <c r="S2510" s="1159"/>
      <c r="T2510" s="1159"/>
      <c r="U2510" s="1159"/>
      <c r="V2510" s="1159"/>
      <c r="W2510" s="1159"/>
      <c r="X2510" s="1159"/>
      <c r="Y2510" s="1159"/>
      <c r="Z2510" s="1159"/>
      <c r="AA2510" s="1159"/>
      <c r="AB2510" s="1159"/>
      <c r="AC2510" s="1160"/>
      <c r="AD2510" s="363"/>
      <c r="AE2510" s="364"/>
      <c r="AF2510" s="364"/>
      <c r="AG2510" s="364"/>
      <c r="AH2510" s="364"/>
      <c r="AI2510" s="364"/>
      <c r="AJ2510" s="364"/>
      <c r="AK2510" s="364"/>
      <c r="AL2510" s="364"/>
      <c r="AM2510" s="364"/>
      <c r="AN2510" s="364"/>
      <c r="AO2510" s="364"/>
      <c r="AP2510" s="364"/>
      <c r="AQ2510" s="364"/>
      <c r="AR2510" s="475"/>
      <c r="AS2510" s="363"/>
      <c r="AT2510" s="364"/>
      <c r="AU2510" s="364"/>
      <c r="AV2510" s="364"/>
      <c r="AW2510" s="364"/>
      <c r="AX2510" s="364"/>
      <c r="AY2510" s="364"/>
      <c r="AZ2510" s="364"/>
      <c r="BA2510" s="364"/>
      <c r="BB2510" s="364"/>
      <c r="BC2510" s="364"/>
      <c r="BD2510" s="364"/>
      <c r="BE2510" s="364"/>
      <c r="BF2510" s="364"/>
      <c r="BG2510" s="364"/>
      <c r="BH2510" s="387"/>
      <c r="BI2510" s="386"/>
      <c r="BJ2510" s="364"/>
      <c r="BK2510" s="364"/>
      <c r="BL2510" s="364"/>
      <c r="BM2510" s="364"/>
      <c r="BN2510" s="364"/>
      <c r="BO2510" s="364"/>
      <c r="BP2510" s="364"/>
      <c r="BQ2510" s="364"/>
      <c r="BR2510" s="364"/>
      <c r="BS2510" s="364"/>
      <c r="BT2510" s="364"/>
      <c r="BU2510" s="364"/>
      <c r="BV2510" s="364"/>
      <c r="BW2510" s="364"/>
      <c r="BX2510" s="364"/>
      <c r="BY2510" s="364"/>
      <c r="BZ2510" s="387"/>
      <c r="CA2510" s="270"/>
      <c r="CB2510" s="3" t="str">
        <f t="shared" si="444"/>
        <v>Riadok bude skrytý.</v>
      </c>
      <c r="CC2510" s="271" t="s">
        <v>832</v>
      </c>
      <c r="CW2510" s="32">
        <f t="shared" si="441"/>
        <v>0</v>
      </c>
      <c r="CX2510" s="30">
        <f t="shared" si="447"/>
        <v>0</v>
      </c>
      <c r="CZ2510" s="30">
        <f t="shared" si="445"/>
        <v>1</v>
      </c>
      <c r="DA2510" s="52">
        <f t="shared" si="448"/>
        <v>0</v>
      </c>
      <c r="DB2510" s="140">
        <f t="shared" si="440"/>
        <v>0</v>
      </c>
      <c r="DS2510" s="130">
        <f>SI!BY2510</f>
        <v>190</v>
      </c>
      <c r="DZ2510" s="131">
        <f>SI!BZ2510</f>
        <v>0</v>
      </c>
    </row>
    <row r="2511" spans="1:130" hidden="1" x14ac:dyDescent="0.25">
      <c r="A2511" s="141"/>
      <c r="B2511" s="1158"/>
      <c r="C2511" s="1159"/>
      <c r="D2511" s="1159"/>
      <c r="E2511" s="1159"/>
      <c r="F2511" s="1159"/>
      <c r="G2511" s="1159"/>
      <c r="H2511" s="1159"/>
      <c r="I2511" s="1159"/>
      <c r="J2511" s="1159"/>
      <c r="K2511" s="1159"/>
      <c r="L2511" s="1159"/>
      <c r="M2511" s="1159"/>
      <c r="N2511" s="1159"/>
      <c r="O2511" s="1159"/>
      <c r="P2511" s="1159"/>
      <c r="Q2511" s="1159"/>
      <c r="R2511" s="1159"/>
      <c r="S2511" s="1159"/>
      <c r="T2511" s="1159"/>
      <c r="U2511" s="1159"/>
      <c r="V2511" s="1159"/>
      <c r="W2511" s="1159"/>
      <c r="X2511" s="1159"/>
      <c r="Y2511" s="1159"/>
      <c r="Z2511" s="1159"/>
      <c r="AA2511" s="1159"/>
      <c r="AB2511" s="1159"/>
      <c r="AC2511" s="1160"/>
      <c r="AD2511" s="363"/>
      <c r="AE2511" s="364"/>
      <c r="AF2511" s="364"/>
      <c r="AG2511" s="364"/>
      <c r="AH2511" s="364"/>
      <c r="AI2511" s="364"/>
      <c r="AJ2511" s="364"/>
      <c r="AK2511" s="364"/>
      <c r="AL2511" s="364"/>
      <c r="AM2511" s="364"/>
      <c r="AN2511" s="364"/>
      <c r="AO2511" s="364"/>
      <c r="AP2511" s="364"/>
      <c r="AQ2511" s="364"/>
      <c r="AR2511" s="475"/>
      <c r="AS2511" s="363"/>
      <c r="AT2511" s="364"/>
      <c r="AU2511" s="364"/>
      <c r="AV2511" s="364"/>
      <c r="AW2511" s="364"/>
      <c r="AX2511" s="364"/>
      <c r="AY2511" s="364"/>
      <c r="AZ2511" s="364"/>
      <c r="BA2511" s="364"/>
      <c r="BB2511" s="364"/>
      <c r="BC2511" s="364"/>
      <c r="BD2511" s="364"/>
      <c r="BE2511" s="364"/>
      <c r="BF2511" s="364"/>
      <c r="BG2511" s="364"/>
      <c r="BH2511" s="387"/>
      <c r="BI2511" s="386"/>
      <c r="BJ2511" s="364"/>
      <c r="BK2511" s="364"/>
      <c r="BL2511" s="364"/>
      <c r="BM2511" s="364"/>
      <c r="BN2511" s="364"/>
      <c r="BO2511" s="364"/>
      <c r="BP2511" s="364"/>
      <c r="BQ2511" s="364"/>
      <c r="BR2511" s="364"/>
      <c r="BS2511" s="364"/>
      <c r="BT2511" s="364"/>
      <c r="BU2511" s="364"/>
      <c r="BV2511" s="364"/>
      <c r="BW2511" s="364"/>
      <c r="BX2511" s="364"/>
      <c r="BY2511" s="364"/>
      <c r="BZ2511" s="387"/>
      <c r="CA2511" s="270"/>
      <c r="CB2511" s="3" t="str">
        <f t="shared" si="444"/>
        <v>Riadok bude skrytý.</v>
      </c>
      <c r="CC2511" s="271" t="s">
        <v>832</v>
      </c>
      <c r="CW2511" s="32">
        <f t="shared" si="441"/>
        <v>0</v>
      </c>
      <c r="CX2511" s="30">
        <f t="shared" si="447"/>
        <v>0</v>
      </c>
      <c r="CZ2511" s="30">
        <f t="shared" si="445"/>
        <v>1</v>
      </c>
      <c r="DA2511" s="52">
        <f t="shared" si="448"/>
        <v>0</v>
      </c>
      <c r="DB2511" s="140">
        <f t="shared" si="440"/>
        <v>0</v>
      </c>
      <c r="DS2511" s="130">
        <f>SI!BY2511</f>
        <v>179</v>
      </c>
      <c r="DZ2511" s="131">
        <f>SI!BZ2511</f>
        <v>0</v>
      </c>
    </row>
    <row r="2512" spans="1:130" hidden="1" x14ac:dyDescent="0.25">
      <c r="A2512" s="141"/>
      <c r="B2512" s="1158"/>
      <c r="C2512" s="1159"/>
      <c r="D2512" s="1159"/>
      <c r="E2512" s="1159"/>
      <c r="F2512" s="1159"/>
      <c r="G2512" s="1159"/>
      <c r="H2512" s="1159"/>
      <c r="I2512" s="1159"/>
      <c r="J2512" s="1159"/>
      <c r="K2512" s="1159"/>
      <c r="L2512" s="1159"/>
      <c r="M2512" s="1159"/>
      <c r="N2512" s="1159"/>
      <c r="O2512" s="1159"/>
      <c r="P2512" s="1159"/>
      <c r="Q2512" s="1159"/>
      <c r="R2512" s="1159"/>
      <c r="S2512" s="1159"/>
      <c r="T2512" s="1159"/>
      <c r="U2512" s="1159"/>
      <c r="V2512" s="1159"/>
      <c r="W2512" s="1159"/>
      <c r="X2512" s="1159"/>
      <c r="Y2512" s="1159"/>
      <c r="Z2512" s="1159"/>
      <c r="AA2512" s="1159"/>
      <c r="AB2512" s="1159"/>
      <c r="AC2512" s="1160"/>
      <c r="AD2512" s="363"/>
      <c r="AE2512" s="364"/>
      <c r="AF2512" s="364"/>
      <c r="AG2512" s="364"/>
      <c r="AH2512" s="364"/>
      <c r="AI2512" s="364"/>
      <c r="AJ2512" s="364"/>
      <c r="AK2512" s="364"/>
      <c r="AL2512" s="364"/>
      <c r="AM2512" s="364"/>
      <c r="AN2512" s="364"/>
      <c r="AO2512" s="364"/>
      <c r="AP2512" s="364"/>
      <c r="AQ2512" s="364"/>
      <c r="AR2512" s="475"/>
      <c r="AS2512" s="363"/>
      <c r="AT2512" s="364"/>
      <c r="AU2512" s="364"/>
      <c r="AV2512" s="364"/>
      <c r="AW2512" s="364"/>
      <c r="AX2512" s="364"/>
      <c r="AY2512" s="364"/>
      <c r="AZ2512" s="364"/>
      <c r="BA2512" s="364"/>
      <c r="BB2512" s="364"/>
      <c r="BC2512" s="364"/>
      <c r="BD2512" s="364"/>
      <c r="BE2512" s="364"/>
      <c r="BF2512" s="364"/>
      <c r="BG2512" s="364"/>
      <c r="BH2512" s="387"/>
      <c r="BI2512" s="386"/>
      <c r="BJ2512" s="364"/>
      <c r="BK2512" s="364"/>
      <c r="BL2512" s="364"/>
      <c r="BM2512" s="364"/>
      <c r="BN2512" s="364"/>
      <c r="BO2512" s="364"/>
      <c r="BP2512" s="364"/>
      <c r="BQ2512" s="364"/>
      <c r="BR2512" s="364"/>
      <c r="BS2512" s="364"/>
      <c r="BT2512" s="364"/>
      <c r="BU2512" s="364"/>
      <c r="BV2512" s="364"/>
      <c r="BW2512" s="364"/>
      <c r="BX2512" s="364"/>
      <c r="BY2512" s="364"/>
      <c r="BZ2512" s="387"/>
      <c r="CA2512" s="270"/>
      <c r="CB2512" s="3" t="str">
        <f t="shared" si="444"/>
        <v>Riadok bude skrytý.</v>
      </c>
      <c r="CC2512" s="271" t="s">
        <v>832</v>
      </c>
      <c r="CW2512" s="32">
        <f t="shared" ref="CW2512:CW2543" si="449">+IF($J$2478="nepoužíva",0,1)</f>
        <v>0</v>
      </c>
      <c r="CX2512" s="30">
        <f t="shared" si="447"/>
        <v>0</v>
      </c>
      <c r="CZ2512" s="30">
        <f t="shared" si="445"/>
        <v>1</v>
      </c>
      <c r="DA2512" s="52">
        <f t="shared" si="448"/>
        <v>0</v>
      </c>
      <c r="DB2512" s="140">
        <f t="shared" si="440"/>
        <v>0</v>
      </c>
      <c r="DS2512" s="130">
        <f>SI!BY2512</f>
        <v>187</v>
      </c>
      <c r="DZ2512" s="131">
        <f>SI!BZ2512</f>
        <v>0</v>
      </c>
    </row>
    <row r="2513" spans="1:130" hidden="1" x14ac:dyDescent="0.25">
      <c r="A2513" s="141"/>
      <c r="B2513" s="1158"/>
      <c r="C2513" s="1159"/>
      <c r="D2513" s="1159"/>
      <c r="E2513" s="1159"/>
      <c r="F2513" s="1159"/>
      <c r="G2513" s="1159"/>
      <c r="H2513" s="1159"/>
      <c r="I2513" s="1159"/>
      <c r="J2513" s="1159"/>
      <c r="K2513" s="1159"/>
      <c r="L2513" s="1159"/>
      <c r="M2513" s="1159"/>
      <c r="N2513" s="1159"/>
      <c r="O2513" s="1159"/>
      <c r="P2513" s="1159"/>
      <c r="Q2513" s="1159"/>
      <c r="R2513" s="1159"/>
      <c r="S2513" s="1159"/>
      <c r="T2513" s="1159"/>
      <c r="U2513" s="1159"/>
      <c r="V2513" s="1159"/>
      <c r="W2513" s="1159"/>
      <c r="X2513" s="1159"/>
      <c r="Y2513" s="1159"/>
      <c r="Z2513" s="1159"/>
      <c r="AA2513" s="1159"/>
      <c r="AB2513" s="1159"/>
      <c r="AC2513" s="1160"/>
      <c r="AD2513" s="363"/>
      <c r="AE2513" s="364"/>
      <c r="AF2513" s="364"/>
      <c r="AG2513" s="364"/>
      <c r="AH2513" s="364"/>
      <c r="AI2513" s="364"/>
      <c r="AJ2513" s="364"/>
      <c r="AK2513" s="364"/>
      <c r="AL2513" s="364"/>
      <c r="AM2513" s="364"/>
      <c r="AN2513" s="364"/>
      <c r="AO2513" s="364"/>
      <c r="AP2513" s="364"/>
      <c r="AQ2513" s="364"/>
      <c r="AR2513" s="475"/>
      <c r="AS2513" s="363"/>
      <c r="AT2513" s="364"/>
      <c r="AU2513" s="364"/>
      <c r="AV2513" s="364"/>
      <c r="AW2513" s="364"/>
      <c r="AX2513" s="364"/>
      <c r="AY2513" s="364"/>
      <c r="AZ2513" s="364"/>
      <c r="BA2513" s="364"/>
      <c r="BB2513" s="364"/>
      <c r="BC2513" s="364"/>
      <c r="BD2513" s="364"/>
      <c r="BE2513" s="364"/>
      <c r="BF2513" s="364"/>
      <c r="BG2513" s="364"/>
      <c r="BH2513" s="387"/>
      <c r="BI2513" s="386"/>
      <c r="BJ2513" s="364"/>
      <c r="BK2513" s="364"/>
      <c r="BL2513" s="364"/>
      <c r="BM2513" s="364"/>
      <c r="BN2513" s="364"/>
      <c r="BO2513" s="364"/>
      <c r="BP2513" s="364"/>
      <c r="BQ2513" s="364"/>
      <c r="BR2513" s="364"/>
      <c r="BS2513" s="364"/>
      <c r="BT2513" s="364"/>
      <c r="BU2513" s="364"/>
      <c r="BV2513" s="364"/>
      <c r="BW2513" s="364"/>
      <c r="BX2513" s="364"/>
      <c r="BY2513" s="364"/>
      <c r="BZ2513" s="387"/>
      <c r="CA2513" s="270"/>
      <c r="CB2513" s="3" t="str">
        <f t="shared" si="444"/>
        <v>Riadok bude skrytý.</v>
      </c>
      <c r="CC2513" s="271" t="s">
        <v>832</v>
      </c>
      <c r="CW2513" s="32">
        <f t="shared" si="449"/>
        <v>0</v>
      </c>
      <c r="CX2513" s="30">
        <f t="shared" si="447"/>
        <v>0</v>
      </c>
      <c r="CZ2513" s="30">
        <f t="shared" si="445"/>
        <v>1</v>
      </c>
      <c r="DA2513" s="52">
        <f t="shared" si="448"/>
        <v>0</v>
      </c>
      <c r="DB2513" s="140">
        <f t="shared" si="440"/>
        <v>0</v>
      </c>
      <c r="DS2513" s="130">
        <f>SI!BY2513</f>
        <v>180</v>
      </c>
      <c r="DZ2513" s="131">
        <f>SI!BZ2513</f>
        <v>0</v>
      </c>
    </row>
    <row r="2514" spans="1:130" hidden="1" x14ac:dyDescent="0.25">
      <c r="A2514" s="141"/>
      <c r="B2514" s="1158"/>
      <c r="C2514" s="1159"/>
      <c r="D2514" s="1159"/>
      <c r="E2514" s="1159"/>
      <c r="F2514" s="1159"/>
      <c r="G2514" s="1159"/>
      <c r="H2514" s="1159"/>
      <c r="I2514" s="1159"/>
      <c r="J2514" s="1159"/>
      <c r="K2514" s="1159"/>
      <c r="L2514" s="1159"/>
      <c r="M2514" s="1159"/>
      <c r="N2514" s="1159"/>
      <c r="O2514" s="1159"/>
      <c r="P2514" s="1159"/>
      <c r="Q2514" s="1159"/>
      <c r="R2514" s="1159"/>
      <c r="S2514" s="1159"/>
      <c r="T2514" s="1159"/>
      <c r="U2514" s="1159"/>
      <c r="V2514" s="1159"/>
      <c r="W2514" s="1159"/>
      <c r="X2514" s="1159"/>
      <c r="Y2514" s="1159"/>
      <c r="Z2514" s="1159"/>
      <c r="AA2514" s="1159"/>
      <c r="AB2514" s="1159"/>
      <c r="AC2514" s="1160"/>
      <c r="AD2514" s="363"/>
      <c r="AE2514" s="364"/>
      <c r="AF2514" s="364"/>
      <c r="AG2514" s="364"/>
      <c r="AH2514" s="364"/>
      <c r="AI2514" s="364"/>
      <c r="AJ2514" s="364"/>
      <c r="AK2514" s="364"/>
      <c r="AL2514" s="364"/>
      <c r="AM2514" s="364"/>
      <c r="AN2514" s="364"/>
      <c r="AO2514" s="364"/>
      <c r="AP2514" s="364"/>
      <c r="AQ2514" s="364"/>
      <c r="AR2514" s="475"/>
      <c r="AS2514" s="363"/>
      <c r="AT2514" s="364"/>
      <c r="AU2514" s="364"/>
      <c r="AV2514" s="364"/>
      <c r="AW2514" s="364"/>
      <c r="AX2514" s="364"/>
      <c r="AY2514" s="364"/>
      <c r="AZ2514" s="364"/>
      <c r="BA2514" s="364"/>
      <c r="BB2514" s="364"/>
      <c r="BC2514" s="364"/>
      <c r="BD2514" s="364"/>
      <c r="BE2514" s="364"/>
      <c r="BF2514" s="364"/>
      <c r="BG2514" s="364"/>
      <c r="BH2514" s="387"/>
      <c r="BI2514" s="386"/>
      <c r="BJ2514" s="364"/>
      <c r="BK2514" s="364"/>
      <c r="BL2514" s="364"/>
      <c r="BM2514" s="364"/>
      <c r="BN2514" s="364"/>
      <c r="BO2514" s="364"/>
      <c r="BP2514" s="364"/>
      <c r="BQ2514" s="364"/>
      <c r="BR2514" s="364"/>
      <c r="BS2514" s="364"/>
      <c r="BT2514" s="364"/>
      <c r="BU2514" s="364"/>
      <c r="BV2514" s="364"/>
      <c r="BW2514" s="364"/>
      <c r="BX2514" s="364"/>
      <c r="BY2514" s="364"/>
      <c r="BZ2514" s="387"/>
      <c r="CA2514" s="270"/>
      <c r="CB2514" s="3" t="str">
        <f t="shared" si="444"/>
        <v>Riadok bude skrytý.</v>
      </c>
      <c r="CC2514" s="271" t="s">
        <v>832</v>
      </c>
      <c r="CW2514" s="32">
        <f t="shared" si="449"/>
        <v>0</v>
      </c>
      <c r="CX2514" s="30">
        <f t="shared" si="447"/>
        <v>0</v>
      </c>
      <c r="CZ2514" s="30">
        <f t="shared" si="445"/>
        <v>1</v>
      </c>
      <c r="DA2514" s="52">
        <f t="shared" si="448"/>
        <v>0</v>
      </c>
      <c r="DB2514" s="140">
        <f t="shared" si="440"/>
        <v>0</v>
      </c>
      <c r="DS2514" s="130">
        <f>SI!BY2514</f>
        <v>786</v>
      </c>
      <c r="DZ2514" s="131">
        <f>SI!BZ2514</f>
        <v>0</v>
      </c>
    </row>
    <row r="2515" spans="1:130" hidden="1" x14ac:dyDescent="0.25">
      <c r="A2515" s="141"/>
      <c r="B2515" s="1158"/>
      <c r="C2515" s="1159"/>
      <c r="D2515" s="1159"/>
      <c r="E2515" s="1159"/>
      <c r="F2515" s="1159"/>
      <c r="G2515" s="1159"/>
      <c r="H2515" s="1159"/>
      <c r="I2515" s="1159"/>
      <c r="J2515" s="1159"/>
      <c r="K2515" s="1159"/>
      <c r="L2515" s="1159"/>
      <c r="M2515" s="1159"/>
      <c r="N2515" s="1159"/>
      <c r="O2515" s="1159"/>
      <c r="P2515" s="1159"/>
      <c r="Q2515" s="1159"/>
      <c r="R2515" s="1159"/>
      <c r="S2515" s="1159"/>
      <c r="T2515" s="1159"/>
      <c r="U2515" s="1159"/>
      <c r="V2515" s="1159"/>
      <c r="W2515" s="1159"/>
      <c r="X2515" s="1159"/>
      <c r="Y2515" s="1159"/>
      <c r="Z2515" s="1159"/>
      <c r="AA2515" s="1159"/>
      <c r="AB2515" s="1159"/>
      <c r="AC2515" s="1160"/>
      <c r="AD2515" s="363"/>
      <c r="AE2515" s="364"/>
      <c r="AF2515" s="364"/>
      <c r="AG2515" s="364"/>
      <c r="AH2515" s="364"/>
      <c r="AI2515" s="364"/>
      <c r="AJ2515" s="364"/>
      <c r="AK2515" s="364"/>
      <c r="AL2515" s="364"/>
      <c r="AM2515" s="364"/>
      <c r="AN2515" s="364"/>
      <c r="AO2515" s="364"/>
      <c r="AP2515" s="364"/>
      <c r="AQ2515" s="364"/>
      <c r="AR2515" s="475"/>
      <c r="AS2515" s="363"/>
      <c r="AT2515" s="364"/>
      <c r="AU2515" s="364"/>
      <c r="AV2515" s="364"/>
      <c r="AW2515" s="364"/>
      <c r="AX2515" s="364"/>
      <c r="AY2515" s="364"/>
      <c r="AZ2515" s="364"/>
      <c r="BA2515" s="364"/>
      <c r="BB2515" s="364"/>
      <c r="BC2515" s="364"/>
      <c r="BD2515" s="364"/>
      <c r="BE2515" s="364"/>
      <c r="BF2515" s="364"/>
      <c r="BG2515" s="364"/>
      <c r="BH2515" s="387"/>
      <c r="BI2515" s="386"/>
      <c r="BJ2515" s="364"/>
      <c r="BK2515" s="364"/>
      <c r="BL2515" s="364"/>
      <c r="BM2515" s="364"/>
      <c r="BN2515" s="364"/>
      <c r="BO2515" s="364"/>
      <c r="BP2515" s="364"/>
      <c r="BQ2515" s="364"/>
      <c r="BR2515" s="364"/>
      <c r="BS2515" s="364"/>
      <c r="BT2515" s="364"/>
      <c r="BU2515" s="364"/>
      <c r="BV2515" s="364"/>
      <c r="BW2515" s="364"/>
      <c r="BX2515" s="364"/>
      <c r="BY2515" s="364"/>
      <c r="BZ2515" s="387"/>
      <c r="CA2515" s="270"/>
      <c r="CB2515" s="3" t="str">
        <f t="shared" si="444"/>
        <v>Riadok bude skrytý.</v>
      </c>
      <c r="CC2515" s="271" t="s">
        <v>832</v>
      </c>
      <c r="CW2515" s="32">
        <f t="shared" si="449"/>
        <v>0</v>
      </c>
      <c r="CX2515" s="30">
        <f t="shared" si="447"/>
        <v>0</v>
      </c>
      <c r="CZ2515" s="30">
        <f t="shared" si="445"/>
        <v>1</v>
      </c>
      <c r="DA2515" s="52">
        <f t="shared" si="448"/>
        <v>0</v>
      </c>
      <c r="DB2515" s="140">
        <f t="shared" si="440"/>
        <v>0</v>
      </c>
      <c r="DS2515" s="130">
        <f>SI!BY2515</f>
        <v>172</v>
      </c>
      <c r="DZ2515" s="131">
        <f>SI!BZ2515</f>
        <v>0</v>
      </c>
    </row>
    <row r="2516" spans="1:130" hidden="1" x14ac:dyDescent="0.25">
      <c r="A2516" s="141"/>
      <c r="B2516" s="1206"/>
      <c r="C2516" s="1207"/>
      <c r="D2516" s="1207"/>
      <c r="E2516" s="1207"/>
      <c r="F2516" s="1207"/>
      <c r="G2516" s="1207"/>
      <c r="H2516" s="1207"/>
      <c r="I2516" s="1207"/>
      <c r="J2516" s="1207"/>
      <c r="K2516" s="1207"/>
      <c r="L2516" s="1207"/>
      <c r="M2516" s="1207"/>
      <c r="N2516" s="1207"/>
      <c r="O2516" s="1207"/>
      <c r="P2516" s="1207"/>
      <c r="Q2516" s="1207"/>
      <c r="R2516" s="1207"/>
      <c r="S2516" s="1207"/>
      <c r="T2516" s="1207"/>
      <c r="U2516" s="1207"/>
      <c r="V2516" s="1207"/>
      <c r="W2516" s="1207"/>
      <c r="X2516" s="1207"/>
      <c r="Y2516" s="1207"/>
      <c r="Z2516" s="1207"/>
      <c r="AA2516" s="1207"/>
      <c r="AB2516" s="1207"/>
      <c r="AC2516" s="1208"/>
      <c r="AD2516" s="367"/>
      <c r="AE2516" s="368"/>
      <c r="AF2516" s="368"/>
      <c r="AG2516" s="368"/>
      <c r="AH2516" s="368"/>
      <c r="AI2516" s="368"/>
      <c r="AJ2516" s="368"/>
      <c r="AK2516" s="368"/>
      <c r="AL2516" s="368"/>
      <c r="AM2516" s="368"/>
      <c r="AN2516" s="368"/>
      <c r="AO2516" s="368"/>
      <c r="AP2516" s="368"/>
      <c r="AQ2516" s="368"/>
      <c r="AR2516" s="458"/>
      <c r="AS2516" s="367"/>
      <c r="AT2516" s="368"/>
      <c r="AU2516" s="368"/>
      <c r="AV2516" s="368"/>
      <c r="AW2516" s="368"/>
      <c r="AX2516" s="368"/>
      <c r="AY2516" s="368"/>
      <c r="AZ2516" s="368"/>
      <c r="BA2516" s="368"/>
      <c r="BB2516" s="368"/>
      <c r="BC2516" s="368"/>
      <c r="BD2516" s="368"/>
      <c r="BE2516" s="368"/>
      <c r="BF2516" s="368"/>
      <c r="BG2516" s="368"/>
      <c r="BH2516" s="438"/>
      <c r="BI2516" s="457"/>
      <c r="BJ2516" s="368"/>
      <c r="BK2516" s="368"/>
      <c r="BL2516" s="368"/>
      <c r="BM2516" s="368"/>
      <c r="BN2516" s="368"/>
      <c r="BO2516" s="368"/>
      <c r="BP2516" s="368"/>
      <c r="BQ2516" s="368"/>
      <c r="BR2516" s="368"/>
      <c r="BS2516" s="368"/>
      <c r="BT2516" s="368"/>
      <c r="BU2516" s="368"/>
      <c r="BV2516" s="368"/>
      <c r="BW2516" s="368"/>
      <c r="BX2516" s="368"/>
      <c r="BY2516" s="368"/>
      <c r="BZ2516" s="438"/>
      <c r="CA2516" s="270"/>
      <c r="CB2516" s="3" t="str">
        <f t="shared" si="444"/>
        <v>Riadok bude skrytý.</v>
      </c>
      <c r="CC2516" s="271" t="s">
        <v>832</v>
      </c>
      <c r="CW2516" s="32">
        <f t="shared" si="449"/>
        <v>0</v>
      </c>
      <c r="CZ2516" s="30">
        <f>IF(CC2516="",1,IF(CC2516="Chcem skryť riadok.",0,1))</f>
        <v>1</v>
      </c>
      <c r="DA2516" s="30">
        <f>+IF(CW2516+CX2516+CY2516=0,0,IF(CZ2516=0,0,1))</f>
        <v>0</v>
      </c>
      <c r="DB2516" s="140">
        <f t="shared" si="440"/>
        <v>0</v>
      </c>
      <c r="DS2516" s="130">
        <f>SI!BY2516</f>
        <v>403</v>
      </c>
      <c r="DZ2516" s="131">
        <f>SI!BZ2516</f>
        <v>0</v>
      </c>
    </row>
    <row r="2517" spans="1:130" hidden="1" x14ac:dyDescent="0.25">
      <c r="A2517" s="141"/>
      <c r="B2517" s="1856" t="s">
        <v>319</v>
      </c>
      <c r="C2517" s="1857"/>
      <c r="D2517" s="1857"/>
      <c r="E2517" s="1857"/>
      <c r="F2517" s="1857"/>
      <c r="G2517" s="1857"/>
      <c r="H2517" s="1857"/>
      <c r="I2517" s="1857"/>
      <c r="J2517" s="1857"/>
      <c r="K2517" s="1857"/>
      <c r="L2517" s="1857"/>
      <c r="M2517" s="1857"/>
      <c r="N2517" s="1857"/>
      <c r="O2517" s="1857"/>
      <c r="P2517" s="1857"/>
      <c r="Q2517" s="1857"/>
      <c r="R2517" s="1857"/>
      <c r="S2517" s="1857"/>
      <c r="T2517" s="1857"/>
      <c r="U2517" s="1857"/>
      <c r="V2517" s="1857"/>
      <c r="W2517" s="1857"/>
      <c r="X2517" s="1857"/>
      <c r="Y2517" s="1857"/>
      <c r="Z2517" s="1857"/>
      <c r="AA2517" s="1857"/>
      <c r="AB2517" s="1857"/>
      <c r="AC2517" s="1858"/>
      <c r="AD2517" s="423">
        <f>+SUM(AD2518:AR2527)</f>
        <v>0</v>
      </c>
      <c r="AE2517" s="424"/>
      <c r="AF2517" s="424"/>
      <c r="AG2517" s="424"/>
      <c r="AH2517" s="424"/>
      <c r="AI2517" s="424"/>
      <c r="AJ2517" s="424"/>
      <c r="AK2517" s="424"/>
      <c r="AL2517" s="424"/>
      <c r="AM2517" s="424"/>
      <c r="AN2517" s="424"/>
      <c r="AO2517" s="424"/>
      <c r="AP2517" s="424"/>
      <c r="AQ2517" s="424"/>
      <c r="AR2517" s="424"/>
      <c r="AS2517" s="423">
        <f>+SUM(AS2518:BH2527)</f>
        <v>0</v>
      </c>
      <c r="AT2517" s="424"/>
      <c r="AU2517" s="424"/>
      <c r="AV2517" s="424"/>
      <c r="AW2517" s="424"/>
      <c r="AX2517" s="424"/>
      <c r="AY2517" s="424"/>
      <c r="AZ2517" s="424"/>
      <c r="BA2517" s="424"/>
      <c r="BB2517" s="424"/>
      <c r="BC2517" s="424"/>
      <c r="BD2517" s="424"/>
      <c r="BE2517" s="424"/>
      <c r="BF2517" s="424"/>
      <c r="BG2517" s="424"/>
      <c r="BH2517" s="425"/>
      <c r="BI2517" s="424">
        <f>+SUM(BI2518:BZ2527)</f>
        <v>0</v>
      </c>
      <c r="BJ2517" s="424"/>
      <c r="BK2517" s="424"/>
      <c r="BL2517" s="424"/>
      <c r="BM2517" s="424"/>
      <c r="BN2517" s="424"/>
      <c r="BO2517" s="424"/>
      <c r="BP2517" s="424"/>
      <c r="BQ2517" s="424"/>
      <c r="BR2517" s="424"/>
      <c r="BS2517" s="424"/>
      <c r="BT2517" s="424"/>
      <c r="BU2517" s="424"/>
      <c r="BV2517" s="424"/>
      <c r="BW2517" s="424"/>
      <c r="BX2517" s="424"/>
      <c r="BY2517" s="424"/>
      <c r="BZ2517" s="425"/>
      <c r="CA2517" s="270"/>
      <c r="CB2517" s="3" t="str">
        <f t="shared" si="444"/>
        <v>Riadok bude skrytý.</v>
      </c>
      <c r="CC2517" s="271" t="s">
        <v>832</v>
      </c>
      <c r="CW2517" s="32">
        <f t="shared" si="449"/>
        <v>0</v>
      </c>
      <c r="CZ2517" s="30">
        <f t="shared" si="445"/>
        <v>1</v>
      </c>
      <c r="DA2517" s="30">
        <f>+IF(CW2517+CX2517+CY2517=0,0,IF(CZ2517=0,0,1))</f>
        <v>0</v>
      </c>
      <c r="DB2517" s="140">
        <f t="shared" si="440"/>
        <v>0</v>
      </c>
      <c r="DS2517" s="130">
        <f>SI!BY2517</f>
        <v>192</v>
      </c>
      <c r="DZ2517" s="131">
        <f>SI!BZ2517</f>
        <v>0</v>
      </c>
    </row>
    <row r="2518" spans="1:130" hidden="1" x14ac:dyDescent="0.25">
      <c r="A2518" s="141"/>
      <c r="B2518" s="1864"/>
      <c r="C2518" s="1865"/>
      <c r="D2518" s="1865"/>
      <c r="E2518" s="1865"/>
      <c r="F2518" s="1865"/>
      <c r="G2518" s="1865"/>
      <c r="H2518" s="1865"/>
      <c r="I2518" s="1865"/>
      <c r="J2518" s="1865"/>
      <c r="K2518" s="1865"/>
      <c r="L2518" s="1865"/>
      <c r="M2518" s="1865"/>
      <c r="N2518" s="1865"/>
      <c r="O2518" s="1865"/>
      <c r="P2518" s="1865"/>
      <c r="Q2518" s="1865"/>
      <c r="R2518" s="1865"/>
      <c r="S2518" s="1865"/>
      <c r="T2518" s="1865"/>
      <c r="U2518" s="1865"/>
      <c r="V2518" s="1865"/>
      <c r="W2518" s="1865"/>
      <c r="X2518" s="1865"/>
      <c r="Y2518" s="1865"/>
      <c r="Z2518" s="1865"/>
      <c r="AA2518" s="1865"/>
      <c r="AB2518" s="1865"/>
      <c r="AC2518" s="1866"/>
      <c r="AD2518" s="535"/>
      <c r="AE2518" s="536"/>
      <c r="AF2518" s="536"/>
      <c r="AG2518" s="536"/>
      <c r="AH2518" s="536"/>
      <c r="AI2518" s="536"/>
      <c r="AJ2518" s="536"/>
      <c r="AK2518" s="536"/>
      <c r="AL2518" s="536"/>
      <c r="AM2518" s="536"/>
      <c r="AN2518" s="536"/>
      <c r="AO2518" s="536"/>
      <c r="AP2518" s="536"/>
      <c r="AQ2518" s="536"/>
      <c r="AR2518" s="713"/>
      <c r="AS2518" s="535"/>
      <c r="AT2518" s="536"/>
      <c r="AU2518" s="536"/>
      <c r="AV2518" s="536"/>
      <c r="AW2518" s="536"/>
      <c r="AX2518" s="536"/>
      <c r="AY2518" s="536"/>
      <c r="AZ2518" s="536"/>
      <c r="BA2518" s="536"/>
      <c r="BB2518" s="536"/>
      <c r="BC2518" s="536"/>
      <c r="BD2518" s="536"/>
      <c r="BE2518" s="536"/>
      <c r="BF2518" s="536"/>
      <c r="BG2518" s="536"/>
      <c r="BH2518" s="537"/>
      <c r="BI2518" s="1014"/>
      <c r="BJ2518" s="536"/>
      <c r="BK2518" s="536"/>
      <c r="BL2518" s="536"/>
      <c r="BM2518" s="536"/>
      <c r="BN2518" s="536"/>
      <c r="BO2518" s="536"/>
      <c r="BP2518" s="536"/>
      <c r="BQ2518" s="536"/>
      <c r="BR2518" s="536"/>
      <c r="BS2518" s="536"/>
      <c r="BT2518" s="536"/>
      <c r="BU2518" s="536"/>
      <c r="BV2518" s="536"/>
      <c r="BW2518" s="536"/>
      <c r="BX2518" s="536"/>
      <c r="BY2518" s="536"/>
      <c r="BZ2518" s="537"/>
      <c r="CA2518" s="270"/>
      <c r="CB2518" s="3" t="str">
        <f t="shared" si="444"/>
        <v>Riadok bude skrytý.</v>
      </c>
      <c r="CC2518" s="271" t="s">
        <v>832</v>
      </c>
      <c r="CW2518" s="32">
        <f t="shared" si="449"/>
        <v>0</v>
      </c>
      <c r="CZ2518" s="30">
        <f t="shared" si="445"/>
        <v>1</v>
      </c>
      <c r="DA2518" s="30">
        <f>+IF(CW2518+CX2518+CY2518=0,0,IF(CZ2518=0,0,1))</f>
        <v>0</v>
      </c>
      <c r="DB2518" s="140">
        <f t="shared" si="440"/>
        <v>0</v>
      </c>
      <c r="DS2518" s="130">
        <f>SI!BY2518</f>
        <v>466</v>
      </c>
      <c r="DZ2518" s="131">
        <f>SI!BZ2518</f>
        <v>0</v>
      </c>
    </row>
    <row r="2519" spans="1:130" hidden="1" x14ac:dyDescent="0.25">
      <c r="A2519" s="141"/>
      <c r="B2519" s="1158"/>
      <c r="C2519" s="1159"/>
      <c r="D2519" s="1159"/>
      <c r="E2519" s="1159"/>
      <c r="F2519" s="1159"/>
      <c r="G2519" s="1159"/>
      <c r="H2519" s="1159"/>
      <c r="I2519" s="1159"/>
      <c r="J2519" s="1159"/>
      <c r="K2519" s="1159"/>
      <c r="L2519" s="1159"/>
      <c r="M2519" s="1159"/>
      <c r="N2519" s="1159"/>
      <c r="O2519" s="1159"/>
      <c r="P2519" s="1159"/>
      <c r="Q2519" s="1159"/>
      <c r="R2519" s="1159"/>
      <c r="S2519" s="1159"/>
      <c r="T2519" s="1159"/>
      <c r="U2519" s="1159"/>
      <c r="V2519" s="1159"/>
      <c r="W2519" s="1159"/>
      <c r="X2519" s="1159"/>
      <c r="Y2519" s="1159"/>
      <c r="Z2519" s="1159"/>
      <c r="AA2519" s="1159"/>
      <c r="AB2519" s="1159"/>
      <c r="AC2519" s="1160"/>
      <c r="AD2519" s="363"/>
      <c r="AE2519" s="364"/>
      <c r="AF2519" s="364"/>
      <c r="AG2519" s="364"/>
      <c r="AH2519" s="364"/>
      <c r="AI2519" s="364"/>
      <c r="AJ2519" s="364"/>
      <c r="AK2519" s="364"/>
      <c r="AL2519" s="364"/>
      <c r="AM2519" s="364"/>
      <c r="AN2519" s="364"/>
      <c r="AO2519" s="364"/>
      <c r="AP2519" s="364"/>
      <c r="AQ2519" s="364"/>
      <c r="AR2519" s="475"/>
      <c r="AS2519" s="363"/>
      <c r="AT2519" s="364"/>
      <c r="AU2519" s="364"/>
      <c r="AV2519" s="364"/>
      <c r="AW2519" s="364"/>
      <c r="AX2519" s="364"/>
      <c r="AY2519" s="364"/>
      <c r="AZ2519" s="364"/>
      <c r="BA2519" s="364"/>
      <c r="BB2519" s="364"/>
      <c r="BC2519" s="364"/>
      <c r="BD2519" s="364"/>
      <c r="BE2519" s="364"/>
      <c r="BF2519" s="364"/>
      <c r="BG2519" s="364"/>
      <c r="BH2519" s="387"/>
      <c r="BI2519" s="386"/>
      <c r="BJ2519" s="364"/>
      <c r="BK2519" s="364"/>
      <c r="BL2519" s="364"/>
      <c r="BM2519" s="364"/>
      <c r="BN2519" s="364"/>
      <c r="BO2519" s="364"/>
      <c r="BP2519" s="364"/>
      <c r="BQ2519" s="364"/>
      <c r="BR2519" s="364"/>
      <c r="BS2519" s="364"/>
      <c r="BT2519" s="364"/>
      <c r="BU2519" s="364"/>
      <c r="BV2519" s="364"/>
      <c r="BW2519" s="364"/>
      <c r="BX2519" s="364"/>
      <c r="BY2519" s="364"/>
      <c r="BZ2519" s="387"/>
      <c r="CA2519" s="270"/>
      <c r="CB2519" s="3" t="str">
        <f t="shared" si="444"/>
        <v>Riadok bude skrytý.</v>
      </c>
      <c r="CC2519" s="271" t="s">
        <v>832</v>
      </c>
      <c r="CW2519" s="32">
        <f t="shared" si="449"/>
        <v>0</v>
      </c>
      <c r="CX2519" s="30">
        <f t="shared" ref="CX2519:CX2526" si="450">+IF(B2519="",0,1)</f>
        <v>0</v>
      </c>
      <c r="CZ2519" s="30">
        <f t="shared" si="445"/>
        <v>1</v>
      </c>
      <c r="DA2519" s="52">
        <f t="shared" ref="DA2519:DA2526" si="451">+IF(CW2519*CX2519=0,0,IF(CZ2519=0,0,1))</f>
        <v>0</v>
      </c>
      <c r="DB2519" s="140">
        <f t="shared" si="440"/>
        <v>0</v>
      </c>
      <c r="DS2519" s="130">
        <f>SI!BY2519</f>
        <v>173</v>
      </c>
      <c r="DZ2519" s="131">
        <f>SI!BZ2519</f>
        <v>0</v>
      </c>
    </row>
    <row r="2520" spans="1:130" hidden="1" x14ac:dyDescent="0.25">
      <c r="A2520" s="141"/>
      <c r="B2520" s="1158"/>
      <c r="C2520" s="1159"/>
      <c r="D2520" s="1159"/>
      <c r="E2520" s="1159"/>
      <c r="F2520" s="1159"/>
      <c r="G2520" s="1159"/>
      <c r="H2520" s="1159"/>
      <c r="I2520" s="1159"/>
      <c r="J2520" s="1159"/>
      <c r="K2520" s="1159"/>
      <c r="L2520" s="1159"/>
      <c r="M2520" s="1159"/>
      <c r="N2520" s="1159"/>
      <c r="O2520" s="1159"/>
      <c r="P2520" s="1159"/>
      <c r="Q2520" s="1159"/>
      <c r="R2520" s="1159"/>
      <c r="S2520" s="1159"/>
      <c r="T2520" s="1159"/>
      <c r="U2520" s="1159"/>
      <c r="V2520" s="1159"/>
      <c r="W2520" s="1159"/>
      <c r="X2520" s="1159"/>
      <c r="Y2520" s="1159"/>
      <c r="Z2520" s="1159"/>
      <c r="AA2520" s="1159"/>
      <c r="AB2520" s="1159"/>
      <c r="AC2520" s="1160"/>
      <c r="AD2520" s="363"/>
      <c r="AE2520" s="364"/>
      <c r="AF2520" s="364"/>
      <c r="AG2520" s="364"/>
      <c r="AH2520" s="364"/>
      <c r="AI2520" s="364"/>
      <c r="AJ2520" s="364"/>
      <c r="AK2520" s="364"/>
      <c r="AL2520" s="364"/>
      <c r="AM2520" s="364"/>
      <c r="AN2520" s="364"/>
      <c r="AO2520" s="364"/>
      <c r="AP2520" s="364"/>
      <c r="AQ2520" s="364"/>
      <c r="AR2520" s="475"/>
      <c r="AS2520" s="363"/>
      <c r="AT2520" s="364"/>
      <c r="AU2520" s="364"/>
      <c r="AV2520" s="364"/>
      <c r="AW2520" s="364"/>
      <c r="AX2520" s="364"/>
      <c r="AY2520" s="364"/>
      <c r="AZ2520" s="364"/>
      <c r="BA2520" s="364"/>
      <c r="BB2520" s="364"/>
      <c r="BC2520" s="364"/>
      <c r="BD2520" s="364"/>
      <c r="BE2520" s="364"/>
      <c r="BF2520" s="364"/>
      <c r="BG2520" s="364"/>
      <c r="BH2520" s="387"/>
      <c r="BI2520" s="386"/>
      <c r="BJ2520" s="364"/>
      <c r="BK2520" s="364"/>
      <c r="BL2520" s="364"/>
      <c r="BM2520" s="364"/>
      <c r="BN2520" s="364"/>
      <c r="BO2520" s="364"/>
      <c r="BP2520" s="364"/>
      <c r="BQ2520" s="364"/>
      <c r="BR2520" s="364"/>
      <c r="BS2520" s="364"/>
      <c r="BT2520" s="364"/>
      <c r="BU2520" s="364"/>
      <c r="BV2520" s="364"/>
      <c r="BW2520" s="364"/>
      <c r="BX2520" s="364"/>
      <c r="BY2520" s="364"/>
      <c r="BZ2520" s="387"/>
      <c r="CA2520" s="270"/>
      <c r="CB2520" s="3" t="str">
        <f t="shared" si="444"/>
        <v>Riadok bude skrytý.</v>
      </c>
      <c r="CC2520" s="271" t="s">
        <v>832</v>
      </c>
      <c r="CW2520" s="32">
        <f t="shared" si="449"/>
        <v>0</v>
      </c>
      <c r="CX2520" s="30">
        <f t="shared" si="450"/>
        <v>0</v>
      </c>
      <c r="CZ2520" s="30">
        <f t="shared" si="445"/>
        <v>1</v>
      </c>
      <c r="DA2520" s="52">
        <f t="shared" si="451"/>
        <v>0</v>
      </c>
      <c r="DB2520" s="140">
        <f t="shared" si="440"/>
        <v>0</v>
      </c>
      <c r="DS2520" s="130">
        <f>SI!BY2520</f>
        <v>501</v>
      </c>
      <c r="DZ2520" s="131">
        <f>SI!BZ2520</f>
        <v>0</v>
      </c>
    </row>
    <row r="2521" spans="1:130" hidden="1" x14ac:dyDescent="0.25">
      <c r="A2521" s="141"/>
      <c r="B2521" s="1158"/>
      <c r="C2521" s="1159"/>
      <c r="D2521" s="1159"/>
      <c r="E2521" s="1159"/>
      <c r="F2521" s="1159"/>
      <c r="G2521" s="1159"/>
      <c r="H2521" s="1159"/>
      <c r="I2521" s="1159"/>
      <c r="J2521" s="1159"/>
      <c r="K2521" s="1159"/>
      <c r="L2521" s="1159"/>
      <c r="M2521" s="1159"/>
      <c r="N2521" s="1159"/>
      <c r="O2521" s="1159"/>
      <c r="P2521" s="1159"/>
      <c r="Q2521" s="1159"/>
      <c r="R2521" s="1159"/>
      <c r="S2521" s="1159"/>
      <c r="T2521" s="1159"/>
      <c r="U2521" s="1159"/>
      <c r="V2521" s="1159"/>
      <c r="W2521" s="1159"/>
      <c r="X2521" s="1159"/>
      <c r="Y2521" s="1159"/>
      <c r="Z2521" s="1159"/>
      <c r="AA2521" s="1159"/>
      <c r="AB2521" s="1159"/>
      <c r="AC2521" s="1160"/>
      <c r="AD2521" s="363"/>
      <c r="AE2521" s="364"/>
      <c r="AF2521" s="364"/>
      <c r="AG2521" s="364"/>
      <c r="AH2521" s="364"/>
      <c r="AI2521" s="364"/>
      <c r="AJ2521" s="364"/>
      <c r="AK2521" s="364"/>
      <c r="AL2521" s="364"/>
      <c r="AM2521" s="364"/>
      <c r="AN2521" s="364"/>
      <c r="AO2521" s="364"/>
      <c r="AP2521" s="364"/>
      <c r="AQ2521" s="364"/>
      <c r="AR2521" s="475"/>
      <c r="AS2521" s="363"/>
      <c r="AT2521" s="364"/>
      <c r="AU2521" s="364"/>
      <c r="AV2521" s="364"/>
      <c r="AW2521" s="364"/>
      <c r="AX2521" s="364"/>
      <c r="AY2521" s="364"/>
      <c r="AZ2521" s="364"/>
      <c r="BA2521" s="364"/>
      <c r="BB2521" s="364"/>
      <c r="BC2521" s="364"/>
      <c r="BD2521" s="364"/>
      <c r="BE2521" s="364"/>
      <c r="BF2521" s="364"/>
      <c r="BG2521" s="364"/>
      <c r="BH2521" s="387"/>
      <c r="BI2521" s="386"/>
      <c r="BJ2521" s="364"/>
      <c r="BK2521" s="364"/>
      <c r="BL2521" s="364"/>
      <c r="BM2521" s="364"/>
      <c r="BN2521" s="364"/>
      <c r="BO2521" s="364"/>
      <c r="BP2521" s="364"/>
      <c r="BQ2521" s="364"/>
      <c r="BR2521" s="364"/>
      <c r="BS2521" s="364"/>
      <c r="BT2521" s="364"/>
      <c r="BU2521" s="364"/>
      <c r="BV2521" s="364"/>
      <c r="BW2521" s="364"/>
      <c r="BX2521" s="364"/>
      <c r="BY2521" s="364"/>
      <c r="BZ2521" s="387"/>
      <c r="CA2521" s="270"/>
      <c r="CB2521" s="3" t="str">
        <f t="shared" si="444"/>
        <v>Riadok bude skrytý.</v>
      </c>
      <c r="CC2521" s="271" t="s">
        <v>832</v>
      </c>
      <c r="CW2521" s="32">
        <f t="shared" si="449"/>
        <v>0</v>
      </c>
      <c r="CX2521" s="30">
        <f t="shared" si="450"/>
        <v>0</v>
      </c>
      <c r="CZ2521" s="30">
        <f t="shared" si="445"/>
        <v>1</v>
      </c>
      <c r="DA2521" s="52">
        <f t="shared" si="451"/>
        <v>0</v>
      </c>
      <c r="DB2521" s="140">
        <f t="shared" si="440"/>
        <v>0</v>
      </c>
      <c r="DS2521" s="130">
        <f>SI!BY2521</f>
        <v>131</v>
      </c>
      <c r="DZ2521" s="131">
        <f>SI!BZ2521</f>
        <v>0</v>
      </c>
    </row>
    <row r="2522" spans="1:130" hidden="1" x14ac:dyDescent="0.25">
      <c r="A2522" s="141"/>
      <c r="B2522" s="1158"/>
      <c r="C2522" s="1159"/>
      <c r="D2522" s="1159"/>
      <c r="E2522" s="1159"/>
      <c r="F2522" s="1159"/>
      <c r="G2522" s="1159"/>
      <c r="H2522" s="1159"/>
      <c r="I2522" s="1159"/>
      <c r="J2522" s="1159"/>
      <c r="K2522" s="1159"/>
      <c r="L2522" s="1159"/>
      <c r="M2522" s="1159"/>
      <c r="N2522" s="1159"/>
      <c r="O2522" s="1159"/>
      <c r="P2522" s="1159"/>
      <c r="Q2522" s="1159"/>
      <c r="R2522" s="1159"/>
      <c r="S2522" s="1159"/>
      <c r="T2522" s="1159"/>
      <c r="U2522" s="1159"/>
      <c r="V2522" s="1159"/>
      <c r="W2522" s="1159"/>
      <c r="X2522" s="1159"/>
      <c r="Y2522" s="1159"/>
      <c r="Z2522" s="1159"/>
      <c r="AA2522" s="1159"/>
      <c r="AB2522" s="1159"/>
      <c r="AC2522" s="1160"/>
      <c r="AD2522" s="363"/>
      <c r="AE2522" s="364"/>
      <c r="AF2522" s="364"/>
      <c r="AG2522" s="364"/>
      <c r="AH2522" s="364"/>
      <c r="AI2522" s="364"/>
      <c r="AJ2522" s="364"/>
      <c r="AK2522" s="364"/>
      <c r="AL2522" s="364"/>
      <c r="AM2522" s="364"/>
      <c r="AN2522" s="364"/>
      <c r="AO2522" s="364"/>
      <c r="AP2522" s="364"/>
      <c r="AQ2522" s="364"/>
      <c r="AR2522" s="475"/>
      <c r="AS2522" s="363"/>
      <c r="AT2522" s="364"/>
      <c r="AU2522" s="364"/>
      <c r="AV2522" s="364"/>
      <c r="AW2522" s="364"/>
      <c r="AX2522" s="364"/>
      <c r="AY2522" s="364"/>
      <c r="AZ2522" s="364"/>
      <c r="BA2522" s="364"/>
      <c r="BB2522" s="364"/>
      <c r="BC2522" s="364"/>
      <c r="BD2522" s="364"/>
      <c r="BE2522" s="364"/>
      <c r="BF2522" s="364"/>
      <c r="BG2522" s="364"/>
      <c r="BH2522" s="387"/>
      <c r="BI2522" s="386"/>
      <c r="BJ2522" s="364"/>
      <c r="BK2522" s="364"/>
      <c r="BL2522" s="364"/>
      <c r="BM2522" s="364"/>
      <c r="BN2522" s="364"/>
      <c r="BO2522" s="364"/>
      <c r="BP2522" s="364"/>
      <c r="BQ2522" s="364"/>
      <c r="BR2522" s="364"/>
      <c r="BS2522" s="364"/>
      <c r="BT2522" s="364"/>
      <c r="BU2522" s="364"/>
      <c r="BV2522" s="364"/>
      <c r="BW2522" s="364"/>
      <c r="BX2522" s="364"/>
      <c r="BY2522" s="364"/>
      <c r="BZ2522" s="387"/>
      <c r="CA2522" s="270"/>
      <c r="CB2522" s="3" t="str">
        <f t="shared" si="444"/>
        <v>Riadok bude skrytý.</v>
      </c>
      <c r="CC2522" s="271" t="s">
        <v>832</v>
      </c>
      <c r="CW2522" s="32">
        <f t="shared" si="449"/>
        <v>0</v>
      </c>
      <c r="CX2522" s="30">
        <f t="shared" si="450"/>
        <v>0</v>
      </c>
      <c r="CZ2522" s="30">
        <f t="shared" si="445"/>
        <v>1</v>
      </c>
      <c r="DA2522" s="52">
        <f t="shared" si="451"/>
        <v>0</v>
      </c>
      <c r="DB2522" s="140">
        <f t="shared" si="440"/>
        <v>0</v>
      </c>
      <c r="DS2522" s="130">
        <f>SI!BY2522</f>
        <v>208</v>
      </c>
      <c r="DZ2522" s="131">
        <f>SI!BZ2522</f>
        <v>0</v>
      </c>
    </row>
    <row r="2523" spans="1:130" hidden="1" x14ac:dyDescent="0.25">
      <c r="A2523" s="141"/>
      <c r="B2523" s="1158"/>
      <c r="C2523" s="1159"/>
      <c r="D2523" s="1159"/>
      <c r="E2523" s="1159"/>
      <c r="F2523" s="1159"/>
      <c r="G2523" s="1159"/>
      <c r="H2523" s="1159"/>
      <c r="I2523" s="1159"/>
      <c r="J2523" s="1159"/>
      <c r="K2523" s="1159"/>
      <c r="L2523" s="1159"/>
      <c r="M2523" s="1159"/>
      <c r="N2523" s="1159"/>
      <c r="O2523" s="1159"/>
      <c r="P2523" s="1159"/>
      <c r="Q2523" s="1159"/>
      <c r="R2523" s="1159"/>
      <c r="S2523" s="1159"/>
      <c r="T2523" s="1159"/>
      <c r="U2523" s="1159"/>
      <c r="V2523" s="1159"/>
      <c r="W2523" s="1159"/>
      <c r="X2523" s="1159"/>
      <c r="Y2523" s="1159"/>
      <c r="Z2523" s="1159"/>
      <c r="AA2523" s="1159"/>
      <c r="AB2523" s="1159"/>
      <c r="AC2523" s="1160"/>
      <c r="AD2523" s="363"/>
      <c r="AE2523" s="364"/>
      <c r="AF2523" s="364"/>
      <c r="AG2523" s="364"/>
      <c r="AH2523" s="364"/>
      <c r="AI2523" s="364"/>
      <c r="AJ2523" s="364"/>
      <c r="AK2523" s="364"/>
      <c r="AL2523" s="364"/>
      <c r="AM2523" s="364"/>
      <c r="AN2523" s="364"/>
      <c r="AO2523" s="364"/>
      <c r="AP2523" s="364"/>
      <c r="AQ2523" s="364"/>
      <c r="AR2523" s="475"/>
      <c r="AS2523" s="363"/>
      <c r="AT2523" s="364"/>
      <c r="AU2523" s="364"/>
      <c r="AV2523" s="364"/>
      <c r="AW2523" s="364"/>
      <c r="AX2523" s="364"/>
      <c r="AY2523" s="364"/>
      <c r="AZ2523" s="364"/>
      <c r="BA2523" s="364"/>
      <c r="BB2523" s="364"/>
      <c r="BC2523" s="364"/>
      <c r="BD2523" s="364"/>
      <c r="BE2523" s="364"/>
      <c r="BF2523" s="364"/>
      <c r="BG2523" s="364"/>
      <c r="BH2523" s="387"/>
      <c r="BI2523" s="386"/>
      <c r="BJ2523" s="364"/>
      <c r="BK2523" s="364"/>
      <c r="BL2523" s="364"/>
      <c r="BM2523" s="364"/>
      <c r="BN2523" s="364"/>
      <c r="BO2523" s="364"/>
      <c r="BP2523" s="364"/>
      <c r="BQ2523" s="364"/>
      <c r="BR2523" s="364"/>
      <c r="BS2523" s="364"/>
      <c r="BT2523" s="364"/>
      <c r="BU2523" s="364"/>
      <c r="BV2523" s="364"/>
      <c r="BW2523" s="364"/>
      <c r="BX2523" s="364"/>
      <c r="BY2523" s="364"/>
      <c r="BZ2523" s="387"/>
      <c r="CA2523" s="270"/>
      <c r="CB2523" s="3" t="str">
        <f t="shared" si="444"/>
        <v>Riadok bude skrytý.</v>
      </c>
      <c r="CC2523" s="271" t="s">
        <v>832</v>
      </c>
      <c r="CW2523" s="32">
        <f t="shared" si="449"/>
        <v>0</v>
      </c>
      <c r="CX2523" s="30">
        <f t="shared" si="450"/>
        <v>0</v>
      </c>
      <c r="CZ2523" s="30">
        <f t="shared" si="445"/>
        <v>1</v>
      </c>
      <c r="DA2523" s="52">
        <f t="shared" si="451"/>
        <v>0</v>
      </c>
      <c r="DB2523" s="140">
        <f t="shared" si="440"/>
        <v>0</v>
      </c>
      <c r="DS2523" s="130">
        <f>SI!BY2523</f>
        <v>179</v>
      </c>
      <c r="DZ2523" s="131">
        <f>SI!BZ2523</f>
        <v>0</v>
      </c>
    </row>
    <row r="2524" spans="1:130" hidden="1" x14ac:dyDescent="0.25">
      <c r="A2524" s="141"/>
      <c r="B2524" s="1158"/>
      <c r="C2524" s="1159"/>
      <c r="D2524" s="1159"/>
      <c r="E2524" s="1159"/>
      <c r="F2524" s="1159"/>
      <c r="G2524" s="1159"/>
      <c r="H2524" s="1159"/>
      <c r="I2524" s="1159"/>
      <c r="J2524" s="1159"/>
      <c r="K2524" s="1159"/>
      <c r="L2524" s="1159"/>
      <c r="M2524" s="1159"/>
      <c r="N2524" s="1159"/>
      <c r="O2524" s="1159"/>
      <c r="P2524" s="1159"/>
      <c r="Q2524" s="1159"/>
      <c r="R2524" s="1159"/>
      <c r="S2524" s="1159"/>
      <c r="T2524" s="1159"/>
      <c r="U2524" s="1159"/>
      <c r="V2524" s="1159"/>
      <c r="W2524" s="1159"/>
      <c r="X2524" s="1159"/>
      <c r="Y2524" s="1159"/>
      <c r="Z2524" s="1159"/>
      <c r="AA2524" s="1159"/>
      <c r="AB2524" s="1159"/>
      <c r="AC2524" s="1160"/>
      <c r="AD2524" s="363"/>
      <c r="AE2524" s="364"/>
      <c r="AF2524" s="364"/>
      <c r="AG2524" s="364"/>
      <c r="AH2524" s="364"/>
      <c r="AI2524" s="364"/>
      <c r="AJ2524" s="364"/>
      <c r="AK2524" s="364"/>
      <c r="AL2524" s="364"/>
      <c r="AM2524" s="364"/>
      <c r="AN2524" s="364"/>
      <c r="AO2524" s="364"/>
      <c r="AP2524" s="364"/>
      <c r="AQ2524" s="364"/>
      <c r="AR2524" s="475"/>
      <c r="AS2524" s="363"/>
      <c r="AT2524" s="364"/>
      <c r="AU2524" s="364"/>
      <c r="AV2524" s="364"/>
      <c r="AW2524" s="364"/>
      <c r="AX2524" s="364"/>
      <c r="AY2524" s="364"/>
      <c r="AZ2524" s="364"/>
      <c r="BA2524" s="364"/>
      <c r="BB2524" s="364"/>
      <c r="BC2524" s="364"/>
      <c r="BD2524" s="364"/>
      <c r="BE2524" s="364"/>
      <c r="BF2524" s="364"/>
      <c r="BG2524" s="364"/>
      <c r="BH2524" s="387"/>
      <c r="BI2524" s="386"/>
      <c r="BJ2524" s="364"/>
      <c r="BK2524" s="364"/>
      <c r="BL2524" s="364"/>
      <c r="BM2524" s="364"/>
      <c r="BN2524" s="364"/>
      <c r="BO2524" s="364"/>
      <c r="BP2524" s="364"/>
      <c r="BQ2524" s="364"/>
      <c r="BR2524" s="364"/>
      <c r="BS2524" s="364"/>
      <c r="BT2524" s="364"/>
      <c r="BU2524" s="364"/>
      <c r="BV2524" s="364"/>
      <c r="BW2524" s="364"/>
      <c r="BX2524" s="364"/>
      <c r="BY2524" s="364"/>
      <c r="BZ2524" s="387"/>
      <c r="CA2524" s="270"/>
      <c r="CB2524" s="3" t="str">
        <f t="shared" si="444"/>
        <v>Riadok bude skrytý.</v>
      </c>
      <c r="CC2524" s="271" t="s">
        <v>832</v>
      </c>
      <c r="CW2524" s="32">
        <f t="shared" si="449"/>
        <v>0</v>
      </c>
      <c r="CX2524" s="30">
        <f t="shared" si="450"/>
        <v>0</v>
      </c>
      <c r="CZ2524" s="30">
        <f t="shared" si="445"/>
        <v>1</v>
      </c>
      <c r="DA2524" s="52">
        <f t="shared" si="451"/>
        <v>0</v>
      </c>
      <c r="DB2524" s="140">
        <f t="shared" si="440"/>
        <v>0</v>
      </c>
      <c r="DS2524" s="130">
        <f>SI!BY2524</f>
        <v>776</v>
      </c>
      <c r="DZ2524" s="131">
        <f>SI!BZ2524</f>
        <v>0</v>
      </c>
    </row>
    <row r="2525" spans="1:130" hidden="1" x14ac:dyDescent="0.25">
      <c r="A2525" s="141"/>
      <c r="B2525" s="1158"/>
      <c r="C2525" s="1159"/>
      <c r="D2525" s="1159"/>
      <c r="E2525" s="1159"/>
      <c r="F2525" s="1159"/>
      <c r="G2525" s="1159"/>
      <c r="H2525" s="1159"/>
      <c r="I2525" s="1159"/>
      <c r="J2525" s="1159"/>
      <c r="K2525" s="1159"/>
      <c r="L2525" s="1159"/>
      <c r="M2525" s="1159"/>
      <c r="N2525" s="1159"/>
      <c r="O2525" s="1159"/>
      <c r="P2525" s="1159"/>
      <c r="Q2525" s="1159"/>
      <c r="R2525" s="1159"/>
      <c r="S2525" s="1159"/>
      <c r="T2525" s="1159"/>
      <c r="U2525" s="1159"/>
      <c r="V2525" s="1159"/>
      <c r="W2525" s="1159"/>
      <c r="X2525" s="1159"/>
      <c r="Y2525" s="1159"/>
      <c r="Z2525" s="1159"/>
      <c r="AA2525" s="1159"/>
      <c r="AB2525" s="1159"/>
      <c r="AC2525" s="1160"/>
      <c r="AD2525" s="363"/>
      <c r="AE2525" s="364"/>
      <c r="AF2525" s="364"/>
      <c r="AG2525" s="364"/>
      <c r="AH2525" s="364"/>
      <c r="AI2525" s="364"/>
      <c r="AJ2525" s="364"/>
      <c r="AK2525" s="364"/>
      <c r="AL2525" s="364"/>
      <c r="AM2525" s="364"/>
      <c r="AN2525" s="364"/>
      <c r="AO2525" s="364"/>
      <c r="AP2525" s="364"/>
      <c r="AQ2525" s="364"/>
      <c r="AR2525" s="475"/>
      <c r="AS2525" s="363"/>
      <c r="AT2525" s="364"/>
      <c r="AU2525" s="364"/>
      <c r="AV2525" s="364"/>
      <c r="AW2525" s="364"/>
      <c r="AX2525" s="364"/>
      <c r="AY2525" s="364"/>
      <c r="AZ2525" s="364"/>
      <c r="BA2525" s="364"/>
      <c r="BB2525" s="364"/>
      <c r="BC2525" s="364"/>
      <c r="BD2525" s="364"/>
      <c r="BE2525" s="364"/>
      <c r="BF2525" s="364"/>
      <c r="BG2525" s="364"/>
      <c r="BH2525" s="387"/>
      <c r="BI2525" s="386"/>
      <c r="BJ2525" s="364"/>
      <c r="BK2525" s="364"/>
      <c r="BL2525" s="364"/>
      <c r="BM2525" s="364"/>
      <c r="BN2525" s="364"/>
      <c r="BO2525" s="364"/>
      <c r="BP2525" s="364"/>
      <c r="BQ2525" s="364"/>
      <c r="BR2525" s="364"/>
      <c r="BS2525" s="364"/>
      <c r="BT2525" s="364"/>
      <c r="BU2525" s="364"/>
      <c r="BV2525" s="364"/>
      <c r="BW2525" s="364"/>
      <c r="BX2525" s="364"/>
      <c r="BY2525" s="364"/>
      <c r="BZ2525" s="387"/>
      <c r="CA2525" s="270"/>
      <c r="CB2525" s="3" t="str">
        <f t="shared" si="444"/>
        <v>Riadok bude skrytý.</v>
      </c>
      <c r="CC2525" s="271" t="s">
        <v>832</v>
      </c>
      <c r="CW2525" s="32">
        <f t="shared" si="449"/>
        <v>0</v>
      </c>
      <c r="CX2525" s="30">
        <f t="shared" si="450"/>
        <v>0</v>
      </c>
      <c r="CZ2525" s="30">
        <f t="shared" si="445"/>
        <v>1</v>
      </c>
      <c r="DA2525" s="52">
        <f t="shared" si="451"/>
        <v>0</v>
      </c>
      <c r="DB2525" s="140">
        <f t="shared" si="440"/>
        <v>0</v>
      </c>
      <c r="DS2525" s="130">
        <f>SI!BY2525</f>
        <v>128</v>
      </c>
      <c r="DZ2525" s="131">
        <f>SI!BZ2525</f>
        <v>0</v>
      </c>
    </row>
    <row r="2526" spans="1:130" hidden="1" x14ac:dyDescent="0.25">
      <c r="A2526" s="141"/>
      <c r="B2526" s="1158"/>
      <c r="C2526" s="1159"/>
      <c r="D2526" s="1159"/>
      <c r="E2526" s="1159"/>
      <c r="F2526" s="1159"/>
      <c r="G2526" s="1159"/>
      <c r="H2526" s="1159"/>
      <c r="I2526" s="1159"/>
      <c r="J2526" s="1159"/>
      <c r="K2526" s="1159"/>
      <c r="L2526" s="1159"/>
      <c r="M2526" s="1159"/>
      <c r="N2526" s="1159"/>
      <c r="O2526" s="1159"/>
      <c r="P2526" s="1159"/>
      <c r="Q2526" s="1159"/>
      <c r="R2526" s="1159"/>
      <c r="S2526" s="1159"/>
      <c r="T2526" s="1159"/>
      <c r="U2526" s="1159"/>
      <c r="V2526" s="1159"/>
      <c r="W2526" s="1159"/>
      <c r="X2526" s="1159"/>
      <c r="Y2526" s="1159"/>
      <c r="Z2526" s="1159"/>
      <c r="AA2526" s="1159"/>
      <c r="AB2526" s="1159"/>
      <c r="AC2526" s="1160"/>
      <c r="AD2526" s="363"/>
      <c r="AE2526" s="364"/>
      <c r="AF2526" s="364"/>
      <c r="AG2526" s="364"/>
      <c r="AH2526" s="364"/>
      <c r="AI2526" s="364"/>
      <c r="AJ2526" s="364"/>
      <c r="AK2526" s="364"/>
      <c r="AL2526" s="364"/>
      <c r="AM2526" s="364"/>
      <c r="AN2526" s="364"/>
      <c r="AO2526" s="364"/>
      <c r="AP2526" s="364"/>
      <c r="AQ2526" s="364"/>
      <c r="AR2526" s="475"/>
      <c r="AS2526" s="363"/>
      <c r="AT2526" s="364"/>
      <c r="AU2526" s="364"/>
      <c r="AV2526" s="364"/>
      <c r="AW2526" s="364"/>
      <c r="AX2526" s="364"/>
      <c r="AY2526" s="364"/>
      <c r="AZ2526" s="364"/>
      <c r="BA2526" s="364"/>
      <c r="BB2526" s="364"/>
      <c r="BC2526" s="364"/>
      <c r="BD2526" s="364"/>
      <c r="BE2526" s="364"/>
      <c r="BF2526" s="364"/>
      <c r="BG2526" s="364"/>
      <c r="BH2526" s="387"/>
      <c r="BI2526" s="386"/>
      <c r="BJ2526" s="364"/>
      <c r="BK2526" s="364"/>
      <c r="BL2526" s="364"/>
      <c r="BM2526" s="364"/>
      <c r="BN2526" s="364"/>
      <c r="BO2526" s="364"/>
      <c r="BP2526" s="364"/>
      <c r="BQ2526" s="364"/>
      <c r="BR2526" s="364"/>
      <c r="BS2526" s="364"/>
      <c r="BT2526" s="364"/>
      <c r="BU2526" s="364"/>
      <c r="BV2526" s="364"/>
      <c r="BW2526" s="364"/>
      <c r="BX2526" s="364"/>
      <c r="BY2526" s="364"/>
      <c r="BZ2526" s="387"/>
      <c r="CA2526" s="270"/>
      <c r="CB2526" s="3" t="str">
        <f t="shared" si="444"/>
        <v>Riadok bude skrytý.</v>
      </c>
      <c r="CC2526" s="271" t="s">
        <v>832</v>
      </c>
      <c r="CW2526" s="32">
        <f t="shared" si="449"/>
        <v>0</v>
      </c>
      <c r="CX2526" s="30">
        <f t="shared" si="450"/>
        <v>0</v>
      </c>
      <c r="CZ2526" s="30">
        <f t="shared" si="445"/>
        <v>1</v>
      </c>
      <c r="DA2526" s="52">
        <f t="shared" si="451"/>
        <v>0</v>
      </c>
      <c r="DB2526" s="140">
        <f t="shared" si="440"/>
        <v>0</v>
      </c>
      <c r="DS2526" s="130">
        <f>SI!BY2526</f>
        <v>440</v>
      </c>
      <c r="DZ2526" s="131">
        <f>SI!BZ2526</f>
        <v>0</v>
      </c>
    </row>
    <row r="2527" spans="1:130" hidden="1" x14ac:dyDescent="0.25">
      <c r="A2527" s="141"/>
      <c r="B2527" s="1206"/>
      <c r="C2527" s="1207"/>
      <c r="D2527" s="1207"/>
      <c r="E2527" s="1207"/>
      <c r="F2527" s="1207"/>
      <c r="G2527" s="1207"/>
      <c r="H2527" s="1207"/>
      <c r="I2527" s="1207"/>
      <c r="J2527" s="1207"/>
      <c r="K2527" s="1207"/>
      <c r="L2527" s="1207"/>
      <c r="M2527" s="1207"/>
      <c r="N2527" s="1207"/>
      <c r="O2527" s="1207"/>
      <c r="P2527" s="1207"/>
      <c r="Q2527" s="1207"/>
      <c r="R2527" s="1207"/>
      <c r="S2527" s="1207"/>
      <c r="T2527" s="1207"/>
      <c r="U2527" s="1207"/>
      <c r="V2527" s="1207"/>
      <c r="W2527" s="1207"/>
      <c r="X2527" s="1207"/>
      <c r="Y2527" s="1207"/>
      <c r="Z2527" s="1207"/>
      <c r="AA2527" s="1207"/>
      <c r="AB2527" s="1207"/>
      <c r="AC2527" s="1208"/>
      <c r="AD2527" s="367"/>
      <c r="AE2527" s="368"/>
      <c r="AF2527" s="368"/>
      <c r="AG2527" s="368"/>
      <c r="AH2527" s="368"/>
      <c r="AI2527" s="368"/>
      <c r="AJ2527" s="368"/>
      <c r="AK2527" s="368"/>
      <c r="AL2527" s="368"/>
      <c r="AM2527" s="368"/>
      <c r="AN2527" s="368"/>
      <c r="AO2527" s="368"/>
      <c r="AP2527" s="368"/>
      <c r="AQ2527" s="368"/>
      <c r="AR2527" s="458"/>
      <c r="AS2527" s="367"/>
      <c r="AT2527" s="368"/>
      <c r="AU2527" s="368"/>
      <c r="AV2527" s="368"/>
      <c r="AW2527" s="368"/>
      <c r="AX2527" s="368"/>
      <c r="AY2527" s="368"/>
      <c r="AZ2527" s="368"/>
      <c r="BA2527" s="368"/>
      <c r="BB2527" s="368"/>
      <c r="BC2527" s="368"/>
      <c r="BD2527" s="368"/>
      <c r="BE2527" s="368"/>
      <c r="BF2527" s="368"/>
      <c r="BG2527" s="368"/>
      <c r="BH2527" s="438"/>
      <c r="BI2527" s="457"/>
      <c r="BJ2527" s="368"/>
      <c r="BK2527" s="368"/>
      <c r="BL2527" s="368"/>
      <c r="BM2527" s="368"/>
      <c r="BN2527" s="368"/>
      <c r="BO2527" s="368"/>
      <c r="BP2527" s="368"/>
      <c r="BQ2527" s="368"/>
      <c r="BR2527" s="368"/>
      <c r="BS2527" s="368"/>
      <c r="BT2527" s="368"/>
      <c r="BU2527" s="368"/>
      <c r="BV2527" s="368"/>
      <c r="BW2527" s="368"/>
      <c r="BX2527" s="368"/>
      <c r="BY2527" s="368"/>
      <c r="BZ2527" s="438"/>
      <c r="CA2527" s="270"/>
      <c r="CB2527" s="3" t="str">
        <f t="shared" si="444"/>
        <v>Riadok bude skrytý.</v>
      </c>
      <c r="CC2527" s="271" t="s">
        <v>832</v>
      </c>
      <c r="CW2527" s="32">
        <f t="shared" si="449"/>
        <v>0</v>
      </c>
      <c r="CZ2527" s="30">
        <f t="shared" si="445"/>
        <v>1</v>
      </c>
      <c r="DA2527" s="30">
        <f t="shared" ref="DA2527:DA2534" si="452">+IF(CW2527+CX2527+CY2527=0,0,IF(CZ2527=0,0,1))</f>
        <v>0</v>
      </c>
      <c r="DB2527" s="140">
        <f t="shared" si="440"/>
        <v>0</v>
      </c>
      <c r="DS2527" s="130">
        <f>SI!BY2527</f>
        <v>932</v>
      </c>
      <c r="DZ2527" s="131">
        <f>SI!BZ2527</f>
        <v>0</v>
      </c>
    </row>
    <row r="2528" spans="1:130" hidden="1" x14ac:dyDescent="0.25">
      <c r="A2528" s="141"/>
      <c r="CA2528" s="270"/>
      <c r="CB2528" s="3" t="str">
        <f t="shared" si="444"/>
        <v>Riadok bude skrytý.</v>
      </c>
      <c r="CC2528" s="271" t="s">
        <v>832</v>
      </c>
      <c r="CW2528" s="32">
        <f t="shared" si="449"/>
        <v>0</v>
      </c>
      <c r="CZ2528" s="30">
        <f t="shared" si="445"/>
        <v>1</v>
      </c>
      <c r="DA2528" s="30">
        <f t="shared" si="452"/>
        <v>0</v>
      </c>
      <c r="DB2528" s="140">
        <f t="shared" si="440"/>
        <v>0</v>
      </c>
      <c r="DS2528" s="130">
        <f>SI!BY2528</f>
        <v>187</v>
      </c>
      <c r="DZ2528" s="131">
        <f>SI!BZ2528</f>
        <v>0</v>
      </c>
    </row>
    <row r="2529" spans="1:132" ht="27" hidden="1" customHeight="1" x14ac:dyDescent="0.25">
      <c r="A2529" s="141"/>
      <c r="B2529" s="439" t="s">
        <v>171</v>
      </c>
      <c r="C2529" s="440"/>
      <c r="D2529" s="440"/>
      <c r="E2529" s="440"/>
      <c r="F2529" s="440"/>
      <c r="G2529" s="440"/>
      <c r="H2529" s="440"/>
      <c r="I2529" s="440"/>
      <c r="J2529" s="440"/>
      <c r="K2529" s="440"/>
      <c r="L2529" s="440"/>
      <c r="M2529" s="440"/>
      <c r="N2529" s="440"/>
      <c r="O2529" s="440"/>
      <c r="P2529" s="440"/>
      <c r="Q2529" s="440"/>
      <c r="R2529" s="440"/>
      <c r="S2529" s="440"/>
      <c r="T2529" s="440"/>
      <c r="U2529" s="440"/>
      <c r="V2529" s="440"/>
      <c r="W2529" s="440"/>
      <c r="X2529" s="440"/>
      <c r="Y2529" s="440"/>
      <c r="Z2529" s="440"/>
      <c r="AA2529" s="440"/>
      <c r="AB2529" s="440"/>
      <c r="AC2529" s="440"/>
      <c r="AD2529" s="441"/>
      <c r="AE2529" s="1968">
        <f>+AJ141</f>
        <v>2021</v>
      </c>
      <c r="AF2529" s="1969"/>
      <c r="AG2529" s="1969"/>
      <c r="AH2529" s="1969"/>
      <c r="AI2529" s="1969"/>
      <c r="AJ2529" s="1969"/>
      <c r="AK2529" s="1969"/>
      <c r="AL2529" s="1969"/>
      <c r="AM2529" s="1969"/>
      <c r="AN2529" s="1969"/>
      <c r="AO2529" s="1969"/>
      <c r="AP2529" s="1969"/>
      <c r="AQ2529" s="1969"/>
      <c r="AR2529" s="1969"/>
      <c r="AS2529" s="1969"/>
      <c r="AT2529" s="1969"/>
      <c r="AU2529" s="1969"/>
      <c r="AV2529" s="1969"/>
      <c r="AW2529" s="1969"/>
      <c r="AX2529" s="1969"/>
      <c r="AY2529" s="1969"/>
      <c r="AZ2529" s="1969"/>
      <c r="BA2529" s="1969"/>
      <c r="BB2529" s="1970"/>
      <c r="BC2529" s="1968">
        <f>+BE141</f>
        <v>2020</v>
      </c>
      <c r="BD2529" s="1969"/>
      <c r="BE2529" s="1969"/>
      <c r="BF2529" s="1969"/>
      <c r="BG2529" s="1969"/>
      <c r="BH2529" s="1969"/>
      <c r="BI2529" s="1969"/>
      <c r="BJ2529" s="1969"/>
      <c r="BK2529" s="1969"/>
      <c r="BL2529" s="1969"/>
      <c r="BM2529" s="1969"/>
      <c r="BN2529" s="1969"/>
      <c r="BO2529" s="1969"/>
      <c r="BP2529" s="1969"/>
      <c r="BQ2529" s="1969"/>
      <c r="BR2529" s="1969"/>
      <c r="BS2529" s="1969"/>
      <c r="BT2529" s="1969"/>
      <c r="BU2529" s="1969"/>
      <c r="BV2529" s="1969"/>
      <c r="BW2529" s="1969"/>
      <c r="BX2529" s="1969"/>
      <c r="BY2529" s="1969"/>
      <c r="BZ2529" s="1970"/>
      <c r="CA2529" s="265" t="s">
        <v>773</v>
      </c>
      <c r="CB2529" s="3" t="str">
        <f t="shared" si="444"/>
        <v>Riadok bude skrytý.</v>
      </c>
      <c r="CC2529" s="271" t="s">
        <v>832</v>
      </c>
      <c r="CD2529" s="4"/>
      <c r="CW2529" s="32">
        <f t="shared" si="449"/>
        <v>0</v>
      </c>
      <c r="CZ2529" s="30">
        <f t="shared" si="445"/>
        <v>1</v>
      </c>
      <c r="DA2529" s="30">
        <f t="shared" si="452"/>
        <v>0</v>
      </c>
      <c r="DB2529" s="140">
        <f t="shared" si="440"/>
        <v>0</v>
      </c>
      <c r="DS2529" s="130">
        <f>SI!BY2529</f>
        <v>926</v>
      </c>
      <c r="DZ2529" s="131">
        <f>SI!BZ2529</f>
        <v>0</v>
      </c>
    </row>
    <row r="2530" spans="1:132" ht="27" hidden="1" customHeight="1" x14ac:dyDescent="0.25">
      <c r="A2530" s="141"/>
      <c r="B2530" s="1019"/>
      <c r="C2530" s="1020"/>
      <c r="D2530" s="1020"/>
      <c r="E2530" s="1020"/>
      <c r="F2530" s="1020"/>
      <c r="G2530" s="1020"/>
      <c r="H2530" s="1020"/>
      <c r="I2530" s="1020"/>
      <c r="J2530" s="1020"/>
      <c r="K2530" s="1020"/>
      <c r="L2530" s="1020"/>
      <c r="M2530" s="1020"/>
      <c r="N2530" s="1020"/>
      <c r="O2530" s="1020"/>
      <c r="P2530" s="1020"/>
      <c r="Q2530" s="1020"/>
      <c r="R2530" s="1020"/>
      <c r="S2530" s="1020"/>
      <c r="T2530" s="1020"/>
      <c r="U2530" s="1020"/>
      <c r="V2530" s="1020"/>
      <c r="W2530" s="1020"/>
      <c r="X2530" s="1020"/>
      <c r="Y2530" s="1020"/>
      <c r="Z2530" s="1020"/>
      <c r="AA2530" s="1020"/>
      <c r="AB2530" s="1020"/>
      <c r="AC2530" s="1020"/>
      <c r="AD2530" s="1232"/>
      <c r="AE2530" s="2084" t="s">
        <v>314</v>
      </c>
      <c r="AF2530" s="2085"/>
      <c r="AG2530" s="2085"/>
      <c r="AH2530" s="2085"/>
      <c r="AI2530" s="2085"/>
      <c r="AJ2530" s="2085"/>
      <c r="AK2530" s="2085"/>
      <c r="AL2530" s="2085"/>
      <c r="AM2530" s="2085"/>
      <c r="AN2530" s="2085"/>
      <c r="AO2530" s="2085"/>
      <c r="AP2530" s="2085"/>
      <c r="AQ2530" s="2085"/>
      <c r="AR2530" s="2085"/>
      <c r="AS2530" s="2085"/>
      <c r="AT2530" s="2085"/>
      <c r="AU2530" s="2085"/>
      <c r="AV2530" s="2085"/>
      <c r="AW2530" s="2085"/>
      <c r="AX2530" s="2085"/>
      <c r="AY2530" s="2085"/>
      <c r="AZ2530" s="2085"/>
      <c r="BA2530" s="2085"/>
      <c r="BB2530" s="2086"/>
      <c r="BC2530" s="2084" t="s">
        <v>314</v>
      </c>
      <c r="BD2530" s="2085"/>
      <c r="BE2530" s="2085"/>
      <c r="BF2530" s="2085"/>
      <c r="BG2530" s="2085"/>
      <c r="BH2530" s="2085"/>
      <c r="BI2530" s="2085"/>
      <c r="BJ2530" s="2085"/>
      <c r="BK2530" s="2085"/>
      <c r="BL2530" s="2085"/>
      <c r="BM2530" s="2085"/>
      <c r="BN2530" s="2085"/>
      <c r="BO2530" s="2085"/>
      <c r="BP2530" s="2085"/>
      <c r="BQ2530" s="2085"/>
      <c r="BR2530" s="2085"/>
      <c r="BS2530" s="2085"/>
      <c r="BT2530" s="2085"/>
      <c r="BU2530" s="2085"/>
      <c r="BV2530" s="2085"/>
      <c r="BW2530" s="2085"/>
      <c r="BX2530" s="2085"/>
      <c r="BY2530" s="2085"/>
      <c r="BZ2530" s="2086"/>
      <c r="CA2530" s="270"/>
      <c r="CB2530" s="3" t="str">
        <f t="shared" si="444"/>
        <v>Riadok bude skrytý.</v>
      </c>
      <c r="CC2530" s="271" t="s">
        <v>832</v>
      </c>
      <c r="CW2530" s="32">
        <f t="shared" si="449"/>
        <v>0</v>
      </c>
      <c r="CZ2530" s="30">
        <f t="shared" si="445"/>
        <v>1</v>
      </c>
      <c r="DA2530" s="30">
        <f t="shared" si="452"/>
        <v>0</v>
      </c>
      <c r="DB2530" s="140">
        <f t="shared" si="440"/>
        <v>0</v>
      </c>
      <c r="DS2530" s="130">
        <f>SI!BY2530</f>
        <v>148</v>
      </c>
      <c r="DZ2530" s="131">
        <f>SI!BZ2530</f>
        <v>0</v>
      </c>
    </row>
    <row r="2531" spans="1:132" ht="26.35" hidden="1" customHeight="1" x14ac:dyDescent="0.25">
      <c r="A2531" s="141"/>
      <c r="B2531" s="442"/>
      <c r="C2531" s="443"/>
      <c r="D2531" s="443"/>
      <c r="E2531" s="443"/>
      <c r="F2531" s="443"/>
      <c r="G2531" s="443"/>
      <c r="H2531" s="443"/>
      <c r="I2531" s="443"/>
      <c r="J2531" s="443"/>
      <c r="K2531" s="443"/>
      <c r="L2531" s="443"/>
      <c r="M2531" s="443"/>
      <c r="N2531" s="443"/>
      <c r="O2531" s="443"/>
      <c r="P2531" s="443"/>
      <c r="Q2531" s="443"/>
      <c r="R2531" s="443"/>
      <c r="S2531" s="443"/>
      <c r="T2531" s="443"/>
      <c r="U2531" s="443"/>
      <c r="V2531" s="443"/>
      <c r="W2531" s="443"/>
      <c r="X2531" s="443"/>
      <c r="Y2531" s="443"/>
      <c r="Z2531" s="443"/>
      <c r="AA2531" s="443"/>
      <c r="AB2531" s="443"/>
      <c r="AC2531" s="443"/>
      <c r="AD2531" s="444"/>
      <c r="AE2531" s="2084" t="s">
        <v>315</v>
      </c>
      <c r="AF2531" s="2085"/>
      <c r="AG2531" s="2085"/>
      <c r="AH2531" s="2085"/>
      <c r="AI2531" s="2085"/>
      <c r="AJ2531" s="2085"/>
      <c r="AK2531" s="2085"/>
      <c r="AL2531" s="2085"/>
      <c r="AM2531" s="2085"/>
      <c r="AN2531" s="2085"/>
      <c r="AO2531" s="2085"/>
      <c r="AP2531" s="2085"/>
      <c r="AQ2531" s="2084" t="s">
        <v>316</v>
      </c>
      <c r="AR2531" s="2085"/>
      <c r="AS2531" s="2085"/>
      <c r="AT2531" s="2085"/>
      <c r="AU2531" s="2085"/>
      <c r="AV2531" s="2085"/>
      <c r="AW2531" s="2085"/>
      <c r="AX2531" s="2085"/>
      <c r="AY2531" s="2085"/>
      <c r="AZ2531" s="2085"/>
      <c r="BA2531" s="2085"/>
      <c r="BB2531" s="2086"/>
      <c r="BC2531" s="2084" t="s">
        <v>315</v>
      </c>
      <c r="BD2531" s="2085"/>
      <c r="BE2531" s="2085"/>
      <c r="BF2531" s="2085"/>
      <c r="BG2531" s="2085"/>
      <c r="BH2531" s="2085"/>
      <c r="BI2531" s="2085"/>
      <c r="BJ2531" s="2085"/>
      <c r="BK2531" s="2085"/>
      <c r="BL2531" s="2085"/>
      <c r="BM2531" s="2085"/>
      <c r="BN2531" s="2085"/>
      <c r="BO2531" s="2086"/>
      <c r="BP2531" s="2085" t="s">
        <v>316</v>
      </c>
      <c r="BQ2531" s="2085"/>
      <c r="BR2531" s="2085"/>
      <c r="BS2531" s="2085"/>
      <c r="BT2531" s="2085"/>
      <c r="BU2531" s="2085"/>
      <c r="BV2531" s="2085"/>
      <c r="BW2531" s="2085"/>
      <c r="BX2531" s="2085"/>
      <c r="BY2531" s="2085"/>
      <c r="BZ2531" s="2086"/>
      <c r="CA2531" s="270"/>
      <c r="CB2531" s="3" t="str">
        <f t="shared" si="444"/>
        <v>Riadok bude skrytý.</v>
      </c>
      <c r="CC2531" s="271" t="s">
        <v>832</v>
      </c>
      <c r="CW2531" s="32">
        <f t="shared" si="449"/>
        <v>0</v>
      </c>
      <c r="CZ2531" s="30">
        <f t="shared" si="445"/>
        <v>1</v>
      </c>
      <c r="DA2531" s="30">
        <f t="shared" si="452"/>
        <v>0</v>
      </c>
      <c r="DB2531" s="140">
        <f t="shared" si="440"/>
        <v>0</v>
      </c>
      <c r="DS2531" s="130">
        <f>SI!BY2531</f>
        <v>186</v>
      </c>
      <c r="DZ2531" s="131">
        <f>SI!BZ2531</f>
        <v>0</v>
      </c>
    </row>
    <row r="2532" spans="1:132" s="5" customFormat="1" hidden="1" x14ac:dyDescent="0.25">
      <c r="A2532" s="299"/>
      <c r="B2532" s="1947" t="s">
        <v>0</v>
      </c>
      <c r="C2532" s="1948"/>
      <c r="D2532" s="1948"/>
      <c r="E2532" s="1948"/>
      <c r="F2532" s="1948"/>
      <c r="G2532" s="1948"/>
      <c r="H2532" s="1948"/>
      <c r="I2532" s="1948"/>
      <c r="J2532" s="1948"/>
      <c r="K2532" s="1948"/>
      <c r="L2532" s="1948"/>
      <c r="M2532" s="1948"/>
      <c r="N2532" s="1948"/>
      <c r="O2532" s="1948"/>
      <c r="P2532" s="1948"/>
      <c r="Q2532" s="1948"/>
      <c r="R2532" s="1948"/>
      <c r="S2532" s="1948"/>
      <c r="T2532" s="1948"/>
      <c r="U2532" s="1948"/>
      <c r="V2532" s="1948"/>
      <c r="W2532" s="1948"/>
      <c r="X2532" s="1948"/>
      <c r="Y2532" s="1948"/>
      <c r="Z2532" s="1948"/>
      <c r="AA2532" s="1948"/>
      <c r="AB2532" s="1948"/>
      <c r="AC2532" s="1948"/>
      <c r="AD2532" s="1948"/>
      <c r="AE2532" s="1953" t="s">
        <v>317</v>
      </c>
      <c r="AF2532" s="1954"/>
      <c r="AG2532" s="1954"/>
      <c r="AH2532" s="1954"/>
      <c r="AI2532" s="1954"/>
      <c r="AJ2532" s="1954"/>
      <c r="AK2532" s="1954"/>
      <c r="AL2532" s="1954"/>
      <c r="AM2532" s="1954"/>
      <c r="AN2532" s="1954"/>
      <c r="AO2532" s="1954"/>
      <c r="AP2532" s="1954"/>
      <c r="AQ2532" s="1953" t="s">
        <v>2</v>
      </c>
      <c r="AR2532" s="1954"/>
      <c r="AS2532" s="1954"/>
      <c r="AT2532" s="1954"/>
      <c r="AU2532" s="1954"/>
      <c r="AV2532" s="1954"/>
      <c r="AW2532" s="1954"/>
      <c r="AX2532" s="1954"/>
      <c r="AY2532" s="1954"/>
      <c r="AZ2532" s="1954"/>
      <c r="BA2532" s="1954"/>
      <c r="BB2532" s="1975"/>
      <c r="BC2532" s="1953" t="s">
        <v>28</v>
      </c>
      <c r="BD2532" s="1954"/>
      <c r="BE2532" s="1954"/>
      <c r="BF2532" s="1954"/>
      <c r="BG2532" s="1954"/>
      <c r="BH2532" s="1954"/>
      <c r="BI2532" s="1954"/>
      <c r="BJ2532" s="1954"/>
      <c r="BK2532" s="1954"/>
      <c r="BL2532" s="1954"/>
      <c r="BM2532" s="1954"/>
      <c r="BN2532" s="1954"/>
      <c r="BO2532" s="1975"/>
      <c r="BP2532" s="1954" t="s">
        <v>29</v>
      </c>
      <c r="BQ2532" s="1954"/>
      <c r="BR2532" s="1954"/>
      <c r="BS2532" s="1954"/>
      <c r="BT2532" s="1954"/>
      <c r="BU2532" s="1954"/>
      <c r="BV2532" s="1954"/>
      <c r="BW2532" s="1954"/>
      <c r="BX2532" s="1954"/>
      <c r="BY2532" s="1954"/>
      <c r="BZ2532" s="1975"/>
      <c r="CA2532" s="270"/>
      <c r="CB2532" s="3" t="str">
        <f t="shared" si="444"/>
        <v>Riadok bude skrytý.</v>
      </c>
      <c r="CC2532" s="271" t="s">
        <v>832</v>
      </c>
      <c r="CW2532" s="32">
        <f t="shared" si="449"/>
        <v>0</v>
      </c>
      <c r="CZ2532" s="30">
        <f t="shared" si="445"/>
        <v>1</v>
      </c>
      <c r="DA2532" s="30">
        <f t="shared" si="452"/>
        <v>0</v>
      </c>
      <c r="DB2532" s="140">
        <f t="shared" si="440"/>
        <v>0</v>
      </c>
      <c r="DR2532" s="82"/>
      <c r="DS2532" s="130">
        <f>SI!BY2532</f>
        <v>187</v>
      </c>
      <c r="DT2532" s="130"/>
      <c r="DU2532" s="130"/>
      <c r="DV2532" s="130"/>
      <c r="DW2532" s="130"/>
      <c r="DX2532" s="130"/>
      <c r="DY2532" s="130"/>
      <c r="DZ2532" s="131">
        <f>SI!BZ2532</f>
        <v>0</v>
      </c>
      <c r="EA2532" s="82"/>
      <c r="EB2532" s="82"/>
    </row>
    <row r="2533" spans="1:132" hidden="1" x14ac:dyDescent="0.25">
      <c r="A2533" s="141"/>
      <c r="B2533" s="1689" t="s">
        <v>318</v>
      </c>
      <c r="C2533" s="1690"/>
      <c r="D2533" s="1690"/>
      <c r="E2533" s="1690"/>
      <c r="F2533" s="1690"/>
      <c r="G2533" s="1690"/>
      <c r="H2533" s="1690"/>
      <c r="I2533" s="1690"/>
      <c r="J2533" s="1690"/>
      <c r="K2533" s="1690"/>
      <c r="L2533" s="1690"/>
      <c r="M2533" s="1690"/>
      <c r="N2533" s="1690"/>
      <c r="O2533" s="1690"/>
      <c r="P2533" s="1690"/>
      <c r="Q2533" s="1690"/>
      <c r="R2533" s="1690"/>
      <c r="S2533" s="1690"/>
      <c r="T2533" s="1690"/>
      <c r="U2533" s="1690"/>
      <c r="V2533" s="1690"/>
      <c r="W2533" s="1690"/>
      <c r="X2533" s="1690"/>
      <c r="Y2533" s="1690"/>
      <c r="Z2533" s="1690"/>
      <c r="AA2533" s="1690"/>
      <c r="AB2533" s="1690"/>
      <c r="AC2533" s="1690"/>
      <c r="AD2533" s="1690"/>
      <c r="AE2533" s="423">
        <f>+SUM(AE2534:AP2543)</f>
        <v>0</v>
      </c>
      <c r="AF2533" s="424"/>
      <c r="AG2533" s="424"/>
      <c r="AH2533" s="424"/>
      <c r="AI2533" s="424"/>
      <c r="AJ2533" s="424"/>
      <c r="AK2533" s="424"/>
      <c r="AL2533" s="424"/>
      <c r="AM2533" s="424"/>
      <c r="AN2533" s="424"/>
      <c r="AO2533" s="424"/>
      <c r="AP2533" s="424"/>
      <c r="AQ2533" s="423">
        <f>+SUM(AQ2534:BB2543)</f>
        <v>0</v>
      </c>
      <c r="AR2533" s="424"/>
      <c r="AS2533" s="424"/>
      <c r="AT2533" s="424"/>
      <c r="AU2533" s="424"/>
      <c r="AV2533" s="424"/>
      <c r="AW2533" s="424"/>
      <c r="AX2533" s="424"/>
      <c r="AY2533" s="424"/>
      <c r="AZ2533" s="424"/>
      <c r="BA2533" s="424"/>
      <c r="BB2533" s="425"/>
      <c r="BC2533" s="423">
        <f>+SUM(BC2534:BO2543)</f>
        <v>0</v>
      </c>
      <c r="BD2533" s="424"/>
      <c r="BE2533" s="424"/>
      <c r="BF2533" s="424"/>
      <c r="BG2533" s="424"/>
      <c r="BH2533" s="424"/>
      <c r="BI2533" s="424"/>
      <c r="BJ2533" s="424"/>
      <c r="BK2533" s="424"/>
      <c r="BL2533" s="424"/>
      <c r="BM2533" s="424"/>
      <c r="BN2533" s="424"/>
      <c r="BO2533" s="425"/>
      <c r="BP2533" s="424">
        <f>+SUM(BP2534:BZ2543)</f>
        <v>0</v>
      </c>
      <c r="BQ2533" s="424"/>
      <c r="BR2533" s="424"/>
      <c r="BS2533" s="424"/>
      <c r="BT2533" s="424"/>
      <c r="BU2533" s="424"/>
      <c r="BV2533" s="424"/>
      <c r="BW2533" s="424"/>
      <c r="BX2533" s="424"/>
      <c r="BY2533" s="424"/>
      <c r="BZ2533" s="425"/>
      <c r="CA2533" s="270"/>
      <c r="CB2533" s="3" t="str">
        <f t="shared" si="444"/>
        <v>Riadok bude skrytý.</v>
      </c>
      <c r="CC2533" s="271" t="s">
        <v>832</v>
      </c>
      <c r="CW2533" s="32">
        <f t="shared" si="449"/>
        <v>0</v>
      </c>
      <c r="CZ2533" s="30">
        <f t="shared" si="445"/>
        <v>1</v>
      </c>
      <c r="DA2533" s="30">
        <f t="shared" si="452"/>
        <v>0</v>
      </c>
      <c r="DB2533" s="140">
        <f t="shared" si="440"/>
        <v>0</v>
      </c>
      <c r="DS2533" s="130">
        <f>SI!BY2533</f>
        <v>1043</v>
      </c>
      <c r="DZ2533" s="131">
        <f>SI!BZ2533</f>
        <v>0</v>
      </c>
    </row>
    <row r="2534" spans="1:132" hidden="1" x14ac:dyDescent="0.25">
      <c r="A2534" s="141"/>
      <c r="B2534" s="1955"/>
      <c r="C2534" s="1956"/>
      <c r="D2534" s="1956"/>
      <c r="E2534" s="1956"/>
      <c r="F2534" s="1956"/>
      <c r="G2534" s="1956"/>
      <c r="H2534" s="1956"/>
      <c r="I2534" s="1956"/>
      <c r="J2534" s="1956"/>
      <c r="K2534" s="1956"/>
      <c r="L2534" s="1956"/>
      <c r="M2534" s="1956"/>
      <c r="N2534" s="1956"/>
      <c r="O2534" s="1956"/>
      <c r="P2534" s="1956"/>
      <c r="Q2534" s="1956"/>
      <c r="R2534" s="1956"/>
      <c r="S2534" s="1956"/>
      <c r="T2534" s="1956"/>
      <c r="U2534" s="1956"/>
      <c r="V2534" s="1956"/>
      <c r="W2534" s="1956"/>
      <c r="X2534" s="1956"/>
      <c r="Y2534" s="1956"/>
      <c r="Z2534" s="1956"/>
      <c r="AA2534" s="1956"/>
      <c r="AB2534" s="1956"/>
      <c r="AC2534" s="1956"/>
      <c r="AD2534" s="1957"/>
      <c r="AE2534" s="2093"/>
      <c r="AF2534" s="2094"/>
      <c r="AG2534" s="2094"/>
      <c r="AH2534" s="2094"/>
      <c r="AI2534" s="2094"/>
      <c r="AJ2534" s="2094"/>
      <c r="AK2534" s="2094"/>
      <c r="AL2534" s="2094"/>
      <c r="AM2534" s="2094"/>
      <c r="AN2534" s="2094"/>
      <c r="AO2534" s="2094"/>
      <c r="AP2534" s="2097"/>
      <c r="AQ2534" s="2093"/>
      <c r="AR2534" s="2094"/>
      <c r="AS2534" s="2094"/>
      <c r="AT2534" s="2094"/>
      <c r="AU2534" s="2094"/>
      <c r="AV2534" s="2094"/>
      <c r="AW2534" s="2094"/>
      <c r="AX2534" s="2094"/>
      <c r="AY2534" s="2094"/>
      <c r="AZ2534" s="2094"/>
      <c r="BA2534" s="2094"/>
      <c r="BB2534" s="2095"/>
      <c r="BC2534" s="2093"/>
      <c r="BD2534" s="2094"/>
      <c r="BE2534" s="2094"/>
      <c r="BF2534" s="2094"/>
      <c r="BG2534" s="2094"/>
      <c r="BH2534" s="2094"/>
      <c r="BI2534" s="2094"/>
      <c r="BJ2534" s="2094"/>
      <c r="BK2534" s="2094"/>
      <c r="BL2534" s="2094"/>
      <c r="BM2534" s="2094"/>
      <c r="BN2534" s="2094"/>
      <c r="BO2534" s="2095"/>
      <c r="BP2534" s="2096"/>
      <c r="BQ2534" s="2094"/>
      <c r="BR2534" s="2094"/>
      <c r="BS2534" s="2094"/>
      <c r="BT2534" s="2094"/>
      <c r="BU2534" s="2094"/>
      <c r="BV2534" s="2094"/>
      <c r="BW2534" s="2094"/>
      <c r="BX2534" s="2094"/>
      <c r="BY2534" s="2094"/>
      <c r="BZ2534" s="2095"/>
      <c r="CA2534" s="270"/>
      <c r="CB2534" s="3" t="str">
        <f t="shared" si="444"/>
        <v>Riadok bude skrytý.</v>
      </c>
      <c r="CC2534" s="271" t="s">
        <v>832</v>
      </c>
      <c r="CW2534" s="32">
        <f t="shared" si="449"/>
        <v>0</v>
      </c>
      <c r="CZ2534" s="30">
        <f t="shared" si="445"/>
        <v>1</v>
      </c>
      <c r="DA2534" s="30">
        <f t="shared" si="452"/>
        <v>0</v>
      </c>
      <c r="DB2534" s="140">
        <f t="shared" si="440"/>
        <v>0</v>
      </c>
      <c r="DS2534" s="130">
        <f>SI!BY2534</f>
        <v>107</v>
      </c>
      <c r="DZ2534" s="131">
        <f>SI!BZ2534</f>
        <v>0</v>
      </c>
    </row>
    <row r="2535" spans="1:132" hidden="1" x14ac:dyDescent="0.25">
      <c r="A2535" s="141"/>
      <c r="B2535" s="916"/>
      <c r="C2535" s="917"/>
      <c r="D2535" s="917"/>
      <c r="E2535" s="917"/>
      <c r="F2535" s="917"/>
      <c r="G2535" s="917"/>
      <c r="H2535" s="917"/>
      <c r="I2535" s="917"/>
      <c r="J2535" s="917"/>
      <c r="K2535" s="917"/>
      <c r="L2535" s="917"/>
      <c r="M2535" s="917"/>
      <c r="N2535" s="917"/>
      <c r="O2535" s="917"/>
      <c r="P2535" s="917"/>
      <c r="Q2535" s="917"/>
      <c r="R2535" s="917"/>
      <c r="S2535" s="917"/>
      <c r="T2535" s="917"/>
      <c r="U2535" s="917"/>
      <c r="V2535" s="917"/>
      <c r="W2535" s="917"/>
      <c r="X2535" s="917"/>
      <c r="Y2535" s="917"/>
      <c r="Z2535" s="917"/>
      <c r="AA2535" s="917"/>
      <c r="AB2535" s="917"/>
      <c r="AC2535" s="917"/>
      <c r="AD2535" s="918"/>
      <c r="AE2535" s="1949"/>
      <c r="AF2535" s="1950"/>
      <c r="AG2535" s="1950"/>
      <c r="AH2535" s="1950"/>
      <c r="AI2535" s="1950"/>
      <c r="AJ2535" s="1950"/>
      <c r="AK2535" s="1950"/>
      <c r="AL2535" s="1950"/>
      <c r="AM2535" s="1950"/>
      <c r="AN2535" s="1950"/>
      <c r="AO2535" s="1950"/>
      <c r="AP2535" s="1951"/>
      <c r="AQ2535" s="1949"/>
      <c r="AR2535" s="1950"/>
      <c r="AS2535" s="1950"/>
      <c r="AT2535" s="1950"/>
      <c r="AU2535" s="1950"/>
      <c r="AV2535" s="1950"/>
      <c r="AW2535" s="1950"/>
      <c r="AX2535" s="1950"/>
      <c r="AY2535" s="1950"/>
      <c r="AZ2535" s="1950"/>
      <c r="BA2535" s="1950"/>
      <c r="BB2535" s="1952"/>
      <c r="BC2535" s="1949"/>
      <c r="BD2535" s="1950"/>
      <c r="BE2535" s="1950"/>
      <c r="BF2535" s="1950"/>
      <c r="BG2535" s="1950"/>
      <c r="BH2535" s="1950"/>
      <c r="BI2535" s="1950"/>
      <c r="BJ2535" s="1950"/>
      <c r="BK2535" s="1950"/>
      <c r="BL2535" s="1950"/>
      <c r="BM2535" s="1950"/>
      <c r="BN2535" s="1950"/>
      <c r="BO2535" s="1952"/>
      <c r="BP2535" s="1962"/>
      <c r="BQ2535" s="1950"/>
      <c r="BR2535" s="1950"/>
      <c r="BS2535" s="1950"/>
      <c r="BT2535" s="1950"/>
      <c r="BU2535" s="1950"/>
      <c r="BV2535" s="1950"/>
      <c r="BW2535" s="1950"/>
      <c r="BX2535" s="1950"/>
      <c r="BY2535" s="1950"/>
      <c r="BZ2535" s="1952"/>
      <c r="CA2535" s="270"/>
      <c r="CB2535" s="3" t="str">
        <f t="shared" si="444"/>
        <v>Riadok bude skrytý.</v>
      </c>
      <c r="CC2535" s="271" t="s">
        <v>832</v>
      </c>
      <c r="CW2535" s="32">
        <f t="shared" si="449"/>
        <v>0</v>
      </c>
      <c r="CX2535" s="30">
        <f t="shared" ref="CX2535:CX2542" si="453">+IF(B2535="",0,1)</f>
        <v>0</v>
      </c>
      <c r="CZ2535" s="30">
        <f t="shared" si="445"/>
        <v>1</v>
      </c>
      <c r="DA2535" s="52">
        <f t="shared" ref="DA2535:DA2542" si="454">+IF(CW2535*CX2535=0,0,IF(CZ2535=0,0,1))</f>
        <v>0</v>
      </c>
      <c r="DB2535" s="140">
        <f t="shared" si="440"/>
        <v>0</v>
      </c>
      <c r="DS2535" s="130">
        <f>SI!BY2535</f>
        <v>475</v>
      </c>
      <c r="DZ2535" s="131">
        <f>SI!BZ2535</f>
        <v>0</v>
      </c>
    </row>
    <row r="2536" spans="1:132" hidden="1" x14ac:dyDescent="0.25">
      <c r="A2536" s="141"/>
      <c r="B2536" s="916"/>
      <c r="C2536" s="917"/>
      <c r="D2536" s="917"/>
      <c r="E2536" s="917"/>
      <c r="F2536" s="917"/>
      <c r="G2536" s="917"/>
      <c r="H2536" s="917"/>
      <c r="I2536" s="917"/>
      <c r="J2536" s="917"/>
      <c r="K2536" s="917"/>
      <c r="L2536" s="917"/>
      <c r="M2536" s="917"/>
      <c r="N2536" s="917"/>
      <c r="O2536" s="917"/>
      <c r="P2536" s="917"/>
      <c r="Q2536" s="917"/>
      <c r="R2536" s="917"/>
      <c r="S2536" s="917"/>
      <c r="T2536" s="917"/>
      <c r="U2536" s="917"/>
      <c r="V2536" s="917"/>
      <c r="W2536" s="917"/>
      <c r="X2536" s="917"/>
      <c r="Y2536" s="917"/>
      <c r="Z2536" s="917"/>
      <c r="AA2536" s="917"/>
      <c r="AB2536" s="917"/>
      <c r="AC2536" s="917"/>
      <c r="AD2536" s="918"/>
      <c r="AE2536" s="1949"/>
      <c r="AF2536" s="1950"/>
      <c r="AG2536" s="1950"/>
      <c r="AH2536" s="1950"/>
      <c r="AI2536" s="1950"/>
      <c r="AJ2536" s="1950"/>
      <c r="AK2536" s="1950"/>
      <c r="AL2536" s="1950"/>
      <c r="AM2536" s="1950"/>
      <c r="AN2536" s="1950"/>
      <c r="AO2536" s="1950"/>
      <c r="AP2536" s="1951"/>
      <c r="AQ2536" s="1949"/>
      <c r="AR2536" s="1950"/>
      <c r="AS2536" s="1950"/>
      <c r="AT2536" s="1950"/>
      <c r="AU2536" s="1950"/>
      <c r="AV2536" s="1950"/>
      <c r="AW2536" s="1950"/>
      <c r="AX2536" s="1950"/>
      <c r="AY2536" s="1950"/>
      <c r="AZ2536" s="1950"/>
      <c r="BA2536" s="1950"/>
      <c r="BB2536" s="1952"/>
      <c r="BC2536" s="1949"/>
      <c r="BD2536" s="1950"/>
      <c r="BE2536" s="1950"/>
      <c r="BF2536" s="1950"/>
      <c r="BG2536" s="1950"/>
      <c r="BH2536" s="1950"/>
      <c r="BI2536" s="1950"/>
      <c r="BJ2536" s="1950"/>
      <c r="BK2536" s="1950"/>
      <c r="BL2536" s="1950"/>
      <c r="BM2536" s="1950"/>
      <c r="BN2536" s="1950"/>
      <c r="BO2536" s="1952"/>
      <c r="BP2536" s="1962"/>
      <c r="BQ2536" s="1950"/>
      <c r="BR2536" s="1950"/>
      <c r="BS2536" s="1950"/>
      <c r="BT2536" s="1950"/>
      <c r="BU2536" s="1950"/>
      <c r="BV2536" s="1950"/>
      <c r="BW2536" s="1950"/>
      <c r="BX2536" s="1950"/>
      <c r="BY2536" s="1950"/>
      <c r="BZ2536" s="1952"/>
      <c r="CA2536" s="270"/>
      <c r="CB2536" s="3" t="str">
        <f t="shared" si="444"/>
        <v>Riadok bude skrytý.</v>
      </c>
      <c r="CC2536" s="271" t="s">
        <v>832</v>
      </c>
      <c r="CW2536" s="32">
        <f t="shared" si="449"/>
        <v>0</v>
      </c>
      <c r="CX2536" s="30">
        <f t="shared" si="453"/>
        <v>0</v>
      </c>
      <c r="CZ2536" s="30">
        <f t="shared" si="445"/>
        <v>1</v>
      </c>
      <c r="DA2536" s="52">
        <f t="shared" si="454"/>
        <v>0</v>
      </c>
      <c r="DB2536" s="140">
        <f t="shared" si="440"/>
        <v>0</v>
      </c>
      <c r="DS2536" s="130">
        <f>SI!BY2536</f>
        <v>153</v>
      </c>
      <c r="DZ2536" s="131">
        <f>SI!BZ2536</f>
        <v>0</v>
      </c>
    </row>
    <row r="2537" spans="1:132" hidden="1" x14ac:dyDescent="0.25">
      <c r="A2537" s="141"/>
      <c r="B2537" s="916"/>
      <c r="C2537" s="917"/>
      <c r="D2537" s="917"/>
      <c r="E2537" s="917"/>
      <c r="F2537" s="917"/>
      <c r="G2537" s="917"/>
      <c r="H2537" s="917"/>
      <c r="I2537" s="917"/>
      <c r="J2537" s="917"/>
      <c r="K2537" s="917"/>
      <c r="L2537" s="917"/>
      <c r="M2537" s="917"/>
      <c r="N2537" s="917"/>
      <c r="O2537" s="917"/>
      <c r="P2537" s="917"/>
      <c r="Q2537" s="917"/>
      <c r="R2537" s="917"/>
      <c r="S2537" s="917"/>
      <c r="T2537" s="917"/>
      <c r="U2537" s="917"/>
      <c r="V2537" s="917"/>
      <c r="W2537" s="917"/>
      <c r="X2537" s="917"/>
      <c r="Y2537" s="917"/>
      <c r="Z2537" s="917"/>
      <c r="AA2537" s="917"/>
      <c r="AB2537" s="917"/>
      <c r="AC2537" s="917"/>
      <c r="AD2537" s="918"/>
      <c r="AE2537" s="1949"/>
      <c r="AF2537" s="1950"/>
      <c r="AG2537" s="1950"/>
      <c r="AH2537" s="1950"/>
      <c r="AI2537" s="1950"/>
      <c r="AJ2537" s="1950"/>
      <c r="AK2537" s="1950"/>
      <c r="AL2537" s="1950"/>
      <c r="AM2537" s="1950"/>
      <c r="AN2537" s="1950"/>
      <c r="AO2537" s="1950"/>
      <c r="AP2537" s="1951"/>
      <c r="AQ2537" s="1949"/>
      <c r="AR2537" s="1950"/>
      <c r="AS2537" s="1950"/>
      <c r="AT2537" s="1950"/>
      <c r="AU2537" s="1950"/>
      <c r="AV2537" s="1950"/>
      <c r="AW2537" s="1950"/>
      <c r="AX2537" s="1950"/>
      <c r="AY2537" s="1950"/>
      <c r="AZ2537" s="1950"/>
      <c r="BA2537" s="1950"/>
      <c r="BB2537" s="1952"/>
      <c r="BC2537" s="1949"/>
      <c r="BD2537" s="1950"/>
      <c r="BE2537" s="1950"/>
      <c r="BF2537" s="1950"/>
      <c r="BG2537" s="1950"/>
      <c r="BH2537" s="1950"/>
      <c r="BI2537" s="1950"/>
      <c r="BJ2537" s="1950"/>
      <c r="BK2537" s="1950"/>
      <c r="BL2537" s="1950"/>
      <c r="BM2537" s="1950"/>
      <c r="BN2537" s="1950"/>
      <c r="BO2537" s="1952"/>
      <c r="BP2537" s="1962"/>
      <c r="BQ2537" s="1950"/>
      <c r="BR2537" s="1950"/>
      <c r="BS2537" s="1950"/>
      <c r="BT2537" s="1950"/>
      <c r="BU2537" s="1950"/>
      <c r="BV2537" s="1950"/>
      <c r="BW2537" s="1950"/>
      <c r="BX2537" s="1950"/>
      <c r="BY2537" s="1950"/>
      <c r="BZ2537" s="1952"/>
      <c r="CA2537" s="270"/>
      <c r="CB2537" s="3" t="str">
        <f t="shared" si="444"/>
        <v>Riadok bude skrytý.</v>
      </c>
      <c r="CC2537" s="271" t="s">
        <v>832</v>
      </c>
      <c r="CW2537" s="32">
        <f t="shared" si="449"/>
        <v>0</v>
      </c>
      <c r="CX2537" s="30">
        <f t="shared" si="453"/>
        <v>0</v>
      </c>
      <c r="CZ2537" s="30">
        <f t="shared" si="445"/>
        <v>1</v>
      </c>
      <c r="DA2537" s="52">
        <f t="shared" si="454"/>
        <v>0</v>
      </c>
      <c r="DB2537" s="140">
        <f t="shared" si="440"/>
        <v>0</v>
      </c>
      <c r="DS2537" s="130">
        <f>SI!BY2537</f>
        <v>176</v>
      </c>
      <c r="DZ2537" s="131">
        <f>SI!BZ2537</f>
        <v>0</v>
      </c>
    </row>
    <row r="2538" spans="1:132" hidden="1" x14ac:dyDescent="0.25">
      <c r="A2538" s="141"/>
      <c r="B2538" s="916"/>
      <c r="C2538" s="917"/>
      <c r="D2538" s="917"/>
      <c r="E2538" s="917"/>
      <c r="F2538" s="917"/>
      <c r="G2538" s="917"/>
      <c r="H2538" s="917"/>
      <c r="I2538" s="917"/>
      <c r="J2538" s="917"/>
      <c r="K2538" s="917"/>
      <c r="L2538" s="917"/>
      <c r="M2538" s="917"/>
      <c r="N2538" s="917"/>
      <c r="O2538" s="917"/>
      <c r="P2538" s="917"/>
      <c r="Q2538" s="917"/>
      <c r="R2538" s="917"/>
      <c r="S2538" s="917"/>
      <c r="T2538" s="917"/>
      <c r="U2538" s="917"/>
      <c r="V2538" s="917"/>
      <c r="W2538" s="917"/>
      <c r="X2538" s="917"/>
      <c r="Y2538" s="917"/>
      <c r="Z2538" s="917"/>
      <c r="AA2538" s="917"/>
      <c r="AB2538" s="917"/>
      <c r="AC2538" s="917"/>
      <c r="AD2538" s="918"/>
      <c r="AE2538" s="1949"/>
      <c r="AF2538" s="1950"/>
      <c r="AG2538" s="1950"/>
      <c r="AH2538" s="1950"/>
      <c r="AI2538" s="1950"/>
      <c r="AJ2538" s="1950"/>
      <c r="AK2538" s="1950"/>
      <c r="AL2538" s="1950"/>
      <c r="AM2538" s="1950"/>
      <c r="AN2538" s="1950"/>
      <c r="AO2538" s="1950"/>
      <c r="AP2538" s="1951"/>
      <c r="AQ2538" s="1949"/>
      <c r="AR2538" s="1950"/>
      <c r="AS2538" s="1950"/>
      <c r="AT2538" s="1950"/>
      <c r="AU2538" s="1950"/>
      <c r="AV2538" s="1950"/>
      <c r="AW2538" s="1950"/>
      <c r="AX2538" s="1950"/>
      <c r="AY2538" s="1950"/>
      <c r="AZ2538" s="1950"/>
      <c r="BA2538" s="1950"/>
      <c r="BB2538" s="1952"/>
      <c r="BC2538" s="1949"/>
      <c r="BD2538" s="1950"/>
      <c r="BE2538" s="1950"/>
      <c r="BF2538" s="1950"/>
      <c r="BG2538" s="1950"/>
      <c r="BH2538" s="1950"/>
      <c r="BI2538" s="1950"/>
      <c r="BJ2538" s="1950"/>
      <c r="BK2538" s="1950"/>
      <c r="BL2538" s="1950"/>
      <c r="BM2538" s="1950"/>
      <c r="BN2538" s="1950"/>
      <c r="BO2538" s="1952"/>
      <c r="BP2538" s="1962"/>
      <c r="BQ2538" s="1950"/>
      <c r="BR2538" s="1950"/>
      <c r="BS2538" s="1950"/>
      <c r="BT2538" s="1950"/>
      <c r="BU2538" s="1950"/>
      <c r="BV2538" s="1950"/>
      <c r="BW2538" s="1950"/>
      <c r="BX2538" s="1950"/>
      <c r="BY2538" s="1950"/>
      <c r="BZ2538" s="1952"/>
      <c r="CA2538" s="270"/>
      <c r="CB2538" s="3" t="str">
        <f t="shared" si="444"/>
        <v>Riadok bude skrytý.</v>
      </c>
      <c r="CC2538" s="271" t="s">
        <v>832</v>
      </c>
      <c r="CW2538" s="32">
        <f t="shared" si="449"/>
        <v>0</v>
      </c>
      <c r="CX2538" s="30">
        <f t="shared" si="453"/>
        <v>0</v>
      </c>
      <c r="CZ2538" s="30">
        <f t="shared" si="445"/>
        <v>1</v>
      </c>
      <c r="DA2538" s="52">
        <f t="shared" si="454"/>
        <v>0</v>
      </c>
      <c r="DB2538" s="140">
        <f t="shared" si="440"/>
        <v>0</v>
      </c>
      <c r="DS2538" s="130">
        <f>SI!BY2538</f>
        <v>159</v>
      </c>
      <c r="DZ2538" s="131">
        <f>SI!BZ2538</f>
        <v>0</v>
      </c>
    </row>
    <row r="2539" spans="1:132" hidden="1" x14ac:dyDescent="0.25">
      <c r="A2539" s="141"/>
      <c r="B2539" s="916"/>
      <c r="C2539" s="917"/>
      <c r="D2539" s="917"/>
      <c r="E2539" s="917"/>
      <c r="F2539" s="917"/>
      <c r="G2539" s="917"/>
      <c r="H2539" s="917"/>
      <c r="I2539" s="917"/>
      <c r="J2539" s="917"/>
      <c r="K2539" s="917"/>
      <c r="L2539" s="917"/>
      <c r="M2539" s="917"/>
      <c r="N2539" s="917"/>
      <c r="O2539" s="917"/>
      <c r="P2539" s="917"/>
      <c r="Q2539" s="917"/>
      <c r="R2539" s="917"/>
      <c r="S2539" s="917"/>
      <c r="T2539" s="917"/>
      <c r="U2539" s="917"/>
      <c r="V2539" s="917"/>
      <c r="W2539" s="917"/>
      <c r="X2539" s="917"/>
      <c r="Y2539" s="917"/>
      <c r="Z2539" s="917"/>
      <c r="AA2539" s="917"/>
      <c r="AB2539" s="917"/>
      <c r="AC2539" s="917"/>
      <c r="AD2539" s="918"/>
      <c r="AE2539" s="1949"/>
      <c r="AF2539" s="1950"/>
      <c r="AG2539" s="1950"/>
      <c r="AH2539" s="1950"/>
      <c r="AI2539" s="1950"/>
      <c r="AJ2539" s="1950"/>
      <c r="AK2539" s="1950"/>
      <c r="AL2539" s="1950"/>
      <c r="AM2539" s="1950"/>
      <c r="AN2539" s="1950"/>
      <c r="AO2539" s="1950"/>
      <c r="AP2539" s="1951"/>
      <c r="AQ2539" s="1949"/>
      <c r="AR2539" s="1950"/>
      <c r="AS2539" s="1950"/>
      <c r="AT2539" s="1950"/>
      <c r="AU2539" s="1950"/>
      <c r="AV2539" s="1950"/>
      <c r="AW2539" s="1950"/>
      <c r="AX2539" s="1950"/>
      <c r="AY2539" s="1950"/>
      <c r="AZ2539" s="1950"/>
      <c r="BA2539" s="1950"/>
      <c r="BB2539" s="1952"/>
      <c r="BC2539" s="1949"/>
      <c r="BD2539" s="1950"/>
      <c r="BE2539" s="1950"/>
      <c r="BF2539" s="1950"/>
      <c r="BG2539" s="1950"/>
      <c r="BH2539" s="1950"/>
      <c r="BI2539" s="1950"/>
      <c r="BJ2539" s="1950"/>
      <c r="BK2539" s="1950"/>
      <c r="BL2539" s="1950"/>
      <c r="BM2539" s="1950"/>
      <c r="BN2539" s="1950"/>
      <c r="BO2539" s="1952"/>
      <c r="BP2539" s="1962"/>
      <c r="BQ2539" s="1950"/>
      <c r="BR2539" s="1950"/>
      <c r="BS2539" s="1950"/>
      <c r="BT2539" s="1950"/>
      <c r="BU2539" s="1950"/>
      <c r="BV2539" s="1950"/>
      <c r="BW2539" s="1950"/>
      <c r="BX2539" s="1950"/>
      <c r="BY2539" s="1950"/>
      <c r="BZ2539" s="1952"/>
      <c r="CA2539" s="270"/>
      <c r="CB2539" s="3" t="str">
        <f t="shared" si="444"/>
        <v>Riadok bude skrytý.</v>
      </c>
      <c r="CC2539" s="271" t="s">
        <v>832</v>
      </c>
      <c r="CW2539" s="32">
        <f t="shared" si="449"/>
        <v>0</v>
      </c>
      <c r="CX2539" s="30">
        <f t="shared" si="453"/>
        <v>0</v>
      </c>
      <c r="CZ2539" s="30">
        <f t="shared" si="445"/>
        <v>1</v>
      </c>
      <c r="DA2539" s="52">
        <f t="shared" si="454"/>
        <v>0</v>
      </c>
      <c r="DB2539" s="140">
        <f t="shared" si="440"/>
        <v>0</v>
      </c>
      <c r="DS2539" s="130">
        <f>SI!BY2539</f>
        <v>139</v>
      </c>
      <c r="DZ2539" s="131">
        <f>SI!BZ2539</f>
        <v>0</v>
      </c>
    </row>
    <row r="2540" spans="1:132" hidden="1" x14ac:dyDescent="0.25">
      <c r="A2540" s="141"/>
      <c r="B2540" s="916"/>
      <c r="C2540" s="917"/>
      <c r="D2540" s="917"/>
      <c r="E2540" s="917"/>
      <c r="F2540" s="917"/>
      <c r="G2540" s="917"/>
      <c r="H2540" s="917"/>
      <c r="I2540" s="917"/>
      <c r="J2540" s="917"/>
      <c r="K2540" s="917"/>
      <c r="L2540" s="917"/>
      <c r="M2540" s="917"/>
      <c r="N2540" s="917"/>
      <c r="O2540" s="917"/>
      <c r="P2540" s="917"/>
      <c r="Q2540" s="917"/>
      <c r="R2540" s="917"/>
      <c r="S2540" s="917"/>
      <c r="T2540" s="917"/>
      <c r="U2540" s="917"/>
      <c r="V2540" s="917"/>
      <c r="W2540" s="917"/>
      <c r="X2540" s="917"/>
      <c r="Y2540" s="917"/>
      <c r="Z2540" s="917"/>
      <c r="AA2540" s="917"/>
      <c r="AB2540" s="917"/>
      <c r="AC2540" s="917"/>
      <c r="AD2540" s="918"/>
      <c r="AE2540" s="1949"/>
      <c r="AF2540" s="1950"/>
      <c r="AG2540" s="1950"/>
      <c r="AH2540" s="1950"/>
      <c r="AI2540" s="1950"/>
      <c r="AJ2540" s="1950"/>
      <c r="AK2540" s="1950"/>
      <c r="AL2540" s="1950"/>
      <c r="AM2540" s="1950"/>
      <c r="AN2540" s="1950"/>
      <c r="AO2540" s="1950"/>
      <c r="AP2540" s="1951"/>
      <c r="AQ2540" s="1949"/>
      <c r="AR2540" s="1950"/>
      <c r="AS2540" s="1950"/>
      <c r="AT2540" s="1950"/>
      <c r="AU2540" s="1950"/>
      <c r="AV2540" s="1950"/>
      <c r="AW2540" s="1950"/>
      <c r="AX2540" s="1950"/>
      <c r="AY2540" s="1950"/>
      <c r="AZ2540" s="1950"/>
      <c r="BA2540" s="1950"/>
      <c r="BB2540" s="1952"/>
      <c r="BC2540" s="1949"/>
      <c r="BD2540" s="1950"/>
      <c r="BE2540" s="1950"/>
      <c r="BF2540" s="1950"/>
      <c r="BG2540" s="1950"/>
      <c r="BH2540" s="1950"/>
      <c r="BI2540" s="1950"/>
      <c r="BJ2540" s="1950"/>
      <c r="BK2540" s="1950"/>
      <c r="BL2540" s="1950"/>
      <c r="BM2540" s="1950"/>
      <c r="BN2540" s="1950"/>
      <c r="BO2540" s="1952"/>
      <c r="BP2540" s="1962"/>
      <c r="BQ2540" s="1950"/>
      <c r="BR2540" s="1950"/>
      <c r="BS2540" s="1950"/>
      <c r="BT2540" s="1950"/>
      <c r="BU2540" s="1950"/>
      <c r="BV2540" s="1950"/>
      <c r="BW2540" s="1950"/>
      <c r="BX2540" s="1950"/>
      <c r="BY2540" s="1950"/>
      <c r="BZ2540" s="1952"/>
      <c r="CA2540" s="270"/>
      <c r="CB2540" s="3" t="str">
        <f t="shared" si="444"/>
        <v>Riadok bude skrytý.</v>
      </c>
      <c r="CC2540" s="271" t="s">
        <v>832</v>
      </c>
      <c r="CW2540" s="32">
        <f t="shared" si="449"/>
        <v>0</v>
      </c>
      <c r="CX2540" s="30">
        <f t="shared" si="453"/>
        <v>0</v>
      </c>
      <c r="CZ2540" s="30">
        <f t="shared" si="445"/>
        <v>1</v>
      </c>
      <c r="DA2540" s="52">
        <f t="shared" si="454"/>
        <v>0</v>
      </c>
      <c r="DB2540" s="140">
        <f t="shared" si="440"/>
        <v>0</v>
      </c>
      <c r="DS2540" s="130">
        <f>SI!BY2540</f>
        <v>125</v>
      </c>
      <c r="DZ2540" s="131">
        <f>SI!BZ2540</f>
        <v>0</v>
      </c>
    </row>
    <row r="2541" spans="1:132" hidden="1" x14ac:dyDescent="0.25">
      <c r="A2541" s="141"/>
      <c r="B2541" s="916"/>
      <c r="C2541" s="917"/>
      <c r="D2541" s="917"/>
      <c r="E2541" s="917"/>
      <c r="F2541" s="917"/>
      <c r="G2541" s="917"/>
      <c r="H2541" s="917"/>
      <c r="I2541" s="917"/>
      <c r="J2541" s="917"/>
      <c r="K2541" s="917"/>
      <c r="L2541" s="917"/>
      <c r="M2541" s="917"/>
      <c r="N2541" s="917"/>
      <c r="O2541" s="917"/>
      <c r="P2541" s="917"/>
      <c r="Q2541" s="917"/>
      <c r="R2541" s="917"/>
      <c r="S2541" s="917"/>
      <c r="T2541" s="917"/>
      <c r="U2541" s="917"/>
      <c r="V2541" s="917"/>
      <c r="W2541" s="917"/>
      <c r="X2541" s="917"/>
      <c r="Y2541" s="917"/>
      <c r="Z2541" s="917"/>
      <c r="AA2541" s="917"/>
      <c r="AB2541" s="917"/>
      <c r="AC2541" s="917"/>
      <c r="AD2541" s="918"/>
      <c r="AE2541" s="1949"/>
      <c r="AF2541" s="1950"/>
      <c r="AG2541" s="1950"/>
      <c r="AH2541" s="1950"/>
      <c r="AI2541" s="1950"/>
      <c r="AJ2541" s="1950"/>
      <c r="AK2541" s="1950"/>
      <c r="AL2541" s="1950"/>
      <c r="AM2541" s="1950"/>
      <c r="AN2541" s="1950"/>
      <c r="AO2541" s="1950"/>
      <c r="AP2541" s="1951"/>
      <c r="AQ2541" s="1949"/>
      <c r="AR2541" s="1950"/>
      <c r="AS2541" s="1950"/>
      <c r="AT2541" s="1950"/>
      <c r="AU2541" s="1950"/>
      <c r="AV2541" s="1950"/>
      <c r="AW2541" s="1950"/>
      <c r="AX2541" s="1950"/>
      <c r="AY2541" s="1950"/>
      <c r="AZ2541" s="1950"/>
      <c r="BA2541" s="1950"/>
      <c r="BB2541" s="1952"/>
      <c r="BC2541" s="1949"/>
      <c r="BD2541" s="1950"/>
      <c r="BE2541" s="1950"/>
      <c r="BF2541" s="1950"/>
      <c r="BG2541" s="1950"/>
      <c r="BH2541" s="1950"/>
      <c r="BI2541" s="1950"/>
      <c r="BJ2541" s="1950"/>
      <c r="BK2541" s="1950"/>
      <c r="BL2541" s="1950"/>
      <c r="BM2541" s="1950"/>
      <c r="BN2541" s="1950"/>
      <c r="BO2541" s="1952"/>
      <c r="BP2541" s="1962"/>
      <c r="BQ2541" s="1950"/>
      <c r="BR2541" s="1950"/>
      <c r="BS2541" s="1950"/>
      <c r="BT2541" s="1950"/>
      <c r="BU2541" s="1950"/>
      <c r="BV2541" s="1950"/>
      <c r="BW2541" s="1950"/>
      <c r="BX2541" s="1950"/>
      <c r="BY2541" s="1950"/>
      <c r="BZ2541" s="1952"/>
      <c r="CA2541" s="270"/>
      <c r="CB2541" s="3" t="str">
        <f t="shared" si="444"/>
        <v>Riadok bude skrytý.</v>
      </c>
      <c r="CC2541" s="271" t="s">
        <v>832</v>
      </c>
      <c r="CW2541" s="32">
        <f t="shared" si="449"/>
        <v>0</v>
      </c>
      <c r="CX2541" s="30">
        <f t="shared" si="453"/>
        <v>0</v>
      </c>
      <c r="CZ2541" s="30">
        <f t="shared" si="445"/>
        <v>1</v>
      </c>
      <c r="DA2541" s="52">
        <f t="shared" si="454"/>
        <v>0</v>
      </c>
      <c r="DB2541" s="140">
        <f t="shared" si="440"/>
        <v>0</v>
      </c>
      <c r="DS2541" s="130">
        <f>SI!BY2541</f>
        <v>898</v>
      </c>
      <c r="DZ2541" s="131">
        <f>SI!BZ2541</f>
        <v>0</v>
      </c>
    </row>
    <row r="2542" spans="1:132" hidden="1" x14ac:dyDescent="0.25">
      <c r="A2542" s="141"/>
      <c r="B2542" s="916"/>
      <c r="C2542" s="917"/>
      <c r="D2542" s="917"/>
      <c r="E2542" s="917"/>
      <c r="F2542" s="917"/>
      <c r="G2542" s="917"/>
      <c r="H2542" s="917"/>
      <c r="I2542" s="917"/>
      <c r="J2542" s="917"/>
      <c r="K2542" s="917"/>
      <c r="L2542" s="917"/>
      <c r="M2542" s="917"/>
      <c r="N2542" s="917"/>
      <c r="O2542" s="917"/>
      <c r="P2542" s="917"/>
      <c r="Q2542" s="917"/>
      <c r="R2542" s="917"/>
      <c r="S2542" s="917"/>
      <c r="T2542" s="917"/>
      <c r="U2542" s="917"/>
      <c r="V2542" s="917"/>
      <c r="W2542" s="917"/>
      <c r="X2542" s="917"/>
      <c r="Y2542" s="917"/>
      <c r="Z2542" s="917"/>
      <c r="AA2542" s="917"/>
      <c r="AB2542" s="917"/>
      <c r="AC2542" s="917"/>
      <c r="AD2542" s="918"/>
      <c r="AE2542" s="1949"/>
      <c r="AF2542" s="1950"/>
      <c r="AG2542" s="1950"/>
      <c r="AH2542" s="1950"/>
      <c r="AI2542" s="1950"/>
      <c r="AJ2542" s="1950"/>
      <c r="AK2542" s="1950"/>
      <c r="AL2542" s="1950"/>
      <c r="AM2542" s="1950"/>
      <c r="AN2542" s="1950"/>
      <c r="AO2542" s="1950"/>
      <c r="AP2542" s="1951"/>
      <c r="AQ2542" s="1949"/>
      <c r="AR2542" s="1950"/>
      <c r="AS2542" s="1950"/>
      <c r="AT2542" s="1950"/>
      <c r="AU2542" s="1950"/>
      <c r="AV2542" s="1950"/>
      <c r="AW2542" s="1950"/>
      <c r="AX2542" s="1950"/>
      <c r="AY2542" s="1950"/>
      <c r="AZ2542" s="1950"/>
      <c r="BA2542" s="1950"/>
      <c r="BB2542" s="1952"/>
      <c r="BC2542" s="1949"/>
      <c r="BD2542" s="1950"/>
      <c r="BE2542" s="1950"/>
      <c r="BF2542" s="1950"/>
      <c r="BG2542" s="1950"/>
      <c r="BH2542" s="1950"/>
      <c r="BI2542" s="1950"/>
      <c r="BJ2542" s="1950"/>
      <c r="BK2542" s="1950"/>
      <c r="BL2542" s="1950"/>
      <c r="BM2542" s="1950"/>
      <c r="BN2542" s="1950"/>
      <c r="BO2542" s="1952"/>
      <c r="BP2542" s="1962"/>
      <c r="BQ2542" s="1950"/>
      <c r="BR2542" s="1950"/>
      <c r="BS2542" s="1950"/>
      <c r="BT2542" s="1950"/>
      <c r="BU2542" s="1950"/>
      <c r="BV2542" s="1950"/>
      <c r="BW2542" s="1950"/>
      <c r="BX2542" s="1950"/>
      <c r="BY2542" s="1950"/>
      <c r="BZ2542" s="1952"/>
      <c r="CA2542" s="270"/>
      <c r="CB2542" s="3" t="str">
        <f t="shared" si="444"/>
        <v>Riadok bude skrytý.</v>
      </c>
      <c r="CC2542" s="271" t="s">
        <v>832</v>
      </c>
      <c r="CW2542" s="32">
        <f t="shared" si="449"/>
        <v>0</v>
      </c>
      <c r="CX2542" s="30">
        <f t="shared" si="453"/>
        <v>0</v>
      </c>
      <c r="CZ2542" s="30">
        <f t="shared" si="445"/>
        <v>1</v>
      </c>
      <c r="DA2542" s="52">
        <f t="shared" si="454"/>
        <v>0</v>
      </c>
      <c r="DB2542" s="140">
        <f t="shared" ref="DB2542:DB2566" si="455">+DA2542</f>
        <v>0</v>
      </c>
      <c r="DS2542" s="130">
        <f>SI!BY2542</f>
        <v>145</v>
      </c>
      <c r="DZ2542" s="131">
        <f>SI!BZ2542</f>
        <v>0</v>
      </c>
    </row>
    <row r="2543" spans="1:132" hidden="1" x14ac:dyDescent="0.25">
      <c r="A2543" s="141"/>
      <c r="B2543" s="919"/>
      <c r="C2543" s="920"/>
      <c r="D2543" s="920"/>
      <c r="E2543" s="920"/>
      <c r="F2543" s="920"/>
      <c r="G2543" s="920"/>
      <c r="H2543" s="920"/>
      <c r="I2543" s="920"/>
      <c r="J2543" s="920"/>
      <c r="K2543" s="920"/>
      <c r="L2543" s="920"/>
      <c r="M2543" s="920"/>
      <c r="N2543" s="920"/>
      <c r="O2543" s="920"/>
      <c r="P2543" s="920"/>
      <c r="Q2543" s="920"/>
      <c r="R2543" s="920"/>
      <c r="S2543" s="920"/>
      <c r="T2543" s="920"/>
      <c r="U2543" s="920"/>
      <c r="V2543" s="920"/>
      <c r="W2543" s="920"/>
      <c r="X2543" s="920"/>
      <c r="Y2543" s="920"/>
      <c r="Z2543" s="920"/>
      <c r="AA2543" s="920"/>
      <c r="AB2543" s="920"/>
      <c r="AC2543" s="920"/>
      <c r="AD2543" s="921"/>
      <c r="AE2543" s="1958"/>
      <c r="AF2543" s="1959"/>
      <c r="AG2543" s="1959"/>
      <c r="AH2543" s="1959"/>
      <c r="AI2543" s="1959"/>
      <c r="AJ2543" s="1959"/>
      <c r="AK2543" s="1959"/>
      <c r="AL2543" s="1959"/>
      <c r="AM2543" s="1959"/>
      <c r="AN2543" s="1959"/>
      <c r="AO2543" s="1959"/>
      <c r="AP2543" s="1960"/>
      <c r="AQ2543" s="1958"/>
      <c r="AR2543" s="1959"/>
      <c r="AS2543" s="1959"/>
      <c r="AT2543" s="1959"/>
      <c r="AU2543" s="1959"/>
      <c r="AV2543" s="1959"/>
      <c r="AW2543" s="1959"/>
      <c r="AX2543" s="1959"/>
      <c r="AY2543" s="1959"/>
      <c r="AZ2543" s="1959"/>
      <c r="BA2543" s="1959"/>
      <c r="BB2543" s="1961"/>
      <c r="BC2543" s="1958"/>
      <c r="BD2543" s="1959"/>
      <c r="BE2543" s="1959"/>
      <c r="BF2543" s="1959"/>
      <c r="BG2543" s="1959"/>
      <c r="BH2543" s="1959"/>
      <c r="BI2543" s="1959"/>
      <c r="BJ2543" s="1959"/>
      <c r="BK2543" s="1959"/>
      <c r="BL2543" s="1959"/>
      <c r="BM2543" s="1959"/>
      <c r="BN2543" s="1959"/>
      <c r="BO2543" s="1961"/>
      <c r="BP2543" s="1971"/>
      <c r="BQ2543" s="1959"/>
      <c r="BR2543" s="1959"/>
      <c r="BS2543" s="1959"/>
      <c r="BT2543" s="1959"/>
      <c r="BU2543" s="1959"/>
      <c r="BV2543" s="1959"/>
      <c r="BW2543" s="1959"/>
      <c r="BX2543" s="1959"/>
      <c r="BY2543" s="1959"/>
      <c r="BZ2543" s="1961"/>
      <c r="CA2543" s="270"/>
      <c r="CB2543" s="3" t="str">
        <f t="shared" si="444"/>
        <v>Riadok bude skrytý.</v>
      </c>
      <c r="CC2543" s="271" t="s">
        <v>832</v>
      </c>
      <c r="CW2543" s="32">
        <f t="shared" si="449"/>
        <v>0</v>
      </c>
      <c r="CZ2543" s="30">
        <f>IF(CC2543="",1,IF(CC2543="Chcem skryť riadok.",0,1))</f>
        <v>1</v>
      </c>
      <c r="DA2543" s="30">
        <f>+IF(CW2543+CX2543+CY2543=0,0,IF(CZ2543=0,0,1))</f>
        <v>0</v>
      </c>
      <c r="DB2543" s="140">
        <f t="shared" si="455"/>
        <v>0</v>
      </c>
      <c r="DS2543" s="130">
        <f>SI!BY2543</f>
        <v>957</v>
      </c>
      <c r="DZ2543" s="131">
        <f>SI!BZ2543</f>
        <v>0</v>
      </c>
    </row>
    <row r="2544" spans="1:132" hidden="1" x14ac:dyDescent="0.25">
      <c r="A2544" s="141"/>
      <c r="B2544" s="1689" t="s">
        <v>319</v>
      </c>
      <c r="C2544" s="1690"/>
      <c r="D2544" s="1690"/>
      <c r="E2544" s="1690"/>
      <c r="F2544" s="1690"/>
      <c r="G2544" s="1690"/>
      <c r="H2544" s="1690"/>
      <c r="I2544" s="1690"/>
      <c r="J2544" s="1690"/>
      <c r="K2544" s="1690"/>
      <c r="L2544" s="1690"/>
      <c r="M2544" s="1690"/>
      <c r="N2544" s="1690"/>
      <c r="O2544" s="1690"/>
      <c r="P2544" s="1690"/>
      <c r="Q2544" s="1690"/>
      <c r="R2544" s="1690"/>
      <c r="S2544" s="1690"/>
      <c r="T2544" s="1690"/>
      <c r="U2544" s="1690"/>
      <c r="V2544" s="1690"/>
      <c r="W2544" s="1690"/>
      <c r="X2544" s="1690"/>
      <c r="Y2544" s="1690"/>
      <c r="Z2544" s="1690"/>
      <c r="AA2544" s="1690"/>
      <c r="AB2544" s="1690"/>
      <c r="AC2544" s="1690"/>
      <c r="AD2544" s="1690"/>
      <c r="AE2544" s="423">
        <f>+SUM(AE2545:AP2554)</f>
        <v>0</v>
      </c>
      <c r="AF2544" s="424"/>
      <c r="AG2544" s="424"/>
      <c r="AH2544" s="424"/>
      <c r="AI2544" s="424"/>
      <c r="AJ2544" s="424"/>
      <c r="AK2544" s="424"/>
      <c r="AL2544" s="424"/>
      <c r="AM2544" s="424"/>
      <c r="AN2544" s="424"/>
      <c r="AO2544" s="424"/>
      <c r="AP2544" s="424"/>
      <c r="AQ2544" s="423">
        <f>+SUM(AQ2545:BB2554)</f>
        <v>0</v>
      </c>
      <c r="AR2544" s="424"/>
      <c r="AS2544" s="424"/>
      <c r="AT2544" s="424"/>
      <c r="AU2544" s="424"/>
      <c r="AV2544" s="424"/>
      <c r="AW2544" s="424"/>
      <c r="AX2544" s="424"/>
      <c r="AY2544" s="424"/>
      <c r="AZ2544" s="424"/>
      <c r="BA2544" s="424"/>
      <c r="BB2544" s="425"/>
      <c r="BC2544" s="423">
        <f>+SUM(BC2545:BO2554)</f>
        <v>0</v>
      </c>
      <c r="BD2544" s="424"/>
      <c r="BE2544" s="424"/>
      <c r="BF2544" s="424"/>
      <c r="BG2544" s="424"/>
      <c r="BH2544" s="424"/>
      <c r="BI2544" s="424"/>
      <c r="BJ2544" s="424"/>
      <c r="BK2544" s="424"/>
      <c r="BL2544" s="424"/>
      <c r="BM2544" s="424"/>
      <c r="BN2544" s="424"/>
      <c r="BO2544" s="425"/>
      <c r="BP2544" s="424">
        <f>+SUM(BP2545:BZ2554)</f>
        <v>0</v>
      </c>
      <c r="BQ2544" s="424"/>
      <c r="BR2544" s="424"/>
      <c r="BS2544" s="424"/>
      <c r="BT2544" s="424"/>
      <c r="BU2544" s="424"/>
      <c r="BV2544" s="424"/>
      <c r="BW2544" s="424"/>
      <c r="BX2544" s="424"/>
      <c r="BY2544" s="424"/>
      <c r="BZ2544" s="425"/>
      <c r="CA2544" s="270"/>
      <c r="CB2544" s="3" t="str">
        <f t="shared" si="444"/>
        <v>Riadok bude skrytý.</v>
      </c>
      <c r="CC2544" s="271" t="s">
        <v>832</v>
      </c>
      <c r="CW2544" s="32">
        <f t="shared" ref="CW2544:CW2565" si="456">+IF($J$2478="nepoužíva",0,1)</f>
        <v>0</v>
      </c>
      <c r="CZ2544" s="30">
        <f t="shared" si="445"/>
        <v>1</v>
      </c>
      <c r="DA2544" s="30">
        <f>+IF(CW2544+CX2544+CY2544=0,0,IF(CZ2544=0,0,1))</f>
        <v>0</v>
      </c>
      <c r="DB2544" s="140">
        <f t="shared" si="455"/>
        <v>0</v>
      </c>
      <c r="DS2544" s="130">
        <f>SI!BY2544</f>
        <v>179</v>
      </c>
      <c r="DZ2544" s="131">
        <f>SI!BZ2544</f>
        <v>0</v>
      </c>
    </row>
    <row r="2545" spans="1:130" hidden="1" x14ac:dyDescent="0.25">
      <c r="A2545" s="141"/>
      <c r="B2545" s="1955"/>
      <c r="C2545" s="1956"/>
      <c r="D2545" s="1956"/>
      <c r="E2545" s="1956"/>
      <c r="F2545" s="1956"/>
      <c r="G2545" s="1956"/>
      <c r="H2545" s="1956"/>
      <c r="I2545" s="1956"/>
      <c r="J2545" s="1956"/>
      <c r="K2545" s="1956"/>
      <c r="L2545" s="1956"/>
      <c r="M2545" s="1956"/>
      <c r="N2545" s="1956"/>
      <c r="O2545" s="1956"/>
      <c r="P2545" s="1956"/>
      <c r="Q2545" s="1956"/>
      <c r="R2545" s="1956"/>
      <c r="S2545" s="1956"/>
      <c r="T2545" s="1956"/>
      <c r="U2545" s="1956"/>
      <c r="V2545" s="1956"/>
      <c r="W2545" s="1956"/>
      <c r="X2545" s="1956"/>
      <c r="Y2545" s="1956"/>
      <c r="Z2545" s="1956"/>
      <c r="AA2545" s="1956"/>
      <c r="AB2545" s="1956"/>
      <c r="AC2545" s="1956"/>
      <c r="AD2545" s="1957"/>
      <c r="AE2545" s="2093"/>
      <c r="AF2545" s="2094"/>
      <c r="AG2545" s="2094"/>
      <c r="AH2545" s="2094"/>
      <c r="AI2545" s="2094"/>
      <c r="AJ2545" s="2094"/>
      <c r="AK2545" s="2094"/>
      <c r="AL2545" s="2094"/>
      <c r="AM2545" s="2094"/>
      <c r="AN2545" s="2094"/>
      <c r="AO2545" s="2094"/>
      <c r="AP2545" s="2097"/>
      <c r="AQ2545" s="2093"/>
      <c r="AR2545" s="2094"/>
      <c r="AS2545" s="2094"/>
      <c r="AT2545" s="2094"/>
      <c r="AU2545" s="2094"/>
      <c r="AV2545" s="2094"/>
      <c r="AW2545" s="2094"/>
      <c r="AX2545" s="2094"/>
      <c r="AY2545" s="2094"/>
      <c r="AZ2545" s="2094"/>
      <c r="BA2545" s="2094"/>
      <c r="BB2545" s="2095"/>
      <c r="BC2545" s="2093"/>
      <c r="BD2545" s="2094"/>
      <c r="BE2545" s="2094"/>
      <c r="BF2545" s="2094"/>
      <c r="BG2545" s="2094"/>
      <c r="BH2545" s="2094"/>
      <c r="BI2545" s="2094"/>
      <c r="BJ2545" s="2094"/>
      <c r="BK2545" s="2094"/>
      <c r="BL2545" s="2094"/>
      <c r="BM2545" s="2094"/>
      <c r="BN2545" s="2094"/>
      <c r="BO2545" s="2095"/>
      <c r="BP2545" s="2096"/>
      <c r="BQ2545" s="2094"/>
      <c r="BR2545" s="2094"/>
      <c r="BS2545" s="2094"/>
      <c r="BT2545" s="2094"/>
      <c r="BU2545" s="2094"/>
      <c r="BV2545" s="2094"/>
      <c r="BW2545" s="2094"/>
      <c r="BX2545" s="2094"/>
      <c r="BY2545" s="2094"/>
      <c r="BZ2545" s="2095"/>
      <c r="CA2545" s="270"/>
      <c r="CB2545" s="3" t="str">
        <f t="shared" si="444"/>
        <v>Riadok bude skrytý.</v>
      </c>
      <c r="CC2545" s="271" t="s">
        <v>832</v>
      </c>
      <c r="CW2545" s="32">
        <f t="shared" si="456"/>
        <v>0</v>
      </c>
      <c r="CZ2545" s="30">
        <f t="shared" si="445"/>
        <v>1</v>
      </c>
      <c r="DA2545" s="30">
        <f>+IF(CW2545+CX2545+CY2545=0,0,IF(CZ2545=0,0,1))</f>
        <v>0</v>
      </c>
      <c r="DB2545" s="140">
        <f t="shared" si="455"/>
        <v>0</v>
      </c>
      <c r="DS2545" s="130">
        <f>SI!BY2545</f>
        <v>3</v>
      </c>
      <c r="DZ2545" s="131">
        <f>SI!BZ2545</f>
        <v>0</v>
      </c>
    </row>
    <row r="2546" spans="1:130" hidden="1" x14ac:dyDescent="0.25">
      <c r="A2546" s="141"/>
      <c r="B2546" s="916"/>
      <c r="C2546" s="917"/>
      <c r="D2546" s="917"/>
      <c r="E2546" s="917"/>
      <c r="F2546" s="917"/>
      <c r="G2546" s="917"/>
      <c r="H2546" s="917"/>
      <c r="I2546" s="917"/>
      <c r="J2546" s="917"/>
      <c r="K2546" s="917"/>
      <c r="L2546" s="917"/>
      <c r="M2546" s="917"/>
      <c r="N2546" s="917"/>
      <c r="O2546" s="917"/>
      <c r="P2546" s="917"/>
      <c r="Q2546" s="917"/>
      <c r="R2546" s="917"/>
      <c r="S2546" s="917"/>
      <c r="T2546" s="917"/>
      <c r="U2546" s="917"/>
      <c r="V2546" s="917"/>
      <c r="W2546" s="917"/>
      <c r="X2546" s="917"/>
      <c r="Y2546" s="917"/>
      <c r="Z2546" s="917"/>
      <c r="AA2546" s="917"/>
      <c r="AB2546" s="917"/>
      <c r="AC2546" s="917"/>
      <c r="AD2546" s="918"/>
      <c r="AE2546" s="1949"/>
      <c r="AF2546" s="1950"/>
      <c r="AG2546" s="1950"/>
      <c r="AH2546" s="1950"/>
      <c r="AI2546" s="1950"/>
      <c r="AJ2546" s="1950"/>
      <c r="AK2546" s="1950"/>
      <c r="AL2546" s="1950"/>
      <c r="AM2546" s="1950"/>
      <c r="AN2546" s="1950"/>
      <c r="AO2546" s="1950"/>
      <c r="AP2546" s="1951"/>
      <c r="AQ2546" s="1949"/>
      <c r="AR2546" s="1950"/>
      <c r="AS2546" s="1950"/>
      <c r="AT2546" s="1950"/>
      <c r="AU2546" s="1950"/>
      <c r="AV2546" s="1950"/>
      <c r="AW2546" s="1950"/>
      <c r="AX2546" s="1950"/>
      <c r="AY2546" s="1950"/>
      <c r="AZ2546" s="1950"/>
      <c r="BA2546" s="1950"/>
      <c r="BB2546" s="1952"/>
      <c r="BC2546" s="1949"/>
      <c r="BD2546" s="1950"/>
      <c r="BE2546" s="1950"/>
      <c r="BF2546" s="1950"/>
      <c r="BG2546" s="1950"/>
      <c r="BH2546" s="1950"/>
      <c r="BI2546" s="1950"/>
      <c r="BJ2546" s="1950"/>
      <c r="BK2546" s="1950"/>
      <c r="BL2546" s="1950"/>
      <c r="BM2546" s="1950"/>
      <c r="BN2546" s="1950"/>
      <c r="BO2546" s="1952"/>
      <c r="BP2546" s="1962"/>
      <c r="BQ2546" s="1950"/>
      <c r="BR2546" s="1950"/>
      <c r="BS2546" s="1950"/>
      <c r="BT2546" s="1950"/>
      <c r="BU2546" s="1950"/>
      <c r="BV2546" s="1950"/>
      <c r="BW2546" s="1950"/>
      <c r="BX2546" s="1950"/>
      <c r="BY2546" s="1950"/>
      <c r="BZ2546" s="1952"/>
      <c r="CA2546" s="270"/>
      <c r="CB2546" s="3" t="str">
        <f t="shared" si="444"/>
        <v>Riadok bude skrytý.</v>
      </c>
      <c r="CC2546" s="271" t="s">
        <v>832</v>
      </c>
      <c r="CW2546" s="32">
        <f t="shared" si="456"/>
        <v>0</v>
      </c>
      <c r="CX2546" s="30">
        <f t="shared" ref="CX2546:CX2553" si="457">+IF(B2546="",0,1)</f>
        <v>0</v>
      </c>
      <c r="CZ2546" s="30">
        <f t="shared" si="445"/>
        <v>1</v>
      </c>
      <c r="DA2546" s="52">
        <f t="shared" ref="DA2546:DA2553" si="458">+IF(CW2546*CX2546=0,0,IF(CZ2546=0,0,1))</f>
        <v>0</v>
      </c>
      <c r="DB2546" s="140">
        <f t="shared" si="455"/>
        <v>0</v>
      </c>
      <c r="DS2546" s="130">
        <f>SI!BY2546</f>
        <v>156</v>
      </c>
      <c r="DZ2546" s="131">
        <f>SI!BZ2546</f>
        <v>0</v>
      </c>
    </row>
    <row r="2547" spans="1:130" hidden="1" x14ac:dyDescent="0.25">
      <c r="A2547" s="141"/>
      <c r="B2547" s="916"/>
      <c r="C2547" s="917"/>
      <c r="D2547" s="917"/>
      <c r="E2547" s="917"/>
      <c r="F2547" s="917"/>
      <c r="G2547" s="917"/>
      <c r="H2547" s="917"/>
      <c r="I2547" s="917"/>
      <c r="J2547" s="917"/>
      <c r="K2547" s="917"/>
      <c r="L2547" s="917"/>
      <c r="M2547" s="917"/>
      <c r="N2547" s="917"/>
      <c r="O2547" s="917"/>
      <c r="P2547" s="917"/>
      <c r="Q2547" s="917"/>
      <c r="R2547" s="917"/>
      <c r="S2547" s="917"/>
      <c r="T2547" s="917"/>
      <c r="U2547" s="917"/>
      <c r="V2547" s="917"/>
      <c r="W2547" s="917"/>
      <c r="X2547" s="917"/>
      <c r="Y2547" s="917"/>
      <c r="Z2547" s="917"/>
      <c r="AA2547" s="917"/>
      <c r="AB2547" s="917"/>
      <c r="AC2547" s="917"/>
      <c r="AD2547" s="918"/>
      <c r="AE2547" s="1949"/>
      <c r="AF2547" s="1950"/>
      <c r="AG2547" s="1950"/>
      <c r="AH2547" s="1950"/>
      <c r="AI2547" s="1950"/>
      <c r="AJ2547" s="1950"/>
      <c r="AK2547" s="1950"/>
      <c r="AL2547" s="1950"/>
      <c r="AM2547" s="1950"/>
      <c r="AN2547" s="1950"/>
      <c r="AO2547" s="1950"/>
      <c r="AP2547" s="1951"/>
      <c r="AQ2547" s="1949"/>
      <c r="AR2547" s="1950"/>
      <c r="AS2547" s="1950"/>
      <c r="AT2547" s="1950"/>
      <c r="AU2547" s="1950"/>
      <c r="AV2547" s="1950"/>
      <c r="AW2547" s="1950"/>
      <c r="AX2547" s="1950"/>
      <c r="AY2547" s="1950"/>
      <c r="AZ2547" s="1950"/>
      <c r="BA2547" s="1950"/>
      <c r="BB2547" s="1952"/>
      <c r="BC2547" s="1949"/>
      <c r="BD2547" s="1950"/>
      <c r="BE2547" s="1950"/>
      <c r="BF2547" s="1950"/>
      <c r="BG2547" s="1950"/>
      <c r="BH2547" s="1950"/>
      <c r="BI2547" s="1950"/>
      <c r="BJ2547" s="1950"/>
      <c r="BK2547" s="1950"/>
      <c r="BL2547" s="1950"/>
      <c r="BM2547" s="1950"/>
      <c r="BN2547" s="1950"/>
      <c r="BO2547" s="1952"/>
      <c r="BP2547" s="1962"/>
      <c r="BQ2547" s="1950"/>
      <c r="BR2547" s="1950"/>
      <c r="BS2547" s="1950"/>
      <c r="BT2547" s="1950"/>
      <c r="BU2547" s="1950"/>
      <c r="BV2547" s="1950"/>
      <c r="BW2547" s="1950"/>
      <c r="BX2547" s="1950"/>
      <c r="BY2547" s="1950"/>
      <c r="BZ2547" s="1952"/>
      <c r="CA2547" s="270"/>
      <c r="CB2547" s="3" t="str">
        <f t="shared" ref="CB2547:CB2610" si="459">+IF(DB2547=0,"Riadok bude skrytý.","Riadok bude vidieť.")</f>
        <v>Riadok bude skrytý.</v>
      </c>
      <c r="CC2547" s="271" t="s">
        <v>832</v>
      </c>
      <c r="CW2547" s="32">
        <f t="shared" si="456"/>
        <v>0</v>
      </c>
      <c r="CX2547" s="30">
        <f t="shared" si="457"/>
        <v>0</v>
      </c>
      <c r="CZ2547" s="30">
        <f t="shared" ref="CZ2547:CZ2610" si="460">IF(CC2547="",1,IF(CC2547="Chcem skryť riadok.",0,1))</f>
        <v>1</v>
      </c>
      <c r="DA2547" s="52">
        <f t="shared" si="458"/>
        <v>0</v>
      </c>
      <c r="DB2547" s="140">
        <f t="shared" si="455"/>
        <v>0</v>
      </c>
      <c r="DS2547" s="130">
        <f>SI!BY2547</f>
        <v>654</v>
      </c>
      <c r="DZ2547" s="131">
        <f>SI!BZ2547</f>
        <v>0</v>
      </c>
    </row>
    <row r="2548" spans="1:130" hidden="1" x14ac:dyDescent="0.25">
      <c r="A2548" s="141"/>
      <c r="B2548" s="916"/>
      <c r="C2548" s="917"/>
      <c r="D2548" s="917"/>
      <c r="E2548" s="917"/>
      <c r="F2548" s="917"/>
      <c r="G2548" s="917"/>
      <c r="H2548" s="917"/>
      <c r="I2548" s="917"/>
      <c r="J2548" s="917"/>
      <c r="K2548" s="917"/>
      <c r="L2548" s="917"/>
      <c r="M2548" s="917"/>
      <c r="N2548" s="917"/>
      <c r="O2548" s="917"/>
      <c r="P2548" s="917"/>
      <c r="Q2548" s="917"/>
      <c r="R2548" s="917"/>
      <c r="S2548" s="917"/>
      <c r="T2548" s="917"/>
      <c r="U2548" s="917"/>
      <c r="V2548" s="917"/>
      <c r="W2548" s="917"/>
      <c r="X2548" s="917"/>
      <c r="Y2548" s="917"/>
      <c r="Z2548" s="917"/>
      <c r="AA2548" s="917"/>
      <c r="AB2548" s="917"/>
      <c r="AC2548" s="917"/>
      <c r="AD2548" s="918"/>
      <c r="AE2548" s="1949"/>
      <c r="AF2548" s="1950"/>
      <c r="AG2548" s="1950"/>
      <c r="AH2548" s="1950"/>
      <c r="AI2548" s="1950"/>
      <c r="AJ2548" s="1950"/>
      <c r="AK2548" s="1950"/>
      <c r="AL2548" s="1950"/>
      <c r="AM2548" s="1950"/>
      <c r="AN2548" s="1950"/>
      <c r="AO2548" s="1950"/>
      <c r="AP2548" s="1951"/>
      <c r="AQ2548" s="1949"/>
      <c r="AR2548" s="1950"/>
      <c r="AS2548" s="1950"/>
      <c r="AT2548" s="1950"/>
      <c r="AU2548" s="1950"/>
      <c r="AV2548" s="1950"/>
      <c r="AW2548" s="1950"/>
      <c r="AX2548" s="1950"/>
      <c r="AY2548" s="1950"/>
      <c r="AZ2548" s="1950"/>
      <c r="BA2548" s="1950"/>
      <c r="BB2548" s="1952"/>
      <c r="BC2548" s="1949"/>
      <c r="BD2548" s="1950"/>
      <c r="BE2548" s="1950"/>
      <c r="BF2548" s="1950"/>
      <c r="BG2548" s="1950"/>
      <c r="BH2548" s="1950"/>
      <c r="BI2548" s="1950"/>
      <c r="BJ2548" s="1950"/>
      <c r="BK2548" s="1950"/>
      <c r="BL2548" s="1950"/>
      <c r="BM2548" s="1950"/>
      <c r="BN2548" s="1950"/>
      <c r="BO2548" s="1952"/>
      <c r="BP2548" s="1962"/>
      <c r="BQ2548" s="1950"/>
      <c r="BR2548" s="1950"/>
      <c r="BS2548" s="1950"/>
      <c r="BT2548" s="1950"/>
      <c r="BU2548" s="1950"/>
      <c r="BV2548" s="1950"/>
      <c r="BW2548" s="1950"/>
      <c r="BX2548" s="1950"/>
      <c r="BY2548" s="1950"/>
      <c r="BZ2548" s="1952"/>
      <c r="CA2548" s="270"/>
      <c r="CB2548" s="3" t="str">
        <f t="shared" si="459"/>
        <v>Riadok bude skrytý.</v>
      </c>
      <c r="CC2548" s="271" t="s">
        <v>832</v>
      </c>
      <c r="CW2548" s="32">
        <f t="shared" si="456"/>
        <v>0</v>
      </c>
      <c r="CX2548" s="30">
        <f t="shared" si="457"/>
        <v>0</v>
      </c>
      <c r="CZ2548" s="30">
        <f t="shared" si="460"/>
        <v>1</v>
      </c>
      <c r="DA2548" s="52">
        <f t="shared" si="458"/>
        <v>0</v>
      </c>
      <c r="DB2548" s="140">
        <f t="shared" si="455"/>
        <v>0</v>
      </c>
      <c r="DS2548" s="130">
        <f>SI!BY2548</f>
        <v>144</v>
      </c>
      <c r="DZ2548" s="131">
        <f>SI!BZ2548</f>
        <v>0</v>
      </c>
    </row>
    <row r="2549" spans="1:130" hidden="1" x14ac:dyDescent="0.25">
      <c r="A2549" s="141"/>
      <c r="B2549" s="916"/>
      <c r="C2549" s="917"/>
      <c r="D2549" s="917"/>
      <c r="E2549" s="917"/>
      <c r="F2549" s="917"/>
      <c r="G2549" s="917"/>
      <c r="H2549" s="917"/>
      <c r="I2549" s="917"/>
      <c r="J2549" s="917"/>
      <c r="K2549" s="917"/>
      <c r="L2549" s="917"/>
      <c r="M2549" s="917"/>
      <c r="N2549" s="917"/>
      <c r="O2549" s="917"/>
      <c r="P2549" s="917"/>
      <c r="Q2549" s="917"/>
      <c r="R2549" s="917"/>
      <c r="S2549" s="917"/>
      <c r="T2549" s="917"/>
      <c r="U2549" s="917"/>
      <c r="V2549" s="917"/>
      <c r="W2549" s="917"/>
      <c r="X2549" s="917"/>
      <c r="Y2549" s="917"/>
      <c r="Z2549" s="917"/>
      <c r="AA2549" s="917"/>
      <c r="AB2549" s="917"/>
      <c r="AC2549" s="917"/>
      <c r="AD2549" s="918"/>
      <c r="AE2549" s="1949"/>
      <c r="AF2549" s="1950"/>
      <c r="AG2549" s="1950"/>
      <c r="AH2549" s="1950"/>
      <c r="AI2549" s="1950"/>
      <c r="AJ2549" s="1950"/>
      <c r="AK2549" s="1950"/>
      <c r="AL2549" s="1950"/>
      <c r="AM2549" s="1950"/>
      <c r="AN2549" s="1950"/>
      <c r="AO2549" s="1950"/>
      <c r="AP2549" s="1951"/>
      <c r="AQ2549" s="1949"/>
      <c r="AR2549" s="1950"/>
      <c r="AS2549" s="1950"/>
      <c r="AT2549" s="1950"/>
      <c r="AU2549" s="1950"/>
      <c r="AV2549" s="1950"/>
      <c r="AW2549" s="1950"/>
      <c r="AX2549" s="1950"/>
      <c r="AY2549" s="1950"/>
      <c r="AZ2549" s="1950"/>
      <c r="BA2549" s="1950"/>
      <c r="BB2549" s="1952"/>
      <c r="BC2549" s="1949"/>
      <c r="BD2549" s="1950"/>
      <c r="BE2549" s="1950"/>
      <c r="BF2549" s="1950"/>
      <c r="BG2549" s="1950"/>
      <c r="BH2549" s="1950"/>
      <c r="BI2549" s="1950"/>
      <c r="BJ2549" s="1950"/>
      <c r="BK2549" s="1950"/>
      <c r="BL2549" s="1950"/>
      <c r="BM2549" s="1950"/>
      <c r="BN2549" s="1950"/>
      <c r="BO2549" s="1952"/>
      <c r="BP2549" s="1962"/>
      <c r="BQ2549" s="1950"/>
      <c r="BR2549" s="1950"/>
      <c r="BS2549" s="1950"/>
      <c r="BT2549" s="1950"/>
      <c r="BU2549" s="1950"/>
      <c r="BV2549" s="1950"/>
      <c r="BW2549" s="1950"/>
      <c r="BX2549" s="1950"/>
      <c r="BY2549" s="1950"/>
      <c r="BZ2549" s="1952"/>
      <c r="CA2549" s="270"/>
      <c r="CB2549" s="3" t="str">
        <f t="shared" si="459"/>
        <v>Riadok bude skrytý.</v>
      </c>
      <c r="CC2549" s="271" t="s">
        <v>832</v>
      </c>
      <c r="CW2549" s="32">
        <f t="shared" si="456"/>
        <v>0</v>
      </c>
      <c r="CX2549" s="30">
        <f t="shared" si="457"/>
        <v>0</v>
      </c>
      <c r="CZ2549" s="30">
        <f t="shared" si="460"/>
        <v>1</v>
      </c>
      <c r="DA2549" s="52">
        <f t="shared" si="458"/>
        <v>0</v>
      </c>
      <c r="DB2549" s="140">
        <f t="shared" si="455"/>
        <v>0</v>
      </c>
      <c r="DS2549" s="130">
        <f>SI!BY2549</f>
        <v>170</v>
      </c>
      <c r="DZ2549" s="131">
        <f>SI!BZ2549</f>
        <v>0</v>
      </c>
    </row>
    <row r="2550" spans="1:130" hidden="1" x14ac:dyDescent="0.25">
      <c r="A2550" s="141"/>
      <c r="B2550" s="916"/>
      <c r="C2550" s="917"/>
      <c r="D2550" s="917"/>
      <c r="E2550" s="917"/>
      <c r="F2550" s="917"/>
      <c r="G2550" s="917"/>
      <c r="H2550" s="917"/>
      <c r="I2550" s="917"/>
      <c r="J2550" s="917"/>
      <c r="K2550" s="917"/>
      <c r="L2550" s="917"/>
      <c r="M2550" s="917"/>
      <c r="N2550" s="917"/>
      <c r="O2550" s="917"/>
      <c r="P2550" s="917"/>
      <c r="Q2550" s="917"/>
      <c r="R2550" s="917"/>
      <c r="S2550" s="917"/>
      <c r="T2550" s="917"/>
      <c r="U2550" s="917"/>
      <c r="V2550" s="917"/>
      <c r="W2550" s="917"/>
      <c r="X2550" s="917"/>
      <c r="Y2550" s="917"/>
      <c r="Z2550" s="917"/>
      <c r="AA2550" s="917"/>
      <c r="AB2550" s="917"/>
      <c r="AC2550" s="917"/>
      <c r="AD2550" s="918"/>
      <c r="AE2550" s="1949"/>
      <c r="AF2550" s="1950"/>
      <c r="AG2550" s="1950"/>
      <c r="AH2550" s="1950"/>
      <c r="AI2550" s="1950"/>
      <c r="AJ2550" s="1950"/>
      <c r="AK2550" s="1950"/>
      <c r="AL2550" s="1950"/>
      <c r="AM2550" s="1950"/>
      <c r="AN2550" s="1950"/>
      <c r="AO2550" s="1950"/>
      <c r="AP2550" s="1951"/>
      <c r="AQ2550" s="1949"/>
      <c r="AR2550" s="1950"/>
      <c r="AS2550" s="1950"/>
      <c r="AT2550" s="1950"/>
      <c r="AU2550" s="1950"/>
      <c r="AV2550" s="1950"/>
      <c r="AW2550" s="1950"/>
      <c r="AX2550" s="1950"/>
      <c r="AY2550" s="1950"/>
      <c r="AZ2550" s="1950"/>
      <c r="BA2550" s="1950"/>
      <c r="BB2550" s="1952"/>
      <c r="BC2550" s="1949"/>
      <c r="BD2550" s="1950"/>
      <c r="BE2550" s="1950"/>
      <c r="BF2550" s="1950"/>
      <c r="BG2550" s="1950"/>
      <c r="BH2550" s="1950"/>
      <c r="BI2550" s="1950"/>
      <c r="BJ2550" s="1950"/>
      <c r="BK2550" s="1950"/>
      <c r="BL2550" s="1950"/>
      <c r="BM2550" s="1950"/>
      <c r="BN2550" s="1950"/>
      <c r="BO2550" s="1952"/>
      <c r="BP2550" s="1962"/>
      <c r="BQ2550" s="1950"/>
      <c r="BR2550" s="1950"/>
      <c r="BS2550" s="1950"/>
      <c r="BT2550" s="1950"/>
      <c r="BU2550" s="1950"/>
      <c r="BV2550" s="1950"/>
      <c r="BW2550" s="1950"/>
      <c r="BX2550" s="1950"/>
      <c r="BY2550" s="1950"/>
      <c r="BZ2550" s="1952"/>
      <c r="CA2550" s="270"/>
      <c r="CB2550" s="3" t="str">
        <f t="shared" si="459"/>
        <v>Riadok bude skrytý.</v>
      </c>
      <c r="CC2550" s="271" t="s">
        <v>832</v>
      </c>
      <c r="CW2550" s="32">
        <f t="shared" si="456"/>
        <v>0</v>
      </c>
      <c r="CX2550" s="30">
        <f t="shared" si="457"/>
        <v>0</v>
      </c>
      <c r="CZ2550" s="30">
        <f t="shared" si="460"/>
        <v>1</v>
      </c>
      <c r="DA2550" s="52">
        <f t="shared" si="458"/>
        <v>0</v>
      </c>
      <c r="DB2550" s="140">
        <f t="shared" si="455"/>
        <v>0</v>
      </c>
      <c r="DS2550" s="130">
        <f>SI!BY2550</f>
        <v>160</v>
      </c>
      <c r="DZ2550" s="131">
        <f>SI!BZ2550</f>
        <v>0</v>
      </c>
    </row>
    <row r="2551" spans="1:130" hidden="1" x14ac:dyDescent="0.25">
      <c r="A2551" s="141"/>
      <c r="B2551" s="916"/>
      <c r="C2551" s="917"/>
      <c r="D2551" s="917"/>
      <c r="E2551" s="917"/>
      <c r="F2551" s="917"/>
      <c r="G2551" s="917"/>
      <c r="H2551" s="917"/>
      <c r="I2551" s="917"/>
      <c r="J2551" s="917"/>
      <c r="K2551" s="917"/>
      <c r="L2551" s="917"/>
      <c r="M2551" s="917"/>
      <c r="N2551" s="917"/>
      <c r="O2551" s="917"/>
      <c r="P2551" s="917"/>
      <c r="Q2551" s="917"/>
      <c r="R2551" s="917"/>
      <c r="S2551" s="917"/>
      <c r="T2551" s="917"/>
      <c r="U2551" s="917"/>
      <c r="V2551" s="917"/>
      <c r="W2551" s="917"/>
      <c r="X2551" s="917"/>
      <c r="Y2551" s="917"/>
      <c r="Z2551" s="917"/>
      <c r="AA2551" s="917"/>
      <c r="AB2551" s="917"/>
      <c r="AC2551" s="917"/>
      <c r="AD2551" s="918"/>
      <c r="AE2551" s="1949"/>
      <c r="AF2551" s="1950"/>
      <c r="AG2551" s="1950"/>
      <c r="AH2551" s="1950"/>
      <c r="AI2551" s="1950"/>
      <c r="AJ2551" s="1950"/>
      <c r="AK2551" s="1950"/>
      <c r="AL2551" s="1950"/>
      <c r="AM2551" s="1950"/>
      <c r="AN2551" s="1950"/>
      <c r="AO2551" s="1950"/>
      <c r="AP2551" s="1951"/>
      <c r="AQ2551" s="1949"/>
      <c r="AR2551" s="1950"/>
      <c r="AS2551" s="1950"/>
      <c r="AT2551" s="1950"/>
      <c r="AU2551" s="1950"/>
      <c r="AV2551" s="1950"/>
      <c r="AW2551" s="1950"/>
      <c r="AX2551" s="1950"/>
      <c r="AY2551" s="1950"/>
      <c r="AZ2551" s="1950"/>
      <c r="BA2551" s="1950"/>
      <c r="BB2551" s="1952"/>
      <c r="BC2551" s="1949"/>
      <c r="BD2551" s="1950"/>
      <c r="BE2551" s="1950"/>
      <c r="BF2551" s="1950"/>
      <c r="BG2551" s="1950"/>
      <c r="BH2551" s="1950"/>
      <c r="BI2551" s="1950"/>
      <c r="BJ2551" s="1950"/>
      <c r="BK2551" s="1950"/>
      <c r="BL2551" s="1950"/>
      <c r="BM2551" s="1950"/>
      <c r="BN2551" s="1950"/>
      <c r="BO2551" s="1952"/>
      <c r="BP2551" s="1962"/>
      <c r="BQ2551" s="1950"/>
      <c r="BR2551" s="1950"/>
      <c r="BS2551" s="1950"/>
      <c r="BT2551" s="1950"/>
      <c r="BU2551" s="1950"/>
      <c r="BV2551" s="1950"/>
      <c r="BW2551" s="1950"/>
      <c r="BX2551" s="1950"/>
      <c r="BY2551" s="1950"/>
      <c r="BZ2551" s="1952"/>
      <c r="CA2551" s="270"/>
      <c r="CB2551" s="3" t="str">
        <f t="shared" si="459"/>
        <v>Riadok bude skrytý.</v>
      </c>
      <c r="CC2551" s="271" t="s">
        <v>832</v>
      </c>
      <c r="CW2551" s="32">
        <f t="shared" si="456"/>
        <v>0</v>
      </c>
      <c r="CX2551" s="30">
        <f t="shared" si="457"/>
        <v>0</v>
      </c>
      <c r="CZ2551" s="30">
        <f t="shared" si="460"/>
        <v>1</v>
      </c>
      <c r="DA2551" s="52">
        <f t="shared" si="458"/>
        <v>0</v>
      </c>
      <c r="DB2551" s="140">
        <f t="shared" si="455"/>
        <v>0</v>
      </c>
      <c r="DS2551" s="130">
        <f>SI!BY2551</f>
        <v>154</v>
      </c>
      <c r="DZ2551" s="131">
        <f>SI!BZ2551</f>
        <v>0</v>
      </c>
    </row>
    <row r="2552" spans="1:130" hidden="1" x14ac:dyDescent="0.25">
      <c r="A2552" s="141"/>
      <c r="B2552" s="916"/>
      <c r="C2552" s="917"/>
      <c r="D2552" s="917"/>
      <c r="E2552" s="917"/>
      <c r="F2552" s="917"/>
      <c r="G2552" s="917"/>
      <c r="H2552" s="917"/>
      <c r="I2552" s="917"/>
      <c r="J2552" s="917"/>
      <c r="K2552" s="917"/>
      <c r="L2552" s="917"/>
      <c r="M2552" s="917"/>
      <c r="N2552" s="917"/>
      <c r="O2552" s="917"/>
      <c r="P2552" s="917"/>
      <c r="Q2552" s="917"/>
      <c r="R2552" s="917"/>
      <c r="S2552" s="917"/>
      <c r="T2552" s="917"/>
      <c r="U2552" s="917"/>
      <c r="V2552" s="917"/>
      <c r="W2552" s="917"/>
      <c r="X2552" s="917"/>
      <c r="Y2552" s="917"/>
      <c r="Z2552" s="917"/>
      <c r="AA2552" s="917"/>
      <c r="AB2552" s="917"/>
      <c r="AC2552" s="917"/>
      <c r="AD2552" s="918"/>
      <c r="AE2552" s="1949"/>
      <c r="AF2552" s="1950"/>
      <c r="AG2552" s="1950"/>
      <c r="AH2552" s="1950"/>
      <c r="AI2552" s="1950"/>
      <c r="AJ2552" s="1950"/>
      <c r="AK2552" s="1950"/>
      <c r="AL2552" s="1950"/>
      <c r="AM2552" s="1950"/>
      <c r="AN2552" s="1950"/>
      <c r="AO2552" s="1950"/>
      <c r="AP2552" s="1951"/>
      <c r="AQ2552" s="1949"/>
      <c r="AR2552" s="1950"/>
      <c r="AS2552" s="1950"/>
      <c r="AT2552" s="1950"/>
      <c r="AU2552" s="1950"/>
      <c r="AV2552" s="1950"/>
      <c r="AW2552" s="1950"/>
      <c r="AX2552" s="1950"/>
      <c r="AY2552" s="1950"/>
      <c r="AZ2552" s="1950"/>
      <c r="BA2552" s="1950"/>
      <c r="BB2552" s="1952"/>
      <c r="BC2552" s="1949"/>
      <c r="BD2552" s="1950"/>
      <c r="BE2552" s="1950"/>
      <c r="BF2552" s="1950"/>
      <c r="BG2552" s="1950"/>
      <c r="BH2552" s="1950"/>
      <c r="BI2552" s="1950"/>
      <c r="BJ2552" s="1950"/>
      <c r="BK2552" s="1950"/>
      <c r="BL2552" s="1950"/>
      <c r="BM2552" s="1950"/>
      <c r="BN2552" s="1950"/>
      <c r="BO2552" s="1952"/>
      <c r="BP2552" s="1962"/>
      <c r="BQ2552" s="1950"/>
      <c r="BR2552" s="1950"/>
      <c r="BS2552" s="1950"/>
      <c r="BT2552" s="1950"/>
      <c r="BU2552" s="1950"/>
      <c r="BV2552" s="1950"/>
      <c r="BW2552" s="1950"/>
      <c r="BX2552" s="1950"/>
      <c r="BY2552" s="1950"/>
      <c r="BZ2552" s="1952"/>
      <c r="CA2552" s="270"/>
      <c r="CB2552" s="3" t="str">
        <f t="shared" si="459"/>
        <v>Riadok bude skrytý.</v>
      </c>
      <c r="CC2552" s="271" t="s">
        <v>832</v>
      </c>
      <c r="CW2552" s="32">
        <f t="shared" si="456"/>
        <v>0</v>
      </c>
      <c r="CX2552" s="30">
        <f t="shared" si="457"/>
        <v>0</v>
      </c>
      <c r="CZ2552" s="30">
        <f t="shared" si="460"/>
        <v>1</v>
      </c>
      <c r="DA2552" s="52">
        <f t="shared" si="458"/>
        <v>0</v>
      </c>
      <c r="DB2552" s="140">
        <f t="shared" si="455"/>
        <v>0</v>
      </c>
      <c r="DS2552" s="130">
        <f>SI!BY2552</f>
        <v>169</v>
      </c>
      <c r="DZ2552" s="131">
        <f>SI!BZ2552</f>
        <v>0</v>
      </c>
    </row>
    <row r="2553" spans="1:130" hidden="1" x14ac:dyDescent="0.25">
      <c r="A2553" s="141"/>
      <c r="B2553" s="916"/>
      <c r="C2553" s="917"/>
      <c r="D2553" s="917"/>
      <c r="E2553" s="917"/>
      <c r="F2553" s="917"/>
      <c r="G2553" s="917"/>
      <c r="H2553" s="917"/>
      <c r="I2553" s="917"/>
      <c r="J2553" s="917"/>
      <c r="K2553" s="917"/>
      <c r="L2553" s="917"/>
      <c r="M2553" s="917"/>
      <c r="N2553" s="917"/>
      <c r="O2553" s="917"/>
      <c r="P2553" s="917"/>
      <c r="Q2553" s="917"/>
      <c r="R2553" s="917"/>
      <c r="S2553" s="917"/>
      <c r="T2553" s="917"/>
      <c r="U2553" s="917"/>
      <c r="V2553" s="917"/>
      <c r="W2553" s="917"/>
      <c r="X2553" s="917"/>
      <c r="Y2553" s="917"/>
      <c r="Z2553" s="917"/>
      <c r="AA2553" s="917"/>
      <c r="AB2553" s="917"/>
      <c r="AC2553" s="917"/>
      <c r="AD2553" s="918"/>
      <c r="AE2553" s="1949"/>
      <c r="AF2553" s="1950"/>
      <c r="AG2553" s="1950"/>
      <c r="AH2553" s="1950"/>
      <c r="AI2553" s="1950"/>
      <c r="AJ2553" s="1950"/>
      <c r="AK2553" s="1950"/>
      <c r="AL2553" s="1950"/>
      <c r="AM2553" s="1950"/>
      <c r="AN2553" s="1950"/>
      <c r="AO2553" s="1950"/>
      <c r="AP2553" s="1951"/>
      <c r="AQ2553" s="1949"/>
      <c r="AR2553" s="1950"/>
      <c r="AS2553" s="1950"/>
      <c r="AT2553" s="1950"/>
      <c r="AU2553" s="1950"/>
      <c r="AV2553" s="1950"/>
      <c r="AW2553" s="1950"/>
      <c r="AX2553" s="1950"/>
      <c r="AY2553" s="1950"/>
      <c r="AZ2553" s="1950"/>
      <c r="BA2553" s="1950"/>
      <c r="BB2553" s="1952"/>
      <c r="BC2553" s="1949"/>
      <c r="BD2553" s="1950"/>
      <c r="BE2553" s="1950"/>
      <c r="BF2553" s="1950"/>
      <c r="BG2553" s="1950"/>
      <c r="BH2553" s="1950"/>
      <c r="BI2553" s="1950"/>
      <c r="BJ2553" s="1950"/>
      <c r="BK2553" s="1950"/>
      <c r="BL2553" s="1950"/>
      <c r="BM2553" s="1950"/>
      <c r="BN2553" s="1950"/>
      <c r="BO2553" s="1952"/>
      <c r="BP2553" s="1962"/>
      <c r="BQ2553" s="1950"/>
      <c r="BR2553" s="1950"/>
      <c r="BS2553" s="1950"/>
      <c r="BT2553" s="1950"/>
      <c r="BU2553" s="1950"/>
      <c r="BV2553" s="1950"/>
      <c r="BW2553" s="1950"/>
      <c r="BX2553" s="1950"/>
      <c r="BY2553" s="1950"/>
      <c r="BZ2553" s="1952"/>
      <c r="CA2553" s="270"/>
      <c r="CB2553" s="3" t="str">
        <f t="shared" si="459"/>
        <v>Riadok bude skrytý.</v>
      </c>
      <c r="CC2553" s="271" t="s">
        <v>832</v>
      </c>
      <c r="CW2553" s="32">
        <f t="shared" si="456"/>
        <v>0</v>
      </c>
      <c r="CX2553" s="30">
        <f t="shared" si="457"/>
        <v>0</v>
      </c>
      <c r="CZ2553" s="30">
        <f t="shared" si="460"/>
        <v>1</v>
      </c>
      <c r="DA2553" s="52">
        <f t="shared" si="458"/>
        <v>0</v>
      </c>
      <c r="DB2553" s="140">
        <f t="shared" si="455"/>
        <v>0</v>
      </c>
      <c r="DS2553" s="130">
        <f>SI!BY2553</f>
        <v>165</v>
      </c>
      <c r="DZ2553" s="131">
        <f>SI!BZ2553</f>
        <v>0</v>
      </c>
    </row>
    <row r="2554" spans="1:130" hidden="1" x14ac:dyDescent="0.25">
      <c r="A2554" s="141"/>
      <c r="B2554" s="919"/>
      <c r="C2554" s="920"/>
      <c r="D2554" s="920"/>
      <c r="E2554" s="920"/>
      <c r="F2554" s="920"/>
      <c r="G2554" s="920"/>
      <c r="H2554" s="920"/>
      <c r="I2554" s="920"/>
      <c r="J2554" s="920"/>
      <c r="K2554" s="920"/>
      <c r="L2554" s="920"/>
      <c r="M2554" s="920"/>
      <c r="N2554" s="920"/>
      <c r="O2554" s="920"/>
      <c r="P2554" s="920"/>
      <c r="Q2554" s="920"/>
      <c r="R2554" s="920"/>
      <c r="S2554" s="920"/>
      <c r="T2554" s="920"/>
      <c r="U2554" s="920"/>
      <c r="V2554" s="920"/>
      <c r="W2554" s="920"/>
      <c r="X2554" s="920"/>
      <c r="Y2554" s="920"/>
      <c r="Z2554" s="920"/>
      <c r="AA2554" s="920"/>
      <c r="AB2554" s="920"/>
      <c r="AC2554" s="920"/>
      <c r="AD2554" s="921"/>
      <c r="AE2554" s="1958"/>
      <c r="AF2554" s="1959"/>
      <c r="AG2554" s="1959"/>
      <c r="AH2554" s="1959"/>
      <c r="AI2554" s="1959"/>
      <c r="AJ2554" s="1959"/>
      <c r="AK2554" s="1959"/>
      <c r="AL2554" s="1959"/>
      <c r="AM2554" s="1959"/>
      <c r="AN2554" s="1959"/>
      <c r="AO2554" s="1959"/>
      <c r="AP2554" s="1960"/>
      <c r="AQ2554" s="1958"/>
      <c r="AR2554" s="1959"/>
      <c r="AS2554" s="1959"/>
      <c r="AT2554" s="1959"/>
      <c r="AU2554" s="1959"/>
      <c r="AV2554" s="1959"/>
      <c r="AW2554" s="1959"/>
      <c r="AX2554" s="1959"/>
      <c r="AY2554" s="1959"/>
      <c r="AZ2554" s="1959"/>
      <c r="BA2554" s="1959"/>
      <c r="BB2554" s="1961"/>
      <c r="BC2554" s="1958"/>
      <c r="BD2554" s="1959"/>
      <c r="BE2554" s="1959"/>
      <c r="BF2554" s="1959"/>
      <c r="BG2554" s="1959"/>
      <c r="BH2554" s="1959"/>
      <c r="BI2554" s="1959"/>
      <c r="BJ2554" s="1959"/>
      <c r="BK2554" s="1959"/>
      <c r="BL2554" s="1959"/>
      <c r="BM2554" s="1959"/>
      <c r="BN2554" s="1959"/>
      <c r="BO2554" s="1961"/>
      <c r="BP2554" s="1971"/>
      <c r="BQ2554" s="1959"/>
      <c r="BR2554" s="1959"/>
      <c r="BS2554" s="1959"/>
      <c r="BT2554" s="1959"/>
      <c r="BU2554" s="1959"/>
      <c r="BV2554" s="1959"/>
      <c r="BW2554" s="1959"/>
      <c r="BX2554" s="1959"/>
      <c r="BY2554" s="1959"/>
      <c r="BZ2554" s="1961"/>
      <c r="CA2554" s="270"/>
      <c r="CB2554" s="3" t="str">
        <f t="shared" si="459"/>
        <v>Riadok bude skrytý.</v>
      </c>
      <c r="CC2554" s="271" t="s">
        <v>832</v>
      </c>
      <c r="CW2554" s="32">
        <f t="shared" si="456"/>
        <v>0</v>
      </c>
      <c r="CZ2554" s="30">
        <f t="shared" si="460"/>
        <v>1</v>
      </c>
      <c r="DA2554" s="30">
        <f t="shared" ref="DA2554:DA2572" si="461">+IF(CW2554+CX2554+CY2554=0,0,IF(CZ2554=0,0,1))</f>
        <v>0</v>
      </c>
      <c r="DB2554" s="140">
        <f t="shared" si="455"/>
        <v>0</v>
      </c>
      <c r="DS2554" s="130">
        <f>SI!BY2554</f>
        <v>143</v>
      </c>
      <c r="DZ2554" s="131">
        <f>SI!BZ2554</f>
        <v>0</v>
      </c>
    </row>
    <row r="2555" spans="1:130" hidden="1" x14ac:dyDescent="0.25">
      <c r="A2555" s="141"/>
      <c r="CA2555" s="270"/>
      <c r="CB2555" s="3" t="str">
        <f t="shared" si="459"/>
        <v>Riadok bude skrytý.</v>
      </c>
      <c r="CC2555" s="271" t="s">
        <v>832</v>
      </c>
      <c r="CW2555" s="32">
        <f t="shared" si="456"/>
        <v>0</v>
      </c>
      <c r="CZ2555" s="30">
        <f t="shared" si="460"/>
        <v>1</v>
      </c>
      <c r="DA2555" s="30">
        <f t="shared" si="461"/>
        <v>0</v>
      </c>
      <c r="DB2555" s="140">
        <f t="shared" si="455"/>
        <v>0</v>
      </c>
      <c r="DS2555" s="130">
        <f>SI!BY2555</f>
        <v>124</v>
      </c>
      <c r="DZ2555" s="131">
        <f>SI!BZ2555</f>
        <v>0</v>
      </c>
    </row>
    <row r="2556" spans="1:130" hidden="1" x14ac:dyDescent="0.25">
      <c r="A2556" s="141"/>
      <c r="B2556" s="7" t="str">
        <f>+IF($G$52&lt;&gt;"",IF(ROUNDDOWN(CODE(MID($G$52,1,1))*2,0)*0+(LEN(SI!J2)+LEN(SI!J3))=DS2556,"Informácie o položkách zabezpečených derivátmi:","NEPOVOLENÉ POUŽITIE!"),"NEPOVOLENÉ POUŽITIE!")</f>
        <v>Informácie o položkách zabezpečených derivátmi:</v>
      </c>
      <c r="CA2556" s="265" t="s">
        <v>773</v>
      </c>
      <c r="CB2556" s="3" t="str">
        <f t="shared" si="459"/>
        <v>Riadok bude skrytý.</v>
      </c>
      <c r="CC2556" s="271" t="s">
        <v>832</v>
      </c>
      <c r="CW2556" s="32">
        <f t="shared" si="456"/>
        <v>0</v>
      </c>
      <c r="CZ2556" s="30">
        <f t="shared" si="460"/>
        <v>1</v>
      </c>
      <c r="DA2556" s="30">
        <f t="shared" si="461"/>
        <v>0</v>
      </c>
      <c r="DB2556" s="140">
        <f t="shared" si="455"/>
        <v>0</v>
      </c>
      <c r="DS2556" s="130">
        <f>SI!BY2556</f>
        <v>18</v>
      </c>
      <c r="DZ2556" s="131">
        <f>SI!BZ2556</f>
        <v>0</v>
      </c>
    </row>
    <row r="2557" spans="1:130" hidden="1" x14ac:dyDescent="0.25">
      <c r="A2557" s="141"/>
      <c r="CA2557" s="270"/>
      <c r="CB2557" s="3" t="str">
        <f t="shared" si="459"/>
        <v>Riadok bude skrytý.</v>
      </c>
      <c r="CC2557" s="271" t="s">
        <v>832</v>
      </c>
      <c r="CW2557" s="32">
        <f t="shared" si="456"/>
        <v>0</v>
      </c>
      <c r="CZ2557" s="30">
        <f t="shared" si="460"/>
        <v>1</v>
      </c>
      <c r="DA2557" s="30">
        <f t="shared" si="461"/>
        <v>0</v>
      </c>
      <c r="DB2557" s="140">
        <f t="shared" si="455"/>
        <v>0</v>
      </c>
      <c r="DS2557" s="130">
        <f>SI!BY2557</f>
        <v>171</v>
      </c>
      <c r="DZ2557" s="131">
        <f>SI!BZ2557</f>
        <v>0</v>
      </c>
    </row>
    <row r="2558" spans="1:130" ht="14.95" hidden="1" customHeight="1" x14ac:dyDescent="0.25">
      <c r="A2558" s="141"/>
      <c r="B2558" s="439" t="s">
        <v>321</v>
      </c>
      <c r="C2558" s="440"/>
      <c r="D2558" s="440"/>
      <c r="E2558" s="440"/>
      <c r="F2558" s="440"/>
      <c r="G2558" s="440"/>
      <c r="H2558" s="440"/>
      <c r="I2558" s="440"/>
      <c r="J2558" s="440"/>
      <c r="K2558" s="440"/>
      <c r="L2558" s="440"/>
      <c r="M2558" s="440"/>
      <c r="N2558" s="440"/>
      <c r="O2558" s="440"/>
      <c r="P2558" s="440"/>
      <c r="Q2558" s="440"/>
      <c r="R2558" s="440"/>
      <c r="S2558" s="440"/>
      <c r="T2558" s="440"/>
      <c r="U2558" s="440"/>
      <c r="V2558" s="440"/>
      <c r="W2558" s="440"/>
      <c r="X2558" s="440"/>
      <c r="Y2558" s="440"/>
      <c r="Z2558" s="440"/>
      <c r="AA2558" s="440"/>
      <c r="AB2558" s="440"/>
      <c r="AC2558" s="440"/>
      <c r="AD2558" s="440"/>
      <c r="AE2558" s="440"/>
      <c r="AF2558" s="440"/>
      <c r="AG2558" s="441"/>
      <c r="AH2558" s="2104" t="s">
        <v>320</v>
      </c>
      <c r="AI2558" s="2105"/>
      <c r="AJ2558" s="2105"/>
      <c r="AK2558" s="2105"/>
      <c r="AL2558" s="2105"/>
      <c r="AM2558" s="2105"/>
      <c r="AN2558" s="2105"/>
      <c r="AO2558" s="2105"/>
      <c r="AP2558" s="2105"/>
      <c r="AQ2558" s="2105"/>
      <c r="AR2558" s="2105"/>
      <c r="AS2558" s="2105"/>
      <c r="AT2558" s="2105"/>
      <c r="AU2558" s="2105"/>
      <c r="AV2558" s="2105"/>
      <c r="AW2558" s="2105"/>
      <c r="AX2558" s="2105"/>
      <c r="AY2558" s="2105"/>
      <c r="AZ2558" s="2105"/>
      <c r="BA2558" s="2105"/>
      <c r="BB2558" s="2105"/>
      <c r="BC2558" s="2105"/>
      <c r="BD2558" s="2105"/>
      <c r="BE2558" s="2105"/>
      <c r="BF2558" s="2105"/>
      <c r="BG2558" s="2105"/>
      <c r="BH2558" s="2105"/>
      <c r="BI2558" s="2105"/>
      <c r="BJ2558" s="2105"/>
      <c r="BK2558" s="2105"/>
      <c r="BL2558" s="2105"/>
      <c r="BM2558" s="2105"/>
      <c r="BN2558" s="2105"/>
      <c r="BO2558" s="2105"/>
      <c r="BP2558" s="2105"/>
      <c r="BQ2558" s="2105"/>
      <c r="BR2558" s="2105"/>
      <c r="BS2558" s="2105"/>
      <c r="BT2558" s="2105"/>
      <c r="BU2558" s="2105"/>
      <c r="BV2558" s="2105"/>
      <c r="BW2558" s="2105"/>
      <c r="BX2558" s="2105"/>
      <c r="BY2558" s="2105"/>
      <c r="BZ2558" s="2106"/>
      <c r="CA2558" s="265" t="s">
        <v>773</v>
      </c>
      <c r="CB2558" s="3" t="str">
        <f t="shared" si="459"/>
        <v>Riadok bude skrytý.</v>
      </c>
      <c r="CC2558" s="271" t="s">
        <v>832</v>
      </c>
      <c r="CD2558" s="4"/>
      <c r="CW2558" s="32">
        <f t="shared" si="456"/>
        <v>0</v>
      </c>
      <c r="CZ2558" s="30">
        <f t="shared" si="460"/>
        <v>1</v>
      </c>
      <c r="DA2558" s="30">
        <f t="shared" si="461"/>
        <v>0</v>
      </c>
      <c r="DB2558" s="140">
        <f t="shared" si="455"/>
        <v>0</v>
      </c>
      <c r="DS2558" s="130">
        <f>SI!BY2558</f>
        <v>176</v>
      </c>
      <c r="DZ2558" s="131">
        <f>SI!BZ2558</f>
        <v>0</v>
      </c>
    </row>
    <row r="2559" spans="1:130" ht="27" hidden="1" customHeight="1" x14ac:dyDescent="0.25">
      <c r="A2559" s="141"/>
      <c r="B2559" s="1019"/>
      <c r="C2559" s="1020"/>
      <c r="D2559" s="1020"/>
      <c r="E2559" s="1020"/>
      <c r="F2559" s="1020"/>
      <c r="G2559" s="1020"/>
      <c r="H2559" s="1020"/>
      <c r="I2559" s="1020"/>
      <c r="J2559" s="1020"/>
      <c r="K2559" s="1020"/>
      <c r="L2559" s="1020"/>
      <c r="M2559" s="1020"/>
      <c r="N2559" s="1020"/>
      <c r="O2559" s="1020"/>
      <c r="P2559" s="1020"/>
      <c r="Q2559" s="1020"/>
      <c r="R2559" s="1020"/>
      <c r="S2559" s="1020"/>
      <c r="T2559" s="1020"/>
      <c r="U2559" s="1020"/>
      <c r="V2559" s="1020"/>
      <c r="W2559" s="1020"/>
      <c r="X2559" s="1020"/>
      <c r="Y2559" s="1020"/>
      <c r="Z2559" s="1020"/>
      <c r="AA2559" s="1020"/>
      <c r="AB2559" s="1020"/>
      <c r="AC2559" s="1020"/>
      <c r="AD2559" s="1020"/>
      <c r="AE2559" s="1020"/>
      <c r="AF2559" s="1020"/>
      <c r="AG2559" s="1232"/>
      <c r="AH2559" s="2098">
        <f>+AJ141</f>
        <v>2021</v>
      </c>
      <c r="AI2559" s="2099"/>
      <c r="AJ2559" s="2099"/>
      <c r="AK2559" s="2099"/>
      <c r="AL2559" s="2099"/>
      <c r="AM2559" s="2099"/>
      <c r="AN2559" s="2099"/>
      <c r="AO2559" s="2099"/>
      <c r="AP2559" s="2099"/>
      <c r="AQ2559" s="2099"/>
      <c r="AR2559" s="2099"/>
      <c r="AS2559" s="2099"/>
      <c r="AT2559" s="2099"/>
      <c r="AU2559" s="2099"/>
      <c r="AV2559" s="2099"/>
      <c r="AW2559" s="2099"/>
      <c r="AX2559" s="2099"/>
      <c r="AY2559" s="2099"/>
      <c r="AZ2559" s="2099"/>
      <c r="BA2559" s="2099"/>
      <c r="BB2559" s="2099"/>
      <c r="BC2559" s="2099"/>
      <c r="BD2559" s="2100"/>
      <c r="BE2559" s="2098">
        <f>+BE141</f>
        <v>2020</v>
      </c>
      <c r="BF2559" s="2099"/>
      <c r="BG2559" s="2099"/>
      <c r="BH2559" s="2099"/>
      <c r="BI2559" s="2099"/>
      <c r="BJ2559" s="2099"/>
      <c r="BK2559" s="2099"/>
      <c r="BL2559" s="2099"/>
      <c r="BM2559" s="2099"/>
      <c r="BN2559" s="2099"/>
      <c r="BO2559" s="2099"/>
      <c r="BP2559" s="2099"/>
      <c r="BQ2559" s="2099"/>
      <c r="BR2559" s="2099"/>
      <c r="BS2559" s="2099"/>
      <c r="BT2559" s="2099"/>
      <c r="BU2559" s="2099"/>
      <c r="BV2559" s="2099"/>
      <c r="BW2559" s="2099"/>
      <c r="BX2559" s="2099"/>
      <c r="BY2559" s="2099"/>
      <c r="BZ2559" s="2100"/>
      <c r="CA2559" s="270"/>
      <c r="CB2559" s="3" t="str">
        <f t="shared" si="459"/>
        <v>Riadok bude skrytý.</v>
      </c>
      <c r="CC2559" s="271" t="s">
        <v>832</v>
      </c>
      <c r="CW2559" s="32">
        <f t="shared" si="456"/>
        <v>0</v>
      </c>
      <c r="CZ2559" s="30">
        <f t="shared" si="460"/>
        <v>1</v>
      </c>
      <c r="DA2559" s="30">
        <f t="shared" si="461"/>
        <v>0</v>
      </c>
      <c r="DB2559" s="140">
        <f t="shared" si="455"/>
        <v>0</v>
      </c>
      <c r="DS2559" s="130">
        <f>SI!BY2559</f>
        <v>146</v>
      </c>
      <c r="DZ2559" s="131">
        <f>SI!BZ2559</f>
        <v>0</v>
      </c>
    </row>
    <row r="2560" spans="1:130" hidden="1" x14ac:dyDescent="0.25">
      <c r="A2560" s="141"/>
      <c r="B2560" s="1947" t="s">
        <v>0</v>
      </c>
      <c r="C2560" s="1948"/>
      <c r="D2560" s="1948"/>
      <c r="E2560" s="1948"/>
      <c r="F2560" s="1948"/>
      <c r="G2560" s="1948"/>
      <c r="H2560" s="1948"/>
      <c r="I2560" s="1948"/>
      <c r="J2560" s="1948"/>
      <c r="K2560" s="1948"/>
      <c r="L2560" s="1948"/>
      <c r="M2560" s="1948"/>
      <c r="N2560" s="1948"/>
      <c r="O2560" s="1948"/>
      <c r="P2560" s="1948"/>
      <c r="Q2560" s="1948"/>
      <c r="R2560" s="1948"/>
      <c r="S2560" s="1948"/>
      <c r="T2560" s="1948"/>
      <c r="U2560" s="1948"/>
      <c r="V2560" s="1948"/>
      <c r="W2560" s="1948"/>
      <c r="X2560" s="1948"/>
      <c r="Y2560" s="1948"/>
      <c r="Z2560" s="1948"/>
      <c r="AA2560" s="1948"/>
      <c r="AB2560" s="1948"/>
      <c r="AC2560" s="1948"/>
      <c r="AD2560" s="1948"/>
      <c r="AE2560" s="1948"/>
      <c r="AF2560" s="1948"/>
      <c r="AG2560" s="1963"/>
      <c r="AH2560" s="2101" t="s">
        <v>317</v>
      </c>
      <c r="AI2560" s="2102"/>
      <c r="AJ2560" s="2102"/>
      <c r="AK2560" s="2102"/>
      <c r="AL2560" s="2102"/>
      <c r="AM2560" s="2102"/>
      <c r="AN2560" s="2102"/>
      <c r="AO2560" s="2102"/>
      <c r="AP2560" s="2102"/>
      <c r="AQ2560" s="2102"/>
      <c r="AR2560" s="2102"/>
      <c r="AS2560" s="2102"/>
      <c r="AT2560" s="2102"/>
      <c r="AU2560" s="2102"/>
      <c r="AV2560" s="2102"/>
      <c r="AW2560" s="2102"/>
      <c r="AX2560" s="2102"/>
      <c r="AY2560" s="2102"/>
      <c r="AZ2560" s="2102"/>
      <c r="BA2560" s="2102"/>
      <c r="BB2560" s="2102"/>
      <c r="BC2560" s="2102"/>
      <c r="BD2560" s="2111"/>
      <c r="BE2560" s="2101" t="s">
        <v>2</v>
      </c>
      <c r="BF2560" s="2102"/>
      <c r="BG2560" s="2102"/>
      <c r="BH2560" s="2102"/>
      <c r="BI2560" s="2102"/>
      <c r="BJ2560" s="2102"/>
      <c r="BK2560" s="2102"/>
      <c r="BL2560" s="2102"/>
      <c r="BM2560" s="2102"/>
      <c r="BN2560" s="2102"/>
      <c r="BO2560" s="2102"/>
      <c r="BP2560" s="2102"/>
      <c r="BQ2560" s="2102"/>
      <c r="BR2560" s="2102"/>
      <c r="BS2560" s="2102"/>
      <c r="BT2560" s="2102"/>
      <c r="BU2560" s="2102"/>
      <c r="BV2560" s="2102"/>
      <c r="BW2560" s="2102"/>
      <c r="BX2560" s="2102"/>
      <c r="BY2560" s="2102"/>
      <c r="BZ2560" s="2103"/>
      <c r="CA2560" s="270"/>
      <c r="CB2560" s="3" t="str">
        <f t="shared" si="459"/>
        <v>Riadok bude skrytý.</v>
      </c>
      <c r="CC2560" s="271" t="s">
        <v>832</v>
      </c>
      <c r="CW2560" s="32">
        <f t="shared" si="456"/>
        <v>0</v>
      </c>
      <c r="CZ2560" s="30">
        <f t="shared" si="460"/>
        <v>1</v>
      </c>
      <c r="DA2560" s="30">
        <f t="shared" si="461"/>
        <v>0</v>
      </c>
      <c r="DB2560" s="140">
        <f t="shared" si="455"/>
        <v>0</v>
      </c>
      <c r="DS2560" s="130">
        <f>SI!BY2560</f>
        <v>193</v>
      </c>
      <c r="DZ2560" s="131">
        <f>SI!BZ2560</f>
        <v>0</v>
      </c>
    </row>
    <row r="2561" spans="1:130" hidden="1" x14ac:dyDescent="0.25">
      <c r="A2561" s="141"/>
      <c r="B2561" s="2087" t="s">
        <v>322</v>
      </c>
      <c r="C2561" s="2088"/>
      <c r="D2561" s="2088"/>
      <c r="E2561" s="2088"/>
      <c r="F2561" s="2088"/>
      <c r="G2561" s="2088"/>
      <c r="H2561" s="2088"/>
      <c r="I2561" s="2088"/>
      <c r="J2561" s="2088"/>
      <c r="K2561" s="2088"/>
      <c r="L2561" s="2088"/>
      <c r="M2561" s="2088"/>
      <c r="N2561" s="2088"/>
      <c r="O2561" s="2088"/>
      <c r="P2561" s="2088"/>
      <c r="Q2561" s="2088"/>
      <c r="R2561" s="2088"/>
      <c r="S2561" s="2088"/>
      <c r="T2561" s="2088"/>
      <c r="U2561" s="2088"/>
      <c r="V2561" s="2088"/>
      <c r="W2561" s="2088"/>
      <c r="X2561" s="2088"/>
      <c r="Y2561" s="2088"/>
      <c r="Z2561" s="2088"/>
      <c r="AA2561" s="2088"/>
      <c r="AB2561" s="2088"/>
      <c r="AC2561" s="2088"/>
      <c r="AD2561" s="2088"/>
      <c r="AE2561" s="2088"/>
      <c r="AF2561" s="2088"/>
      <c r="AG2561" s="2089"/>
      <c r="AH2561" s="1054"/>
      <c r="AI2561" s="1055"/>
      <c r="AJ2561" s="1055"/>
      <c r="AK2561" s="1055"/>
      <c r="AL2561" s="1055"/>
      <c r="AM2561" s="1055"/>
      <c r="AN2561" s="1055"/>
      <c r="AO2561" s="1055"/>
      <c r="AP2561" s="1055"/>
      <c r="AQ2561" s="1055"/>
      <c r="AR2561" s="1055"/>
      <c r="AS2561" s="1055"/>
      <c r="AT2561" s="1055"/>
      <c r="AU2561" s="1055"/>
      <c r="AV2561" s="1055"/>
      <c r="AW2561" s="1055"/>
      <c r="AX2561" s="1055"/>
      <c r="AY2561" s="1055"/>
      <c r="AZ2561" s="1055"/>
      <c r="BA2561" s="1055"/>
      <c r="BB2561" s="1055"/>
      <c r="BC2561" s="1055"/>
      <c r="BD2561" s="502"/>
      <c r="BE2561" s="1054"/>
      <c r="BF2561" s="1055"/>
      <c r="BG2561" s="1055"/>
      <c r="BH2561" s="1055"/>
      <c r="BI2561" s="1055"/>
      <c r="BJ2561" s="1055"/>
      <c r="BK2561" s="1055"/>
      <c r="BL2561" s="1055"/>
      <c r="BM2561" s="1055"/>
      <c r="BN2561" s="1055"/>
      <c r="BO2561" s="1055"/>
      <c r="BP2561" s="1055"/>
      <c r="BQ2561" s="1055"/>
      <c r="BR2561" s="1055"/>
      <c r="BS2561" s="1055"/>
      <c r="BT2561" s="1055"/>
      <c r="BU2561" s="1055"/>
      <c r="BV2561" s="1055"/>
      <c r="BW2561" s="1055"/>
      <c r="BX2561" s="1055"/>
      <c r="BY2561" s="1055"/>
      <c r="BZ2561" s="1056"/>
      <c r="CA2561" s="270"/>
      <c r="CB2561" s="3" t="str">
        <f t="shared" si="459"/>
        <v>Riadok bude skrytý.</v>
      </c>
      <c r="CC2561" s="271" t="s">
        <v>832</v>
      </c>
      <c r="CW2561" s="32">
        <f t="shared" si="456"/>
        <v>0</v>
      </c>
      <c r="CZ2561" s="30">
        <f t="shared" si="460"/>
        <v>1</v>
      </c>
      <c r="DA2561" s="30">
        <f t="shared" si="461"/>
        <v>0</v>
      </c>
      <c r="DB2561" s="140">
        <f t="shared" si="455"/>
        <v>0</v>
      </c>
      <c r="DS2561" s="130">
        <f>SI!BY2561</f>
        <v>112</v>
      </c>
      <c r="DZ2561" s="131">
        <f>SI!BZ2561</f>
        <v>0</v>
      </c>
    </row>
    <row r="2562" spans="1:130" hidden="1" x14ac:dyDescent="0.25">
      <c r="A2562" s="141"/>
      <c r="B2562" s="1979" t="s">
        <v>323</v>
      </c>
      <c r="C2562" s="1980"/>
      <c r="D2562" s="1980"/>
      <c r="E2562" s="1980"/>
      <c r="F2562" s="1980"/>
      <c r="G2562" s="1980"/>
      <c r="H2562" s="1980"/>
      <c r="I2562" s="1980"/>
      <c r="J2562" s="1980"/>
      <c r="K2562" s="1980"/>
      <c r="L2562" s="1980"/>
      <c r="M2562" s="1980"/>
      <c r="N2562" s="1980"/>
      <c r="O2562" s="1980"/>
      <c r="P2562" s="1980"/>
      <c r="Q2562" s="1980"/>
      <c r="R2562" s="1980"/>
      <c r="S2562" s="1980"/>
      <c r="T2562" s="1980"/>
      <c r="U2562" s="1980"/>
      <c r="V2562" s="1980"/>
      <c r="W2562" s="1980"/>
      <c r="X2562" s="1980"/>
      <c r="Y2562" s="1980"/>
      <c r="Z2562" s="1980"/>
      <c r="AA2562" s="1980"/>
      <c r="AB2562" s="1980"/>
      <c r="AC2562" s="1980"/>
      <c r="AD2562" s="1980"/>
      <c r="AE2562" s="1980"/>
      <c r="AF2562" s="1980"/>
      <c r="AG2562" s="1981"/>
      <c r="AH2562" s="363"/>
      <c r="AI2562" s="364"/>
      <c r="AJ2562" s="364"/>
      <c r="AK2562" s="364"/>
      <c r="AL2562" s="364"/>
      <c r="AM2562" s="364"/>
      <c r="AN2562" s="364"/>
      <c r="AO2562" s="364"/>
      <c r="AP2562" s="364"/>
      <c r="AQ2562" s="364"/>
      <c r="AR2562" s="364"/>
      <c r="AS2562" s="364"/>
      <c r="AT2562" s="364"/>
      <c r="AU2562" s="364"/>
      <c r="AV2562" s="364"/>
      <c r="AW2562" s="364"/>
      <c r="AX2562" s="364"/>
      <c r="AY2562" s="364"/>
      <c r="AZ2562" s="364"/>
      <c r="BA2562" s="364"/>
      <c r="BB2562" s="364"/>
      <c r="BC2562" s="364"/>
      <c r="BD2562" s="475"/>
      <c r="BE2562" s="363"/>
      <c r="BF2562" s="364"/>
      <c r="BG2562" s="364"/>
      <c r="BH2562" s="364"/>
      <c r="BI2562" s="364"/>
      <c r="BJ2562" s="364"/>
      <c r="BK2562" s="364"/>
      <c r="BL2562" s="364"/>
      <c r="BM2562" s="364"/>
      <c r="BN2562" s="364"/>
      <c r="BO2562" s="364"/>
      <c r="BP2562" s="364"/>
      <c r="BQ2562" s="364"/>
      <c r="BR2562" s="364"/>
      <c r="BS2562" s="364"/>
      <c r="BT2562" s="364"/>
      <c r="BU2562" s="364"/>
      <c r="BV2562" s="364"/>
      <c r="BW2562" s="364"/>
      <c r="BX2562" s="364"/>
      <c r="BY2562" s="364"/>
      <c r="BZ2562" s="387"/>
      <c r="CA2562" s="270"/>
      <c r="CB2562" s="3" t="str">
        <f t="shared" si="459"/>
        <v>Riadok bude skrytý.</v>
      </c>
      <c r="CC2562" s="271" t="s">
        <v>832</v>
      </c>
      <c r="CW2562" s="32">
        <f t="shared" si="456"/>
        <v>0</v>
      </c>
      <c r="CZ2562" s="30">
        <f t="shared" si="460"/>
        <v>1</v>
      </c>
      <c r="DA2562" s="30">
        <f t="shared" si="461"/>
        <v>0</v>
      </c>
      <c r="DB2562" s="140">
        <f t="shared" si="455"/>
        <v>0</v>
      </c>
      <c r="DS2562" s="130">
        <f>SI!BY2562</f>
        <v>203</v>
      </c>
      <c r="DZ2562" s="131">
        <f>SI!BZ2562</f>
        <v>0</v>
      </c>
    </row>
    <row r="2563" spans="1:130" hidden="1" x14ac:dyDescent="0.25">
      <c r="A2563" s="141"/>
      <c r="B2563" s="1972" t="s">
        <v>324</v>
      </c>
      <c r="C2563" s="1973"/>
      <c r="D2563" s="1973"/>
      <c r="E2563" s="1973"/>
      <c r="F2563" s="1973"/>
      <c r="G2563" s="1973"/>
      <c r="H2563" s="1973"/>
      <c r="I2563" s="1973"/>
      <c r="J2563" s="1973"/>
      <c r="K2563" s="1973"/>
      <c r="L2563" s="1973"/>
      <c r="M2563" s="1973"/>
      <c r="N2563" s="1973"/>
      <c r="O2563" s="1973"/>
      <c r="P2563" s="1973"/>
      <c r="Q2563" s="1973"/>
      <c r="R2563" s="1973"/>
      <c r="S2563" s="1973"/>
      <c r="T2563" s="1973"/>
      <c r="U2563" s="1973"/>
      <c r="V2563" s="1973"/>
      <c r="W2563" s="1973"/>
      <c r="X2563" s="1973"/>
      <c r="Y2563" s="1973"/>
      <c r="Z2563" s="1973"/>
      <c r="AA2563" s="1973"/>
      <c r="AB2563" s="1973"/>
      <c r="AC2563" s="1973"/>
      <c r="AD2563" s="1973"/>
      <c r="AE2563" s="1973"/>
      <c r="AF2563" s="1973"/>
      <c r="AG2563" s="1974"/>
      <c r="AH2563" s="363"/>
      <c r="AI2563" s="364"/>
      <c r="AJ2563" s="364"/>
      <c r="AK2563" s="364"/>
      <c r="AL2563" s="364"/>
      <c r="AM2563" s="364"/>
      <c r="AN2563" s="364"/>
      <c r="AO2563" s="364"/>
      <c r="AP2563" s="364"/>
      <c r="AQ2563" s="364"/>
      <c r="AR2563" s="364"/>
      <c r="AS2563" s="364"/>
      <c r="AT2563" s="364"/>
      <c r="AU2563" s="364"/>
      <c r="AV2563" s="364"/>
      <c r="AW2563" s="364"/>
      <c r="AX2563" s="364"/>
      <c r="AY2563" s="364"/>
      <c r="AZ2563" s="364"/>
      <c r="BA2563" s="364"/>
      <c r="BB2563" s="364"/>
      <c r="BC2563" s="364"/>
      <c r="BD2563" s="475"/>
      <c r="BE2563" s="363"/>
      <c r="BF2563" s="364"/>
      <c r="BG2563" s="364"/>
      <c r="BH2563" s="364"/>
      <c r="BI2563" s="364"/>
      <c r="BJ2563" s="364"/>
      <c r="BK2563" s="364"/>
      <c r="BL2563" s="364"/>
      <c r="BM2563" s="364"/>
      <c r="BN2563" s="364"/>
      <c r="BO2563" s="364"/>
      <c r="BP2563" s="364"/>
      <c r="BQ2563" s="364"/>
      <c r="BR2563" s="364"/>
      <c r="BS2563" s="364"/>
      <c r="BT2563" s="364"/>
      <c r="BU2563" s="364"/>
      <c r="BV2563" s="364"/>
      <c r="BW2563" s="364"/>
      <c r="BX2563" s="364"/>
      <c r="BY2563" s="364"/>
      <c r="BZ2563" s="387"/>
      <c r="CA2563" s="270"/>
      <c r="CB2563" s="3" t="str">
        <f t="shared" si="459"/>
        <v>Riadok bude skrytý.</v>
      </c>
      <c r="CC2563" s="271" t="s">
        <v>832</v>
      </c>
      <c r="CW2563" s="32">
        <f t="shared" si="456"/>
        <v>0</v>
      </c>
      <c r="CZ2563" s="30">
        <f t="shared" si="460"/>
        <v>1</v>
      </c>
      <c r="DA2563" s="30">
        <f t="shared" si="461"/>
        <v>0</v>
      </c>
      <c r="DB2563" s="140">
        <f t="shared" si="455"/>
        <v>0</v>
      </c>
      <c r="DS2563" s="130">
        <f>SI!BY2563</f>
        <v>127</v>
      </c>
      <c r="DZ2563" s="131">
        <f>SI!BZ2563</f>
        <v>0</v>
      </c>
    </row>
    <row r="2564" spans="1:130" ht="23.95" hidden="1" customHeight="1" x14ac:dyDescent="0.25">
      <c r="A2564" s="141"/>
      <c r="B2564" s="2090" t="s">
        <v>325</v>
      </c>
      <c r="C2564" s="2091"/>
      <c r="D2564" s="2091"/>
      <c r="E2564" s="2091"/>
      <c r="F2564" s="2091"/>
      <c r="G2564" s="2091"/>
      <c r="H2564" s="2091"/>
      <c r="I2564" s="2091"/>
      <c r="J2564" s="2091"/>
      <c r="K2564" s="2091"/>
      <c r="L2564" s="2091"/>
      <c r="M2564" s="2091"/>
      <c r="N2564" s="2091"/>
      <c r="O2564" s="2091"/>
      <c r="P2564" s="2091"/>
      <c r="Q2564" s="2091"/>
      <c r="R2564" s="2091"/>
      <c r="S2564" s="2091"/>
      <c r="T2564" s="2091"/>
      <c r="U2564" s="2091"/>
      <c r="V2564" s="2091"/>
      <c r="W2564" s="2091"/>
      <c r="X2564" s="2091"/>
      <c r="Y2564" s="2091"/>
      <c r="Z2564" s="2091"/>
      <c r="AA2564" s="2091"/>
      <c r="AB2564" s="2091"/>
      <c r="AC2564" s="2091"/>
      <c r="AD2564" s="2091"/>
      <c r="AE2564" s="2091"/>
      <c r="AF2564" s="2091"/>
      <c r="AG2564" s="2092"/>
      <c r="AH2564" s="459"/>
      <c r="AI2564" s="461"/>
      <c r="AJ2564" s="461"/>
      <c r="AK2564" s="461"/>
      <c r="AL2564" s="461"/>
      <c r="AM2564" s="461"/>
      <c r="AN2564" s="461"/>
      <c r="AO2564" s="461"/>
      <c r="AP2564" s="461"/>
      <c r="AQ2564" s="461"/>
      <c r="AR2564" s="461"/>
      <c r="AS2564" s="461"/>
      <c r="AT2564" s="461"/>
      <c r="AU2564" s="461"/>
      <c r="AV2564" s="461"/>
      <c r="AW2564" s="461"/>
      <c r="AX2564" s="461"/>
      <c r="AY2564" s="461"/>
      <c r="AZ2564" s="461"/>
      <c r="BA2564" s="461"/>
      <c r="BB2564" s="461"/>
      <c r="BC2564" s="461"/>
      <c r="BD2564" s="462"/>
      <c r="BE2564" s="459"/>
      <c r="BF2564" s="461"/>
      <c r="BG2564" s="461"/>
      <c r="BH2564" s="461"/>
      <c r="BI2564" s="461"/>
      <c r="BJ2564" s="461"/>
      <c r="BK2564" s="461"/>
      <c r="BL2564" s="461"/>
      <c r="BM2564" s="461"/>
      <c r="BN2564" s="461"/>
      <c r="BO2564" s="461"/>
      <c r="BP2564" s="461"/>
      <c r="BQ2564" s="461"/>
      <c r="BR2564" s="461"/>
      <c r="BS2564" s="461"/>
      <c r="BT2564" s="461"/>
      <c r="BU2564" s="461"/>
      <c r="BV2564" s="461"/>
      <c r="BW2564" s="461"/>
      <c r="BX2564" s="461"/>
      <c r="BY2564" s="461"/>
      <c r="BZ2564" s="1610"/>
      <c r="CA2564" s="270"/>
      <c r="CB2564" s="3" t="str">
        <f t="shared" si="459"/>
        <v>Riadok bude skrytý.</v>
      </c>
      <c r="CC2564" s="271" t="s">
        <v>832</v>
      </c>
      <c r="CW2564" s="32">
        <f t="shared" si="456"/>
        <v>0</v>
      </c>
      <c r="CZ2564" s="30">
        <f t="shared" si="460"/>
        <v>1</v>
      </c>
      <c r="DA2564" s="30">
        <f t="shared" si="461"/>
        <v>0</v>
      </c>
      <c r="DB2564" s="140">
        <f t="shared" si="455"/>
        <v>0</v>
      </c>
      <c r="DS2564" s="130">
        <f>SI!BY2564</f>
        <v>111</v>
      </c>
      <c r="DZ2564" s="131">
        <f>SI!BZ2564</f>
        <v>0</v>
      </c>
    </row>
    <row r="2565" spans="1:130" hidden="1" x14ac:dyDescent="0.25">
      <c r="A2565" s="141"/>
      <c r="B2565" s="401" t="s">
        <v>45</v>
      </c>
      <c r="C2565" s="402"/>
      <c r="D2565" s="402"/>
      <c r="E2565" s="402"/>
      <c r="F2565" s="402"/>
      <c r="G2565" s="402"/>
      <c r="H2565" s="402"/>
      <c r="I2565" s="402"/>
      <c r="J2565" s="402"/>
      <c r="K2565" s="402"/>
      <c r="L2565" s="402"/>
      <c r="M2565" s="402"/>
      <c r="N2565" s="402"/>
      <c r="O2565" s="402"/>
      <c r="P2565" s="402"/>
      <c r="Q2565" s="402"/>
      <c r="R2565" s="402"/>
      <c r="S2565" s="402"/>
      <c r="T2565" s="402"/>
      <c r="U2565" s="402"/>
      <c r="V2565" s="402"/>
      <c r="W2565" s="402"/>
      <c r="X2565" s="402"/>
      <c r="Y2565" s="402"/>
      <c r="Z2565" s="402"/>
      <c r="AA2565" s="402"/>
      <c r="AB2565" s="402"/>
      <c r="AC2565" s="402"/>
      <c r="AD2565" s="402"/>
      <c r="AE2565" s="402"/>
      <c r="AF2565" s="402"/>
      <c r="AG2565" s="776"/>
      <c r="AH2565" s="2107">
        <f>+SUM(AH2561:BD2564)</f>
        <v>0</v>
      </c>
      <c r="AI2565" s="2108"/>
      <c r="AJ2565" s="2108"/>
      <c r="AK2565" s="2108"/>
      <c r="AL2565" s="2108"/>
      <c r="AM2565" s="2108"/>
      <c r="AN2565" s="2108"/>
      <c r="AO2565" s="2108"/>
      <c r="AP2565" s="2108"/>
      <c r="AQ2565" s="2108"/>
      <c r="AR2565" s="2108"/>
      <c r="AS2565" s="2108"/>
      <c r="AT2565" s="2108"/>
      <c r="AU2565" s="2108"/>
      <c r="AV2565" s="2108"/>
      <c r="AW2565" s="2108"/>
      <c r="AX2565" s="2108"/>
      <c r="AY2565" s="2108"/>
      <c r="AZ2565" s="2108"/>
      <c r="BA2565" s="2108"/>
      <c r="BB2565" s="2108"/>
      <c r="BC2565" s="2108"/>
      <c r="BD2565" s="2109"/>
      <c r="BE2565" s="2107">
        <f>+SUM(BE2561:BZ2564)</f>
        <v>0</v>
      </c>
      <c r="BF2565" s="2108"/>
      <c r="BG2565" s="2108"/>
      <c r="BH2565" s="2108"/>
      <c r="BI2565" s="2108"/>
      <c r="BJ2565" s="2108"/>
      <c r="BK2565" s="2108"/>
      <c r="BL2565" s="2108"/>
      <c r="BM2565" s="2108"/>
      <c r="BN2565" s="2108"/>
      <c r="BO2565" s="2108"/>
      <c r="BP2565" s="2108"/>
      <c r="BQ2565" s="2108"/>
      <c r="BR2565" s="2108"/>
      <c r="BS2565" s="2108"/>
      <c r="BT2565" s="2108"/>
      <c r="BU2565" s="2108"/>
      <c r="BV2565" s="2108"/>
      <c r="BW2565" s="2108"/>
      <c r="BX2565" s="2108"/>
      <c r="BY2565" s="2108"/>
      <c r="BZ2565" s="2110"/>
      <c r="CA2565" s="270"/>
      <c r="CB2565" s="3" t="str">
        <f t="shared" si="459"/>
        <v>Riadok bude skrytý.</v>
      </c>
      <c r="CC2565" s="271" t="s">
        <v>832</v>
      </c>
      <c r="CW2565" s="32">
        <f t="shared" si="456"/>
        <v>0</v>
      </c>
      <c r="CZ2565" s="30">
        <f t="shared" si="460"/>
        <v>1</v>
      </c>
      <c r="DA2565" s="30">
        <f t="shared" si="461"/>
        <v>0</v>
      </c>
      <c r="DB2565" s="140">
        <f t="shared" si="455"/>
        <v>0</v>
      </c>
      <c r="DS2565" s="130">
        <f>SI!BY2565</f>
        <v>193</v>
      </c>
      <c r="DZ2565" s="131">
        <f>SI!BZ2565</f>
        <v>0</v>
      </c>
    </row>
    <row r="2566" spans="1:130" x14ac:dyDescent="0.25">
      <c r="A2566" s="141"/>
      <c r="CA2566" s="142"/>
      <c r="CB2566" s="3" t="str">
        <f t="shared" si="459"/>
        <v>Riadok bude vidieť.</v>
      </c>
      <c r="CC2566" s="271" t="s">
        <v>832</v>
      </c>
      <c r="CW2566" s="49">
        <v>1</v>
      </c>
      <c r="CZ2566" s="30">
        <f t="shared" si="460"/>
        <v>1</v>
      </c>
      <c r="DA2566" s="30">
        <f t="shared" si="461"/>
        <v>1</v>
      </c>
      <c r="DB2566" s="140">
        <f t="shared" si="455"/>
        <v>1</v>
      </c>
      <c r="DS2566" s="130">
        <f>SI!BY2566</f>
        <v>176</v>
      </c>
      <c r="DZ2566" s="131">
        <f>SI!BZ2566</f>
        <v>0</v>
      </c>
    </row>
    <row r="2567" spans="1:130" ht="17" hidden="1" thickBot="1" x14ac:dyDescent="0.35">
      <c r="A2567" s="141"/>
      <c r="B2567" s="21"/>
      <c r="C2567" s="268"/>
      <c r="D2567" s="268"/>
      <c r="E2567" s="22" t="str">
        <f>+IF($Q$52&lt;&gt;"",IF((CODE(MID($Q$52,1,1)))*(GCD(121,132))*0+(LEN(SI!J5)+LEN(SI!J6))=DS2567,"Informácie o výnosoch","NEPOVOLENÉ POUŽITIE!"),"NEPOVOLENÉ POUŽITIE!")</f>
        <v>Informácie o výnosoch</v>
      </c>
      <c r="F2567" s="268"/>
      <c r="G2567" s="125"/>
      <c r="H2567" s="22"/>
      <c r="I2567" s="268"/>
      <c r="J2567" s="268"/>
      <c r="K2567" s="268"/>
      <c r="L2567" s="268"/>
      <c r="M2567" s="268"/>
      <c r="N2567" s="268"/>
      <c r="O2567" s="268"/>
      <c r="P2567" s="268"/>
      <c r="Q2567" s="268"/>
      <c r="R2567" s="268"/>
      <c r="S2567" s="268"/>
      <c r="T2567" s="268"/>
      <c r="U2567" s="268"/>
      <c r="V2567" s="268"/>
      <c r="W2567" s="268"/>
      <c r="X2567" s="268"/>
      <c r="Y2567" s="268"/>
      <c r="Z2567" s="268"/>
      <c r="AA2567" s="268"/>
      <c r="AB2567" s="268"/>
      <c r="AC2567" s="268"/>
      <c r="AD2567" s="268"/>
      <c r="AE2567" s="268"/>
      <c r="AF2567" s="268"/>
      <c r="AG2567" s="268"/>
      <c r="AH2567" s="268"/>
      <c r="AI2567" s="268"/>
      <c r="AJ2567" s="268"/>
      <c r="AK2567" s="276"/>
      <c r="AL2567" s="276"/>
      <c r="AM2567" s="276"/>
      <c r="AN2567" s="276"/>
      <c r="AO2567" s="276"/>
      <c r="AP2567" s="276"/>
      <c r="AQ2567" s="276"/>
      <c r="AR2567" s="276"/>
      <c r="AS2567" s="276"/>
      <c r="AT2567" s="276"/>
      <c r="AU2567" s="276"/>
      <c r="AV2567" s="276"/>
      <c r="AW2567" s="276"/>
      <c r="AX2567" s="276"/>
      <c r="AY2567" s="276"/>
      <c r="AZ2567" s="276"/>
      <c r="BA2567" s="276"/>
      <c r="BB2567" s="276"/>
      <c r="BC2567" s="276"/>
      <c r="BD2567" s="932" t="str">
        <f>SI!J2</f>
        <v>Resumo s.r.o.</v>
      </c>
      <c r="BE2567" s="932"/>
      <c r="BF2567" s="932"/>
      <c r="BG2567" s="932"/>
      <c r="BH2567" s="932"/>
      <c r="BI2567" s="932"/>
      <c r="BJ2567" s="932"/>
      <c r="BK2567" s="932"/>
      <c r="BL2567" s="932"/>
      <c r="BM2567" s="932"/>
      <c r="BN2567" s="932"/>
      <c r="BO2567" s="932"/>
      <c r="BP2567" s="932"/>
      <c r="BQ2567" s="932"/>
      <c r="BR2567" s="932"/>
      <c r="BS2567" s="932"/>
      <c r="BT2567" s="932"/>
      <c r="BU2567" s="932"/>
      <c r="BV2567" s="932"/>
      <c r="BW2567" s="932"/>
      <c r="BX2567" s="932"/>
      <c r="BY2567" s="932"/>
      <c r="BZ2567" s="933"/>
      <c r="CA2567" s="265" t="s">
        <v>773</v>
      </c>
      <c r="CB2567" s="3" t="str">
        <f t="shared" si="459"/>
        <v>Riadok bude skrytý.</v>
      </c>
      <c r="CW2567" s="49">
        <v>1</v>
      </c>
      <c r="CZ2567" s="30">
        <f t="shared" si="460"/>
        <v>1</v>
      </c>
      <c r="DA2567" s="30">
        <f t="shared" si="461"/>
        <v>1</v>
      </c>
      <c r="DB2567" s="2">
        <f t="shared" ref="DB2567:DB2630" si="462">+IF($CD$1="malé",0,DA2567)</f>
        <v>0</v>
      </c>
      <c r="DS2567" s="130">
        <f>SI!BY2567</f>
        <v>20</v>
      </c>
      <c r="DZ2567" s="131">
        <f>SI!BZ2567</f>
        <v>0</v>
      </c>
    </row>
    <row r="2568" spans="1:130" hidden="1" x14ac:dyDescent="0.25">
      <c r="A2568" s="141"/>
      <c r="CA2568" s="142"/>
      <c r="CB2568" s="3" t="str">
        <f t="shared" si="459"/>
        <v>Riadok bude skrytý.</v>
      </c>
      <c r="CW2568" s="49">
        <v>1</v>
      </c>
      <c r="CZ2568" s="30">
        <f t="shared" si="460"/>
        <v>1</v>
      </c>
      <c r="DA2568" s="30">
        <f t="shared" si="461"/>
        <v>1</v>
      </c>
      <c r="DB2568" s="2">
        <f t="shared" si="462"/>
        <v>0</v>
      </c>
      <c r="DS2568" s="130">
        <f>SI!BY2568</f>
        <v>177</v>
      </c>
      <c r="DZ2568" s="131">
        <f>SI!BZ2568</f>
        <v>0</v>
      </c>
    </row>
    <row r="2569" spans="1:130" hidden="1" x14ac:dyDescent="0.25">
      <c r="A2569" s="141"/>
      <c r="B2569" s="289" t="s">
        <v>94</v>
      </c>
      <c r="C2569" s="288"/>
      <c r="D2569" s="288"/>
      <c r="E2569" s="288"/>
      <c r="F2569" s="288"/>
      <c r="G2569" s="289" t="s">
        <v>327</v>
      </c>
      <c r="H2569" s="289"/>
      <c r="I2569" s="288"/>
      <c r="J2569" s="288"/>
      <c r="K2569" s="288"/>
      <c r="L2569" s="288"/>
      <c r="M2569" s="288"/>
      <c r="N2569" s="288"/>
      <c r="O2569" s="288"/>
      <c r="P2569" s="288"/>
      <c r="Q2569" s="288"/>
      <c r="R2569" s="288"/>
      <c r="S2569" s="288"/>
      <c r="T2569" s="288"/>
      <c r="U2569" s="288"/>
      <c r="V2569" s="288"/>
      <c r="W2569" s="288"/>
      <c r="X2569" s="288"/>
      <c r="Y2569" s="288"/>
      <c r="Z2569" s="288"/>
      <c r="AA2569" s="288"/>
      <c r="AB2569" s="288"/>
      <c r="AC2569" s="288"/>
      <c r="AD2569" s="288"/>
      <c r="AE2569" s="288"/>
      <c r="AF2569" s="288"/>
      <c r="AG2569" s="288"/>
      <c r="AH2569" s="288"/>
      <c r="AI2569" s="288"/>
      <c r="AJ2569" s="288"/>
      <c r="AK2569" s="288"/>
      <c r="AL2569" s="288"/>
      <c r="AM2569" s="288"/>
      <c r="AN2569" s="288"/>
      <c r="AO2569" s="288"/>
      <c r="AP2569" s="288"/>
      <c r="AQ2569" s="288"/>
      <c r="AR2569" s="288"/>
      <c r="AS2569" s="288"/>
      <c r="AT2569" s="288"/>
      <c r="AU2569" s="288"/>
      <c r="AV2569" s="288"/>
      <c r="AW2569" s="288"/>
      <c r="AX2569" s="288"/>
      <c r="AY2569" s="288"/>
      <c r="AZ2569" s="288"/>
      <c r="BA2569" s="288"/>
      <c r="BB2569" s="288"/>
      <c r="BC2569" s="288"/>
      <c r="BD2569" s="288"/>
      <c r="BE2569" s="288"/>
      <c r="BF2569" s="288"/>
      <c r="BG2569" s="288"/>
      <c r="BH2569" s="288"/>
      <c r="BI2569" s="288"/>
      <c r="BJ2569" s="288"/>
      <c r="BK2569" s="288"/>
      <c r="BL2569" s="288"/>
      <c r="BM2569" s="288"/>
      <c r="BN2569" s="288"/>
      <c r="BO2569" s="288"/>
      <c r="BP2569" s="288"/>
      <c r="BQ2569" s="288"/>
      <c r="BR2569" s="288"/>
      <c r="BS2569" s="288"/>
      <c r="BT2569" s="288"/>
      <c r="BU2569" s="288"/>
      <c r="BV2569" s="288"/>
      <c r="BW2569" s="288"/>
      <c r="BX2569" s="288"/>
      <c r="BY2569" s="288"/>
      <c r="BZ2569" s="288"/>
      <c r="CA2569" s="142"/>
      <c r="CB2569" s="3" t="str">
        <f t="shared" si="459"/>
        <v>Riadok bude skrytý.</v>
      </c>
      <c r="CW2569" s="49">
        <v>1</v>
      </c>
      <c r="CZ2569" s="30">
        <f t="shared" si="460"/>
        <v>1</v>
      </c>
      <c r="DA2569" s="30">
        <f t="shared" si="461"/>
        <v>1</v>
      </c>
      <c r="DB2569" s="2">
        <f t="shared" si="462"/>
        <v>0</v>
      </c>
      <c r="DS2569" s="130">
        <f>SI!BY2569</f>
        <v>176</v>
      </c>
      <c r="DZ2569" s="131">
        <f>SI!BZ2569</f>
        <v>0</v>
      </c>
    </row>
    <row r="2570" spans="1:130" hidden="1" x14ac:dyDescent="0.25">
      <c r="A2570" s="141"/>
      <c r="B2570" s="7"/>
      <c r="G2570" s="7"/>
      <c r="H2570" s="7"/>
      <c r="CA2570" s="142"/>
      <c r="CB2570" s="3" t="str">
        <f t="shared" si="459"/>
        <v>Riadok bude skrytý.</v>
      </c>
      <c r="CW2570" s="49">
        <v>1</v>
      </c>
      <c r="CZ2570" s="30">
        <f t="shared" si="460"/>
        <v>1</v>
      </c>
      <c r="DA2570" s="30">
        <f t="shared" si="461"/>
        <v>1</v>
      </c>
      <c r="DB2570" s="2">
        <f t="shared" si="462"/>
        <v>0</v>
      </c>
      <c r="DS2570" s="130">
        <f>SI!BY2570</f>
        <v>207</v>
      </c>
      <c r="DZ2570" s="131">
        <f>SI!BZ2570</f>
        <v>0</v>
      </c>
    </row>
    <row r="2571" spans="1:130" hidden="1" x14ac:dyDescent="0.25">
      <c r="A2571" s="141"/>
      <c r="B2571" s="137" t="s">
        <v>208</v>
      </c>
      <c r="J2571" s="378" t="s">
        <v>873</v>
      </c>
      <c r="K2571" s="378"/>
      <c r="L2571" s="378"/>
      <c r="M2571" s="378"/>
      <c r="N2571" s="378"/>
      <c r="O2571" s="378"/>
      <c r="P2571" s="378"/>
      <c r="Q2571" s="378"/>
      <c r="R2571" s="378"/>
      <c r="S2571" s="378"/>
      <c r="T2571" s="378"/>
      <c r="U2571" s="137" t="str">
        <f>+IF($U$52&lt;&gt;"",IF((ROUNDDOWN(CODE(MID($U$52,1,1)),0)-(BIN2DEC(1010)/10))*(IF(SI!EE2571="",1,SI!EE2571-1-1-1))+(LEN(SI!J2)+LEN(SI!J5))=DS2571,"tržby za vlastné výkony a tovar.","NEPOVOLENÉ POUŽITIE!"),"NEPOVOLENÉ POUŽITIE!")</f>
        <v>tržby za vlastné výkony a tovar.</v>
      </c>
      <c r="V2571" s="38"/>
      <c r="W2571" s="38"/>
      <c r="X2571" s="38"/>
      <c r="CA2571" s="142"/>
      <c r="CB2571" s="3" t="str">
        <f t="shared" si="459"/>
        <v>Riadok bude skrytý.</v>
      </c>
      <c r="CC2571" s="271" t="s">
        <v>832</v>
      </c>
      <c r="CF2571" s="13"/>
      <c r="CW2571" s="49">
        <v>1</v>
      </c>
      <c r="CZ2571" s="30">
        <f t="shared" si="460"/>
        <v>1</v>
      </c>
      <c r="DA2571" s="30">
        <f t="shared" si="461"/>
        <v>1</v>
      </c>
      <c r="DB2571" s="2">
        <f t="shared" si="462"/>
        <v>0</v>
      </c>
      <c r="DS2571" s="130">
        <f>SI!BY2571</f>
        <v>28</v>
      </c>
      <c r="DZ2571" s="131">
        <f>SI!BZ2571</f>
        <v>0</v>
      </c>
    </row>
    <row r="2572" spans="1:130" hidden="1" x14ac:dyDescent="0.25">
      <c r="A2572" s="141"/>
      <c r="B2572" s="137" t="str">
        <f>+IF($I$52&lt;&gt;"",IF((ROUNDDOWN(CODE(MID($I$52,1,1))*3,0)+DAY(36167))*0+(2*LEN(SI!J3))=DS2572,IF(J2571="dosahovala","K tržbám za vlastné výkony a tovar Spoločnosť uvádza nasledujúce údaje:","Spoločnosť nemá pre túto časť poznámok obsahovú náplň."),"NEPOVOLENÉ POUŽITIE!"),"NEPOVOLENÉ POUŽITIE!")</f>
        <v>K tržbám za vlastné výkony a tovar Spoločnosť uvádza nasledujúce údaje:</v>
      </c>
      <c r="CA2572" s="270"/>
      <c r="CB2572" s="3" t="str">
        <f t="shared" si="459"/>
        <v>Riadok bude skrytý.</v>
      </c>
      <c r="CC2572" s="271" t="s">
        <v>832</v>
      </c>
      <c r="CW2572" s="32">
        <f>+IF($J$2571="nedosahovala",1,1)</f>
        <v>1</v>
      </c>
      <c r="CZ2572" s="30">
        <f t="shared" si="460"/>
        <v>1</v>
      </c>
      <c r="DA2572" s="30">
        <f t="shared" si="461"/>
        <v>1</v>
      </c>
      <c r="DB2572" s="2">
        <f t="shared" si="462"/>
        <v>0</v>
      </c>
      <c r="DS2572" s="130">
        <f>SI!BY2572</f>
        <v>10</v>
      </c>
      <c r="DZ2572" s="131">
        <f>SI!BZ2572</f>
        <v>0</v>
      </c>
    </row>
    <row r="2573" spans="1:130" hidden="1" x14ac:dyDescent="0.25">
      <c r="A2573" s="141"/>
      <c r="B2573" s="379"/>
      <c r="C2573" s="379"/>
      <c r="D2573" s="379"/>
      <c r="E2573" s="379"/>
      <c r="F2573" s="379"/>
      <c r="G2573" s="379"/>
      <c r="H2573" s="379"/>
      <c r="I2573" s="379"/>
      <c r="J2573" s="379"/>
      <c r="K2573" s="379"/>
      <c r="L2573" s="379"/>
      <c r="M2573" s="379"/>
      <c r="N2573" s="379"/>
      <c r="O2573" s="379"/>
      <c r="P2573" s="379"/>
      <c r="Q2573" s="379"/>
      <c r="R2573" s="379"/>
      <c r="S2573" s="379"/>
      <c r="T2573" s="379"/>
      <c r="U2573" s="379"/>
      <c r="V2573" s="379"/>
      <c r="W2573" s="379"/>
      <c r="X2573" s="379"/>
      <c r="Y2573" s="379"/>
      <c r="Z2573" s="379"/>
      <c r="AA2573" s="379"/>
      <c r="AB2573" s="379"/>
      <c r="AC2573" s="379"/>
      <c r="AD2573" s="379"/>
      <c r="AE2573" s="379"/>
      <c r="AF2573" s="379"/>
      <c r="AG2573" s="379"/>
      <c r="AH2573" s="379"/>
      <c r="AI2573" s="379"/>
      <c r="AJ2573" s="379"/>
      <c r="AK2573" s="379"/>
      <c r="AL2573" s="379"/>
      <c r="AM2573" s="379"/>
      <c r="AN2573" s="379"/>
      <c r="AO2573" s="379"/>
      <c r="AP2573" s="379"/>
      <c r="AQ2573" s="379"/>
      <c r="AR2573" s="379"/>
      <c r="AS2573" s="379"/>
      <c r="AT2573" s="379"/>
      <c r="AU2573" s="379"/>
      <c r="AV2573" s="379"/>
      <c r="AW2573" s="379"/>
      <c r="AX2573" s="379"/>
      <c r="AY2573" s="379"/>
      <c r="AZ2573" s="379"/>
      <c r="BA2573" s="379"/>
      <c r="BB2573" s="379"/>
      <c r="BC2573" s="379"/>
      <c r="BD2573" s="379"/>
      <c r="BE2573" s="379"/>
      <c r="BF2573" s="379"/>
      <c r="BG2573" s="379"/>
      <c r="BH2573" s="379"/>
      <c r="BI2573" s="379"/>
      <c r="BJ2573" s="379"/>
      <c r="BK2573" s="379"/>
      <c r="BL2573" s="379"/>
      <c r="BM2573" s="379"/>
      <c r="BN2573" s="379"/>
      <c r="BO2573" s="379"/>
      <c r="BP2573" s="379"/>
      <c r="BQ2573" s="379"/>
      <c r="BR2573" s="379"/>
      <c r="BS2573" s="379"/>
      <c r="BT2573" s="379"/>
      <c r="BU2573" s="379"/>
      <c r="BV2573" s="379"/>
      <c r="BW2573" s="379"/>
      <c r="BX2573" s="379"/>
      <c r="BY2573" s="379"/>
      <c r="BZ2573" s="379"/>
      <c r="CA2573" s="281"/>
      <c r="CB2573" s="3" t="str">
        <f t="shared" si="459"/>
        <v>Riadok bude skrytý.</v>
      </c>
      <c r="CC2573" s="271" t="s">
        <v>832</v>
      </c>
      <c r="CW2573" s="32">
        <f t="shared" ref="CW2573:CW2612" si="463">+IF($J$2571="nedosahovala",0,1)</f>
        <v>1</v>
      </c>
      <c r="CX2573" s="30">
        <f t="shared" ref="CX2573:CX2592" si="464">+IF(B2573="",0,1)</f>
        <v>0</v>
      </c>
      <c r="CZ2573" s="30">
        <f t="shared" si="460"/>
        <v>1</v>
      </c>
      <c r="DA2573" s="52">
        <f t="shared" ref="DA2573:DA2592" si="465">+IF(CW2573*CX2573=0,0,IF(CZ2573=0,0,1))</f>
        <v>0</v>
      </c>
      <c r="DB2573" s="2">
        <f t="shared" si="462"/>
        <v>0</v>
      </c>
      <c r="DS2573" s="130">
        <f>SI!BY2573</f>
        <v>131</v>
      </c>
      <c r="DZ2573" s="131">
        <f>SI!BZ2573</f>
        <v>0</v>
      </c>
    </row>
    <row r="2574" spans="1:130" hidden="1" x14ac:dyDescent="0.25">
      <c r="A2574" s="141"/>
      <c r="B2574" s="379"/>
      <c r="C2574" s="379"/>
      <c r="D2574" s="379"/>
      <c r="E2574" s="379"/>
      <c r="F2574" s="379"/>
      <c r="G2574" s="379"/>
      <c r="H2574" s="379"/>
      <c r="I2574" s="379"/>
      <c r="J2574" s="379"/>
      <c r="K2574" s="379"/>
      <c r="L2574" s="379"/>
      <c r="M2574" s="379"/>
      <c r="N2574" s="379"/>
      <c r="O2574" s="379"/>
      <c r="P2574" s="379"/>
      <c r="Q2574" s="379"/>
      <c r="R2574" s="379"/>
      <c r="S2574" s="379"/>
      <c r="T2574" s="379"/>
      <c r="U2574" s="379"/>
      <c r="V2574" s="379"/>
      <c r="W2574" s="379"/>
      <c r="X2574" s="379"/>
      <c r="Y2574" s="379"/>
      <c r="Z2574" s="379"/>
      <c r="AA2574" s="379"/>
      <c r="AB2574" s="379"/>
      <c r="AC2574" s="379"/>
      <c r="AD2574" s="379"/>
      <c r="AE2574" s="379"/>
      <c r="AF2574" s="379"/>
      <c r="AG2574" s="379"/>
      <c r="AH2574" s="379"/>
      <c r="AI2574" s="379"/>
      <c r="AJ2574" s="379"/>
      <c r="AK2574" s="379"/>
      <c r="AL2574" s="379"/>
      <c r="AM2574" s="379"/>
      <c r="AN2574" s="379"/>
      <c r="AO2574" s="379"/>
      <c r="AP2574" s="379"/>
      <c r="AQ2574" s="379"/>
      <c r="AR2574" s="379"/>
      <c r="AS2574" s="379"/>
      <c r="AT2574" s="379"/>
      <c r="AU2574" s="379"/>
      <c r="AV2574" s="379"/>
      <c r="AW2574" s="379"/>
      <c r="AX2574" s="379"/>
      <c r="AY2574" s="379"/>
      <c r="AZ2574" s="379"/>
      <c r="BA2574" s="379"/>
      <c r="BB2574" s="379"/>
      <c r="BC2574" s="379"/>
      <c r="BD2574" s="379"/>
      <c r="BE2574" s="379"/>
      <c r="BF2574" s="379"/>
      <c r="BG2574" s="379"/>
      <c r="BH2574" s="379"/>
      <c r="BI2574" s="379"/>
      <c r="BJ2574" s="379"/>
      <c r="BK2574" s="379"/>
      <c r="BL2574" s="379"/>
      <c r="BM2574" s="379"/>
      <c r="BN2574" s="379"/>
      <c r="BO2574" s="379"/>
      <c r="BP2574" s="379"/>
      <c r="BQ2574" s="379"/>
      <c r="BR2574" s="379"/>
      <c r="BS2574" s="379"/>
      <c r="BT2574" s="379"/>
      <c r="BU2574" s="379"/>
      <c r="BV2574" s="379"/>
      <c r="BW2574" s="379"/>
      <c r="BX2574" s="379"/>
      <c r="BY2574" s="379"/>
      <c r="BZ2574" s="379"/>
      <c r="CA2574" s="281"/>
      <c r="CB2574" s="3" t="str">
        <f t="shared" si="459"/>
        <v>Riadok bude skrytý.</v>
      </c>
      <c r="CC2574" s="271" t="s">
        <v>832</v>
      </c>
      <c r="CW2574" s="32">
        <f t="shared" si="463"/>
        <v>1</v>
      </c>
      <c r="CX2574" s="30">
        <f t="shared" si="464"/>
        <v>0</v>
      </c>
      <c r="CZ2574" s="30">
        <f t="shared" si="460"/>
        <v>1</v>
      </c>
      <c r="DA2574" s="52">
        <f t="shared" si="465"/>
        <v>0</v>
      </c>
      <c r="DB2574" s="2">
        <f t="shared" si="462"/>
        <v>0</v>
      </c>
      <c r="DS2574" s="130">
        <f>SI!BY2574</f>
        <v>157</v>
      </c>
      <c r="DZ2574" s="131">
        <f>SI!BZ2574</f>
        <v>0</v>
      </c>
    </row>
    <row r="2575" spans="1:130" hidden="1" x14ac:dyDescent="0.25">
      <c r="A2575" s="141"/>
      <c r="B2575" s="379"/>
      <c r="C2575" s="379"/>
      <c r="D2575" s="379"/>
      <c r="E2575" s="379"/>
      <c r="F2575" s="379"/>
      <c r="G2575" s="379"/>
      <c r="H2575" s="379"/>
      <c r="I2575" s="379"/>
      <c r="J2575" s="379"/>
      <c r="K2575" s="379"/>
      <c r="L2575" s="379"/>
      <c r="M2575" s="379"/>
      <c r="N2575" s="379"/>
      <c r="O2575" s="379"/>
      <c r="P2575" s="379"/>
      <c r="Q2575" s="379"/>
      <c r="R2575" s="379"/>
      <c r="S2575" s="379"/>
      <c r="T2575" s="379"/>
      <c r="U2575" s="379"/>
      <c r="V2575" s="379"/>
      <c r="W2575" s="379"/>
      <c r="X2575" s="379"/>
      <c r="Y2575" s="379"/>
      <c r="Z2575" s="379"/>
      <c r="AA2575" s="379"/>
      <c r="AB2575" s="379"/>
      <c r="AC2575" s="379"/>
      <c r="AD2575" s="379"/>
      <c r="AE2575" s="379"/>
      <c r="AF2575" s="379"/>
      <c r="AG2575" s="379"/>
      <c r="AH2575" s="379"/>
      <c r="AI2575" s="379"/>
      <c r="AJ2575" s="379"/>
      <c r="AK2575" s="379"/>
      <c r="AL2575" s="379"/>
      <c r="AM2575" s="379"/>
      <c r="AN2575" s="379"/>
      <c r="AO2575" s="379"/>
      <c r="AP2575" s="379"/>
      <c r="AQ2575" s="379"/>
      <c r="AR2575" s="379"/>
      <c r="AS2575" s="379"/>
      <c r="AT2575" s="379"/>
      <c r="AU2575" s="379"/>
      <c r="AV2575" s="379"/>
      <c r="AW2575" s="379"/>
      <c r="AX2575" s="379"/>
      <c r="AY2575" s="379"/>
      <c r="AZ2575" s="379"/>
      <c r="BA2575" s="379"/>
      <c r="BB2575" s="379"/>
      <c r="BC2575" s="379"/>
      <c r="BD2575" s="379"/>
      <c r="BE2575" s="379"/>
      <c r="BF2575" s="379"/>
      <c r="BG2575" s="379"/>
      <c r="BH2575" s="379"/>
      <c r="BI2575" s="379"/>
      <c r="BJ2575" s="379"/>
      <c r="BK2575" s="379"/>
      <c r="BL2575" s="379"/>
      <c r="BM2575" s="379"/>
      <c r="BN2575" s="379"/>
      <c r="BO2575" s="379"/>
      <c r="BP2575" s="379"/>
      <c r="BQ2575" s="379"/>
      <c r="BR2575" s="379"/>
      <c r="BS2575" s="379"/>
      <c r="BT2575" s="379"/>
      <c r="BU2575" s="379"/>
      <c r="BV2575" s="379"/>
      <c r="BW2575" s="379"/>
      <c r="BX2575" s="379"/>
      <c r="BY2575" s="379"/>
      <c r="BZ2575" s="379"/>
      <c r="CA2575" s="281"/>
      <c r="CB2575" s="3" t="str">
        <f t="shared" si="459"/>
        <v>Riadok bude skrytý.</v>
      </c>
      <c r="CC2575" s="271" t="s">
        <v>832</v>
      </c>
      <c r="CW2575" s="32">
        <f t="shared" si="463"/>
        <v>1</v>
      </c>
      <c r="CX2575" s="30">
        <f t="shared" si="464"/>
        <v>0</v>
      </c>
      <c r="CZ2575" s="30">
        <f t="shared" si="460"/>
        <v>1</v>
      </c>
      <c r="DA2575" s="52">
        <f t="shared" si="465"/>
        <v>0</v>
      </c>
      <c r="DB2575" s="2">
        <f t="shared" si="462"/>
        <v>0</v>
      </c>
      <c r="DS2575" s="130">
        <f>SI!BY2575</f>
        <v>99</v>
      </c>
      <c r="DZ2575" s="131">
        <f>SI!BZ2575</f>
        <v>0</v>
      </c>
    </row>
    <row r="2576" spans="1:130" hidden="1" x14ac:dyDescent="0.25">
      <c r="A2576" s="141"/>
      <c r="B2576" s="379"/>
      <c r="C2576" s="379"/>
      <c r="D2576" s="379"/>
      <c r="E2576" s="379"/>
      <c r="F2576" s="379"/>
      <c r="G2576" s="379"/>
      <c r="H2576" s="379"/>
      <c r="I2576" s="379"/>
      <c r="J2576" s="379"/>
      <c r="K2576" s="379"/>
      <c r="L2576" s="379"/>
      <c r="M2576" s="379"/>
      <c r="N2576" s="379"/>
      <c r="O2576" s="379"/>
      <c r="P2576" s="379"/>
      <c r="Q2576" s="379"/>
      <c r="R2576" s="379"/>
      <c r="S2576" s="379"/>
      <c r="T2576" s="379"/>
      <c r="U2576" s="379"/>
      <c r="V2576" s="379"/>
      <c r="W2576" s="379"/>
      <c r="X2576" s="379"/>
      <c r="Y2576" s="379"/>
      <c r="Z2576" s="379"/>
      <c r="AA2576" s="379"/>
      <c r="AB2576" s="379"/>
      <c r="AC2576" s="379"/>
      <c r="AD2576" s="379"/>
      <c r="AE2576" s="379"/>
      <c r="AF2576" s="379"/>
      <c r="AG2576" s="379"/>
      <c r="AH2576" s="379"/>
      <c r="AI2576" s="379"/>
      <c r="AJ2576" s="379"/>
      <c r="AK2576" s="379"/>
      <c r="AL2576" s="379"/>
      <c r="AM2576" s="379"/>
      <c r="AN2576" s="379"/>
      <c r="AO2576" s="379"/>
      <c r="AP2576" s="379"/>
      <c r="AQ2576" s="379"/>
      <c r="AR2576" s="379"/>
      <c r="AS2576" s="379"/>
      <c r="AT2576" s="379"/>
      <c r="AU2576" s="379"/>
      <c r="AV2576" s="379"/>
      <c r="AW2576" s="379"/>
      <c r="AX2576" s="379"/>
      <c r="AY2576" s="379"/>
      <c r="AZ2576" s="379"/>
      <c r="BA2576" s="379"/>
      <c r="BB2576" s="379"/>
      <c r="BC2576" s="379"/>
      <c r="BD2576" s="379"/>
      <c r="BE2576" s="379"/>
      <c r="BF2576" s="379"/>
      <c r="BG2576" s="379"/>
      <c r="BH2576" s="379"/>
      <c r="BI2576" s="379"/>
      <c r="BJ2576" s="379"/>
      <c r="BK2576" s="379"/>
      <c r="BL2576" s="379"/>
      <c r="BM2576" s="379"/>
      <c r="BN2576" s="379"/>
      <c r="BO2576" s="379"/>
      <c r="BP2576" s="379"/>
      <c r="BQ2576" s="379"/>
      <c r="BR2576" s="379"/>
      <c r="BS2576" s="379"/>
      <c r="BT2576" s="379"/>
      <c r="BU2576" s="379"/>
      <c r="BV2576" s="379"/>
      <c r="BW2576" s="379"/>
      <c r="BX2576" s="379"/>
      <c r="BY2576" s="379"/>
      <c r="BZ2576" s="379"/>
      <c r="CA2576" s="281"/>
      <c r="CB2576" s="3" t="str">
        <f t="shared" si="459"/>
        <v>Riadok bude skrytý.</v>
      </c>
      <c r="CC2576" s="271" t="s">
        <v>832</v>
      </c>
      <c r="CW2576" s="32">
        <f t="shared" si="463"/>
        <v>1</v>
      </c>
      <c r="CX2576" s="30">
        <f t="shared" si="464"/>
        <v>0</v>
      </c>
      <c r="CZ2576" s="30">
        <f t="shared" si="460"/>
        <v>1</v>
      </c>
      <c r="DA2576" s="52">
        <f t="shared" si="465"/>
        <v>0</v>
      </c>
      <c r="DB2576" s="2">
        <f t="shared" si="462"/>
        <v>0</v>
      </c>
      <c r="DS2576" s="130">
        <f>SI!BY2576</f>
        <v>163</v>
      </c>
      <c r="DZ2576" s="131">
        <f>SI!BZ2576</f>
        <v>0</v>
      </c>
    </row>
    <row r="2577" spans="1:130" hidden="1" x14ac:dyDescent="0.25">
      <c r="A2577" s="141"/>
      <c r="B2577" s="379"/>
      <c r="C2577" s="379"/>
      <c r="D2577" s="379"/>
      <c r="E2577" s="379"/>
      <c r="F2577" s="379"/>
      <c r="G2577" s="379"/>
      <c r="H2577" s="379"/>
      <c r="I2577" s="379"/>
      <c r="J2577" s="379"/>
      <c r="K2577" s="379"/>
      <c r="L2577" s="379"/>
      <c r="M2577" s="379"/>
      <c r="N2577" s="379"/>
      <c r="O2577" s="379"/>
      <c r="P2577" s="379"/>
      <c r="Q2577" s="379"/>
      <c r="R2577" s="379"/>
      <c r="S2577" s="379"/>
      <c r="T2577" s="379"/>
      <c r="U2577" s="379"/>
      <c r="V2577" s="379"/>
      <c r="W2577" s="379"/>
      <c r="X2577" s="379"/>
      <c r="Y2577" s="379"/>
      <c r="Z2577" s="379"/>
      <c r="AA2577" s="379"/>
      <c r="AB2577" s="379"/>
      <c r="AC2577" s="379"/>
      <c r="AD2577" s="379"/>
      <c r="AE2577" s="379"/>
      <c r="AF2577" s="379"/>
      <c r="AG2577" s="379"/>
      <c r="AH2577" s="379"/>
      <c r="AI2577" s="379"/>
      <c r="AJ2577" s="379"/>
      <c r="AK2577" s="379"/>
      <c r="AL2577" s="379"/>
      <c r="AM2577" s="379"/>
      <c r="AN2577" s="379"/>
      <c r="AO2577" s="379"/>
      <c r="AP2577" s="379"/>
      <c r="AQ2577" s="379"/>
      <c r="AR2577" s="379"/>
      <c r="AS2577" s="379"/>
      <c r="AT2577" s="379"/>
      <c r="AU2577" s="379"/>
      <c r="AV2577" s="379"/>
      <c r="AW2577" s="379"/>
      <c r="AX2577" s="379"/>
      <c r="AY2577" s="379"/>
      <c r="AZ2577" s="379"/>
      <c r="BA2577" s="379"/>
      <c r="BB2577" s="379"/>
      <c r="BC2577" s="379"/>
      <c r="BD2577" s="379"/>
      <c r="BE2577" s="379"/>
      <c r="BF2577" s="379"/>
      <c r="BG2577" s="379"/>
      <c r="BH2577" s="379"/>
      <c r="BI2577" s="379"/>
      <c r="BJ2577" s="379"/>
      <c r="BK2577" s="379"/>
      <c r="BL2577" s="379"/>
      <c r="BM2577" s="379"/>
      <c r="BN2577" s="379"/>
      <c r="BO2577" s="379"/>
      <c r="BP2577" s="379"/>
      <c r="BQ2577" s="379"/>
      <c r="BR2577" s="379"/>
      <c r="BS2577" s="379"/>
      <c r="BT2577" s="379"/>
      <c r="BU2577" s="379"/>
      <c r="BV2577" s="379"/>
      <c r="BW2577" s="379"/>
      <c r="BX2577" s="379"/>
      <c r="BY2577" s="379"/>
      <c r="BZ2577" s="379"/>
      <c r="CA2577" s="281"/>
      <c r="CB2577" s="3" t="str">
        <f t="shared" si="459"/>
        <v>Riadok bude skrytý.</v>
      </c>
      <c r="CC2577" s="271" t="s">
        <v>832</v>
      </c>
      <c r="CW2577" s="32">
        <f t="shared" si="463"/>
        <v>1</v>
      </c>
      <c r="CX2577" s="30">
        <f t="shared" si="464"/>
        <v>0</v>
      </c>
      <c r="CZ2577" s="30">
        <f t="shared" si="460"/>
        <v>1</v>
      </c>
      <c r="DA2577" s="52">
        <f t="shared" si="465"/>
        <v>0</v>
      </c>
      <c r="DB2577" s="2">
        <f t="shared" si="462"/>
        <v>0</v>
      </c>
      <c r="DS2577" s="130">
        <f>SI!BY2577</f>
        <v>134</v>
      </c>
      <c r="DZ2577" s="131">
        <f>SI!BZ2577</f>
        <v>0</v>
      </c>
    </row>
    <row r="2578" spans="1:130" hidden="1" x14ac:dyDescent="0.25">
      <c r="A2578" s="141"/>
      <c r="B2578" s="379"/>
      <c r="C2578" s="379"/>
      <c r="D2578" s="379"/>
      <c r="E2578" s="379"/>
      <c r="F2578" s="379"/>
      <c r="G2578" s="379"/>
      <c r="H2578" s="379"/>
      <c r="I2578" s="379"/>
      <c r="J2578" s="379"/>
      <c r="K2578" s="379"/>
      <c r="L2578" s="379"/>
      <c r="M2578" s="379"/>
      <c r="N2578" s="379"/>
      <c r="O2578" s="379"/>
      <c r="P2578" s="379"/>
      <c r="Q2578" s="379"/>
      <c r="R2578" s="379"/>
      <c r="S2578" s="379"/>
      <c r="T2578" s="379"/>
      <c r="U2578" s="379"/>
      <c r="V2578" s="379"/>
      <c r="W2578" s="379"/>
      <c r="X2578" s="379"/>
      <c r="Y2578" s="379"/>
      <c r="Z2578" s="379"/>
      <c r="AA2578" s="379"/>
      <c r="AB2578" s="379"/>
      <c r="AC2578" s="379"/>
      <c r="AD2578" s="379"/>
      <c r="AE2578" s="379"/>
      <c r="AF2578" s="379"/>
      <c r="AG2578" s="379"/>
      <c r="AH2578" s="379"/>
      <c r="AI2578" s="379"/>
      <c r="AJ2578" s="379"/>
      <c r="AK2578" s="379"/>
      <c r="AL2578" s="379"/>
      <c r="AM2578" s="379"/>
      <c r="AN2578" s="379"/>
      <c r="AO2578" s="379"/>
      <c r="AP2578" s="379"/>
      <c r="AQ2578" s="379"/>
      <c r="AR2578" s="379"/>
      <c r="AS2578" s="379"/>
      <c r="AT2578" s="379"/>
      <c r="AU2578" s="379"/>
      <c r="AV2578" s="379"/>
      <c r="AW2578" s="379"/>
      <c r="AX2578" s="379"/>
      <c r="AY2578" s="379"/>
      <c r="AZ2578" s="379"/>
      <c r="BA2578" s="379"/>
      <c r="BB2578" s="379"/>
      <c r="BC2578" s="379"/>
      <c r="BD2578" s="379"/>
      <c r="BE2578" s="379"/>
      <c r="BF2578" s="379"/>
      <c r="BG2578" s="379"/>
      <c r="BH2578" s="379"/>
      <c r="BI2578" s="379"/>
      <c r="BJ2578" s="379"/>
      <c r="BK2578" s="379"/>
      <c r="BL2578" s="379"/>
      <c r="BM2578" s="379"/>
      <c r="BN2578" s="379"/>
      <c r="BO2578" s="379"/>
      <c r="BP2578" s="379"/>
      <c r="BQ2578" s="379"/>
      <c r="BR2578" s="379"/>
      <c r="BS2578" s="379"/>
      <c r="BT2578" s="379"/>
      <c r="BU2578" s="379"/>
      <c r="BV2578" s="379"/>
      <c r="BW2578" s="379"/>
      <c r="BX2578" s="379"/>
      <c r="BY2578" s="379"/>
      <c r="BZ2578" s="379"/>
      <c r="CA2578" s="281"/>
      <c r="CB2578" s="3" t="str">
        <f t="shared" si="459"/>
        <v>Riadok bude skrytý.</v>
      </c>
      <c r="CC2578" s="271" t="s">
        <v>832</v>
      </c>
      <c r="CW2578" s="32">
        <f t="shared" si="463"/>
        <v>1</v>
      </c>
      <c r="CX2578" s="30">
        <f t="shared" si="464"/>
        <v>0</v>
      </c>
      <c r="CZ2578" s="30">
        <f t="shared" si="460"/>
        <v>1</v>
      </c>
      <c r="DA2578" s="52">
        <f t="shared" si="465"/>
        <v>0</v>
      </c>
      <c r="DB2578" s="2">
        <f t="shared" si="462"/>
        <v>0</v>
      </c>
      <c r="DS2578" s="130">
        <f>SI!BY2578</f>
        <v>107</v>
      </c>
      <c r="DZ2578" s="131">
        <f>SI!BZ2578</f>
        <v>0</v>
      </c>
    </row>
    <row r="2579" spans="1:130" hidden="1" x14ac:dyDescent="0.25">
      <c r="A2579" s="141"/>
      <c r="B2579" s="379"/>
      <c r="C2579" s="379"/>
      <c r="D2579" s="379"/>
      <c r="E2579" s="379"/>
      <c r="F2579" s="379"/>
      <c r="G2579" s="379"/>
      <c r="H2579" s="379"/>
      <c r="I2579" s="379"/>
      <c r="J2579" s="379"/>
      <c r="K2579" s="379"/>
      <c r="L2579" s="379"/>
      <c r="M2579" s="379"/>
      <c r="N2579" s="379"/>
      <c r="O2579" s="379"/>
      <c r="P2579" s="379"/>
      <c r="Q2579" s="379"/>
      <c r="R2579" s="379"/>
      <c r="S2579" s="379"/>
      <c r="T2579" s="379"/>
      <c r="U2579" s="379"/>
      <c r="V2579" s="379"/>
      <c r="W2579" s="379"/>
      <c r="X2579" s="379"/>
      <c r="Y2579" s="379"/>
      <c r="Z2579" s="379"/>
      <c r="AA2579" s="379"/>
      <c r="AB2579" s="379"/>
      <c r="AC2579" s="379"/>
      <c r="AD2579" s="379"/>
      <c r="AE2579" s="379"/>
      <c r="AF2579" s="379"/>
      <c r="AG2579" s="379"/>
      <c r="AH2579" s="379"/>
      <c r="AI2579" s="379"/>
      <c r="AJ2579" s="379"/>
      <c r="AK2579" s="379"/>
      <c r="AL2579" s="379"/>
      <c r="AM2579" s="379"/>
      <c r="AN2579" s="379"/>
      <c r="AO2579" s="379"/>
      <c r="AP2579" s="379"/>
      <c r="AQ2579" s="379"/>
      <c r="AR2579" s="379"/>
      <c r="AS2579" s="379"/>
      <c r="AT2579" s="379"/>
      <c r="AU2579" s="379"/>
      <c r="AV2579" s="379"/>
      <c r="AW2579" s="379"/>
      <c r="AX2579" s="379"/>
      <c r="AY2579" s="379"/>
      <c r="AZ2579" s="379"/>
      <c r="BA2579" s="379"/>
      <c r="BB2579" s="379"/>
      <c r="BC2579" s="379"/>
      <c r="BD2579" s="379"/>
      <c r="BE2579" s="379"/>
      <c r="BF2579" s="379"/>
      <c r="BG2579" s="379"/>
      <c r="BH2579" s="379"/>
      <c r="BI2579" s="379"/>
      <c r="BJ2579" s="379"/>
      <c r="BK2579" s="379"/>
      <c r="BL2579" s="379"/>
      <c r="BM2579" s="379"/>
      <c r="BN2579" s="379"/>
      <c r="BO2579" s="379"/>
      <c r="BP2579" s="379"/>
      <c r="BQ2579" s="379"/>
      <c r="BR2579" s="379"/>
      <c r="BS2579" s="379"/>
      <c r="BT2579" s="379"/>
      <c r="BU2579" s="379"/>
      <c r="BV2579" s="379"/>
      <c r="BW2579" s="379"/>
      <c r="BX2579" s="379"/>
      <c r="BY2579" s="379"/>
      <c r="BZ2579" s="379"/>
      <c r="CA2579" s="281"/>
      <c r="CB2579" s="3" t="str">
        <f t="shared" si="459"/>
        <v>Riadok bude skrytý.</v>
      </c>
      <c r="CC2579" s="271" t="s">
        <v>832</v>
      </c>
      <c r="CW2579" s="32">
        <f t="shared" si="463"/>
        <v>1</v>
      </c>
      <c r="CX2579" s="30">
        <f t="shared" si="464"/>
        <v>0</v>
      </c>
      <c r="CZ2579" s="30">
        <f t="shared" si="460"/>
        <v>1</v>
      </c>
      <c r="DA2579" s="52">
        <f t="shared" si="465"/>
        <v>0</v>
      </c>
      <c r="DB2579" s="2">
        <f t="shared" si="462"/>
        <v>0</v>
      </c>
      <c r="DS2579" s="130">
        <f>SI!BY2579</f>
        <v>154</v>
      </c>
      <c r="DZ2579" s="131">
        <f>SI!BZ2579</f>
        <v>0</v>
      </c>
    </row>
    <row r="2580" spans="1:130" hidden="1" x14ac:dyDescent="0.25">
      <c r="A2580" s="141"/>
      <c r="B2580" s="379"/>
      <c r="C2580" s="379"/>
      <c r="D2580" s="379"/>
      <c r="E2580" s="379"/>
      <c r="F2580" s="379"/>
      <c r="G2580" s="379"/>
      <c r="H2580" s="379"/>
      <c r="I2580" s="379"/>
      <c r="J2580" s="379"/>
      <c r="K2580" s="379"/>
      <c r="L2580" s="379"/>
      <c r="M2580" s="379"/>
      <c r="N2580" s="379"/>
      <c r="O2580" s="379"/>
      <c r="P2580" s="379"/>
      <c r="Q2580" s="379"/>
      <c r="R2580" s="379"/>
      <c r="S2580" s="379"/>
      <c r="T2580" s="379"/>
      <c r="U2580" s="379"/>
      <c r="V2580" s="379"/>
      <c r="W2580" s="379"/>
      <c r="X2580" s="379"/>
      <c r="Y2580" s="379"/>
      <c r="Z2580" s="379"/>
      <c r="AA2580" s="379"/>
      <c r="AB2580" s="379"/>
      <c r="AC2580" s="379"/>
      <c r="AD2580" s="379"/>
      <c r="AE2580" s="379"/>
      <c r="AF2580" s="379"/>
      <c r="AG2580" s="379"/>
      <c r="AH2580" s="379"/>
      <c r="AI2580" s="379"/>
      <c r="AJ2580" s="379"/>
      <c r="AK2580" s="379"/>
      <c r="AL2580" s="379"/>
      <c r="AM2580" s="379"/>
      <c r="AN2580" s="379"/>
      <c r="AO2580" s="379"/>
      <c r="AP2580" s="379"/>
      <c r="AQ2580" s="379"/>
      <c r="AR2580" s="379"/>
      <c r="AS2580" s="379"/>
      <c r="AT2580" s="379"/>
      <c r="AU2580" s="379"/>
      <c r="AV2580" s="379"/>
      <c r="AW2580" s="379"/>
      <c r="AX2580" s="379"/>
      <c r="AY2580" s="379"/>
      <c r="AZ2580" s="379"/>
      <c r="BA2580" s="379"/>
      <c r="BB2580" s="379"/>
      <c r="BC2580" s="379"/>
      <c r="BD2580" s="379"/>
      <c r="BE2580" s="379"/>
      <c r="BF2580" s="379"/>
      <c r="BG2580" s="379"/>
      <c r="BH2580" s="379"/>
      <c r="BI2580" s="379"/>
      <c r="BJ2580" s="379"/>
      <c r="BK2580" s="379"/>
      <c r="BL2580" s="379"/>
      <c r="BM2580" s="379"/>
      <c r="BN2580" s="379"/>
      <c r="BO2580" s="379"/>
      <c r="BP2580" s="379"/>
      <c r="BQ2580" s="379"/>
      <c r="BR2580" s="379"/>
      <c r="BS2580" s="379"/>
      <c r="BT2580" s="379"/>
      <c r="BU2580" s="379"/>
      <c r="BV2580" s="379"/>
      <c r="BW2580" s="379"/>
      <c r="BX2580" s="379"/>
      <c r="BY2580" s="379"/>
      <c r="BZ2580" s="379"/>
      <c r="CA2580" s="281"/>
      <c r="CB2580" s="3" t="str">
        <f t="shared" si="459"/>
        <v>Riadok bude skrytý.</v>
      </c>
      <c r="CC2580" s="271" t="s">
        <v>832</v>
      </c>
      <c r="CW2580" s="32">
        <f t="shared" si="463"/>
        <v>1</v>
      </c>
      <c r="CX2580" s="30">
        <f t="shared" si="464"/>
        <v>0</v>
      </c>
      <c r="CZ2580" s="30">
        <f t="shared" si="460"/>
        <v>1</v>
      </c>
      <c r="DA2580" s="52">
        <f t="shared" si="465"/>
        <v>0</v>
      </c>
      <c r="DB2580" s="2">
        <f t="shared" si="462"/>
        <v>0</v>
      </c>
      <c r="DS2580" s="130">
        <f>SI!BY2580</f>
        <v>135</v>
      </c>
      <c r="DZ2580" s="131">
        <f>SI!BZ2580</f>
        <v>0</v>
      </c>
    </row>
    <row r="2581" spans="1:130" hidden="1" x14ac:dyDescent="0.25">
      <c r="A2581" s="141"/>
      <c r="B2581" s="379"/>
      <c r="C2581" s="379"/>
      <c r="D2581" s="379"/>
      <c r="E2581" s="379"/>
      <c r="F2581" s="379"/>
      <c r="G2581" s="379"/>
      <c r="H2581" s="379"/>
      <c r="I2581" s="379"/>
      <c r="J2581" s="379"/>
      <c r="K2581" s="379"/>
      <c r="L2581" s="379"/>
      <c r="M2581" s="379"/>
      <c r="N2581" s="379"/>
      <c r="O2581" s="379"/>
      <c r="P2581" s="379"/>
      <c r="Q2581" s="379"/>
      <c r="R2581" s="379"/>
      <c r="S2581" s="379"/>
      <c r="T2581" s="379"/>
      <c r="U2581" s="379"/>
      <c r="V2581" s="379"/>
      <c r="W2581" s="379"/>
      <c r="X2581" s="379"/>
      <c r="Y2581" s="379"/>
      <c r="Z2581" s="379"/>
      <c r="AA2581" s="379"/>
      <c r="AB2581" s="379"/>
      <c r="AC2581" s="379"/>
      <c r="AD2581" s="379"/>
      <c r="AE2581" s="379"/>
      <c r="AF2581" s="379"/>
      <c r="AG2581" s="379"/>
      <c r="AH2581" s="379"/>
      <c r="AI2581" s="379"/>
      <c r="AJ2581" s="379"/>
      <c r="AK2581" s="379"/>
      <c r="AL2581" s="379"/>
      <c r="AM2581" s="379"/>
      <c r="AN2581" s="379"/>
      <c r="AO2581" s="379"/>
      <c r="AP2581" s="379"/>
      <c r="AQ2581" s="379"/>
      <c r="AR2581" s="379"/>
      <c r="AS2581" s="379"/>
      <c r="AT2581" s="379"/>
      <c r="AU2581" s="379"/>
      <c r="AV2581" s="379"/>
      <c r="AW2581" s="379"/>
      <c r="AX2581" s="379"/>
      <c r="AY2581" s="379"/>
      <c r="AZ2581" s="379"/>
      <c r="BA2581" s="379"/>
      <c r="BB2581" s="379"/>
      <c r="BC2581" s="379"/>
      <c r="BD2581" s="379"/>
      <c r="BE2581" s="379"/>
      <c r="BF2581" s="379"/>
      <c r="BG2581" s="379"/>
      <c r="BH2581" s="379"/>
      <c r="BI2581" s="379"/>
      <c r="BJ2581" s="379"/>
      <c r="BK2581" s="379"/>
      <c r="BL2581" s="379"/>
      <c r="BM2581" s="379"/>
      <c r="BN2581" s="379"/>
      <c r="BO2581" s="379"/>
      <c r="BP2581" s="379"/>
      <c r="BQ2581" s="379"/>
      <c r="BR2581" s="379"/>
      <c r="BS2581" s="379"/>
      <c r="BT2581" s="379"/>
      <c r="BU2581" s="379"/>
      <c r="BV2581" s="379"/>
      <c r="BW2581" s="379"/>
      <c r="BX2581" s="379"/>
      <c r="BY2581" s="379"/>
      <c r="BZ2581" s="379"/>
      <c r="CA2581" s="281"/>
      <c r="CB2581" s="3" t="str">
        <f t="shared" si="459"/>
        <v>Riadok bude skrytý.</v>
      </c>
      <c r="CC2581" s="271" t="s">
        <v>832</v>
      </c>
      <c r="CW2581" s="32">
        <f t="shared" si="463"/>
        <v>1</v>
      </c>
      <c r="CX2581" s="30">
        <f t="shared" si="464"/>
        <v>0</v>
      </c>
      <c r="CZ2581" s="30">
        <f t="shared" si="460"/>
        <v>1</v>
      </c>
      <c r="DA2581" s="52">
        <f t="shared" si="465"/>
        <v>0</v>
      </c>
      <c r="DB2581" s="2">
        <f t="shared" si="462"/>
        <v>0</v>
      </c>
      <c r="DS2581" s="130">
        <f>SI!BY2581</f>
        <v>184</v>
      </c>
      <c r="DZ2581" s="131">
        <f>SI!BZ2581</f>
        <v>0</v>
      </c>
    </row>
    <row r="2582" spans="1:130" hidden="1" x14ac:dyDescent="0.25">
      <c r="A2582" s="141"/>
      <c r="B2582" s="379"/>
      <c r="C2582" s="379"/>
      <c r="D2582" s="379"/>
      <c r="E2582" s="379"/>
      <c r="F2582" s="379"/>
      <c r="G2582" s="379"/>
      <c r="H2582" s="379"/>
      <c r="I2582" s="379"/>
      <c r="J2582" s="379"/>
      <c r="K2582" s="379"/>
      <c r="L2582" s="379"/>
      <c r="M2582" s="379"/>
      <c r="N2582" s="379"/>
      <c r="O2582" s="379"/>
      <c r="P2582" s="379"/>
      <c r="Q2582" s="379"/>
      <c r="R2582" s="379"/>
      <c r="S2582" s="379"/>
      <c r="T2582" s="379"/>
      <c r="U2582" s="379"/>
      <c r="V2582" s="379"/>
      <c r="W2582" s="379"/>
      <c r="X2582" s="379"/>
      <c r="Y2582" s="379"/>
      <c r="Z2582" s="379"/>
      <c r="AA2582" s="379"/>
      <c r="AB2582" s="379"/>
      <c r="AC2582" s="379"/>
      <c r="AD2582" s="379"/>
      <c r="AE2582" s="379"/>
      <c r="AF2582" s="379"/>
      <c r="AG2582" s="379"/>
      <c r="AH2582" s="379"/>
      <c r="AI2582" s="379"/>
      <c r="AJ2582" s="379"/>
      <c r="AK2582" s="379"/>
      <c r="AL2582" s="379"/>
      <c r="AM2582" s="379"/>
      <c r="AN2582" s="379"/>
      <c r="AO2582" s="379"/>
      <c r="AP2582" s="379"/>
      <c r="AQ2582" s="379"/>
      <c r="AR2582" s="379"/>
      <c r="AS2582" s="379"/>
      <c r="AT2582" s="379"/>
      <c r="AU2582" s="379"/>
      <c r="AV2582" s="379"/>
      <c r="AW2582" s="379"/>
      <c r="AX2582" s="379"/>
      <c r="AY2582" s="379"/>
      <c r="AZ2582" s="379"/>
      <c r="BA2582" s="379"/>
      <c r="BB2582" s="379"/>
      <c r="BC2582" s="379"/>
      <c r="BD2582" s="379"/>
      <c r="BE2582" s="379"/>
      <c r="BF2582" s="379"/>
      <c r="BG2582" s="379"/>
      <c r="BH2582" s="379"/>
      <c r="BI2582" s="379"/>
      <c r="BJ2582" s="379"/>
      <c r="BK2582" s="379"/>
      <c r="BL2582" s="379"/>
      <c r="BM2582" s="379"/>
      <c r="BN2582" s="379"/>
      <c r="BO2582" s="379"/>
      <c r="BP2582" s="379"/>
      <c r="BQ2582" s="379"/>
      <c r="BR2582" s="379"/>
      <c r="BS2582" s="379"/>
      <c r="BT2582" s="379"/>
      <c r="BU2582" s="379"/>
      <c r="BV2582" s="379"/>
      <c r="BW2582" s="379"/>
      <c r="BX2582" s="379"/>
      <c r="BY2582" s="379"/>
      <c r="BZ2582" s="379"/>
      <c r="CA2582" s="281"/>
      <c r="CB2582" s="3" t="str">
        <f t="shared" si="459"/>
        <v>Riadok bude skrytý.</v>
      </c>
      <c r="CC2582" s="271" t="s">
        <v>832</v>
      </c>
      <c r="CW2582" s="32">
        <f t="shared" si="463"/>
        <v>1</v>
      </c>
      <c r="CX2582" s="30">
        <f t="shared" si="464"/>
        <v>0</v>
      </c>
      <c r="CZ2582" s="30">
        <f t="shared" si="460"/>
        <v>1</v>
      </c>
      <c r="DA2582" s="52">
        <f t="shared" si="465"/>
        <v>0</v>
      </c>
      <c r="DB2582" s="2">
        <f t="shared" si="462"/>
        <v>0</v>
      </c>
      <c r="DS2582" s="130">
        <f>SI!BY2582</f>
        <v>3</v>
      </c>
      <c r="DZ2582" s="131">
        <f>SI!BZ2582</f>
        <v>0</v>
      </c>
    </row>
    <row r="2583" spans="1:130" hidden="1" x14ac:dyDescent="0.25">
      <c r="A2583" s="141"/>
      <c r="B2583" s="379"/>
      <c r="C2583" s="379"/>
      <c r="D2583" s="379"/>
      <c r="E2583" s="379"/>
      <c r="F2583" s="379"/>
      <c r="G2583" s="379"/>
      <c r="H2583" s="379"/>
      <c r="I2583" s="379"/>
      <c r="J2583" s="379"/>
      <c r="K2583" s="379"/>
      <c r="L2583" s="379"/>
      <c r="M2583" s="379"/>
      <c r="N2583" s="379"/>
      <c r="O2583" s="379"/>
      <c r="P2583" s="379"/>
      <c r="Q2583" s="379"/>
      <c r="R2583" s="379"/>
      <c r="S2583" s="379"/>
      <c r="T2583" s="379"/>
      <c r="U2583" s="379"/>
      <c r="V2583" s="379"/>
      <c r="W2583" s="379"/>
      <c r="X2583" s="379"/>
      <c r="Y2583" s="379"/>
      <c r="Z2583" s="379"/>
      <c r="AA2583" s="379"/>
      <c r="AB2583" s="379"/>
      <c r="AC2583" s="379"/>
      <c r="AD2583" s="379"/>
      <c r="AE2583" s="379"/>
      <c r="AF2583" s="379"/>
      <c r="AG2583" s="379"/>
      <c r="AH2583" s="379"/>
      <c r="AI2583" s="379"/>
      <c r="AJ2583" s="379"/>
      <c r="AK2583" s="379"/>
      <c r="AL2583" s="379"/>
      <c r="AM2583" s="379"/>
      <c r="AN2583" s="379"/>
      <c r="AO2583" s="379"/>
      <c r="AP2583" s="379"/>
      <c r="AQ2583" s="379"/>
      <c r="AR2583" s="379"/>
      <c r="AS2583" s="379"/>
      <c r="AT2583" s="379"/>
      <c r="AU2583" s="379"/>
      <c r="AV2583" s="379"/>
      <c r="AW2583" s="379"/>
      <c r="AX2583" s="379"/>
      <c r="AY2583" s="379"/>
      <c r="AZ2583" s="379"/>
      <c r="BA2583" s="379"/>
      <c r="BB2583" s="379"/>
      <c r="BC2583" s="379"/>
      <c r="BD2583" s="379"/>
      <c r="BE2583" s="379"/>
      <c r="BF2583" s="379"/>
      <c r="BG2583" s="379"/>
      <c r="BH2583" s="379"/>
      <c r="BI2583" s="379"/>
      <c r="BJ2583" s="379"/>
      <c r="BK2583" s="379"/>
      <c r="BL2583" s="379"/>
      <c r="BM2583" s="379"/>
      <c r="BN2583" s="379"/>
      <c r="BO2583" s="379"/>
      <c r="BP2583" s="379"/>
      <c r="BQ2583" s="379"/>
      <c r="BR2583" s="379"/>
      <c r="BS2583" s="379"/>
      <c r="BT2583" s="379"/>
      <c r="BU2583" s="379"/>
      <c r="BV2583" s="379"/>
      <c r="BW2583" s="379"/>
      <c r="BX2583" s="379"/>
      <c r="BY2583" s="379"/>
      <c r="BZ2583" s="379"/>
      <c r="CA2583" s="281"/>
      <c r="CB2583" s="3" t="str">
        <f t="shared" si="459"/>
        <v>Riadok bude skrytý.</v>
      </c>
      <c r="CC2583" s="271" t="s">
        <v>832</v>
      </c>
      <c r="CW2583" s="32">
        <f t="shared" si="463"/>
        <v>1</v>
      </c>
      <c r="CX2583" s="30">
        <f t="shared" si="464"/>
        <v>0</v>
      </c>
      <c r="CZ2583" s="30">
        <f t="shared" si="460"/>
        <v>1</v>
      </c>
      <c r="DA2583" s="52">
        <f t="shared" si="465"/>
        <v>0</v>
      </c>
      <c r="DB2583" s="2">
        <f t="shared" si="462"/>
        <v>0</v>
      </c>
      <c r="DS2583" s="130">
        <f>SI!BY2583</f>
        <v>13</v>
      </c>
      <c r="DZ2583" s="131">
        <f>SI!BZ2583</f>
        <v>0</v>
      </c>
    </row>
    <row r="2584" spans="1:130" hidden="1" x14ac:dyDescent="0.25">
      <c r="A2584" s="141"/>
      <c r="B2584" s="379"/>
      <c r="C2584" s="379"/>
      <c r="D2584" s="379"/>
      <c r="E2584" s="379"/>
      <c r="F2584" s="379"/>
      <c r="G2584" s="379"/>
      <c r="H2584" s="379"/>
      <c r="I2584" s="379"/>
      <c r="J2584" s="379"/>
      <c r="K2584" s="379"/>
      <c r="L2584" s="379"/>
      <c r="M2584" s="379"/>
      <c r="N2584" s="379"/>
      <c r="O2584" s="379"/>
      <c r="P2584" s="379"/>
      <c r="Q2584" s="379"/>
      <c r="R2584" s="379"/>
      <c r="S2584" s="379"/>
      <c r="T2584" s="379"/>
      <c r="U2584" s="379"/>
      <c r="V2584" s="379"/>
      <c r="W2584" s="379"/>
      <c r="X2584" s="379"/>
      <c r="Y2584" s="379"/>
      <c r="Z2584" s="379"/>
      <c r="AA2584" s="379"/>
      <c r="AB2584" s="379"/>
      <c r="AC2584" s="379"/>
      <c r="AD2584" s="379"/>
      <c r="AE2584" s="379"/>
      <c r="AF2584" s="379"/>
      <c r="AG2584" s="379"/>
      <c r="AH2584" s="379"/>
      <c r="AI2584" s="379"/>
      <c r="AJ2584" s="379"/>
      <c r="AK2584" s="379"/>
      <c r="AL2584" s="379"/>
      <c r="AM2584" s="379"/>
      <c r="AN2584" s="379"/>
      <c r="AO2584" s="379"/>
      <c r="AP2584" s="379"/>
      <c r="AQ2584" s="379"/>
      <c r="AR2584" s="379"/>
      <c r="AS2584" s="379"/>
      <c r="AT2584" s="379"/>
      <c r="AU2584" s="379"/>
      <c r="AV2584" s="379"/>
      <c r="AW2584" s="379"/>
      <c r="AX2584" s="379"/>
      <c r="AY2584" s="379"/>
      <c r="AZ2584" s="379"/>
      <c r="BA2584" s="379"/>
      <c r="BB2584" s="379"/>
      <c r="BC2584" s="379"/>
      <c r="BD2584" s="379"/>
      <c r="BE2584" s="379"/>
      <c r="BF2584" s="379"/>
      <c r="BG2584" s="379"/>
      <c r="BH2584" s="379"/>
      <c r="BI2584" s="379"/>
      <c r="BJ2584" s="379"/>
      <c r="BK2584" s="379"/>
      <c r="BL2584" s="379"/>
      <c r="BM2584" s="379"/>
      <c r="BN2584" s="379"/>
      <c r="BO2584" s="379"/>
      <c r="BP2584" s="379"/>
      <c r="BQ2584" s="379"/>
      <c r="BR2584" s="379"/>
      <c r="BS2584" s="379"/>
      <c r="BT2584" s="379"/>
      <c r="BU2584" s="379"/>
      <c r="BV2584" s="379"/>
      <c r="BW2584" s="379"/>
      <c r="BX2584" s="379"/>
      <c r="BY2584" s="379"/>
      <c r="BZ2584" s="379"/>
      <c r="CA2584" s="281"/>
      <c r="CB2584" s="3" t="str">
        <f t="shared" si="459"/>
        <v>Riadok bude skrytý.</v>
      </c>
      <c r="CC2584" s="271" t="s">
        <v>832</v>
      </c>
      <c r="CW2584" s="32">
        <f t="shared" si="463"/>
        <v>1</v>
      </c>
      <c r="CX2584" s="30">
        <f t="shared" si="464"/>
        <v>0</v>
      </c>
      <c r="CZ2584" s="30">
        <f t="shared" si="460"/>
        <v>1</v>
      </c>
      <c r="DA2584" s="52">
        <f t="shared" si="465"/>
        <v>0</v>
      </c>
      <c r="DB2584" s="2">
        <f t="shared" si="462"/>
        <v>0</v>
      </c>
      <c r="DS2584" s="130">
        <f>SI!BY2584</f>
        <v>193</v>
      </c>
      <c r="DZ2584" s="131">
        <f>SI!BZ2584</f>
        <v>0</v>
      </c>
    </row>
    <row r="2585" spans="1:130" hidden="1" x14ac:dyDescent="0.25">
      <c r="A2585" s="141"/>
      <c r="B2585" s="379"/>
      <c r="C2585" s="379"/>
      <c r="D2585" s="379"/>
      <c r="E2585" s="379"/>
      <c r="F2585" s="379"/>
      <c r="G2585" s="379"/>
      <c r="H2585" s="379"/>
      <c r="I2585" s="379"/>
      <c r="J2585" s="379"/>
      <c r="K2585" s="379"/>
      <c r="L2585" s="379"/>
      <c r="M2585" s="379"/>
      <c r="N2585" s="379"/>
      <c r="O2585" s="379"/>
      <c r="P2585" s="379"/>
      <c r="Q2585" s="379"/>
      <c r="R2585" s="379"/>
      <c r="S2585" s="379"/>
      <c r="T2585" s="379"/>
      <c r="U2585" s="379"/>
      <c r="V2585" s="379"/>
      <c r="W2585" s="379"/>
      <c r="X2585" s="379"/>
      <c r="Y2585" s="379"/>
      <c r="Z2585" s="379"/>
      <c r="AA2585" s="379"/>
      <c r="AB2585" s="379"/>
      <c r="AC2585" s="379"/>
      <c r="AD2585" s="379"/>
      <c r="AE2585" s="379"/>
      <c r="AF2585" s="379"/>
      <c r="AG2585" s="379"/>
      <c r="AH2585" s="379"/>
      <c r="AI2585" s="379"/>
      <c r="AJ2585" s="379"/>
      <c r="AK2585" s="379"/>
      <c r="AL2585" s="379"/>
      <c r="AM2585" s="379"/>
      <c r="AN2585" s="379"/>
      <c r="AO2585" s="379"/>
      <c r="AP2585" s="379"/>
      <c r="AQ2585" s="379"/>
      <c r="AR2585" s="379"/>
      <c r="AS2585" s="379"/>
      <c r="AT2585" s="379"/>
      <c r="AU2585" s="379"/>
      <c r="AV2585" s="379"/>
      <c r="AW2585" s="379"/>
      <c r="AX2585" s="379"/>
      <c r="AY2585" s="379"/>
      <c r="AZ2585" s="379"/>
      <c r="BA2585" s="379"/>
      <c r="BB2585" s="379"/>
      <c r="BC2585" s="379"/>
      <c r="BD2585" s="379"/>
      <c r="BE2585" s="379"/>
      <c r="BF2585" s="379"/>
      <c r="BG2585" s="379"/>
      <c r="BH2585" s="379"/>
      <c r="BI2585" s="379"/>
      <c r="BJ2585" s="379"/>
      <c r="BK2585" s="379"/>
      <c r="BL2585" s="379"/>
      <c r="BM2585" s="379"/>
      <c r="BN2585" s="379"/>
      <c r="BO2585" s="379"/>
      <c r="BP2585" s="379"/>
      <c r="BQ2585" s="379"/>
      <c r="BR2585" s="379"/>
      <c r="BS2585" s="379"/>
      <c r="BT2585" s="379"/>
      <c r="BU2585" s="379"/>
      <c r="BV2585" s="379"/>
      <c r="BW2585" s="379"/>
      <c r="BX2585" s="379"/>
      <c r="BY2585" s="379"/>
      <c r="BZ2585" s="379"/>
      <c r="CA2585" s="281"/>
      <c r="CB2585" s="3" t="str">
        <f t="shared" si="459"/>
        <v>Riadok bude skrytý.</v>
      </c>
      <c r="CC2585" s="271" t="s">
        <v>832</v>
      </c>
      <c r="CW2585" s="32">
        <f t="shared" si="463"/>
        <v>1</v>
      </c>
      <c r="CX2585" s="30">
        <f t="shared" si="464"/>
        <v>0</v>
      </c>
      <c r="CZ2585" s="30">
        <f t="shared" si="460"/>
        <v>1</v>
      </c>
      <c r="DA2585" s="52">
        <f t="shared" si="465"/>
        <v>0</v>
      </c>
      <c r="DB2585" s="2">
        <f t="shared" si="462"/>
        <v>0</v>
      </c>
      <c r="DS2585" s="130">
        <f>SI!BY2585</f>
        <v>320</v>
      </c>
      <c r="DZ2585" s="131">
        <f>SI!BZ2585</f>
        <v>0</v>
      </c>
    </row>
    <row r="2586" spans="1:130" hidden="1" x14ac:dyDescent="0.25">
      <c r="A2586" s="141"/>
      <c r="B2586" s="379"/>
      <c r="C2586" s="379"/>
      <c r="D2586" s="379"/>
      <c r="E2586" s="379"/>
      <c r="F2586" s="379"/>
      <c r="G2586" s="379"/>
      <c r="H2586" s="379"/>
      <c r="I2586" s="379"/>
      <c r="J2586" s="379"/>
      <c r="K2586" s="379"/>
      <c r="L2586" s="379"/>
      <c r="M2586" s="379"/>
      <c r="N2586" s="379"/>
      <c r="O2586" s="379"/>
      <c r="P2586" s="379"/>
      <c r="Q2586" s="379"/>
      <c r="R2586" s="379"/>
      <c r="S2586" s="379"/>
      <c r="T2586" s="379"/>
      <c r="U2586" s="379"/>
      <c r="V2586" s="379"/>
      <c r="W2586" s="379"/>
      <c r="X2586" s="379"/>
      <c r="Y2586" s="379"/>
      <c r="Z2586" s="379"/>
      <c r="AA2586" s="379"/>
      <c r="AB2586" s="379"/>
      <c r="AC2586" s="379"/>
      <c r="AD2586" s="379"/>
      <c r="AE2586" s="379"/>
      <c r="AF2586" s="379"/>
      <c r="AG2586" s="379"/>
      <c r="AH2586" s="379"/>
      <c r="AI2586" s="379"/>
      <c r="AJ2586" s="379"/>
      <c r="AK2586" s="379"/>
      <c r="AL2586" s="379"/>
      <c r="AM2586" s="379"/>
      <c r="AN2586" s="379"/>
      <c r="AO2586" s="379"/>
      <c r="AP2586" s="379"/>
      <c r="AQ2586" s="379"/>
      <c r="AR2586" s="379"/>
      <c r="AS2586" s="379"/>
      <c r="AT2586" s="379"/>
      <c r="AU2586" s="379"/>
      <c r="AV2586" s="379"/>
      <c r="AW2586" s="379"/>
      <c r="AX2586" s="379"/>
      <c r="AY2586" s="379"/>
      <c r="AZ2586" s="379"/>
      <c r="BA2586" s="379"/>
      <c r="BB2586" s="379"/>
      <c r="BC2586" s="379"/>
      <c r="BD2586" s="379"/>
      <c r="BE2586" s="379"/>
      <c r="BF2586" s="379"/>
      <c r="BG2586" s="379"/>
      <c r="BH2586" s="379"/>
      <c r="BI2586" s="379"/>
      <c r="BJ2586" s="379"/>
      <c r="BK2586" s="379"/>
      <c r="BL2586" s="379"/>
      <c r="BM2586" s="379"/>
      <c r="BN2586" s="379"/>
      <c r="BO2586" s="379"/>
      <c r="BP2586" s="379"/>
      <c r="BQ2586" s="379"/>
      <c r="BR2586" s="379"/>
      <c r="BS2586" s="379"/>
      <c r="BT2586" s="379"/>
      <c r="BU2586" s="379"/>
      <c r="BV2586" s="379"/>
      <c r="BW2586" s="379"/>
      <c r="BX2586" s="379"/>
      <c r="BY2586" s="379"/>
      <c r="BZ2586" s="379"/>
      <c r="CA2586" s="281"/>
      <c r="CB2586" s="3" t="str">
        <f t="shared" si="459"/>
        <v>Riadok bude skrytý.</v>
      </c>
      <c r="CC2586" s="271" t="s">
        <v>832</v>
      </c>
      <c r="CW2586" s="32">
        <f t="shared" si="463"/>
        <v>1</v>
      </c>
      <c r="CX2586" s="30">
        <f t="shared" si="464"/>
        <v>0</v>
      </c>
      <c r="CZ2586" s="30">
        <f t="shared" si="460"/>
        <v>1</v>
      </c>
      <c r="DA2586" s="52">
        <f t="shared" si="465"/>
        <v>0</v>
      </c>
      <c r="DB2586" s="2">
        <f t="shared" si="462"/>
        <v>0</v>
      </c>
      <c r="DS2586" s="130">
        <f>SI!BY2586</f>
        <v>136</v>
      </c>
      <c r="DZ2586" s="131">
        <f>SI!BZ2586</f>
        <v>0</v>
      </c>
    </row>
    <row r="2587" spans="1:130" hidden="1" x14ac:dyDescent="0.25">
      <c r="A2587" s="141"/>
      <c r="B2587" s="379"/>
      <c r="C2587" s="379"/>
      <c r="D2587" s="379"/>
      <c r="E2587" s="379"/>
      <c r="F2587" s="379"/>
      <c r="G2587" s="379"/>
      <c r="H2587" s="379"/>
      <c r="I2587" s="379"/>
      <c r="J2587" s="379"/>
      <c r="K2587" s="379"/>
      <c r="L2587" s="379"/>
      <c r="M2587" s="379"/>
      <c r="N2587" s="379"/>
      <c r="O2587" s="379"/>
      <c r="P2587" s="379"/>
      <c r="Q2587" s="379"/>
      <c r="R2587" s="379"/>
      <c r="S2587" s="379"/>
      <c r="T2587" s="379"/>
      <c r="U2587" s="379"/>
      <c r="V2587" s="379"/>
      <c r="W2587" s="379"/>
      <c r="X2587" s="379"/>
      <c r="Y2587" s="379"/>
      <c r="Z2587" s="379"/>
      <c r="AA2587" s="379"/>
      <c r="AB2587" s="379"/>
      <c r="AC2587" s="379"/>
      <c r="AD2587" s="379"/>
      <c r="AE2587" s="379"/>
      <c r="AF2587" s="379"/>
      <c r="AG2587" s="379"/>
      <c r="AH2587" s="379"/>
      <c r="AI2587" s="379"/>
      <c r="AJ2587" s="379"/>
      <c r="AK2587" s="379"/>
      <c r="AL2587" s="379"/>
      <c r="AM2587" s="379"/>
      <c r="AN2587" s="379"/>
      <c r="AO2587" s="379"/>
      <c r="AP2587" s="379"/>
      <c r="AQ2587" s="379"/>
      <c r="AR2587" s="379"/>
      <c r="AS2587" s="379"/>
      <c r="AT2587" s="379"/>
      <c r="AU2587" s="379"/>
      <c r="AV2587" s="379"/>
      <c r="AW2587" s="379"/>
      <c r="AX2587" s="379"/>
      <c r="AY2587" s="379"/>
      <c r="AZ2587" s="379"/>
      <c r="BA2587" s="379"/>
      <c r="BB2587" s="379"/>
      <c r="BC2587" s="379"/>
      <c r="BD2587" s="379"/>
      <c r="BE2587" s="379"/>
      <c r="BF2587" s="379"/>
      <c r="BG2587" s="379"/>
      <c r="BH2587" s="379"/>
      <c r="BI2587" s="379"/>
      <c r="BJ2587" s="379"/>
      <c r="BK2587" s="379"/>
      <c r="BL2587" s="379"/>
      <c r="BM2587" s="379"/>
      <c r="BN2587" s="379"/>
      <c r="BO2587" s="379"/>
      <c r="BP2587" s="379"/>
      <c r="BQ2587" s="379"/>
      <c r="BR2587" s="379"/>
      <c r="BS2587" s="379"/>
      <c r="BT2587" s="379"/>
      <c r="BU2587" s="379"/>
      <c r="BV2587" s="379"/>
      <c r="BW2587" s="379"/>
      <c r="BX2587" s="379"/>
      <c r="BY2587" s="379"/>
      <c r="BZ2587" s="379"/>
      <c r="CA2587" s="281"/>
      <c r="CB2587" s="3" t="str">
        <f t="shared" si="459"/>
        <v>Riadok bude skrytý.</v>
      </c>
      <c r="CC2587" s="271" t="s">
        <v>832</v>
      </c>
      <c r="CW2587" s="32">
        <f t="shared" si="463"/>
        <v>1</v>
      </c>
      <c r="CX2587" s="30">
        <f t="shared" si="464"/>
        <v>0</v>
      </c>
      <c r="CZ2587" s="30">
        <f t="shared" si="460"/>
        <v>1</v>
      </c>
      <c r="DA2587" s="52">
        <f t="shared" si="465"/>
        <v>0</v>
      </c>
      <c r="DB2587" s="2">
        <f t="shared" si="462"/>
        <v>0</v>
      </c>
      <c r="DS2587" s="130">
        <f>SI!BY2587</f>
        <v>263</v>
      </c>
      <c r="DZ2587" s="131">
        <f>SI!BZ2587</f>
        <v>0</v>
      </c>
    </row>
    <row r="2588" spans="1:130" hidden="1" x14ac:dyDescent="0.25">
      <c r="A2588" s="141"/>
      <c r="B2588" s="379"/>
      <c r="C2588" s="379"/>
      <c r="D2588" s="379"/>
      <c r="E2588" s="379"/>
      <c r="F2588" s="379"/>
      <c r="G2588" s="379"/>
      <c r="H2588" s="379"/>
      <c r="I2588" s="379"/>
      <c r="J2588" s="379"/>
      <c r="K2588" s="379"/>
      <c r="L2588" s="379"/>
      <c r="M2588" s="379"/>
      <c r="N2588" s="379"/>
      <c r="O2588" s="379"/>
      <c r="P2588" s="379"/>
      <c r="Q2588" s="379"/>
      <c r="R2588" s="379"/>
      <c r="S2588" s="379"/>
      <c r="T2588" s="379"/>
      <c r="U2588" s="379"/>
      <c r="V2588" s="379"/>
      <c r="W2588" s="379"/>
      <c r="X2588" s="379"/>
      <c r="Y2588" s="379"/>
      <c r="Z2588" s="379"/>
      <c r="AA2588" s="379"/>
      <c r="AB2588" s="379"/>
      <c r="AC2588" s="379"/>
      <c r="AD2588" s="379"/>
      <c r="AE2588" s="379"/>
      <c r="AF2588" s="379"/>
      <c r="AG2588" s="379"/>
      <c r="AH2588" s="379"/>
      <c r="AI2588" s="379"/>
      <c r="AJ2588" s="379"/>
      <c r="AK2588" s="379"/>
      <c r="AL2588" s="379"/>
      <c r="AM2588" s="379"/>
      <c r="AN2588" s="379"/>
      <c r="AO2588" s="379"/>
      <c r="AP2588" s="379"/>
      <c r="AQ2588" s="379"/>
      <c r="AR2588" s="379"/>
      <c r="AS2588" s="379"/>
      <c r="AT2588" s="379"/>
      <c r="AU2588" s="379"/>
      <c r="AV2588" s="379"/>
      <c r="AW2588" s="379"/>
      <c r="AX2588" s="379"/>
      <c r="AY2588" s="379"/>
      <c r="AZ2588" s="379"/>
      <c r="BA2588" s="379"/>
      <c r="BB2588" s="379"/>
      <c r="BC2588" s="379"/>
      <c r="BD2588" s="379"/>
      <c r="BE2588" s="379"/>
      <c r="BF2588" s="379"/>
      <c r="BG2588" s="379"/>
      <c r="BH2588" s="379"/>
      <c r="BI2588" s="379"/>
      <c r="BJ2588" s="379"/>
      <c r="BK2588" s="379"/>
      <c r="BL2588" s="379"/>
      <c r="BM2588" s="379"/>
      <c r="BN2588" s="379"/>
      <c r="BO2588" s="379"/>
      <c r="BP2588" s="379"/>
      <c r="BQ2588" s="379"/>
      <c r="BR2588" s="379"/>
      <c r="BS2588" s="379"/>
      <c r="BT2588" s="379"/>
      <c r="BU2588" s="379"/>
      <c r="BV2588" s="379"/>
      <c r="BW2588" s="379"/>
      <c r="BX2588" s="379"/>
      <c r="BY2588" s="379"/>
      <c r="BZ2588" s="379"/>
      <c r="CA2588" s="281"/>
      <c r="CB2588" s="3" t="str">
        <f t="shared" si="459"/>
        <v>Riadok bude skrytý.</v>
      </c>
      <c r="CC2588" s="271" t="s">
        <v>832</v>
      </c>
      <c r="CW2588" s="32">
        <f t="shared" si="463"/>
        <v>1</v>
      </c>
      <c r="CX2588" s="30">
        <f t="shared" si="464"/>
        <v>0</v>
      </c>
      <c r="CZ2588" s="30">
        <f t="shared" si="460"/>
        <v>1</v>
      </c>
      <c r="DA2588" s="52">
        <f t="shared" si="465"/>
        <v>0</v>
      </c>
      <c r="DB2588" s="2">
        <f t="shared" si="462"/>
        <v>0</v>
      </c>
      <c r="DS2588" s="130">
        <f>SI!BY2588</f>
        <v>120</v>
      </c>
      <c r="DZ2588" s="131">
        <f>SI!BZ2588</f>
        <v>0</v>
      </c>
    </row>
    <row r="2589" spans="1:130" hidden="1" x14ac:dyDescent="0.25">
      <c r="A2589" s="141"/>
      <c r="B2589" s="379"/>
      <c r="C2589" s="379"/>
      <c r="D2589" s="379"/>
      <c r="E2589" s="379"/>
      <c r="F2589" s="379"/>
      <c r="G2589" s="379"/>
      <c r="H2589" s="379"/>
      <c r="I2589" s="379"/>
      <c r="J2589" s="379"/>
      <c r="K2589" s="379"/>
      <c r="L2589" s="379"/>
      <c r="M2589" s="379"/>
      <c r="N2589" s="379"/>
      <c r="O2589" s="379"/>
      <c r="P2589" s="379"/>
      <c r="Q2589" s="379"/>
      <c r="R2589" s="379"/>
      <c r="S2589" s="379"/>
      <c r="T2589" s="379"/>
      <c r="U2589" s="379"/>
      <c r="V2589" s="379"/>
      <c r="W2589" s="379"/>
      <c r="X2589" s="379"/>
      <c r="Y2589" s="379"/>
      <c r="Z2589" s="379"/>
      <c r="AA2589" s="379"/>
      <c r="AB2589" s="379"/>
      <c r="AC2589" s="379"/>
      <c r="AD2589" s="379"/>
      <c r="AE2589" s="379"/>
      <c r="AF2589" s="379"/>
      <c r="AG2589" s="379"/>
      <c r="AH2589" s="379"/>
      <c r="AI2589" s="379"/>
      <c r="AJ2589" s="379"/>
      <c r="AK2589" s="379"/>
      <c r="AL2589" s="379"/>
      <c r="AM2589" s="379"/>
      <c r="AN2589" s="379"/>
      <c r="AO2589" s="379"/>
      <c r="AP2589" s="379"/>
      <c r="AQ2589" s="379"/>
      <c r="AR2589" s="379"/>
      <c r="AS2589" s="379"/>
      <c r="AT2589" s="379"/>
      <c r="AU2589" s="379"/>
      <c r="AV2589" s="379"/>
      <c r="AW2589" s="379"/>
      <c r="AX2589" s="379"/>
      <c r="AY2589" s="379"/>
      <c r="AZ2589" s="379"/>
      <c r="BA2589" s="379"/>
      <c r="BB2589" s="379"/>
      <c r="BC2589" s="379"/>
      <c r="BD2589" s="379"/>
      <c r="BE2589" s="379"/>
      <c r="BF2589" s="379"/>
      <c r="BG2589" s="379"/>
      <c r="BH2589" s="379"/>
      <c r="BI2589" s="379"/>
      <c r="BJ2589" s="379"/>
      <c r="BK2589" s="379"/>
      <c r="BL2589" s="379"/>
      <c r="BM2589" s="379"/>
      <c r="BN2589" s="379"/>
      <c r="BO2589" s="379"/>
      <c r="BP2589" s="379"/>
      <c r="BQ2589" s="379"/>
      <c r="BR2589" s="379"/>
      <c r="BS2589" s="379"/>
      <c r="BT2589" s="379"/>
      <c r="BU2589" s="379"/>
      <c r="BV2589" s="379"/>
      <c r="BW2589" s="379"/>
      <c r="BX2589" s="379"/>
      <c r="BY2589" s="379"/>
      <c r="BZ2589" s="379"/>
      <c r="CA2589" s="281"/>
      <c r="CB2589" s="3" t="str">
        <f t="shared" si="459"/>
        <v>Riadok bude skrytý.</v>
      </c>
      <c r="CC2589" s="271" t="s">
        <v>832</v>
      </c>
      <c r="CW2589" s="32">
        <f t="shared" si="463"/>
        <v>1</v>
      </c>
      <c r="CX2589" s="30">
        <f t="shared" si="464"/>
        <v>0</v>
      </c>
      <c r="CZ2589" s="30">
        <f t="shared" si="460"/>
        <v>1</v>
      </c>
      <c r="DA2589" s="52">
        <f t="shared" si="465"/>
        <v>0</v>
      </c>
      <c r="DB2589" s="2">
        <f t="shared" si="462"/>
        <v>0</v>
      </c>
      <c r="DS2589" s="130">
        <f>SI!BY2589</f>
        <v>187</v>
      </c>
      <c r="DZ2589" s="131">
        <f>SI!BZ2589</f>
        <v>0</v>
      </c>
    </row>
    <row r="2590" spans="1:130" hidden="1" x14ac:dyDescent="0.25">
      <c r="A2590" s="141"/>
      <c r="B2590" s="379"/>
      <c r="C2590" s="379"/>
      <c r="D2590" s="379"/>
      <c r="E2590" s="379"/>
      <c r="F2590" s="379"/>
      <c r="G2590" s="379"/>
      <c r="H2590" s="379"/>
      <c r="I2590" s="379"/>
      <c r="J2590" s="379"/>
      <c r="K2590" s="379"/>
      <c r="L2590" s="379"/>
      <c r="M2590" s="379"/>
      <c r="N2590" s="379"/>
      <c r="O2590" s="379"/>
      <c r="P2590" s="379"/>
      <c r="Q2590" s="379"/>
      <c r="R2590" s="379"/>
      <c r="S2590" s="379"/>
      <c r="T2590" s="379"/>
      <c r="U2590" s="379"/>
      <c r="V2590" s="379"/>
      <c r="W2590" s="379"/>
      <c r="X2590" s="379"/>
      <c r="Y2590" s="379"/>
      <c r="Z2590" s="379"/>
      <c r="AA2590" s="379"/>
      <c r="AB2590" s="379"/>
      <c r="AC2590" s="379"/>
      <c r="AD2590" s="379"/>
      <c r="AE2590" s="379"/>
      <c r="AF2590" s="379"/>
      <c r="AG2590" s="379"/>
      <c r="AH2590" s="379"/>
      <c r="AI2590" s="379"/>
      <c r="AJ2590" s="379"/>
      <c r="AK2590" s="379"/>
      <c r="AL2590" s="379"/>
      <c r="AM2590" s="379"/>
      <c r="AN2590" s="379"/>
      <c r="AO2590" s="379"/>
      <c r="AP2590" s="379"/>
      <c r="AQ2590" s="379"/>
      <c r="AR2590" s="379"/>
      <c r="AS2590" s="379"/>
      <c r="AT2590" s="379"/>
      <c r="AU2590" s="379"/>
      <c r="AV2590" s="379"/>
      <c r="AW2590" s="379"/>
      <c r="AX2590" s="379"/>
      <c r="AY2590" s="379"/>
      <c r="AZ2590" s="379"/>
      <c r="BA2590" s="379"/>
      <c r="BB2590" s="379"/>
      <c r="BC2590" s="379"/>
      <c r="BD2590" s="379"/>
      <c r="BE2590" s="379"/>
      <c r="BF2590" s="379"/>
      <c r="BG2590" s="379"/>
      <c r="BH2590" s="379"/>
      <c r="BI2590" s="379"/>
      <c r="BJ2590" s="379"/>
      <c r="BK2590" s="379"/>
      <c r="BL2590" s="379"/>
      <c r="BM2590" s="379"/>
      <c r="BN2590" s="379"/>
      <c r="BO2590" s="379"/>
      <c r="BP2590" s="379"/>
      <c r="BQ2590" s="379"/>
      <c r="BR2590" s="379"/>
      <c r="BS2590" s="379"/>
      <c r="BT2590" s="379"/>
      <c r="BU2590" s="379"/>
      <c r="BV2590" s="379"/>
      <c r="BW2590" s="379"/>
      <c r="BX2590" s="379"/>
      <c r="BY2590" s="379"/>
      <c r="BZ2590" s="379"/>
      <c r="CA2590" s="281"/>
      <c r="CB2590" s="3" t="str">
        <f t="shared" si="459"/>
        <v>Riadok bude skrytý.</v>
      </c>
      <c r="CC2590" s="271" t="s">
        <v>832</v>
      </c>
      <c r="CW2590" s="32">
        <f t="shared" si="463"/>
        <v>1</v>
      </c>
      <c r="CX2590" s="30">
        <f t="shared" si="464"/>
        <v>0</v>
      </c>
      <c r="CZ2590" s="30">
        <f t="shared" si="460"/>
        <v>1</v>
      </c>
      <c r="DA2590" s="52">
        <f t="shared" si="465"/>
        <v>0</v>
      </c>
      <c r="DB2590" s="2">
        <f t="shared" si="462"/>
        <v>0</v>
      </c>
      <c r="DS2590" s="130">
        <f>SI!BY2590</f>
        <v>123</v>
      </c>
      <c r="DZ2590" s="131">
        <f>SI!BZ2590</f>
        <v>0</v>
      </c>
    </row>
    <row r="2591" spans="1:130" hidden="1" x14ac:dyDescent="0.25">
      <c r="A2591" s="141"/>
      <c r="B2591" s="379"/>
      <c r="C2591" s="379"/>
      <c r="D2591" s="379"/>
      <c r="E2591" s="379"/>
      <c r="F2591" s="379"/>
      <c r="G2591" s="379"/>
      <c r="H2591" s="379"/>
      <c r="I2591" s="379"/>
      <c r="J2591" s="379"/>
      <c r="K2591" s="379"/>
      <c r="L2591" s="379"/>
      <c r="M2591" s="379"/>
      <c r="N2591" s="379"/>
      <c r="O2591" s="379"/>
      <c r="P2591" s="379"/>
      <c r="Q2591" s="379"/>
      <c r="R2591" s="379"/>
      <c r="S2591" s="379"/>
      <c r="T2591" s="379"/>
      <c r="U2591" s="379"/>
      <c r="V2591" s="379"/>
      <c r="W2591" s="379"/>
      <c r="X2591" s="379"/>
      <c r="Y2591" s="379"/>
      <c r="Z2591" s="379"/>
      <c r="AA2591" s="379"/>
      <c r="AB2591" s="379"/>
      <c r="AC2591" s="379"/>
      <c r="AD2591" s="379"/>
      <c r="AE2591" s="379"/>
      <c r="AF2591" s="379"/>
      <c r="AG2591" s="379"/>
      <c r="AH2591" s="379"/>
      <c r="AI2591" s="379"/>
      <c r="AJ2591" s="379"/>
      <c r="AK2591" s="379"/>
      <c r="AL2591" s="379"/>
      <c r="AM2591" s="379"/>
      <c r="AN2591" s="379"/>
      <c r="AO2591" s="379"/>
      <c r="AP2591" s="379"/>
      <c r="AQ2591" s="379"/>
      <c r="AR2591" s="379"/>
      <c r="AS2591" s="379"/>
      <c r="AT2591" s="379"/>
      <c r="AU2591" s="379"/>
      <c r="AV2591" s="379"/>
      <c r="AW2591" s="379"/>
      <c r="AX2591" s="379"/>
      <c r="AY2591" s="379"/>
      <c r="AZ2591" s="379"/>
      <c r="BA2591" s="379"/>
      <c r="BB2591" s="379"/>
      <c r="BC2591" s="379"/>
      <c r="BD2591" s="379"/>
      <c r="BE2591" s="379"/>
      <c r="BF2591" s="379"/>
      <c r="BG2591" s="379"/>
      <c r="BH2591" s="379"/>
      <c r="BI2591" s="379"/>
      <c r="BJ2591" s="379"/>
      <c r="BK2591" s="379"/>
      <c r="BL2591" s="379"/>
      <c r="BM2591" s="379"/>
      <c r="BN2591" s="379"/>
      <c r="BO2591" s="379"/>
      <c r="BP2591" s="379"/>
      <c r="BQ2591" s="379"/>
      <c r="BR2591" s="379"/>
      <c r="BS2591" s="379"/>
      <c r="BT2591" s="379"/>
      <c r="BU2591" s="379"/>
      <c r="BV2591" s="379"/>
      <c r="BW2591" s="379"/>
      <c r="BX2591" s="379"/>
      <c r="BY2591" s="379"/>
      <c r="BZ2591" s="379"/>
      <c r="CA2591" s="281"/>
      <c r="CB2591" s="3" t="str">
        <f t="shared" si="459"/>
        <v>Riadok bude skrytý.</v>
      </c>
      <c r="CC2591" s="271" t="s">
        <v>832</v>
      </c>
      <c r="CW2591" s="32">
        <f t="shared" si="463"/>
        <v>1</v>
      </c>
      <c r="CX2591" s="30">
        <f t="shared" si="464"/>
        <v>0</v>
      </c>
      <c r="CZ2591" s="30">
        <f t="shared" si="460"/>
        <v>1</v>
      </c>
      <c r="DA2591" s="52">
        <f t="shared" si="465"/>
        <v>0</v>
      </c>
      <c r="DB2591" s="2">
        <f t="shared" si="462"/>
        <v>0</v>
      </c>
      <c r="DS2591" s="130">
        <f>SI!BY2591</f>
        <v>116</v>
      </c>
      <c r="DZ2591" s="131">
        <f>SI!BZ2591</f>
        <v>0</v>
      </c>
    </row>
    <row r="2592" spans="1:130" hidden="1" x14ac:dyDescent="0.25">
      <c r="A2592" s="141"/>
      <c r="B2592" s="379"/>
      <c r="C2592" s="379"/>
      <c r="D2592" s="379"/>
      <c r="E2592" s="379"/>
      <c r="F2592" s="379"/>
      <c r="G2592" s="379"/>
      <c r="H2592" s="379"/>
      <c r="I2592" s="379"/>
      <c r="J2592" s="379"/>
      <c r="K2592" s="379"/>
      <c r="L2592" s="379"/>
      <c r="M2592" s="379"/>
      <c r="N2592" s="379"/>
      <c r="O2592" s="379"/>
      <c r="P2592" s="379"/>
      <c r="Q2592" s="379"/>
      <c r="R2592" s="379"/>
      <c r="S2592" s="379"/>
      <c r="T2592" s="379"/>
      <c r="U2592" s="379"/>
      <c r="V2592" s="379"/>
      <c r="W2592" s="379"/>
      <c r="X2592" s="379"/>
      <c r="Y2592" s="379"/>
      <c r="Z2592" s="379"/>
      <c r="AA2592" s="379"/>
      <c r="AB2592" s="379"/>
      <c r="AC2592" s="379"/>
      <c r="AD2592" s="379"/>
      <c r="AE2592" s="379"/>
      <c r="AF2592" s="379"/>
      <c r="AG2592" s="379"/>
      <c r="AH2592" s="379"/>
      <c r="AI2592" s="379"/>
      <c r="AJ2592" s="379"/>
      <c r="AK2592" s="379"/>
      <c r="AL2592" s="379"/>
      <c r="AM2592" s="379"/>
      <c r="AN2592" s="379"/>
      <c r="AO2592" s="379"/>
      <c r="AP2592" s="379"/>
      <c r="AQ2592" s="379"/>
      <c r="AR2592" s="379"/>
      <c r="AS2592" s="379"/>
      <c r="AT2592" s="379"/>
      <c r="AU2592" s="379"/>
      <c r="AV2592" s="379"/>
      <c r="AW2592" s="379"/>
      <c r="AX2592" s="379"/>
      <c r="AY2592" s="379"/>
      <c r="AZ2592" s="379"/>
      <c r="BA2592" s="379"/>
      <c r="BB2592" s="379"/>
      <c r="BC2592" s="379"/>
      <c r="BD2592" s="379"/>
      <c r="BE2592" s="379"/>
      <c r="BF2592" s="379"/>
      <c r="BG2592" s="379"/>
      <c r="BH2592" s="379"/>
      <c r="BI2592" s="379"/>
      <c r="BJ2592" s="379"/>
      <c r="BK2592" s="379"/>
      <c r="BL2592" s="379"/>
      <c r="BM2592" s="379"/>
      <c r="BN2592" s="379"/>
      <c r="BO2592" s="379"/>
      <c r="BP2592" s="379"/>
      <c r="BQ2592" s="379"/>
      <c r="BR2592" s="379"/>
      <c r="BS2592" s="379"/>
      <c r="BT2592" s="379"/>
      <c r="BU2592" s="379"/>
      <c r="BV2592" s="379"/>
      <c r="BW2592" s="379"/>
      <c r="BX2592" s="379"/>
      <c r="BY2592" s="379"/>
      <c r="BZ2592" s="379"/>
      <c r="CA2592" s="281"/>
      <c r="CB2592" s="3" t="str">
        <f t="shared" si="459"/>
        <v>Riadok bude skrytý.</v>
      </c>
      <c r="CC2592" s="271" t="s">
        <v>832</v>
      </c>
      <c r="CW2592" s="32">
        <f t="shared" si="463"/>
        <v>1</v>
      </c>
      <c r="CX2592" s="30">
        <f t="shared" si="464"/>
        <v>0</v>
      </c>
      <c r="CZ2592" s="30">
        <f t="shared" si="460"/>
        <v>1</v>
      </c>
      <c r="DA2592" s="52">
        <f t="shared" si="465"/>
        <v>0</v>
      </c>
      <c r="DB2592" s="2">
        <f t="shared" si="462"/>
        <v>0</v>
      </c>
      <c r="DS2592" s="130">
        <f>SI!BY2592</f>
        <v>151</v>
      </c>
      <c r="DZ2592" s="131">
        <f>SI!BZ2592</f>
        <v>0</v>
      </c>
    </row>
    <row r="2593" spans="1:130" hidden="1" x14ac:dyDescent="0.25">
      <c r="A2593" s="141"/>
      <c r="CA2593" s="270"/>
      <c r="CB2593" s="3" t="str">
        <f t="shared" si="459"/>
        <v>Riadok bude skrytý.</v>
      </c>
      <c r="CC2593" s="271" t="s">
        <v>832</v>
      </c>
      <c r="CW2593" s="32">
        <f t="shared" si="463"/>
        <v>1</v>
      </c>
      <c r="CZ2593" s="30">
        <f t="shared" si="460"/>
        <v>1</v>
      </c>
      <c r="DA2593" s="30">
        <f>+IF(CW2593+CX2593+CY2593=0,0,IF(CZ2593=0,0,1))</f>
        <v>1</v>
      </c>
      <c r="DB2593" s="2">
        <f t="shared" si="462"/>
        <v>0</v>
      </c>
      <c r="DS2593" s="130">
        <f>SI!BY2593</f>
        <v>515</v>
      </c>
      <c r="DZ2593" s="131">
        <f>SI!BZ2593</f>
        <v>0</v>
      </c>
    </row>
    <row r="2594" spans="1:130" hidden="1" x14ac:dyDescent="0.25">
      <c r="A2594" s="141"/>
      <c r="B2594" s="137" t="str">
        <f>+IF($S$52&lt;&gt;"",IF((CODE(MID($S$52,1,1))/100)&lt;10,IF(COMBIN(LEN(SI!J3),2)=DS2594,"Tržby za vlastné výkony a tovar podľa jednotlivých typov výrobkov a služieb, a podľa hlavných oblastí  ","NEPOVOLENÉ POUŽITIE !"),"NEPOVOLENÉ POUŽITIE!"),"NEPOVOLENÉ POUŽITIE !")</f>
        <v xml:space="preserve">Tržby za vlastné výkony a tovar podľa jednotlivých typov výrobkov a služieb, a podľa hlavných oblastí  </v>
      </c>
      <c r="CA2594" s="265" t="s">
        <v>773</v>
      </c>
      <c r="CB2594" s="3" t="str">
        <f t="shared" si="459"/>
        <v>Riadok bude skrytý.</v>
      </c>
      <c r="CC2594" s="271" t="s">
        <v>832</v>
      </c>
      <c r="CW2594" s="32">
        <f t="shared" si="463"/>
        <v>1</v>
      </c>
      <c r="CZ2594" s="30">
        <f t="shared" si="460"/>
        <v>1</v>
      </c>
      <c r="DA2594" s="30">
        <f t="shared" ref="DA2594:DA2657" si="466">+IF(CW2594+CX2594+CY2594=0,0,IF(CZ2594=0,0,1))</f>
        <v>1</v>
      </c>
      <c r="DB2594" s="2">
        <f t="shared" si="462"/>
        <v>0</v>
      </c>
      <c r="DS2594" s="130">
        <f>SI!BY2594</f>
        <v>10</v>
      </c>
      <c r="DZ2594" s="131">
        <f>SI!BZ2594</f>
        <v>0</v>
      </c>
    </row>
    <row r="2595" spans="1:130" hidden="1" x14ac:dyDescent="0.25">
      <c r="A2595" s="141"/>
      <c r="B2595" s="137" t="str">
        <f>+IF($M$52&lt;&gt;"",IF(SQRT(INT(FACT(DAY(24324))*FACT(DAY(24385))/576))=DS2595,"odbytu sú uvedené v tabuľke: ","NEPOVOLENÉ POUŽITIE!"),"NEPOVOLENÉ POUŽITIE!")</f>
        <v xml:space="preserve">odbytu sú uvedené v tabuľke: </v>
      </c>
      <c r="CA2595" s="281"/>
      <c r="CB2595" s="3" t="str">
        <f t="shared" si="459"/>
        <v>Riadok bude skrytý.</v>
      </c>
      <c r="CC2595" s="271" t="s">
        <v>832</v>
      </c>
      <c r="CW2595" s="32">
        <f t="shared" si="463"/>
        <v>1</v>
      </c>
      <c r="CZ2595" s="30">
        <f t="shared" si="460"/>
        <v>1</v>
      </c>
      <c r="DA2595" s="30">
        <f t="shared" si="466"/>
        <v>1</v>
      </c>
      <c r="DB2595" s="2">
        <f t="shared" si="462"/>
        <v>0</v>
      </c>
      <c r="DS2595" s="130">
        <f>SI!BY2595</f>
        <v>5</v>
      </c>
      <c r="DZ2595" s="131">
        <f>SI!BZ2595</f>
        <v>0</v>
      </c>
    </row>
    <row r="2596" spans="1:130" hidden="1" x14ac:dyDescent="0.25">
      <c r="A2596" s="141"/>
      <c r="CA2596" s="142"/>
      <c r="CB2596" s="3" t="str">
        <f t="shared" si="459"/>
        <v>Riadok bude skrytý.</v>
      </c>
      <c r="CC2596" s="271" t="s">
        <v>832</v>
      </c>
      <c r="CD2596" s="33"/>
      <c r="CW2596" s="32">
        <f t="shared" si="463"/>
        <v>1</v>
      </c>
      <c r="CZ2596" s="30">
        <f t="shared" si="460"/>
        <v>1</v>
      </c>
      <c r="DA2596" s="30">
        <f t="shared" si="466"/>
        <v>1</v>
      </c>
      <c r="DB2596" s="2">
        <f t="shared" si="462"/>
        <v>0</v>
      </c>
      <c r="DS2596" s="130">
        <f>SI!BY2596</f>
        <v>135</v>
      </c>
      <c r="DZ2596" s="131">
        <f>SI!BZ2596</f>
        <v>0</v>
      </c>
    </row>
    <row r="2597" spans="1:130" hidden="1" x14ac:dyDescent="0.25">
      <c r="A2597" s="141"/>
      <c r="B2597" s="1073" t="s">
        <v>328</v>
      </c>
      <c r="C2597" s="1074"/>
      <c r="D2597" s="1074"/>
      <c r="E2597" s="1074"/>
      <c r="F2597" s="1074"/>
      <c r="G2597" s="1074"/>
      <c r="H2597" s="1074"/>
      <c r="I2597" s="1074"/>
      <c r="J2597" s="1074"/>
      <c r="K2597" s="1074"/>
      <c r="L2597" s="1074"/>
      <c r="M2597" s="1074"/>
      <c r="N2597" s="1074"/>
      <c r="O2597" s="1074"/>
      <c r="P2597" s="1074"/>
      <c r="Q2597" s="1074"/>
      <c r="R2597" s="1575"/>
      <c r="S2597" s="1976"/>
      <c r="T2597" s="1977"/>
      <c r="U2597" s="1977"/>
      <c r="V2597" s="1977"/>
      <c r="W2597" s="1977"/>
      <c r="X2597" s="1977"/>
      <c r="Y2597" s="1977"/>
      <c r="Z2597" s="1977"/>
      <c r="AA2597" s="1977"/>
      <c r="AB2597" s="1977"/>
      <c r="AC2597" s="1977"/>
      <c r="AD2597" s="1977"/>
      <c r="AE2597" s="1977"/>
      <c r="AF2597" s="1977"/>
      <c r="AG2597" s="1977"/>
      <c r="AH2597" s="1977"/>
      <c r="AI2597" s="1977"/>
      <c r="AJ2597" s="1977"/>
      <c r="AK2597" s="1977"/>
      <c r="AL2597" s="1978"/>
      <c r="AM2597" s="1976"/>
      <c r="AN2597" s="1977"/>
      <c r="AO2597" s="1977"/>
      <c r="AP2597" s="1977"/>
      <c r="AQ2597" s="1977"/>
      <c r="AR2597" s="1977"/>
      <c r="AS2597" s="1977"/>
      <c r="AT2597" s="1977"/>
      <c r="AU2597" s="1977"/>
      <c r="AV2597" s="1977"/>
      <c r="AW2597" s="1977"/>
      <c r="AX2597" s="1977"/>
      <c r="AY2597" s="1977"/>
      <c r="AZ2597" s="1977"/>
      <c r="BA2597" s="1977"/>
      <c r="BB2597" s="1977"/>
      <c r="BC2597" s="1977"/>
      <c r="BD2597" s="1977"/>
      <c r="BE2597" s="1977"/>
      <c r="BF2597" s="1978"/>
      <c r="BG2597" s="1976"/>
      <c r="BH2597" s="1977"/>
      <c r="BI2597" s="1977"/>
      <c r="BJ2597" s="1977"/>
      <c r="BK2597" s="1977"/>
      <c r="BL2597" s="1977"/>
      <c r="BM2597" s="1977"/>
      <c r="BN2597" s="1977"/>
      <c r="BO2597" s="1977"/>
      <c r="BP2597" s="1977"/>
      <c r="BQ2597" s="1977"/>
      <c r="BR2597" s="1977"/>
      <c r="BS2597" s="1977"/>
      <c r="BT2597" s="1977"/>
      <c r="BU2597" s="1977"/>
      <c r="BV2597" s="1977"/>
      <c r="BW2597" s="1977"/>
      <c r="BX2597" s="1977"/>
      <c r="BY2597" s="1977"/>
      <c r="BZ2597" s="1978"/>
      <c r="CA2597" s="265" t="s">
        <v>773</v>
      </c>
      <c r="CB2597" s="3" t="str">
        <f t="shared" si="459"/>
        <v>Riadok bude skrytý.</v>
      </c>
      <c r="CC2597" s="271" t="s">
        <v>832</v>
      </c>
      <c r="CD2597" s="4"/>
      <c r="CE2597" s="4"/>
      <c r="CF2597" s="4"/>
      <c r="CG2597" s="4"/>
      <c r="CH2597" s="4"/>
      <c r="CI2597" s="4"/>
      <c r="CJ2597" s="4"/>
      <c r="CK2597" s="4"/>
      <c r="CL2597" s="4"/>
      <c r="CM2597" s="4"/>
      <c r="CN2597" s="4"/>
      <c r="CO2597" s="4"/>
      <c r="CW2597" s="32">
        <f t="shared" si="463"/>
        <v>1</v>
      </c>
      <c r="CZ2597" s="30">
        <f t="shared" si="460"/>
        <v>1</v>
      </c>
      <c r="DA2597" s="30">
        <f t="shared" si="466"/>
        <v>1</v>
      </c>
      <c r="DB2597" s="2">
        <f t="shared" si="462"/>
        <v>0</v>
      </c>
      <c r="DS2597" s="130">
        <f>SI!BY2597</f>
        <v>214</v>
      </c>
      <c r="DZ2597" s="131">
        <f>SI!BZ2597</f>
        <v>0</v>
      </c>
    </row>
    <row r="2598" spans="1:130" ht="14.95" hidden="1" customHeight="1" x14ac:dyDescent="0.25">
      <c r="A2598" s="141"/>
      <c r="B2598" s="1576"/>
      <c r="C2598" s="1577"/>
      <c r="D2598" s="1577"/>
      <c r="E2598" s="1577"/>
      <c r="F2598" s="1577"/>
      <c r="G2598" s="1577"/>
      <c r="H2598" s="1577"/>
      <c r="I2598" s="1577"/>
      <c r="J2598" s="1577"/>
      <c r="K2598" s="1577"/>
      <c r="L2598" s="1577"/>
      <c r="M2598" s="1577"/>
      <c r="N2598" s="1577"/>
      <c r="O2598" s="1577"/>
      <c r="P2598" s="1577"/>
      <c r="Q2598" s="1577"/>
      <c r="R2598" s="1578"/>
      <c r="S2598" s="1063">
        <f>+AJ141</f>
        <v>2021</v>
      </c>
      <c r="T2598" s="1058"/>
      <c r="U2598" s="1058"/>
      <c r="V2598" s="1058"/>
      <c r="W2598" s="1058"/>
      <c r="X2598" s="1058"/>
      <c r="Y2598" s="1058"/>
      <c r="Z2598" s="1058"/>
      <c r="AA2598" s="1058"/>
      <c r="AB2598" s="1058"/>
      <c r="AC2598" s="1058">
        <f>+BE141</f>
        <v>2020</v>
      </c>
      <c r="AD2598" s="1058"/>
      <c r="AE2598" s="1058"/>
      <c r="AF2598" s="1058"/>
      <c r="AG2598" s="1058"/>
      <c r="AH2598" s="1058"/>
      <c r="AI2598" s="1058"/>
      <c r="AJ2598" s="1058"/>
      <c r="AK2598" s="1058"/>
      <c r="AL2598" s="1059"/>
      <c r="AM2598" s="1063">
        <f>+AJ141</f>
        <v>2021</v>
      </c>
      <c r="AN2598" s="1058"/>
      <c r="AO2598" s="1058"/>
      <c r="AP2598" s="1058"/>
      <c r="AQ2598" s="1058"/>
      <c r="AR2598" s="1058"/>
      <c r="AS2598" s="1058"/>
      <c r="AT2598" s="1058"/>
      <c r="AU2598" s="1058"/>
      <c r="AV2598" s="1058"/>
      <c r="AW2598" s="1058">
        <f>+BE141</f>
        <v>2020</v>
      </c>
      <c r="AX2598" s="1058"/>
      <c r="AY2598" s="1058"/>
      <c r="AZ2598" s="1058"/>
      <c r="BA2598" s="1058"/>
      <c r="BB2598" s="1058"/>
      <c r="BC2598" s="1058"/>
      <c r="BD2598" s="1058"/>
      <c r="BE2598" s="1058"/>
      <c r="BF2598" s="1059"/>
      <c r="BG2598" s="1063">
        <f>+AJ141</f>
        <v>2021</v>
      </c>
      <c r="BH2598" s="1058"/>
      <c r="BI2598" s="1058"/>
      <c r="BJ2598" s="1058"/>
      <c r="BK2598" s="1058"/>
      <c r="BL2598" s="1058"/>
      <c r="BM2598" s="1058"/>
      <c r="BN2598" s="1058"/>
      <c r="BO2598" s="1058"/>
      <c r="BP2598" s="1058"/>
      <c r="BQ2598" s="1058"/>
      <c r="BR2598" s="1058">
        <f>+BE141</f>
        <v>2020</v>
      </c>
      <c r="BS2598" s="1058"/>
      <c r="BT2598" s="1058"/>
      <c r="BU2598" s="1058"/>
      <c r="BV2598" s="1058"/>
      <c r="BW2598" s="1058"/>
      <c r="BX2598" s="1058"/>
      <c r="BY2598" s="1058"/>
      <c r="BZ2598" s="1059"/>
      <c r="CA2598" s="142"/>
      <c r="CB2598" s="3" t="str">
        <f t="shared" si="459"/>
        <v>Riadok bude skrytý.</v>
      </c>
      <c r="CC2598" s="271" t="s">
        <v>832</v>
      </c>
      <c r="CD2598" s="33"/>
      <c r="CE2598" s="33"/>
      <c r="CW2598" s="32">
        <f t="shared" si="463"/>
        <v>1</v>
      </c>
      <c r="CZ2598" s="30">
        <f t="shared" si="460"/>
        <v>1</v>
      </c>
      <c r="DA2598" s="30">
        <f t="shared" si="466"/>
        <v>1</v>
      </c>
      <c r="DB2598" s="2">
        <f t="shared" si="462"/>
        <v>0</v>
      </c>
      <c r="DS2598" s="130">
        <f>SI!BY2598</f>
        <v>381</v>
      </c>
      <c r="DZ2598" s="131">
        <f>SI!BZ2598</f>
        <v>0</v>
      </c>
    </row>
    <row r="2599" spans="1:130" hidden="1" x14ac:dyDescent="0.25">
      <c r="A2599" s="141"/>
      <c r="B2599" s="1576"/>
      <c r="C2599" s="1577"/>
      <c r="D2599" s="1577"/>
      <c r="E2599" s="1577"/>
      <c r="F2599" s="1577"/>
      <c r="G2599" s="1577"/>
      <c r="H2599" s="1577"/>
      <c r="I2599" s="1577"/>
      <c r="J2599" s="1577"/>
      <c r="K2599" s="1577"/>
      <c r="L2599" s="1577"/>
      <c r="M2599" s="1577"/>
      <c r="N2599" s="1577"/>
      <c r="O2599" s="1577"/>
      <c r="P2599" s="1577"/>
      <c r="Q2599" s="1577"/>
      <c r="R2599" s="1578"/>
      <c r="S2599" s="1964"/>
      <c r="T2599" s="1965"/>
      <c r="U2599" s="1965"/>
      <c r="V2599" s="1965"/>
      <c r="W2599" s="1965"/>
      <c r="X2599" s="1965"/>
      <c r="Y2599" s="1965"/>
      <c r="Z2599" s="1965"/>
      <c r="AA2599" s="1965"/>
      <c r="AB2599" s="1965"/>
      <c r="AC2599" s="1965"/>
      <c r="AD2599" s="1965"/>
      <c r="AE2599" s="1965"/>
      <c r="AF2599" s="1965"/>
      <c r="AG2599" s="1965"/>
      <c r="AH2599" s="1965"/>
      <c r="AI2599" s="1965"/>
      <c r="AJ2599" s="1965"/>
      <c r="AK2599" s="1965"/>
      <c r="AL2599" s="1982"/>
      <c r="AM2599" s="1964"/>
      <c r="AN2599" s="1965"/>
      <c r="AO2599" s="1965"/>
      <c r="AP2599" s="1965"/>
      <c r="AQ2599" s="1965"/>
      <c r="AR2599" s="1965"/>
      <c r="AS2599" s="1965"/>
      <c r="AT2599" s="1965"/>
      <c r="AU2599" s="1965"/>
      <c r="AV2599" s="1965"/>
      <c r="AW2599" s="1965"/>
      <c r="AX2599" s="1965"/>
      <c r="AY2599" s="1965"/>
      <c r="AZ2599" s="1965"/>
      <c r="BA2599" s="1965"/>
      <c r="BB2599" s="1965"/>
      <c r="BC2599" s="1965"/>
      <c r="BD2599" s="1965"/>
      <c r="BE2599" s="1965"/>
      <c r="BF2599" s="1982"/>
      <c r="BG2599" s="1964"/>
      <c r="BH2599" s="1965"/>
      <c r="BI2599" s="1965"/>
      <c r="BJ2599" s="1965"/>
      <c r="BK2599" s="1965"/>
      <c r="BL2599" s="1965"/>
      <c r="BM2599" s="1965"/>
      <c r="BN2599" s="1965"/>
      <c r="BO2599" s="1965"/>
      <c r="BP2599" s="1965"/>
      <c r="BQ2599" s="1965"/>
      <c r="BR2599" s="1965"/>
      <c r="BS2599" s="1965"/>
      <c r="BT2599" s="1965"/>
      <c r="BU2599" s="1965"/>
      <c r="BV2599" s="1965"/>
      <c r="BW2599" s="1965"/>
      <c r="BX2599" s="1965"/>
      <c r="BY2599" s="1965"/>
      <c r="BZ2599" s="1982"/>
      <c r="CA2599" s="142"/>
      <c r="CB2599" s="3" t="str">
        <f t="shared" si="459"/>
        <v>Riadok bude skrytý.</v>
      </c>
      <c r="CC2599" s="271" t="s">
        <v>832</v>
      </c>
      <c r="CD2599" s="33"/>
      <c r="CE2599" s="33"/>
      <c r="CW2599" s="32">
        <f t="shared" si="463"/>
        <v>1</v>
      </c>
      <c r="CZ2599" s="30">
        <f t="shared" si="460"/>
        <v>1</v>
      </c>
      <c r="DA2599" s="30">
        <f t="shared" si="466"/>
        <v>1</v>
      </c>
      <c r="DB2599" s="2">
        <f t="shared" si="462"/>
        <v>0</v>
      </c>
      <c r="DS2599" s="130">
        <f>SI!BY2599</f>
        <v>124</v>
      </c>
      <c r="DZ2599" s="131">
        <f>SI!BZ2599</f>
        <v>0</v>
      </c>
    </row>
    <row r="2600" spans="1:130" hidden="1" x14ac:dyDescent="0.25">
      <c r="A2600" s="141"/>
      <c r="B2600" s="1075"/>
      <c r="C2600" s="1076"/>
      <c r="D2600" s="1076"/>
      <c r="E2600" s="1076"/>
      <c r="F2600" s="1076"/>
      <c r="G2600" s="1076"/>
      <c r="H2600" s="1076"/>
      <c r="I2600" s="1076"/>
      <c r="J2600" s="1076"/>
      <c r="K2600" s="1076"/>
      <c r="L2600" s="1076"/>
      <c r="M2600" s="1076"/>
      <c r="N2600" s="1076"/>
      <c r="O2600" s="1076"/>
      <c r="P2600" s="1076"/>
      <c r="Q2600" s="1076"/>
      <c r="R2600" s="1579"/>
      <c r="S2600" s="1966"/>
      <c r="T2600" s="1967"/>
      <c r="U2600" s="1967"/>
      <c r="V2600" s="1967"/>
      <c r="W2600" s="1967"/>
      <c r="X2600" s="1967"/>
      <c r="Y2600" s="1967"/>
      <c r="Z2600" s="1967"/>
      <c r="AA2600" s="1967"/>
      <c r="AB2600" s="1967"/>
      <c r="AC2600" s="1967"/>
      <c r="AD2600" s="1967"/>
      <c r="AE2600" s="1967"/>
      <c r="AF2600" s="1967"/>
      <c r="AG2600" s="1967"/>
      <c r="AH2600" s="1967"/>
      <c r="AI2600" s="1967"/>
      <c r="AJ2600" s="1967"/>
      <c r="AK2600" s="1967"/>
      <c r="AL2600" s="1991"/>
      <c r="AM2600" s="1966"/>
      <c r="AN2600" s="1967"/>
      <c r="AO2600" s="1967"/>
      <c r="AP2600" s="1967"/>
      <c r="AQ2600" s="1967"/>
      <c r="AR2600" s="1967"/>
      <c r="AS2600" s="1967"/>
      <c r="AT2600" s="1967"/>
      <c r="AU2600" s="1967"/>
      <c r="AV2600" s="1967"/>
      <c r="AW2600" s="1967"/>
      <c r="AX2600" s="1967"/>
      <c r="AY2600" s="1967"/>
      <c r="AZ2600" s="1967"/>
      <c r="BA2600" s="1967"/>
      <c r="BB2600" s="1967"/>
      <c r="BC2600" s="1967"/>
      <c r="BD2600" s="1967"/>
      <c r="BE2600" s="1967"/>
      <c r="BF2600" s="1991"/>
      <c r="BG2600" s="1966"/>
      <c r="BH2600" s="1967"/>
      <c r="BI2600" s="1967"/>
      <c r="BJ2600" s="1967"/>
      <c r="BK2600" s="1967"/>
      <c r="BL2600" s="1967"/>
      <c r="BM2600" s="1967"/>
      <c r="BN2600" s="1967"/>
      <c r="BO2600" s="1967"/>
      <c r="BP2600" s="1967"/>
      <c r="BQ2600" s="1967"/>
      <c r="BR2600" s="1967"/>
      <c r="BS2600" s="1967"/>
      <c r="BT2600" s="1967"/>
      <c r="BU2600" s="1967"/>
      <c r="BV2600" s="1967"/>
      <c r="BW2600" s="1967"/>
      <c r="BX2600" s="1967"/>
      <c r="BY2600" s="1967"/>
      <c r="BZ2600" s="1991"/>
      <c r="CA2600" s="142"/>
      <c r="CB2600" s="3" t="str">
        <f t="shared" si="459"/>
        <v>Riadok bude skrytý.</v>
      </c>
      <c r="CC2600" s="271" t="s">
        <v>832</v>
      </c>
      <c r="CD2600" s="33"/>
      <c r="CE2600" s="33"/>
      <c r="CW2600" s="32">
        <f t="shared" si="463"/>
        <v>1</v>
      </c>
      <c r="CZ2600" s="30">
        <f t="shared" si="460"/>
        <v>1</v>
      </c>
      <c r="DA2600" s="30">
        <f t="shared" si="466"/>
        <v>1</v>
      </c>
      <c r="DB2600" s="2">
        <f t="shared" si="462"/>
        <v>0</v>
      </c>
      <c r="DS2600" s="130">
        <f>SI!BY2600</f>
        <v>1124</v>
      </c>
      <c r="DZ2600" s="131">
        <f>SI!BZ2600</f>
        <v>0</v>
      </c>
    </row>
    <row r="2601" spans="1:130" hidden="1" x14ac:dyDescent="0.25">
      <c r="A2601" s="141"/>
      <c r="B2601" s="524" t="s">
        <v>0</v>
      </c>
      <c r="C2601" s="525"/>
      <c r="D2601" s="525"/>
      <c r="E2601" s="525"/>
      <c r="F2601" s="525"/>
      <c r="G2601" s="525"/>
      <c r="H2601" s="525"/>
      <c r="I2601" s="525"/>
      <c r="J2601" s="525"/>
      <c r="K2601" s="525"/>
      <c r="L2601" s="525"/>
      <c r="M2601" s="525"/>
      <c r="N2601" s="525"/>
      <c r="O2601" s="525"/>
      <c r="P2601" s="525"/>
      <c r="Q2601" s="525"/>
      <c r="R2601" s="723"/>
      <c r="S2601" s="1114" t="s">
        <v>1</v>
      </c>
      <c r="T2601" s="1102"/>
      <c r="U2601" s="1102"/>
      <c r="V2601" s="1102"/>
      <c r="W2601" s="1102"/>
      <c r="X2601" s="1102"/>
      <c r="Y2601" s="1102"/>
      <c r="Z2601" s="1102"/>
      <c r="AA2601" s="1102"/>
      <c r="AB2601" s="1102"/>
      <c r="AC2601" s="1102" t="s">
        <v>2</v>
      </c>
      <c r="AD2601" s="1102"/>
      <c r="AE2601" s="1102"/>
      <c r="AF2601" s="1102"/>
      <c r="AG2601" s="1102"/>
      <c r="AH2601" s="1102"/>
      <c r="AI2601" s="1102"/>
      <c r="AJ2601" s="1102"/>
      <c r="AK2601" s="1102"/>
      <c r="AL2601" s="1103"/>
      <c r="AM2601" s="1114" t="s">
        <v>28</v>
      </c>
      <c r="AN2601" s="1102"/>
      <c r="AO2601" s="1102"/>
      <c r="AP2601" s="1102"/>
      <c r="AQ2601" s="1102"/>
      <c r="AR2601" s="1102"/>
      <c r="AS2601" s="1102"/>
      <c r="AT2601" s="1102"/>
      <c r="AU2601" s="1102"/>
      <c r="AV2601" s="1102"/>
      <c r="AW2601" s="1102" t="s">
        <v>29</v>
      </c>
      <c r="AX2601" s="1102"/>
      <c r="AY2601" s="1102"/>
      <c r="AZ2601" s="1102"/>
      <c r="BA2601" s="1102"/>
      <c r="BB2601" s="1102"/>
      <c r="BC2601" s="1102"/>
      <c r="BD2601" s="1102"/>
      <c r="BE2601" s="1102"/>
      <c r="BF2601" s="1103"/>
      <c r="BG2601" s="1114" t="s">
        <v>103</v>
      </c>
      <c r="BH2601" s="1102"/>
      <c r="BI2601" s="1102"/>
      <c r="BJ2601" s="1102"/>
      <c r="BK2601" s="1102"/>
      <c r="BL2601" s="1102"/>
      <c r="BM2601" s="1102"/>
      <c r="BN2601" s="1102"/>
      <c r="BO2601" s="1102"/>
      <c r="BP2601" s="1102"/>
      <c r="BQ2601" s="1102"/>
      <c r="BR2601" s="1102" t="s">
        <v>104</v>
      </c>
      <c r="BS2601" s="1102"/>
      <c r="BT2601" s="1102"/>
      <c r="BU2601" s="1102"/>
      <c r="BV2601" s="1102"/>
      <c r="BW2601" s="1102"/>
      <c r="BX2601" s="1102"/>
      <c r="BY2601" s="1102"/>
      <c r="BZ2601" s="1103"/>
      <c r="CA2601" s="142"/>
      <c r="CB2601" s="3" t="str">
        <f t="shared" si="459"/>
        <v>Riadok bude skrytý.</v>
      </c>
      <c r="CC2601" s="271" t="s">
        <v>832</v>
      </c>
      <c r="CD2601" s="33"/>
      <c r="CE2601" s="4"/>
      <c r="CW2601" s="32">
        <f t="shared" si="463"/>
        <v>1</v>
      </c>
      <c r="CZ2601" s="30">
        <f t="shared" si="460"/>
        <v>1</v>
      </c>
      <c r="DA2601" s="30">
        <f t="shared" si="466"/>
        <v>1</v>
      </c>
      <c r="DB2601" s="2">
        <f t="shared" si="462"/>
        <v>0</v>
      </c>
      <c r="DS2601" s="130">
        <f>SI!BY2601</f>
        <v>154</v>
      </c>
      <c r="DZ2601" s="131">
        <f>SI!BZ2601</f>
        <v>0</v>
      </c>
    </row>
    <row r="2602" spans="1:130" hidden="1" x14ac:dyDescent="0.25">
      <c r="A2602" s="141"/>
      <c r="B2602" s="1258"/>
      <c r="C2602" s="1259"/>
      <c r="D2602" s="1259"/>
      <c r="E2602" s="1259"/>
      <c r="F2602" s="1259"/>
      <c r="G2602" s="1259"/>
      <c r="H2602" s="1259"/>
      <c r="I2602" s="1259"/>
      <c r="J2602" s="1259"/>
      <c r="K2602" s="1259"/>
      <c r="L2602" s="1259"/>
      <c r="M2602" s="1259"/>
      <c r="N2602" s="1259"/>
      <c r="O2602" s="1259"/>
      <c r="P2602" s="1259"/>
      <c r="Q2602" s="1259"/>
      <c r="R2602" s="1260"/>
      <c r="S2602" s="1054"/>
      <c r="T2602" s="1055"/>
      <c r="U2602" s="1055"/>
      <c r="V2602" s="1055"/>
      <c r="W2602" s="1055"/>
      <c r="X2602" s="1055"/>
      <c r="Y2602" s="1055"/>
      <c r="Z2602" s="1055"/>
      <c r="AA2602" s="1055"/>
      <c r="AB2602" s="1055"/>
      <c r="AC2602" s="1055"/>
      <c r="AD2602" s="1055"/>
      <c r="AE2602" s="1055"/>
      <c r="AF2602" s="1055"/>
      <c r="AG2602" s="1055"/>
      <c r="AH2602" s="1055"/>
      <c r="AI2602" s="1055"/>
      <c r="AJ2602" s="1055"/>
      <c r="AK2602" s="1055"/>
      <c r="AL2602" s="1056"/>
      <c r="AM2602" s="1054"/>
      <c r="AN2602" s="1055"/>
      <c r="AO2602" s="1055"/>
      <c r="AP2602" s="1055"/>
      <c r="AQ2602" s="1055"/>
      <c r="AR2602" s="1055"/>
      <c r="AS2602" s="1055"/>
      <c r="AT2602" s="1055"/>
      <c r="AU2602" s="1055"/>
      <c r="AV2602" s="1055"/>
      <c r="AW2602" s="1055"/>
      <c r="AX2602" s="1055"/>
      <c r="AY2602" s="1055"/>
      <c r="AZ2602" s="1055"/>
      <c r="BA2602" s="1055"/>
      <c r="BB2602" s="1055"/>
      <c r="BC2602" s="1055"/>
      <c r="BD2602" s="1055"/>
      <c r="BE2602" s="1055"/>
      <c r="BF2602" s="1056"/>
      <c r="BG2602" s="1054"/>
      <c r="BH2602" s="1055"/>
      <c r="BI2602" s="1055"/>
      <c r="BJ2602" s="1055"/>
      <c r="BK2602" s="1055"/>
      <c r="BL2602" s="1055"/>
      <c r="BM2602" s="1055"/>
      <c r="BN2602" s="1055"/>
      <c r="BO2602" s="1055"/>
      <c r="BP2602" s="1055"/>
      <c r="BQ2602" s="1055"/>
      <c r="BR2602" s="1055"/>
      <c r="BS2602" s="1055"/>
      <c r="BT2602" s="1055"/>
      <c r="BU2602" s="1055"/>
      <c r="BV2602" s="1055"/>
      <c r="BW2602" s="1055"/>
      <c r="BX2602" s="1055"/>
      <c r="BY2602" s="1055"/>
      <c r="BZ2602" s="1056"/>
      <c r="CA2602" s="142"/>
      <c r="CB2602" s="3" t="str">
        <f t="shared" si="459"/>
        <v>Riadok bude skrytý.</v>
      </c>
      <c r="CC2602" s="271" t="s">
        <v>832</v>
      </c>
      <c r="CD2602" s="33"/>
      <c r="CE2602" s="4"/>
      <c r="CW2602" s="32">
        <f t="shared" si="463"/>
        <v>1</v>
      </c>
      <c r="CZ2602" s="30">
        <f t="shared" si="460"/>
        <v>1</v>
      </c>
      <c r="DA2602" s="30">
        <f t="shared" si="466"/>
        <v>1</v>
      </c>
      <c r="DB2602" s="2">
        <f t="shared" si="462"/>
        <v>0</v>
      </c>
      <c r="DS2602" s="130">
        <f>SI!BY2602</f>
        <v>502</v>
      </c>
      <c r="DZ2602" s="131">
        <f>SI!BZ2602</f>
        <v>0</v>
      </c>
    </row>
    <row r="2603" spans="1:130" hidden="1" x14ac:dyDescent="0.25">
      <c r="A2603" s="141"/>
      <c r="B2603" s="907"/>
      <c r="C2603" s="908"/>
      <c r="D2603" s="908"/>
      <c r="E2603" s="908"/>
      <c r="F2603" s="908"/>
      <c r="G2603" s="908"/>
      <c r="H2603" s="908"/>
      <c r="I2603" s="908"/>
      <c r="J2603" s="908"/>
      <c r="K2603" s="908"/>
      <c r="L2603" s="908"/>
      <c r="M2603" s="908"/>
      <c r="N2603" s="908"/>
      <c r="O2603" s="908"/>
      <c r="P2603" s="908"/>
      <c r="Q2603" s="908"/>
      <c r="R2603" s="909"/>
      <c r="S2603" s="363"/>
      <c r="T2603" s="364"/>
      <c r="U2603" s="364"/>
      <c r="V2603" s="364"/>
      <c r="W2603" s="364"/>
      <c r="X2603" s="364"/>
      <c r="Y2603" s="364"/>
      <c r="Z2603" s="364"/>
      <c r="AA2603" s="364"/>
      <c r="AB2603" s="364"/>
      <c r="AC2603" s="364"/>
      <c r="AD2603" s="364"/>
      <c r="AE2603" s="364"/>
      <c r="AF2603" s="364"/>
      <c r="AG2603" s="364"/>
      <c r="AH2603" s="364"/>
      <c r="AI2603" s="364"/>
      <c r="AJ2603" s="364"/>
      <c r="AK2603" s="364"/>
      <c r="AL2603" s="387"/>
      <c r="AM2603" s="363"/>
      <c r="AN2603" s="364"/>
      <c r="AO2603" s="364"/>
      <c r="AP2603" s="364"/>
      <c r="AQ2603" s="364"/>
      <c r="AR2603" s="364"/>
      <c r="AS2603" s="364"/>
      <c r="AT2603" s="364"/>
      <c r="AU2603" s="364"/>
      <c r="AV2603" s="364"/>
      <c r="AW2603" s="364"/>
      <c r="AX2603" s="364"/>
      <c r="AY2603" s="364"/>
      <c r="AZ2603" s="364"/>
      <c r="BA2603" s="364"/>
      <c r="BB2603" s="364"/>
      <c r="BC2603" s="364"/>
      <c r="BD2603" s="364"/>
      <c r="BE2603" s="364"/>
      <c r="BF2603" s="387"/>
      <c r="BG2603" s="363"/>
      <c r="BH2603" s="364"/>
      <c r="BI2603" s="364"/>
      <c r="BJ2603" s="364"/>
      <c r="BK2603" s="364"/>
      <c r="BL2603" s="364"/>
      <c r="BM2603" s="364"/>
      <c r="BN2603" s="364"/>
      <c r="BO2603" s="364"/>
      <c r="BP2603" s="364"/>
      <c r="BQ2603" s="364"/>
      <c r="BR2603" s="364"/>
      <c r="BS2603" s="364"/>
      <c r="BT2603" s="364"/>
      <c r="BU2603" s="364"/>
      <c r="BV2603" s="364"/>
      <c r="BW2603" s="364"/>
      <c r="BX2603" s="364"/>
      <c r="BY2603" s="364"/>
      <c r="BZ2603" s="387"/>
      <c r="CA2603" s="142"/>
      <c r="CB2603" s="3" t="str">
        <f t="shared" si="459"/>
        <v>Riadok bude skrytý.</v>
      </c>
      <c r="CC2603" s="271" t="s">
        <v>832</v>
      </c>
      <c r="CD2603" s="33"/>
      <c r="CE2603" s="4"/>
      <c r="CW2603" s="32">
        <f t="shared" si="463"/>
        <v>1</v>
      </c>
      <c r="CX2603" s="30">
        <f t="shared" ref="CX2603:CX2611" si="467">+IF(B2603="",0,1)</f>
        <v>0</v>
      </c>
      <c r="CZ2603" s="30">
        <f t="shared" si="460"/>
        <v>1</v>
      </c>
      <c r="DA2603" s="52">
        <f t="shared" ref="DA2603:DA2610" si="468">+IF(CW2603*CX2603=0,0,IF(CZ2603=0,0,1))</f>
        <v>0</v>
      </c>
      <c r="DB2603" s="2">
        <f t="shared" si="462"/>
        <v>0</v>
      </c>
      <c r="DS2603" s="130">
        <f>SI!BY2603</f>
        <v>104</v>
      </c>
      <c r="DZ2603" s="131">
        <f>SI!BZ2603</f>
        <v>0</v>
      </c>
    </row>
    <row r="2604" spans="1:130" hidden="1" x14ac:dyDescent="0.25">
      <c r="A2604" s="141"/>
      <c r="B2604" s="907"/>
      <c r="C2604" s="908"/>
      <c r="D2604" s="908"/>
      <c r="E2604" s="908"/>
      <c r="F2604" s="908"/>
      <c r="G2604" s="908"/>
      <c r="H2604" s="908"/>
      <c r="I2604" s="908"/>
      <c r="J2604" s="908"/>
      <c r="K2604" s="908"/>
      <c r="L2604" s="908"/>
      <c r="M2604" s="908"/>
      <c r="N2604" s="908"/>
      <c r="O2604" s="908"/>
      <c r="P2604" s="908"/>
      <c r="Q2604" s="908"/>
      <c r="R2604" s="909"/>
      <c r="S2604" s="363"/>
      <c r="T2604" s="364"/>
      <c r="U2604" s="364"/>
      <c r="V2604" s="364"/>
      <c r="W2604" s="364"/>
      <c r="X2604" s="364"/>
      <c r="Y2604" s="364"/>
      <c r="Z2604" s="364"/>
      <c r="AA2604" s="364"/>
      <c r="AB2604" s="364"/>
      <c r="AC2604" s="364"/>
      <c r="AD2604" s="364"/>
      <c r="AE2604" s="364"/>
      <c r="AF2604" s="364"/>
      <c r="AG2604" s="364"/>
      <c r="AH2604" s="364"/>
      <c r="AI2604" s="364"/>
      <c r="AJ2604" s="364"/>
      <c r="AK2604" s="364"/>
      <c r="AL2604" s="387"/>
      <c r="AM2604" s="363"/>
      <c r="AN2604" s="364"/>
      <c r="AO2604" s="364"/>
      <c r="AP2604" s="364"/>
      <c r="AQ2604" s="364"/>
      <c r="AR2604" s="364"/>
      <c r="AS2604" s="364"/>
      <c r="AT2604" s="364"/>
      <c r="AU2604" s="364"/>
      <c r="AV2604" s="364"/>
      <c r="AW2604" s="364"/>
      <c r="AX2604" s="364"/>
      <c r="AY2604" s="364"/>
      <c r="AZ2604" s="364"/>
      <c r="BA2604" s="364"/>
      <c r="BB2604" s="364"/>
      <c r="BC2604" s="364"/>
      <c r="BD2604" s="364"/>
      <c r="BE2604" s="364"/>
      <c r="BF2604" s="387"/>
      <c r="BG2604" s="363"/>
      <c r="BH2604" s="364"/>
      <c r="BI2604" s="364"/>
      <c r="BJ2604" s="364"/>
      <c r="BK2604" s="364"/>
      <c r="BL2604" s="364"/>
      <c r="BM2604" s="364"/>
      <c r="BN2604" s="364"/>
      <c r="BO2604" s="364"/>
      <c r="BP2604" s="364"/>
      <c r="BQ2604" s="364"/>
      <c r="BR2604" s="364"/>
      <c r="BS2604" s="364"/>
      <c r="BT2604" s="364"/>
      <c r="BU2604" s="364"/>
      <c r="BV2604" s="364"/>
      <c r="BW2604" s="364"/>
      <c r="BX2604" s="364"/>
      <c r="BY2604" s="364"/>
      <c r="BZ2604" s="387"/>
      <c r="CA2604" s="142"/>
      <c r="CB2604" s="3" t="str">
        <f t="shared" si="459"/>
        <v>Riadok bude skrytý.</v>
      </c>
      <c r="CC2604" s="271" t="s">
        <v>832</v>
      </c>
      <c r="CD2604" s="33"/>
      <c r="CE2604" s="4"/>
      <c r="CW2604" s="32">
        <f t="shared" si="463"/>
        <v>1</v>
      </c>
      <c r="CX2604" s="30">
        <f t="shared" si="467"/>
        <v>0</v>
      </c>
      <c r="CZ2604" s="30">
        <f t="shared" si="460"/>
        <v>1</v>
      </c>
      <c r="DA2604" s="52">
        <f t="shared" si="468"/>
        <v>0</v>
      </c>
      <c r="DB2604" s="2">
        <f t="shared" si="462"/>
        <v>0</v>
      </c>
      <c r="DS2604" s="130">
        <f>SI!BY2604</f>
        <v>10</v>
      </c>
      <c r="DZ2604" s="131">
        <f>SI!BZ2604</f>
        <v>0</v>
      </c>
    </row>
    <row r="2605" spans="1:130" hidden="1" x14ac:dyDescent="0.25">
      <c r="A2605" s="141"/>
      <c r="B2605" s="907"/>
      <c r="C2605" s="908"/>
      <c r="D2605" s="908"/>
      <c r="E2605" s="908"/>
      <c r="F2605" s="908"/>
      <c r="G2605" s="908"/>
      <c r="H2605" s="908"/>
      <c r="I2605" s="908"/>
      <c r="J2605" s="908"/>
      <c r="K2605" s="908"/>
      <c r="L2605" s="908"/>
      <c r="M2605" s="908"/>
      <c r="N2605" s="908"/>
      <c r="O2605" s="908"/>
      <c r="P2605" s="908"/>
      <c r="Q2605" s="908"/>
      <c r="R2605" s="909"/>
      <c r="S2605" s="363"/>
      <c r="T2605" s="364"/>
      <c r="U2605" s="364"/>
      <c r="V2605" s="364"/>
      <c r="W2605" s="364"/>
      <c r="X2605" s="364"/>
      <c r="Y2605" s="364"/>
      <c r="Z2605" s="364"/>
      <c r="AA2605" s="364"/>
      <c r="AB2605" s="364"/>
      <c r="AC2605" s="364"/>
      <c r="AD2605" s="364"/>
      <c r="AE2605" s="364"/>
      <c r="AF2605" s="364"/>
      <c r="AG2605" s="364"/>
      <c r="AH2605" s="364"/>
      <c r="AI2605" s="364"/>
      <c r="AJ2605" s="364"/>
      <c r="AK2605" s="364"/>
      <c r="AL2605" s="387"/>
      <c r="AM2605" s="363"/>
      <c r="AN2605" s="364"/>
      <c r="AO2605" s="364"/>
      <c r="AP2605" s="364"/>
      <c r="AQ2605" s="364"/>
      <c r="AR2605" s="364"/>
      <c r="AS2605" s="364"/>
      <c r="AT2605" s="364"/>
      <c r="AU2605" s="364"/>
      <c r="AV2605" s="364"/>
      <c r="AW2605" s="364"/>
      <c r="AX2605" s="364"/>
      <c r="AY2605" s="364"/>
      <c r="AZ2605" s="364"/>
      <c r="BA2605" s="364"/>
      <c r="BB2605" s="364"/>
      <c r="BC2605" s="364"/>
      <c r="BD2605" s="364"/>
      <c r="BE2605" s="364"/>
      <c r="BF2605" s="387"/>
      <c r="BG2605" s="363"/>
      <c r="BH2605" s="364"/>
      <c r="BI2605" s="364"/>
      <c r="BJ2605" s="364"/>
      <c r="BK2605" s="364"/>
      <c r="BL2605" s="364"/>
      <c r="BM2605" s="364"/>
      <c r="BN2605" s="364"/>
      <c r="BO2605" s="364"/>
      <c r="BP2605" s="364"/>
      <c r="BQ2605" s="364"/>
      <c r="BR2605" s="364"/>
      <c r="BS2605" s="364"/>
      <c r="BT2605" s="364"/>
      <c r="BU2605" s="364"/>
      <c r="BV2605" s="364"/>
      <c r="BW2605" s="364"/>
      <c r="BX2605" s="364"/>
      <c r="BY2605" s="364"/>
      <c r="BZ2605" s="387"/>
      <c r="CA2605" s="142"/>
      <c r="CB2605" s="3" t="str">
        <f t="shared" si="459"/>
        <v>Riadok bude skrytý.</v>
      </c>
      <c r="CC2605" s="271" t="s">
        <v>832</v>
      </c>
      <c r="CD2605" s="33"/>
      <c r="CE2605" s="4"/>
      <c r="CW2605" s="32">
        <f t="shared" si="463"/>
        <v>1</v>
      </c>
      <c r="CX2605" s="30">
        <f t="shared" si="467"/>
        <v>0</v>
      </c>
      <c r="CZ2605" s="30">
        <f t="shared" si="460"/>
        <v>1</v>
      </c>
      <c r="DA2605" s="52">
        <f t="shared" si="468"/>
        <v>0</v>
      </c>
      <c r="DB2605" s="2">
        <f t="shared" si="462"/>
        <v>0</v>
      </c>
      <c r="DS2605" s="130">
        <f>SI!BY2605</f>
        <v>159</v>
      </c>
      <c r="DZ2605" s="131">
        <f>SI!BZ2605</f>
        <v>0</v>
      </c>
    </row>
    <row r="2606" spans="1:130" hidden="1" x14ac:dyDescent="0.25">
      <c r="A2606" s="141"/>
      <c r="B2606" s="907"/>
      <c r="C2606" s="908"/>
      <c r="D2606" s="908"/>
      <c r="E2606" s="908"/>
      <c r="F2606" s="908"/>
      <c r="G2606" s="908"/>
      <c r="H2606" s="908"/>
      <c r="I2606" s="908"/>
      <c r="J2606" s="908"/>
      <c r="K2606" s="908"/>
      <c r="L2606" s="908"/>
      <c r="M2606" s="908"/>
      <c r="N2606" s="908"/>
      <c r="O2606" s="908"/>
      <c r="P2606" s="908"/>
      <c r="Q2606" s="908"/>
      <c r="R2606" s="909"/>
      <c r="S2606" s="363"/>
      <c r="T2606" s="364"/>
      <c r="U2606" s="364"/>
      <c r="V2606" s="364"/>
      <c r="W2606" s="364"/>
      <c r="X2606" s="364"/>
      <c r="Y2606" s="364"/>
      <c r="Z2606" s="364"/>
      <c r="AA2606" s="364"/>
      <c r="AB2606" s="364"/>
      <c r="AC2606" s="364"/>
      <c r="AD2606" s="364"/>
      <c r="AE2606" s="364"/>
      <c r="AF2606" s="364"/>
      <c r="AG2606" s="364"/>
      <c r="AH2606" s="364"/>
      <c r="AI2606" s="364"/>
      <c r="AJ2606" s="364"/>
      <c r="AK2606" s="364"/>
      <c r="AL2606" s="387"/>
      <c r="AM2606" s="363"/>
      <c r="AN2606" s="364"/>
      <c r="AO2606" s="364"/>
      <c r="AP2606" s="364"/>
      <c r="AQ2606" s="364"/>
      <c r="AR2606" s="364"/>
      <c r="AS2606" s="364"/>
      <c r="AT2606" s="364"/>
      <c r="AU2606" s="364"/>
      <c r="AV2606" s="364"/>
      <c r="AW2606" s="364"/>
      <c r="AX2606" s="364"/>
      <c r="AY2606" s="364"/>
      <c r="AZ2606" s="364"/>
      <c r="BA2606" s="364"/>
      <c r="BB2606" s="364"/>
      <c r="BC2606" s="364"/>
      <c r="BD2606" s="364"/>
      <c r="BE2606" s="364"/>
      <c r="BF2606" s="387"/>
      <c r="BG2606" s="363"/>
      <c r="BH2606" s="364"/>
      <c r="BI2606" s="364"/>
      <c r="BJ2606" s="364"/>
      <c r="BK2606" s="364"/>
      <c r="BL2606" s="364"/>
      <c r="BM2606" s="364"/>
      <c r="BN2606" s="364"/>
      <c r="BO2606" s="364"/>
      <c r="BP2606" s="364"/>
      <c r="BQ2606" s="364"/>
      <c r="BR2606" s="364"/>
      <c r="BS2606" s="364"/>
      <c r="BT2606" s="364"/>
      <c r="BU2606" s="364"/>
      <c r="BV2606" s="364"/>
      <c r="BW2606" s="364"/>
      <c r="BX2606" s="364"/>
      <c r="BY2606" s="364"/>
      <c r="BZ2606" s="387"/>
      <c r="CA2606" s="142"/>
      <c r="CB2606" s="3" t="str">
        <f t="shared" si="459"/>
        <v>Riadok bude skrytý.</v>
      </c>
      <c r="CC2606" s="271" t="s">
        <v>832</v>
      </c>
      <c r="CD2606" s="33"/>
      <c r="CE2606" s="4"/>
      <c r="CW2606" s="32">
        <f t="shared" si="463"/>
        <v>1</v>
      </c>
      <c r="CX2606" s="30">
        <f t="shared" si="467"/>
        <v>0</v>
      </c>
      <c r="CZ2606" s="30">
        <f t="shared" si="460"/>
        <v>1</v>
      </c>
      <c r="DA2606" s="52">
        <f t="shared" si="468"/>
        <v>0</v>
      </c>
      <c r="DB2606" s="2">
        <f t="shared" si="462"/>
        <v>0</v>
      </c>
      <c r="DS2606" s="130">
        <f>SI!BY2606</f>
        <v>292</v>
      </c>
      <c r="DZ2606" s="131">
        <f>SI!BZ2606</f>
        <v>0</v>
      </c>
    </row>
    <row r="2607" spans="1:130" hidden="1" x14ac:dyDescent="0.25">
      <c r="A2607" s="141"/>
      <c r="B2607" s="907"/>
      <c r="C2607" s="908"/>
      <c r="D2607" s="908"/>
      <c r="E2607" s="908"/>
      <c r="F2607" s="908"/>
      <c r="G2607" s="908"/>
      <c r="H2607" s="908"/>
      <c r="I2607" s="908"/>
      <c r="J2607" s="908"/>
      <c r="K2607" s="908"/>
      <c r="L2607" s="908"/>
      <c r="M2607" s="908"/>
      <c r="N2607" s="908"/>
      <c r="O2607" s="908"/>
      <c r="P2607" s="908"/>
      <c r="Q2607" s="908"/>
      <c r="R2607" s="909"/>
      <c r="S2607" s="363"/>
      <c r="T2607" s="364"/>
      <c r="U2607" s="364"/>
      <c r="V2607" s="364"/>
      <c r="W2607" s="364"/>
      <c r="X2607" s="364"/>
      <c r="Y2607" s="364"/>
      <c r="Z2607" s="364"/>
      <c r="AA2607" s="364"/>
      <c r="AB2607" s="364"/>
      <c r="AC2607" s="364"/>
      <c r="AD2607" s="364"/>
      <c r="AE2607" s="364"/>
      <c r="AF2607" s="364"/>
      <c r="AG2607" s="364"/>
      <c r="AH2607" s="364"/>
      <c r="AI2607" s="364"/>
      <c r="AJ2607" s="364"/>
      <c r="AK2607" s="364"/>
      <c r="AL2607" s="387"/>
      <c r="AM2607" s="363"/>
      <c r="AN2607" s="364"/>
      <c r="AO2607" s="364"/>
      <c r="AP2607" s="364"/>
      <c r="AQ2607" s="364"/>
      <c r="AR2607" s="364"/>
      <c r="AS2607" s="364"/>
      <c r="AT2607" s="364"/>
      <c r="AU2607" s="364"/>
      <c r="AV2607" s="364"/>
      <c r="AW2607" s="364"/>
      <c r="AX2607" s="364"/>
      <c r="AY2607" s="364"/>
      <c r="AZ2607" s="364"/>
      <c r="BA2607" s="364"/>
      <c r="BB2607" s="364"/>
      <c r="BC2607" s="364"/>
      <c r="BD2607" s="364"/>
      <c r="BE2607" s="364"/>
      <c r="BF2607" s="387"/>
      <c r="BG2607" s="363"/>
      <c r="BH2607" s="364"/>
      <c r="BI2607" s="364"/>
      <c r="BJ2607" s="364"/>
      <c r="BK2607" s="364"/>
      <c r="BL2607" s="364"/>
      <c r="BM2607" s="364"/>
      <c r="BN2607" s="364"/>
      <c r="BO2607" s="364"/>
      <c r="BP2607" s="364"/>
      <c r="BQ2607" s="364"/>
      <c r="BR2607" s="364"/>
      <c r="BS2607" s="364"/>
      <c r="BT2607" s="364"/>
      <c r="BU2607" s="364"/>
      <c r="BV2607" s="364"/>
      <c r="BW2607" s="364"/>
      <c r="BX2607" s="364"/>
      <c r="BY2607" s="364"/>
      <c r="BZ2607" s="387"/>
      <c r="CA2607" s="142"/>
      <c r="CB2607" s="3" t="str">
        <f t="shared" si="459"/>
        <v>Riadok bude skrytý.</v>
      </c>
      <c r="CC2607" s="271" t="s">
        <v>832</v>
      </c>
      <c r="CD2607" s="33"/>
      <c r="CE2607" s="4"/>
      <c r="CW2607" s="32">
        <f t="shared" si="463"/>
        <v>1</v>
      </c>
      <c r="CX2607" s="30">
        <f t="shared" si="467"/>
        <v>0</v>
      </c>
      <c r="CZ2607" s="30">
        <f t="shared" si="460"/>
        <v>1</v>
      </c>
      <c r="DA2607" s="52">
        <f t="shared" si="468"/>
        <v>0</v>
      </c>
      <c r="DB2607" s="2">
        <f t="shared" si="462"/>
        <v>0</v>
      </c>
      <c r="DS2607" s="130">
        <f>SI!BY2607</f>
        <v>165</v>
      </c>
      <c r="DZ2607" s="131">
        <f>SI!BZ2607</f>
        <v>0</v>
      </c>
    </row>
    <row r="2608" spans="1:130" hidden="1" x14ac:dyDescent="0.25">
      <c r="A2608" s="141"/>
      <c r="B2608" s="907"/>
      <c r="C2608" s="908"/>
      <c r="D2608" s="908"/>
      <c r="E2608" s="908"/>
      <c r="F2608" s="908"/>
      <c r="G2608" s="908"/>
      <c r="H2608" s="908"/>
      <c r="I2608" s="908"/>
      <c r="J2608" s="908"/>
      <c r="K2608" s="908"/>
      <c r="L2608" s="908"/>
      <c r="M2608" s="908"/>
      <c r="N2608" s="908"/>
      <c r="O2608" s="908"/>
      <c r="P2608" s="908"/>
      <c r="Q2608" s="908"/>
      <c r="R2608" s="909"/>
      <c r="S2608" s="363"/>
      <c r="T2608" s="364"/>
      <c r="U2608" s="364"/>
      <c r="V2608" s="364"/>
      <c r="W2608" s="364"/>
      <c r="X2608" s="364"/>
      <c r="Y2608" s="364"/>
      <c r="Z2608" s="364"/>
      <c r="AA2608" s="364"/>
      <c r="AB2608" s="364"/>
      <c r="AC2608" s="364"/>
      <c r="AD2608" s="364"/>
      <c r="AE2608" s="364"/>
      <c r="AF2608" s="364"/>
      <c r="AG2608" s="364"/>
      <c r="AH2608" s="364"/>
      <c r="AI2608" s="364"/>
      <c r="AJ2608" s="364"/>
      <c r="AK2608" s="364"/>
      <c r="AL2608" s="387"/>
      <c r="AM2608" s="363"/>
      <c r="AN2608" s="364"/>
      <c r="AO2608" s="364"/>
      <c r="AP2608" s="364"/>
      <c r="AQ2608" s="364"/>
      <c r="AR2608" s="364"/>
      <c r="AS2608" s="364"/>
      <c r="AT2608" s="364"/>
      <c r="AU2608" s="364"/>
      <c r="AV2608" s="364"/>
      <c r="AW2608" s="364"/>
      <c r="AX2608" s="364"/>
      <c r="AY2608" s="364"/>
      <c r="AZ2608" s="364"/>
      <c r="BA2608" s="364"/>
      <c r="BB2608" s="364"/>
      <c r="BC2608" s="364"/>
      <c r="BD2608" s="364"/>
      <c r="BE2608" s="364"/>
      <c r="BF2608" s="387"/>
      <c r="BG2608" s="363"/>
      <c r="BH2608" s="364"/>
      <c r="BI2608" s="364"/>
      <c r="BJ2608" s="364"/>
      <c r="BK2608" s="364"/>
      <c r="BL2608" s="364"/>
      <c r="BM2608" s="364"/>
      <c r="BN2608" s="364"/>
      <c r="BO2608" s="364"/>
      <c r="BP2608" s="364"/>
      <c r="BQ2608" s="364"/>
      <c r="BR2608" s="364"/>
      <c r="BS2608" s="364"/>
      <c r="BT2608" s="364"/>
      <c r="BU2608" s="364"/>
      <c r="BV2608" s="364"/>
      <c r="BW2608" s="364"/>
      <c r="BX2608" s="364"/>
      <c r="BY2608" s="364"/>
      <c r="BZ2608" s="387"/>
      <c r="CA2608" s="142"/>
      <c r="CB2608" s="3" t="str">
        <f t="shared" si="459"/>
        <v>Riadok bude skrytý.</v>
      </c>
      <c r="CC2608" s="271" t="s">
        <v>832</v>
      </c>
      <c r="CD2608" s="33"/>
      <c r="CE2608" s="4"/>
      <c r="CW2608" s="32">
        <f t="shared" si="463"/>
        <v>1</v>
      </c>
      <c r="CX2608" s="30">
        <f t="shared" si="467"/>
        <v>0</v>
      </c>
      <c r="CZ2608" s="30">
        <f t="shared" si="460"/>
        <v>1</v>
      </c>
      <c r="DA2608" s="52">
        <f t="shared" si="468"/>
        <v>0</v>
      </c>
      <c r="DB2608" s="2">
        <f t="shared" si="462"/>
        <v>0</v>
      </c>
      <c r="DS2608" s="130">
        <f>SI!BY2608</f>
        <v>186</v>
      </c>
      <c r="DZ2608" s="131">
        <f>SI!BZ2608</f>
        <v>0</v>
      </c>
    </row>
    <row r="2609" spans="1:130" hidden="1" x14ac:dyDescent="0.25">
      <c r="A2609" s="141"/>
      <c r="B2609" s="907"/>
      <c r="C2609" s="908"/>
      <c r="D2609" s="908"/>
      <c r="E2609" s="908"/>
      <c r="F2609" s="908"/>
      <c r="G2609" s="908"/>
      <c r="H2609" s="908"/>
      <c r="I2609" s="908"/>
      <c r="J2609" s="908"/>
      <c r="K2609" s="908"/>
      <c r="L2609" s="908"/>
      <c r="M2609" s="908"/>
      <c r="N2609" s="908"/>
      <c r="O2609" s="908"/>
      <c r="P2609" s="908"/>
      <c r="Q2609" s="908"/>
      <c r="R2609" s="909"/>
      <c r="S2609" s="363"/>
      <c r="T2609" s="364"/>
      <c r="U2609" s="364"/>
      <c r="V2609" s="364"/>
      <c r="W2609" s="364"/>
      <c r="X2609" s="364"/>
      <c r="Y2609" s="364"/>
      <c r="Z2609" s="364"/>
      <c r="AA2609" s="364"/>
      <c r="AB2609" s="364"/>
      <c r="AC2609" s="364"/>
      <c r="AD2609" s="364"/>
      <c r="AE2609" s="364"/>
      <c r="AF2609" s="364"/>
      <c r="AG2609" s="364"/>
      <c r="AH2609" s="364"/>
      <c r="AI2609" s="364"/>
      <c r="AJ2609" s="364"/>
      <c r="AK2609" s="364"/>
      <c r="AL2609" s="387"/>
      <c r="AM2609" s="363"/>
      <c r="AN2609" s="364"/>
      <c r="AO2609" s="364"/>
      <c r="AP2609" s="364"/>
      <c r="AQ2609" s="364"/>
      <c r="AR2609" s="364"/>
      <c r="AS2609" s="364"/>
      <c r="AT2609" s="364"/>
      <c r="AU2609" s="364"/>
      <c r="AV2609" s="364"/>
      <c r="AW2609" s="364"/>
      <c r="AX2609" s="364"/>
      <c r="AY2609" s="364"/>
      <c r="AZ2609" s="364"/>
      <c r="BA2609" s="364"/>
      <c r="BB2609" s="364"/>
      <c r="BC2609" s="364"/>
      <c r="BD2609" s="364"/>
      <c r="BE2609" s="364"/>
      <c r="BF2609" s="387"/>
      <c r="BG2609" s="363"/>
      <c r="BH2609" s="364"/>
      <c r="BI2609" s="364"/>
      <c r="BJ2609" s="364"/>
      <c r="BK2609" s="364"/>
      <c r="BL2609" s="364"/>
      <c r="BM2609" s="364"/>
      <c r="BN2609" s="364"/>
      <c r="BO2609" s="364"/>
      <c r="BP2609" s="364"/>
      <c r="BQ2609" s="364"/>
      <c r="BR2609" s="364"/>
      <c r="BS2609" s="364"/>
      <c r="BT2609" s="364"/>
      <c r="BU2609" s="364"/>
      <c r="BV2609" s="364"/>
      <c r="BW2609" s="364"/>
      <c r="BX2609" s="364"/>
      <c r="BY2609" s="364"/>
      <c r="BZ2609" s="387"/>
      <c r="CA2609" s="142"/>
      <c r="CB2609" s="3" t="str">
        <f t="shared" si="459"/>
        <v>Riadok bude skrytý.</v>
      </c>
      <c r="CC2609" s="271" t="s">
        <v>832</v>
      </c>
      <c r="CE2609" s="4"/>
      <c r="CW2609" s="32">
        <f t="shared" si="463"/>
        <v>1</v>
      </c>
      <c r="CX2609" s="30">
        <f t="shared" si="467"/>
        <v>0</v>
      </c>
      <c r="CZ2609" s="30">
        <f t="shared" si="460"/>
        <v>1</v>
      </c>
      <c r="DA2609" s="52">
        <f t="shared" si="468"/>
        <v>0</v>
      </c>
      <c r="DB2609" s="2">
        <f t="shared" si="462"/>
        <v>0</v>
      </c>
      <c r="DS2609" s="130">
        <f>SI!BY2609</f>
        <v>117</v>
      </c>
      <c r="DZ2609" s="131">
        <f>SI!BZ2609</f>
        <v>0</v>
      </c>
    </row>
    <row r="2610" spans="1:130" hidden="1" x14ac:dyDescent="0.25">
      <c r="A2610" s="141"/>
      <c r="B2610" s="907"/>
      <c r="C2610" s="908"/>
      <c r="D2610" s="908"/>
      <c r="E2610" s="908"/>
      <c r="F2610" s="908"/>
      <c r="G2610" s="908"/>
      <c r="H2610" s="908"/>
      <c r="I2610" s="908"/>
      <c r="J2610" s="908"/>
      <c r="K2610" s="908"/>
      <c r="L2610" s="908"/>
      <c r="M2610" s="908"/>
      <c r="N2610" s="908"/>
      <c r="O2610" s="908"/>
      <c r="P2610" s="908"/>
      <c r="Q2610" s="908"/>
      <c r="R2610" s="909"/>
      <c r="S2610" s="363"/>
      <c r="T2610" s="364"/>
      <c r="U2610" s="364"/>
      <c r="V2610" s="364"/>
      <c r="W2610" s="364"/>
      <c r="X2610" s="364"/>
      <c r="Y2610" s="364"/>
      <c r="Z2610" s="364"/>
      <c r="AA2610" s="364"/>
      <c r="AB2610" s="364"/>
      <c r="AC2610" s="364"/>
      <c r="AD2610" s="364"/>
      <c r="AE2610" s="364"/>
      <c r="AF2610" s="364"/>
      <c r="AG2610" s="364"/>
      <c r="AH2610" s="364"/>
      <c r="AI2610" s="364"/>
      <c r="AJ2610" s="364"/>
      <c r="AK2610" s="364"/>
      <c r="AL2610" s="387"/>
      <c r="AM2610" s="363"/>
      <c r="AN2610" s="364"/>
      <c r="AO2610" s="364"/>
      <c r="AP2610" s="364"/>
      <c r="AQ2610" s="364"/>
      <c r="AR2610" s="364"/>
      <c r="AS2610" s="364"/>
      <c r="AT2610" s="364"/>
      <c r="AU2610" s="364"/>
      <c r="AV2610" s="364"/>
      <c r="AW2610" s="364"/>
      <c r="AX2610" s="364"/>
      <c r="AY2610" s="364"/>
      <c r="AZ2610" s="364"/>
      <c r="BA2610" s="364"/>
      <c r="BB2610" s="364"/>
      <c r="BC2610" s="364"/>
      <c r="BD2610" s="364"/>
      <c r="BE2610" s="364"/>
      <c r="BF2610" s="387"/>
      <c r="BG2610" s="363"/>
      <c r="BH2610" s="364"/>
      <c r="BI2610" s="364"/>
      <c r="BJ2610" s="364"/>
      <c r="BK2610" s="364"/>
      <c r="BL2610" s="364"/>
      <c r="BM2610" s="364"/>
      <c r="BN2610" s="364"/>
      <c r="BO2610" s="364"/>
      <c r="BP2610" s="364"/>
      <c r="BQ2610" s="364"/>
      <c r="BR2610" s="364"/>
      <c r="BS2610" s="364"/>
      <c r="BT2610" s="364"/>
      <c r="BU2610" s="364"/>
      <c r="BV2610" s="364"/>
      <c r="BW2610" s="364"/>
      <c r="BX2610" s="364"/>
      <c r="BY2610" s="364"/>
      <c r="BZ2610" s="387"/>
      <c r="CA2610" s="142"/>
      <c r="CB2610" s="3" t="str">
        <f t="shared" si="459"/>
        <v>Riadok bude skrytý.</v>
      </c>
      <c r="CC2610" s="271" t="s">
        <v>832</v>
      </c>
      <c r="CE2610" s="4"/>
      <c r="CW2610" s="32">
        <f t="shared" si="463"/>
        <v>1</v>
      </c>
      <c r="CX2610" s="30">
        <f t="shared" si="467"/>
        <v>0</v>
      </c>
      <c r="CZ2610" s="30">
        <f t="shared" si="460"/>
        <v>1</v>
      </c>
      <c r="DA2610" s="52">
        <f t="shared" si="468"/>
        <v>0</v>
      </c>
      <c r="DB2610" s="2">
        <f t="shared" si="462"/>
        <v>0</v>
      </c>
      <c r="DS2610" s="130">
        <f>SI!BY2610</f>
        <v>172</v>
      </c>
      <c r="DZ2610" s="131">
        <f>SI!BZ2610</f>
        <v>0</v>
      </c>
    </row>
    <row r="2611" spans="1:130" hidden="1" x14ac:dyDescent="0.25">
      <c r="A2611" s="141"/>
      <c r="B2611" s="907"/>
      <c r="C2611" s="908"/>
      <c r="D2611" s="908"/>
      <c r="E2611" s="908"/>
      <c r="F2611" s="908"/>
      <c r="G2611" s="908"/>
      <c r="H2611" s="908"/>
      <c r="I2611" s="908"/>
      <c r="J2611" s="908"/>
      <c r="K2611" s="908"/>
      <c r="L2611" s="908"/>
      <c r="M2611" s="908"/>
      <c r="N2611" s="908"/>
      <c r="O2611" s="908"/>
      <c r="P2611" s="908"/>
      <c r="Q2611" s="908"/>
      <c r="R2611" s="909"/>
      <c r="S2611" s="459"/>
      <c r="T2611" s="461"/>
      <c r="U2611" s="461"/>
      <c r="V2611" s="461"/>
      <c r="W2611" s="461"/>
      <c r="X2611" s="461"/>
      <c r="Y2611" s="461"/>
      <c r="Z2611" s="461"/>
      <c r="AA2611" s="461"/>
      <c r="AB2611" s="461"/>
      <c r="AC2611" s="461"/>
      <c r="AD2611" s="461"/>
      <c r="AE2611" s="461"/>
      <c r="AF2611" s="461"/>
      <c r="AG2611" s="461"/>
      <c r="AH2611" s="461"/>
      <c r="AI2611" s="461"/>
      <c r="AJ2611" s="461"/>
      <c r="AK2611" s="461"/>
      <c r="AL2611" s="1610"/>
      <c r="AM2611" s="459"/>
      <c r="AN2611" s="461"/>
      <c r="AO2611" s="461"/>
      <c r="AP2611" s="461"/>
      <c r="AQ2611" s="461"/>
      <c r="AR2611" s="461"/>
      <c r="AS2611" s="461"/>
      <c r="AT2611" s="461"/>
      <c r="AU2611" s="461"/>
      <c r="AV2611" s="461"/>
      <c r="AW2611" s="461"/>
      <c r="AX2611" s="461"/>
      <c r="AY2611" s="461"/>
      <c r="AZ2611" s="461"/>
      <c r="BA2611" s="461"/>
      <c r="BB2611" s="461"/>
      <c r="BC2611" s="461"/>
      <c r="BD2611" s="461"/>
      <c r="BE2611" s="461"/>
      <c r="BF2611" s="1610"/>
      <c r="BG2611" s="459"/>
      <c r="BH2611" s="461"/>
      <c r="BI2611" s="461"/>
      <c r="BJ2611" s="461"/>
      <c r="BK2611" s="461"/>
      <c r="BL2611" s="461"/>
      <c r="BM2611" s="461"/>
      <c r="BN2611" s="461"/>
      <c r="BO2611" s="461"/>
      <c r="BP2611" s="461"/>
      <c r="BQ2611" s="461"/>
      <c r="BR2611" s="461"/>
      <c r="BS2611" s="461"/>
      <c r="BT2611" s="461"/>
      <c r="BU2611" s="461"/>
      <c r="BV2611" s="461"/>
      <c r="BW2611" s="461"/>
      <c r="BX2611" s="461"/>
      <c r="BY2611" s="461"/>
      <c r="BZ2611" s="1610"/>
      <c r="CA2611" s="142"/>
      <c r="CB2611" s="3" t="str">
        <f t="shared" ref="CB2611:CB2674" si="469">+IF(DB2611=0,"Riadok bude skrytý.","Riadok bude vidieť.")</f>
        <v>Riadok bude skrytý.</v>
      </c>
      <c r="CC2611" s="271" t="s">
        <v>832</v>
      </c>
      <c r="CE2611" s="4"/>
      <c r="CW2611" s="32">
        <f t="shared" si="463"/>
        <v>1</v>
      </c>
      <c r="CX2611" s="30">
        <f t="shared" si="467"/>
        <v>0</v>
      </c>
      <c r="CZ2611" s="30">
        <f t="shared" ref="CZ2611:CZ2674" si="470">IF(CC2611="",1,IF(CC2611="Chcem skryť riadok.",0,1))</f>
        <v>1</v>
      </c>
      <c r="DA2611" s="30">
        <f t="shared" si="466"/>
        <v>1</v>
      </c>
      <c r="DB2611" s="2">
        <f t="shared" si="462"/>
        <v>0</v>
      </c>
      <c r="DS2611" s="130">
        <f>SI!BY2611</f>
        <v>153</v>
      </c>
      <c r="DZ2611" s="131">
        <f>SI!BZ2611</f>
        <v>0</v>
      </c>
    </row>
    <row r="2612" spans="1:130" hidden="1" x14ac:dyDescent="0.25">
      <c r="A2612" s="141"/>
      <c r="B2612" s="1708" t="s">
        <v>45</v>
      </c>
      <c r="C2612" s="1709"/>
      <c r="D2612" s="1709"/>
      <c r="E2612" s="1709"/>
      <c r="F2612" s="1709"/>
      <c r="G2612" s="1709"/>
      <c r="H2612" s="1709"/>
      <c r="I2612" s="1709"/>
      <c r="J2612" s="1709"/>
      <c r="K2612" s="1709"/>
      <c r="L2612" s="1709"/>
      <c r="M2612" s="1709"/>
      <c r="N2612" s="1709"/>
      <c r="O2612" s="1709"/>
      <c r="P2612" s="1709"/>
      <c r="Q2612" s="1709"/>
      <c r="R2612" s="1710"/>
      <c r="S2612" s="411">
        <f>+SUM(S2602:AB2611)</f>
        <v>0</v>
      </c>
      <c r="T2612" s="412"/>
      <c r="U2612" s="412"/>
      <c r="V2612" s="412"/>
      <c r="W2612" s="412"/>
      <c r="X2612" s="412"/>
      <c r="Y2612" s="412"/>
      <c r="Z2612" s="412"/>
      <c r="AA2612" s="412"/>
      <c r="AB2612" s="412"/>
      <c r="AC2612" s="412">
        <f>+SUM(AC2602:AL2611)</f>
        <v>0</v>
      </c>
      <c r="AD2612" s="412"/>
      <c r="AE2612" s="412"/>
      <c r="AF2612" s="412"/>
      <c r="AG2612" s="412"/>
      <c r="AH2612" s="412"/>
      <c r="AI2612" s="412"/>
      <c r="AJ2612" s="412"/>
      <c r="AK2612" s="412"/>
      <c r="AL2612" s="413"/>
      <c r="AM2612" s="411">
        <f>+SUM(AM2602:AV2611)</f>
        <v>0</v>
      </c>
      <c r="AN2612" s="412"/>
      <c r="AO2612" s="412"/>
      <c r="AP2612" s="412"/>
      <c r="AQ2612" s="412"/>
      <c r="AR2612" s="412"/>
      <c r="AS2612" s="412"/>
      <c r="AT2612" s="412"/>
      <c r="AU2612" s="412"/>
      <c r="AV2612" s="412"/>
      <c r="AW2612" s="412">
        <f>+SUM(AW2602:BF2611)</f>
        <v>0</v>
      </c>
      <c r="AX2612" s="412"/>
      <c r="AY2612" s="412"/>
      <c r="AZ2612" s="412"/>
      <c r="BA2612" s="412"/>
      <c r="BB2612" s="412"/>
      <c r="BC2612" s="412"/>
      <c r="BD2612" s="412"/>
      <c r="BE2612" s="412"/>
      <c r="BF2612" s="413"/>
      <c r="BG2612" s="411">
        <f>+SUM(BG2602:BQ2611)</f>
        <v>0</v>
      </c>
      <c r="BH2612" s="412"/>
      <c r="BI2612" s="412"/>
      <c r="BJ2612" s="412"/>
      <c r="BK2612" s="412"/>
      <c r="BL2612" s="412"/>
      <c r="BM2612" s="412"/>
      <c r="BN2612" s="412"/>
      <c r="BO2612" s="412"/>
      <c r="BP2612" s="412"/>
      <c r="BQ2612" s="412"/>
      <c r="BR2612" s="412">
        <f>+SUM(BR2602:BZ2611)</f>
        <v>0</v>
      </c>
      <c r="BS2612" s="412"/>
      <c r="BT2612" s="412"/>
      <c r="BU2612" s="412"/>
      <c r="BV2612" s="412"/>
      <c r="BW2612" s="412"/>
      <c r="BX2612" s="412"/>
      <c r="BY2612" s="412"/>
      <c r="BZ2612" s="413"/>
      <c r="CA2612" s="142"/>
      <c r="CB2612" s="3" t="str">
        <f t="shared" si="469"/>
        <v>Riadok bude skrytý.</v>
      </c>
      <c r="CC2612" s="271" t="s">
        <v>832</v>
      </c>
      <c r="CE2612" s="4"/>
      <c r="CW2612" s="32">
        <f t="shared" si="463"/>
        <v>1</v>
      </c>
      <c r="CZ2612" s="30">
        <f t="shared" si="470"/>
        <v>1</v>
      </c>
      <c r="DA2612" s="30">
        <f t="shared" si="466"/>
        <v>1</v>
      </c>
      <c r="DB2612" s="2">
        <f t="shared" si="462"/>
        <v>0</v>
      </c>
      <c r="DS2612" s="130">
        <f>SI!BY2612</f>
        <v>472</v>
      </c>
      <c r="DZ2612" s="131">
        <f>SI!BZ2612</f>
        <v>0</v>
      </c>
    </row>
    <row r="2613" spans="1:130" hidden="1" x14ac:dyDescent="0.25">
      <c r="A2613" s="141"/>
      <c r="CA2613" s="142"/>
      <c r="CB2613" s="3" t="str">
        <f t="shared" si="469"/>
        <v>Riadok bude skrytý.</v>
      </c>
      <c r="CW2613" s="49">
        <v>1</v>
      </c>
      <c r="CZ2613" s="30">
        <f t="shared" si="470"/>
        <v>1</v>
      </c>
      <c r="DA2613" s="30">
        <f t="shared" si="466"/>
        <v>1</v>
      </c>
      <c r="DB2613" s="2">
        <f t="shared" si="462"/>
        <v>0</v>
      </c>
      <c r="DS2613" s="130">
        <f>SI!BY2613</f>
        <v>199</v>
      </c>
      <c r="DZ2613" s="131">
        <f>SI!BZ2613</f>
        <v>0</v>
      </c>
    </row>
    <row r="2614" spans="1:130" hidden="1" x14ac:dyDescent="0.25">
      <c r="A2614" s="141"/>
      <c r="B2614" s="289" t="s">
        <v>149</v>
      </c>
      <c r="C2614" s="288"/>
      <c r="D2614" s="288"/>
      <c r="E2614" s="288"/>
      <c r="F2614" s="288"/>
      <c r="G2614" s="289" t="s">
        <v>329</v>
      </c>
      <c r="H2614" s="289"/>
      <c r="I2614" s="288"/>
      <c r="J2614" s="288"/>
      <c r="K2614" s="288"/>
      <c r="L2614" s="288"/>
      <c r="M2614" s="288"/>
      <c r="N2614" s="288"/>
      <c r="O2614" s="288"/>
      <c r="P2614" s="288"/>
      <c r="Q2614" s="288"/>
      <c r="R2614" s="288"/>
      <c r="S2614" s="288"/>
      <c r="T2614" s="288"/>
      <c r="U2614" s="288"/>
      <c r="V2614" s="288"/>
      <c r="W2614" s="288"/>
      <c r="X2614" s="288"/>
      <c r="Y2614" s="288"/>
      <c r="Z2614" s="288"/>
      <c r="AA2614" s="288"/>
      <c r="AB2614" s="288"/>
      <c r="AC2614" s="288"/>
      <c r="AD2614" s="288"/>
      <c r="AE2614" s="288"/>
      <c r="AF2614" s="288"/>
      <c r="AG2614" s="288"/>
      <c r="AH2614" s="288"/>
      <c r="AI2614" s="288"/>
      <c r="AJ2614" s="288"/>
      <c r="AK2614" s="288"/>
      <c r="AL2614" s="288"/>
      <c r="AM2614" s="288"/>
      <c r="AN2614" s="288"/>
      <c r="AO2614" s="288"/>
      <c r="AP2614" s="288"/>
      <c r="AQ2614" s="288"/>
      <c r="AR2614" s="288"/>
      <c r="AS2614" s="288"/>
      <c r="AT2614" s="288"/>
      <c r="AU2614" s="288"/>
      <c r="AV2614" s="288"/>
      <c r="AW2614" s="288"/>
      <c r="AX2614" s="288"/>
      <c r="AY2614" s="288"/>
      <c r="AZ2614" s="288"/>
      <c r="BA2614" s="288"/>
      <c r="BB2614" s="288"/>
      <c r="BC2614" s="288"/>
      <c r="BD2614" s="288"/>
      <c r="BE2614" s="288"/>
      <c r="BF2614" s="288"/>
      <c r="BG2614" s="288"/>
      <c r="BH2614" s="288"/>
      <c r="BI2614" s="288"/>
      <c r="BJ2614" s="288"/>
      <c r="BK2614" s="288"/>
      <c r="BL2614" s="288"/>
      <c r="BM2614" s="288"/>
      <c r="BN2614" s="288"/>
      <c r="BO2614" s="288"/>
      <c r="BP2614" s="288"/>
      <c r="BQ2614" s="288"/>
      <c r="BR2614" s="288"/>
      <c r="BS2614" s="288"/>
      <c r="BT2614" s="288"/>
      <c r="BU2614" s="288"/>
      <c r="BV2614" s="288"/>
      <c r="BW2614" s="288"/>
      <c r="BX2614" s="288"/>
      <c r="BY2614" s="288"/>
      <c r="BZ2614" s="288"/>
      <c r="CA2614" s="265" t="s">
        <v>773</v>
      </c>
      <c r="CB2614" s="3" t="str">
        <f t="shared" si="469"/>
        <v>Riadok bude skrytý.</v>
      </c>
      <c r="CW2614" s="49">
        <v>1</v>
      </c>
      <c r="CZ2614" s="30">
        <f t="shared" si="470"/>
        <v>1</v>
      </c>
      <c r="DA2614" s="30">
        <f t="shared" si="466"/>
        <v>1</v>
      </c>
      <c r="DB2614" s="2">
        <f t="shared" si="462"/>
        <v>0</v>
      </c>
      <c r="DS2614" s="130">
        <f>SI!BY2614</f>
        <v>464</v>
      </c>
      <c r="DZ2614" s="131">
        <f>SI!BZ2614</f>
        <v>0</v>
      </c>
    </row>
    <row r="2615" spans="1:130" hidden="1" x14ac:dyDescent="0.25">
      <c r="A2615" s="141"/>
      <c r="B2615" s="7"/>
      <c r="G2615" s="7"/>
      <c r="H2615" s="7"/>
      <c r="CA2615" s="142"/>
      <c r="CB2615" s="3" t="str">
        <f t="shared" si="469"/>
        <v>Riadok bude skrytý.</v>
      </c>
      <c r="CW2615" s="49">
        <v>1</v>
      </c>
      <c r="CZ2615" s="30">
        <f t="shared" si="470"/>
        <v>1</v>
      </c>
      <c r="DA2615" s="30">
        <f t="shared" si="466"/>
        <v>1</v>
      </c>
      <c r="DB2615" s="2">
        <f t="shared" si="462"/>
        <v>0</v>
      </c>
      <c r="DS2615" s="130">
        <f>SI!BY2615</f>
        <v>163</v>
      </c>
      <c r="DZ2615" s="131">
        <f>SI!BZ2615</f>
        <v>0</v>
      </c>
    </row>
    <row r="2616" spans="1:130" hidden="1" x14ac:dyDescent="0.25">
      <c r="A2616" s="141"/>
      <c r="B2616" s="137" t="s">
        <v>208</v>
      </c>
      <c r="J2616" s="378" t="s">
        <v>839</v>
      </c>
      <c r="K2616" s="378"/>
      <c r="L2616" s="378"/>
      <c r="M2616" s="378"/>
      <c r="N2616" s="378"/>
      <c r="O2616" s="378"/>
      <c r="P2616" s="378"/>
      <c r="Q2616" s="378"/>
      <c r="R2616" s="378"/>
      <c r="S2616" s="378"/>
      <c r="T2616" s="378"/>
      <c r="U2616" s="137" t="str">
        <f>+IF($O$52&lt;&gt;"",IF(CODE(MID($O$52,1,1))*(IF(SI!EE2616="",1,SI!EE2616-1-1))+ROUNDDOWN(LEN(SI!J5)/2,0)=DS2616,"vlastnú výrobu, pri ktorej vznikajú vnútroorganizačné zásoby.","NEPOVOLENÉ POUŽITIE!"),"NEPOVOLENÉ POUŽITIE!")</f>
        <v>vlastnú výrobu, pri ktorej vznikajú vnútroorganizačné zásoby.</v>
      </c>
      <c r="V2616" s="38"/>
      <c r="W2616" s="38"/>
      <c r="X2616" s="38"/>
      <c r="CA2616" s="142"/>
      <c r="CB2616" s="3" t="str">
        <f t="shared" si="469"/>
        <v>Riadok bude skrytý.</v>
      </c>
      <c r="CC2616" s="271" t="s">
        <v>832</v>
      </c>
      <c r="CD2616" s="14"/>
      <c r="CF2616" s="13"/>
      <c r="CW2616" s="49">
        <v>1</v>
      </c>
      <c r="CZ2616" s="30">
        <f t="shared" si="470"/>
        <v>1</v>
      </c>
      <c r="DA2616" s="30">
        <f t="shared" si="466"/>
        <v>1</v>
      </c>
      <c r="DB2616" s="2">
        <f t="shared" si="462"/>
        <v>0</v>
      </c>
      <c r="DS2616" s="130">
        <f>SI!BY2616</f>
        <v>7</v>
      </c>
      <c r="DZ2616" s="131">
        <f>SI!BZ2616</f>
        <v>0</v>
      </c>
    </row>
    <row r="2617" spans="1:130" hidden="1" x14ac:dyDescent="0.25">
      <c r="A2617" s="141"/>
      <c r="B2617" s="137" t="str">
        <f>+IF($I$52&lt;&gt;"",IF((ROUNDDOWN(CODE(MID($I$52,1,1))*3,0)+DAY(36167))*(IF(SI!EE2617="",1,SI!EE2617-1))+(2*LEN(SI!J3))=DS2617,IF(J2616="neprevádzkuje","Spoločnosť nemá pre túto časť poznámok obsahovú náplň.","K zmene stavu vlastnej výroby Spoločnosť uvádza: "),"NEPOVOLENÉ POUŽITIE!"),"NEPOVOLENÉ POUŽITIE!")</f>
        <v xml:space="preserve">K zmene stavu vlastnej výroby Spoločnosť uvádza: </v>
      </c>
      <c r="CA2617" s="270"/>
      <c r="CB2617" s="3" t="str">
        <f t="shared" si="469"/>
        <v>Riadok bude skrytý.</v>
      </c>
      <c r="CC2617" s="271" t="s">
        <v>832</v>
      </c>
      <c r="CD2617" s="14"/>
      <c r="CF2617" s="13"/>
      <c r="CW2617" s="30">
        <f>+IF($J$2616="neprevádzkuje",1,1)</f>
        <v>1</v>
      </c>
      <c r="CZ2617" s="30">
        <f t="shared" si="470"/>
        <v>1</v>
      </c>
      <c r="DA2617" s="30">
        <f t="shared" si="466"/>
        <v>1</v>
      </c>
      <c r="DB2617" s="2">
        <f t="shared" si="462"/>
        <v>0</v>
      </c>
      <c r="DS2617" s="130">
        <f>SI!BY2617</f>
        <v>10</v>
      </c>
      <c r="DZ2617" s="131">
        <f>SI!BZ2617</f>
        <v>0</v>
      </c>
    </row>
    <row r="2618" spans="1:130" hidden="1" x14ac:dyDescent="0.25">
      <c r="A2618" s="141"/>
      <c r="B2618" s="379"/>
      <c r="C2618" s="379"/>
      <c r="D2618" s="379"/>
      <c r="E2618" s="379"/>
      <c r="F2618" s="379"/>
      <c r="G2618" s="379"/>
      <c r="H2618" s="379"/>
      <c r="I2618" s="379"/>
      <c r="J2618" s="379"/>
      <c r="K2618" s="379"/>
      <c r="L2618" s="379"/>
      <c r="M2618" s="379"/>
      <c r="N2618" s="379"/>
      <c r="O2618" s="379"/>
      <c r="P2618" s="379"/>
      <c r="Q2618" s="379"/>
      <c r="R2618" s="379"/>
      <c r="S2618" s="379"/>
      <c r="T2618" s="379"/>
      <c r="U2618" s="379"/>
      <c r="V2618" s="379"/>
      <c r="W2618" s="379"/>
      <c r="X2618" s="379"/>
      <c r="Y2618" s="379"/>
      <c r="Z2618" s="379"/>
      <c r="AA2618" s="379"/>
      <c r="AB2618" s="379"/>
      <c r="AC2618" s="379"/>
      <c r="AD2618" s="379"/>
      <c r="AE2618" s="379"/>
      <c r="AF2618" s="379"/>
      <c r="AG2618" s="379"/>
      <c r="AH2618" s="379"/>
      <c r="AI2618" s="379"/>
      <c r="AJ2618" s="379"/>
      <c r="AK2618" s="379"/>
      <c r="AL2618" s="379"/>
      <c r="AM2618" s="379"/>
      <c r="AN2618" s="379"/>
      <c r="AO2618" s="379"/>
      <c r="AP2618" s="379"/>
      <c r="AQ2618" s="379"/>
      <c r="AR2618" s="379"/>
      <c r="AS2618" s="379"/>
      <c r="AT2618" s="379"/>
      <c r="AU2618" s="379"/>
      <c r="AV2618" s="379"/>
      <c r="AW2618" s="379"/>
      <c r="AX2618" s="379"/>
      <c r="AY2618" s="379"/>
      <c r="AZ2618" s="379"/>
      <c r="BA2618" s="379"/>
      <c r="BB2618" s="379"/>
      <c r="BC2618" s="379"/>
      <c r="BD2618" s="379"/>
      <c r="BE2618" s="379"/>
      <c r="BF2618" s="379"/>
      <c r="BG2618" s="379"/>
      <c r="BH2618" s="379"/>
      <c r="BI2618" s="379"/>
      <c r="BJ2618" s="379"/>
      <c r="BK2618" s="379"/>
      <c r="BL2618" s="379"/>
      <c r="BM2618" s="379"/>
      <c r="BN2618" s="379"/>
      <c r="BO2618" s="379"/>
      <c r="BP2618" s="379"/>
      <c r="BQ2618" s="379"/>
      <c r="BR2618" s="379"/>
      <c r="BS2618" s="379"/>
      <c r="BT2618" s="379"/>
      <c r="BU2618" s="379"/>
      <c r="BV2618" s="379"/>
      <c r="BW2618" s="379"/>
      <c r="BX2618" s="379"/>
      <c r="BY2618" s="379"/>
      <c r="BZ2618" s="379"/>
      <c r="CA2618" s="281"/>
      <c r="CB2618" s="3" t="str">
        <f t="shared" si="469"/>
        <v>Riadok bude skrytý.</v>
      </c>
      <c r="CC2618" s="271" t="s">
        <v>832</v>
      </c>
      <c r="CW2618" s="30">
        <f t="shared" ref="CW2618:CW2654" si="471">+IF($J$2616="neprevádzkuje",0,1)</f>
        <v>1</v>
      </c>
      <c r="CX2618" s="30">
        <f t="shared" ref="CX2618:CX2637" si="472">+IF(B2618="",0,1)</f>
        <v>0</v>
      </c>
      <c r="CZ2618" s="30">
        <f t="shared" si="470"/>
        <v>1</v>
      </c>
      <c r="DA2618" s="52">
        <f t="shared" ref="DA2618:DA2637" si="473">+IF(CW2618*CX2618=0,0,IF(CZ2618=0,0,1))</f>
        <v>0</v>
      </c>
      <c r="DB2618" s="2">
        <f t="shared" si="462"/>
        <v>0</v>
      </c>
      <c r="DS2618" s="130">
        <f>SI!BY2618</f>
        <v>364</v>
      </c>
      <c r="DZ2618" s="131">
        <f>SI!BZ2618</f>
        <v>0</v>
      </c>
    </row>
    <row r="2619" spans="1:130" hidden="1" x14ac:dyDescent="0.25">
      <c r="A2619" s="141"/>
      <c r="B2619" s="379"/>
      <c r="C2619" s="379"/>
      <c r="D2619" s="379"/>
      <c r="E2619" s="379"/>
      <c r="F2619" s="379"/>
      <c r="G2619" s="379"/>
      <c r="H2619" s="379"/>
      <c r="I2619" s="379"/>
      <c r="J2619" s="379"/>
      <c r="K2619" s="379"/>
      <c r="L2619" s="379"/>
      <c r="M2619" s="379"/>
      <c r="N2619" s="379"/>
      <c r="O2619" s="379"/>
      <c r="P2619" s="379"/>
      <c r="Q2619" s="379"/>
      <c r="R2619" s="379"/>
      <c r="S2619" s="379"/>
      <c r="T2619" s="379"/>
      <c r="U2619" s="379"/>
      <c r="V2619" s="379"/>
      <c r="W2619" s="379"/>
      <c r="X2619" s="379"/>
      <c r="Y2619" s="379"/>
      <c r="Z2619" s="379"/>
      <c r="AA2619" s="379"/>
      <c r="AB2619" s="379"/>
      <c r="AC2619" s="379"/>
      <c r="AD2619" s="379"/>
      <c r="AE2619" s="379"/>
      <c r="AF2619" s="379"/>
      <c r="AG2619" s="379"/>
      <c r="AH2619" s="379"/>
      <c r="AI2619" s="379"/>
      <c r="AJ2619" s="379"/>
      <c r="AK2619" s="379"/>
      <c r="AL2619" s="379"/>
      <c r="AM2619" s="379"/>
      <c r="AN2619" s="379"/>
      <c r="AO2619" s="379"/>
      <c r="AP2619" s="379"/>
      <c r="AQ2619" s="379"/>
      <c r="AR2619" s="379"/>
      <c r="AS2619" s="379"/>
      <c r="AT2619" s="379"/>
      <c r="AU2619" s="379"/>
      <c r="AV2619" s="379"/>
      <c r="AW2619" s="379"/>
      <c r="AX2619" s="379"/>
      <c r="AY2619" s="379"/>
      <c r="AZ2619" s="379"/>
      <c r="BA2619" s="379"/>
      <c r="BB2619" s="379"/>
      <c r="BC2619" s="379"/>
      <c r="BD2619" s="379"/>
      <c r="BE2619" s="379"/>
      <c r="BF2619" s="379"/>
      <c r="BG2619" s="379"/>
      <c r="BH2619" s="379"/>
      <c r="BI2619" s="379"/>
      <c r="BJ2619" s="379"/>
      <c r="BK2619" s="379"/>
      <c r="BL2619" s="379"/>
      <c r="BM2619" s="379"/>
      <c r="BN2619" s="379"/>
      <c r="BO2619" s="379"/>
      <c r="BP2619" s="379"/>
      <c r="BQ2619" s="379"/>
      <c r="BR2619" s="379"/>
      <c r="BS2619" s="379"/>
      <c r="BT2619" s="379"/>
      <c r="BU2619" s="379"/>
      <c r="BV2619" s="379"/>
      <c r="BW2619" s="379"/>
      <c r="BX2619" s="379"/>
      <c r="BY2619" s="379"/>
      <c r="BZ2619" s="379"/>
      <c r="CA2619" s="281"/>
      <c r="CB2619" s="3" t="str">
        <f t="shared" si="469"/>
        <v>Riadok bude skrytý.</v>
      </c>
      <c r="CC2619" s="271" t="s">
        <v>832</v>
      </c>
      <c r="CW2619" s="30">
        <f t="shared" si="471"/>
        <v>1</v>
      </c>
      <c r="CX2619" s="30">
        <f t="shared" si="472"/>
        <v>0</v>
      </c>
      <c r="CZ2619" s="30">
        <f t="shared" si="470"/>
        <v>1</v>
      </c>
      <c r="DA2619" s="52">
        <f t="shared" si="473"/>
        <v>0</v>
      </c>
      <c r="DB2619" s="2">
        <f t="shared" si="462"/>
        <v>0</v>
      </c>
      <c r="DS2619" s="130">
        <f>SI!BY2619</f>
        <v>6</v>
      </c>
      <c r="DZ2619" s="131">
        <f>SI!BZ2619</f>
        <v>0</v>
      </c>
    </row>
    <row r="2620" spans="1:130" hidden="1" x14ac:dyDescent="0.25">
      <c r="A2620" s="141"/>
      <c r="B2620" s="379"/>
      <c r="C2620" s="379"/>
      <c r="D2620" s="379"/>
      <c r="E2620" s="379"/>
      <c r="F2620" s="379"/>
      <c r="G2620" s="379"/>
      <c r="H2620" s="379"/>
      <c r="I2620" s="379"/>
      <c r="J2620" s="379"/>
      <c r="K2620" s="379"/>
      <c r="L2620" s="379"/>
      <c r="M2620" s="379"/>
      <c r="N2620" s="379"/>
      <c r="O2620" s="379"/>
      <c r="P2620" s="379"/>
      <c r="Q2620" s="379"/>
      <c r="R2620" s="379"/>
      <c r="S2620" s="379"/>
      <c r="T2620" s="379"/>
      <c r="U2620" s="379"/>
      <c r="V2620" s="379"/>
      <c r="W2620" s="379"/>
      <c r="X2620" s="379"/>
      <c r="Y2620" s="379"/>
      <c r="Z2620" s="379"/>
      <c r="AA2620" s="379"/>
      <c r="AB2620" s="379"/>
      <c r="AC2620" s="379"/>
      <c r="AD2620" s="379"/>
      <c r="AE2620" s="379"/>
      <c r="AF2620" s="379"/>
      <c r="AG2620" s="379"/>
      <c r="AH2620" s="379"/>
      <c r="AI2620" s="379"/>
      <c r="AJ2620" s="379"/>
      <c r="AK2620" s="379"/>
      <c r="AL2620" s="379"/>
      <c r="AM2620" s="379"/>
      <c r="AN2620" s="379"/>
      <c r="AO2620" s="379"/>
      <c r="AP2620" s="379"/>
      <c r="AQ2620" s="379"/>
      <c r="AR2620" s="379"/>
      <c r="AS2620" s="379"/>
      <c r="AT2620" s="379"/>
      <c r="AU2620" s="379"/>
      <c r="AV2620" s="379"/>
      <c r="AW2620" s="379"/>
      <c r="AX2620" s="379"/>
      <c r="AY2620" s="379"/>
      <c r="AZ2620" s="379"/>
      <c r="BA2620" s="379"/>
      <c r="BB2620" s="379"/>
      <c r="BC2620" s="379"/>
      <c r="BD2620" s="379"/>
      <c r="BE2620" s="379"/>
      <c r="BF2620" s="379"/>
      <c r="BG2620" s="379"/>
      <c r="BH2620" s="379"/>
      <c r="BI2620" s="379"/>
      <c r="BJ2620" s="379"/>
      <c r="BK2620" s="379"/>
      <c r="BL2620" s="379"/>
      <c r="BM2620" s="379"/>
      <c r="BN2620" s="379"/>
      <c r="BO2620" s="379"/>
      <c r="BP2620" s="379"/>
      <c r="BQ2620" s="379"/>
      <c r="BR2620" s="379"/>
      <c r="BS2620" s="379"/>
      <c r="BT2620" s="379"/>
      <c r="BU2620" s="379"/>
      <c r="BV2620" s="379"/>
      <c r="BW2620" s="379"/>
      <c r="BX2620" s="379"/>
      <c r="BY2620" s="379"/>
      <c r="BZ2620" s="379"/>
      <c r="CA2620" s="281"/>
      <c r="CB2620" s="3" t="str">
        <f t="shared" si="469"/>
        <v>Riadok bude skrytý.</v>
      </c>
      <c r="CC2620" s="271" t="s">
        <v>832</v>
      </c>
      <c r="CW2620" s="30">
        <f t="shared" si="471"/>
        <v>1</v>
      </c>
      <c r="CX2620" s="30">
        <f t="shared" si="472"/>
        <v>0</v>
      </c>
      <c r="CZ2620" s="30">
        <f t="shared" si="470"/>
        <v>1</v>
      </c>
      <c r="DA2620" s="52">
        <f t="shared" si="473"/>
        <v>0</v>
      </c>
      <c r="DB2620" s="2">
        <f t="shared" si="462"/>
        <v>0</v>
      </c>
      <c r="DS2620" s="130">
        <f>SI!BY2620</f>
        <v>1039</v>
      </c>
      <c r="DZ2620" s="131">
        <f>SI!BZ2620</f>
        <v>0</v>
      </c>
    </row>
    <row r="2621" spans="1:130" hidden="1" x14ac:dyDescent="0.25">
      <c r="A2621" s="141"/>
      <c r="B2621" s="379"/>
      <c r="C2621" s="379"/>
      <c r="D2621" s="379"/>
      <c r="E2621" s="379"/>
      <c r="F2621" s="379"/>
      <c r="G2621" s="379"/>
      <c r="H2621" s="379"/>
      <c r="I2621" s="379"/>
      <c r="J2621" s="379"/>
      <c r="K2621" s="379"/>
      <c r="L2621" s="379"/>
      <c r="M2621" s="379"/>
      <c r="N2621" s="379"/>
      <c r="O2621" s="379"/>
      <c r="P2621" s="379"/>
      <c r="Q2621" s="379"/>
      <c r="R2621" s="379"/>
      <c r="S2621" s="379"/>
      <c r="T2621" s="379"/>
      <c r="U2621" s="379"/>
      <c r="V2621" s="379"/>
      <c r="W2621" s="379"/>
      <c r="X2621" s="379"/>
      <c r="Y2621" s="379"/>
      <c r="Z2621" s="379"/>
      <c r="AA2621" s="379"/>
      <c r="AB2621" s="379"/>
      <c r="AC2621" s="379"/>
      <c r="AD2621" s="379"/>
      <c r="AE2621" s="379"/>
      <c r="AF2621" s="379"/>
      <c r="AG2621" s="379"/>
      <c r="AH2621" s="379"/>
      <c r="AI2621" s="379"/>
      <c r="AJ2621" s="379"/>
      <c r="AK2621" s="379"/>
      <c r="AL2621" s="379"/>
      <c r="AM2621" s="379"/>
      <c r="AN2621" s="379"/>
      <c r="AO2621" s="379"/>
      <c r="AP2621" s="379"/>
      <c r="AQ2621" s="379"/>
      <c r="AR2621" s="379"/>
      <c r="AS2621" s="379"/>
      <c r="AT2621" s="379"/>
      <c r="AU2621" s="379"/>
      <c r="AV2621" s="379"/>
      <c r="AW2621" s="379"/>
      <c r="AX2621" s="379"/>
      <c r="AY2621" s="379"/>
      <c r="AZ2621" s="379"/>
      <c r="BA2621" s="379"/>
      <c r="BB2621" s="379"/>
      <c r="BC2621" s="379"/>
      <c r="BD2621" s="379"/>
      <c r="BE2621" s="379"/>
      <c r="BF2621" s="379"/>
      <c r="BG2621" s="379"/>
      <c r="BH2621" s="379"/>
      <c r="BI2621" s="379"/>
      <c r="BJ2621" s="379"/>
      <c r="BK2621" s="379"/>
      <c r="BL2621" s="379"/>
      <c r="BM2621" s="379"/>
      <c r="BN2621" s="379"/>
      <c r="BO2621" s="379"/>
      <c r="BP2621" s="379"/>
      <c r="BQ2621" s="379"/>
      <c r="BR2621" s="379"/>
      <c r="BS2621" s="379"/>
      <c r="BT2621" s="379"/>
      <c r="BU2621" s="379"/>
      <c r="BV2621" s="379"/>
      <c r="BW2621" s="379"/>
      <c r="BX2621" s="379"/>
      <c r="BY2621" s="379"/>
      <c r="BZ2621" s="379"/>
      <c r="CA2621" s="281"/>
      <c r="CB2621" s="3" t="str">
        <f t="shared" si="469"/>
        <v>Riadok bude skrytý.</v>
      </c>
      <c r="CC2621" s="271" t="s">
        <v>832</v>
      </c>
      <c r="CW2621" s="30">
        <f t="shared" si="471"/>
        <v>1</v>
      </c>
      <c r="CX2621" s="30">
        <f t="shared" si="472"/>
        <v>0</v>
      </c>
      <c r="CZ2621" s="30">
        <f t="shared" si="470"/>
        <v>1</v>
      </c>
      <c r="DA2621" s="52">
        <f t="shared" si="473"/>
        <v>0</v>
      </c>
      <c r="DB2621" s="2">
        <f t="shared" si="462"/>
        <v>0</v>
      </c>
      <c r="DS2621" s="130">
        <f>SI!BY2621</f>
        <v>114</v>
      </c>
      <c r="DZ2621" s="131">
        <f>SI!BZ2621</f>
        <v>0</v>
      </c>
    </row>
    <row r="2622" spans="1:130" hidden="1" x14ac:dyDescent="0.25">
      <c r="A2622" s="141"/>
      <c r="B2622" s="379"/>
      <c r="C2622" s="379"/>
      <c r="D2622" s="379"/>
      <c r="E2622" s="379"/>
      <c r="F2622" s="379"/>
      <c r="G2622" s="379"/>
      <c r="H2622" s="379"/>
      <c r="I2622" s="379"/>
      <c r="J2622" s="379"/>
      <c r="K2622" s="379"/>
      <c r="L2622" s="379"/>
      <c r="M2622" s="379"/>
      <c r="N2622" s="379"/>
      <c r="O2622" s="379"/>
      <c r="P2622" s="379"/>
      <c r="Q2622" s="379"/>
      <c r="R2622" s="379"/>
      <c r="S2622" s="379"/>
      <c r="T2622" s="379"/>
      <c r="U2622" s="379"/>
      <c r="V2622" s="379"/>
      <c r="W2622" s="379"/>
      <c r="X2622" s="379"/>
      <c r="Y2622" s="379"/>
      <c r="Z2622" s="379"/>
      <c r="AA2622" s="379"/>
      <c r="AB2622" s="379"/>
      <c r="AC2622" s="379"/>
      <c r="AD2622" s="379"/>
      <c r="AE2622" s="379"/>
      <c r="AF2622" s="379"/>
      <c r="AG2622" s="379"/>
      <c r="AH2622" s="379"/>
      <c r="AI2622" s="379"/>
      <c r="AJ2622" s="379"/>
      <c r="AK2622" s="379"/>
      <c r="AL2622" s="379"/>
      <c r="AM2622" s="379"/>
      <c r="AN2622" s="379"/>
      <c r="AO2622" s="379"/>
      <c r="AP2622" s="379"/>
      <c r="AQ2622" s="379"/>
      <c r="AR2622" s="379"/>
      <c r="AS2622" s="379"/>
      <c r="AT2622" s="379"/>
      <c r="AU2622" s="379"/>
      <c r="AV2622" s="379"/>
      <c r="AW2622" s="379"/>
      <c r="AX2622" s="379"/>
      <c r="AY2622" s="379"/>
      <c r="AZ2622" s="379"/>
      <c r="BA2622" s="379"/>
      <c r="BB2622" s="379"/>
      <c r="BC2622" s="379"/>
      <c r="BD2622" s="379"/>
      <c r="BE2622" s="379"/>
      <c r="BF2622" s="379"/>
      <c r="BG2622" s="379"/>
      <c r="BH2622" s="379"/>
      <c r="BI2622" s="379"/>
      <c r="BJ2622" s="379"/>
      <c r="BK2622" s="379"/>
      <c r="BL2622" s="379"/>
      <c r="BM2622" s="379"/>
      <c r="BN2622" s="379"/>
      <c r="BO2622" s="379"/>
      <c r="BP2622" s="379"/>
      <c r="BQ2622" s="379"/>
      <c r="BR2622" s="379"/>
      <c r="BS2622" s="379"/>
      <c r="BT2622" s="379"/>
      <c r="BU2622" s="379"/>
      <c r="BV2622" s="379"/>
      <c r="BW2622" s="379"/>
      <c r="BX2622" s="379"/>
      <c r="BY2622" s="379"/>
      <c r="BZ2622" s="379"/>
      <c r="CA2622" s="281"/>
      <c r="CB2622" s="3" t="str">
        <f t="shared" si="469"/>
        <v>Riadok bude skrytý.</v>
      </c>
      <c r="CC2622" s="271" t="s">
        <v>832</v>
      </c>
      <c r="CW2622" s="30">
        <f t="shared" si="471"/>
        <v>1</v>
      </c>
      <c r="CX2622" s="30">
        <f t="shared" si="472"/>
        <v>0</v>
      </c>
      <c r="CZ2622" s="30">
        <f t="shared" si="470"/>
        <v>1</v>
      </c>
      <c r="DA2622" s="52">
        <f t="shared" si="473"/>
        <v>0</v>
      </c>
      <c r="DB2622" s="2">
        <f t="shared" si="462"/>
        <v>0</v>
      </c>
      <c r="DS2622" s="130">
        <f>SI!BY2622</f>
        <v>469</v>
      </c>
      <c r="DZ2622" s="131">
        <f>SI!BZ2622</f>
        <v>0</v>
      </c>
    </row>
    <row r="2623" spans="1:130" hidden="1" x14ac:dyDescent="0.25">
      <c r="A2623" s="141"/>
      <c r="B2623" s="379"/>
      <c r="C2623" s="379"/>
      <c r="D2623" s="379"/>
      <c r="E2623" s="379"/>
      <c r="F2623" s="379"/>
      <c r="G2623" s="379"/>
      <c r="H2623" s="379"/>
      <c r="I2623" s="379"/>
      <c r="J2623" s="379"/>
      <c r="K2623" s="379"/>
      <c r="L2623" s="379"/>
      <c r="M2623" s="379"/>
      <c r="N2623" s="379"/>
      <c r="O2623" s="379"/>
      <c r="P2623" s="379"/>
      <c r="Q2623" s="379"/>
      <c r="R2623" s="379"/>
      <c r="S2623" s="379"/>
      <c r="T2623" s="379"/>
      <c r="U2623" s="379"/>
      <c r="V2623" s="379"/>
      <c r="W2623" s="379"/>
      <c r="X2623" s="379"/>
      <c r="Y2623" s="379"/>
      <c r="Z2623" s="379"/>
      <c r="AA2623" s="379"/>
      <c r="AB2623" s="379"/>
      <c r="AC2623" s="379"/>
      <c r="AD2623" s="379"/>
      <c r="AE2623" s="379"/>
      <c r="AF2623" s="379"/>
      <c r="AG2623" s="379"/>
      <c r="AH2623" s="379"/>
      <c r="AI2623" s="379"/>
      <c r="AJ2623" s="379"/>
      <c r="AK2623" s="379"/>
      <c r="AL2623" s="379"/>
      <c r="AM2623" s="379"/>
      <c r="AN2623" s="379"/>
      <c r="AO2623" s="379"/>
      <c r="AP2623" s="379"/>
      <c r="AQ2623" s="379"/>
      <c r="AR2623" s="379"/>
      <c r="AS2623" s="379"/>
      <c r="AT2623" s="379"/>
      <c r="AU2623" s="379"/>
      <c r="AV2623" s="379"/>
      <c r="AW2623" s="379"/>
      <c r="AX2623" s="379"/>
      <c r="AY2623" s="379"/>
      <c r="AZ2623" s="379"/>
      <c r="BA2623" s="379"/>
      <c r="BB2623" s="379"/>
      <c r="BC2623" s="379"/>
      <c r="BD2623" s="379"/>
      <c r="BE2623" s="379"/>
      <c r="BF2623" s="379"/>
      <c r="BG2623" s="379"/>
      <c r="BH2623" s="379"/>
      <c r="BI2623" s="379"/>
      <c r="BJ2623" s="379"/>
      <c r="BK2623" s="379"/>
      <c r="BL2623" s="379"/>
      <c r="BM2623" s="379"/>
      <c r="BN2623" s="379"/>
      <c r="BO2623" s="379"/>
      <c r="BP2623" s="379"/>
      <c r="BQ2623" s="379"/>
      <c r="BR2623" s="379"/>
      <c r="BS2623" s="379"/>
      <c r="BT2623" s="379"/>
      <c r="BU2623" s="379"/>
      <c r="BV2623" s="379"/>
      <c r="BW2623" s="379"/>
      <c r="BX2623" s="379"/>
      <c r="BY2623" s="379"/>
      <c r="BZ2623" s="379"/>
      <c r="CA2623" s="281"/>
      <c r="CB2623" s="3" t="str">
        <f t="shared" si="469"/>
        <v>Riadok bude skrytý.</v>
      </c>
      <c r="CC2623" s="271" t="s">
        <v>832</v>
      </c>
      <c r="CW2623" s="30">
        <f t="shared" si="471"/>
        <v>1</v>
      </c>
      <c r="CX2623" s="30">
        <f t="shared" si="472"/>
        <v>0</v>
      </c>
      <c r="CZ2623" s="30">
        <f t="shared" si="470"/>
        <v>1</v>
      </c>
      <c r="DA2623" s="52">
        <f t="shared" si="473"/>
        <v>0</v>
      </c>
      <c r="DB2623" s="2">
        <f t="shared" si="462"/>
        <v>0</v>
      </c>
      <c r="DS2623" s="130">
        <f>SI!BY2623</f>
        <v>129</v>
      </c>
      <c r="DZ2623" s="131">
        <f>SI!BZ2623</f>
        <v>0</v>
      </c>
    </row>
    <row r="2624" spans="1:130" hidden="1" x14ac:dyDescent="0.25">
      <c r="A2624" s="141"/>
      <c r="B2624" s="379"/>
      <c r="C2624" s="379"/>
      <c r="D2624" s="379"/>
      <c r="E2624" s="379"/>
      <c r="F2624" s="379"/>
      <c r="G2624" s="379"/>
      <c r="H2624" s="379"/>
      <c r="I2624" s="379"/>
      <c r="J2624" s="379"/>
      <c r="K2624" s="379"/>
      <c r="L2624" s="379"/>
      <c r="M2624" s="379"/>
      <c r="N2624" s="379"/>
      <c r="O2624" s="379"/>
      <c r="P2624" s="379"/>
      <c r="Q2624" s="379"/>
      <c r="R2624" s="379"/>
      <c r="S2624" s="379"/>
      <c r="T2624" s="379"/>
      <c r="U2624" s="379"/>
      <c r="V2624" s="379"/>
      <c r="W2624" s="379"/>
      <c r="X2624" s="379"/>
      <c r="Y2624" s="379"/>
      <c r="Z2624" s="379"/>
      <c r="AA2624" s="379"/>
      <c r="AB2624" s="379"/>
      <c r="AC2624" s="379"/>
      <c r="AD2624" s="379"/>
      <c r="AE2624" s="379"/>
      <c r="AF2624" s="379"/>
      <c r="AG2624" s="379"/>
      <c r="AH2624" s="379"/>
      <c r="AI2624" s="379"/>
      <c r="AJ2624" s="379"/>
      <c r="AK2624" s="379"/>
      <c r="AL2624" s="379"/>
      <c r="AM2624" s="379"/>
      <c r="AN2624" s="379"/>
      <c r="AO2624" s="379"/>
      <c r="AP2624" s="379"/>
      <c r="AQ2624" s="379"/>
      <c r="AR2624" s="379"/>
      <c r="AS2624" s="379"/>
      <c r="AT2624" s="379"/>
      <c r="AU2624" s="379"/>
      <c r="AV2624" s="379"/>
      <c r="AW2624" s="379"/>
      <c r="AX2624" s="379"/>
      <c r="AY2624" s="379"/>
      <c r="AZ2624" s="379"/>
      <c r="BA2624" s="379"/>
      <c r="BB2624" s="379"/>
      <c r="BC2624" s="379"/>
      <c r="BD2624" s="379"/>
      <c r="BE2624" s="379"/>
      <c r="BF2624" s="379"/>
      <c r="BG2624" s="379"/>
      <c r="BH2624" s="379"/>
      <c r="BI2624" s="379"/>
      <c r="BJ2624" s="379"/>
      <c r="BK2624" s="379"/>
      <c r="BL2624" s="379"/>
      <c r="BM2624" s="379"/>
      <c r="BN2624" s="379"/>
      <c r="BO2624" s="379"/>
      <c r="BP2624" s="379"/>
      <c r="BQ2624" s="379"/>
      <c r="BR2624" s="379"/>
      <c r="BS2624" s="379"/>
      <c r="BT2624" s="379"/>
      <c r="BU2624" s="379"/>
      <c r="BV2624" s="379"/>
      <c r="BW2624" s="379"/>
      <c r="BX2624" s="379"/>
      <c r="BY2624" s="379"/>
      <c r="BZ2624" s="379"/>
      <c r="CA2624" s="281"/>
      <c r="CB2624" s="3" t="str">
        <f t="shared" si="469"/>
        <v>Riadok bude skrytý.</v>
      </c>
      <c r="CC2624" s="271" t="s">
        <v>832</v>
      </c>
      <c r="CW2624" s="30">
        <f t="shared" si="471"/>
        <v>1</v>
      </c>
      <c r="CX2624" s="30">
        <f t="shared" si="472"/>
        <v>0</v>
      </c>
      <c r="CZ2624" s="30">
        <f t="shared" si="470"/>
        <v>1</v>
      </c>
      <c r="DA2624" s="52">
        <f t="shared" si="473"/>
        <v>0</v>
      </c>
      <c r="DB2624" s="2">
        <f t="shared" si="462"/>
        <v>0</v>
      </c>
      <c r="DS2624" s="130">
        <f>SI!BY2624</f>
        <v>125</v>
      </c>
      <c r="DZ2624" s="131">
        <f>SI!BZ2624</f>
        <v>0</v>
      </c>
    </row>
    <row r="2625" spans="1:130" hidden="1" x14ac:dyDescent="0.25">
      <c r="A2625" s="141"/>
      <c r="B2625" s="379"/>
      <c r="C2625" s="379"/>
      <c r="D2625" s="379"/>
      <c r="E2625" s="379"/>
      <c r="F2625" s="379"/>
      <c r="G2625" s="379"/>
      <c r="H2625" s="379"/>
      <c r="I2625" s="379"/>
      <c r="J2625" s="379"/>
      <c r="K2625" s="379"/>
      <c r="L2625" s="379"/>
      <c r="M2625" s="379"/>
      <c r="N2625" s="379"/>
      <c r="O2625" s="379"/>
      <c r="P2625" s="379"/>
      <c r="Q2625" s="379"/>
      <c r="R2625" s="379"/>
      <c r="S2625" s="379"/>
      <c r="T2625" s="379"/>
      <c r="U2625" s="379"/>
      <c r="V2625" s="379"/>
      <c r="W2625" s="379"/>
      <c r="X2625" s="379"/>
      <c r="Y2625" s="379"/>
      <c r="Z2625" s="379"/>
      <c r="AA2625" s="379"/>
      <c r="AB2625" s="379"/>
      <c r="AC2625" s="379"/>
      <c r="AD2625" s="379"/>
      <c r="AE2625" s="379"/>
      <c r="AF2625" s="379"/>
      <c r="AG2625" s="379"/>
      <c r="AH2625" s="379"/>
      <c r="AI2625" s="379"/>
      <c r="AJ2625" s="379"/>
      <c r="AK2625" s="379"/>
      <c r="AL2625" s="379"/>
      <c r="AM2625" s="379"/>
      <c r="AN2625" s="379"/>
      <c r="AO2625" s="379"/>
      <c r="AP2625" s="379"/>
      <c r="AQ2625" s="379"/>
      <c r="AR2625" s="379"/>
      <c r="AS2625" s="379"/>
      <c r="AT2625" s="379"/>
      <c r="AU2625" s="379"/>
      <c r="AV2625" s="379"/>
      <c r="AW2625" s="379"/>
      <c r="AX2625" s="379"/>
      <c r="AY2625" s="379"/>
      <c r="AZ2625" s="379"/>
      <c r="BA2625" s="379"/>
      <c r="BB2625" s="379"/>
      <c r="BC2625" s="379"/>
      <c r="BD2625" s="379"/>
      <c r="BE2625" s="379"/>
      <c r="BF2625" s="379"/>
      <c r="BG2625" s="379"/>
      <c r="BH2625" s="379"/>
      <c r="BI2625" s="379"/>
      <c r="BJ2625" s="379"/>
      <c r="BK2625" s="379"/>
      <c r="BL2625" s="379"/>
      <c r="BM2625" s="379"/>
      <c r="BN2625" s="379"/>
      <c r="BO2625" s="379"/>
      <c r="BP2625" s="379"/>
      <c r="BQ2625" s="379"/>
      <c r="BR2625" s="379"/>
      <c r="BS2625" s="379"/>
      <c r="BT2625" s="379"/>
      <c r="BU2625" s="379"/>
      <c r="BV2625" s="379"/>
      <c r="BW2625" s="379"/>
      <c r="BX2625" s="379"/>
      <c r="BY2625" s="379"/>
      <c r="BZ2625" s="379"/>
      <c r="CA2625" s="281"/>
      <c r="CB2625" s="3" t="str">
        <f t="shared" si="469"/>
        <v>Riadok bude skrytý.</v>
      </c>
      <c r="CC2625" s="271" t="s">
        <v>832</v>
      </c>
      <c r="CW2625" s="30">
        <f t="shared" si="471"/>
        <v>1</v>
      </c>
      <c r="CX2625" s="30">
        <f t="shared" si="472"/>
        <v>0</v>
      </c>
      <c r="CZ2625" s="30">
        <f t="shared" si="470"/>
        <v>1</v>
      </c>
      <c r="DA2625" s="52">
        <f t="shared" si="473"/>
        <v>0</v>
      </c>
      <c r="DB2625" s="2">
        <f t="shared" si="462"/>
        <v>0</v>
      </c>
      <c r="DS2625" s="130">
        <f>SI!BY2625</f>
        <v>101</v>
      </c>
      <c r="DZ2625" s="131">
        <f>SI!BZ2625</f>
        <v>0</v>
      </c>
    </row>
    <row r="2626" spans="1:130" hidden="1" x14ac:dyDescent="0.25">
      <c r="A2626" s="141"/>
      <c r="B2626" s="379"/>
      <c r="C2626" s="379"/>
      <c r="D2626" s="379"/>
      <c r="E2626" s="379"/>
      <c r="F2626" s="379"/>
      <c r="G2626" s="379"/>
      <c r="H2626" s="379"/>
      <c r="I2626" s="379"/>
      <c r="J2626" s="379"/>
      <c r="K2626" s="379"/>
      <c r="L2626" s="379"/>
      <c r="M2626" s="379"/>
      <c r="N2626" s="379"/>
      <c r="O2626" s="379"/>
      <c r="P2626" s="379"/>
      <c r="Q2626" s="379"/>
      <c r="R2626" s="379"/>
      <c r="S2626" s="379"/>
      <c r="T2626" s="379"/>
      <c r="U2626" s="379"/>
      <c r="V2626" s="379"/>
      <c r="W2626" s="379"/>
      <c r="X2626" s="379"/>
      <c r="Y2626" s="379"/>
      <c r="Z2626" s="379"/>
      <c r="AA2626" s="379"/>
      <c r="AB2626" s="379"/>
      <c r="AC2626" s="379"/>
      <c r="AD2626" s="379"/>
      <c r="AE2626" s="379"/>
      <c r="AF2626" s="379"/>
      <c r="AG2626" s="379"/>
      <c r="AH2626" s="379"/>
      <c r="AI2626" s="379"/>
      <c r="AJ2626" s="379"/>
      <c r="AK2626" s="379"/>
      <c r="AL2626" s="379"/>
      <c r="AM2626" s="379"/>
      <c r="AN2626" s="379"/>
      <c r="AO2626" s="379"/>
      <c r="AP2626" s="379"/>
      <c r="AQ2626" s="379"/>
      <c r="AR2626" s="379"/>
      <c r="AS2626" s="379"/>
      <c r="AT2626" s="379"/>
      <c r="AU2626" s="379"/>
      <c r="AV2626" s="379"/>
      <c r="AW2626" s="379"/>
      <c r="AX2626" s="379"/>
      <c r="AY2626" s="379"/>
      <c r="AZ2626" s="379"/>
      <c r="BA2626" s="379"/>
      <c r="BB2626" s="379"/>
      <c r="BC2626" s="379"/>
      <c r="BD2626" s="379"/>
      <c r="BE2626" s="379"/>
      <c r="BF2626" s="379"/>
      <c r="BG2626" s="379"/>
      <c r="BH2626" s="379"/>
      <c r="BI2626" s="379"/>
      <c r="BJ2626" s="379"/>
      <c r="BK2626" s="379"/>
      <c r="BL2626" s="379"/>
      <c r="BM2626" s="379"/>
      <c r="BN2626" s="379"/>
      <c r="BO2626" s="379"/>
      <c r="BP2626" s="379"/>
      <c r="BQ2626" s="379"/>
      <c r="BR2626" s="379"/>
      <c r="BS2626" s="379"/>
      <c r="BT2626" s="379"/>
      <c r="BU2626" s="379"/>
      <c r="BV2626" s="379"/>
      <c r="BW2626" s="379"/>
      <c r="BX2626" s="379"/>
      <c r="BY2626" s="379"/>
      <c r="BZ2626" s="379"/>
      <c r="CA2626" s="281"/>
      <c r="CB2626" s="3" t="str">
        <f t="shared" si="469"/>
        <v>Riadok bude skrytý.</v>
      </c>
      <c r="CC2626" s="271" t="s">
        <v>832</v>
      </c>
      <c r="CW2626" s="30">
        <f t="shared" si="471"/>
        <v>1</v>
      </c>
      <c r="CX2626" s="30">
        <f t="shared" si="472"/>
        <v>0</v>
      </c>
      <c r="CZ2626" s="30">
        <f t="shared" si="470"/>
        <v>1</v>
      </c>
      <c r="DA2626" s="52">
        <f t="shared" si="473"/>
        <v>0</v>
      </c>
      <c r="DB2626" s="2">
        <f t="shared" si="462"/>
        <v>0</v>
      </c>
      <c r="DS2626" s="130">
        <f>SI!BY2626</f>
        <v>137</v>
      </c>
      <c r="DZ2626" s="131">
        <f>SI!BZ2626</f>
        <v>0</v>
      </c>
    </row>
    <row r="2627" spans="1:130" hidden="1" x14ac:dyDescent="0.25">
      <c r="A2627" s="141"/>
      <c r="B2627" s="379"/>
      <c r="C2627" s="379"/>
      <c r="D2627" s="379"/>
      <c r="E2627" s="379"/>
      <c r="F2627" s="379"/>
      <c r="G2627" s="379"/>
      <c r="H2627" s="379"/>
      <c r="I2627" s="379"/>
      <c r="J2627" s="379"/>
      <c r="K2627" s="379"/>
      <c r="L2627" s="379"/>
      <c r="M2627" s="379"/>
      <c r="N2627" s="379"/>
      <c r="O2627" s="379"/>
      <c r="P2627" s="379"/>
      <c r="Q2627" s="379"/>
      <c r="R2627" s="379"/>
      <c r="S2627" s="379"/>
      <c r="T2627" s="379"/>
      <c r="U2627" s="379"/>
      <c r="V2627" s="379"/>
      <c r="W2627" s="379"/>
      <c r="X2627" s="379"/>
      <c r="Y2627" s="379"/>
      <c r="Z2627" s="379"/>
      <c r="AA2627" s="379"/>
      <c r="AB2627" s="379"/>
      <c r="AC2627" s="379"/>
      <c r="AD2627" s="379"/>
      <c r="AE2627" s="379"/>
      <c r="AF2627" s="379"/>
      <c r="AG2627" s="379"/>
      <c r="AH2627" s="379"/>
      <c r="AI2627" s="379"/>
      <c r="AJ2627" s="379"/>
      <c r="AK2627" s="379"/>
      <c r="AL2627" s="379"/>
      <c r="AM2627" s="379"/>
      <c r="AN2627" s="379"/>
      <c r="AO2627" s="379"/>
      <c r="AP2627" s="379"/>
      <c r="AQ2627" s="379"/>
      <c r="AR2627" s="379"/>
      <c r="AS2627" s="379"/>
      <c r="AT2627" s="379"/>
      <c r="AU2627" s="379"/>
      <c r="AV2627" s="379"/>
      <c r="AW2627" s="379"/>
      <c r="AX2627" s="379"/>
      <c r="AY2627" s="379"/>
      <c r="AZ2627" s="379"/>
      <c r="BA2627" s="379"/>
      <c r="BB2627" s="379"/>
      <c r="BC2627" s="379"/>
      <c r="BD2627" s="379"/>
      <c r="BE2627" s="379"/>
      <c r="BF2627" s="379"/>
      <c r="BG2627" s="379"/>
      <c r="BH2627" s="379"/>
      <c r="BI2627" s="379"/>
      <c r="BJ2627" s="379"/>
      <c r="BK2627" s="379"/>
      <c r="BL2627" s="379"/>
      <c r="BM2627" s="379"/>
      <c r="BN2627" s="379"/>
      <c r="BO2627" s="379"/>
      <c r="BP2627" s="379"/>
      <c r="BQ2627" s="379"/>
      <c r="BR2627" s="379"/>
      <c r="BS2627" s="379"/>
      <c r="BT2627" s="379"/>
      <c r="BU2627" s="379"/>
      <c r="BV2627" s="379"/>
      <c r="BW2627" s="379"/>
      <c r="BX2627" s="379"/>
      <c r="BY2627" s="379"/>
      <c r="BZ2627" s="379"/>
      <c r="CA2627" s="281"/>
      <c r="CB2627" s="3" t="str">
        <f t="shared" si="469"/>
        <v>Riadok bude skrytý.</v>
      </c>
      <c r="CC2627" s="271" t="s">
        <v>832</v>
      </c>
      <c r="CW2627" s="30">
        <f t="shared" si="471"/>
        <v>1</v>
      </c>
      <c r="CX2627" s="30">
        <f t="shared" si="472"/>
        <v>0</v>
      </c>
      <c r="CZ2627" s="30">
        <f t="shared" si="470"/>
        <v>1</v>
      </c>
      <c r="DA2627" s="52">
        <f t="shared" si="473"/>
        <v>0</v>
      </c>
      <c r="DB2627" s="2">
        <f t="shared" si="462"/>
        <v>0</v>
      </c>
      <c r="DS2627" s="130">
        <f>SI!BY2627</f>
        <v>100</v>
      </c>
      <c r="DZ2627" s="131">
        <f>SI!BZ2627</f>
        <v>0</v>
      </c>
    </row>
    <row r="2628" spans="1:130" hidden="1" x14ac:dyDescent="0.25">
      <c r="A2628" s="141"/>
      <c r="B2628" s="379"/>
      <c r="C2628" s="379"/>
      <c r="D2628" s="379"/>
      <c r="E2628" s="379"/>
      <c r="F2628" s="379"/>
      <c r="G2628" s="379"/>
      <c r="H2628" s="379"/>
      <c r="I2628" s="379"/>
      <c r="J2628" s="379"/>
      <c r="K2628" s="379"/>
      <c r="L2628" s="379"/>
      <c r="M2628" s="379"/>
      <c r="N2628" s="379"/>
      <c r="O2628" s="379"/>
      <c r="P2628" s="379"/>
      <c r="Q2628" s="379"/>
      <c r="R2628" s="379"/>
      <c r="S2628" s="379"/>
      <c r="T2628" s="379"/>
      <c r="U2628" s="379"/>
      <c r="V2628" s="379"/>
      <c r="W2628" s="379"/>
      <c r="X2628" s="379"/>
      <c r="Y2628" s="379"/>
      <c r="Z2628" s="379"/>
      <c r="AA2628" s="379"/>
      <c r="AB2628" s="379"/>
      <c r="AC2628" s="379"/>
      <c r="AD2628" s="379"/>
      <c r="AE2628" s="379"/>
      <c r="AF2628" s="379"/>
      <c r="AG2628" s="379"/>
      <c r="AH2628" s="379"/>
      <c r="AI2628" s="379"/>
      <c r="AJ2628" s="379"/>
      <c r="AK2628" s="379"/>
      <c r="AL2628" s="379"/>
      <c r="AM2628" s="379"/>
      <c r="AN2628" s="379"/>
      <c r="AO2628" s="379"/>
      <c r="AP2628" s="379"/>
      <c r="AQ2628" s="379"/>
      <c r="AR2628" s="379"/>
      <c r="AS2628" s="379"/>
      <c r="AT2628" s="379"/>
      <c r="AU2628" s="379"/>
      <c r="AV2628" s="379"/>
      <c r="AW2628" s="379"/>
      <c r="AX2628" s="379"/>
      <c r="AY2628" s="379"/>
      <c r="AZ2628" s="379"/>
      <c r="BA2628" s="379"/>
      <c r="BB2628" s="379"/>
      <c r="BC2628" s="379"/>
      <c r="BD2628" s="379"/>
      <c r="BE2628" s="379"/>
      <c r="BF2628" s="379"/>
      <c r="BG2628" s="379"/>
      <c r="BH2628" s="379"/>
      <c r="BI2628" s="379"/>
      <c r="BJ2628" s="379"/>
      <c r="BK2628" s="379"/>
      <c r="BL2628" s="379"/>
      <c r="BM2628" s="379"/>
      <c r="BN2628" s="379"/>
      <c r="BO2628" s="379"/>
      <c r="BP2628" s="379"/>
      <c r="BQ2628" s="379"/>
      <c r="BR2628" s="379"/>
      <c r="BS2628" s="379"/>
      <c r="BT2628" s="379"/>
      <c r="BU2628" s="379"/>
      <c r="BV2628" s="379"/>
      <c r="BW2628" s="379"/>
      <c r="BX2628" s="379"/>
      <c r="BY2628" s="379"/>
      <c r="BZ2628" s="379"/>
      <c r="CA2628" s="281"/>
      <c r="CB2628" s="3" t="str">
        <f t="shared" si="469"/>
        <v>Riadok bude skrytý.</v>
      </c>
      <c r="CC2628" s="271" t="s">
        <v>832</v>
      </c>
      <c r="CW2628" s="30">
        <f t="shared" si="471"/>
        <v>1</v>
      </c>
      <c r="CX2628" s="30">
        <f t="shared" si="472"/>
        <v>0</v>
      </c>
      <c r="CZ2628" s="30">
        <f t="shared" si="470"/>
        <v>1</v>
      </c>
      <c r="DA2628" s="52">
        <f t="shared" si="473"/>
        <v>0</v>
      </c>
      <c r="DB2628" s="2">
        <f t="shared" si="462"/>
        <v>0</v>
      </c>
      <c r="DS2628" s="130">
        <f>SI!BY2628</f>
        <v>146</v>
      </c>
      <c r="DZ2628" s="131">
        <f>SI!BZ2628</f>
        <v>0</v>
      </c>
    </row>
    <row r="2629" spans="1:130" hidden="1" x14ac:dyDescent="0.25">
      <c r="A2629" s="141"/>
      <c r="B2629" s="379"/>
      <c r="C2629" s="379"/>
      <c r="D2629" s="379"/>
      <c r="E2629" s="379"/>
      <c r="F2629" s="379"/>
      <c r="G2629" s="379"/>
      <c r="H2629" s="379"/>
      <c r="I2629" s="379"/>
      <c r="J2629" s="379"/>
      <c r="K2629" s="379"/>
      <c r="L2629" s="379"/>
      <c r="M2629" s="379"/>
      <c r="N2629" s="379"/>
      <c r="O2629" s="379"/>
      <c r="P2629" s="379"/>
      <c r="Q2629" s="379"/>
      <c r="R2629" s="379"/>
      <c r="S2629" s="379"/>
      <c r="T2629" s="379"/>
      <c r="U2629" s="379"/>
      <c r="V2629" s="379"/>
      <c r="W2629" s="379"/>
      <c r="X2629" s="379"/>
      <c r="Y2629" s="379"/>
      <c r="Z2629" s="379"/>
      <c r="AA2629" s="379"/>
      <c r="AB2629" s="379"/>
      <c r="AC2629" s="379"/>
      <c r="AD2629" s="379"/>
      <c r="AE2629" s="379"/>
      <c r="AF2629" s="379"/>
      <c r="AG2629" s="379"/>
      <c r="AH2629" s="379"/>
      <c r="AI2629" s="379"/>
      <c r="AJ2629" s="379"/>
      <c r="AK2629" s="379"/>
      <c r="AL2629" s="379"/>
      <c r="AM2629" s="379"/>
      <c r="AN2629" s="379"/>
      <c r="AO2629" s="379"/>
      <c r="AP2629" s="379"/>
      <c r="AQ2629" s="379"/>
      <c r="AR2629" s="379"/>
      <c r="AS2629" s="379"/>
      <c r="AT2629" s="379"/>
      <c r="AU2629" s="379"/>
      <c r="AV2629" s="379"/>
      <c r="AW2629" s="379"/>
      <c r="AX2629" s="379"/>
      <c r="AY2629" s="379"/>
      <c r="AZ2629" s="379"/>
      <c r="BA2629" s="379"/>
      <c r="BB2629" s="379"/>
      <c r="BC2629" s="379"/>
      <c r="BD2629" s="379"/>
      <c r="BE2629" s="379"/>
      <c r="BF2629" s="379"/>
      <c r="BG2629" s="379"/>
      <c r="BH2629" s="379"/>
      <c r="BI2629" s="379"/>
      <c r="BJ2629" s="379"/>
      <c r="BK2629" s="379"/>
      <c r="BL2629" s="379"/>
      <c r="BM2629" s="379"/>
      <c r="BN2629" s="379"/>
      <c r="BO2629" s="379"/>
      <c r="BP2629" s="379"/>
      <c r="BQ2629" s="379"/>
      <c r="BR2629" s="379"/>
      <c r="BS2629" s="379"/>
      <c r="BT2629" s="379"/>
      <c r="BU2629" s="379"/>
      <c r="BV2629" s="379"/>
      <c r="BW2629" s="379"/>
      <c r="BX2629" s="379"/>
      <c r="BY2629" s="379"/>
      <c r="BZ2629" s="379"/>
      <c r="CA2629" s="281"/>
      <c r="CB2629" s="3" t="str">
        <f t="shared" si="469"/>
        <v>Riadok bude skrytý.</v>
      </c>
      <c r="CC2629" s="271" t="s">
        <v>832</v>
      </c>
      <c r="CW2629" s="30">
        <f t="shared" si="471"/>
        <v>1</v>
      </c>
      <c r="CX2629" s="30">
        <f t="shared" si="472"/>
        <v>0</v>
      </c>
      <c r="CZ2629" s="30">
        <f t="shared" si="470"/>
        <v>1</v>
      </c>
      <c r="DA2629" s="52">
        <f t="shared" si="473"/>
        <v>0</v>
      </c>
      <c r="DB2629" s="2">
        <f t="shared" si="462"/>
        <v>0</v>
      </c>
      <c r="DS2629" s="130">
        <f>SI!BY2629</f>
        <v>290</v>
      </c>
      <c r="DZ2629" s="131">
        <f>SI!BZ2629</f>
        <v>0</v>
      </c>
    </row>
    <row r="2630" spans="1:130" hidden="1" x14ac:dyDescent="0.25">
      <c r="A2630" s="141"/>
      <c r="B2630" s="379"/>
      <c r="C2630" s="379"/>
      <c r="D2630" s="379"/>
      <c r="E2630" s="379"/>
      <c r="F2630" s="379"/>
      <c r="G2630" s="379"/>
      <c r="H2630" s="379"/>
      <c r="I2630" s="379"/>
      <c r="J2630" s="379"/>
      <c r="K2630" s="379"/>
      <c r="L2630" s="379"/>
      <c r="M2630" s="379"/>
      <c r="N2630" s="379"/>
      <c r="O2630" s="379"/>
      <c r="P2630" s="379"/>
      <c r="Q2630" s="379"/>
      <c r="R2630" s="379"/>
      <c r="S2630" s="379"/>
      <c r="T2630" s="379"/>
      <c r="U2630" s="379"/>
      <c r="V2630" s="379"/>
      <c r="W2630" s="379"/>
      <c r="X2630" s="379"/>
      <c r="Y2630" s="379"/>
      <c r="Z2630" s="379"/>
      <c r="AA2630" s="379"/>
      <c r="AB2630" s="379"/>
      <c r="AC2630" s="379"/>
      <c r="AD2630" s="379"/>
      <c r="AE2630" s="379"/>
      <c r="AF2630" s="379"/>
      <c r="AG2630" s="379"/>
      <c r="AH2630" s="379"/>
      <c r="AI2630" s="379"/>
      <c r="AJ2630" s="379"/>
      <c r="AK2630" s="379"/>
      <c r="AL2630" s="379"/>
      <c r="AM2630" s="379"/>
      <c r="AN2630" s="379"/>
      <c r="AO2630" s="379"/>
      <c r="AP2630" s="379"/>
      <c r="AQ2630" s="379"/>
      <c r="AR2630" s="379"/>
      <c r="AS2630" s="379"/>
      <c r="AT2630" s="379"/>
      <c r="AU2630" s="379"/>
      <c r="AV2630" s="379"/>
      <c r="AW2630" s="379"/>
      <c r="AX2630" s="379"/>
      <c r="AY2630" s="379"/>
      <c r="AZ2630" s="379"/>
      <c r="BA2630" s="379"/>
      <c r="BB2630" s="379"/>
      <c r="BC2630" s="379"/>
      <c r="BD2630" s="379"/>
      <c r="BE2630" s="379"/>
      <c r="BF2630" s="379"/>
      <c r="BG2630" s="379"/>
      <c r="BH2630" s="379"/>
      <c r="BI2630" s="379"/>
      <c r="BJ2630" s="379"/>
      <c r="BK2630" s="379"/>
      <c r="BL2630" s="379"/>
      <c r="BM2630" s="379"/>
      <c r="BN2630" s="379"/>
      <c r="BO2630" s="379"/>
      <c r="BP2630" s="379"/>
      <c r="BQ2630" s="379"/>
      <c r="BR2630" s="379"/>
      <c r="BS2630" s="379"/>
      <c r="BT2630" s="379"/>
      <c r="BU2630" s="379"/>
      <c r="BV2630" s="379"/>
      <c r="BW2630" s="379"/>
      <c r="BX2630" s="379"/>
      <c r="BY2630" s="379"/>
      <c r="BZ2630" s="379"/>
      <c r="CA2630" s="281"/>
      <c r="CB2630" s="3" t="str">
        <f t="shared" si="469"/>
        <v>Riadok bude skrytý.</v>
      </c>
      <c r="CC2630" s="271" t="s">
        <v>832</v>
      </c>
      <c r="CW2630" s="30">
        <f t="shared" si="471"/>
        <v>1</v>
      </c>
      <c r="CX2630" s="30">
        <f t="shared" si="472"/>
        <v>0</v>
      </c>
      <c r="CZ2630" s="30">
        <f t="shared" si="470"/>
        <v>1</v>
      </c>
      <c r="DA2630" s="52">
        <f t="shared" si="473"/>
        <v>0</v>
      </c>
      <c r="DB2630" s="2">
        <f t="shared" si="462"/>
        <v>0</v>
      </c>
      <c r="DS2630" s="130">
        <f>SI!BY2630</f>
        <v>141</v>
      </c>
      <c r="DZ2630" s="131">
        <f>SI!BZ2630</f>
        <v>0</v>
      </c>
    </row>
    <row r="2631" spans="1:130" hidden="1" x14ac:dyDescent="0.25">
      <c r="A2631" s="141"/>
      <c r="B2631" s="379"/>
      <c r="C2631" s="379"/>
      <c r="D2631" s="379"/>
      <c r="E2631" s="379"/>
      <c r="F2631" s="379"/>
      <c r="G2631" s="379"/>
      <c r="H2631" s="379"/>
      <c r="I2631" s="379"/>
      <c r="J2631" s="379"/>
      <c r="K2631" s="379"/>
      <c r="L2631" s="379"/>
      <c r="M2631" s="379"/>
      <c r="N2631" s="379"/>
      <c r="O2631" s="379"/>
      <c r="P2631" s="379"/>
      <c r="Q2631" s="379"/>
      <c r="R2631" s="379"/>
      <c r="S2631" s="379"/>
      <c r="T2631" s="379"/>
      <c r="U2631" s="379"/>
      <c r="V2631" s="379"/>
      <c r="W2631" s="379"/>
      <c r="X2631" s="379"/>
      <c r="Y2631" s="379"/>
      <c r="Z2631" s="379"/>
      <c r="AA2631" s="379"/>
      <c r="AB2631" s="379"/>
      <c r="AC2631" s="379"/>
      <c r="AD2631" s="379"/>
      <c r="AE2631" s="379"/>
      <c r="AF2631" s="379"/>
      <c r="AG2631" s="379"/>
      <c r="AH2631" s="379"/>
      <c r="AI2631" s="379"/>
      <c r="AJ2631" s="379"/>
      <c r="AK2631" s="379"/>
      <c r="AL2631" s="379"/>
      <c r="AM2631" s="379"/>
      <c r="AN2631" s="379"/>
      <c r="AO2631" s="379"/>
      <c r="AP2631" s="379"/>
      <c r="AQ2631" s="379"/>
      <c r="AR2631" s="379"/>
      <c r="AS2631" s="379"/>
      <c r="AT2631" s="379"/>
      <c r="AU2631" s="379"/>
      <c r="AV2631" s="379"/>
      <c r="AW2631" s="379"/>
      <c r="AX2631" s="379"/>
      <c r="AY2631" s="379"/>
      <c r="AZ2631" s="379"/>
      <c r="BA2631" s="379"/>
      <c r="BB2631" s="379"/>
      <c r="BC2631" s="379"/>
      <c r="BD2631" s="379"/>
      <c r="BE2631" s="379"/>
      <c r="BF2631" s="379"/>
      <c r="BG2631" s="379"/>
      <c r="BH2631" s="379"/>
      <c r="BI2631" s="379"/>
      <c r="BJ2631" s="379"/>
      <c r="BK2631" s="379"/>
      <c r="BL2631" s="379"/>
      <c r="BM2631" s="379"/>
      <c r="BN2631" s="379"/>
      <c r="BO2631" s="379"/>
      <c r="BP2631" s="379"/>
      <c r="BQ2631" s="379"/>
      <c r="BR2631" s="379"/>
      <c r="BS2631" s="379"/>
      <c r="BT2631" s="379"/>
      <c r="BU2631" s="379"/>
      <c r="BV2631" s="379"/>
      <c r="BW2631" s="379"/>
      <c r="BX2631" s="379"/>
      <c r="BY2631" s="379"/>
      <c r="BZ2631" s="379"/>
      <c r="CA2631" s="281"/>
      <c r="CB2631" s="3" t="str">
        <f t="shared" si="469"/>
        <v>Riadok bude skrytý.</v>
      </c>
      <c r="CC2631" s="271" t="s">
        <v>832</v>
      </c>
      <c r="CW2631" s="30">
        <f t="shared" si="471"/>
        <v>1</v>
      </c>
      <c r="CX2631" s="30">
        <f t="shared" si="472"/>
        <v>0</v>
      </c>
      <c r="CZ2631" s="30">
        <f t="shared" si="470"/>
        <v>1</v>
      </c>
      <c r="DA2631" s="52">
        <f t="shared" si="473"/>
        <v>0</v>
      </c>
      <c r="DB2631" s="2">
        <f t="shared" ref="DB2631:DB2694" si="474">+IF($CD$1="malé",0,DA2631)</f>
        <v>0</v>
      </c>
      <c r="DS2631" s="130">
        <f>SI!BY2631</f>
        <v>900</v>
      </c>
      <c r="DZ2631" s="131">
        <f>SI!BZ2631</f>
        <v>0</v>
      </c>
    </row>
    <row r="2632" spans="1:130" hidden="1" x14ac:dyDescent="0.25">
      <c r="A2632" s="141"/>
      <c r="B2632" s="379"/>
      <c r="C2632" s="379"/>
      <c r="D2632" s="379"/>
      <c r="E2632" s="379"/>
      <c r="F2632" s="379"/>
      <c r="G2632" s="379"/>
      <c r="H2632" s="379"/>
      <c r="I2632" s="379"/>
      <c r="J2632" s="379"/>
      <c r="K2632" s="379"/>
      <c r="L2632" s="379"/>
      <c r="M2632" s="379"/>
      <c r="N2632" s="379"/>
      <c r="O2632" s="379"/>
      <c r="P2632" s="379"/>
      <c r="Q2632" s="379"/>
      <c r="R2632" s="379"/>
      <c r="S2632" s="379"/>
      <c r="T2632" s="379"/>
      <c r="U2632" s="379"/>
      <c r="V2632" s="379"/>
      <c r="W2632" s="379"/>
      <c r="X2632" s="379"/>
      <c r="Y2632" s="379"/>
      <c r="Z2632" s="379"/>
      <c r="AA2632" s="379"/>
      <c r="AB2632" s="379"/>
      <c r="AC2632" s="379"/>
      <c r="AD2632" s="379"/>
      <c r="AE2632" s="379"/>
      <c r="AF2632" s="379"/>
      <c r="AG2632" s="379"/>
      <c r="AH2632" s="379"/>
      <c r="AI2632" s="379"/>
      <c r="AJ2632" s="379"/>
      <c r="AK2632" s="379"/>
      <c r="AL2632" s="379"/>
      <c r="AM2632" s="379"/>
      <c r="AN2632" s="379"/>
      <c r="AO2632" s="379"/>
      <c r="AP2632" s="379"/>
      <c r="AQ2632" s="379"/>
      <c r="AR2632" s="379"/>
      <c r="AS2632" s="379"/>
      <c r="AT2632" s="379"/>
      <c r="AU2632" s="379"/>
      <c r="AV2632" s="379"/>
      <c r="AW2632" s="379"/>
      <c r="AX2632" s="379"/>
      <c r="AY2632" s="379"/>
      <c r="AZ2632" s="379"/>
      <c r="BA2632" s="379"/>
      <c r="BB2632" s="379"/>
      <c r="BC2632" s="379"/>
      <c r="BD2632" s="379"/>
      <c r="BE2632" s="379"/>
      <c r="BF2632" s="379"/>
      <c r="BG2632" s="379"/>
      <c r="BH2632" s="379"/>
      <c r="BI2632" s="379"/>
      <c r="BJ2632" s="379"/>
      <c r="BK2632" s="379"/>
      <c r="BL2632" s="379"/>
      <c r="BM2632" s="379"/>
      <c r="BN2632" s="379"/>
      <c r="BO2632" s="379"/>
      <c r="BP2632" s="379"/>
      <c r="BQ2632" s="379"/>
      <c r="BR2632" s="379"/>
      <c r="BS2632" s="379"/>
      <c r="BT2632" s="379"/>
      <c r="BU2632" s="379"/>
      <c r="BV2632" s="379"/>
      <c r="BW2632" s="379"/>
      <c r="BX2632" s="379"/>
      <c r="BY2632" s="379"/>
      <c r="BZ2632" s="379"/>
      <c r="CA2632" s="281"/>
      <c r="CB2632" s="3" t="str">
        <f t="shared" si="469"/>
        <v>Riadok bude skrytý.</v>
      </c>
      <c r="CC2632" s="271" t="s">
        <v>832</v>
      </c>
      <c r="CW2632" s="30">
        <f t="shared" si="471"/>
        <v>1</v>
      </c>
      <c r="CX2632" s="30">
        <f t="shared" si="472"/>
        <v>0</v>
      </c>
      <c r="CZ2632" s="30">
        <f t="shared" si="470"/>
        <v>1</v>
      </c>
      <c r="DA2632" s="52">
        <f t="shared" si="473"/>
        <v>0</v>
      </c>
      <c r="DB2632" s="2">
        <f t="shared" si="474"/>
        <v>0</v>
      </c>
      <c r="DS2632" s="130">
        <f>SI!BY2632</f>
        <v>206</v>
      </c>
      <c r="DZ2632" s="131">
        <f>SI!BZ2632</f>
        <v>0</v>
      </c>
    </row>
    <row r="2633" spans="1:130" hidden="1" x14ac:dyDescent="0.25">
      <c r="A2633" s="141"/>
      <c r="B2633" s="379"/>
      <c r="C2633" s="379"/>
      <c r="D2633" s="379"/>
      <c r="E2633" s="379"/>
      <c r="F2633" s="379"/>
      <c r="G2633" s="379"/>
      <c r="H2633" s="379"/>
      <c r="I2633" s="379"/>
      <c r="J2633" s="379"/>
      <c r="K2633" s="379"/>
      <c r="L2633" s="379"/>
      <c r="M2633" s="379"/>
      <c r="N2633" s="379"/>
      <c r="O2633" s="379"/>
      <c r="P2633" s="379"/>
      <c r="Q2633" s="379"/>
      <c r="R2633" s="379"/>
      <c r="S2633" s="379"/>
      <c r="T2633" s="379"/>
      <c r="U2633" s="379"/>
      <c r="V2633" s="379"/>
      <c r="W2633" s="379"/>
      <c r="X2633" s="379"/>
      <c r="Y2633" s="379"/>
      <c r="Z2633" s="379"/>
      <c r="AA2633" s="379"/>
      <c r="AB2633" s="379"/>
      <c r="AC2633" s="379"/>
      <c r="AD2633" s="379"/>
      <c r="AE2633" s="379"/>
      <c r="AF2633" s="379"/>
      <c r="AG2633" s="379"/>
      <c r="AH2633" s="379"/>
      <c r="AI2633" s="379"/>
      <c r="AJ2633" s="379"/>
      <c r="AK2633" s="379"/>
      <c r="AL2633" s="379"/>
      <c r="AM2633" s="379"/>
      <c r="AN2633" s="379"/>
      <c r="AO2633" s="379"/>
      <c r="AP2633" s="379"/>
      <c r="AQ2633" s="379"/>
      <c r="AR2633" s="379"/>
      <c r="AS2633" s="379"/>
      <c r="AT2633" s="379"/>
      <c r="AU2633" s="379"/>
      <c r="AV2633" s="379"/>
      <c r="AW2633" s="379"/>
      <c r="AX2633" s="379"/>
      <c r="AY2633" s="379"/>
      <c r="AZ2633" s="379"/>
      <c r="BA2633" s="379"/>
      <c r="BB2633" s="379"/>
      <c r="BC2633" s="379"/>
      <c r="BD2633" s="379"/>
      <c r="BE2633" s="379"/>
      <c r="BF2633" s="379"/>
      <c r="BG2633" s="379"/>
      <c r="BH2633" s="379"/>
      <c r="BI2633" s="379"/>
      <c r="BJ2633" s="379"/>
      <c r="BK2633" s="379"/>
      <c r="BL2633" s="379"/>
      <c r="BM2633" s="379"/>
      <c r="BN2633" s="379"/>
      <c r="BO2633" s="379"/>
      <c r="BP2633" s="379"/>
      <c r="BQ2633" s="379"/>
      <c r="BR2633" s="379"/>
      <c r="BS2633" s="379"/>
      <c r="BT2633" s="379"/>
      <c r="BU2633" s="379"/>
      <c r="BV2633" s="379"/>
      <c r="BW2633" s="379"/>
      <c r="BX2633" s="379"/>
      <c r="BY2633" s="379"/>
      <c r="BZ2633" s="379"/>
      <c r="CA2633" s="281"/>
      <c r="CB2633" s="3" t="str">
        <f t="shared" si="469"/>
        <v>Riadok bude skrytý.</v>
      </c>
      <c r="CC2633" s="271" t="s">
        <v>832</v>
      </c>
      <c r="CW2633" s="30">
        <f t="shared" si="471"/>
        <v>1</v>
      </c>
      <c r="CX2633" s="30">
        <f t="shared" si="472"/>
        <v>0</v>
      </c>
      <c r="CZ2633" s="30">
        <f t="shared" si="470"/>
        <v>1</v>
      </c>
      <c r="DA2633" s="52">
        <f t="shared" si="473"/>
        <v>0</v>
      </c>
      <c r="DB2633" s="2">
        <f t="shared" si="474"/>
        <v>0</v>
      </c>
      <c r="DS2633" s="130">
        <f>SI!BY2633</f>
        <v>546</v>
      </c>
      <c r="DZ2633" s="131">
        <f>SI!BZ2633</f>
        <v>0</v>
      </c>
    </row>
    <row r="2634" spans="1:130" hidden="1" x14ac:dyDescent="0.25">
      <c r="A2634" s="141"/>
      <c r="B2634" s="379"/>
      <c r="C2634" s="379"/>
      <c r="D2634" s="379"/>
      <c r="E2634" s="379"/>
      <c r="F2634" s="379"/>
      <c r="G2634" s="379"/>
      <c r="H2634" s="379"/>
      <c r="I2634" s="379"/>
      <c r="J2634" s="379"/>
      <c r="K2634" s="379"/>
      <c r="L2634" s="379"/>
      <c r="M2634" s="379"/>
      <c r="N2634" s="379"/>
      <c r="O2634" s="379"/>
      <c r="P2634" s="379"/>
      <c r="Q2634" s="379"/>
      <c r="R2634" s="379"/>
      <c r="S2634" s="379"/>
      <c r="T2634" s="379"/>
      <c r="U2634" s="379"/>
      <c r="V2634" s="379"/>
      <c r="W2634" s="379"/>
      <c r="X2634" s="379"/>
      <c r="Y2634" s="379"/>
      <c r="Z2634" s="379"/>
      <c r="AA2634" s="379"/>
      <c r="AB2634" s="379"/>
      <c r="AC2634" s="379"/>
      <c r="AD2634" s="379"/>
      <c r="AE2634" s="379"/>
      <c r="AF2634" s="379"/>
      <c r="AG2634" s="379"/>
      <c r="AH2634" s="379"/>
      <c r="AI2634" s="379"/>
      <c r="AJ2634" s="379"/>
      <c r="AK2634" s="379"/>
      <c r="AL2634" s="379"/>
      <c r="AM2634" s="379"/>
      <c r="AN2634" s="379"/>
      <c r="AO2634" s="379"/>
      <c r="AP2634" s="379"/>
      <c r="AQ2634" s="379"/>
      <c r="AR2634" s="379"/>
      <c r="AS2634" s="379"/>
      <c r="AT2634" s="379"/>
      <c r="AU2634" s="379"/>
      <c r="AV2634" s="379"/>
      <c r="AW2634" s="379"/>
      <c r="AX2634" s="379"/>
      <c r="AY2634" s="379"/>
      <c r="AZ2634" s="379"/>
      <c r="BA2634" s="379"/>
      <c r="BB2634" s="379"/>
      <c r="BC2634" s="379"/>
      <c r="BD2634" s="379"/>
      <c r="BE2634" s="379"/>
      <c r="BF2634" s="379"/>
      <c r="BG2634" s="379"/>
      <c r="BH2634" s="379"/>
      <c r="BI2634" s="379"/>
      <c r="BJ2634" s="379"/>
      <c r="BK2634" s="379"/>
      <c r="BL2634" s="379"/>
      <c r="BM2634" s="379"/>
      <c r="BN2634" s="379"/>
      <c r="BO2634" s="379"/>
      <c r="BP2634" s="379"/>
      <c r="BQ2634" s="379"/>
      <c r="BR2634" s="379"/>
      <c r="BS2634" s="379"/>
      <c r="BT2634" s="379"/>
      <c r="BU2634" s="379"/>
      <c r="BV2634" s="379"/>
      <c r="BW2634" s="379"/>
      <c r="BX2634" s="379"/>
      <c r="BY2634" s="379"/>
      <c r="BZ2634" s="379"/>
      <c r="CA2634" s="281"/>
      <c r="CB2634" s="3" t="str">
        <f t="shared" si="469"/>
        <v>Riadok bude skrytý.</v>
      </c>
      <c r="CC2634" s="271" t="s">
        <v>832</v>
      </c>
      <c r="CW2634" s="30">
        <f t="shared" si="471"/>
        <v>1</v>
      </c>
      <c r="CX2634" s="30">
        <f t="shared" si="472"/>
        <v>0</v>
      </c>
      <c r="CZ2634" s="30">
        <f t="shared" si="470"/>
        <v>1</v>
      </c>
      <c r="DA2634" s="52">
        <f t="shared" si="473"/>
        <v>0</v>
      </c>
      <c r="DB2634" s="2">
        <f t="shared" si="474"/>
        <v>0</v>
      </c>
      <c r="DS2634" s="130">
        <f>SI!BY2634</f>
        <v>118</v>
      </c>
      <c r="DZ2634" s="131">
        <f>SI!BZ2634</f>
        <v>0</v>
      </c>
    </row>
    <row r="2635" spans="1:130" hidden="1" x14ac:dyDescent="0.25">
      <c r="A2635" s="141"/>
      <c r="B2635" s="379"/>
      <c r="C2635" s="379"/>
      <c r="D2635" s="379"/>
      <c r="E2635" s="379"/>
      <c r="F2635" s="379"/>
      <c r="G2635" s="379"/>
      <c r="H2635" s="379"/>
      <c r="I2635" s="379"/>
      <c r="J2635" s="379"/>
      <c r="K2635" s="379"/>
      <c r="L2635" s="379"/>
      <c r="M2635" s="379"/>
      <c r="N2635" s="379"/>
      <c r="O2635" s="379"/>
      <c r="P2635" s="379"/>
      <c r="Q2635" s="379"/>
      <c r="R2635" s="379"/>
      <c r="S2635" s="379"/>
      <c r="T2635" s="379"/>
      <c r="U2635" s="379"/>
      <c r="V2635" s="379"/>
      <c r="W2635" s="379"/>
      <c r="X2635" s="379"/>
      <c r="Y2635" s="379"/>
      <c r="Z2635" s="379"/>
      <c r="AA2635" s="379"/>
      <c r="AB2635" s="379"/>
      <c r="AC2635" s="379"/>
      <c r="AD2635" s="379"/>
      <c r="AE2635" s="379"/>
      <c r="AF2635" s="379"/>
      <c r="AG2635" s="379"/>
      <c r="AH2635" s="379"/>
      <c r="AI2635" s="379"/>
      <c r="AJ2635" s="379"/>
      <c r="AK2635" s="379"/>
      <c r="AL2635" s="379"/>
      <c r="AM2635" s="379"/>
      <c r="AN2635" s="379"/>
      <c r="AO2635" s="379"/>
      <c r="AP2635" s="379"/>
      <c r="AQ2635" s="379"/>
      <c r="AR2635" s="379"/>
      <c r="AS2635" s="379"/>
      <c r="AT2635" s="379"/>
      <c r="AU2635" s="379"/>
      <c r="AV2635" s="379"/>
      <c r="AW2635" s="379"/>
      <c r="AX2635" s="379"/>
      <c r="AY2635" s="379"/>
      <c r="AZ2635" s="379"/>
      <c r="BA2635" s="379"/>
      <c r="BB2635" s="379"/>
      <c r="BC2635" s="379"/>
      <c r="BD2635" s="379"/>
      <c r="BE2635" s="379"/>
      <c r="BF2635" s="379"/>
      <c r="BG2635" s="379"/>
      <c r="BH2635" s="379"/>
      <c r="BI2635" s="379"/>
      <c r="BJ2635" s="379"/>
      <c r="BK2635" s="379"/>
      <c r="BL2635" s="379"/>
      <c r="BM2635" s="379"/>
      <c r="BN2635" s="379"/>
      <c r="BO2635" s="379"/>
      <c r="BP2635" s="379"/>
      <c r="BQ2635" s="379"/>
      <c r="BR2635" s="379"/>
      <c r="BS2635" s="379"/>
      <c r="BT2635" s="379"/>
      <c r="BU2635" s="379"/>
      <c r="BV2635" s="379"/>
      <c r="BW2635" s="379"/>
      <c r="BX2635" s="379"/>
      <c r="BY2635" s="379"/>
      <c r="BZ2635" s="379"/>
      <c r="CA2635" s="281"/>
      <c r="CB2635" s="3" t="str">
        <f t="shared" si="469"/>
        <v>Riadok bude skrytý.</v>
      </c>
      <c r="CC2635" s="271" t="s">
        <v>832</v>
      </c>
      <c r="CW2635" s="30">
        <f t="shared" si="471"/>
        <v>1</v>
      </c>
      <c r="CX2635" s="30">
        <f t="shared" si="472"/>
        <v>0</v>
      </c>
      <c r="CZ2635" s="30">
        <f t="shared" si="470"/>
        <v>1</v>
      </c>
      <c r="DA2635" s="52">
        <f t="shared" si="473"/>
        <v>0</v>
      </c>
      <c r="DB2635" s="2">
        <f t="shared" si="474"/>
        <v>0</v>
      </c>
      <c r="DS2635" s="130">
        <f>SI!BY2635</f>
        <v>813</v>
      </c>
      <c r="DZ2635" s="131">
        <f>SI!BZ2635</f>
        <v>0</v>
      </c>
    </row>
    <row r="2636" spans="1:130" hidden="1" x14ac:dyDescent="0.25">
      <c r="A2636" s="141"/>
      <c r="B2636" s="379"/>
      <c r="C2636" s="379"/>
      <c r="D2636" s="379"/>
      <c r="E2636" s="379"/>
      <c r="F2636" s="379"/>
      <c r="G2636" s="379"/>
      <c r="H2636" s="379"/>
      <c r="I2636" s="379"/>
      <c r="J2636" s="379"/>
      <c r="K2636" s="379"/>
      <c r="L2636" s="379"/>
      <c r="M2636" s="379"/>
      <c r="N2636" s="379"/>
      <c r="O2636" s="379"/>
      <c r="P2636" s="379"/>
      <c r="Q2636" s="379"/>
      <c r="R2636" s="379"/>
      <c r="S2636" s="379"/>
      <c r="T2636" s="379"/>
      <c r="U2636" s="379"/>
      <c r="V2636" s="379"/>
      <c r="W2636" s="379"/>
      <c r="X2636" s="379"/>
      <c r="Y2636" s="379"/>
      <c r="Z2636" s="379"/>
      <c r="AA2636" s="379"/>
      <c r="AB2636" s="379"/>
      <c r="AC2636" s="379"/>
      <c r="AD2636" s="379"/>
      <c r="AE2636" s="379"/>
      <c r="AF2636" s="379"/>
      <c r="AG2636" s="379"/>
      <c r="AH2636" s="379"/>
      <c r="AI2636" s="379"/>
      <c r="AJ2636" s="379"/>
      <c r="AK2636" s="379"/>
      <c r="AL2636" s="379"/>
      <c r="AM2636" s="379"/>
      <c r="AN2636" s="379"/>
      <c r="AO2636" s="379"/>
      <c r="AP2636" s="379"/>
      <c r="AQ2636" s="379"/>
      <c r="AR2636" s="379"/>
      <c r="AS2636" s="379"/>
      <c r="AT2636" s="379"/>
      <c r="AU2636" s="379"/>
      <c r="AV2636" s="379"/>
      <c r="AW2636" s="379"/>
      <c r="AX2636" s="379"/>
      <c r="AY2636" s="379"/>
      <c r="AZ2636" s="379"/>
      <c r="BA2636" s="379"/>
      <c r="BB2636" s="379"/>
      <c r="BC2636" s="379"/>
      <c r="BD2636" s="379"/>
      <c r="BE2636" s="379"/>
      <c r="BF2636" s="379"/>
      <c r="BG2636" s="379"/>
      <c r="BH2636" s="379"/>
      <c r="BI2636" s="379"/>
      <c r="BJ2636" s="379"/>
      <c r="BK2636" s="379"/>
      <c r="BL2636" s="379"/>
      <c r="BM2636" s="379"/>
      <c r="BN2636" s="379"/>
      <c r="BO2636" s="379"/>
      <c r="BP2636" s="379"/>
      <c r="BQ2636" s="379"/>
      <c r="BR2636" s="379"/>
      <c r="BS2636" s="379"/>
      <c r="BT2636" s="379"/>
      <c r="BU2636" s="379"/>
      <c r="BV2636" s="379"/>
      <c r="BW2636" s="379"/>
      <c r="BX2636" s="379"/>
      <c r="BY2636" s="379"/>
      <c r="BZ2636" s="379"/>
      <c r="CA2636" s="281"/>
      <c r="CB2636" s="3" t="str">
        <f t="shared" si="469"/>
        <v>Riadok bude skrytý.</v>
      </c>
      <c r="CC2636" s="271" t="s">
        <v>832</v>
      </c>
      <c r="CW2636" s="30">
        <f t="shared" si="471"/>
        <v>1</v>
      </c>
      <c r="CX2636" s="30">
        <f t="shared" si="472"/>
        <v>0</v>
      </c>
      <c r="CZ2636" s="30">
        <f t="shared" si="470"/>
        <v>1</v>
      </c>
      <c r="DA2636" s="52">
        <f t="shared" si="473"/>
        <v>0</v>
      </c>
      <c r="DB2636" s="2">
        <f t="shared" si="474"/>
        <v>0</v>
      </c>
      <c r="DS2636" s="130">
        <f>SI!BY2636</f>
        <v>155</v>
      </c>
      <c r="DZ2636" s="131">
        <f>SI!BZ2636</f>
        <v>0</v>
      </c>
    </row>
    <row r="2637" spans="1:130" hidden="1" x14ac:dyDescent="0.25">
      <c r="A2637" s="141"/>
      <c r="B2637" s="379"/>
      <c r="C2637" s="379"/>
      <c r="D2637" s="379"/>
      <c r="E2637" s="379"/>
      <c r="F2637" s="379"/>
      <c r="G2637" s="379"/>
      <c r="H2637" s="379"/>
      <c r="I2637" s="379"/>
      <c r="J2637" s="379"/>
      <c r="K2637" s="379"/>
      <c r="L2637" s="379"/>
      <c r="M2637" s="379"/>
      <c r="N2637" s="379"/>
      <c r="O2637" s="379"/>
      <c r="P2637" s="379"/>
      <c r="Q2637" s="379"/>
      <c r="R2637" s="379"/>
      <c r="S2637" s="379"/>
      <c r="T2637" s="379"/>
      <c r="U2637" s="379"/>
      <c r="V2637" s="379"/>
      <c r="W2637" s="379"/>
      <c r="X2637" s="379"/>
      <c r="Y2637" s="379"/>
      <c r="Z2637" s="379"/>
      <c r="AA2637" s="379"/>
      <c r="AB2637" s="379"/>
      <c r="AC2637" s="379"/>
      <c r="AD2637" s="379"/>
      <c r="AE2637" s="379"/>
      <c r="AF2637" s="379"/>
      <c r="AG2637" s="379"/>
      <c r="AH2637" s="379"/>
      <c r="AI2637" s="379"/>
      <c r="AJ2637" s="379"/>
      <c r="AK2637" s="379"/>
      <c r="AL2637" s="379"/>
      <c r="AM2637" s="379"/>
      <c r="AN2637" s="379"/>
      <c r="AO2637" s="379"/>
      <c r="AP2637" s="379"/>
      <c r="AQ2637" s="379"/>
      <c r="AR2637" s="379"/>
      <c r="AS2637" s="379"/>
      <c r="AT2637" s="379"/>
      <c r="AU2637" s="379"/>
      <c r="AV2637" s="379"/>
      <c r="AW2637" s="379"/>
      <c r="AX2637" s="379"/>
      <c r="AY2637" s="379"/>
      <c r="AZ2637" s="379"/>
      <c r="BA2637" s="379"/>
      <c r="BB2637" s="379"/>
      <c r="BC2637" s="379"/>
      <c r="BD2637" s="379"/>
      <c r="BE2637" s="379"/>
      <c r="BF2637" s="379"/>
      <c r="BG2637" s="379"/>
      <c r="BH2637" s="379"/>
      <c r="BI2637" s="379"/>
      <c r="BJ2637" s="379"/>
      <c r="BK2637" s="379"/>
      <c r="BL2637" s="379"/>
      <c r="BM2637" s="379"/>
      <c r="BN2637" s="379"/>
      <c r="BO2637" s="379"/>
      <c r="BP2637" s="379"/>
      <c r="BQ2637" s="379"/>
      <c r="BR2637" s="379"/>
      <c r="BS2637" s="379"/>
      <c r="BT2637" s="379"/>
      <c r="BU2637" s="379"/>
      <c r="BV2637" s="379"/>
      <c r="BW2637" s="379"/>
      <c r="BX2637" s="379"/>
      <c r="BY2637" s="379"/>
      <c r="BZ2637" s="379"/>
      <c r="CA2637" s="281"/>
      <c r="CB2637" s="3" t="str">
        <f t="shared" si="469"/>
        <v>Riadok bude skrytý.</v>
      </c>
      <c r="CC2637" s="271" t="s">
        <v>832</v>
      </c>
      <c r="CW2637" s="30">
        <f t="shared" si="471"/>
        <v>1</v>
      </c>
      <c r="CX2637" s="30">
        <f t="shared" si="472"/>
        <v>0</v>
      </c>
      <c r="CZ2637" s="30">
        <f t="shared" si="470"/>
        <v>1</v>
      </c>
      <c r="DA2637" s="52">
        <f t="shared" si="473"/>
        <v>0</v>
      </c>
      <c r="DB2637" s="2">
        <f t="shared" si="474"/>
        <v>0</v>
      </c>
      <c r="DS2637" s="130">
        <f>SI!BY2637</f>
        <v>1025</v>
      </c>
      <c r="DZ2637" s="131">
        <f>SI!BZ2637</f>
        <v>0</v>
      </c>
    </row>
    <row r="2638" spans="1:130" hidden="1" x14ac:dyDescent="0.25">
      <c r="A2638" s="141"/>
      <c r="CA2638" s="270"/>
      <c r="CB2638" s="3" t="str">
        <f t="shared" si="469"/>
        <v>Riadok bude skrytý.</v>
      </c>
      <c r="CC2638" s="271" t="s">
        <v>832</v>
      </c>
      <c r="CD2638" s="14"/>
      <c r="CF2638" s="13"/>
      <c r="CW2638" s="30">
        <f t="shared" si="471"/>
        <v>1</v>
      </c>
      <c r="CZ2638" s="30">
        <f t="shared" si="470"/>
        <v>1</v>
      </c>
      <c r="DA2638" s="30">
        <f t="shared" si="466"/>
        <v>1</v>
      </c>
      <c r="DB2638" s="2">
        <f t="shared" si="474"/>
        <v>0</v>
      </c>
      <c r="DS2638" s="130">
        <f>SI!BY2638</f>
        <v>714</v>
      </c>
      <c r="DZ2638" s="131">
        <f>SI!BZ2638</f>
        <v>0</v>
      </c>
    </row>
    <row r="2639" spans="1:130" hidden="1" x14ac:dyDescent="0.25">
      <c r="A2639" s="141"/>
      <c r="B2639" s="137" t="str">
        <f>+IF($G$52&lt;&gt;"",IF(ROUNDDOWN(CODE(MID($G$52,1,1))*2,0)*(IF(SI!EE2639="",1,SI!EE2639-2-1))+(LEN(SI!J2)+LEN(SI!J3))=DS2639,"Zmena stavu zásob vlastnej výroby je v tabuľke:","NEPOVOLENÉ POUŽITIE!"),"NEPOVOLENÉ POUŽITIE!")</f>
        <v>Zmena stavu zásob vlastnej výroby je v tabuľke:</v>
      </c>
      <c r="CA2639" s="270"/>
      <c r="CB2639" s="3" t="str">
        <f t="shared" si="469"/>
        <v>Riadok bude skrytý.</v>
      </c>
      <c r="CC2639" s="271" t="s">
        <v>832</v>
      </c>
      <c r="CW2639" s="30">
        <f t="shared" si="471"/>
        <v>1</v>
      </c>
      <c r="CZ2639" s="30">
        <f t="shared" si="470"/>
        <v>1</v>
      </c>
      <c r="DA2639" s="30">
        <f t="shared" si="466"/>
        <v>1</v>
      </c>
      <c r="DB2639" s="2">
        <f t="shared" si="474"/>
        <v>0</v>
      </c>
      <c r="DS2639" s="130">
        <f>SI!BY2639</f>
        <v>18</v>
      </c>
      <c r="DZ2639" s="131">
        <f>SI!BZ2639</f>
        <v>0</v>
      </c>
    </row>
    <row r="2640" spans="1:130" hidden="1" x14ac:dyDescent="0.25">
      <c r="A2640" s="141"/>
      <c r="CA2640" s="270"/>
      <c r="CB2640" s="3" t="str">
        <f t="shared" si="469"/>
        <v>Riadok bude skrytý.</v>
      </c>
      <c r="CC2640" s="271" t="s">
        <v>832</v>
      </c>
      <c r="CW2640" s="30">
        <f t="shared" si="471"/>
        <v>1</v>
      </c>
      <c r="CZ2640" s="30">
        <f t="shared" si="470"/>
        <v>1</v>
      </c>
      <c r="DA2640" s="30">
        <f t="shared" si="466"/>
        <v>1</v>
      </c>
      <c r="DB2640" s="2">
        <f t="shared" si="474"/>
        <v>0</v>
      </c>
      <c r="DS2640" s="130">
        <f>SI!BY2640</f>
        <v>261</v>
      </c>
      <c r="DZ2640" s="131">
        <f>SI!BZ2640</f>
        <v>0</v>
      </c>
    </row>
    <row r="2641" spans="1:130" ht="25.5" hidden="1" customHeight="1" x14ac:dyDescent="0.25">
      <c r="A2641" s="141"/>
      <c r="B2641" s="1073" t="s">
        <v>328</v>
      </c>
      <c r="C2641" s="1074"/>
      <c r="D2641" s="1074"/>
      <c r="E2641" s="1074"/>
      <c r="F2641" s="1074"/>
      <c r="G2641" s="1074"/>
      <c r="H2641" s="1074"/>
      <c r="I2641" s="1074"/>
      <c r="J2641" s="1074"/>
      <c r="K2641" s="1074"/>
      <c r="L2641" s="1074"/>
      <c r="M2641" s="1074"/>
      <c r="N2641" s="1074"/>
      <c r="O2641" s="1074"/>
      <c r="P2641" s="1074"/>
      <c r="Q2641" s="1074"/>
      <c r="R2641" s="1074"/>
      <c r="S2641" s="1074"/>
      <c r="T2641" s="445">
        <f>+AJ141</f>
        <v>2021</v>
      </c>
      <c r="U2641" s="446"/>
      <c r="V2641" s="446"/>
      <c r="W2641" s="446"/>
      <c r="X2641" s="446"/>
      <c r="Y2641" s="446"/>
      <c r="Z2641" s="446"/>
      <c r="AA2641" s="446"/>
      <c r="AB2641" s="446"/>
      <c r="AC2641" s="446"/>
      <c r="AD2641" s="446"/>
      <c r="AE2641" s="447"/>
      <c r="AF2641" s="445">
        <f>+BE141</f>
        <v>2020</v>
      </c>
      <c r="AG2641" s="446"/>
      <c r="AH2641" s="446"/>
      <c r="AI2641" s="446"/>
      <c r="AJ2641" s="446"/>
      <c r="AK2641" s="446"/>
      <c r="AL2641" s="446"/>
      <c r="AM2641" s="446"/>
      <c r="AN2641" s="446"/>
      <c r="AO2641" s="446"/>
      <c r="AP2641" s="446"/>
      <c r="AQ2641" s="446"/>
      <c r="AR2641" s="446"/>
      <c r="AS2641" s="446"/>
      <c r="AT2641" s="446"/>
      <c r="AU2641" s="446"/>
      <c r="AV2641" s="446"/>
      <c r="AW2641" s="446"/>
      <c r="AX2641" s="446"/>
      <c r="AY2641" s="446"/>
      <c r="AZ2641" s="446"/>
      <c r="BA2641" s="446"/>
      <c r="BB2641" s="446"/>
      <c r="BC2641" s="446"/>
      <c r="BD2641" s="1983" t="s">
        <v>330</v>
      </c>
      <c r="BE2641" s="1984"/>
      <c r="BF2641" s="1984"/>
      <c r="BG2641" s="1984"/>
      <c r="BH2641" s="1984"/>
      <c r="BI2641" s="1984"/>
      <c r="BJ2641" s="1984"/>
      <c r="BK2641" s="1984"/>
      <c r="BL2641" s="1984"/>
      <c r="BM2641" s="1984"/>
      <c r="BN2641" s="1984"/>
      <c r="BO2641" s="1984"/>
      <c r="BP2641" s="1984"/>
      <c r="BQ2641" s="1984"/>
      <c r="BR2641" s="1984"/>
      <c r="BS2641" s="1984"/>
      <c r="BT2641" s="1984"/>
      <c r="BU2641" s="1984"/>
      <c r="BV2641" s="1984"/>
      <c r="BW2641" s="1984"/>
      <c r="BX2641" s="1984"/>
      <c r="BY2641" s="1984"/>
      <c r="BZ2641" s="1985"/>
      <c r="CA2641" s="265" t="s">
        <v>773</v>
      </c>
      <c r="CB2641" s="3" t="str">
        <f t="shared" si="469"/>
        <v>Riadok bude skrytý.</v>
      </c>
      <c r="CC2641" s="271" t="s">
        <v>832</v>
      </c>
      <c r="CD2641" s="4"/>
      <c r="CW2641" s="30">
        <f t="shared" si="471"/>
        <v>1</v>
      </c>
      <c r="CZ2641" s="30">
        <f t="shared" si="470"/>
        <v>1</v>
      </c>
      <c r="DA2641" s="30">
        <f t="shared" si="466"/>
        <v>1</v>
      </c>
      <c r="DB2641" s="2">
        <f t="shared" si="474"/>
        <v>0</v>
      </c>
      <c r="DS2641" s="130">
        <f>SI!BY2641</f>
        <v>171</v>
      </c>
      <c r="DZ2641" s="131">
        <f>SI!BZ2641</f>
        <v>0</v>
      </c>
    </row>
    <row r="2642" spans="1:130" ht="14.95" hidden="1" customHeight="1" x14ac:dyDescent="0.25">
      <c r="A2642" s="141"/>
      <c r="B2642" s="1576"/>
      <c r="C2642" s="1577"/>
      <c r="D2642" s="1577"/>
      <c r="E2642" s="1577"/>
      <c r="F2642" s="1577"/>
      <c r="G2642" s="1577"/>
      <c r="H2642" s="1577"/>
      <c r="I2642" s="1577"/>
      <c r="J2642" s="1577"/>
      <c r="K2642" s="1577"/>
      <c r="L2642" s="1577"/>
      <c r="M2642" s="1577"/>
      <c r="N2642" s="1577"/>
      <c r="O2642" s="1577"/>
      <c r="P2642" s="1577"/>
      <c r="Q2642" s="1577"/>
      <c r="R2642" s="1577"/>
      <c r="S2642" s="1577"/>
      <c r="T2642" s="543" t="s">
        <v>331</v>
      </c>
      <c r="U2642" s="544"/>
      <c r="V2642" s="544"/>
      <c r="W2642" s="544"/>
      <c r="X2642" s="544"/>
      <c r="Y2642" s="544"/>
      <c r="Z2642" s="544"/>
      <c r="AA2642" s="544"/>
      <c r="AB2642" s="544"/>
      <c r="AC2642" s="544"/>
      <c r="AD2642" s="544"/>
      <c r="AE2642" s="545"/>
      <c r="AF2642" s="543" t="s">
        <v>331</v>
      </c>
      <c r="AG2642" s="544"/>
      <c r="AH2642" s="544"/>
      <c r="AI2642" s="544"/>
      <c r="AJ2642" s="544"/>
      <c r="AK2642" s="544"/>
      <c r="AL2642" s="544"/>
      <c r="AM2642" s="544"/>
      <c r="AN2642" s="544"/>
      <c r="AO2642" s="544"/>
      <c r="AP2642" s="544"/>
      <c r="AQ2642" s="544"/>
      <c r="AR2642" s="544"/>
      <c r="AS2642" s="1988" t="s">
        <v>332</v>
      </c>
      <c r="AT2642" s="544"/>
      <c r="AU2642" s="544"/>
      <c r="AV2642" s="544"/>
      <c r="AW2642" s="544"/>
      <c r="AX2642" s="544"/>
      <c r="AY2642" s="544"/>
      <c r="AZ2642" s="544"/>
      <c r="BA2642" s="544"/>
      <c r="BB2642" s="544"/>
      <c r="BC2642" s="545"/>
      <c r="BD2642" s="1063">
        <f>+AJ141</f>
        <v>2021</v>
      </c>
      <c r="BE2642" s="1058"/>
      <c r="BF2642" s="1058"/>
      <c r="BG2642" s="1058"/>
      <c r="BH2642" s="1058"/>
      <c r="BI2642" s="1058"/>
      <c r="BJ2642" s="1058"/>
      <c r="BK2642" s="1058"/>
      <c r="BL2642" s="1058"/>
      <c r="BM2642" s="1058"/>
      <c r="BN2642" s="1058"/>
      <c r="BO2642" s="1058"/>
      <c r="BP2642" s="1058">
        <f>+BE141</f>
        <v>2020</v>
      </c>
      <c r="BQ2642" s="1058"/>
      <c r="BR2642" s="1058"/>
      <c r="BS2642" s="1058"/>
      <c r="BT2642" s="1058"/>
      <c r="BU2642" s="1058"/>
      <c r="BV2642" s="1058"/>
      <c r="BW2642" s="1058"/>
      <c r="BX2642" s="1058"/>
      <c r="BY2642" s="1058"/>
      <c r="BZ2642" s="1059"/>
      <c r="CA2642" s="270"/>
      <c r="CB2642" s="3" t="str">
        <f t="shared" si="469"/>
        <v>Riadok bude skrytý.</v>
      </c>
      <c r="CC2642" s="271" t="s">
        <v>832</v>
      </c>
      <c r="CW2642" s="30">
        <f t="shared" si="471"/>
        <v>1</v>
      </c>
      <c r="CZ2642" s="30">
        <f t="shared" si="470"/>
        <v>1</v>
      </c>
      <c r="DA2642" s="30">
        <f t="shared" si="466"/>
        <v>1</v>
      </c>
      <c r="DB2642" s="2">
        <f t="shared" si="474"/>
        <v>0</v>
      </c>
      <c r="DS2642" s="130">
        <f>SI!BY2642</f>
        <v>713</v>
      </c>
      <c r="DZ2642" s="131">
        <f>SI!BZ2642</f>
        <v>0</v>
      </c>
    </row>
    <row r="2643" spans="1:130" hidden="1" x14ac:dyDescent="0.25">
      <c r="A2643" s="141"/>
      <c r="B2643" s="1576"/>
      <c r="C2643" s="1577"/>
      <c r="D2643" s="1577"/>
      <c r="E2643" s="1577"/>
      <c r="F2643" s="1577"/>
      <c r="G2643" s="1577"/>
      <c r="H2643" s="1577"/>
      <c r="I2643" s="1577"/>
      <c r="J2643" s="1577"/>
      <c r="K2643" s="1577"/>
      <c r="L2643" s="1577"/>
      <c r="M2643" s="1577"/>
      <c r="N2643" s="1577"/>
      <c r="O2643" s="1577"/>
      <c r="P2643" s="1577"/>
      <c r="Q2643" s="1577"/>
      <c r="R2643" s="1577"/>
      <c r="S2643" s="1577"/>
      <c r="T2643" s="647"/>
      <c r="U2643" s="648"/>
      <c r="V2643" s="648"/>
      <c r="W2643" s="648"/>
      <c r="X2643" s="648"/>
      <c r="Y2643" s="648"/>
      <c r="Z2643" s="648"/>
      <c r="AA2643" s="648"/>
      <c r="AB2643" s="648"/>
      <c r="AC2643" s="648"/>
      <c r="AD2643" s="648"/>
      <c r="AE2643" s="649"/>
      <c r="AF2643" s="647"/>
      <c r="AG2643" s="648"/>
      <c r="AH2643" s="648"/>
      <c r="AI2643" s="648"/>
      <c r="AJ2643" s="648"/>
      <c r="AK2643" s="648"/>
      <c r="AL2643" s="648"/>
      <c r="AM2643" s="648"/>
      <c r="AN2643" s="648"/>
      <c r="AO2643" s="648"/>
      <c r="AP2643" s="648"/>
      <c r="AQ2643" s="648"/>
      <c r="AR2643" s="648"/>
      <c r="AS2643" s="1989"/>
      <c r="AT2643" s="648"/>
      <c r="AU2643" s="648"/>
      <c r="AV2643" s="648"/>
      <c r="AW2643" s="648"/>
      <c r="AX2643" s="648"/>
      <c r="AY2643" s="648"/>
      <c r="AZ2643" s="648"/>
      <c r="BA2643" s="648"/>
      <c r="BB2643" s="648"/>
      <c r="BC2643" s="649"/>
      <c r="BD2643" s="1964"/>
      <c r="BE2643" s="1965"/>
      <c r="BF2643" s="1965"/>
      <c r="BG2643" s="1965"/>
      <c r="BH2643" s="1965"/>
      <c r="BI2643" s="1965"/>
      <c r="BJ2643" s="1965"/>
      <c r="BK2643" s="1965"/>
      <c r="BL2643" s="1965"/>
      <c r="BM2643" s="1965"/>
      <c r="BN2643" s="1965"/>
      <c r="BO2643" s="1965"/>
      <c r="BP2643" s="1965"/>
      <c r="BQ2643" s="1965"/>
      <c r="BR2643" s="1965"/>
      <c r="BS2643" s="1965"/>
      <c r="BT2643" s="1965"/>
      <c r="BU2643" s="1965"/>
      <c r="BV2643" s="1965"/>
      <c r="BW2643" s="1965"/>
      <c r="BX2643" s="1965"/>
      <c r="BY2643" s="1965"/>
      <c r="BZ2643" s="1982"/>
      <c r="CA2643" s="270"/>
      <c r="CB2643" s="3" t="str">
        <f t="shared" si="469"/>
        <v>Riadok bude skrytý.</v>
      </c>
      <c r="CC2643" s="271" t="s">
        <v>832</v>
      </c>
      <c r="CW2643" s="30">
        <f t="shared" si="471"/>
        <v>1</v>
      </c>
      <c r="CZ2643" s="30">
        <f t="shared" si="470"/>
        <v>1</v>
      </c>
      <c r="DA2643" s="30">
        <f t="shared" si="466"/>
        <v>1</v>
      </c>
      <c r="DB2643" s="2">
        <f t="shared" si="474"/>
        <v>0</v>
      </c>
      <c r="DS2643" s="130">
        <f>SI!BY2643</f>
        <v>155</v>
      </c>
      <c r="DZ2643" s="131">
        <f>SI!BZ2643</f>
        <v>0</v>
      </c>
    </row>
    <row r="2644" spans="1:130" hidden="1" x14ac:dyDescent="0.25">
      <c r="A2644" s="141"/>
      <c r="B2644" s="1075"/>
      <c r="C2644" s="1076"/>
      <c r="D2644" s="1076"/>
      <c r="E2644" s="1076"/>
      <c r="F2644" s="1076"/>
      <c r="G2644" s="1076"/>
      <c r="H2644" s="1076"/>
      <c r="I2644" s="1076"/>
      <c r="J2644" s="1076"/>
      <c r="K2644" s="1076"/>
      <c r="L2644" s="1076"/>
      <c r="M2644" s="1076"/>
      <c r="N2644" s="1076"/>
      <c r="O2644" s="1076"/>
      <c r="P2644" s="1076"/>
      <c r="Q2644" s="1076"/>
      <c r="R2644" s="1076"/>
      <c r="S2644" s="1076"/>
      <c r="T2644" s="546"/>
      <c r="U2644" s="547"/>
      <c r="V2644" s="547"/>
      <c r="W2644" s="547"/>
      <c r="X2644" s="547"/>
      <c r="Y2644" s="547"/>
      <c r="Z2644" s="547"/>
      <c r="AA2644" s="547"/>
      <c r="AB2644" s="547"/>
      <c r="AC2644" s="547"/>
      <c r="AD2644" s="547"/>
      <c r="AE2644" s="548"/>
      <c r="AF2644" s="546"/>
      <c r="AG2644" s="547"/>
      <c r="AH2644" s="547"/>
      <c r="AI2644" s="547"/>
      <c r="AJ2644" s="547"/>
      <c r="AK2644" s="547"/>
      <c r="AL2644" s="547"/>
      <c r="AM2644" s="547"/>
      <c r="AN2644" s="547"/>
      <c r="AO2644" s="547"/>
      <c r="AP2644" s="547"/>
      <c r="AQ2644" s="547"/>
      <c r="AR2644" s="547"/>
      <c r="AS2644" s="1990"/>
      <c r="AT2644" s="547"/>
      <c r="AU2644" s="547"/>
      <c r="AV2644" s="547"/>
      <c r="AW2644" s="547"/>
      <c r="AX2644" s="547"/>
      <c r="AY2644" s="547"/>
      <c r="AZ2644" s="547"/>
      <c r="BA2644" s="547"/>
      <c r="BB2644" s="547"/>
      <c r="BC2644" s="548"/>
      <c r="BD2644" s="1064"/>
      <c r="BE2644" s="1061"/>
      <c r="BF2644" s="1061"/>
      <c r="BG2644" s="1061"/>
      <c r="BH2644" s="1061"/>
      <c r="BI2644" s="1061"/>
      <c r="BJ2644" s="1061"/>
      <c r="BK2644" s="1061"/>
      <c r="BL2644" s="1061"/>
      <c r="BM2644" s="1061"/>
      <c r="BN2644" s="1061"/>
      <c r="BO2644" s="1061"/>
      <c r="BP2644" s="1061"/>
      <c r="BQ2644" s="1061"/>
      <c r="BR2644" s="1061"/>
      <c r="BS2644" s="1061"/>
      <c r="BT2644" s="1061"/>
      <c r="BU2644" s="1061"/>
      <c r="BV2644" s="1061"/>
      <c r="BW2644" s="1061"/>
      <c r="BX2644" s="1061"/>
      <c r="BY2644" s="1061"/>
      <c r="BZ2644" s="1062"/>
      <c r="CA2644" s="270"/>
      <c r="CB2644" s="3" t="str">
        <f t="shared" si="469"/>
        <v>Riadok bude skrytý.</v>
      </c>
      <c r="CC2644" s="271" t="s">
        <v>832</v>
      </c>
      <c r="CW2644" s="30">
        <f t="shared" si="471"/>
        <v>1</v>
      </c>
      <c r="CZ2644" s="30">
        <f t="shared" si="470"/>
        <v>1</v>
      </c>
      <c r="DA2644" s="30">
        <f t="shared" si="466"/>
        <v>1</v>
      </c>
      <c r="DB2644" s="2">
        <f t="shared" si="474"/>
        <v>0</v>
      </c>
      <c r="DS2644" s="130">
        <f>SI!BY2644</f>
        <v>984</v>
      </c>
      <c r="DZ2644" s="131">
        <f>SI!BZ2644</f>
        <v>0</v>
      </c>
    </row>
    <row r="2645" spans="1:130" hidden="1" x14ac:dyDescent="0.25">
      <c r="A2645" s="141"/>
      <c r="B2645" s="524" t="s">
        <v>0</v>
      </c>
      <c r="C2645" s="525"/>
      <c r="D2645" s="525"/>
      <c r="E2645" s="525"/>
      <c r="F2645" s="525"/>
      <c r="G2645" s="525"/>
      <c r="H2645" s="525"/>
      <c r="I2645" s="525"/>
      <c r="J2645" s="525"/>
      <c r="K2645" s="525"/>
      <c r="L2645" s="525"/>
      <c r="M2645" s="525"/>
      <c r="N2645" s="525"/>
      <c r="O2645" s="525"/>
      <c r="P2645" s="525"/>
      <c r="Q2645" s="525"/>
      <c r="R2645" s="525"/>
      <c r="S2645" s="723"/>
      <c r="T2645" s="524" t="s">
        <v>317</v>
      </c>
      <c r="U2645" s="525"/>
      <c r="V2645" s="525"/>
      <c r="W2645" s="525"/>
      <c r="X2645" s="525"/>
      <c r="Y2645" s="525"/>
      <c r="Z2645" s="525"/>
      <c r="AA2645" s="525"/>
      <c r="AB2645" s="525"/>
      <c r="AC2645" s="525"/>
      <c r="AD2645" s="525"/>
      <c r="AE2645" s="723"/>
      <c r="AF2645" s="524" t="s">
        <v>2</v>
      </c>
      <c r="AG2645" s="525"/>
      <c r="AH2645" s="525"/>
      <c r="AI2645" s="525"/>
      <c r="AJ2645" s="525"/>
      <c r="AK2645" s="525"/>
      <c r="AL2645" s="525"/>
      <c r="AM2645" s="525"/>
      <c r="AN2645" s="525"/>
      <c r="AO2645" s="525"/>
      <c r="AP2645" s="525"/>
      <c r="AQ2645" s="525"/>
      <c r="AR2645" s="525"/>
      <c r="AS2645" s="1104" t="s">
        <v>28</v>
      </c>
      <c r="AT2645" s="525"/>
      <c r="AU2645" s="525"/>
      <c r="AV2645" s="525"/>
      <c r="AW2645" s="525"/>
      <c r="AX2645" s="525"/>
      <c r="AY2645" s="525"/>
      <c r="AZ2645" s="525"/>
      <c r="BA2645" s="525"/>
      <c r="BB2645" s="525"/>
      <c r="BC2645" s="723"/>
      <c r="BD2645" s="1992" t="s">
        <v>29</v>
      </c>
      <c r="BE2645" s="1986"/>
      <c r="BF2645" s="1986"/>
      <c r="BG2645" s="1986"/>
      <c r="BH2645" s="1986"/>
      <c r="BI2645" s="1986"/>
      <c r="BJ2645" s="1986"/>
      <c r="BK2645" s="1986"/>
      <c r="BL2645" s="1986"/>
      <c r="BM2645" s="1986"/>
      <c r="BN2645" s="1986"/>
      <c r="BO2645" s="1986"/>
      <c r="BP2645" s="1986" t="s">
        <v>103</v>
      </c>
      <c r="BQ2645" s="1986"/>
      <c r="BR2645" s="1986"/>
      <c r="BS2645" s="1986"/>
      <c r="BT2645" s="1986"/>
      <c r="BU2645" s="1986"/>
      <c r="BV2645" s="1986"/>
      <c r="BW2645" s="1986"/>
      <c r="BX2645" s="1986"/>
      <c r="BY2645" s="1986"/>
      <c r="BZ2645" s="1987"/>
      <c r="CA2645" s="270"/>
      <c r="CB2645" s="3" t="str">
        <f t="shared" si="469"/>
        <v>Riadok bude skrytý.</v>
      </c>
      <c r="CC2645" s="271" t="s">
        <v>832</v>
      </c>
      <c r="CW2645" s="30">
        <f t="shared" si="471"/>
        <v>1</v>
      </c>
      <c r="CZ2645" s="30">
        <f t="shared" si="470"/>
        <v>1</v>
      </c>
      <c r="DA2645" s="30">
        <f t="shared" si="466"/>
        <v>1</v>
      </c>
      <c r="DB2645" s="2">
        <f t="shared" si="474"/>
        <v>0</v>
      </c>
      <c r="DS2645" s="130">
        <f>SI!BY2645</f>
        <v>118</v>
      </c>
      <c r="DZ2645" s="131">
        <f>SI!BZ2645</f>
        <v>0</v>
      </c>
    </row>
    <row r="2646" spans="1:130" ht="26.35" hidden="1" customHeight="1" x14ac:dyDescent="0.25">
      <c r="A2646" s="141"/>
      <c r="B2646" s="1182" t="s">
        <v>160</v>
      </c>
      <c r="C2646" s="1183"/>
      <c r="D2646" s="1183"/>
      <c r="E2646" s="1183"/>
      <c r="F2646" s="1183"/>
      <c r="G2646" s="1183"/>
      <c r="H2646" s="1183"/>
      <c r="I2646" s="1183"/>
      <c r="J2646" s="1183"/>
      <c r="K2646" s="1183"/>
      <c r="L2646" s="1183"/>
      <c r="M2646" s="1183"/>
      <c r="N2646" s="1183"/>
      <c r="O2646" s="1183"/>
      <c r="P2646" s="1183"/>
      <c r="Q2646" s="1183"/>
      <c r="R2646" s="1183"/>
      <c r="S2646" s="1184"/>
      <c r="T2646" s="417"/>
      <c r="U2646" s="418"/>
      <c r="V2646" s="418"/>
      <c r="W2646" s="418"/>
      <c r="X2646" s="418"/>
      <c r="Y2646" s="418"/>
      <c r="Z2646" s="418"/>
      <c r="AA2646" s="418"/>
      <c r="AB2646" s="418"/>
      <c r="AC2646" s="418"/>
      <c r="AD2646" s="418"/>
      <c r="AE2646" s="419"/>
      <c r="AF2646" s="417"/>
      <c r="AG2646" s="418"/>
      <c r="AH2646" s="418"/>
      <c r="AI2646" s="418"/>
      <c r="AJ2646" s="418"/>
      <c r="AK2646" s="418"/>
      <c r="AL2646" s="418"/>
      <c r="AM2646" s="418"/>
      <c r="AN2646" s="418"/>
      <c r="AO2646" s="418"/>
      <c r="AP2646" s="418"/>
      <c r="AQ2646" s="418"/>
      <c r="AR2646" s="418"/>
      <c r="AS2646" s="713"/>
      <c r="AT2646" s="418"/>
      <c r="AU2646" s="418"/>
      <c r="AV2646" s="418"/>
      <c r="AW2646" s="418"/>
      <c r="AX2646" s="418"/>
      <c r="AY2646" s="418"/>
      <c r="AZ2646" s="418"/>
      <c r="BA2646" s="418"/>
      <c r="BB2646" s="418"/>
      <c r="BC2646" s="419"/>
      <c r="BD2646" s="1993">
        <f>+T2646-AF2646</f>
        <v>0</v>
      </c>
      <c r="BE2646" s="1371"/>
      <c r="BF2646" s="1371"/>
      <c r="BG2646" s="1371"/>
      <c r="BH2646" s="1371"/>
      <c r="BI2646" s="1371"/>
      <c r="BJ2646" s="1371"/>
      <c r="BK2646" s="1371"/>
      <c r="BL2646" s="1371"/>
      <c r="BM2646" s="1371"/>
      <c r="BN2646" s="1371"/>
      <c r="BO2646" s="1371"/>
      <c r="BP2646" s="1371">
        <f>+AF2646-AS2646</f>
        <v>0</v>
      </c>
      <c r="BQ2646" s="1371"/>
      <c r="BR2646" s="1371"/>
      <c r="BS2646" s="1371"/>
      <c r="BT2646" s="1371"/>
      <c r="BU2646" s="1371"/>
      <c r="BV2646" s="1371"/>
      <c r="BW2646" s="1371"/>
      <c r="BX2646" s="1371"/>
      <c r="BY2646" s="1371"/>
      <c r="BZ2646" s="1372"/>
      <c r="CA2646" s="270"/>
      <c r="CB2646" s="3" t="str">
        <f t="shared" si="469"/>
        <v>Riadok bude skrytý.</v>
      </c>
      <c r="CC2646" s="271" t="s">
        <v>832</v>
      </c>
      <c r="CW2646" s="30">
        <f t="shared" si="471"/>
        <v>1</v>
      </c>
      <c r="CZ2646" s="30">
        <f t="shared" si="470"/>
        <v>1</v>
      </c>
      <c r="DA2646" s="30">
        <f t="shared" si="466"/>
        <v>1</v>
      </c>
      <c r="DB2646" s="2">
        <f t="shared" si="474"/>
        <v>0</v>
      </c>
      <c r="DS2646" s="130">
        <f>SI!BY2646</f>
        <v>333</v>
      </c>
      <c r="DZ2646" s="131">
        <f>SI!BZ2646</f>
        <v>0</v>
      </c>
    </row>
    <row r="2647" spans="1:130" ht="14.95" hidden="1" customHeight="1" x14ac:dyDescent="0.25">
      <c r="A2647" s="141"/>
      <c r="B2647" s="1187" t="s">
        <v>333</v>
      </c>
      <c r="C2647" s="1188"/>
      <c r="D2647" s="1188"/>
      <c r="E2647" s="1188"/>
      <c r="F2647" s="1188"/>
      <c r="G2647" s="1188"/>
      <c r="H2647" s="1188"/>
      <c r="I2647" s="1188"/>
      <c r="J2647" s="1188"/>
      <c r="K2647" s="1188"/>
      <c r="L2647" s="1188"/>
      <c r="M2647" s="1188"/>
      <c r="N2647" s="1188"/>
      <c r="O2647" s="1188"/>
      <c r="P2647" s="1188"/>
      <c r="Q2647" s="1188"/>
      <c r="R2647" s="1188"/>
      <c r="S2647" s="1189"/>
      <c r="T2647" s="511"/>
      <c r="U2647" s="482"/>
      <c r="V2647" s="482"/>
      <c r="W2647" s="482"/>
      <c r="X2647" s="482"/>
      <c r="Y2647" s="482"/>
      <c r="Z2647" s="482"/>
      <c r="AA2647" s="482"/>
      <c r="AB2647" s="482"/>
      <c r="AC2647" s="482"/>
      <c r="AD2647" s="482"/>
      <c r="AE2647" s="483"/>
      <c r="AF2647" s="511"/>
      <c r="AG2647" s="482"/>
      <c r="AH2647" s="482"/>
      <c r="AI2647" s="482"/>
      <c r="AJ2647" s="482"/>
      <c r="AK2647" s="482"/>
      <c r="AL2647" s="482"/>
      <c r="AM2647" s="482"/>
      <c r="AN2647" s="482"/>
      <c r="AO2647" s="482"/>
      <c r="AP2647" s="482"/>
      <c r="AQ2647" s="482"/>
      <c r="AR2647" s="482"/>
      <c r="AS2647" s="475"/>
      <c r="AT2647" s="482"/>
      <c r="AU2647" s="482"/>
      <c r="AV2647" s="482"/>
      <c r="AW2647" s="482"/>
      <c r="AX2647" s="482"/>
      <c r="AY2647" s="482"/>
      <c r="AZ2647" s="482"/>
      <c r="BA2647" s="482"/>
      <c r="BB2647" s="482"/>
      <c r="BC2647" s="483"/>
      <c r="BD2647" s="595">
        <f>+T2647-AF2647</f>
        <v>0</v>
      </c>
      <c r="BE2647" s="527"/>
      <c r="BF2647" s="527"/>
      <c r="BG2647" s="527"/>
      <c r="BH2647" s="527"/>
      <c r="BI2647" s="527"/>
      <c r="BJ2647" s="527"/>
      <c r="BK2647" s="527"/>
      <c r="BL2647" s="527"/>
      <c r="BM2647" s="527"/>
      <c r="BN2647" s="527"/>
      <c r="BO2647" s="527"/>
      <c r="BP2647" s="527">
        <f>+AF2647-AS2647</f>
        <v>0</v>
      </c>
      <c r="BQ2647" s="527"/>
      <c r="BR2647" s="527"/>
      <c r="BS2647" s="527"/>
      <c r="BT2647" s="527"/>
      <c r="BU2647" s="527"/>
      <c r="BV2647" s="527"/>
      <c r="BW2647" s="527"/>
      <c r="BX2647" s="527"/>
      <c r="BY2647" s="527"/>
      <c r="BZ2647" s="528"/>
      <c r="CA2647" s="270"/>
      <c r="CB2647" s="3" t="str">
        <f t="shared" si="469"/>
        <v>Riadok bude skrytý.</v>
      </c>
      <c r="CC2647" s="271" t="s">
        <v>832</v>
      </c>
      <c r="CW2647" s="30">
        <f t="shared" si="471"/>
        <v>1</v>
      </c>
      <c r="CZ2647" s="30">
        <f t="shared" si="470"/>
        <v>1</v>
      </c>
      <c r="DA2647" s="30">
        <f t="shared" si="466"/>
        <v>1</v>
      </c>
      <c r="DB2647" s="2">
        <f t="shared" si="474"/>
        <v>0</v>
      </c>
      <c r="DS2647" s="130">
        <f>SI!BY2647</f>
        <v>176</v>
      </c>
      <c r="DZ2647" s="131">
        <f>SI!BZ2647</f>
        <v>0</v>
      </c>
    </row>
    <row r="2648" spans="1:130" ht="14.95" hidden="1" customHeight="1" x14ac:dyDescent="0.25">
      <c r="A2648" s="141"/>
      <c r="B2648" s="1201" t="s">
        <v>162</v>
      </c>
      <c r="C2648" s="1202"/>
      <c r="D2648" s="1202"/>
      <c r="E2648" s="1202"/>
      <c r="F2648" s="1202"/>
      <c r="G2648" s="1202"/>
      <c r="H2648" s="1202"/>
      <c r="I2648" s="1202"/>
      <c r="J2648" s="1202"/>
      <c r="K2648" s="1202"/>
      <c r="L2648" s="1202"/>
      <c r="M2648" s="1202"/>
      <c r="N2648" s="1202"/>
      <c r="O2648" s="1202"/>
      <c r="P2648" s="1202"/>
      <c r="Q2648" s="1202"/>
      <c r="R2648" s="1202"/>
      <c r="S2648" s="1203"/>
      <c r="T2648" s="454"/>
      <c r="U2648" s="455"/>
      <c r="V2648" s="455"/>
      <c r="W2648" s="455"/>
      <c r="X2648" s="455"/>
      <c r="Y2648" s="455"/>
      <c r="Z2648" s="455"/>
      <c r="AA2648" s="455"/>
      <c r="AB2648" s="455"/>
      <c r="AC2648" s="455"/>
      <c r="AD2648" s="455"/>
      <c r="AE2648" s="456"/>
      <c r="AF2648" s="454"/>
      <c r="AG2648" s="455"/>
      <c r="AH2648" s="455"/>
      <c r="AI2648" s="455"/>
      <c r="AJ2648" s="455"/>
      <c r="AK2648" s="455"/>
      <c r="AL2648" s="455"/>
      <c r="AM2648" s="455"/>
      <c r="AN2648" s="455"/>
      <c r="AO2648" s="455"/>
      <c r="AP2648" s="455"/>
      <c r="AQ2648" s="455"/>
      <c r="AR2648" s="455"/>
      <c r="AS2648" s="458"/>
      <c r="AT2648" s="455"/>
      <c r="AU2648" s="455"/>
      <c r="AV2648" s="455"/>
      <c r="AW2648" s="455"/>
      <c r="AX2648" s="455"/>
      <c r="AY2648" s="455"/>
      <c r="AZ2648" s="455"/>
      <c r="BA2648" s="455"/>
      <c r="BB2648" s="455"/>
      <c r="BC2648" s="456"/>
      <c r="BD2648" s="1543">
        <f>+T2648-AF2648</f>
        <v>0</v>
      </c>
      <c r="BE2648" s="1185"/>
      <c r="BF2648" s="1185"/>
      <c r="BG2648" s="1185"/>
      <c r="BH2648" s="1185"/>
      <c r="BI2648" s="1185"/>
      <c r="BJ2648" s="1185"/>
      <c r="BK2648" s="1185"/>
      <c r="BL2648" s="1185"/>
      <c r="BM2648" s="1185"/>
      <c r="BN2648" s="1185"/>
      <c r="BO2648" s="1185"/>
      <c r="BP2648" s="1185">
        <f>+AF2648-AS2648</f>
        <v>0</v>
      </c>
      <c r="BQ2648" s="1185"/>
      <c r="BR2648" s="1185"/>
      <c r="BS2648" s="1185"/>
      <c r="BT2648" s="1185"/>
      <c r="BU2648" s="1185"/>
      <c r="BV2648" s="1185"/>
      <c r="BW2648" s="1185"/>
      <c r="BX2648" s="1185"/>
      <c r="BY2648" s="1185"/>
      <c r="BZ2648" s="1186"/>
      <c r="CA2648" s="270"/>
      <c r="CB2648" s="3" t="str">
        <f t="shared" si="469"/>
        <v>Riadok bude skrytý.</v>
      </c>
      <c r="CC2648" s="271" t="s">
        <v>832</v>
      </c>
      <c r="CW2648" s="30">
        <f t="shared" si="471"/>
        <v>1</v>
      </c>
      <c r="CZ2648" s="30">
        <f t="shared" si="470"/>
        <v>1</v>
      </c>
      <c r="DA2648" s="30">
        <f t="shared" si="466"/>
        <v>1</v>
      </c>
      <c r="DB2648" s="2">
        <f t="shared" si="474"/>
        <v>0</v>
      </c>
      <c r="DS2648" s="130">
        <f>SI!BY2648</f>
        <v>1026</v>
      </c>
      <c r="DZ2648" s="131">
        <f>SI!BZ2648</f>
        <v>0</v>
      </c>
    </row>
    <row r="2649" spans="1:130" ht="14.95" hidden="1" customHeight="1" x14ac:dyDescent="0.25">
      <c r="A2649" s="141"/>
      <c r="B2649" s="1458" t="s">
        <v>45</v>
      </c>
      <c r="C2649" s="1459"/>
      <c r="D2649" s="1459"/>
      <c r="E2649" s="1459"/>
      <c r="F2649" s="1459"/>
      <c r="G2649" s="1459"/>
      <c r="H2649" s="1459"/>
      <c r="I2649" s="1459"/>
      <c r="J2649" s="1459"/>
      <c r="K2649" s="1459"/>
      <c r="L2649" s="1459"/>
      <c r="M2649" s="1459"/>
      <c r="N2649" s="1459"/>
      <c r="O2649" s="1459"/>
      <c r="P2649" s="1459"/>
      <c r="Q2649" s="1459"/>
      <c r="R2649" s="1459"/>
      <c r="S2649" s="1460"/>
      <c r="T2649" s="423">
        <f>+SUM(T2646:AE2648)</f>
        <v>0</v>
      </c>
      <c r="U2649" s="424"/>
      <c r="V2649" s="424"/>
      <c r="W2649" s="424"/>
      <c r="X2649" s="424"/>
      <c r="Y2649" s="424"/>
      <c r="Z2649" s="424"/>
      <c r="AA2649" s="424"/>
      <c r="AB2649" s="424"/>
      <c r="AC2649" s="424"/>
      <c r="AD2649" s="424"/>
      <c r="AE2649" s="425"/>
      <c r="AF2649" s="423">
        <f>+SUM(AF2646:AR2648)</f>
        <v>0</v>
      </c>
      <c r="AG2649" s="424"/>
      <c r="AH2649" s="424"/>
      <c r="AI2649" s="424"/>
      <c r="AJ2649" s="424"/>
      <c r="AK2649" s="424"/>
      <c r="AL2649" s="424"/>
      <c r="AM2649" s="424"/>
      <c r="AN2649" s="424"/>
      <c r="AO2649" s="424"/>
      <c r="AP2649" s="424"/>
      <c r="AQ2649" s="424"/>
      <c r="AR2649" s="424"/>
      <c r="AS2649" s="477">
        <f>+SUM(AS2646:BC2648)</f>
        <v>0</v>
      </c>
      <c r="AT2649" s="424"/>
      <c r="AU2649" s="424"/>
      <c r="AV2649" s="424"/>
      <c r="AW2649" s="424"/>
      <c r="AX2649" s="424"/>
      <c r="AY2649" s="424"/>
      <c r="AZ2649" s="424"/>
      <c r="BA2649" s="424"/>
      <c r="BB2649" s="424"/>
      <c r="BC2649" s="425"/>
      <c r="BD2649" s="1125">
        <f>+SUM(BD2646:BO2648)</f>
        <v>0</v>
      </c>
      <c r="BE2649" s="1126"/>
      <c r="BF2649" s="1126"/>
      <c r="BG2649" s="1126"/>
      <c r="BH2649" s="1126"/>
      <c r="BI2649" s="1126"/>
      <c r="BJ2649" s="1126"/>
      <c r="BK2649" s="1126"/>
      <c r="BL2649" s="1126"/>
      <c r="BM2649" s="1126"/>
      <c r="BN2649" s="1126"/>
      <c r="BO2649" s="1126"/>
      <c r="BP2649" s="1126">
        <f>+BP2646+BP2647+BP2648</f>
        <v>0</v>
      </c>
      <c r="BQ2649" s="1126"/>
      <c r="BR2649" s="1126"/>
      <c r="BS2649" s="1126"/>
      <c r="BT2649" s="1126"/>
      <c r="BU2649" s="1126"/>
      <c r="BV2649" s="1126"/>
      <c r="BW2649" s="1126"/>
      <c r="BX2649" s="1126"/>
      <c r="BY2649" s="1126"/>
      <c r="BZ2649" s="1190"/>
      <c r="CA2649" s="270"/>
      <c r="CB2649" s="3" t="str">
        <f t="shared" si="469"/>
        <v>Riadok bude skrytý.</v>
      </c>
      <c r="CC2649" s="271" t="s">
        <v>832</v>
      </c>
      <c r="CW2649" s="30">
        <f t="shared" si="471"/>
        <v>1</v>
      </c>
      <c r="CZ2649" s="30">
        <f t="shared" si="470"/>
        <v>1</v>
      </c>
      <c r="DA2649" s="30">
        <f t="shared" si="466"/>
        <v>1</v>
      </c>
      <c r="DB2649" s="2">
        <f t="shared" si="474"/>
        <v>0</v>
      </c>
      <c r="DS2649" s="130">
        <f>SI!BY2649</f>
        <v>169</v>
      </c>
      <c r="DZ2649" s="131">
        <f>SI!BZ2649</f>
        <v>0</v>
      </c>
    </row>
    <row r="2650" spans="1:130" ht="14.95" hidden="1" customHeight="1" x14ac:dyDescent="0.25">
      <c r="A2650" s="141"/>
      <c r="B2650" s="1182" t="s">
        <v>334</v>
      </c>
      <c r="C2650" s="1183"/>
      <c r="D2650" s="1183"/>
      <c r="E2650" s="1183"/>
      <c r="F2650" s="1183"/>
      <c r="G2650" s="1183"/>
      <c r="H2650" s="1183"/>
      <c r="I2650" s="1183"/>
      <c r="J2650" s="1183"/>
      <c r="K2650" s="1183"/>
      <c r="L2650" s="1183"/>
      <c r="M2650" s="1183"/>
      <c r="N2650" s="1183"/>
      <c r="O2650" s="1183"/>
      <c r="P2650" s="1183"/>
      <c r="Q2650" s="1183"/>
      <c r="R2650" s="1183"/>
      <c r="S2650" s="1184"/>
      <c r="T2650" s="1205" t="s">
        <v>26</v>
      </c>
      <c r="U2650" s="1197"/>
      <c r="V2650" s="1197"/>
      <c r="W2650" s="1197"/>
      <c r="X2650" s="1197"/>
      <c r="Y2650" s="1197"/>
      <c r="Z2650" s="1197"/>
      <c r="AA2650" s="1197"/>
      <c r="AB2650" s="1197"/>
      <c r="AC2650" s="1197"/>
      <c r="AD2650" s="1197"/>
      <c r="AE2650" s="1198"/>
      <c r="AF2650" s="1205" t="s">
        <v>26</v>
      </c>
      <c r="AG2650" s="1197"/>
      <c r="AH2650" s="1197"/>
      <c r="AI2650" s="1197"/>
      <c r="AJ2650" s="1197"/>
      <c r="AK2650" s="1197"/>
      <c r="AL2650" s="1197"/>
      <c r="AM2650" s="1197"/>
      <c r="AN2650" s="1197"/>
      <c r="AO2650" s="1197"/>
      <c r="AP2650" s="1197"/>
      <c r="AQ2650" s="1197"/>
      <c r="AR2650" s="1197"/>
      <c r="AS2650" s="1196" t="s">
        <v>26</v>
      </c>
      <c r="AT2650" s="1197"/>
      <c r="AU2650" s="1197"/>
      <c r="AV2650" s="1197"/>
      <c r="AW2650" s="1197"/>
      <c r="AX2650" s="1197"/>
      <c r="AY2650" s="1197"/>
      <c r="AZ2650" s="1197"/>
      <c r="BA2650" s="1197"/>
      <c r="BB2650" s="1197"/>
      <c r="BC2650" s="1198"/>
      <c r="BD2650" s="535"/>
      <c r="BE2650" s="536"/>
      <c r="BF2650" s="536"/>
      <c r="BG2650" s="536"/>
      <c r="BH2650" s="536"/>
      <c r="BI2650" s="536"/>
      <c r="BJ2650" s="536"/>
      <c r="BK2650" s="536"/>
      <c r="BL2650" s="536"/>
      <c r="BM2650" s="536"/>
      <c r="BN2650" s="536"/>
      <c r="BO2650" s="536"/>
      <c r="BP2650" s="536"/>
      <c r="BQ2650" s="536"/>
      <c r="BR2650" s="536"/>
      <c r="BS2650" s="536"/>
      <c r="BT2650" s="536"/>
      <c r="BU2650" s="536"/>
      <c r="BV2650" s="536"/>
      <c r="BW2650" s="536"/>
      <c r="BX2650" s="536"/>
      <c r="BY2650" s="536"/>
      <c r="BZ2650" s="537"/>
      <c r="CA2650" s="270"/>
      <c r="CB2650" s="3" t="str">
        <f t="shared" si="469"/>
        <v>Riadok bude skrytý.</v>
      </c>
      <c r="CC2650" s="271" t="s">
        <v>832</v>
      </c>
      <c r="CW2650" s="30">
        <f t="shared" si="471"/>
        <v>1</v>
      </c>
      <c r="CZ2650" s="30">
        <f t="shared" si="470"/>
        <v>1</v>
      </c>
      <c r="DA2650" s="30">
        <f t="shared" si="466"/>
        <v>1</v>
      </c>
      <c r="DB2650" s="2">
        <f t="shared" si="474"/>
        <v>0</v>
      </c>
      <c r="DS2650" s="130">
        <f>SI!BY2650</f>
        <v>142</v>
      </c>
      <c r="DZ2650" s="131">
        <f>SI!BZ2650</f>
        <v>0</v>
      </c>
    </row>
    <row r="2651" spans="1:130" ht="14.95" hidden="1" customHeight="1" x14ac:dyDescent="0.25">
      <c r="A2651" s="141"/>
      <c r="B2651" s="1187" t="s">
        <v>335</v>
      </c>
      <c r="C2651" s="1188"/>
      <c r="D2651" s="1188"/>
      <c r="E2651" s="1188"/>
      <c r="F2651" s="1188"/>
      <c r="G2651" s="1188"/>
      <c r="H2651" s="1188"/>
      <c r="I2651" s="1188"/>
      <c r="J2651" s="1188"/>
      <c r="K2651" s="1188"/>
      <c r="L2651" s="1188"/>
      <c r="M2651" s="1188"/>
      <c r="N2651" s="1188"/>
      <c r="O2651" s="1188"/>
      <c r="P2651" s="1188"/>
      <c r="Q2651" s="1188"/>
      <c r="R2651" s="1188"/>
      <c r="S2651" s="1189"/>
      <c r="T2651" s="1199" t="s">
        <v>26</v>
      </c>
      <c r="U2651" s="1200"/>
      <c r="V2651" s="1200"/>
      <c r="W2651" s="1200"/>
      <c r="X2651" s="1200"/>
      <c r="Y2651" s="1200"/>
      <c r="Z2651" s="1200"/>
      <c r="AA2651" s="1200"/>
      <c r="AB2651" s="1200"/>
      <c r="AC2651" s="1200"/>
      <c r="AD2651" s="1200"/>
      <c r="AE2651" s="1204"/>
      <c r="AF2651" s="1199" t="s">
        <v>26</v>
      </c>
      <c r="AG2651" s="1200"/>
      <c r="AH2651" s="1200"/>
      <c r="AI2651" s="1200"/>
      <c r="AJ2651" s="1200"/>
      <c r="AK2651" s="1200"/>
      <c r="AL2651" s="1200"/>
      <c r="AM2651" s="1200"/>
      <c r="AN2651" s="1200"/>
      <c r="AO2651" s="1200"/>
      <c r="AP2651" s="1200"/>
      <c r="AQ2651" s="1200"/>
      <c r="AR2651" s="1200"/>
      <c r="AS2651" s="1113" t="s">
        <v>26</v>
      </c>
      <c r="AT2651" s="1200"/>
      <c r="AU2651" s="1200"/>
      <c r="AV2651" s="1200"/>
      <c r="AW2651" s="1200"/>
      <c r="AX2651" s="1200"/>
      <c r="AY2651" s="1200"/>
      <c r="AZ2651" s="1200"/>
      <c r="BA2651" s="1200"/>
      <c r="BB2651" s="1200"/>
      <c r="BC2651" s="1204"/>
      <c r="BD2651" s="363"/>
      <c r="BE2651" s="364"/>
      <c r="BF2651" s="364"/>
      <c r="BG2651" s="364"/>
      <c r="BH2651" s="364"/>
      <c r="BI2651" s="364"/>
      <c r="BJ2651" s="364"/>
      <c r="BK2651" s="364"/>
      <c r="BL2651" s="364"/>
      <c r="BM2651" s="364"/>
      <c r="BN2651" s="364"/>
      <c r="BO2651" s="364"/>
      <c r="BP2651" s="364"/>
      <c r="BQ2651" s="364"/>
      <c r="BR2651" s="364"/>
      <c r="BS2651" s="364"/>
      <c r="BT2651" s="364"/>
      <c r="BU2651" s="364"/>
      <c r="BV2651" s="364"/>
      <c r="BW2651" s="364"/>
      <c r="BX2651" s="364"/>
      <c r="BY2651" s="364"/>
      <c r="BZ2651" s="387"/>
      <c r="CA2651" s="270"/>
      <c r="CB2651" s="3" t="str">
        <f t="shared" si="469"/>
        <v>Riadok bude skrytý.</v>
      </c>
      <c r="CC2651" s="271" t="s">
        <v>832</v>
      </c>
      <c r="CW2651" s="30">
        <f t="shared" si="471"/>
        <v>1</v>
      </c>
      <c r="CZ2651" s="30">
        <f t="shared" si="470"/>
        <v>1</v>
      </c>
      <c r="DA2651" s="30">
        <f t="shared" si="466"/>
        <v>1</v>
      </c>
      <c r="DB2651" s="2">
        <f t="shared" si="474"/>
        <v>0</v>
      </c>
      <c r="DS2651" s="130">
        <f>SI!BY2651</f>
        <v>130</v>
      </c>
      <c r="DZ2651" s="131">
        <f>SI!BZ2651</f>
        <v>0</v>
      </c>
    </row>
    <row r="2652" spans="1:130" ht="14.95" hidden="1" customHeight="1" x14ac:dyDescent="0.25">
      <c r="A2652" s="141"/>
      <c r="B2652" s="1187" t="s">
        <v>336</v>
      </c>
      <c r="C2652" s="1188"/>
      <c r="D2652" s="1188"/>
      <c r="E2652" s="1188"/>
      <c r="F2652" s="1188"/>
      <c r="G2652" s="1188"/>
      <c r="H2652" s="1188"/>
      <c r="I2652" s="1188"/>
      <c r="J2652" s="1188"/>
      <c r="K2652" s="1188"/>
      <c r="L2652" s="1188"/>
      <c r="M2652" s="1188"/>
      <c r="N2652" s="1188"/>
      <c r="O2652" s="1188"/>
      <c r="P2652" s="1188"/>
      <c r="Q2652" s="1188"/>
      <c r="R2652" s="1188"/>
      <c r="S2652" s="1189"/>
      <c r="T2652" s="1199" t="s">
        <v>26</v>
      </c>
      <c r="U2652" s="1200"/>
      <c r="V2652" s="1200"/>
      <c r="W2652" s="1200"/>
      <c r="X2652" s="1200"/>
      <c r="Y2652" s="1200"/>
      <c r="Z2652" s="1200"/>
      <c r="AA2652" s="1200"/>
      <c r="AB2652" s="1200"/>
      <c r="AC2652" s="1200"/>
      <c r="AD2652" s="1200"/>
      <c r="AE2652" s="1204"/>
      <c r="AF2652" s="1199" t="s">
        <v>26</v>
      </c>
      <c r="AG2652" s="1200"/>
      <c r="AH2652" s="1200"/>
      <c r="AI2652" s="1200"/>
      <c r="AJ2652" s="1200"/>
      <c r="AK2652" s="1200"/>
      <c r="AL2652" s="1200"/>
      <c r="AM2652" s="1200"/>
      <c r="AN2652" s="1200"/>
      <c r="AO2652" s="1200"/>
      <c r="AP2652" s="1200"/>
      <c r="AQ2652" s="1200"/>
      <c r="AR2652" s="1200"/>
      <c r="AS2652" s="1113" t="s">
        <v>26</v>
      </c>
      <c r="AT2652" s="1200"/>
      <c r="AU2652" s="1200"/>
      <c r="AV2652" s="1200"/>
      <c r="AW2652" s="1200"/>
      <c r="AX2652" s="1200"/>
      <c r="AY2652" s="1200"/>
      <c r="AZ2652" s="1200"/>
      <c r="BA2652" s="1200"/>
      <c r="BB2652" s="1200"/>
      <c r="BC2652" s="1204"/>
      <c r="BD2652" s="363"/>
      <c r="BE2652" s="364"/>
      <c r="BF2652" s="364"/>
      <c r="BG2652" s="364"/>
      <c r="BH2652" s="364"/>
      <c r="BI2652" s="364"/>
      <c r="BJ2652" s="364"/>
      <c r="BK2652" s="364"/>
      <c r="BL2652" s="364"/>
      <c r="BM2652" s="364"/>
      <c r="BN2652" s="364"/>
      <c r="BO2652" s="364"/>
      <c r="BP2652" s="364"/>
      <c r="BQ2652" s="364"/>
      <c r="BR2652" s="364"/>
      <c r="BS2652" s="364"/>
      <c r="BT2652" s="364"/>
      <c r="BU2652" s="364"/>
      <c r="BV2652" s="364"/>
      <c r="BW2652" s="364"/>
      <c r="BX2652" s="364"/>
      <c r="BY2652" s="364"/>
      <c r="BZ2652" s="387"/>
      <c r="CA2652" s="270"/>
      <c r="CB2652" s="3" t="str">
        <f t="shared" si="469"/>
        <v>Riadok bude skrytý.</v>
      </c>
      <c r="CC2652" s="271" t="s">
        <v>832</v>
      </c>
      <c r="CW2652" s="30">
        <f t="shared" si="471"/>
        <v>1</v>
      </c>
      <c r="CZ2652" s="30">
        <f t="shared" si="470"/>
        <v>1</v>
      </c>
      <c r="DA2652" s="30">
        <f t="shared" si="466"/>
        <v>1</v>
      </c>
      <c r="DB2652" s="2">
        <f t="shared" si="474"/>
        <v>0</v>
      </c>
      <c r="DS2652" s="130">
        <f>SI!BY2652</f>
        <v>772</v>
      </c>
      <c r="DZ2652" s="131">
        <f>SI!BZ2652</f>
        <v>0</v>
      </c>
    </row>
    <row r="2653" spans="1:130" ht="14.95" hidden="1" customHeight="1" x14ac:dyDescent="0.25">
      <c r="A2653" s="141"/>
      <c r="B2653" s="1191" t="s">
        <v>254</v>
      </c>
      <c r="C2653" s="1192"/>
      <c r="D2653" s="1192"/>
      <c r="E2653" s="1192"/>
      <c r="F2653" s="1192"/>
      <c r="G2653" s="1192"/>
      <c r="H2653" s="1192"/>
      <c r="I2653" s="1192"/>
      <c r="J2653" s="1192"/>
      <c r="K2653" s="1192"/>
      <c r="L2653" s="1192"/>
      <c r="M2653" s="1192"/>
      <c r="N2653" s="1192"/>
      <c r="O2653" s="1192"/>
      <c r="P2653" s="1192"/>
      <c r="Q2653" s="1192"/>
      <c r="R2653" s="1192"/>
      <c r="S2653" s="1193"/>
      <c r="T2653" s="1194" t="s">
        <v>26</v>
      </c>
      <c r="U2653" s="1195"/>
      <c r="V2653" s="1195"/>
      <c r="W2653" s="1195"/>
      <c r="X2653" s="1195"/>
      <c r="Y2653" s="1195"/>
      <c r="Z2653" s="1195"/>
      <c r="AA2653" s="1195"/>
      <c r="AB2653" s="1195"/>
      <c r="AC2653" s="1195"/>
      <c r="AD2653" s="1195"/>
      <c r="AE2653" s="1566"/>
      <c r="AF2653" s="1194" t="s">
        <v>26</v>
      </c>
      <c r="AG2653" s="1195"/>
      <c r="AH2653" s="1195"/>
      <c r="AI2653" s="1195"/>
      <c r="AJ2653" s="1195"/>
      <c r="AK2653" s="1195"/>
      <c r="AL2653" s="1195"/>
      <c r="AM2653" s="1195"/>
      <c r="AN2653" s="1195"/>
      <c r="AO2653" s="1195"/>
      <c r="AP2653" s="1195"/>
      <c r="AQ2653" s="1195"/>
      <c r="AR2653" s="1195"/>
      <c r="AS2653" s="1553" t="s">
        <v>26</v>
      </c>
      <c r="AT2653" s="1195"/>
      <c r="AU2653" s="1195"/>
      <c r="AV2653" s="1195"/>
      <c r="AW2653" s="1195"/>
      <c r="AX2653" s="1195"/>
      <c r="AY2653" s="1195"/>
      <c r="AZ2653" s="1195"/>
      <c r="BA2653" s="1195"/>
      <c r="BB2653" s="1195"/>
      <c r="BC2653" s="1566"/>
      <c r="BD2653" s="367"/>
      <c r="BE2653" s="368"/>
      <c r="BF2653" s="368"/>
      <c r="BG2653" s="368"/>
      <c r="BH2653" s="368"/>
      <c r="BI2653" s="368"/>
      <c r="BJ2653" s="368"/>
      <c r="BK2653" s="368"/>
      <c r="BL2653" s="368"/>
      <c r="BM2653" s="368"/>
      <c r="BN2653" s="368"/>
      <c r="BO2653" s="368"/>
      <c r="BP2653" s="368"/>
      <c r="BQ2653" s="368"/>
      <c r="BR2653" s="368"/>
      <c r="BS2653" s="368"/>
      <c r="BT2653" s="368"/>
      <c r="BU2653" s="368"/>
      <c r="BV2653" s="368"/>
      <c r="BW2653" s="368"/>
      <c r="BX2653" s="368"/>
      <c r="BY2653" s="368"/>
      <c r="BZ2653" s="438"/>
      <c r="CA2653" s="270"/>
      <c r="CB2653" s="3" t="str">
        <f t="shared" si="469"/>
        <v>Riadok bude skrytý.</v>
      </c>
      <c r="CC2653" s="271" t="s">
        <v>832</v>
      </c>
      <c r="CW2653" s="30">
        <f t="shared" si="471"/>
        <v>1</v>
      </c>
      <c r="CZ2653" s="30">
        <f t="shared" si="470"/>
        <v>1</v>
      </c>
      <c r="DA2653" s="30">
        <f t="shared" si="466"/>
        <v>1</v>
      </c>
      <c r="DB2653" s="2">
        <f t="shared" si="474"/>
        <v>0</v>
      </c>
      <c r="DS2653" s="130">
        <f>SI!BY2653</f>
        <v>104</v>
      </c>
      <c r="DZ2653" s="131">
        <f>SI!BZ2653</f>
        <v>0</v>
      </c>
    </row>
    <row r="2654" spans="1:130" ht="36" hidden="1" customHeight="1" x14ac:dyDescent="0.25">
      <c r="A2654" s="141"/>
      <c r="B2654" s="1173" t="s">
        <v>337</v>
      </c>
      <c r="C2654" s="1174"/>
      <c r="D2654" s="1174"/>
      <c r="E2654" s="1174"/>
      <c r="F2654" s="1174"/>
      <c r="G2654" s="1174"/>
      <c r="H2654" s="1174"/>
      <c r="I2654" s="1174"/>
      <c r="J2654" s="1174"/>
      <c r="K2654" s="1174"/>
      <c r="L2654" s="1174"/>
      <c r="M2654" s="1174"/>
      <c r="N2654" s="1174"/>
      <c r="O2654" s="1174"/>
      <c r="P2654" s="1174"/>
      <c r="Q2654" s="1174"/>
      <c r="R2654" s="1174"/>
      <c r="S2654" s="1175"/>
      <c r="T2654" s="1457" t="s">
        <v>26</v>
      </c>
      <c r="U2654" s="1455"/>
      <c r="V2654" s="1455"/>
      <c r="W2654" s="1455"/>
      <c r="X2654" s="1455"/>
      <c r="Y2654" s="1455"/>
      <c r="Z2654" s="1455"/>
      <c r="AA2654" s="1455"/>
      <c r="AB2654" s="1455"/>
      <c r="AC2654" s="1455"/>
      <c r="AD2654" s="1455"/>
      <c r="AE2654" s="1456"/>
      <c r="AF2654" s="1457" t="s">
        <v>26</v>
      </c>
      <c r="AG2654" s="1455"/>
      <c r="AH2654" s="1455"/>
      <c r="AI2654" s="1455"/>
      <c r="AJ2654" s="1455"/>
      <c r="AK2654" s="1455"/>
      <c r="AL2654" s="1455"/>
      <c r="AM2654" s="1455"/>
      <c r="AN2654" s="1455"/>
      <c r="AO2654" s="1455"/>
      <c r="AP2654" s="1455"/>
      <c r="AQ2654" s="1455"/>
      <c r="AR2654" s="1455"/>
      <c r="AS2654" s="1454" t="s">
        <v>26</v>
      </c>
      <c r="AT2654" s="1455"/>
      <c r="AU2654" s="1455"/>
      <c r="AV2654" s="1455"/>
      <c r="AW2654" s="1455"/>
      <c r="AX2654" s="1455"/>
      <c r="AY2654" s="1455"/>
      <c r="AZ2654" s="1455"/>
      <c r="BA2654" s="1455"/>
      <c r="BB2654" s="1455"/>
      <c r="BC2654" s="1456"/>
      <c r="BD2654" s="411">
        <f>+SUM(BD2649:BO2653)</f>
        <v>0</v>
      </c>
      <c r="BE2654" s="412"/>
      <c r="BF2654" s="412"/>
      <c r="BG2654" s="412"/>
      <c r="BH2654" s="412"/>
      <c r="BI2654" s="412"/>
      <c r="BJ2654" s="412"/>
      <c r="BK2654" s="412"/>
      <c r="BL2654" s="412"/>
      <c r="BM2654" s="412"/>
      <c r="BN2654" s="412"/>
      <c r="BO2654" s="412"/>
      <c r="BP2654" s="412">
        <f>+SUM(BP2649:BZ2653)</f>
        <v>0</v>
      </c>
      <c r="BQ2654" s="412"/>
      <c r="BR2654" s="412"/>
      <c r="BS2654" s="412"/>
      <c r="BT2654" s="412"/>
      <c r="BU2654" s="412"/>
      <c r="BV2654" s="412"/>
      <c r="BW2654" s="412"/>
      <c r="BX2654" s="412"/>
      <c r="BY2654" s="412"/>
      <c r="BZ2654" s="413"/>
      <c r="CA2654" s="270"/>
      <c r="CB2654" s="3" t="str">
        <f t="shared" si="469"/>
        <v>Riadok bude skrytý.</v>
      </c>
      <c r="CC2654" s="271" t="s">
        <v>832</v>
      </c>
      <c r="CW2654" s="30">
        <f t="shared" si="471"/>
        <v>1</v>
      </c>
      <c r="CZ2654" s="30">
        <f t="shared" si="470"/>
        <v>1</v>
      </c>
      <c r="DA2654" s="30">
        <f t="shared" si="466"/>
        <v>1</v>
      </c>
      <c r="DB2654" s="2">
        <f t="shared" si="474"/>
        <v>0</v>
      </c>
      <c r="DS2654" s="130">
        <f>SI!BY2654</f>
        <v>615</v>
      </c>
      <c r="DZ2654" s="131">
        <f>SI!BZ2654</f>
        <v>0</v>
      </c>
    </row>
    <row r="2655" spans="1:130" hidden="1" x14ac:dyDescent="0.25">
      <c r="A2655" s="141"/>
      <c r="CA2655" s="142"/>
      <c r="CB2655" s="3" t="str">
        <f t="shared" si="469"/>
        <v>Riadok bude skrytý.</v>
      </c>
      <c r="CW2655" s="49">
        <v>1</v>
      </c>
      <c r="CZ2655" s="30">
        <f t="shared" si="470"/>
        <v>1</v>
      </c>
      <c r="DA2655" s="30">
        <f t="shared" si="466"/>
        <v>1</v>
      </c>
      <c r="DB2655" s="2">
        <f t="shared" si="474"/>
        <v>0</v>
      </c>
      <c r="DS2655" s="130">
        <f>SI!BY2655</f>
        <v>111</v>
      </c>
      <c r="DZ2655" s="131">
        <f>SI!BZ2655</f>
        <v>0</v>
      </c>
    </row>
    <row r="2656" spans="1:130" hidden="1" x14ac:dyDescent="0.25">
      <c r="A2656" s="141"/>
      <c r="B2656" s="289" t="s">
        <v>338</v>
      </c>
      <c r="C2656" s="288"/>
      <c r="D2656" s="288"/>
      <c r="E2656" s="288"/>
      <c r="F2656" s="288"/>
      <c r="G2656" s="289" t="str">
        <f>+IF($Q$52&lt;&gt;"",IF((CODE(MID($Q$52,1,1)))*(INT((PI()-3.1415)*10^5))*0+(LEN(SI!J5)-LEN(SI!J6))=DS2656,"Aktivácia nákladov, výnosy z hospodárskej činnosti, finančnej činnosti a výnimočným rozsahom ","NEPOVOLENÉ POUŽITIE!"),"NEPOVOLENÉ POUŽITIE!")</f>
        <v xml:space="preserve">Aktivácia nákladov, výnosy z hospodárskej činnosti, finančnej činnosti a výnimočným rozsahom </v>
      </c>
      <c r="H2656" s="289"/>
      <c r="I2656" s="288"/>
      <c r="J2656" s="288"/>
      <c r="K2656" s="288"/>
      <c r="L2656" s="288"/>
      <c r="M2656" s="288"/>
      <c r="N2656" s="288"/>
      <c r="O2656" s="288"/>
      <c r="P2656" s="288"/>
      <c r="Q2656" s="288"/>
      <c r="R2656" s="288"/>
      <c r="S2656" s="288"/>
      <c r="T2656" s="288"/>
      <c r="U2656" s="288"/>
      <c r="V2656" s="288"/>
      <c r="W2656" s="288"/>
      <c r="X2656" s="288"/>
      <c r="Y2656" s="288"/>
      <c r="Z2656" s="288"/>
      <c r="AA2656" s="288"/>
      <c r="AB2656" s="288"/>
      <c r="AC2656" s="288"/>
      <c r="AD2656" s="288"/>
      <c r="AE2656" s="288"/>
      <c r="AF2656" s="288"/>
      <c r="AG2656" s="288"/>
      <c r="AH2656" s="288"/>
      <c r="AI2656" s="288"/>
      <c r="AJ2656" s="288"/>
      <c r="AK2656" s="288"/>
      <c r="AL2656" s="288"/>
      <c r="AM2656" s="288"/>
      <c r="AN2656" s="288"/>
      <c r="AO2656" s="288"/>
      <c r="AP2656" s="288"/>
      <c r="AQ2656" s="288"/>
      <c r="AR2656" s="288"/>
      <c r="AS2656" s="288"/>
      <c r="AT2656" s="288"/>
      <c r="AU2656" s="288"/>
      <c r="AV2656" s="288"/>
      <c r="AW2656" s="288"/>
      <c r="AX2656" s="288"/>
      <c r="AY2656" s="288"/>
      <c r="AZ2656" s="288"/>
      <c r="BA2656" s="288"/>
      <c r="BB2656" s="288"/>
      <c r="BC2656" s="288"/>
      <c r="BD2656" s="288"/>
      <c r="BE2656" s="288"/>
      <c r="BF2656" s="288"/>
      <c r="BG2656" s="288"/>
      <c r="BH2656" s="288"/>
      <c r="BI2656" s="288"/>
      <c r="BJ2656" s="288"/>
      <c r="BK2656" s="288"/>
      <c r="BL2656" s="288"/>
      <c r="BM2656" s="288"/>
      <c r="BN2656" s="288"/>
      <c r="BO2656" s="288"/>
      <c r="BP2656" s="288"/>
      <c r="BQ2656" s="288"/>
      <c r="BR2656" s="288"/>
      <c r="BS2656" s="288"/>
      <c r="BT2656" s="288"/>
      <c r="BU2656" s="288"/>
      <c r="BV2656" s="288"/>
      <c r="BW2656" s="288"/>
      <c r="BX2656" s="288"/>
      <c r="BY2656" s="288"/>
      <c r="BZ2656" s="288"/>
      <c r="CA2656" s="265" t="s">
        <v>773</v>
      </c>
      <c r="CB2656" s="3" t="str">
        <f t="shared" si="469"/>
        <v>Riadok bude skrytý.</v>
      </c>
      <c r="CW2656" s="49">
        <v>1</v>
      </c>
      <c r="CZ2656" s="30">
        <f t="shared" si="470"/>
        <v>1</v>
      </c>
      <c r="DA2656" s="30">
        <f t="shared" si="466"/>
        <v>1</v>
      </c>
      <c r="DB2656" s="2">
        <f t="shared" si="474"/>
        <v>0</v>
      </c>
      <c r="DS2656" s="130">
        <f>SI!BY2656</f>
        <v>10</v>
      </c>
      <c r="DZ2656" s="131">
        <f>SI!BZ2656</f>
        <v>0</v>
      </c>
    </row>
    <row r="2657" spans="1:130" hidden="1" x14ac:dyDescent="0.25">
      <c r="A2657" s="141"/>
      <c r="B2657" s="7"/>
      <c r="G2657" s="7"/>
      <c r="H2657" s="7"/>
      <c r="CA2657" s="142"/>
      <c r="CB2657" s="3" t="str">
        <f t="shared" si="469"/>
        <v>Riadok bude skrytý.</v>
      </c>
      <c r="CW2657" s="49">
        <v>1</v>
      </c>
      <c r="CZ2657" s="30">
        <f t="shared" si="470"/>
        <v>1</v>
      </c>
      <c r="DA2657" s="30">
        <f t="shared" si="466"/>
        <v>1</v>
      </c>
      <c r="DB2657" s="2">
        <f t="shared" si="474"/>
        <v>0</v>
      </c>
      <c r="DS2657" s="130">
        <f>SI!BY2657</f>
        <v>181</v>
      </c>
      <c r="DZ2657" s="131">
        <f>SI!BZ2657</f>
        <v>0</v>
      </c>
    </row>
    <row r="2658" spans="1:130" hidden="1" x14ac:dyDescent="0.25">
      <c r="A2658" s="141"/>
      <c r="B2658" s="137" t="s">
        <v>208</v>
      </c>
      <c r="J2658" s="378" t="s">
        <v>857</v>
      </c>
      <c r="K2658" s="378"/>
      <c r="L2658" s="378"/>
      <c r="M2658" s="378"/>
      <c r="N2658" s="378"/>
      <c r="O2658" s="378"/>
      <c r="P2658" s="378"/>
      <c r="Q2658" s="378"/>
      <c r="R2658" s="378"/>
      <c r="S2658" s="137" t="str">
        <f>+IF($E$52&lt;&gt;"",IF(ROUNDDOWN(CODE(MID($E$52,1,1))/10,0)*0+(LEN(SI!J2)+2)=DS2658,"o aktivácii nákladov, výnosoch  z hospodárskej a finančnej činnosti.","NEPOVOLENÉ POUŽITIE!"),"NEPOVOLENÉ POUŽITIE!")</f>
        <v>o aktivácii nákladov, výnosoch  z hospodárskej a finančnej činnosti.</v>
      </c>
      <c r="T2658" s="38"/>
      <c r="CA2658" s="142"/>
      <c r="CB2658" s="3" t="str">
        <f t="shared" si="469"/>
        <v>Riadok bude skrytý.</v>
      </c>
      <c r="CC2658" s="271" t="s">
        <v>832</v>
      </c>
      <c r="CD2658" s="14"/>
      <c r="CF2658" s="13"/>
      <c r="CW2658" s="49">
        <v>1</v>
      </c>
      <c r="CZ2658" s="30">
        <f t="shared" si="470"/>
        <v>1</v>
      </c>
      <c r="DA2658" s="30">
        <f>+IF(CW2658+CX2658+CY2658=0,0,IF(CZ2658=0,0,1))</f>
        <v>1</v>
      </c>
      <c r="DB2658" s="2">
        <f t="shared" si="474"/>
        <v>0</v>
      </c>
      <c r="DS2658" s="130">
        <f>SI!BY2658</f>
        <v>15</v>
      </c>
      <c r="DZ2658" s="131">
        <f>SI!BZ2658</f>
        <v>0</v>
      </c>
    </row>
    <row r="2659" spans="1:130" hidden="1" x14ac:dyDescent="0.25">
      <c r="A2659" s="141"/>
      <c r="B2659" s="137" t="str">
        <f>+IF($U$52&lt;&gt;"",IF((ROUNDDOWN(CODE(MID($U$52,1,1)),0)-(BIN2DEC(1010)/10))*0+(LEN(SI!J2)+LEN(SI!J5))=DS2659,IF(J2658="neúčtovala","Spoločnosť nemá pre túto časť poznámok obsahovú náplň.","K aktivácii nákladov, k výnosom  z hospodárskej, finančnej činnosti a s výnimočným rozsahom uvádza: "),"NEPOVOLENÉ POUŽITIE!"),"NEPOVOLENÉ POUŽITIE!")</f>
        <v xml:space="preserve">K aktivácii nákladov, k výnosom  z hospodárskej, finančnej činnosti a s výnimočným rozsahom uvádza: </v>
      </c>
      <c r="CA2659" s="270"/>
      <c r="CB2659" s="3" t="str">
        <f t="shared" si="469"/>
        <v>Riadok bude skrytý.</v>
      </c>
      <c r="CC2659" s="271" t="s">
        <v>832</v>
      </c>
      <c r="CD2659" s="14"/>
      <c r="CF2659" s="13"/>
      <c r="CW2659" s="30">
        <f>+IF($J$2658="neúčtovala",1,1)</f>
        <v>1</v>
      </c>
      <c r="CZ2659" s="30">
        <f t="shared" si="470"/>
        <v>1</v>
      </c>
      <c r="DA2659" s="30">
        <f>+IF(CW2659+CX2659+CY2659=0,0,IF(CZ2659=0,0,1))</f>
        <v>1</v>
      </c>
      <c r="DB2659" s="2">
        <f t="shared" si="474"/>
        <v>0</v>
      </c>
      <c r="DS2659" s="130">
        <f>SI!BY2659</f>
        <v>28</v>
      </c>
      <c r="DZ2659" s="131">
        <f>SI!BZ2659</f>
        <v>0</v>
      </c>
    </row>
    <row r="2660" spans="1:130" hidden="1" x14ac:dyDescent="0.25">
      <c r="A2660" s="141"/>
      <c r="B2660" s="379"/>
      <c r="C2660" s="379"/>
      <c r="D2660" s="379"/>
      <c r="E2660" s="379"/>
      <c r="F2660" s="379"/>
      <c r="G2660" s="379"/>
      <c r="H2660" s="379"/>
      <c r="I2660" s="379"/>
      <c r="J2660" s="379"/>
      <c r="K2660" s="379"/>
      <c r="L2660" s="379"/>
      <c r="M2660" s="379"/>
      <c r="N2660" s="379"/>
      <c r="O2660" s="379"/>
      <c r="P2660" s="379"/>
      <c r="Q2660" s="379"/>
      <c r="R2660" s="379"/>
      <c r="S2660" s="379"/>
      <c r="T2660" s="379"/>
      <c r="U2660" s="379"/>
      <c r="V2660" s="379"/>
      <c r="W2660" s="379"/>
      <c r="X2660" s="379"/>
      <c r="Y2660" s="379"/>
      <c r="Z2660" s="379"/>
      <c r="AA2660" s="379"/>
      <c r="AB2660" s="379"/>
      <c r="AC2660" s="379"/>
      <c r="AD2660" s="379"/>
      <c r="AE2660" s="379"/>
      <c r="AF2660" s="379"/>
      <c r="AG2660" s="379"/>
      <c r="AH2660" s="379"/>
      <c r="AI2660" s="379"/>
      <c r="AJ2660" s="379"/>
      <c r="AK2660" s="379"/>
      <c r="AL2660" s="379"/>
      <c r="AM2660" s="379"/>
      <c r="AN2660" s="379"/>
      <c r="AO2660" s="379"/>
      <c r="AP2660" s="379"/>
      <c r="AQ2660" s="379"/>
      <c r="AR2660" s="379"/>
      <c r="AS2660" s="379"/>
      <c r="AT2660" s="379"/>
      <c r="AU2660" s="379"/>
      <c r="AV2660" s="379"/>
      <c r="AW2660" s="379"/>
      <c r="AX2660" s="379"/>
      <c r="AY2660" s="379"/>
      <c r="AZ2660" s="379"/>
      <c r="BA2660" s="379"/>
      <c r="BB2660" s="379"/>
      <c r="BC2660" s="379"/>
      <c r="BD2660" s="379"/>
      <c r="BE2660" s="379"/>
      <c r="BF2660" s="379"/>
      <c r="BG2660" s="379"/>
      <c r="BH2660" s="379"/>
      <c r="BI2660" s="379"/>
      <c r="BJ2660" s="379"/>
      <c r="BK2660" s="379"/>
      <c r="BL2660" s="379"/>
      <c r="BM2660" s="379"/>
      <c r="BN2660" s="379"/>
      <c r="BO2660" s="379"/>
      <c r="BP2660" s="379"/>
      <c r="BQ2660" s="379"/>
      <c r="BR2660" s="379"/>
      <c r="BS2660" s="379"/>
      <c r="BT2660" s="379"/>
      <c r="BU2660" s="379"/>
      <c r="BV2660" s="379"/>
      <c r="BW2660" s="379"/>
      <c r="BX2660" s="379"/>
      <c r="BY2660" s="379"/>
      <c r="BZ2660" s="379"/>
      <c r="CA2660" s="281"/>
      <c r="CB2660" s="3" t="str">
        <f t="shared" si="469"/>
        <v>Riadok bude skrytý.</v>
      </c>
      <c r="CC2660" s="271" t="s">
        <v>832</v>
      </c>
      <c r="CW2660" s="30">
        <f t="shared" ref="CW2660:CW2691" si="475">+IF($J$2658="neúčtovala",0,1)</f>
        <v>1</v>
      </c>
      <c r="CX2660" s="30">
        <f t="shared" ref="CX2660:CX2679" si="476">+IF(B2660="",0,1)</f>
        <v>0</v>
      </c>
      <c r="CZ2660" s="30">
        <f t="shared" si="470"/>
        <v>1</v>
      </c>
      <c r="DA2660" s="52">
        <f t="shared" ref="DA2660:DA2679" si="477">+IF(CW2660*CX2660=0,0,IF(CZ2660=0,0,1))</f>
        <v>0</v>
      </c>
      <c r="DB2660" s="2">
        <f t="shared" si="474"/>
        <v>0</v>
      </c>
      <c r="DS2660" s="130">
        <f>SI!BY2660</f>
        <v>118</v>
      </c>
      <c r="DZ2660" s="131">
        <f>SI!BZ2660</f>
        <v>0</v>
      </c>
    </row>
    <row r="2661" spans="1:130" hidden="1" x14ac:dyDescent="0.25">
      <c r="A2661" s="141"/>
      <c r="B2661" s="379"/>
      <c r="C2661" s="379"/>
      <c r="D2661" s="379"/>
      <c r="E2661" s="379"/>
      <c r="F2661" s="379"/>
      <c r="G2661" s="379"/>
      <c r="H2661" s="379"/>
      <c r="I2661" s="379"/>
      <c r="J2661" s="379"/>
      <c r="K2661" s="379"/>
      <c r="L2661" s="379"/>
      <c r="M2661" s="379"/>
      <c r="N2661" s="379"/>
      <c r="O2661" s="379"/>
      <c r="P2661" s="379"/>
      <c r="Q2661" s="379"/>
      <c r="R2661" s="379"/>
      <c r="S2661" s="379"/>
      <c r="T2661" s="379"/>
      <c r="U2661" s="379"/>
      <c r="V2661" s="379"/>
      <c r="W2661" s="379"/>
      <c r="X2661" s="379"/>
      <c r="Y2661" s="379"/>
      <c r="Z2661" s="379"/>
      <c r="AA2661" s="379"/>
      <c r="AB2661" s="379"/>
      <c r="AC2661" s="379"/>
      <c r="AD2661" s="379"/>
      <c r="AE2661" s="379"/>
      <c r="AF2661" s="379"/>
      <c r="AG2661" s="379"/>
      <c r="AH2661" s="379"/>
      <c r="AI2661" s="379"/>
      <c r="AJ2661" s="379"/>
      <c r="AK2661" s="379"/>
      <c r="AL2661" s="379"/>
      <c r="AM2661" s="379"/>
      <c r="AN2661" s="379"/>
      <c r="AO2661" s="379"/>
      <c r="AP2661" s="379"/>
      <c r="AQ2661" s="379"/>
      <c r="AR2661" s="379"/>
      <c r="AS2661" s="379"/>
      <c r="AT2661" s="379"/>
      <c r="AU2661" s="379"/>
      <c r="AV2661" s="379"/>
      <c r="AW2661" s="379"/>
      <c r="AX2661" s="379"/>
      <c r="AY2661" s="379"/>
      <c r="AZ2661" s="379"/>
      <c r="BA2661" s="379"/>
      <c r="BB2661" s="379"/>
      <c r="BC2661" s="379"/>
      <c r="BD2661" s="379"/>
      <c r="BE2661" s="379"/>
      <c r="BF2661" s="379"/>
      <c r="BG2661" s="379"/>
      <c r="BH2661" s="379"/>
      <c r="BI2661" s="379"/>
      <c r="BJ2661" s="379"/>
      <c r="BK2661" s="379"/>
      <c r="BL2661" s="379"/>
      <c r="BM2661" s="379"/>
      <c r="BN2661" s="379"/>
      <c r="BO2661" s="379"/>
      <c r="BP2661" s="379"/>
      <c r="BQ2661" s="379"/>
      <c r="BR2661" s="379"/>
      <c r="BS2661" s="379"/>
      <c r="BT2661" s="379"/>
      <c r="BU2661" s="379"/>
      <c r="BV2661" s="379"/>
      <c r="BW2661" s="379"/>
      <c r="BX2661" s="379"/>
      <c r="BY2661" s="379"/>
      <c r="BZ2661" s="379"/>
      <c r="CA2661" s="281"/>
      <c r="CB2661" s="3" t="str">
        <f t="shared" si="469"/>
        <v>Riadok bude skrytý.</v>
      </c>
      <c r="CC2661" s="271" t="s">
        <v>832</v>
      </c>
      <c r="CW2661" s="30">
        <f t="shared" si="475"/>
        <v>1</v>
      </c>
      <c r="CX2661" s="30">
        <f t="shared" si="476"/>
        <v>0</v>
      </c>
      <c r="CZ2661" s="30">
        <f t="shared" si="470"/>
        <v>1</v>
      </c>
      <c r="DA2661" s="52">
        <f t="shared" si="477"/>
        <v>0</v>
      </c>
      <c r="DB2661" s="2">
        <f t="shared" si="474"/>
        <v>0</v>
      </c>
      <c r="DS2661" s="130">
        <f>SI!BY2661</f>
        <v>99</v>
      </c>
      <c r="DZ2661" s="131">
        <f>SI!BZ2661</f>
        <v>0</v>
      </c>
    </row>
    <row r="2662" spans="1:130" hidden="1" x14ac:dyDescent="0.25">
      <c r="A2662" s="141"/>
      <c r="B2662" s="379"/>
      <c r="C2662" s="379"/>
      <c r="D2662" s="379"/>
      <c r="E2662" s="379"/>
      <c r="F2662" s="379"/>
      <c r="G2662" s="379"/>
      <c r="H2662" s="379"/>
      <c r="I2662" s="379"/>
      <c r="J2662" s="379"/>
      <c r="K2662" s="379"/>
      <c r="L2662" s="379"/>
      <c r="M2662" s="379"/>
      <c r="N2662" s="379"/>
      <c r="O2662" s="379"/>
      <c r="P2662" s="379"/>
      <c r="Q2662" s="379"/>
      <c r="R2662" s="379"/>
      <c r="S2662" s="379"/>
      <c r="T2662" s="379"/>
      <c r="U2662" s="379"/>
      <c r="V2662" s="379"/>
      <c r="W2662" s="379"/>
      <c r="X2662" s="379"/>
      <c r="Y2662" s="379"/>
      <c r="Z2662" s="379"/>
      <c r="AA2662" s="379"/>
      <c r="AB2662" s="379"/>
      <c r="AC2662" s="379"/>
      <c r="AD2662" s="379"/>
      <c r="AE2662" s="379"/>
      <c r="AF2662" s="379"/>
      <c r="AG2662" s="379"/>
      <c r="AH2662" s="379"/>
      <c r="AI2662" s="379"/>
      <c r="AJ2662" s="379"/>
      <c r="AK2662" s="379"/>
      <c r="AL2662" s="379"/>
      <c r="AM2662" s="379"/>
      <c r="AN2662" s="379"/>
      <c r="AO2662" s="379"/>
      <c r="AP2662" s="379"/>
      <c r="AQ2662" s="379"/>
      <c r="AR2662" s="379"/>
      <c r="AS2662" s="379"/>
      <c r="AT2662" s="379"/>
      <c r="AU2662" s="379"/>
      <c r="AV2662" s="379"/>
      <c r="AW2662" s="379"/>
      <c r="AX2662" s="379"/>
      <c r="AY2662" s="379"/>
      <c r="AZ2662" s="379"/>
      <c r="BA2662" s="379"/>
      <c r="BB2662" s="379"/>
      <c r="BC2662" s="379"/>
      <c r="BD2662" s="379"/>
      <c r="BE2662" s="379"/>
      <c r="BF2662" s="379"/>
      <c r="BG2662" s="379"/>
      <c r="BH2662" s="379"/>
      <c r="BI2662" s="379"/>
      <c r="BJ2662" s="379"/>
      <c r="BK2662" s="379"/>
      <c r="BL2662" s="379"/>
      <c r="BM2662" s="379"/>
      <c r="BN2662" s="379"/>
      <c r="BO2662" s="379"/>
      <c r="BP2662" s="379"/>
      <c r="BQ2662" s="379"/>
      <c r="BR2662" s="379"/>
      <c r="BS2662" s="379"/>
      <c r="BT2662" s="379"/>
      <c r="BU2662" s="379"/>
      <c r="BV2662" s="379"/>
      <c r="BW2662" s="379"/>
      <c r="BX2662" s="379"/>
      <c r="BY2662" s="379"/>
      <c r="BZ2662" s="379"/>
      <c r="CA2662" s="281"/>
      <c r="CB2662" s="3" t="str">
        <f t="shared" si="469"/>
        <v>Riadok bude skrytý.</v>
      </c>
      <c r="CC2662" s="271" t="s">
        <v>832</v>
      </c>
      <c r="CW2662" s="30">
        <f t="shared" si="475"/>
        <v>1</v>
      </c>
      <c r="CX2662" s="30">
        <f t="shared" si="476"/>
        <v>0</v>
      </c>
      <c r="CZ2662" s="30">
        <f t="shared" si="470"/>
        <v>1</v>
      </c>
      <c r="DA2662" s="52">
        <f t="shared" si="477"/>
        <v>0</v>
      </c>
      <c r="DB2662" s="2">
        <f t="shared" si="474"/>
        <v>0</v>
      </c>
      <c r="DS2662" s="130">
        <f>SI!BY2662</f>
        <v>153</v>
      </c>
      <c r="DZ2662" s="131">
        <f>SI!BZ2662</f>
        <v>0</v>
      </c>
    </row>
    <row r="2663" spans="1:130" hidden="1" x14ac:dyDescent="0.25">
      <c r="A2663" s="141"/>
      <c r="B2663" s="379"/>
      <c r="C2663" s="379"/>
      <c r="D2663" s="379"/>
      <c r="E2663" s="379"/>
      <c r="F2663" s="379"/>
      <c r="G2663" s="379"/>
      <c r="H2663" s="379"/>
      <c r="I2663" s="379"/>
      <c r="J2663" s="379"/>
      <c r="K2663" s="379"/>
      <c r="L2663" s="379"/>
      <c r="M2663" s="379"/>
      <c r="N2663" s="379"/>
      <c r="O2663" s="379"/>
      <c r="P2663" s="379"/>
      <c r="Q2663" s="379"/>
      <c r="R2663" s="379"/>
      <c r="S2663" s="379"/>
      <c r="T2663" s="379"/>
      <c r="U2663" s="379"/>
      <c r="V2663" s="379"/>
      <c r="W2663" s="379"/>
      <c r="X2663" s="379"/>
      <c r="Y2663" s="379"/>
      <c r="Z2663" s="379"/>
      <c r="AA2663" s="379"/>
      <c r="AB2663" s="379"/>
      <c r="AC2663" s="379"/>
      <c r="AD2663" s="379"/>
      <c r="AE2663" s="379"/>
      <c r="AF2663" s="379"/>
      <c r="AG2663" s="379"/>
      <c r="AH2663" s="379"/>
      <c r="AI2663" s="379"/>
      <c r="AJ2663" s="379"/>
      <c r="AK2663" s="379"/>
      <c r="AL2663" s="379"/>
      <c r="AM2663" s="379"/>
      <c r="AN2663" s="379"/>
      <c r="AO2663" s="379"/>
      <c r="AP2663" s="379"/>
      <c r="AQ2663" s="379"/>
      <c r="AR2663" s="379"/>
      <c r="AS2663" s="379"/>
      <c r="AT2663" s="379"/>
      <c r="AU2663" s="379"/>
      <c r="AV2663" s="379"/>
      <c r="AW2663" s="379"/>
      <c r="AX2663" s="379"/>
      <c r="AY2663" s="379"/>
      <c r="AZ2663" s="379"/>
      <c r="BA2663" s="379"/>
      <c r="BB2663" s="379"/>
      <c r="BC2663" s="379"/>
      <c r="BD2663" s="379"/>
      <c r="BE2663" s="379"/>
      <c r="BF2663" s="379"/>
      <c r="BG2663" s="379"/>
      <c r="BH2663" s="379"/>
      <c r="BI2663" s="379"/>
      <c r="BJ2663" s="379"/>
      <c r="BK2663" s="379"/>
      <c r="BL2663" s="379"/>
      <c r="BM2663" s="379"/>
      <c r="BN2663" s="379"/>
      <c r="BO2663" s="379"/>
      <c r="BP2663" s="379"/>
      <c r="BQ2663" s="379"/>
      <c r="BR2663" s="379"/>
      <c r="BS2663" s="379"/>
      <c r="BT2663" s="379"/>
      <c r="BU2663" s="379"/>
      <c r="BV2663" s="379"/>
      <c r="BW2663" s="379"/>
      <c r="BX2663" s="379"/>
      <c r="BY2663" s="379"/>
      <c r="BZ2663" s="379"/>
      <c r="CA2663" s="281"/>
      <c r="CB2663" s="3" t="str">
        <f t="shared" si="469"/>
        <v>Riadok bude skrytý.</v>
      </c>
      <c r="CC2663" s="271" t="s">
        <v>832</v>
      </c>
      <c r="CW2663" s="30">
        <f t="shared" si="475"/>
        <v>1</v>
      </c>
      <c r="CX2663" s="30">
        <f t="shared" si="476"/>
        <v>0</v>
      </c>
      <c r="CZ2663" s="30">
        <f t="shared" si="470"/>
        <v>1</v>
      </c>
      <c r="DA2663" s="52">
        <f t="shared" si="477"/>
        <v>0</v>
      </c>
      <c r="DB2663" s="2">
        <f t="shared" si="474"/>
        <v>0</v>
      </c>
      <c r="DS2663" s="130">
        <f>SI!BY2663</f>
        <v>128</v>
      </c>
      <c r="DZ2663" s="131">
        <f>SI!BZ2663</f>
        <v>0</v>
      </c>
    </row>
    <row r="2664" spans="1:130" hidden="1" x14ac:dyDescent="0.25">
      <c r="A2664" s="141"/>
      <c r="B2664" s="379"/>
      <c r="C2664" s="379"/>
      <c r="D2664" s="379"/>
      <c r="E2664" s="379"/>
      <c r="F2664" s="379"/>
      <c r="G2664" s="379"/>
      <c r="H2664" s="379"/>
      <c r="I2664" s="379"/>
      <c r="J2664" s="379"/>
      <c r="K2664" s="379"/>
      <c r="L2664" s="379"/>
      <c r="M2664" s="379"/>
      <c r="N2664" s="379"/>
      <c r="O2664" s="379"/>
      <c r="P2664" s="379"/>
      <c r="Q2664" s="379"/>
      <c r="R2664" s="379"/>
      <c r="S2664" s="379"/>
      <c r="T2664" s="379"/>
      <c r="U2664" s="379"/>
      <c r="V2664" s="379"/>
      <c r="W2664" s="379"/>
      <c r="X2664" s="379"/>
      <c r="Y2664" s="379"/>
      <c r="Z2664" s="379"/>
      <c r="AA2664" s="379"/>
      <c r="AB2664" s="379"/>
      <c r="AC2664" s="379"/>
      <c r="AD2664" s="379"/>
      <c r="AE2664" s="379"/>
      <c r="AF2664" s="379"/>
      <c r="AG2664" s="379"/>
      <c r="AH2664" s="379"/>
      <c r="AI2664" s="379"/>
      <c r="AJ2664" s="379"/>
      <c r="AK2664" s="379"/>
      <c r="AL2664" s="379"/>
      <c r="AM2664" s="379"/>
      <c r="AN2664" s="379"/>
      <c r="AO2664" s="379"/>
      <c r="AP2664" s="379"/>
      <c r="AQ2664" s="379"/>
      <c r="AR2664" s="379"/>
      <c r="AS2664" s="379"/>
      <c r="AT2664" s="379"/>
      <c r="AU2664" s="379"/>
      <c r="AV2664" s="379"/>
      <c r="AW2664" s="379"/>
      <c r="AX2664" s="379"/>
      <c r="AY2664" s="379"/>
      <c r="AZ2664" s="379"/>
      <c r="BA2664" s="379"/>
      <c r="BB2664" s="379"/>
      <c r="BC2664" s="379"/>
      <c r="BD2664" s="379"/>
      <c r="BE2664" s="379"/>
      <c r="BF2664" s="379"/>
      <c r="BG2664" s="379"/>
      <c r="BH2664" s="379"/>
      <c r="BI2664" s="379"/>
      <c r="BJ2664" s="379"/>
      <c r="BK2664" s="379"/>
      <c r="BL2664" s="379"/>
      <c r="BM2664" s="379"/>
      <c r="BN2664" s="379"/>
      <c r="BO2664" s="379"/>
      <c r="BP2664" s="379"/>
      <c r="BQ2664" s="379"/>
      <c r="BR2664" s="379"/>
      <c r="BS2664" s="379"/>
      <c r="BT2664" s="379"/>
      <c r="BU2664" s="379"/>
      <c r="BV2664" s="379"/>
      <c r="BW2664" s="379"/>
      <c r="BX2664" s="379"/>
      <c r="BY2664" s="379"/>
      <c r="BZ2664" s="379"/>
      <c r="CA2664" s="281"/>
      <c r="CB2664" s="3" t="str">
        <f t="shared" si="469"/>
        <v>Riadok bude skrytý.</v>
      </c>
      <c r="CC2664" s="271" t="s">
        <v>832</v>
      </c>
      <c r="CW2664" s="30">
        <f t="shared" si="475"/>
        <v>1</v>
      </c>
      <c r="CX2664" s="30">
        <f t="shared" si="476"/>
        <v>0</v>
      </c>
      <c r="CZ2664" s="30">
        <f t="shared" si="470"/>
        <v>1</v>
      </c>
      <c r="DA2664" s="52">
        <f t="shared" si="477"/>
        <v>0</v>
      </c>
      <c r="DB2664" s="2">
        <f t="shared" si="474"/>
        <v>0</v>
      </c>
      <c r="DS2664" s="130">
        <f>SI!BY2664</f>
        <v>152</v>
      </c>
      <c r="DZ2664" s="131">
        <f>SI!BZ2664</f>
        <v>0</v>
      </c>
    </row>
    <row r="2665" spans="1:130" hidden="1" x14ac:dyDescent="0.25">
      <c r="A2665" s="141"/>
      <c r="B2665" s="379"/>
      <c r="C2665" s="379"/>
      <c r="D2665" s="379"/>
      <c r="E2665" s="379"/>
      <c r="F2665" s="379"/>
      <c r="G2665" s="379"/>
      <c r="H2665" s="379"/>
      <c r="I2665" s="379"/>
      <c r="J2665" s="379"/>
      <c r="K2665" s="379"/>
      <c r="L2665" s="379"/>
      <c r="M2665" s="379"/>
      <c r="N2665" s="379"/>
      <c r="O2665" s="379"/>
      <c r="P2665" s="379"/>
      <c r="Q2665" s="379"/>
      <c r="R2665" s="379"/>
      <c r="S2665" s="379"/>
      <c r="T2665" s="379"/>
      <c r="U2665" s="379"/>
      <c r="V2665" s="379"/>
      <c r="W2665" s="379"/>
      <c r="X2665" s="379"/>
      <c r="Y2665" s="379"/>
      <c r="Z2665" s="379"/>
      <c r="AA2665" s="379"/>
      <c r="AB2665" s="379"/>
      <c r="AC2665" s="379"/>
      <c r="AD2665" s="379"/>
      <c r="AE2665" s="379"/>
      <c r="AF2665" s="379"/>
      <c r="AG2665" s="379"/>
      <c r="AH2665" s="379"/>
      <c r="AI2665" s="379"/>
      <c r="AJ2665" s="379"/>
      <c r="AK2665" s="379"/>
      <c r="AL2665" s="379"/>
      <c r="AM2665" s="379"/>
      <c r="AN2665" s="379"/>
      <c r="AO2665" s="379"/>
      <c r="AP2665" s="379"/>
      <c r="AQ2665" s="379"/>
      <c r="AR2665" s="379"/>
      <c r="AS2665" s="379"/>
      <c r="AT2665" s="379"/>
      <c r="AU2665" s="379"/>
      <c r="AV2665" s="379"/>
      <c r="AW2665" s="379"/>
      <c r="AX2665" s="379"/>
      <c r="AY2665" s="379"/>
      <c r="AZ2665" s="379"/>
      <c r="BA2665" s="379"/>
      <c r="BB2665" s="379"/>
      <c r="BC2665" s="379"/>
      <c r="BD2665" s="379"/>
      <c r="BE2665" s="379"/>
      <c r="BF2665" s="379"/>
      <c r="BG2665" s="379"/>
      <c r="BH2665" s="379"/>
      <c r="BI2665" s="379"/>
      <c r="BJ2665" s="379"/>
      <c r="BK2665" s="379"/>
      <c r="BL2665" s="379"/>
      <c r="BM2665" s="379"/>
      <c r="BN2665" s="379"/>
      <c r="BO2665" s="379"/>
      <c r="BP2665" s="379"/>
      <c r="BQ2665" s="379"/>
      <c r="BR2665" s="379"/>
      <c r="BS2665" s="379"/>
      <c r="BT2665" s="379"/>
      <c r="BU2665" s="379"/>
      <c r="BV2665" s="379"/>
      <c r="BW2665" s="379"/>
      <c r="BX2665" s="379"/>
      <c r="BY2665" s="379"/>
      <c r="BZ2665" s="379"/>
      <c r="CA2665" s="281"/>
      <c r="CB2665" s="3" t="str">
        <f t="shared" si="469"/>
        <v>Riadok bude skrytý.</v>
      </c>
      <c r="CC2665" s="271" t="s">
        <v>832</v>
      </c>
      <c r="CW2665" s="30">
        <f t="shared" si="475"/>
        <v>1</v>
      </c>
      <c r="CX2665" s="30">
        <f t="shared" si="476"/>
        <v>0</v>
      </c>
      <c r="CZ2665" s="30">
        <f t="shared" si="470"/>
        <v>1</v>
      </c>
      <c r="DA2665" s="52">
        <f t="shared" si="477"/>
        <v>0</v>
      </c>
      <c r="DB2665" s="2">
        <f t="shared" si="474"/>
        <v>0</v>
      </c>
      <c r="DS2665" s="130">
        <f>SI!BY2665</f>
        <v>113</v>
      </c>
      <c r="DZ2665" s="131">
        <f>SI!BZ2665</f>
        <v>0</v>
      </c>
    </row>
    <row r="2666" spans="1:130" hidden="1" x14ac:dyDescent="0.25">
      <c r="A2666" s="141"/>
      <c r="B2666" s="379"/>
      <c r="C2666" s="379"/>
      <c r="D2666" s="379"/>
      <c r="E2666" s="379"/>
      <c r="F2666" s="379"/>
      <c r="G2666" s="379"/>
      <c r="H2666" s="379"/>
      <c r="I2666" s="379"/>
      <c r="J2666" s="379"/>
      <c r="K2666" s="379"/>
      <c r="L2666" s="379"/>
      <c r="M2666" s="379"/>
      <c r="N2666" s="379"/>
      <c r="O2666" s="379"/>
      <c r="P2666" s="379"/>
      <c r="Q2666" s="379"/>
      <c r="R2666" s="379"/>
      <c r="S2666" s="379"/>
      <c r="T2666" s="379"/>
      <c r="U2666" s="379"/>
      <c r="V2666" s="379"/>
      <c r="W2666" s="379"/>
      <c r="X2666" s="379"/>
      <c r="Y2666" s="379"/>
      <c r="Z2666" s="379"/>
      <c r="AA2666" s="379"/>
      <c r="AB2666" s="379"/>
      <c r="AC2666" s="379"/>
      <c r="AD2666" s="379"/>
      <c r="AE2666" s="379"/>
      <c r="AF2666" s="379"/>
      <c r="AG2666" s="379"/>
      <c r="AH2666" s="379"/>
      <c r="AI2666" s="379"/>
      <c r="AJ2666" s="379"/>
      <c r="AK2666" s="379"/>
      <c r="AL2666" s="379"/>
      <c r="AM2666" s="379"/>
      <c r="AN2666" s="379"/>
      <c r="AO2666" s="379"/>
      <c r="AP2666" s="379"/>
      <c r="AQ2666" s="379"/>
      <c r="AR2666" s="379"/>
      <c r="AS2666" s="379"/>
      <c r="AT2666" s="379"/>
      <c r="AU2666" s="379"/>
      <c r="AV2666" s="379"/>
      <c r="AW2666" s="379"/>
      <c r="AX2666" s="379"/>
      <c r="AY2666" s="379"/>
      <c r="AZ2666" s="379"/>
      <c r="BA2666" s="379"/>
      <c r="BB2666" s="379"/>
      <c r="BC2666" s="379"/>
      <c r="BD2666" s="379"/>
      <c r="BE2666" s="379"/>
      <c r="BF2666" s="379"/>
      <c r="BG2666" s="379"/>
      <c r="BH2666" s="379"/>
      <c r="BI2666" s="379"/>
      <c r="BJ2666" s="379"/>
      <c r="BK2666" s="379"/>
      <c r="BL2666" s="379"/>
      <c r="BM2666" s="379"/>
      <c r="BN2666" s="379"/>
      <c r="BO2666" s="379"/>
      <c r="BP2666" s="379"/>
      <c r="BQ2666" s="379"/>
      <c r="BR2666" s="379"/>
      <c r="BS2666" s="379"/>
      <c r="BT2666" s="379"/>
      <c r="BU2666" s="379"/>
      <c r="BV2666" s="379"/>
      <c r="BW2666" s="379"/>
      <c r="BX2666" s="379"/>
      <c r="BY2666" s="379"/>
      <c r="BZ2666" s="379"/>
      <c r="CA2666" s="281"/>
      <c r="CB2666" s="3" t="str">
        <f t="shared" si="469"/>
        <v>Riadok bude skrytý.</v>
      </c>
      <c r="CC2666" s="271" t="s">
        <v>832</v>
      </c>
      <c r="CW2666" s="30">
        <f t="shared" si="475"/>
        <v>1</v>
      </c>
      <c r="CX2666" s="30">
        <f t="shared" si="476"/>
        <v>0</v>
      </c>
      <c r="CZ2666" s="30">
        <f t="shared" si="470"/>
        <v>1</v>
      </c>
      <c r="DA2666" s="52">
        <f t="shared" si="477"/>
        <v>0</v>
      </c>
      <c r="DB2666" s="2">
        <f t="shared" si="474"/>
        <v>0</v>
      </c>
      <c r="DS2666" s="130">
        <f>SI!BY2666</f>
        <v>105</v>
      </c>
      <c r="DZ2666" s="131">
        <f>SI!BZ2666</f>
        <v>0</v>
      </c>
    </row>
    <row r="2667" spans="1:130" hidden="1" x14ac:dyDescent="0.25">
      <c r="A2667" s="141"/>
      <c r="B2667" s="379"/>
      <c r="C2667" s="379"/>
      <c r="D2667" s="379"/>
      <c r="E2667" s="379"/>
      <c r="F2667" s="379"/>
      <c r="G2667" s="379"/>
      <c r="H2667" s="379"/>
      <c r="I2667" s="379"/>
      <c r="J2667" s="379"/>
      <c r="K2667" s="379"/>
      <c r="L2667" s="379"/>
      <c r="M2667" s="379"/>
      <c r="N2667" s="379"/>
      <c r="O2667" s="379"/>
      <c r="P2667" s="379"/>
      <c r="Q2667" s="379"/>
      <c r="R2667" s="379"/>
      <c r="S2667" s="379"/>
      <c r="T2667" s="379"/>
      <c r="U2667" s="379"/>
      <c r="V2667" s="379"/>
      <c r="W2667" s="379"/>
      <c r="X2667" s="379"/>
      <c r="Y2667" s="379"/>
      <c r="Z2667" s="379"/>
      <c r="AA2667" s="379"/>
      <c r="AB2667" s="379"/>
      <c r="AC2667" s="379"/>
      <c r="AD2667" s="379"/>
      <c r="AE2667" s="379"/>
      <c r="AF2667" s="379"/>
      <c r="AG2667" s="379"/>
      <c r="AH2667" s="379"/>
      <c r="AI2667" s="379"/>
      <c r="AJ2667" s="379"/>
      <c r="AK2667" s="379"/>
      <c r="AL2667" s="379"/>
      <c r="AM2667" s="379"/>
      <c r="AN2667" s="379"/>
      <c r="AO2667" s="379"/>
      <c r="AP2667" s="379"/>
      <c r="AQ2667" s="379"/>
      <c r="AR2667" s="379"/>
      <c r="AS2667" s="379"/>
      <c r="AT2667" s="379"/>
      <c r="AU2667" s="379"/>
      <c r="AV2667" s="379"/>
      <c r="AW2667" s="379"/>
      <c r="AX2667" s="379"/>
      <c r="AY2667" s="379"/>
      <c r="AZ2667" s="379"/>
      <c r="BA2667" s="379"/>
      <c r="BB2667" s="379"/>
      <c r="BC2667" s="379"/>
      <c r="BD2667" s="379"/>
      <c r="BE2667" s="379"/>
      <c r="BF2667" s="379"/>
      <c r="BG2667" s="379"/>
      <c r="BH2667" s="379"/>
      <c r="BI2667" s="379"/>
      <c r="BJ2667" s="379"/>
      <c r="BK2667" s="379"/>
      <c r="BL2667" s="379"/>
      <c r="BM2667" s="379"/>
      <c r="BN2667" s="379"/>
      <c r="BO2667" s="379"/>
      <c r="BP2667" s="379"/>
      <c r="BQ2667" s="379"/>
      <c r="BR2667" s="379"/>
      <c r="BS2667" s="379"/>
      <c r="BT2667" s="379"/>
      <c r="BU2667" s="379"/>
      <c r="BV2667" s="379"/>
      <c r="BW2667" s="379"/>
      <c r="BX2667" s="379"/>
      <c r="BY2667" s="379"/>
      <c r="BZ2667" s="379"/>
      <c r="CA2667" s="281"/>
      <c r="CB2667" s="3" t="str">
        <f t="shared" si="469"/>
        <v>Riadok bude skrytý.</v>
      </c>
      <c r="CC2667" s="271" t="s">
        <v>832</v>
      </c>
      <c r="CW2667" s="30">
        <f t="shared" si="475"/>
        <v>1</v>
      </c>
      <c r="CX2667" s="30">
        <f t="shared" si="476"/>
        <v>0</v>
      </c>
      <c r="CZ2667" s="30">
        <f t="shared" si="470"/>
        <v>1</v>
      </c>
      <c r="DA2667" s="52">
        <f t="shared" si="477"/>
        <v>0</v>
      </c>
      <c r="DB2667" s="2">
        <f t="shared" si="474"/>
        <v>0</v>
      </c>
      <c r="DS2667" s="130">
        <f>SI!BY2667</f>
        <v>163</v>
      </c>
      <c r="DZ2667" s="131">
        <f>SI!BZ2667</f>
        <v>0</v>
      </c>
    </row>
    <row r="2668" spans="1:130" hidden="1" x14ac:dyDescent="0.25">
      <c r="A2668" s="141"/>
      <c r="B2668" s="379"/>
      <c r="C2668" s="379"/>
      <c r="D2668" s="379"/>
      <c r="E2668" s="379"/>
      <c r="F2668" s="379"/>
      <c r="G2668" s="379"/>
      <c r="H2668" s="379"/>
      <c r="I2668" s="379"/>
      <c r="J2668" s="379"/>
      <c r="K2668" s="379"/>
      <c r="L2668" s="379"/>
      <c r="M2668" s="379"/>
      <c r="N2668" s="379"/>
      <c r="O2668" s="379"/>
      <c r="P2668" s="379"/>
      <c r="Q2668" s="379"/>
      <c r="R2668" s="379"/>
      <c r="S2668" s="379"/>
      <c r="T2668" s="379"/>
      <c r="U2668" s="379"/>
      <c r="V2668" s="379"/>
      <c r="W2668" s="379"/>
      <c r="X2668" s="379"/>
      <c r="Y2668" s="379"/>
      <c r="Z2668" s="379"/>
      <c r="AA2668" s="379"/>
      <c r="AB2668" s="379"/>
      <c r="AC2668" s="379"/>
      <c r="AD2668" s="379"/>
      <c r="AE2668" s="379"/>
      <c r="AF2668" s="379"/>
      <c r="AG2668" s="379"/>
      <c r="AH2668" s="379"/>
      <c r="AI2668" s="379"/>
      <c r="AJ2668" s="379"/>
      <c r="AK2668" s="379"/>
      <c r="AL2668" s="379"/>
      <c r="AM2668" s="379"/>
      <c r="AN2668" s="379"/>
      <c r="AO2668" s="379"/>
      <c r="AP2668" s="379"/>
      <c r="AQ2668" s="379"/>
      <c r="AR2668" s="379"/>
      <c r="AS2668" s="379"/>
      <c r="AT2668" s="379"/>
      <c r="AU2668" s="379"/>
      <c r="AV2668" s="379"/>
      <c r="AW2668" s="379"/>
      <c r="AX2668" s="379"/>
      <c r="AY2668" s="379"/>
      <c r="AZ2668" s="379"/>
      <c r="BA2668" s="379"/>
      <c r="BB2668" s="379"/>
      <c r="BC2668" s="379"/>
      <c r="BD2668" s="379"/>
      <c r="BE2668" s="379"/>
      <c r="BF2668" s="379"/>
      <c r="BG2668" s="379"/>
      <c r="BH2668" s="379"/>
      <c r="BI2668" s="379"/>
      <c r="BJ2668" s="379"/>
      <c r="BK2668" s="379"/>
      <c r="BL2668" s="379"/>
      <c r="BM2668" s="379"/>
      <c r="BN2668" s="379"/>
      <c r="BO2668" s="379"/>
      <c r="BP2668" s="379"/>
      <c r="BQ2668" s="379"/>
      <c r="BR2668" s="379"/>
      <c r="BS2668" s="379"/>
      <c r="BT2668" s="379"/>
      <c r="BU2668" s="379"/>
      <c r="BV2668" s="379"/>
      <c r="BW2668" s="379"/>
      <c r="BX2668" s="379"/>
      <c r="BY2668" s="379"/>
      <c r="BZ2668" s="379"/>
      <c r="CA2668" s="281"/>
      <c r="CB2668" s="3" t="str">
        <f t="shared" si="469"/>
        <v>Riadok bude skrytý.</v>
      </c>
      <c r="CC2668" s="271" t="s">
        <v>832</v>
      </c>
      <c r="CW2668" s="30">
        <f t="shared" si="475"/>
        <v>1</v>
      </c>
      <c r="CX2668" s="30">
        <f t="shared" si="476"/>
        <v>0</v>
      </c>
      <c r="CZ2668" s="30">
        <f t="shared" si="470"/>
        <v>1</v>
      </c>
      <c r="DA2668" s="52">
        <f t="shared" si="477"/>
        <v>0</v>
      </c>
      <c r="DB2668" s="2">
        <f t="shared" si="474"/>
        <v>0</v>
      </c>
      <c r="DS2668" s="130">
        <f>SI!BY2668</f>
        <v>122</v>
      </c>
      <c r="DZ2668" s="131">
        <f>SI!BZ2668</f>
        <v>0</v>
      </c>
    </row>
    <row r="2669" spans="1:130" hidden="1" x14ac:dyDescent="0.25">
      <c r="A2669" s="141"/>
      <c r="B2669" s="379"/>
      <c r="C2669" s="379"/>
      <c r="D2669" s="379"/>
      <c r="E2669" s="379"/>
      <c r="F2669" s="379"/>
      <c r="G2669" s="379"/>
      <c r="H2669" s="379"/>
      <c r="I2669" s="379"/>
      <c r="J2669" s="379"/>
      <c r="K2669" s="379"/>
      <c r="L2669" s="379"/>
      <c r="M2669" s="379"/>
      <c r="N2669" s="379"/>
      <c r="O2669" s="379"/>
      <c r="P2669" s="379"/>
      <c r="Q2669" s="379"/>
      <c r="R2669" s="379"/>
      <c r="S2669" s="379"/>
      <c r="T2669" s="379"/>
      <c r="U2669" s="379"/>
      <c r="V2669" s="379"/>
      <c r="W2669" s="379"/>
      <c r="X2669" s="379"/>
      <c r="Y2669" s="379"/>
      <c r="Z2669" s="379"/>
      <c r="AA2669" s="379"/>
      <c r="AB2669" s="379"/>
      <c r="AC2669" s="379"/>
      <c r="AD2669" s="379"/>
      <c r="AE2669" s="379"/>
      <c r="AF2669" s="379"/>
      <c r="AG2669" s="379"/>
      <c r="AH2669" s="379"/>
      <c r="AI2669" s="379"/>
      <c r="AJ2669" s="379"/>
      <c r="AK2669" s="379"/>
      <c r="AL2669" s="379"/>
      <c r="AM2669" s="379"/>
      <c r="AN2669" s="379"/>
      <c r="AO2669" s="379"/>
      <c r="AP2669" s="379"/>
      <c r="AQ2669" s="379"/>
      <c r="AR2669" s="379"/>
      <c r="AS2669" s="379"/>
      <c r="AT2669" s="379"/>
      <c r="AU2669" s="379"/>
      <c r="AV2669" s="379"/>
      <c r="AW2669" s="379"/>
      <c r="AX2669" s="379"/>
      <c r="AY2669" s="379"/>
      <c r="AZ2669" s="379"/>
      <c r="BA2669" s="379"/>
      <c r="BB2669" s="379"/>
      <c r="BC2669" s="379"/>
      <c r="BD2669" s="379"/>
      <c r="BE2669" s="379"/>
      <c r="BF2669" s="379"/>
      <c r="BG2669" s="379"/>
      <c r="BH2669" s="379"/>
      <c r="BI2669" s="379"/>
      <c r="BJ2669" s="379"/>
      <c r="BK2669" s="379"/>
      <c r="BL2669" s="379"/>
      <c r="BM2669" s="379"/>
      <c r="BN2669" s="379"/>
      <c r="BO2669" s="379"/>
      <c r="BP2669" s="379"/>
      <c r="BQ2669" s="379"/>
      <c r="BR2669" s="379"/>
      <c r="BS2669" s="379"/>
      <c r="BT2669" s="379"/>
      <c r="BU2669" s="379"/>
      <c r="BV2669" s="379"/>
      <c r="BW2669" s="379"/>
      <c r="BX2669" s="379"/>
      <c r="BY2669" s="379"/>
      <c r="BZ2669" s="379"/>
      <c r="CA2669" s="281"/>
      <c r="CB2669" s="3" t="str">
        <f t="shared" si="469"/>
        <v>Riadok bude skrytý.</v>
      </c>
      <c r="CC2669" s="271" t="s">
        <v>832</v>
      </c>
      <c r="CW2669" s="30">
        <f t="shared" si="475"/>
        <v>1</v>
      </c>
      <c r="CX2669" s="30">
        <f t="shared" si="476"/>
        <v>0</v>
      </c>
      <c r="CZ2669" s="30">
        <f t="shared" si="470"/>
        <v>1</v>
      </c>
      <c r="DA2669" s="52">
        <f t="shared" si="477"/>
        <v>0</v>
      </c>
      <c r="DB2669" s="2">
        <f t="shared" si="474"/>
        <v>0</v>
      </c>
      <c r="DS2669" s="130">
        <f>SI!BY2669</f>
        <v>120</v>
      </c>
      <c r="DZ2669" s="131">
        <f>SI!BZ2669</f>
        <v>0</v>
      </c>
    </row>
    <row r="2670" spans="1:130" hidden="1" x14ac:dyDescent="0.25">
      <c r="A2670" s="141"/>
      <c r="B2670" s="379"/>
      <c r="C2670" s="379"/>
      <c r="D2670" s="379"/>
      <c r="E2670" s="379"/>
      <c r="F2670" s="379"/>
      <c r="G2670" s="379"/>
      <c r="H2670" s="379"/>
      <c r="I2670" s="379"/>
      <c r="J2670" s="379"/>
      <c r="K2670" s="379"/>
      <c r="L2670" s="379"/>
      <c r="M2670" s="379"/>
      <c r="N2670" s="379"/>
      <c r="O2670" s="379"/>
      <c r="P2670" s="379"/>
      <c r="Q2670" s="379"/>
      <c r="R2670" s="379"/>
      <c r="S2670" s="379"/>
      <c r="T2670" s="379"/>
      <c r="U2670" s="379"/>
      <c r="V2670" s="379"/>
      <c r="W2670" s="379"/>
      <c r="X2670" s="379"/>
      <c r="Y2670" s="379"/>
      <c r="Z2670" s="379"/>
      <c r="AA2670" s="379"/>
      <c r="AB2670" s="379"/>
      <c r="AC2670" s="379"/>
      <c r="AD2670" s="379"/>
      <c r="AE2670" s="379"/>
      <c r="AF2670" s="379"/>
      <c r="AG2670" s="379"/>
      <c r="AH2670" s="379"/>
      <c r="AI2670" s="379"/>
      <c r="AJ2670" s="379"/>
      <c r="AK2670" s="379"/>
      <c r="AL2670" s="379"/>
      <c r="AM2670" s="379"/>
      <c r="AN2670" s="379"/>
      <c r="AO2670" s="379"/>
      <c r="AP2670" s="379"/>
      <c r="AQ2670" s="379"/>
      <c r="AR2670" s="379"/>
      <c r="AS2670" s="379"/>
      <c r="AT2670" s="379"/>
      <c r="AU2670" s="379"/>
      <c r="AV2670" s="379"/>
      <c r="AW2670" s="379"/>
      <c r="AX2670" s="379"/>
      <c r="AY2670" s="379"/>
      <c r="AZ2670" s="379"/>
      <c r="BA2670" s="379"/>
      <c r="BB2670" s="379"/>
      <c r="BC2670" s="379"/>
      <c r="BD2670" s="379"/>
      <c r="BE2670" s="379"/>
      <c r="BF2670" s="379"/>
      <c r="BG2670" s="379"/>
      <c r="BH2670" s="379"/>
      <c r="BI2670" s="379"/>
      <c r="BJ2670" s="379"/>
      <c r="BK2670" s="379"/>
      <c r="BL2670" s="379"/>
      <c r="BM2670" s="379"/>
      <c r="BN2670" s="379"/>
      <c r="BO2670" s="379"/>
      <c r="BP2670" s="379"/>
      <c r="BQ2670" s="379"/>
      <c r="BR2670" s="379"/>
      <c r="BS2670" s="379"/>
      <c r="BT2670" s="379"/>
      <c r="BU2670" s="379"/>
      <c r="BV2670" s="379"/>
      <c r="BW2670" s="379"/>
      <c r="BX2670" s="379"/>
      <c r="BY2670" s="379"/>
      <c r="BZ2670" s="379"/>
      <c r="CA2670" s="281"/>
      <c r="CB2670" s="3" t="str">
        <f t="shared" si="469"/>
        <v>Riadok bude skrytý.</v>
      </c>
      <c r="CC2670" s="271" t="s">
        <v>832</v>
      </c>
      <c r="CW2670" s="30">
        <f t="shared" si="475"/>
        <v>1</v>
      </c>
      <c r="CX2670" s="30">
        <f t="shared" si="476"/>
        <v>0</v>
      </c>
      <c r="CZ2670" s="30">
        <f t="shared" si="470"/>
        <v>1</v>
      </c>
      <c r="DA2670" s="52">
        <f t="shared" si="477"/>
        <v>0</v>
      </c>
      <c r="DB2670" s="2">
        <f t="shared" si="474"/>
        <v>0</v>
      </c>
      <c r="DS2670" s="130">
        <f>SI!BY2670</f>
        <v>133</v>
      </c>
      <c r="DZ2670" s="131">
        <f>SI!BZ2670</f>
        <v>0</v>
      </c>
    </row>
    <row r="2671" spans="1:130" hidden="1" x14ac:dyDescent="0.25">
      <c r="A2671" s="141"/>
      <c r="B2671" s="379"/>
      <c r="C2671" s="379"/>
      <c r="D2671" s="379"/>
      <c r="E2671" s="379"/>
      <c r="F2671" s="379"/>
      <c r="G2671" s="379"/>
      <c r="H2671" s="379"/>
      <c r="I2671" s="379"/>
      <c r="J2671" s="379"/>
      <c r="K2671" s="379"/>
      <c r="L2671" s="379"/>
      <c r="M2671" s="379"/>
      <c r="N2671" s="379"/>
      <c r="O2671" s="379"/>
      <c r="P2671" s="379"/>
      <c r="Q2671" s="379"/>
      <c r="R2671" s="379"/>
      <c r="S2671" s="379"/>
      <c r="T2671" s="379"/>
      <c r="U2671" s="379"/>
      <c r="V2671" s="379"/>
      <c r="W2671" s="379"/>
      <c r="X2671" s="379"/>
      <c r="Y2671" s="379"/>
      <c r="Z2671" s="379"/>
      <c r="AA2671" s="379"/>
      <c r="AB2671" s="379"/>
      <c r="AC2671" s="379"/>
      <c r="AD2671" s="379"/>
      <c r="AE2671" s="379"/>
      <c r="AF2671" s="379"/>
      <c r="AG2671" s="379"/>
      <c r="AH2671" s="379"/>
      <c r="AI2671" s="379"/>
      <c r="AJ2671" s="379"/>
      <c r="AK2671" s="379"/>
      <c r="AL2671" s="379"/>
      <c r="AM2671" s="379"/>
      <c r="AN2671" s="379"/>
      <c r="AO2671" s="379"/>
      <c r="AP2671" s="379"/>
      <c r="AQ2671" s="379"/>
      <c r="AR2671" s="379"/>
      <c r="AS2671" s="379"/>
      <c r="AT2671" s="379"/>
      <c r="AU2671" s="379"/>
      <c r="AV2671" s="379"/>
      <c r="AW2671" s="379"/>
      <c r="AX2671" s="379"/>
      <c r="AY2671" s="379"/>
      <c r="AZ2671" s="379"/>
      <c r="BA2671" s="379"/>
      <c r="BB2671" s="379"/>
      <c r="BC2671" s="379"/>
      <c r="BD2671" s="379"/>
      <c r="BE2671" s="379"/>
      <c r="BF2671" s="379"/>
      <c r="BG2671" s="379"/>
      <c r="BH2671" s="379"/>
      <c r="BI2671" s="379"/>
      <c r="BJ2671" s="379"/>
      <c r="BK2671" s="379"/>
      <c r="BL2671" s="379"/>
      <c r="BM2671" s="379"/>
      <c r="BN2671" s="379"/>
      <c r="BO2671" s="379"/>
      <c r="BP2671" s="379"/>
      <c r="BQ2671" s="379"/>
      <c r="BR2671" s="379"/>
      <c r="BS2671" s="379"/>
      <c r="BT2671" s="379"/>
      <c r="BU2671" s="379"/>
      <c r="BV2671" s="379"/>
      <c r="BW2671" s="379"/>
      <c r="BX2671" s="379"/>
      <c r="BY2671" s="379"/>
      <c r="BZ2671" s="379"/>
      <c r="CA2671" s="281"/>
      <c r="CB2671" s="3" t="str">
        <f t="shared" si="469"/>
        <v>Riadok bude skrytý.</v>
      </c>
      <c r="CC2671" s="271" t="s">
        <v>832</v>
      </c>
      <c r="CW2671" s="30">
        <f t="shared" si="475"/>
        <v>1</v>
      </c>
      <c r="CX2671" s="30">
        <f t="shared" si="476"/>
        <v>0</v>
      </c>
      <c r="CZ2671" s="30">
        <f t="shared" si="470"/>
        <v>1</v>
      </c>
      <c r="DA2671" s="52">
        <f t="shared" si="477"/>
        <v>0</v>
      </c>
      <c r="DB2671" s="2">
        <f t="shared" si="474"/>
        <v>0</v>
      </c>
      <c r="DS2671" s="130">
        <f>SI!BY2671</f>
        <v>113</v>
      </c>
      <c r="DZ2671" s="131">
        <f>SI!BZ2671</f>
        <v>0</v>
      </c>
    </row>
    <row r="2672" spans="1:130" hidden="1" x14ac:dyDescent="0.25">
      <c r="A2672" s="141"/>
      <c r="B2672" s="379"/>
      <c r="C2672" s="379"/>
      <c r="D2672" s="379"/>
      <c r="E2672" s="379"/>
      <c r="F2672" s="379"/>
      <c r="G2672" s="379"/>
      <c r="H2672" s="379"/>
      <c r="I2672" s="379"/>
      <c r="J2672" s="379"/>
      <c r="K2672" s="379"/>
      <c r="L2672" s="379"/>
      <c r="M2672" s="379"/>
      <c r="N2672" s="379"/>
      <c r="O2672" s="379"/>
      <c r="P2672" s="379"/>
      <c r="Q2672" s="379"/>
      <c r="R2672" s="379"/>
      <c r="S2672" s="379"/>
      <c r="T2672" s="379"/>
      <c r="U2672" s="379"/>
      <c r="V2672" s="379"/>
      <c r="W2672" s="379"/>
      <c r="X2672" s="379"/>
      <c r="Y2672" s="379"/>
      <c r="Z2672" s="379"/>
      <c r="AA2672" s="379"/>
      <c r="AB2672" s="379"/>
      <c r="AC2672" s="379"/>
      <c r="AD2672" s="379"/>
      <c r="AE2672" s="379"/>
      <c r="AF2672" s="379"/>
      <c r="AG2672" s="379"/>
      <c r="AH2672" s="379"/>
      <c r="AI2672" s="379"/>
      <c r="AJ2672" s="379"/>
      <c r="AK2672" s="379"/>
      <c r="AL2672" s="379"/>
      <c r="AM2672" s="379"/>
      <c r="AN2672" s="379"/>
      <c r="AO2672" s="379"/>
      <c r="AP2672" s="379"/>
      <c r="AQ2672" s="379"/>
      <c r="AR2672" s="379"/>
      <c r="AS2672" s="379"/>
      <c r="AT2672" s="379"/>
      <c r="AU2672" s="379"/>
      <c r="AV2672" s="379"/>
      <c r="AW2672" s="379"/>
      <c r="AX2672" s="379"/>
      <c r="AY2672" s="379"/>
      <c r="AZ2672" s="379"/>
      <c r="BA2672" s="379"/>
      <c r="BB2672" s="379"/>
      <c r="BC2672" s="379"/>
      <c r="BD2672" s="379"/>
      <c r="BE2672" s="379"/>
      <c r="BF2672" s="379"/>
      <c r="BG2672" s="379"/>
      <c r="BH2672" s="379"/>
      <c r="BI2672" s="379"/>
      <c r="BJ2672" s="379"/>
      <c r="BK2672" s="379"/>
      <c r="BL2672" s="379"/>
      <c r="BM2672" s="379"/>
      <c r="BN2672" s="379"/>
      <c r="BO2672" s="379"/>
      <c r="BP2672" s="379"/>
      <c r="BQ2672" s="379"/>
      <c r="BR2672" s="379"/>
      <c r="BS2672" s="379"/>
      <c r="BT2672" s="379"/>
      <c r="BU2672" s="379"/>
      <c r="BV2672" s="379"/>
      <c r="BW2672" s="379"/>
      <c r="BX2672" s="379"/>
      <c r="BY2672" s="379"/>
      <c r="BZ2672" s="379"/>
      <c r="CA2672" s="281"/>
      <c r="CB2672" s="3" t="str">
        <f t="shared" si="469"/>
        <v>Riadok bude skrytý.</v>
      </c>
      <c r="CC2672" s="271" t="s">
        <v>832</v>
      </c>
      <c r="CW2672" s="30">
        <f t="shared" si="475"/>
        <v>1</v>
      </c>
      <c r="CX2672" s="30">
        <f t="shared" si="476"/>
        <v>0</v>
      </c>
      <c r="CZ2672" s="30">
        <f t="shared" si="470"/>
        <v>1</v>
      </c>
      <c r="DA2672" s="52">
        <f t="shared" si="477"/>
        <v>0</v>
      </c>
      <c r="DB2672" s="2">
        <f t="shared" si="474"/>
        <v>0</v>
      </c>
      <c r="DS2672" s="130">
        <f>SI!BY2672</f>
        <v>113</v>
      </c>
      <c r="DZ2672" s="131">
        <f>SI!BZ2672</f>
        <v>0</v>
      </c>
    </row>
    <row r="2673" spans="1:130" hidden="1" x14ac:dyDescent="0.25">
      <c r="A2673" s="141"/>
      <c r="B2673" s="379"/>
      <c r="C2673" s="379"/>
      <c r="D2673" s="379"/>
      <c r="E2673" s="379"/>
      <c r="F2673" s="379"/>
      <c r="G2673" s="379"/>
      <c r="H2673" s="379"/>
      <c r="I2673" s="379"/>
      <c r="J2673" s="379"/>
      <c r="K2673" s="379"/>
      <c r="L2673" s="379"/>
      <c r="M2673" s="379"/>
      <c r="N2673" s="379"/>
      <c r="O2673" s="379"/>
      <c r="P2673" s="379"/>
      <c r="Q2673" s="379"/>
      <c r="R2673" s="379"/>
      <c r="S2673" s="379"/>
      <c r="T2673" s="379"/>
      <c r="U2673" s="379"/>
      <c r="V2673" s="379"/>
      <c r="W2673" s="379"/>
      <c r="X2673" s="379"/>
      <c r="Y2673" s="379"/>
      <c r="Z2673" s="379"/>
      <c r="AA2673" s="379"/>
      <c r="AB2673" s="379"/>
      <c r="AC2673" s="379"/>
      <c r="AD2673" s="379"/>
      <c r="AE2673" s="379"/>
      <c r="AF2673" s="379"/>
      <c r="AG2673" s="379"/>
      <c r="AH2673" s="379"/>
      <c r="AI2673" s="379"/>
      <c r="AJ2673" s="379"/>
      <c r="AK2673" s="379"/>
      <c r="AL2673" s="379"/>
      <c r="AM2673" s="379"/>
      <c r="AN2673" s="379"/>
      <c r="AO2673" s="379"/>
      <c r="AP2673" s="379"/>
      <c r="AQ2673" s="379"/>
      <c r="AR2673" s="379"/>
      <c r="AS2673" s="379"/>
      <c r="AT2673" s="379"/>
      <c r="AU2673" s="379"/>
      <c r="AV2673" s="379"/>
      <c r="AW2673" s="379"/>
      <c r="AX2673" s="379"/>
      <c r="AY2673" s="379"/>
      <c r="AZ2673" s="379"/>
      <c r="BA2673" s="379"/>
      <c r="BB2673" s="379"/>
      <c r="BC2673" s="379"/>
      <c r="BD2673" s="379"/>
      <c r="BE2673" s="379"/>
      <c r="BF2673" s="379"/>
      <c r="BG2673" s="379"/>
      <c r="BH2673" s="379"/>
      <c r="BI2673" s="379"/>
      <c r="BJ2673" s="379"/>
      <c r="BK2673" s="379"/>
      <c r="BL2673" s="379"/>
      <c r="BM2673" s="379"/>
      <c r="BN2673" s="379"/>
      <c r="BO2673" s="379"/>
      <c r="BP2673" s="379"/>
      <c r="BQ2673" s="379"/>
      <c r="BR2673" s="379"/>
      <c r="BS2673" s="379"/>
      <c r="BT2673" s="379"/>
      <c r="BU2673" s="379"/>
      <c r="BV2673" s="379"/>
      <c r="BW2673" s="379"/>
      <c r="BX2673" s="379"/>
      <c r="BY2673" s="379"/>
      <c r="BZ2673" s="379"/>
      <c r="CA2673" s="281"/>
      <c r="CB2673" s="3" t="str">
        <f t="shared" si="469"/>
        <v>Riadok bude skrytý.</v>
      </c>
      <c r="CC2673" s="271" t="s">
        <v>832</v>
      </c>
      <c r="CW2673" s="30">
        <f t="shared" si="475"/>
        <v>1</v>
      </c>
      <c r="CX2673" s="30">
        <f t="shared" si="476"/>
        <v>0</v>
      </c>
      <c r="CZ2673" s="30">
        <f t="shared" si="470"/>
        <v>1</v>
      </c>
      <c r="DA2673" s="52">
        <f t="shared" si="477"/>
        <v>0</v>
      </c>
      <c r="DB2673" s="2">
        <f t="shared" si="474"/>
        <v>0</v>
      </c>
      <c r="DS2673" s="130">
        <f>SI!BY2673</f>
        <v>28</v>
      </c>
      <c r="DZ2673" s="131">
        <f>SI!BZ2673</f>
        <v>0</v>
      </c>
    </row>
    <row r="2674" spans="1:130" hidden="1" x14ac:dyDescent="0.25">
      <c r="A2674" s="141"/>
      <c r="B2674" s="379"/>
      <c r="C2674" s="379"/>
      <c r="D2674" s="379"/>
      <c r="E2674" s="379"/>
      <c r="F2674" s="379"/>
      <c r="G2674" s="379"/>
      <c r="H2674" s="379"/>
      <c r="I2674" s="379"/>
      <c r="J2674" s="379"/>
      <c r="K2674" s="379"/>
      <c r="L2674" s="379"/>
      <c r="M2674" s="379"/>
      <c r="N2674" s="379"/>
      <c r="O2674" s="379"/>
      <c r="P2674" s="379"/>
      <c r="Q2674" s="379"/>
      <c r="R2674" s="379"/>
      <c r="S2674" s="379"/>
      <c r="T2674" s="379"/>
      <c r="U2674" s="379"/>
      <c r="V2674" s="379"/>
      <c r="W2674" s="379"/>
      <c r="X2674" s="379"/>
      <c r="Y2674" s="379"/>
      <c r="Z2674" s="379"/>
      <c r="AA2674" s="379"/>
      <c r="AB2674" s="379"/>
      <c r="AC2674" s="379"/>
      <c r="AD2674" s="379"/>
      <c r="AE2674" s="379"/>
      <c r="AF2674" s="379"/>
      <c r="AG2674" s="379"/>
      <c r="AH2674" s="379"/>
      <c r="AI2674" s="379"/>
      <c r="AJ2674" s="379"/>
      <c r="AK2674" s="379"/>
      <c r="AL2674" s="379"/>
      <c r="AM2674" s="379"/>
      <c r="AN2674" s="379"/>
      <c r="AO2674" s="379"/>
      <c r="AP2674" s="379"/>
      <c r="AQ2674" s="379"/>
      <c r="AR2674" s="379"/>
      <c r="AS2674" s="379"/>
      <c r="AT2674" s="379"/>
      <c r="AU2674" s="379"/>
      <c r="AV2674" s="379"/>
      <c r="AW2674" s="379"/>
      <c r="AX2674" s="379"/>
      <c r="AY2674" s="379"/>
      <c r="AZ2674" s="379"/>
      <c r="BA2674" s="379"/>
      <c r="BB2674" s="379"/>
      <c r="BC2674" s="379"/>
      <c r="BD2674" s="379"/>
      <c r="BE2674" s="379"/>
      <c r="BF2674" s="379"/>
      <c r="BG2674" s="379"/>
      <c r="BH2674" s="379"/>
      <c r="BI2674" s="379"/>
      <c r="BJ2674" s="379"/>
      <c r="BK2674" s="379"/>
      <c r="BL2674" s="379"/>
      <c r="BM2674" s="379"/>
      <c r="BN2674" s="379"/>
      <c r="BO2674" s="379"/>
      <c r="BP2674" s="379"/>
      <c r="BQ2674" s="379"/>
      <c r="BR2674" s="379"/>
      <c r="BS2674" s="379"/>
      <c r="BT2674" s="379"/>
      <c r="BU2674" s="379"/>
      <c r="BV2674" s="379"/>
      <c r="BW2674" s="379"/>
      <c r="BX2674" s="379"/>
      <c r="BY2674" s="379"/>
      <c r="BZ2674" s="379"/>
      <c r="CA2674" s="281"/>
      <c r="CB2674" s="3" t="str">
        <f t="shared" si="469"/>
        <v>Riadok bude skrytý.</v>
      </c>
      <c r="CC2674" s="271" t="s">
        <v>832</v>
      </c>
      <c r="CW2674" s="30">
        <f t="shared" si="475"/>
        <v>1</v>
      </c>
      <c r="CX2674" s="30">
        <f t="shared" si="476"/>
        <v>0</v>
      </c>
      <c r="CZ2674" s="30">
        <f t="shared" si="470"/>
        <v>1</v>
      </c>
      <c r="DA2674" s="52">
        <f t="shared" si="477"/>
        <v>0</v>
      </c>
      <c r="DB2674" s="2">
        <f t="shared" si="474"/>
        <v>0</v>
      </c>
      <c r="DS2674" s="130">
        <f>SI!BY2674</f>
        <v>122</v>
      </c>
      <c r="DZ2674" s="131">
        <f>SI!BZ2674</f>
        <v>0</v>
      </c>
    </row>
    <row r="2675" spans="1:130" hidden="1" x14ac:dyDescent="0.25">
      <c r="A2675" s="141"/>
      <c r="B2675" s="379"/>
      <c r="C2675" s="379"/>
      <c r="D2675" s="379"/>
      <c r="E2675" s="379"/>
      <c r="F2675" s="379"/>
      <c r="G2675" s="379"/>
      <c r="H2675" s="379"/>
      <c r="I2675" s="379"/>
      <c r="J2675" s="379"/>
      <c r="K2675" s="379"/>
      <c r="L2675" s="379"/>
      <c r="M2675" s="379"/>
      <c r="N2675" s="379"/>
      <c r="O2675" s="379"/>
      <c r="P2675" s="379"/>
      <c r="Q2675" s="379"/>
      <c r="R2675" s="379"/>
      <c r="S2675" s="379"/>
      <c r="T2675" s="379"/>
      <c r="U2675" s="379"/>
      <c r="V2675" s="379"/>
      <c r="W2675" s="379"/>
      <c r="X2675" s="379"/>
      <c r="Y2675" s="379"/>
      <c r="Z2675" s="379"/>
      <c r="AA2675" s="379"/>
      <c r="AB2675" s="379"/>
      <c r="AC2675" s="379"/>
      <c r="AD2675" s="379"/>
      <c r="AE2675" s="379"/>
      <c r="AF2675" s="379"/>
      <c r="AG2675" s="379"/>
      <c r="AH2675" s="379"/>
      <c r="AI2675" s="379"/>
      <c r="AJ2675" s="379"/>
      <c r="AK2675" s="379"/>
      <c r="AL2675" s="379"/>
      <c r="AM2675" s="379"/>
      <c r="AN2675" s="379"/>
      <c r="AO2675" s="379"/>
      <c r="AP2675" s="379"/>
      <c r="AQ2675" s="379"/>
      <c r="AR2675" s="379"/>
      <c r="AS2675" s="379"/>
      <c r="AT2675" s="379"/>
      <c r="AU2675" s="379"/>
      <c r="AV2675" s="379"/>
      <c r="AW2675" s="379"/>
      <c r="AX2675" s="379"/>
      <c r="AY2675" s="379"/>
      <c r="AZ2675" s="379"/>
      <c r="BA2675" s="379"/>
      <c r="BB2675" s="379"/>
      <c r="BC2675" s="379"/>
      <c r="BD2675" s="379"/>
      <c r="BE2675" s="379"/>
      <c r="BF2675" s="379"/>
      <c r="BG2675" s="379"/>
      <c r="BH2675" s="379"/>
      <c r="BI2675" s="379"/>
      <c r="BJ2675" s="379"/>
      <c r="BK2675" s="379"/>
      <c r="BL2675" s="379"/>
      <c r="BM2675" s="379"/>
      <c r="BN2675" s="379"/>
      <c r="BO2675" s="379"/>
      <c r="BP2675" s="379"/>
      <c r="BQ2675" s="379"/>
      <c r="BR2675" s="379"/>
      <c r="BS2675" s="379"/>
      <c r="BT2675" s="379"/>
      <c r="BU2675" s="379"/>
      <c r="BV2675" s="379"/>
      <c r="BW2675" s="379"/>
      <c r="BX2675" s="379"/>
      <c r="BY2675" s="379"/>
      <c r="BZ2675" s="379"/>
      <c r="CA2675" s="281"/>
      <c r="CB2675" s="3" t="str">
        <f t="shared" ref="CB2675:CB2738" si="478">+IF(DB2675=0,"Riadok bude skrytý.","Riadok bude vidieť.")</f>
        <v>Riadok bude skrytý.</v>
      </c>
      <c r="CC2675" s="271" t="s">
        <v>832</v>
      </c>
      <c r="CW2675" s="30">
        <f t="shared" si="475"/>
        <v>1</v>
      </c>
      <c r="CX2675" s="30">
        <f t="shared" si="476"/>
        <v>0</v>
      </c>
      <c r="CZ2675" s="30">
        <f t="shared" ref="CZ2675:CZ2738" si="479">IF(CC2675="",1,IF(CC2675="Chcem skryť riadok.",0,1))</f>
        <v>1</v>
      </c>
      <c r="DA2675" s="52">
        <f t="shared" si="477"/>
        <v>0</v>
      </c>
      <c r="DB2675" s="2">
        <f t="shared" si="474"/>
        <v>0</v>
      </c>
      <c r="DS2675" s="130">
        <f>SI!BY2675</f>
        <v>106</v>
      </c>
      <c r="DZ2675" s="131">
        <f>SI!BZ2675</f>
        <v>0</v>
      </c>
    </row>
    <row r="2676" spans="1:130" hidden="1" x14ac:dyDescent="0.25">
      <c r="A2676" s="141"/>
      <c r="B2676" s="379"/>
      <c r="C2676" s="379"/>
      <c r="D2676" s="379"/>
      <c r="E2676" s="379"/>
      <c r="F2676" s="379"/>
      <c r="G2676" s="379"/>
      <c r="H2676" s="379"/>
      <c r="I2676" s="379"/>
      <c r="J2676" s="379"/>
      <c r="K2676" s="379"/>
      <c r="L2676" s="379"/>
      <c r="M2676" s="379"/>
      <c r="N2676" s="379"/>
      <c r="O2676" s="379"/>
      <c r="P2676" s="379"/>
      <c r="Q2676" s="379"/>
      <c r="R2676" s="379"/>
      <c r="S2676" s="379"/>
      <c r="T2676" s="379"/>
      <c r="U2676" s="379"/>
      <c r="V2676" s="379"/>
      <c r="W2676" s="379"/>
      <c r="X2676" s="379"/>
      <c r="Y2676" s="379"/>
      <c r="Z2676" s="379"/>
      <c r="AA2676" s="379"/>
      <c r="AB2676" s="379"/>
      <c r="AC2676" s="379"/>
      <c r="AD2676" s="379"/>
      <c r="AE2676" s="379"/>
      <c r="AF2676" s="379"/>
      <c r="AG2676" s="379"/>
      <c r="AH2676" s="379"/>
      <c r="AI2676" s="379"/>
      <c r="AJ2676" s="379"/>
      <c r="AK2676" s="379"/>
      <c r="AL2676" s="379"/>
      <c r="AM2676" s="379"/>
      <c r="AN2676" s="379"/>
      <c r="AO2676" s="379"/>
      <c r="AP2676" s="379"/>
      <c r="AQ2676" s="379"/>
      <c r="AR2676" s="379"/>
      <c r="AS2676" s="379"/>
      <c r="AT2676" s="379"/>
      <c r="AU2676" s="379"/>
      <c r="AV2676" s="379"/>
      <c r="AW2676" s="379"/>
      <c r="AX2676" s="379"/>
      <c r="AY2676" s="379"/>
      <c r="AZ2676" s="379"/>
      <c r="BA2676" s="379"/>
      <c r="BB2676" s="379"/>
      <c r="BC2676" s="379"/>
      <c r="BD2676" s="379"/>
      <c r="BE2676" s="379"/>
      <c r="BF2676" s="379"/>
      <c r="BG2676" s="379"/>
      <c r="BH2676" s="379"/>
      <c r="BI2676" s="379"/>
      <c r="BJ2676" s="379"/>
      <c r="BK2676" s="379"/>
      <c r="BL2676" s="379"/>
      <c r="BM2676" s="379"/>
      <c r="BN2676" s="379"/>
      <c r="BO2676" s="379"/>
      <c r="BP2676" s="379"/>
      <c r="BQ2676" s="379"/>
      <c r="BR2676" s="379"/>
      <c r="BS2676" s="379"/>
      <c r="BT2676" s="379"/>
      <c r="BU2676" s="379"/>
      <c r="BV2676" s="379"/>
      <c r="BW2676" s="379"/>
      <c r="BX2676" s="379"/>
      <c r="BY2676" s="379"/>
      <c r="BZ2676" s="379"/>
      <c r="CA2676" s="281"/>
      <c r="CB2676" s="3" t="str">
        <f t="shared" si="478"/>
        <v>Riadok bude skrytý.</v>
      </c>
      <c r="CC2676" s="271" t="s">
        <v>832</v>
      </c>
      <c r="CW2676" s="30">
        <f t="shared" si="475"/>
        <v>1</v>
      </c>
      <c r="CX2676" s="30">
        <f t="shared" si="476"/>
        <v>0</v>
      </c>
      <c r="CZ2676" s="30">
        <f t="shared" si="479"/>
        <v>1</v>
      </c>
      <c r="DA2676" s="52">
        <f t="shared" si="477"/>
        <v>0</v>
      </c>
      <c r="DB2676" s="2">
        <f t="shared" si="474"/>
        <v>0</v>
      </c>
      <c r="DS2676" s="130">
        <f>SI!BY2676</f>
        <v>187</v>
      </c>
      <c r="DZ2676" s="131">
        <f>SI!BZ2676</f>
        <v>0</v>
      </c>
    </row>
    <row r="2677" spans="1:130" hidden="1" x14ac:dyDescent="0.25">
      <c r="A2677" s="141"/>
      <c r="B2677" s="379"/>
      <c r="C2677" s="379"/>
      <c r="D2677" s="379"/>
      <c r="E2677" s="379"/>
      <c r="F2677" s="379"/>
      <c r="G2677" s="379"/>
      <c r="H2677" s="379"/>
      <c r="I2677" s="379"/>
      <c r="J2677" s="379"/>
      <c r="K2677" s="379"/>
      <c r="L2677" s="379"/>
      <c r="M2677" s="379"/>
      <c r="N2677" s="379"/>
      <c r="O2677" s="379"/>
      <c r="P2677" s="379"/>
      <c r="Q2677" s="379"/>
      <c r="R2677" s="379"/>
      <c r="S2677" s="379"/>
      <c r="T2677" s="379"/>
      <c r="U2677" s="379"/>
      <c r="V2677" s="379"/>
      <c r="W2677" s="379"/>
      <c r="X2677" s="379"/>
      <c r="Y2677" s="379"/>
      <c r="Z2677" s="379"/>
      <c r="AA2677" s="379"/>
      <c r="AB2677" s="379"/>
      <c r="AC2677" s="379"/>
      <c r="AD2677" s="379"/>
      <c r="AE2677" s="379"/>
      <c r="AF2677" s="379"/>
      <c r="AG2677" s="379"/>
      <c r="AH2677" s="379"/>
      <c r="AI2677" s="379"/>
      <c r="AJ2677" s="379"/>
      <c r="AK2677" s="379"/>
      <c r="AL2677" s="379"/>
      <c r="AM2677" s="379"/>
      <c r="AN2677" s="379"/>
      <c r="AO2677" s="379"/>
      <c r="AP2677" s="379"/>
      <c r="AQ2677" s="379"/>
      <c r="AR2677" s="379"/>
      <c r="AS2677" s="379"/>
      <c r="AT2677" s="379"/>
      <c r="AU2677" s="379"/>
      <c r="AV2677" s="379"/>
      <c r="AW2677" s="379"/>
      <c r="AX2677" s="379"/>
      <c r="AY2677" s="379"/>
      <c r="AZ2677" s="379"/>
      <c r="BA2677" s="379"/>
      <c r="BB2677" s="379"/>
      <c r="BC2677" s="379"/>
      <c r="BD2677" s="379"/>
      <c r="BE2677" s="379"/>
      <c r="BF2677" s="379"/>
      <c r="BG2677" s="379"/>
      <c r="BH2677" s="379"/>
      <c r="BI2677" s="379"/>
      <c r="BJ2677" s="379"/>
      <c r="BK2677" s="379"/>
      <c r="BL2677" s="379"/>
      <c r="BM2677" s="379"/>
      <c r="BN2677" s="379"/>
      <c r="BO2677" s="379"/>
      <c r="BP2677" s="379"/>
      <c r="BQ2677" s="379"/>
      <c r="BR2677" s="379"/>
      <c r="BS2677" s="379"/>
      <c r="BT2677" s="379"/>
      <c r="BU2677" s="379"/>
      <c r="BV2677" s="379"/>
      <c r="BW2677" s="379"/>
      <c r="BX2677" s="379"/>
      <c r="BY2677" s="379"/>
      <c r="BZ2677" s="379"/>
      <c r="CA2677" s="281"/>
      <c r="CB2677" s="3" t="str">
        <f t="shared" si="478"/>
        <v>Riadok bude skrytý.</v>
      </c>
      <c r="CC2677" s="271" t="s">
        <v>832</v>
      </c>
      <c r="CW2677" s="30">
        <f t="shared" si="475"/>
        <v>1</v>
      </c>
      <c r="CX2677" s="30">
        <f t="shared" si="476"/>
        <v>0</v>
      </c>
      <c r="CZ2677" s="30">
        <f t="shared" si="479"/>
        <v>1</v>
      </c>
      <c r="DA2677" s="52">
        <f t="shared" si="477"/>
        <v>0</v>
      </c>
      <c r="DB2677" s="2">
        <f t="shared" si="474"/>
        <v>0</v>
      </c>
      <c r="DS2677" s="130">
        <f>SI!BY2677</f>
        <v>162</v>
      </c>
      <c r="DZ2677" s="131">
        <f>SI!BZ2677</f>
        <v>0</v>
      </c>
    </row>
    <row r="2678" spans="1:130" hidden="1" x14ac:dyDescent="0.25">
      <c r="A2678" s="141"/>
      <c r="B2678" s="379"/>
      <c r="C2678" s="379"/>
      <c r="D2678" s="379"/>
      <c r="E2678" s="379"/>
      <c r="F2678" s="379"/>
      <c r="G2678" s="379"/>
      <c r="H2678" s="379"/>
      <c r="I2678" s="379"/>
      <c r="J2678" s="379"/>
      <c r="K2678" s="379"/>
      <c r="L2678" s="379"/>
      <c r="M2678" s="379"/>
      <c r="N2678" s="379"/>
      <c r="O2678" s="379"/>
      <c r="P2678" s="379"/>
      <c r="Q2678" s="379"/>
      <c r="R2678" s="379"/>
      <c r="S2678" s="379"/>
      <c r="T2678" s="379"/>
      <c r="U2678" s="379"/>
      <c r="V2678" s="379"/>
      <c r="W2678" s="379"/>
      <c r="X2678" s="379"/>
      <c r="Y2678" s="379"/>
      <c r="Z2678" s="379"/>
      <c r="AA2678" s="379"/>
      <c r="AB2678" s="379"/>
      <c r="AC2678" s="379"/>
      <c r="AD2678" s="379"/>
      <c r="AE2678" s="379"/>
      <c r="AF2678" s="379"/>
      <c r="AG2678" s="379"/>
      <c r="AH2678" s="379"/>
      <c r="AI2678" s="379"/>
      <c r="AJ2678" s="379"/>
      <c r="AK2678" s="379"/>
      <c r="AL2678" s="379"/>
      <c r="AM2678" s="379"/>
      <c r="AN2678" s="379"/>
      <c r="AO2678" s="379"/>
      <c r="AP2678" s="379"/>
      <c r="AQ2678" s="379"/>
      <c r="AR2678" s="379"/>
      <c r="AS2678" s="379"/>
      <c r="AT2678" s="379"/>
      <c r="AU2678" s="379"/>
      <c r="AV2678" s="379"/>
      <c r="AW2678" s="379"/>
      <c r="AX2678" s="379"/>
      <c r="AY2678" s="379"/>
      <c r="AZ2678" s="379"/>
      <c r="BA2678" s="379"/>
      <c r="BB2678" s="379"/>
      <c r="BC2678" s="379"/>
      <c r="BD2678" s="379"/>
      <c r="BE2678" s="379"/>
      <c r="BF2678" s="379"/>
      <c r="BG2678" s="379"/>
      <c r="BH2678" s="379"/>
      <c r="BI2678" s="379"/>
      <c r="BJ2678" s="379"/>
      <c r="BK2678" s="379"/>
      <c r="BL2678" s="379"/>
      <c r="BM2678" s="379"/>
      <c r="BN2678" s="379"/>
      <c r="BO2678" s="379"/>
      <c r="BP2678" s="379"/>
      <c r="BQ2678" s="379"/>
      <c r="BR2678" s="379"/>
      <c r="BS2678" s="379"/>
      <c r="BT2678" s="379"/>
      <c r="BU2678" s="379"/>
      <c r="BV2678" s="379"/>
      <c r="BW2678" s="379"/>
      <c r="BX2678" s="379"/>
      <c r="BY2678" s="379"/>
      <c r="BZ2678" s="379"/>
      <c r="CA2678" s="281"/>
      <c r="CB2678" s="3" t="str">
        <f t="shared" si="478"/>
        <v>Riadok bude skrytý.</v>
      </c>
      <c r="CC2678" s="271" t="s">
        <v>832</v>
      </c>
      <c r="CW2678" s="30">
        <f t="shared" si="475"/>
        <v>1</v>
      </c>
      <c r="CX2678" s="30">
        <f t="shared" si="476"/>
        <v>0</v>
      </c>
      <c r="CZ2678" s="30">
        <f t="shared" si="479"/>
        <v>1</v>
      </c>
      <c r="DA2678" s="52">
        <f t="shared" si="477"/>
        <v>0</v>
      </c>
      <c r="DB2678" s="2">
        <f t="shared" si="474"/>
        <v>0</v>
      </c>
      <c r="DS2678" s="130">
        <f>SI!BY2678</f>
        <v>158</v>
      </c>
      <c r="DZ2678" s="131">
        <f>SI!BZ2678</f>
        <v>0</v>
      </c>
    </row>
    <row r="2679" spans="1:130" hidden="1" x14ac:dyDescent="0.25">
      <c r="A2679" s="141"/>
      <c r="B2679" s="379"/>
      <c r="C2679" s="379"/>
      <c r="D2679" s="379"/>
      <c r="E2679" s="379"/>
      <c r="F2679" s="379"/>
      <c r="G2679" s="379"/>
      <c r="H2679" s="379"/>
      <c r="I2679" s="379"/>
      <c r="J2679" s="379"/>
      <c r="K2679" s="379"/>
      <c r="L2679" s="379"/>
      <c r="M2679" s="379"/>
      <c r="N2679" s="379"/>
      <c r="O2679" s="379"/>
      <c r="P2679" s="379"/>
      <c r="Q2679" s="379"/>
      <c r="R2679" s="379"/>
      <c r="S2679" s="379"/>
      <c r="T2679" s="379"/>
      <c r="U2679" s="379"/>
      <c r="V2679" s="379"/>
      <c r="W2679" s="379"/>
      <c r="X2679" s="379"/>
      <c r="Y2679" s="379"/>
      <c r="Z2679" s="379"/>
      <c r="AA2679" s="379"/>
      <c r="AB2679" s="379"/>
      <c r="AC2679" s="379"/>
      <c r="AD2679" s="379"/>
      <c r="AE2679" s="379"/>
      <c r="AF2679" s="379"/>
      <c r="AG2679" s="379"/>
      <c r="AH2679" s="379"/>
      <c r="AI2679" s="379"/>
      <c r="AJ2679" s="379"/>
      <c r="AK2679" s="379"/>
      <c r="AL2679" s="379"/>
      <c r="AM2679" s="379"/>
      <c r="AN2679" s="379"/>
      <c r="AO2679" s="379"/>
      <c r="AP2679" s="379"/>
      <c r="AQ2679" s="379"/>
      <c r="AR2679" s="379"/>
      <c r="AS2679" s="379"/>
      <c r="AT2679" s="379"/>
      <c r="AU2679" s="379"/>
      <c r="AV2679" s="379"/>
      <c r="AW2679" s="379"/>
      <c r="AX2679" s="379"/>
      <c r="AY2679" s="379"/>
      <c r="AZ2679" s="379"/>
      <c r="BA2679" s="379"/>
      <c r="BB2679" s="379"/>
      <c r="BC2679" s="379"/>
      <c r="BD2679" s="379"/>
      <c r="BE2679" s="379"/>
      <c r="BF2679" s="379"/>
      <c r="BG2679" s="379"/>
      <c r="BH2679" s="379"/>
      <c r="BI2679" s="379"/>
      <c r="BJ2679" s="379"/>
      <c r="BK2679" s="379"/>
      <c r="BL2679" s="379"/>
      <c r="BM2679" s="379"/>
      <c r="BN2679" s="379"/>
      <c r="BO2679" s="379"/>
      <c r="BP2679" s="379"/>
      <c r="BQ2679" s="379"/>
      <c r="BR2679" s="379"/>
      <c r="BS2679" s="379"/>
      <c r="BT2679" s="379"/>
      <c r="BU2679" s="379"/>
      <c r="BV2679" s="379"/>
      <c r="BW2679" s="379"/>
      <c r="BX2679" s="379"/>
      <c r="BY2679" s="379"/>
      <c r="BZ2679" s="379"/>
      <c r="CA2679" s="281"/>
      <c r="CB2679" s="3" t="str">
        <f t="shared" si="478"/>
        <v>Riadok bude skrytý.</v>
      </c>
      <c r="CC2679" s="271" t="s">
        <v>832</v>
      </c>
      <c r="CW2679" s="30">
        <f t="shared" si="475"/>
        <v>1</v>
      </c>
      <c r="CX2679" s="30">
        <f t="shared" si="476"/>
        <v>0</v>
      </c>
      <c r="CZ2679" s="30">
        <f t="shared" si="479"/>
        <v>1</v>
      </c>
      <c r="DA2679" s="52">
        <f t="shared" si="477"/>
        <v>0</v>
      </c>
      <c r="DB2679" s="2">
        <f t="shared" si="474"/>
        <v>0</v>
      </c>
      <c r="DS2679" s="130">
        <f>SI!BY2679</f>
        <v>144</v>
      </c>
      <c r="DZ2679" s="131">
        <f>SI!BZ2679</f>
        <v>0</v>
      </c>
    </row>
    <row r="2680" spans="1:130" hidden="1" x14ac:dyDescent="0.25">
      <c r="A2680" s="141"/>
      <c r="CA2680" s="270"/>
      <c r="CB2680" s="3" t="str">
        <f t="shared" si="478"/>
        <v>Riadok bude skrytý.</v>
      </c>
      <c r="CC2680" s="271" t="s">
        <v>832</v>
      </c>
      <c r="CD2680" s="14"/>
      <c r="CF2680" s="13"/>
      <c r="CW2680" s="30">
        <f t="shared" si="475"/>
        <v>1</v>
      </c>
      <c r="CZ2680" s="30">
        <f t="shared" si="479"/>
        <v>1</v>
      </c>
      <c r="DA2680" s="30">
        <f t="shared" ref="DA2680:DA2687" si="480">+IF(CW2680+CX2680+CY2680=0,0,IF(CZ2680=0,0,1))</f>
        <v>1</v>
      </c>
      <c r="DB2680" s="2">
        <f t="shared" si="474"/>
        <v>0</v>
      </c>
      <c r="DS2680" s="130">
        <f>SI!BY2680</f>
        <v>109</v>
      </c>
      <c r="DZ2680" s="131">
        <f>SI!BZ2680</f>
        <v>0</v>
      </c>
    </row>
    <row r="2681" spans="1:130" hidden="1" x14ac:dyDescent="0.25">
      <c r="A2681" s="141"/>
      <c r="B2681" s="137" t="str">
        <f>+IF($Q$52&lt;&gt;"",IF((CODE(MID($Q$52,1,1)))*(GCD(121,132))*0+(LEN(SI!J5)+LEN(SI!J6))=DS2681,"Prehľad o výnosoch pri aktivácii nákladov, výnosov z hospodárskej činnosti, finančnej činnosti a ","NEPOVOLENÉ POUŽITIE!"),"NEPOVOLENÉ POUŽITIE!")</f>
        <v xml:space="preserve">Prehľad o výnosoch pri aktivácii nákladov, výnosov z hospodárskej činnosti, finančnej činnosti a </v>
      </c>
      <c r="CA2681" s="281"/>
      <c r="CB2681" s="3" t="str">
        <f t="shared" si="478"/>
        <v>Riadok bude skrytý.</v>
      </c>
      <c r="CC2681" s="271" t="s">
        <v>832</v>
      </c>
      <c r="CW2681" s="30">
        <f t="shared" si="475"/>
        <v>1</v>
      </c>
      <c r="CZ2681" s="30">
        <f t="shared" si="479"/>
        <v>1</v>
      </c>
      <c r="DA2681" s="30">
        <f t="shared" si="480"/>
        <v>1</v>
      </c>
      <c r="DB2681" s="2">
        <f t="shared" si="474"/>
        <v>0</v>
      </c>
      <c r="DS2681" s="130">
        <f>SI!BY2681</f>
        <v>20</v>
      </c>
      <c r="DZ2681" s="131">
        <f>SI!BZ2681</f>
        <v>0</v>
      </c>
    </row>
    <row r="2682" spans="1:130" hidden="1" x14ac:dyDescent="0.25">
      <c r="A2682" s="141"/>
      <c r="B2682" s="137" t="str">
        <f>+IF($I$52&lt;&gt;"",IF((ROUNDDOWN(CODE(MID($I$52,1,1))*3,0)+DAY(36167))*(IF(SI!EE2682="",1,SI!EE2682-1))+(2*LEN(SI!J3))=DS2682,"výnosov majúcich výnimočný rozsah alebo výskyt je uvedený v tabuľke:","NEPOVOLENÉ POUŽITIE!"),"NEPOVOLENÉ POUŽITIE!")</f>
        <v>výnosov majúcich výnimočný rozsah alebo výskyt je uvedený v tabuľke:</v>
      </c>
      <c r="CA2682" s="281"/>
      <c r="CB2682" s="3" t="str">
        <f t="shared" si="478"/>
        <v>Riadok bude skrytý.</v>
      </c>
      <c r="CC2682" s="271" t="s">
        <v>832</v>
      </c>
      <c r="CW2682" s="30">
        <f t="shared" si="475"/>
        <v>1</v>
      </c>
      <c r="CZ2682" s="30">
        <f t="shared" si="479"/>
        <v>1</v>
      </c>
      <c r="DA2682" s="30">
        <f t="shared" si="480"/>
        <v>1</v>
      </c>
      <c r="DB2682" s="2">
        <f t="shared" si="474"/>
        <v>0</v>
      </c>
      <c r="DS2682" s="130">
        <f>SI!BY2682</f>
        <v>10</v>
      </c>
      <c r="DZ2682" s="131">
        <f>SI!BZ2682</f>
        <v>0</v>
      </c>
    </row>
    <row r="2683" spans="1:130" hidden="1" x14ac:dyDescent="0.25">
      <c r="A2683" s="141"/>
      <c r="CA2683" s="281"/>
      <c r="CB2683" s="3" t="str">
        <f t="shared" si="478"/>
        <v>Riadok bude skrytý.</v>
      </c>
      <c r="CC2683" s="271" t="s">
        <v>832</v>
      </c>
      <c r="CW2683" s="30">
        <f t="shared" si="475"/>
        <v>1</v>
      </c>
      <c r="CZ2683" s="30">
        <f t="shared" si="479"/>
        <v>1</v>
      </c>
      <c r="DA2683" s="30">
        <f t="shared" si="480"/>
        <v>1</v>
      </c>
      <c r="DB2683" s="2">
        <f t="shared" si="474"/>
        <v>0</v>
      </c>
      <c r="DS2683" s="130">
        <f>SI!BY2683</f>
        <v>114</v>
      </c>
      <c r="DZ2683" s="131">
        <f>SI!BZ2683</f>
        <v>0</v>
      </c>
    </row>
    <row r="2684" spans="1:130" ht="14.95" hidden="1" customHeight="1" x14ac:dyDescent="0.25">
      <c r="A2684" s="141"/>
      <c r="B2684" s="439" t="s">
        <v>171</v>
      </c>
      <c r="C2684" s="440"/>
      <c r="D2684" s="440"/>
      <c r="E2684" s="440"/>
      <c r="F2684" s="440"/>
      <c r="G2684" s="440"/>
      <c r="H2684" s="440"/>
      <c r="I2684" s="440"/>
      <c r="J2684" s="440"/>
      <c r="K2684" s="440"/>
      <c r="L2684" s="440"/>
      <c r="M2684" s="440"/>
      <c r="N2684" s="440"/>
      <c r="O2684" s="440"/>
      <c r="P2684" s="440"/>
      <c r="Q2684" s="440"/>
      <c r="R2684" s="440"/>
      <c r="S2684" s="440"/>
      <c r="T2684" s="440"/>
      <c r="U2684" s="440"/>
      <c r="V2684" s="440"/>
      <c r="W2684" s="440"/>
      <c r="X2684" s="440"/>
      <c r="Y2684" s="440"/>
      <c r="Z2684" s="440"/>
      <c r="AA2684" s="440"/>
      <c r="AB2684" s="440"/>
      <c r="AC2684" s="440"/>
      <c r="AD2684" s="440"/>
      <c r="AE2684" s="440"/>
      <c r="AF2684" s="440"/>
      <c r="AG2684" s="440"/>
      <c r="AH2684" s="440"/>
      <c r="AI2684" s="440"/>
      <c r="AJ2684" s="440"/>
      <c r="AK2684" s="441"/>
      <c r="AL2684" s="1434">
        <f>+AJ141</f>
        <v>2021</v>
      </c>
      <c r="AM2684" s="1435"/>
      <c r="AN2684" s="1435"/>
      <c r="AO2684" s="1435"/>
      <c r="AP2684" s="1435"/>
      <c r="AQ2684" s="1435"/>
      <c r="AR2684" s="1435"/>
      <c r="AS2684" s="1435"/>
      <c r="AT2684" s="1435"/>
      <c r="AU2684" s="1435"/>
      <c r="AV2684" s="1435"/>
      <c r="AW2684" s="1435"/>
      <c r="AX2684" s="1435"/>
      <c r="AY2684" s="1435"/>
      <c r="AZ2684" s="1435"/>
      <c r="BA2684" s="1435"/>
      <c r="BB2684" s="1435"/>
      <c r="BC2684" s="1435"/>
      <c r="BD2684" s="1435"/>
      <c r="BE2684" s="1435"/>
      <c r="BF2684" s="1436"/>
      <c r="BG2684" s="1437">
        <f>+BE141</f>
        <v>2020</v>
      </c>
      <c r="BH2684" s="1438"/>
      <c r="BI2684" s="1438"/>
      <c r="BJ2684" s="1438"/>
      <c r="BK2684" s="1438"/>
      <c r="BL2684" s="1438"/>
      <c r="BM2684" s="1438"/>
      <c r="BN2684" s="1438"/>
      <c r="BO2684" s="1438"/>
      <c r="BP2684" s="1438"/>
      <c r="BQ2684" s="1438"/>
      <c r="BR2684" s="1438"/>
      <c r="BS2684" s="1438"/>
      <c r="BT2684" s="1438"/>
      <c r="BU2684" s="1438"/>
      <c r="BV2684" s="1438"/>
      <c r="BW2684" s="1438"/>
      <c r="BX2684" s="1438"/>
      <c r="BY2684" s="1438"/>
      <c r="BZ2684" s="1439"/>
      <c r="CA2684" s="265" t="s">
        <v>773</v>
      </c>
      <c r="CB2684" s="3" t="str">
        <f t="shared" si="478"/>
        <v>Riadok bude skrytý.</v>
      </c>
      <c r="CC2684" s="271" t="s">
        <v>832</v>
      </c>
      <c r="CD2684" s="4"/>
      <c r="CE2684" s="4"/>
      <c r="CF2684" s="4"/>
      <c r="CG2684" s="4"/>
      <c r="CH2684" s="4"/>
      <c r="CI2684" s="4"/>
      <c r="CJ2684" s="4"/>
      <c r="CK2684" s="4"/>
      <c r="CL2684" s="4"/>
      <c r="CM2684" s="4"/>
      <c r="CN2684" s="4"/>
      <c r="CO2684" s="4"/>
      <c r="CW2684" s="30">
        <f t="shared" si="475"/>
        <v>1</v>
      </c>
      <c r="CZ2684" s="30">
        <f t="shared" si="479"/>
        <v>1</v>
      </c>
      <c r="DA2684" s="30">
        <f t="shared" si="480"/>
        <v>1</v>
      </c>
      <c r="DB2684" s="2">
        <f t="shared" si="474"/>
        <v>0</v>
      </c>
      <c r="DS2684" s="130">
        <f>SI!BY2684</f>
        <v>114</v>
      </c>
      <c r="DZ2684" s="131">
        <f>SI!BZ2684</f>
        <v>0</v>
      </c>
    </row>
    <row r="2685" spans="1:130" hidden="1" x14ac:dyDescent="0.25">
      <c r="A2685" s="141"/>
      <c r="B2685" s="442"/>
      <c r="C2685" s="443"/>
      <c r="D2685" s="443"/>
      <c r="E2685" s="443"/>
      <c r="F2685" s="443"/>
      <c r="G2685" s="443"/>
      <c r="H2685" s="443"/>
      <c r="I2685" s="443"/>
      <c r="J2685" s="443"/>
      <c r="K2685" s="443"/>
      <c r="L2685" s="443"/>
      <c r="M2685" s="443"/>
      <c r="N2685" s="443"/>
      <c r="O2685" s="443"/>
      <c r="P2685" s="443"/>
      <c r="Q2685" s="443"/>
      <c r="R2685" s="443"/>
      <c r="S2685" s="443"/>
      <c r="T2685" s="443"/>
      <c r="U2685" s="443"/>
      <c r="V2685" s="443"/>
      <c r="W2685" s="443"/>
      <c r="X2685" s="443"/>
      <c r="Y2685" s="443"/>
      <c r="Z2685" s="443"/>
      <c r="AA2685" s="443"/>
      <c r="AB2685" s="443"/>
      <c r="AC2685" s="443"/>
      <c r="AD2685" s="443"/>
      <c r="AE2685" s="443"/>
      <c r="AF2685" s="443"/>
      <c r="AG2685" s="443"/>
      <c r="AH2685" s="443"/>
      <c r="AI2685" s="443"/>
      <c r="AJ2685" s="443"/>
      <c r="AK2685" s="444"/>
      <c r="AL2685" s="639"/>
      <c r="AM2685" s="640"/>
      <c r="AN2685" s="640"/>
      <c r="AO2685" s="640"/>
      <c r="AP2685" s="640"/>
      <c r="AQ2685" s="640"/>
      <c r="AR2685" s="640"/>
      <c r="AS2685" s="640"/>
      <c r="AT2685" s="640"/>
      <c r="AU2685" s="640"/>
      <c r="AV2685" s="640"/>
      <c r="AW2685" s="640"/>
      <c r="AX2685" s="640"/>
      <c r="AY2685" s="640"/>
      <c r="AZ2685" s="640"/>
      <c r="BA2685" s="640"/>
      <c r="BB2685" s="640"/>
      <c r="BC2685" s="640"/>
      <c r="BD2685" s="640"/>
      <c r="BE2685" s="640"/>
      <c r="BF2685" s="641"/>
      <c r="BG2685" s="1440"/>
      <c r="BH2685" s="1441"/>
      <c r="BI2685" s="1441"/>
      <c r="BJ2685" s="1441"/>
      <c r="BK2685" s="1441"/>
      <c r="BL2685" s="1441"/>
      <c r="BM2685" s="1441"/>
      <c r="BN2685" s="1441"/>
      <c r="BO2685" s="1441"/>
      <c r="BP2685" s="1441"/>
      <c r="BQ2685" s="1441"/>
      <c r="BR2685" s="1441"/>
      <c r="BS2685" s="1441"/>
      <c r="BT2685" s="1441"/>
      <c r="BU2685" s="1441"/>
      <c r="BV2685" s="1441"/>
      <c r="BW2685" s="1441"/>
      <c r="BX2685" s="1441"/>
      <c r="BY2685" s="1441"/>
      <c r="BZ2685" s="1442"/>
      <c r="CA2685" s="142"/>
      <c r="CB2685" s="3" t="str">
        <f t="shared" si="478"/>
        <v>Riadok bude skrytý.</v>
      </c>
      <c r="CC2685" s="271" t="s">
        <v>832</v>
      </c>
      <c r="CD2685" s="33"/>
      <c r="CW2685" s="30">
        <f t="shared" si="475"/>
        <v>1</v>
      </c>
      <c r="CZ2685" s="30">
        <f t="shared" si="479"/>
        <v>1</v>
      </c>
      <c r="DA2685" s="30">
        <f t="shared" si="480"/>
        <v>1</v>
      </c>
      <c r="DB2685" s="2">
        <f t="shared" si="474"/>
        <v>0</v>
      </c>
      <c r="DS2685" s="130">
        <f>SI!BY2685</f>
        <v>208</v>
      </c>
      <c r="DZ2685" s="131">
        <f>SI!BZ2685</f>
        <v>0</v>
      </c>
    </row>
    <row r="2686" spans="1:130" hidden="1" x14ac:dyDescent="0.25">
      <c r="A2686" s="141"/>
      <c r="B2686" s="401" t="s">
        <v>339</v>
      </c>
      <c r="C2686" s="402"/>
      <c r="D2686" s="402"/>
      <c r="E2686" s="402"/>
      <c r="F2686" s="402"/>
      <c r="G2686" s="402"/>
      <c r="H2686" s="402"/>
      <c r="I2686" s="402"/>
      <c r="J2686" s="402"/>
      <c r="K2686" s="402"/>
      <c r="L2686" s="402"/>
      <c r="M2686" s="402"/>
      <c r="N2686" s="402"/>
      <c r="O2686" s="402"/>
      <c r="P2686" s="402"/>
      <c r="Q2686" s="402"/>
      <c r="R2686" s="402"/>
      <c r="S2686" s="402"/>
      <c r="T2686" s="402"/>
      <c r="U2686" s="402"/>
      <c r="V2686" s="402"/>
      <c r="W2686" s="402"/>
      <c r="X2686" s="402"/>
      <c r="Y2686" s="402"/>
      <c r="Z2686" s="402"/>
      <c r="AA2686" s="402"/>
      <c r="AB2686" s="402"/>
      <c r="AC2686" s="402"/>
      <c r="AD2686" s="402"/>
      <c r="AE2686" s="402"/>
      <c r="AF2686" s="402"/>
      <c r="AG2686" s="402"/>
      <c r="AH2686" s="402"/>
      <c r="AI2686" s="402"/>
      <c r="AJ2686" s="402"/>
      <c r="AK2686" s="776"/>
      <c r="AL2686" s="1152">
        <f>+SUM(AL2687:BF2696)</f>
        <v>0</v>
      </c>
      <c r="AM2686" s="1153"/>
      <c r="AN2686" s="1153"/>
      <c r="AO2686" s="1153"/>
      <c r="AP2686" s="1153"/>
      <c r="AQ2686" s="1153"/>
      <c r="AR2686" s="1153"/>
      <c r="AS2686" s="1153"/>
      <c r="AT2686" s="1153"/>
      <c r="AU2686" s="1153"/>
      <c r="AV2686" s="1153"/>
      <c r="AW2686" s="1153"/>
      <c r="AX2686" s="1153"/>
      <c r="AY2686" s="1153"/>
      <c r="AZ2686" s="1153"/>
      <c r="BA2686" s="1153"/>
      <c r="BB2686" s="1153"/>
      <c r="BC2686" s="1153"/>
      <c r="BD2686" s="1153"/>
      <c r="BE2686" s="1153"/>
      <c r="BF2686" s="1154"/>
      <c r="BG2686" s="1152">
        <f>+SUM(BG2687:BZ2696)</f>
        <v>0</v>
      </c>
      <c r="BH2686" s="1153"/>
      <c r="BI2686" s="1153"/>
      <c r="BJ2686" s="1153"/>
      <c r="BK2686" s="1153"/>
      <c r="BL2686" s="1153"/>
      <c r="BM2686" s="1153"/>
      <c r="BN2686" s="1153"/>
      <c r="BO2686" s="1153"/>
      <c r="BP2686" s="1153"/>
      <c r="BQ2686" s="1153"/>
      <c r="BR2686" s="1153"/>
      <c r="BS2686" s="1153"/>
      <c r="BT2686" s="1153"/>
      <c r="BU2686" s="1153"/>
      <c r="BV2686" s="1153"/>
      <c r="BW2686" s="1153"/>
      <c r="BX2686" s="1153"/>
      <c r="BY2686" s="1153"/>
      <c r="BZ2686" s="1154"/>
      <c r="CA2686" s="142"/>
      <c r="CB2686" s="3" t="str">
        <f t="shared" si="478"/>
        <v>Riadok bude skrytý.</v>
      </c>
      <c r="CC2686" s="271" t="s">
        <v>832</v>
      </c>
      <c r="CW2686" s="30">
        <f t="shared" si="475"/>
        <v>1</v>
      </c>
      <c r="CZ2686" s="30">
        <f t="shared" si="479"/>
        <v>1</v>
      </c>
      <c r="DA2686" s="30">
        <f t="shared" si="480"/>
        <v>1</v>
      </c>
      <c r="DB2686" s="2">
        <f t="shared" si="474"/>
        <v>0</v>
      </c>
      <c r="DS2686" s="130">
        <f>SI!BY2686</f>
        <v>152</v>
      </c>
      <c r="DZ2686" s="131">
        <f>SI!BZ2686</f>
        <v>0</v>
      </c>
    </row>
    <row r="2687" spans="1:130" hidden="1" x14ac:dyDescent="0.25">
      <c r="A2687" s="141"/>
      <c r="B2687" s="1158"/>
      <c r="C2687" s="1159"/>
      <c r="D2687" s="1159"/>
      <c r="E2687" s="1159"/>
      <c r="F2687" s="1159"/>
      <c r="G2687" s="1159"/>
      <c r="H2687" s="1159"/>
      <c r="I2687" s="1159"/>
      <c r="J2687" s="1159"/>
      <c r="K2687" s="1159"/>
      <c r="L2687" s="1159"/>
      <c r="M2687" s="1159"/>
      <c r="N2687" s="1159"/>
      <c r="O2687" s="1159"/>
      <c r="P2687" s="1159"/>
      <c r="Q2687" s="1159"/>
      <c r="R2687" s="1159"/>
      <c r="S2687" s="1159"/>
      <c r="T2687" s="1159"/>
      <c r="U2687" s="1159"/>
      <c r="V2687" s="1159"/>
      <c r="W2687" s="1159"/>
      <c r="X2687" s="1159"/>
      <c r="Y2687" s="1159"/>
      <c r="Z2687" s="1159"/>
      <c r="AA2687" s="1159"/>
      <c r="AB2687" s="1159"/>
      <c r="AC2687" s="1159"/>
      <c r="AD2687" s="1159"/>
      <c r="AE2687" s="1159"/>
      <c r="AF2687" s="1159"/>
      <c r="AG2687" s="1159"/>
      <c r="AH2687" s="1159"/>
      <c r="AI2687" s="1159"/>
      <c r="AJ2687" s="1159"/>
      <c r="AK2687" s="1160"/>
      <c r="AL2687" s="1179"/>
      <c r="AM2687" s="1180"/>
      <c r="AN2687" s="1180"/>
      <c r="AO2687" s="1180"/>
      <c r="AP2687" s="1180"/>
      <c r="AQ2687" s="1180"/>
      <c r="AR2687" s="1180"/>
      <c r="AS2687" s="1180"/>
      <c r="AT2687" s="1180"/>
      <c r="AU2687" s="1180"/>
      <c r="AV2687" s="1180"/>
      <c r="AW2687" s="1180"/>
      <c r="AX2687" s="1180"/>
      <c r="AY2687" s="1180"/>
      <c r="AZ2687" s="1180"/>
      <c r="BA2687" s="1180"/>
      <c r="BB2687" s="1180"/>
      <c r="BC2687" s="1180"/>
      <c r="BD2687" s="1180"/>
      <c r="BE2687" s="1180"/>
      <c r="BF2687" s="1181"/>
      <c r="BG2687" s="1179"/>
      <c r="BH2687" s="1180"/>
      <c r="BI2687" s="1180"/>
      <c r="BJ2687" s="1180"/>
      <c r="BK2687" s="1180"/>
      <c r="BL2687" s="1180"/>
      <c r="BM2687" s="1180"/>
      <c r="BN2687" s="1180"/>
      <c r="BO2687" s="1180"/>
      <c r="BP2687" s="1180"/>
      <c r="BQ2687" s="1180"/>
      <c r="BR2687" s="1180"/>
      <c r="BS2687" s="1180"/>
      <c r="BT2687" s="1180"/>
      <c r="BU2687" s="1180"/>
      <c r="BV2687" s="1180"/>
      <c r="BW2687" s="1180"/>
      <c r="BX2687" s="1180"/>
      <c r="BY2687" s="1180"/>
      <c r="BZ2687" s="1181"/>
      <c r="CA2687" s="142"/>
      <c r="CB2687" s="3" t="str">
        <f t="shared" si="478"/>
        <v>Riadok bude skrytý.</v>
      </c>
      <c r="CC2687" s="271" t="s">
        <v>832</v>
      </c>
      <c r="CW2687" s="30">
        <f t="shared" si="475"/>
        <v>1</v>
      </c>
      <c r="CZ2687" s="30">
        <f t="shared" si="479"/>
        <v>1</v>
      </c>
      <c r="DA2687" s="30">
        <f t="shared" si="480"/>
        <v>1</v>
      </c>
      <c r="DB2687" s="2">
        <f t="shared" si="474"/>
        <v>0</v>
      </c>
      <c r="DS2687" s="130">
        <f>SI!BY2687</f>
        <v>190</v>
      </c>
      <c r="DZ2687" s="131">
        <f>SI!BZ2687</f>
        <v>0</v>
      </c>
    </row>
    <row r="2688" spans="1:130" hidden="1" x14ac:dyDescent="0.25">
      <c r="A2688" s="141"/>
      <c r="B2688" s="1158"/>
      <c r="C2688" s="1159"/>
      <c r="D2688" s="1159"/>
      <c r="E2688" s="1159"/>
      <c r="F2688" s="1159"/>
      <c r="G2688" s="1159"/>
      <c r="H2688" s="1159"/>
      <c r="I2688" s="1159"/>
      <c r="J2688" s="1159"/>
      <c r="K2688" s="1159"/>
      <c r="L2688" s="1159"/>
      <c r="M2688" s="1159"/>
      <c r="N2688" s="1159"/>
      <c r="O2688" s="1159"/>
      <c r="P2688" s="1159"/>
      <c r="Q2688" s="1159"/>
      <c r="R2688" s="1159"/>
      <c r="S2688" s="1159"/>
      <c r="T2688" s="1159"/>
      <c r="U2688" s="1159"/>
      <c r="V2688" s="1159"/>
      <c r="W2688" s="1159"/>
      <c r="X2688" s="1159"/>
      <c r="Y2688" s="1159"/>
      <c r="Z2688" s="1159"/>
      <c r="AA2688" s="1159"/>
      <c r="AB2688" s="1159"/>
      <c r="AC2688" s="1159"/>
      <c r="AD2688" s="1159"/>
      <c r="AE2688" s="1159"/>
      <c r="AF2688" s="1159"/>
      <c r="AG2688" s="1159"/>
      <c r="AH2688" s="1159"/>
      <c r="AI2688" s="1159"/>
      <c r="AJ2688" s="1159"/>
      <c r="AK2688" s="1160"/>
      <c r="AL2688" s="1155"/>
      <c r="AM2688" s="1156"/>
      <c r="AN2688" s="1156"/>
      <c r="AO2688" s="1156"/>
      <c r="AP2688" s="1156"/>
      <c r="AQ2688" s="1156"/>
      <c r="AR2688" s="1156"/>
      <c r="AS2688" s="1156"/>
      <c r="AT2688" s="1156"/>
      <c r="AU2688" s="1156"/>
      <c r="AV2688" s="1156"/>
      <c r="AW2688" s="1156"/>
      <c r="AX2688" s="1156"/>
      <c r="AY2688" s="1156"/>
      <c r="AZ2688" s="1156"/>
      <c r="BA2688" s="1156"/>
      <c r="BB2688" s="1156"/>
      <c r="BC2688" s="1156"/>
      <c r="BD2688" s="1156"/>
      <c r="BE2688" s="1156"/>
      <c r="BF2688" s="1157"/>
      <c r="BG2688" s="1155"/>
      <c r="BH2688" s="1156"/>
      <c r="BI2688" s="1156"/>
      <c r="BJ2688" s="1156"/>
      <c r="BK2688" s="1156"/>
      <c r="BL2688" s="1156"/>
      <c r="BM2688" s="1156"/>
      <c r="BN2688" s="1156"/>
      <c r="BO2688" s="1156"/>
      <c r="BP2688" s="1156"/>
      <c r="BQ2688" s="1156"/>
      <c r="BR2688" s="1156"/>
      <c r="BS2688" s="1156"/>
      <c r="BT2688" s="1156"/>
      <c r="BU2688" s="1156"/>
      <c r="BV2688" s="1156"/>
      <c r="BW2688" s="1156"/>
      <c r="BX2688" s="1156"/>
      <c r="BY2688" s="1156"/>
      <c r="BZ2688" s="1157"/>
      <c r="CA2688" s="142"/>
      <c r="CB2688" s="3" t="str">
        <f t="shared" si="478"/>
        <v>Riadok bude skrytý.</v>
      </c>
      <c r="CC2688" s="271" t="s">
        <v>832</v>
      </c>
      <c r="CW2688" s="30">
        <f t="shared" si="475"/>
        <v>1</v>
      </c>
      <c r="CX2688" s="30">
        <f t="shared" ref="CX2688:CX2695" si="481">+IF(B2688="",0,1)</f>
        <v>0</v>
      </c>
      <c r="CZ2688" s="30">
        <f t="shared" si="479"/>
        <v>1</v>
      </c>
      <c r="DA2688" s="52">
        <f t="shared" ref="DA2688:DA2695" si="482">+IF(CW2688*CX2688=0,0,IF(CZ2688=0,0,1))</f>
        <v>0</v>
      </c>
      <c r="DB2688" s="2">
        <f t="shared" si="474"/>
        <v>0</v>
      </c>
      <c r="DS2688" s="130">
        <f>SI!BY2688</f>
        <v>133</v>
      </c>
      <c r="DZ2688" s="131">
        <f>SI!BZ2688</f>
        <v>0</v>
      </c>
    </row>
    <row r="2689" spans="1:130" hidden="1" x14ac:dyDescent="0.25">
      <c r="A2689" s="141"/>
      <c r="B2689" s="1158"/>
      <c r="C2689" s="1159"/>
      <c r="D2689" s="1159"/>
      <c r="E2689" s="1159"/>
      <c r="F2689" s="1159"/>
      <c r="G2689" s="1159"/>
      <c r="H2689" s="1159"/>
      <c r="I2689" s="1159"/>
      <c r="J2689" s="1159"/>
      <c r="K2689" s="1159"/>
      <c r="L2689" s="1159"/>
      <c r="M2689" s="1159"/>
      <c r="N2689" s="1159"/>
      <c r="O2689" s="1159"/>
      <c r="P2689" s="1159"/>
      <c r="Q2689" s="1159"/>
      <c r="R2689" s="1159"/>
      <c r="S2689" s="1159"/>
      <c r="T2689" s="1159"/>
      <c r="U2689" s="1159"/>
      <c r="V2689" s="1159"/>
      <c r="W2689" s="1159"/>
      <c r="X2689" s="1159"/>
      <c r="Y2689" s="1159"/>
      <c r="Z2689" s="1159"/>
      <c r="AA2689" s="1159"/>
      <c r="AB2689" s="1159"/>
      <c r="AC2689" s="1159"/>
      <c r="AD2689" s="1159"/>
      <c r="AE2689" s="1159"/>
      <c r="AF2689" s="1159"/>
      <c r="AG2689" s="1159"/>
      <c r="AH2689" s="1159"/>
      <c r="AI2689" s="1159"/>
      <c r="AJ2689" s="1159"/>
      <c r="AK2689" s="1160"/>
      <c r="AL2689" s="1155"/>
      <c r="AM2689" s="1156"/>
      <c r="AN2689" s="1156"/>
      <c r="AO2689" s="1156"/>
      <c r="AP2689" s="1156"/>
      <c r="AQ2689" s="1156"/>
      <c r="AR2689" s="1156"/>
      <c r="AS2689" s="1156"/>
      <c r="AT2689" s="1156"/>
      <c r="AU2689" s="1156"/>
      <c r="AV2689" s="1156"/>
      <c r="AW2689" s="1156"/>
      <c r="AX2689" s="1156"/>
      <c r="AY2689" s="1156"/>
      <c r="AZ2689" s="1156"/>
      <c r="BA2689" s="1156"/>
      <c r="BB2689" s="1156"/>
      <c r="BC2689" s="1156"/>
      <c r="BD2689" s="1156"/>
      <c r="BE2689" s="1156"/>
      <c r="BF2689" s="1157"/>
      <c r="BG2689" s="1155"/>
      <c r="BH2689" s="1156"/>
      <c r="BI2689" s="1156"/>
      <c r="BJ2689" s="1156"/>
      <c r="BK2689" s="1156"/>
      <c r="BL2689" s="1156"/>
      <c r="BM2689" s="1156"/>
      <c r="BN2689" s="1156"/>
      <c r="BO2689" s="1156"/>
      <c r="BP2689" s="1156"/>
      <c r="BQ2689" s="1156"/>
      <c r="BR2689" s="1156"/>
      <c r="BS2689" s="1156"/>
      <c r="BT2689" s="1156"/>
      <c r="BU2689" s="1156"/>
      <c r="BV2689" s="1156"/>
      <c r="BW2689" s="1156"/>
      <c r="BX2689" s="1156"/>
      <c r="BY2689" s="1156"/>
      <c r="BZ2689" s="1157"/>
      <c r="CA2689" s="142"/>
      <c r="CB2689" s="3" t="str">
        <f t="shared" si="478"/>
        <v>Riadok bude skrytý.</v>
      </c>
      <c r="CC2689" s="271" t="s">
        <v>832</v>
      </c>
      <c r="CW2689" s="30">
        <f t="shared" si="475"/>
        <v>1</v>
      </c>
      <c r="CX2689" s="30">
        <f t="shared" si="481"/>
        <v>0</v>
      </c>
      <c r="CZ2689" s="30">
        <f t="shared" si="479"/>
        <v>1</v>
      </c>
      <c r="DA2689" s="52">
        <f t="shared" si="482"/>
        <v>0</v>
      </c>
      <c r="DB2689" s="2">
        <f t="shared" si="474"/>
        <v>0</v>
      </c>
      <c r="DS2689" s="130">
        <f>SI!BY2689</f>
        <v>201</v>
      </c>
      <c r="DZ2689" s="131">
        <f>SI!BZ2689</f>
        <v>0</v>
      </c>
    </row>
    <row r="2690" spans="1:130" hidden="1" x14ac:dyDescent="0.25">
      <c r="A2690" s="141"/>
      <c r="B2690" s="1158"/>
      <c r="C2690" s="1159"/>
      <c r="D2690" s="1159"/>
      <c r="E2690" s="1159"/>
      <c r="F2690" s="1159"/>
      <c r="G2690" s="1159"/>
      <c r="H2690" s="1159"/>
      <c r="I2690" s="1159"/>
      <c r="J2690" s="1159"/>
      <c r="K2690" s="1159"/>
      <c r="L2690" s="1159"/>
      <c r="M2690" s="1159"/>
      <c r="N2690" s="1159"/>
      <c r="O2690" s="1159"/>
      <c r="P2690" s="1159"/>
      <c r="Q2690" s="1159"/>
      <c r="R2690" s="1159"/>
      <c r="S2690" s="1159"/>
      <c r="T2690" s="1159"/>
      <c r="U2690" s="1159"/>
      <c r="V2690" s="1159"/>
      <c r="W2690" s="1159"/>
      <c r="X2690" s="1159"/>
      <c r="Y2690" s="1159"/>
      <c r="Z2690" s="1159"/>
      <c r="AA2690" s="1159"/>
      <c r="AB2690" s="1159"/>
      <c r="AC2690" s="1159"/>
      <c r="AD2690" s="1159"/>
      <c r="AE2690" s="1159"/>
      <c r="AF2690" s="1159"/>
      <c r="AG2690" s="1159"/>
      <c r="AH2690" s="1159"/>
      <c r="AI2690" s="1159"/>
      <c r="AJ2690" s="1159"/>
      <c r="AK2690" s="1160"/>
      <c r="AL2690" s="1155"/>
      <c r="AM2690" s="1156"/>
      <c r="AN2690" s="1156"/>
      <c r="AO2690" s="1156"/>
      <c r="AP2690" s="1156"/>
      <c r="AQ2690" s="1156"/>
      <c r="AR2690" s="1156"/>
      <c r="AS2690" s="1156"/>
      <c r="AT2690" s="1156"/>
      <c r="AU2690" s="1156"/>
      <c r="AV2690" s="1156"/>
      <c r="AW2690" s="1156"/>
      <c r="AX2690" s="1156"/>
      <c r="AY2690" s="1156"/>
      <c r="AZ2690" s="1156"/>
      <c r="BA2690" s="1156"/>
      <c r="BB2690" s="1156"/>
      <c r="BC2690" s="1156"/>
      <c r="BD2690" s="1156"/>
      <c r="BE2690" s="1156"/>
      <c r="BF2690" s="1157"/>
      <c r="BG2690" s="1155"/>
      <c r="BH2690" s="1156"/>
      <c r="BI2690" s="1156"/>
      <c r="BJ2690" s="1156"/>
      <c r="BK2690" s="1156"/>
      <c r="BL2690" s="1156"/>
      <c r="BM2690" s="1156"/>
      <c r="BN2690" s="1156"/>
      <c r="BO2690" s="1156"/>
      <c r="BP2690" s="1156"/>
      <c r="BQ2690" s="1156"/>
      <c r="BR2690" s="1156"/>
      <c r="BS2690" s="1156"/>
      <c r="BT2690" s="1156"/>
      <c r="BU2690" s="1156"/>
      <c r="BV2690" s="1156"/>
      <c r="BW2690" s="1156"/>
      <c r="BX2690" s="1156"/>
      <c r="BY2690" s="1156"/>
      <c r="BZ2690" s="1157"/>
      <c r="CA2690" s="142"/>
      <c r="CB2690" s="3" t="str">
        <f t="shared" si="478"/>
        <v>Riadok bude skrytý.</v>
      </c>
      <c r="CC2690" s="271" t="s">
        <v>832</v>
      </c>
      <c r="CW2690" s="30">
        <f t="shared" si="475"/>
        <v>1</v>
      </c>
      <c r="CX2690" s="30">
        <f t="shared" si="481"/>
        <v>0</v>
      </c>
      <c r="CZ2690" s="30">
        <f t="shared" si="479"/>
        <v>1</v>
      </c>
      <c r="DA2690" s="52">
        <f t="shared" si="482"/>
        <v>0</v>
      </c>
      <c r="DB2690" s="2">
        <f t="shared" si="474"/>
        <v>0</v>
      </c>
      <c r="DS2690" s="130">
        <f>SI!BY2690</f>
        <v>135</v>
      </c>
      <c r="DZ2690" s="131">
        <f>SI!BZ2690</f>
        <v>0</v>
      </c>
    </row>
    <row r="2691" spans="1:130" hidden="1" x14ac:dyDescent="0.25">
      <c r="A2691" s="141"/>
      <c r="B2691" s="1158"/>
      <c r="C2691" s="1159"/>
      <c r="D2691" s="1159"/>
      <c r="E2691" s="1159"/>
      <c r="F2691" s="1159"/>
      <c r="G2691" s="1159"/>
      <c r="H2691" s="1159"/>
      <c r="I2691" s="1159"/>
      <c r="J2691" s="1159"/>
      <c r="K2691" s="1159"/>
      <c r="L2691" s="1159"/>
      <c r="M2691" s="1159"/>
      <c r="N2691" s="1159"/>
      <c r="O2691" s="1159"/>
      <c r="P2691" s="1159"/>
      <c r="Q2691" s="1159"/>
      <c r="R2691" s="1159"/>
      <c r="S2691" s="1159"/>
      <c r="T2691" s="1159"/>
      <c r="U2691" s="1159"/>
      <c r="V2691" s="1159"/>
      <c r="W2691" s="1159"/>
      <c r="X2691" s="1159"/>
      <c r="Y2691" s="1159"/>
      <c r="Z2691" s="1159"/>
      <c r="AA2691" s="1159"/>
      <c r="AB2691" s="1159"/>
      <c r="AC2691" s="1159"/>
      <c r="AD2691" s="1159"/>
      <c r="AE2691" s="1159"/>
      <c r="AF2691" s="1159"/>
      <c r="AG2691" s="1159"/>
      <c r="AH2691" s="1159"/>
      <c r="AI2691" s="1159"/>
      <c r="AJ2691" s="1159"/>
      <c r="AK2691" s="1160"/>
      <c r="AL2691" s="1155"/>
      <c r="AM2691" s="1156"/>
      <c r="AN2691" s="1156"/>
      <c r="AO2691" s="1156"/>
      <c r="AP2691" s="1156"/>
      <c r="AQ2691" s="1156"/>
      <c r="AR2691" s="1156"/>
      <c r="AS2691" s="1156"/>
      <c r="AT2691" s="1156"/>
      <c r="AU2691" s="1156"/>
      <c r="AV2691" s="1156"/>
      <c r="AW2691" s="1156"/>
      <c r="AX2691" s="1156"/>
      <c r="AY2691" s="1156"/>
      <c r="AZ2691" s="1156"/>
      <c r="BA2691" s="1156"/>
      <c r="BB2691" s="1156"/>
      <c r="BC2691" s="1156"/>
      <c r="BD2691" s="1156"/>
      <c r="BE2691" s="1156"/>
      <c r="BF2691" s="1157"/>
      <c r="BG2691" s="1155"/>
      <c r="BH2691" s="1156"/>
      <c r="BI2691" s="1156"/>
      <c r="BJ2691" s="1156"/>
      <c r="BK2691" s="1156"/>
      <c r="BL2691" s="1156"/>
      <c r="BM2691" s="1156"/>
      <c r="BN2691" s="1156"/>
      <c r="BO2691" s="1156"/>
      <c r="BP2691" s="1156"/>
      <c r="BQ2691" s="1156"/>
      <c r="BR2691" s="1156"/>
      <c r="BS2691" s="1156"/>
      <c r="BT2691" s="1156"/>
      <c r="BU2691" s="1156"/>
      <c r="BV2691" s="1156"/>
      <c r="BW2691" s="1156"/>
      <c r="BX2691" s="1156"/>
      <c r="BY2691" s="1156"/>
      <c r="BZ2691" s="1157"/>
      <c r="CA2691" s="142"/>
      <c r="CB2691" s="3" t="str">
        <f t="shared" si="478"/>
        <v>Riadok bude skrytý.</v>
      </c>
      <c r="CC2691" s="271" t="s">
        <v>832</v>
      </c>
      <c r="CW2691" s="30">
        <f t="shared" si="475"/>
        <v>1</v>
      </c>
      <c r="CX2691" s="30">
        <f t="shared" si="481"/>
        <v>0</v>
      </c>
      <c r="CZ2691" s="30">
        <f t="shared" si="479"/>
        <v>1</v>
      </c>
      <c r="DA2691" s="52">
        <f t="shared" si="482"/>
        <v>0</v>
      </c>
      <c r="DB2691" s="2">
        <f t="shared" si="474"/>
        <v>0</v>
      </c>
      <c r="DS2691" s="130">
        <f>SI!BY2691</f>
        <v>124</v>
      </c>
      <c r="DZ2691" s="131">
        <f>SI!BZ2691</f>
        <v>0</v>
      </c>
    </row>
    <row r="2692" spans="1:130" hidden="1" x14ac:dyDescent="0.25">
      <c r="A2692" s="141"/>
      <c r="B2692" s="1158"/>
      <c r="C2692" s="1159"/>
      <c r="D2692" s="1159"/>
      <c r="E2692" s="1159"/>
      <c r="F2692" s="1159"/>
      <c r="G2692" s="1159"/>
      <c r="H2692" s="1159"/>
      <c r="I2692" s="1159"/>
      <c r="J2692" s="1159"/>
      <c r="K2692" s="1159"/>
      <c r="L2692" s="1159"/>
      <c r="M2692" s="1159"/>
      <c r="N2692" s="1159"/>
      <c r="O2692" s="1159"/>
      <c r="P2692" s="1159"/>
      <c r="Q2692" s="1159"/>
      <c r="R2692" s="1159"/>
      <c r="S2692" s="1159"/>
      <c r="T2692" s="1159"/>
      <c r="U2692" s="1159"/>
      <c r="V2692" s="1159"/>
      <c r="W2692" s="1159"/>
      <c r="X2692" s="1159"/>
      <c r="Y2692" s="1159"/>
      <c r="Z2692" s="1159"/>
      <c r="AA2692" s="1159"/>
      <c r="AB2692" s="1159"/>
      <c r="AC2692" s="1159"/>
      <c r="AD2692" s="1159"/>
      <c r="AE2692" s="1159"/>
      <c r="AF2692" s="1159"/>
      <c r="AG2692" s="1159"/>
      <c r="AH2692" s="1159"/>
      <c r="AI2692" s="1159"/>
      <c r="AJ2692" s="1159"/>
      <c r="AK2692" s="1160"/>
      <c r="AL2692" s="1155"/>
      <c r="AM2692" s="1156"/>
      <c r="AN2692" s="1156"/>
      <c r="AO2692" s="1156"/>
      <c r="AP2692" s="1156"/>
      <c r="AQ2692" s="1156"/>
      <c r="AR2692" s="1156"/>
      <c r="AS2692" s="1156"/>
      <c r="AT2692" s="1156"/>
      <c r="AU2692" s="1156"/>
      <c r="AV2692" s="1156"/>
      <c r="AW2692" s="1156"/>
      <c r="AX2692" s="1156"/>
      <c r="AY2692" s="1156"/>
      <c r="AZ2692" s="1156"/>
      <c r="BA2692" s="1156"/>
      <c r="BB2692" s="1156"/>
      <c r="BC2692" s="1156"/>
      <c r="BD2692" s="1156"/>
      <c r="BE2692" s="1156"/>
      <c r="BF2692" s="1157"/>
      <c r="BG2692" s="1155"/>
      <c r="BH2692" s="1156"/>
      <c r="BI2692" s="1156"/>
      <c r="BJ2692" s="1156"/>
      <c r="BK2692" s="1156"/>
      <c r="BL2692" s="1156"/>
      <c r="BM2692" s="1156"/>
      <c r="BN2692" s="1156"/>
      <c r="BO2692" s="1156"/>
      <c r="BP2692" s="1156"/>
      <c r="BQ2692" s="1156"/>
      <c r="BR2692" s="1156"/>
      <c r="BS2692" s="1156"/>
      <c r="BT2692" s="1156"/>
      <c r="BU2692" s="1156"/>
      <c r="BV2692" s="1156"/>
      <c r="BW2692" s="1156"/>
      <c r="BX2692" s="1156"/>
      <c r="BY2692" s="1156"/>
      <c r="BZ2692" s="1157"/>
      <c r="CA2692" s="142"/>
      <c r="CB2692" s="3" t="str">
        <f t="shared" si="478"/>
        <v>Riadok bude skrytý.</v>
      </c>
      <c r="CC2692" s="271" t="s">
        <v>832</v>
      </c>
      <c r="CW2692" s="30">
        <f t="shared" ref="CW2692:CW2723" si="483">+IF($J$2658="neúčtovala",0,1)</f>
        <v>1</v>
      </c>
      <c r="CX2692" s="30">
        <f t="shared" si="481"/>
        <v>0</v>
      </c>
      <c r="CZ2692" s="30">
        <f t="shared" si="479"/>
        <v>1</v>
      </c>
      <c r="DA2692" s="52">
        <f t="shared" si="482"/>
        <v>0</v>
      </c>
      <c r="DB2692" s="2">
        <f t="shared" si="474"/>
        <v>0</v>
      </c>
      <c r="DS2692" s="130">
        <f>SI!BY2692</f>
        <v>130</v>
      </c>
      <c r="DZ2692" s="131">
        <f>SI!BZ2692</f>
        <v>0</v>
      </c>
    </row>
    <row r="2693" spans="1:130" hidden="1" x14ac:dyDescent="0.25">
      <c r="A2693" s="141"/>
      <c r="B2693" s="1158"/>
      <c r="C2693" s="1159"/>
      <c r="D2693" s="1159"/>
      <c r="E2693" s="1159"/>
      <c r="F2693" s="1159"/>
      <c r="G2693" s="1159"/>
      <c r="H2693" s="1159"/>
      <c r="I2693" s="1159"/>
      <c r="J2693" s="1159"/>
      <c r="K2693" s="1159"/>
      <c r="L2693" s="1159"/>
      <c r="M2693" s="1159"/>
      <c r="N2693" s="1159"/>
      <c r="O2693" s="1159"/>
      <c r="P2693" s="1159"/>
      <c r="Q2693" s="1159"/>
      <c r="R2693" s="1159"/>
      <c r="S2693" s="1159"/>
      <c r="T2693" s="1159"/>
      <c r="U2693" s="1159"/>
      <c r="V2693" s="1159"/>
      <c r="W2693" s="1159"/>
      <c r="X2693" s="1159"/>
      <c r="Y2693" s="1159"/>
      <c r="Z2693" s="1159"/>
      <c r="AA2693" s="1159"/>
      <c r="AB2693" s="1159"/>
      <c r="AC2693" s="1159"/>
      <c r="AD2693" s="1159"/>
      <c r="AE2693" s="1159"/>
      <c r="AF2693" s="1159"/>
      <c r="AG2693" s="1159"/>
      <c r="AH2693" s="1159"/>
      <c r="AI2693" s="1159"/>
      <c r="AJ2693" s="1159"/>
      <c r="AK2693" s="1160"/>
      <c r="AL2693" s="1155"/>
      <c r="AM2693" s="1156"/>
      <c r="AN2693" s="1156"/>
      <c r="AO2693" s="1156"/>
      <c r="AP2693" s="1156"/>
      <c r="AQ2693" s="1156"/>
      <c r="AR2693" s="1156"/>
      <c r="AS2693" s="1156"/>
      <c r="AT2693" s="1156"/>
      <c r="AU2693" s="1156"/>
      <c r="AV2693" s="1156"/>
      <c r="AW2693" s="1156"/>
      <c r="AX2693" s="1156"/>
      <c r="AY2693" s="1156"/>
      <c r="AZ2693" s="1156"/>
      <c r="BA2693" s="1156"/>
      <c r="BB2693" s="1156"/>
      <c r="BC2693" s="1156"/>
      <c r="BD2693" s="1156"/>
      <c r="BE2693" s="1156"/>
      <c r="BF2693" s="1157"/>
      <c r="BG2693" s="1155"/>
      <c r="BH2693" s="1156"/>
      <c r="BI2693" s="1156"/>
      <c r="BJ2693" s="1156"/>
      <c r="BK2693" s="1156"/>
      <c r="BL2693" s="1156"/>
      <c r="BM2693" s="1156"/>
      <c r="BN2693" s="1156"/>
      <c r="BO2693" s="1156"/>
      <c r="BP2693" s="1156"/>
      <c r="BQ2693" s="1156"/>
      <c r="BR2693" s="1156"/>
      <c r="BS2693" s="1156"/>
      <c r="BT2693" s="1156"/>
      <c r="BU2693" s="1156"/>
      <c r="BV2693" s="1156"/>
      <c r="BW2693" s="1156"/>
      <c r="BX2693" s="1156"/>
      <c r="BY2693" s="1156"/>
      <c r="BZ2693" s="1157"/>
      <c r="CA2693" s="270"/>
      <c r="CB2693" s="3" t="str">
        <f t="shared" si="478"/>
        <v>Riadok bude skrytý.</v>
      </c>
      <c r="CC2693" s="271" t="s">
        <v>832</v>
      </c>
      <c r="CW2693" s="30">
        <f t="shared" si="483"/>
        <v>1</v>
      </c>
      <c r="CX2693" s="30">
        <f t="shared" si="481"/>
        <v>0</v>
      </c>
      <c r="CZ2693" s="30">
        <f t="shared" si="479"/>
        <v>1</v>
      </c>
      <c r="DA2693" s="52">
        <f t="shared" si="482"/>
        <v>0</v>
      </c>
      <c r="DB2693" s="2">
        <f t="shared" si="474"/>
        <v>0</v>
      </c>
      <c r="DS2693" s="130">
        <f>SI!BY2693</f>
        <v>2</v>
      </c>
      <c r="DZ2693" s="131">
        <f>SI!BZ2693</f>
        <v>0</v>
      </c>
    </row>
    <row r="2694" spans="1:130" hidden="1" x14ac:dyDescent="0.25">
      <c r="A2694" s="141"/>
      <c r="B2694" s="1158"/>
      <c r="C2694" s="1159"/>
      <c r="D2694" s="1159"/>
      <c r="E2694" s="1159"/>
      <c r="F2694" s="1159"/>
      <c r="G2694" s="1159"/>
      <c r="H2694" s="1159"/>
      <c r="I2694" s="1159"/>
      <c r="J2694" s="1159"/>
      <c r="K2694" s="1159"/>
      <c r="L2694" s="1159"/>
      <c r="M2694" s="1159"/>
      <c r="N2694" s="1159"/>
      <c r="O2694" s="1159"/>
      <c r="P2694" s="1159"/>
      <c r="Q2694" s="1159"/>
      <c r="R2694" s="1159"/>
      <c r="S2694" s="1159"/>
      <c r="T2694" s="1159"/>
      <c r="U2694" s="1159"/>
      <c r="V2694" s="1159"/>
      <c r="W2694" s="1159"/>
      <c r="X2694" s="1159"/>
      <c r="Y2694" s="1159"/>
      <c r="Z2694" s="1159"/>
      <c r="AA2694" s="1159"/>
      <c r="AB2694" s="1159"/>
      <c r="AC2694" s="1159"/>
      <c r="AD2694" s="1159"/>
      <c r="AE2694" s="1159"/>
      <c r="AF2694" s="1159"/>
      <c r="AG2694" s="1159"/>
      <c r="AH2694" s="1159"/>
      <c r="AI2694" s="1159"/>
      <c r="AJ2694" s="1159"/>
      <c r="AK2694" s="1160"/>
      <c r="AL2694" s="1155"/>
      <c r="AM2694" s="1156"/>
      <c r="AN2694" s="1156"/>
      <c r="AO2694" s="1156"/>
      <c r="AP2694" s="1156"/>
      <c r="AQ2694" s="1156"/>
      <c r="AR2694" s="1156"/>
      <c r="AS2694" s="1156"/>
      <c r="AT2694" s="1156"/>
      <c r="AU2694" s="1156"/>
      <c r="AV2694" s="1156"/>
      <c r="AW2694" s="1156"/>
      <c r="AX2694" s="1156"/>
      <c r="AY2694" s="1156"/>
      <c r="AZ2694" s="1156"/>
      <c r="BA2694" s="1156"/>
      <c r="BB2694" s="1156"/>
      <c r="BC2694" s="1156"/>
      <c r="BD2694" s="1156"/>
      <c r="BE2694" s="1156"/>
      <c r="BF2694" s="1157"/>
      <c r="BG2694" s="1155"/>
      <c r="BH2694" s="1156"/>
      <c r="BI2694" s="1156"/>
      <c r="BJ2694" s="1156"/>
      <c r="BK2694" s="1156"/>
      <c r="BL2694" s="1156"/>
      <c r="BM2694" s="1156"/>
      <c r="BN2694" s="1156"/>
      <c r="BO2694" s="1156"/>
      <c r="BP2694" s="1156"/>
      <c r="BQ2694" s="1156"/>
      <c r="BR2694" s="1156"/>
      <c r="BS2694" s="1156"/>
      <c r="BT2694" s="1156"/>
      <c r="BU2694" s="1156"/>
      <c r="BV2694" s="1156"/>
      <c r="BW2694" s="1156"/>
      <c r="BX2694" s="1156"/>
      <c r="BY2694" s="1156"/>
      <c r="BZ2694" s="1157"/>
      <c r="CA2694" s="270"/>
      <c r="CB2694" s="3" t="str">
        <f t="shared" si="478"/>
        <v>Riadok bude skrytý.</v>
      </c>
      <c r="CC2694" s="271" t="s">
        <v>832</v>
      </c>
      <c r="CW2694" s="30">
        <f t="shared" si="483"/>
        <v>1</v>
      </c>
      <c r="CX2694" s="30">
        <f t="shared" si="481"/>
        <v>0</v>
      </c>
      <c r="CZ2694" s="30">
        <f t="shared" si="479"/>
        <v>1</v>
      </c>
      <c r="DA2694" s="52">
        <f t="shared" si="482"/>
        <v>0</v>
      </c>
      <c r="DB2694" s="2">
        <f t="shared" si="474"/>
        <v>0</v>
      </c>
      <c r="DS2694" s="130">
        <f>SI!BY2694</f>
        <v>117</v>
      </c>
      <c r="DZ2694" s="131">
        <f>SI!BZ2694</f>
        <v>0</v>
      </c>
    </row>
    <row r="2695" spans="1:130" hidden="1" x14ac:dyDescent="0.25">
      <c r="A2695" s="141"/>
      <c r="B2695" s="1083"/>
      <c r="C2695" s="1084"/>
      <c r="D2695" s="1084"/>
      <c r="E2695" s="1084"/>
      <c r="F2695" s="1084"/>
      <c r="G2695" s="1084"/>
      <c r="H2695" s="1084"/>
      <c r="I2695" s="1084"/>
      <c r="J2695" s="1084"/>
      <c r="K2695" s="1084"/>
      <c r="L2695" s="1084"/>
      <c r="M2695" s="1084"/>
      <c r="N2695" s="1084"/>
      <c r="O2695" s="1084"/>
      <c r="P2695" s="1084"/>
      <c r="Q2695" s="1084"/>
      <c r="R2695" s="1084"/>
      <c r="S2695" s="1084"/>
      <c r="T2695" s="1084"/>
      <c r="U2695" s="1084"/>
      <c r="V2695" s="1084"/>
      <c r="W2695" s="1084"/>
      <c r="X2695" s="1084"/>
      <c r="Y2695" s="1084"/>
      <c r="Z2695" s="1084"/>
      <c r="AA2695" s="1084"/>
      <c r="AB2695" s="1084"/>
      <c r="AC2695" s="1084"/>
      <c r="AD2695" s="1084"/>
      <c r="AE2695" s="1084"/>
      <c r="AF2695" s="1084"/>
      <c r="AG2695" s="1084"/>
      <c r="AH2695" s="1084"/>
      <c r="AI2695" s="1084"/>
      <c r="AJ2695" s="1084"/>
      <c r="AK2695" s="1134"/>
      <c r="AL2695" s="1155"/>
      <c r="AM2695" s="1156"/>
      <c r="AN2695" s="1156"/>
      <c r="AO2695" s="1156"/>
      <c r="AP2695" s="1156"/>
      <c r="AQ2695" s="1156"/>
      <c r="AR2695" s="1156"/>
      <c r="AS2695" s="1156"/>
      <c r="AT2695" s="1156"/>
      <c r="AU2695" s="1156"/>
      <c r="AV2695" s="1156"/>
      <c r="AW2695" s="1156"/>
      <c r="AX2695" s="1156"/>
      <c r="AY2695" s="1156"/>
      <c r="AZ2695" s="1156"/>
      <c r="BA2695" s="1156"/>
      <c r="BB2695" s="1156"/>
      <c r="BC2695" s="1156"/>
      <c r="BD2695" s="1156"/>
      <c r="BE2695" s="1156"/>
      <c r="BF2695" s="1157"/>
      <c r="BG2695" s="1155"/>
      <c r="BH2695" s="1156"/>
      <c r="BI2695" s="1156"/>
      <c r="BJ2695" s="1156"/>
      <c r="BK2695" s="1156"/>
      <c r="BL2695" s="1156"/>
      <c r="BM2695" s="1156"/>
      <c r="BN2695" s="1156"/>
      <c r="BO2695" s="1156"/>
      <c r="BP2695" s="1156"/>
      <c r="BQ2695" s="1156"/>
      <c r="BR2695" s="1156"/>
      <c r="BS2695" s="1156"/>
      <c r="BT2695" s="1156"/>
      <c r="BU2695" s="1156"/>
      <c r="BV2695" s="1156"/>
      <c r="BW2695" s="1156"/>
      <c r="BX2695" s="1156"/>
      <c r="BY2695" s="1156"/>
      <c r="BZ2695" s="1157"/>
      <c r="CA2695" s="270"/>
      <c r="CB2695" s="3" t="str">
        <f t="shared" si="478"/>
        <v>Riadok bude skrytý.</v>
      </c>
      <c r="CC2695" s="271" t="s">
        <v>832</v>
      </c>
      <c r="CW2695" s="30">
        <f t="shared" si="483"/>
        <v>1</v>
      </c>
      <c r="CX2695" s="30">
        <f t="shared" si="481"/>
        <v>0</v>
      </c>
      <c r="CZ2695" s="30">
        <f t="shared" si="479"/>
        <v>1</v>
      </c>
      <c r="DA2695" s="52">
        <f t="shared" si="482"/>
        <v>0</v>
      </c>
      <c r="DB2695" s="2">
        <f t="shared" ref="DB2695:DB2758" si="484">+IF($CD$1="malé",0,DA2695)</f>
        <v>0</v>
      </c>
      <c r="DS2695" s="130">
        <f>SI!BY2695</f>
        <v>123</v>
      </c>
      <c r="DZ2695" s="131">
        <f>SI!BZ2695</f>
        <v>0</v>
      </c>
    </row>
    <row r="2696" spans="1:130" hidden="1" x14ac:dyDescent="0.25">
      <c r="A2696" s="141"/>
      <c r="B2696" s="1143"/>
      <c r="C2696" s="1144"/>
      <c r="D2696" s="1144"/>
      <c r="E2696" s="1144"/>
      <c r="F2696" s="1144"/>
      <c r="G2696" s="1144"/>
      <c r="H2696" s="1144"/>
      <c r="I2696" s="1144"/>
      <c r="J2696" s="1144"/>
      <c r="K2696" s="1144"/>
      <c r="L2696" s="1144"/>
      <c r="M2696" s="1144"/>
      <c r="N2696" s="1144"/>
      <c r="O2696" s="1144"/>
      <c r="P2696" s="1144"/>
      <c r="Q2696" s="1144"/>
      <c r="R2696" s="1144"/>
      <c r="S2696" s="1144"/>
      <c r="T2696" s="1144"/>
      <c r="U2696" s="1144"/>
      <c r="V2696" s="1144"/>
      <c r="W2696" s="1144"/>
      <c r="X2696" s="1144"/>
      <c r="Y2696" s="1144"/>
      <c r="Z2696" s="1144"/>
      <c r="AA2696" s="1144"/>
      <c r="AB2696" s="1144"/>
      <c r="AC2696" s="1144"/>
      <c r="AD2696" s="1144"/>
      <c r="AE2696" s="1144"/>
      <c r="AF2696" s="1144"/>
      <c r="AG2696" s="1144"/>
      <c r="AH2696" s="1144"/>
      <c r="AI2696" s="1144"/>
      <c r="AJ2696" s="1144"/>
      <c r="AK2696" s="1145"/>
      <c r="AL2696" s="1164"/>
      <c r="AM2696" s="1165"/>
      <c r="AN2696" s="1165"/>
      <c r="AO2696" s="1165"/>
      <c r="AP2696" s="1165"/>
      <c r="AQ2696" s="1165"/>
      <c r="AR2696" s="1165"/>
      <c r="AS2696" s="1165"/>
      <c r="AT2696" s="1165"/>
      <c r="AU2696" s="1165"/>
      <c r="AV2696" s="1165"/>
      <c r="AW2696" s="1165"/>
      <c r="AX2696" s="1165"/>
      <c r="AY2696" s="1165"/>
      <c r="AZ2696" s="1165"/>
      <c r="BA2696" s="1165"/>
      <c r="BB2696" s="1165"/>
      <c r="BC2696" s="1165"/>
      <c r="BD2696" s="1165"/>
      <c r="BE2696" s="1165"/>
      <c r="BF2696" s="1166"/>
      <c r="BG2696" s="1164"/>
      <c r="BH2696" s="1165"/>
      <c r="BI2696" s="1165"/>
      <c r="BJ2696" s="1165"/>
      <c r="BK2696" s="1165"/>
      <c r="BL2696" s="1165"/>
      <c r="BM2696" s="1165"/>
      <c r="BN2696" s="1165"/>
      <c r="BO2696" s="1165"/>
      <c r="BP2696" s="1165"/>
      <c r="BQ2696" s="1165"/>
      <c r="BR2696" s="1165"/>
      <c r="BS2696" s="1165"/>
      <c r="BT2696" s="1165"/>
      <c r="BU2696" s="1165"/>
      <c r="BV2696" s="1165"/>
      <c r="BW2696" s="1165"/>
      <c r="BX2696" s="1165"/>
      <c r="BY2696" s="1165"/>
      <c r="BZ2696" s="1166"/>
      <c r="CA2696" s="270"/>
      <c r="CB2696" s="3" t="str">
        <f t="shared" si="478"/>
        <v>Riadok bude skrytý.</v>
      </c>
      <c r="CC2696" s="271" t="s">
        <v>832</v>
      </c>
      <c r="CW2696" s="30">
        <f t="shared" si="483"/>
        <v>1</v>
      </c>
      <c r="CZ2696" s="30">
        <f>IF(CC2696="",1,IF(CC2696="Chcem skryť riadok.",0,1))</f>
        <v>1</v>
      </c>
      <c r="DA2696" s="30">
        <f>+IF(CW2696+CX2696+CY2696=0,0,IF(CZ2696=0,0,1))</f>
        <v>1</v>
      </c>
      <c r="DB2696" s="2">
        <f t="shared" si="484"/>
        <v>0</v>
      </c>
      <c r="DS2696" s="130">
        <f>SI!BY2696</f>
        <v>837</v>
      </c>
      <c r="DZ2696" s="131">
        <f>SI!BZ2696</f>
        <v>0</v>
      </c>
    </row>
    <row r="2697" spans="1:130" ht="23.95" hidden="1" customHeight="1" x14ac:dyDescent="0.25">
      <c r="A2697" s="141"/>
      <c r="B2697" s="1097" t="s">
        <v>340</v>
      </c>
      <c r="C2697" s="1098"/>
      <c r="D2697" s="1098"/>
      <c r="E2697" s="1098"/>
      <c r="F2697" s="1098"/>
      <c r="G2697" s="1098"/>
      <c r="H2697" s="1098"/>
      <c r="I2697" s="1098"/>
      <c r="J2697" s="1098"/>
      <c r="K2697" s="1098"/>
      <c r="L2697" s="1098"/>
      <c r="M2697" s="1098"/>
      <c r="N2697" s="1098"/>
      <c r="O2697" s="1098"/>
      <c r="P2697" s="1098"/>
      <c r="Q2697" s="1098"/>
      <c r="R2697" s="1098"/>
      <c r="S2697" s="1098"/>
      <c r="T2697" s="1098"/>
      <c r="U2697" s="1098"/>
      <c r="V2697" s="1098"/>
      <c r="W2697" s="1098"/>
      <c r="X2697" s="1098"/>
      <c r="Y2697" s="1098"/>
      <c r="Z2697" s="1098"/>
      <c r="AA2697" s="1098"/>
      <c r="AB2697" s="1098"/>
      <c r="AC2697" s="1098"/>
      <c r="AD2697" s="1098"/>
      <c r="AE2697" s="1098"/>
      <c r="AF2697" s="1098"/>
      <c r="AG2697" s="1098"/>
      <c r="AH2697" s="1098"/>
      <c r="AI2697" s="1098"/>
      <c r="AJ2697" s="1098"/>
      <c r="AK2697" s="1099"/>
      <c r="AL2697" s="1152">
        <f>+SUM(AL2698:BF2707)</f>
        <v>0</v>
      </c>
      <c r="AM2697" s="1153"/>
      <c r="AN2697" s="1153"/>
      <c r="AO2697" s="1153"/>
      <c r="AP2697" s="1153"/>
      <c r="AQ2697" s="1153"/>
      <c r="AR2697" s="1153"/>
      <c r="AS2697" s="1153"/>
      <c r="AT2697" s="1153"/>
      <c r="AU2697" s="1153"/>
      <c r="AV2697" s="1153"/>
      <c r="AW2697" s="1153"/>
      <c r="AX2697" s="1153"/>
      <c r="AY2697" s="1153"/>
      <c r="AZ2697" s="1153"/>
      <c r="BA2697" s="1153"/>
      <c r="BB2697" s="1153"/>
      <c r="BC2697" s="1153"/>
      <c r="BD2697" s="1153"/>
      <c r="BE2697" s="1153"/>
      <c r="BF2697" s="1154"/>
      <c r="BG2697" s="1152">
        <f>+SUM(BG2698:BZ2707)</f>
        <v>0</v>
      </c>
      <c r="BH2697" s="1153"/>
      <c r="BI2697" s="1153"/>
      <c r="BJ2697" s="1153"/>
      <c r="BK2697" s="1153"/>
      <c r="BL2697" s="1153"/>
      <c r="BM2697" s="1153"/>
      <c r="BN2697" s="1153"/>
      <c r="BO2697" s="1153"/>
      <c r="BP2697" s="1153"/>
      <c r="BQ2697" s="1153"/>
      <c r="BR2697" s="1153"/>
      <c r="BS2697" s="1153"/>
      <c r="BT2697" s="1153"/>
      <c r="BU2697" s="1153"/>
      <c r="BV2697" s="1153"/>
      <c r="BW2697" s="1153"/>
      <c r="BX2697" s="1153"/>
      <c r="BY2697" s="1153"/>
      <c r="BZ2697" s="1154"/>
      <c r="CA2697" s="142"/>
      <c r="CB2697" s="3" t="str">
        <f t="shared" si="478"/>
        <v>Riadok bude skrytý.</v>
      </c>
      <c r="CC2697" s="271" t="s">
        <v>832</v>
      </c>
      <c r="CW2697" s="30">
        <f t="shared" si="483"/>
        <v>1</v>
      </c>
      <c r="CZ2697" s="30">
        <f t="shared" si="479"/>
        <v>1</v>
      </c>
      <c r="DA2697" s="30">
        <f>+IF(CW2697+CX2697+CY2697=0,0,IF(CZ2697=0,0,1))</f>
        <v>1</v>
      </c>
      <c r="DB2697" s="2">
        <f t="shared" si="484"/>
        <v>0</v>
      </c>
      <c r="DS2697" s="130">
        <f>SI!BY2697</f>
        <v>103</v>
      </c>
      <c r="DZ2697" s="131">
        <f>SI!BZ2697</f>
        <v>0</v>
      </c>
    </row>
    <row r="2698" spans="1:130" hidden="1" x14ac:dyDescent="0.25">
      <c r="A2698" s="141"/>
      <c r="B2698" s="1149"/>
      <c r="C2698" s="1150"/>
      <c r="D2698" s="1150"/>
      <c r="E2698" s="1150"/>
      <c r="F2698" s="1150"/>
      <c r="G2698" s="1150"/>
      <c r="H2698" s="1150"/>
      <c r="I2698" s="1150"/>
      <c r="J2698" s="1150"/>
      <c r="K2698" s="1150"/>
      <c r="L2698" s="1150"/>
      <c r="M2698" s="1150"/>
      <c r="N2698" s="1150"/>
      <c r="O2698" s="1150"/>
      <c r="P2698" s="1150"/>
      <c r="Q2698" s="1150"/>
      <c r="R2698" s="1150"/>
      <c r="S2698" s="1150"/>
      <c r="T2698" s="1150"/>
      <c r="U2698" s="1150"/>
      <c r="V2698" s="1150"/>
      <c r="W2698" s="1150"/>
      <c r="X2698" s="1150"/>
      <c r="Y2698" s="1150"/>
      <c r="Z2698" s="1150"/>
      <c r="AA2698" s="1150"/>
      <c r="AB2698" s="1150"/>
      <c r="AC2698" s="1150"/>
      <c r="AD2698" s="1150"/>
      <c r="AE2698" s="1150"/>
      <c r="AF2698" s="1150"/>
      <c r="AG2698" s="1150"/>
      <c r="AH2698" s="1150"/>
      <c r="AI2698" s="1150"/>
      <c r="AJ2698" s="1150"/>
      <c r="AK2698" s="1151"/>
      <c r="AL2698" s="1179"/>
      <c r="AM2698" s="1180"/>
      <c r="AN2698" s="1180"/>
      <c r="AO2698" s="1180"/>
      <c r="AP2698" s="1180"/>
      <c r="AQ2698" s="1180"/>
      <c r="AR2698" s="1180"/>
      <c r="AS2698" s="1180"/>
      <c r="AT2698" s="1180"/>
      <c r="AU2698" s="1180"/>
      <c r="AV2698" s="1180"/>
      <c r="AW2698" s="1180"/>
      <c r="AX2698" s="1180"/>
      <c r="AY2698" s="1180"/>
      <c r="AZ2698" s="1180"/>
      <c r="BA2698" s="1180"/>
      <c r="BB2698" s="1180"/>
      <c r="BC2698" s="1180"/>
      <c r="BD2698" s="1180"/>
      <c r="BE2698" s="1180"/>
      <c r="BF2698" s="1181"/>
      <c r="BG2698" s="1179"/>
      <c r="BH2698" s="1180"/>
      <c r="BI2698" s="1180"/>
      <c r="BJ2698" s="1180"/>
      <c r="BK2698" s="1180"/>
      <c r="BL2698" s="1180"/>
      <c r="BM2698" s="1180"/>
      <c r="BN2698" s="1180"/>
      <c r="BO2698" s="1180"/>
      <c r="BP2698" s="1180"/>
      <c r="BQ2698" s="1180"/>
      <c r="BR2698" s="1180"/>
      <c r="BS2698" s="1180"/>
      <c r="BT2698" s="1180"/>
      <c r="BU2698" s="1180"/>
      <c r="BV2698" s="1180"/>
      <c r="BW2698" s="1180"/>
      <c r="BX2698" s="1180"/>
      <c r="BY2698" s="1180"/>
      <c r="BZ2698" s="1181"/>
      <c r="CA2698" s="142"/>
      <c r="CB2698" s="3" t="str">
        <f t="shared" si="478"/>
        <v>Riadok bude skrytý.</v>
      </c>
      <c r="CC2698" s="271" t="s">
        <v>832</v>
      </c>
      <c r="CW2698" s="30">
        <f t="shared" si="483"/>
        <v>1</v>
      </c>
      <c r="CZ2698" s="30">
        <f t="shared" si="479"/>
        <v>1</v>
      </c>
      <c r="DA2698" s="30">
        <f>+IF(CW2698+CX2698+CY2698=0,0,IF(CZ2698=0,0,1))</f>
        <v>1</v>
      </c>
      <c r="DB2698" s="2">
        <f t="shared" si="484"/>
        <v>0</v>
      </c>
      <c r="DS2698" s="130">
        <f>SI!BY2698</f>
        <v>987</v>
      </c>
      <c r="DZ2698" s="131">
        <f>SI!BZ2698</f>
        <v>0</v>
      </c>
    </row>
    <row r="2699" spans="1:130" hidden="1" x14ac:dyDescent="0.25">
      <c r="A2699" s="141"/>
      <c r="B2699" s="1158"/>
      <c r="C2699" s="1159"/>
      <c r="D2699" s="1159"/>
      <c r="E2699" s="1159"/>
      <c r="F2699" s="1159"/>
      <c r="G2699" s="1159"/>
      <c r="H2699" s="1159"/>
      <c r="I2699" s="1159"/>
      <c r="J2699" s="1159"/>
      <c r="K2699" s="1159"/>
      <c r="L2699" s="1159"/>
      <c r="M2699" s="1159"/>
      <c r="N2699" s="1159"/>
      <c r="O2699" s="1159"/>
      <c r="P2699" s="1159"/>
      <c r="Q2699" s="1159"/>
      <c r="R2699" s="1159"/>
      <c r="S2699" s="1159"/>
      <c r="T2699" s="1159"/>
      <c r="U2699" s="1159"/>
      <c r="V2699" s="1159"/>
      <c r="W2699" s="1159"/>
      <c r="X2699" s="1159"/>
      <c r="Y2699" s="1159"/>
      <c r="Z2699" s="1159"/>
      <c r="AA2699" s="1159"/>
      <c r="AB2699" s="1159"/>
      <c r="AC2699" s="1159"/>
      <c r="AD2699" s="1159"/>
      <c r="AE2699" s="1159"/>
      <c r="AF2699" s="1159"/>
      <c r="AG2699" s="1159"/>
      <c r="AH2699" s="1159"/>
      <c r="AI2699" s="1159"/>
      <c r="AJ2699" s="1159"/>
      <c r="AK2699" s="1160"/>
      <c r="AL2699" s="1155"/>
      <c r="AM2699" s="1156"/>
      <c r="AN2699" s="1156"/>
      <c r="AO2699" s="1156"/>
      <c r="AP2699" s="1156"/>
      <c r="AQ2699" s="1156"/>
      <c r="AR2699" s="1156"/>
      <c r="AS2699" s="1156"/>
      <c r="AT2699" s="1156"/>
      <c r="AU2699" s="1156"/>
      <c r="AV2699" s="1156"/>
      <c r="AW2699" s="1156"/>
      <c r="AX2699" s="1156"/>
      <c r="AY2699" s="1156"/>
      <c r="AZ2699" s="1156"/>
      <c r="BA2699" s="1156"/>
      <c r="BB2699" s="1156"/>
      <c r="BC2699" s="1156"/>
      <c r="BD2699" s="1156"/>
      <c r="BE2699" s="1156"/>
      <c r="BF2699" s="1157"/>
      <c r="BG2699" s="1155"/>
      <c r="BH2699" s="1156"/>
      <c r="BI2699" s="1156"/>
      <c r="BJ2699" s="1156"/>
      <c r="BK2699" s="1156"/>
      <c r="BL2699" s="1156"/>
      <c r="BM2699" s="1156"/>
      <c r="BN2699" s="1156"/>
      <c r="BO2699" s="1156"/>
      <c r="BP2699" s="1156"/>
      <c r="BQ2699" s="1156"/>
      <c r="BR2699" s="1156"/>
      <c r="BS2699" s="1156"/>
      <c r="BT2699" s="1156"/>
      <c r="BU2699" s="1156"/>
      <c r="BV2699" s="1156"/>
      <c r="BW2699" s="1156"/>
      <c r="BX2699" s="1156"/>
      <c r="BY2699" s="1156"/>
      <c r="BZ2699" s="1157"/>
      <c r="CA2699" s="142"/>
      <c r="CB2699" s="3" t="str">
        <f t="shared" si="478"/>
        <v>Riadok bude skrytý.</v>
      </c>
      <c r="CC2699" s="271" t="s">
        <v>832</v>
      </c>
      <c r="CW2699" s="30">
        <f t="shared" si="483"/>
        <v>1</v>
      </c>
      <c r="CX2699" s="30">
        <f t="shared" ref="CX2699:CX2706" si="485">+IF(B2699="",0,1)</f>
        <v>0</v>
      </c>
      <c r="CZ2699" s="30">
        <f t="shared" si="479"/>
        <v>1</v>
      </c>
      <c r="DA2699" s="52">
        <f t="shared" ref="DA2699:DA2706" si="486">+IF(CW2699*CX2699=0,0,IF(CZ2699=0,0,1))</f>
        <v>0</v>
      </c>
      <c r="DB2699" s="2">
        <f t="shared" si="484"/>
        <v>0</v>
      </c>
      <c r="DS2699" s="130">
        <f>SI!BY2699</f>
        <v>110</v>
      </c>
      <c r="DZ2699" s="131">
        <f>SI!BZ2699</f>
        <v>0</v>
      </c>
    </row>
    <row r="2700" spans="1:130" hidden="1" x14ac:dyDescent="0.25">
      <c r="A2700" s="141"/>
      <c r="B2700" s="1158"/>
      <c r="C2700" s="1159"/>
      <c r="D2700" s="1159"/>
      <c r="E2700" s="1159"/>
      <c r="F2700" s="1159"/>
      <c r="G2700" s="1159"/>
      <c r="H2700" s="1159"/>
      <c r="I2700" s="1159"/>
      <c r="J2700" s="1159"/>
      <c r="K2700" s="1159"/>
      <c r="L2700" s="1159"/>
      <c r="M2700" s="1159"/>
      <c r="N2700" s="1159"/>
      <c r="O2700" s="1159"/>
      <c r="P2700" s="1159"/>
      <c r="Q2700" s="1159"/>
      <c r="R2700" s="1159"/>
      <c r="S2700" s="1159"/>
      <c r="T2700" s="1159"/>
      <c r="U2700" s="1159"/>
      <c r="V2700" s="1159"/>
      <c r="W2700" s="1159"/>
      <c r="X2700" s="1159"/>
      <c r="Y2700" s="1159"/>
      <c r="Z2700" s="1159"/>
      <c r="AA2700" s="1159"/>
      <c r="AB2700" s="1159"/>
      <c r="AC2700" s="1159"/>
      <c r="AD2700" s="1159"/>
      <c r="AE2700" s="1159"/>
      <c r="AF2700" s="1159"/>
      <c r="AG2700" s="1159"/>
      <c r="AH2700" s="1159"/>
      <c r="AI2700" s="1159"/>
      <c r="AJ2700" s="1159"/>
      <c r="AK2700" s="1160"/>
      <c r="AL2700" s="1155"/>
      <c r="AM2700" s="1156"/>
      <c r="AN2700" s="1156"/>
      <c r="AO2700" s="1156"/>
      <c r="AP2700" s="1156"/>
      <c r="AQ2700" s="1156"/>
      <c r="AR2700" s="1156"/>
      <c r="AS2700" s="1156"/>
      <c r="AT2700" s="1156"/>
      <c r="AU2700" s="1156"/>
      <c r="AV2700" s="1156"/>
      <c r="AW2700" s="1156"/>
      <c r="AX2700" s="1156"/>
      <c r="AY2700" s="1156"/>
      <c r="AZ2700" s="1156"/>
      <c r="BA2700" s="1156"/>
      <c r="BB2700" s="1156"/>
      <c r="BC2700" s="1156"/>
      <c r="BD2700" s="1156"/>
      <c r="BE2700" s="1156"/>
      <c r="BF2700" s="1157"/>
      <c r="BG2700" s="1155"/>
      <c r="BH2700" s="1156"/>
      <c r="BI2700" s="1156"/>
      <c r="BJ2700" s="1156"/>
      <c r="BK2700" s="1156"/>
      <c r="BL2700" s="1156"/>
      <c r="BM2700" s="1156"/>
      <c r="BN2700" s="1156"/>
      <c r="BO2700" s="1156"/>
      <c r="BP2700" s="1156"/>
      <c r="BQ2700" s="1156"/>
      <c r="BR2700" s="1156"/>
      <c r="BS2700" s="1156"/>
      <c r="BT2700" s="1156"/>
      <c r="BU2700" s="1156"/>
      <c r="BV2700" s="1156"/>
      <c r="BW2700" s="1156"/>
      <c r="BX2700" s="1156"/>
      <c r="BY2700" s="1156"/>
      <c r="BZ2700" s="1157"/>
      <c r="CA2700" s="142"/>
      <c r="CB2700" s="3" t="str">
        <f t="shared" si="478"/>
        <v>Riadok bude skrytý.</v>
      </c>
      <c r="CC2700" s="271" t="s">
        <v>832</v>
      </c>
      <c r="CW2700" s="30">
        <f t="shared" si="483"/>
        <v>1</v>
      </c>
      <c r="CX2700" s="30">
        <f t="shared" si="485"/>
        <v>0</v>
      </c>
      <c r="CZ2700" s="30">
        <f t="shared" si="479"/>
        <v>1</v>
      </c>
      <c r="DA2700" s="52">
        <f t="shared" si="486"/>
        <v>0</v>
      </c>
      <c r="DB2700" s="2">
        <f t="shared" si="484"/>
        <v>0</v>
      </c>
      <c r="DS2700" s="130">
        <f>SI!BY2700</f>
        <v>499</v>
      </c>
      <c r="DZ2700" s="131">
        <f>SI!BZ2700</f>
        <v>0</v>
      </c>
    </row>
    <row r="2701" spans="1:130" hidden="1" x14ac:dyDescent="0.25">
      <c r="A2701" s="141"/>
      <c r="B2701" s="1158"/>
      <c r="C2701" s="1159"/>
      <c r="D2701" s="1159"/>
      <c r="E2701" s="1159"/>
      <c r="F2701" s="1159"/>
      <c r="G2701" s="1159"/>
      <c r="H2701" s="1159"/>
      <c r="I2701" s="1159"/>
      <c r="J2701" s="1159"/>
      <c r="K2701" s="1159"/>
      <c r="L2701" s="1159"/>
      <c r="M2701" s="1159"/>
      <c r="N2701" s="1159"/>
      <c r="O2701" s="1159"/>
      <c r="P2701" s="1159"/>
      <c r="Q2701" s="1159"/>
      <c r="R2701" s="1159"/>
      <c r="S2701" s="1159"/>
      <c r="T2701" s="1159"/>
      <c r="U2701" s="1159"/>
      <c r="V2701" s="1159"/>
      <c r="W2701" s="1159"/>
      <c r="X2701" s="1159"/>
      <c r="Y2701" s="1159"/>
      <c r="Z2701" s="1159"/>
      <c r="AA2701" s="1159"/>
      <c r="AB2701" s="1159"/>
      <c r="AC2701" s="1159"/>
      <c r="AD2701" s="1159"/>
      <c r="AE2701" s="1159"/>
      <c r="AF2701" s="1159"/>
      <c r="AG2701" s="1159"/>
      <c r="AH2701" s="1159"/>
      <c r="AI2701" s="1159"/>
      <c r="AJ2701" s="1159"/>
      <c r="AK2701" s="1160"/>
      <c r="AL2701" s="1155"/>
      <c r="AM2701" s="1156"/>
      <c r="AN2701" s="1156"/>
      <c r="AO2701" s="1156"/>
      <c r="AP2701" s="1156"/>
      <c r="AQ2701" s="1156"/>
      <c r="AR2701" s="1156"/>
      <c r="AS2701" s="1156"/>
      <c r="AT2701" s="1156"/>
      <c r="AU2701" s="1156"/>
      <c r="AV2701" s="1156"/>
      <c r="AW2701" s="1156"/>
      <c r="AX2701" s="1156"/>
      <c r="AY2701" s="1156"/>
      <c r="AZ2701" s="1156"/>
      <c r="BA2701" s="1156"/>
      <c r="BB2701" s="1156"/>
      <c r="BC2701" s="1156"/>
      <c r="BD2701" s="1156"/>
      <c r="BE2701" s="1156"/>
      <c r="BF2701" s="1157"/>
      <c r="BG2701" s="1155"/>
      <c r="BH2701" s="1156"/>
      <c r="BI2701" s="1156"/>
      <c r="BJ2701" s="1156"/>
      <c r="BK2701" s="1156"/>
      <c r="BL2701" s="1156"/>
      <c r="BM2701" s="1156"/>
      <c r="BN2701" s="1156"/>
      <c r="BO2701" s="1156"/>
      <c r="BP2701" s="1156"/>
      <c r="BQ2701" s="1156"/>
      <c r="BR2701" s="1156"/>
      <c r="BS2701" s="1156"/>
      <c r="BT2701" s="1156"/>
      <c r="BU2701" s="1156"/>
      <c r="BV2701" s="1156"/>
      <c r="BW2701" s="1156"/>
      <c r="BX2701" s="1156"/>
      <c r="BY2701" s="1156"/>
      <c r="BZ2701" s="1157"/>
      <c r="CA2701" s="142"/>
      <c r="CB2701" s="3" t="str">
        <f t="shared" si="478"/>
        <v>Riadok bude skrytý.</v>
      </c>
      <c r="CC2701" s="271" t="s">
        <v>832</v>
      </c>
      <c r="CW2701" s="30">
        <f t="shared" si="483"/>
        <v>1</v>
      </c>
      <c r="CX2701" s="30">
        <f t="shared" si="485"/>
        <v>0</v>
      </c>
      <c r="CZ2701" s="30">
        <f t="shared" si="479"/>
        <v>1</v>
      </c>
      <c r="DA2701" s="52">
        <f t="shared" si="486"/>
        <v>0</v>
      </c>
      <c r="DB2701" s="2">
        <f t="shared" si="484"/>
        <v>0</v>
      </c>
      <c r="DS2701" s="130">
        <f>SI!BY2701</f>
        <v>137</v>
      </c>
      <c r="DZ2701" s="131">
        <f>SI!BZ2701</f>
        <v>0</v>
      </c>
    </row>
    <row r="2702" spans="1:130" hidden="1" x14ac:dyDescent="0.25">
      <c r="A2702" s="141"/>
      <c r="B2702" s="1158"/>
      <c r="C2702" s="1159"/>
      <c r="D2702" s="1159"/>
      <c r="E2702" s="1159"/>
      <c r="F2702" s="1159"/>
      <c r="G2702" s="1159"/>
      <c r="H2702" s="1159"/>
      <c r="I2702" s="1159"/>
      <c r="J2702" s="1159"/>
      <c r="K2702" s="1159"/>
      <c r="L2702" s="1159"/>
      <c r="M2702" s="1159"/>
      <c r="N2702" s="1159"/>
      <c r="O2702" s="1159"/>
      <c r="P2702" s="1159"/>
      <c r="Q2702" s="1159"/>
      <c r="R2702" s="1159"/>
      <c r="S2702" s="1159"/>
      <c r="T2702" s="1159"/>
      <c r="U2702" s="1159"/>
      <c r="V2702" s="1159"/>
      <c r="W2702" s="1159"/>
      <c r="X2702" s="1159"/>
      <c r="Y2702" s="1159"/>
      <c r="Z2702" s="1159"/>
      <c r="AA2702" s="1159"/>
      <c r="AB2702" s="1159"/>
      <c r="AC2702" s="1159"/>
      <c r="AD2702" s="1159"/>
      <c r="AE2702" s="1159"/>
      <c r="AF2702" s="1159"/>
      <c r="AG2702" s="1159"/>
      <c r="AH2702" s="1159"/>
      <c r="AI2702" s="1159"/>
      <c r="AJ2702" s="1159"/>
      <c r="AK2702" s="1160"/>
      <c r="AL2702" s="1155"/>
      <c r="AM2702" s="1156"/>
      <c r="AN2702" s="1156"/>
      <c r="AO2702" s="1156"/>
      <c r="AP2702" s="1156"/>
      <c r="AQ2702" s="1156"/>
      <c r="AR2702" s="1156"/>
      <c r="AS2702" s="1156"/>
      <c r="AT2702" s="1156"/>
      <c r="AU2702" s="1156"/>
      <c r="AV2702" s="1156"/>
      <c r="AW2702" s="1156"/>
      <c r="AX2702" s="1156"/>
      <c r="AY2702" s="1156"/>
      <c r="AZ2702" s="1156"/>
      <c r="BA2702" s="1156"/>
      <c r="BB2702" s="1156"/>
      <c r="BC2702" s="1156"/>
      <c r="BD2702" s="1156"/>
      <c r="BE2702" s="1156"/>
      <c r="BF2702" s="1157"/>
      <c r="BG2702" s="1155"/>
      <c r="BH2702" s="1156"/>
      <c r="BI2702" s="1156"/>
      <c r="BJ2702" s="1156"/>
      <c r="BK2702" s="1156"/>
      <c r="BL2702" s="1156"/>
      <c r="BM2702" s="1156"/>
      <c r="BN2702" s="1156"/>
      <c r="BO2702" s="1156"/>
      <c r="BP2702" s="1156"/>
      <c r="BQ2702" s="1156"/>
      <c r="BR2702" s="1156"/>
      <c r="BS2702" s="1156"/>
      <c r="BT2702" s="1156"/>
      <c r="BU2702" s="1156"/>
      <c r="BV2702" s="1156"/>
      <c r="BW2702" s="1156"/>
      <c r="BX2702" s="1156"/>
      <c r="BY2702" s="1156"/>
      <c r="BZ2702" s="1157"/>
      <c r="CA2702" s="142"/>
      <c r="CB2702" s="3" t="str">
        <f t="shared" si="478"/>
        <v>Riadok bude skrytý.</v>
      </c>
      <c r="CC2702" s="271" t="s">
        <v>832</v>
      </c>
      <c r="CW2702" s="30">
        <f t="shared" si="483"/>
        <v>1</v>
      </c>
      <c r="CX2702" s="30">
        <f t="shared" si="485"/>
        <v>0</v>
      </c>
      <c r="CZ2702" s="30">
        <f t="shared" si="479"/>
        <v>1</v>
      </c>
      <c r="DA2702" s="52">
        <f t="shared" si="486"/>
        <v>0</v>
      </c>
      <c r="DB2702" s="2">
        <f t="shared" si="484"/>
        <v>0</v>
      </c>
      <c r="DS2702" s="130">
        <f>SI!BY2702</f>
        <v>504</v>
      </c>
      <c r="DZ2702" s="131">
        <f>SI!BZ2702</f>
        <v>0</v>
      </c>
    </row>
    <row r="2703" spans="1:130" hidden="1" x14ac:dyDescent="0.25">
      <c r="A2703" s="141"/>
      <c r="B2703" s="1158"/>
      <c r="C2703" s="1159"/>
      <c r="D2703" s="1159"/>
      <c r="E2703" s="1159"/>
      <c r="F2703" s="1159"/>
      <c r="G2703" s="1159"/>
      <c r="H2703" s="1159"/>
      <c r="I2703" s="1159"/>
      <c r="J2703" s="1159"/>
      <c r="K2703" s="1159"/>
      <c r="L2703" s="1159"/>
      <c r="M2703" s="1159"/>
      <c r="N2703" s="1159"/>
      <c r="O2703" s="1159"/>
      <c r="P2703" s="1159"/>
      <c r="Q2703" s="1159"/>
      <c r="R2703" s="1159"/>
      <c r="S2703" s="1159"/>
      <c r="T2703" s="1159"/>
      <c r="U2703" s="1159"/>
      <c r="V2703" s="1159"/>
      <c r="W2703" s="1159"/>
      <c r="X2703" s="1159"/>
      <c r="Y2703" s="1159"/>
      <c r="Z2703" s="1159"/>
      <c r="AA2703" s="1159"/>
      <c r="AB2703" s="1159"/>
      <c r="AC2703" s="1159"/>
      <c r="AD2703" s="1159"/>
      <c r="AE2703" s="1159"/>
      <c r="AF2703" s="1159"/>
      <c r="AG2703" s="1159"/>
      <c r="AH2703" s="1159"/>
      <c r="AI2703" s="1159"/>
      <c r="AJ2703" s="1159"/>
      <c r="AK2703" s="1160"/>
      <c r="AL2703" s="1155"/>
      <c r="AM2703" s="1156"/>
      <c r="AN2703" s="1156"/>
      <c r="AO2703" s="1156"/>
      <c r="AP2703" s="1156"/>
      <c r="AQ2703" s="1156"/>
      <c r="AR2703" s="1156"/>
      <c r="AS2703" s="1156"/>
      <c r="AT2703" s="1156"/>
      <c r="AU2703" s="1156"/>
      <c r="AV2703" s="1156"/>
      <c r="AW2703" s="1156"/>
      <c r="AX2703" s="1156"/>
      <c r="AY2703" s="1156"/>
      <c r="AZ2703" s="1156"/>
      <c r="BA2703" s="1156"/>
      <c r="BB2703" s="1156"/>
      <c r="BC2703" s="1156"/>
      <c r="BD2703" s="1156"/>
      <c r="BE2703" s="1156"/>
      <c r="BF2703" s="1157"/>
      <c r="BG2703" s="1155"/>
      <c r="BH2703" s="1156"/>
      <c r="BI2703" s="1156"/>
      <c r="BJ2703" s="1156"/>
      <c r="BK2703" s="1156"/>
      <c r="BL2703" s="1156"/>
      <c r="BM2703" s="1156"/>
      <c r="BN2703" s="1156"/>
      <c r="BO2703" s="1156"/>
      <c r="BP2703" s="1156"/>
      <c r="BQ2703" s="1156"/>
      <c r="BR2703" s="1156"/>
      <c r="BS2703" s="1156"/>
      <c r="BT2703" s="1156"/>
      <c r="BU2703" s="1156"/>
      <c r="BV2703" s="1156"/>
      <c r="BW2703" s="1156"/>
      <c r="BX2703" s="1156"/>
      <c r="BY2703" s="1156"/>
      <c r="BZ2703" s="1157"/>
      <c r="CA2703" s="142"/>
      <c r="CB2703" s="3" t="str">
        <f t="shared" si="478"/>
        <v>Riadok bude skrytý.</v>
      </c>
      <c r="CC2703" s="271" t="s">
        <v>832</v>
      </c>
      <c r="CW2703" s="30">
        <f t="shared" si="483"/>
        <v>1</v>
      </c>
      <c r="CX2703" s="30">
        <f t="shared" si="485"/>
        <v>0</v>
      </c>
      <c r="CZ2703" s="30">
        <f t="shared" si="479"/>
        <v>1</v>
      </c>
      <c r="DA2703" s="52">
        <f t="shared" si="486"/>
        <v>0</v>
      </c>
      <c r="DB2703" s="2">
        <f t="shared" si="484"/>
        <v>0</v>
      </c>
      <c r="DS2703" s="130">
        <f>SI!BY2703</f>
        <v>111</v>
      </c>
      <c r="DZ2703" s="131">
        <f>SI!BZ2703</f>
        <v>0</v>
      </c>
    </row>
    <row r="2704" spans="1:130" hidden="1" x14ac:dyDescent="0.25">
      <c r="A2704" s="141"/>
      <c r="B2704" s="1158"/>
      <c r="C2704" s="1159"/>
      <c r="D2704" s="1159"/>
      <c r="E2704" s="1159"/>
      <c r="F2704" s="1159"/>
      <c r="G2704" s="1159"/>
      <c r="H2704" s="1159"/>
      <c r="I2704" s="1159"/>
      <c r="J2704" s="1159"/>
      <c r="K2704" s="1159"/>
      <c r="L2704" s="1159"/>
      <c r="M2704" s="1159"/>
      <c r="N2704" s="1159"/>
      <c r="O2704" s="1159"/>
      <c r="P2704" s="1159"/>
      <c r="Q2704" s="1159"/>
      <c r="R2704" s="1159"/>
      <c r="S2704" s="1159"/>
      <c r="T2704" s="1159"/>
      <c r="U2704" s="1159"/>
      <c r="V2704" s="1159"/>
      <c r="W2704" s="1159"/>
      <c r="X2704" s="1159"/>
      <c r="Y2704" s="1159"/>
      <c r="Z2704" s="1159"/>
      <c r="AA2704" s="1159"/>
      <c r="AB2704" s="1159"/>
      <c r="AC2704" s="1159"/>
      <c r="AD2704" s="1159"/>
      <c r="AE2704" s="1159"/>
      <c r="AF2704" s="1159"/>
      <c r="AG2704" s="1159"/>
      <c r="AH2704" s="1159"/>
      <c r="AI2704" s="1159"/>
      <c r="AJ2704" s="1159"/>
      <c r="AK2704" s="1160"/>
      <c r="AL2704" s="1155"/>
      <c r="AM2704" s="1156"/>
      <c r="AN2704" s="1156"/>
      <c r="AO2704" s="1156"/>
      <c r="AP2704" s="1156"/>
      <c r="AQ2704" s="1156"/>
      <c r="AR2704" s="1156"/>
      <c r="AS2704" s="1156"/>
      <c r="AT2704" s="1156"/>
      <c r="AU2704" s="1156"/>
      <c r="AV2704" s="1156"/>
      <c r="AW2704" s="1156"/>
      <c r="AX2704" s="1156"/>
      <c r="AY2704" s="1156"/>
      <c r="AZ2704" s="1156"/>
      <c r="BA2704" s="1156"/>
      <c r="BB2704" s="1156"/>
      <c r="BC2704" s="1156"/>
      <c r="BD2704" s="1156"/>
      <c r="BE2704" s="1156"/>
      <c r="BF2704" s="1157"/>
      <c r="BG2704" s="1155"/>
      <c r="BH2704" s="1156"/>
      <c r="BI2704" s="1156"/>
      <c r="BJ2704" s="1156"/>
      <c r="BK2704" s="1156"/>
      <c r="BL2704" s="1156"/>
      <c r="BM2704" s="1156"/>
      <c r="BN2704" s="1156"/>
      <c r="BO2704" s="1156"/>
      <c r="BP2704" s="1156"/>
      <c r="BQ2704" s="1156"/>
      <c r="BR2704" s="1156"/>
      <c r="BS2704" s="1156"/>
      <c r="BT2704" s="1156"/>
      <c r="BU2704" s="1156"/>
      <c r="BV2704" s="1156"/>
      <c r="BW2704" s="1156"/>
      <c r="BX2704" s="1156"/>
      <c r="BY2704" s="1156"/>
      <c r="BZ2704" s="1157"/>
      <c r="CA2704" s="270"/>
      <c r="CB2704" s="3" t="str">
        <f t="shared" si="478"/>
        <v>Riadok bude skrytý.</v>
      </c>
      <c r="CC2704" s="271" t="s">
        <v>832</v>
      </c>
      <c r="CW2704" s="30">
        <f t="shared" si="483"/>
        <v>1</v>
      </c>
      <c r="CX2704" s="30">
        <f t="shared" si="485"/>
        <v>0</v>
      </c>
      <c r="CZ2704" s="30">
        <f t="shared" si="479"/>
        <v>1</v>
      </c>
      <c r="DA2704" s="52">
        <f t="shared" si="486"/>
        <v>0</v>
      </c>
      <c r="DB2704" s="2">
        <f t="shared" si="484"/>
        <v>0</v>
      </c>
      <c r="DS2704" s="130">
        <f>SI!BY2704</f>
        <v>999</v>
      </c>
      <c r="DZ2704" s="131">
        <f>SI!BZ2704</f>
        <v>0</v>
      </c>
    </row>
    <row r="2705" spans="1:130" hidden="1" x14ac:dyDescent="0.25">
      <c r="A2705" s="141"/>
      <c r="B2705" s="1158"/>
      <c r="C2705" s="1159"/>
      <c r="D2705" s="1159"/>
      <c r="E2705" s="1159"/>
      <c r="F2705" s="1159"/>
      <c r="G2705" s="1159"/>
      <c r="H2705" s="1159"/>
      <c r="I2705" s="1159"/>
      <c r="J2705" s="1159"/>
      <c r="K2705" s="1159"/>
      <c r="L2705" s="1159"/>
      <c r="M2705" s="1159"/>
      <c r="N2705" s="1159"/>
      <c r="O2705" s="1159"/>
      <c r="P2705" s="1159"/>
      <c r="Q2705" s="1159"/>
      <c r="R2705" s="1159"/>
      <c r="S2705" s="1159"/>
      <c r="T2705" s="1159"/>
      <c r="U2705" s="1159"/>
      <c r="V2705" s="1159"/>
      <c r="W2705" s="1159"/>
      <c r="X2705" s="1159"/>
      <c r="Y2705" s="1159"/>
      <c r="Z2705" s="1159"/>
      <c r="AA2705" s="1159"/>
      <c r="AB2705" s="1159"/>
      <c r="AC2705" s="1159"/>
      <c r="AD2705" s="1159"/>
      <c r="AE2705" s="1159"/>
      <c r="AF2705" s="1159"/>
      <c r="AG2705" s="1159"/>
      <c r="AH2705" s="1159"/>
      <c r="AI2705" s="1159"/>
      <c r="AJ2705" s="1159"/>
      <c r="AK2705" s="1160"/>
      <c r="AL2705" s="1155"/>
      <c r="AM2705" s="1156"/>
      <c r="AN2705" s="1156"/>
      <c r="AO2705" s="1156"/>
      <c r="AP2705" s="1156"/>
      <c r="AQ2705" s="1156"/>
      <c r="AR2705" s="1156"/>
      <c r="AS2705" s="1156"/>
      <c r="AT2705" s="1156"/>
      <c r="AU2705" s="1156"/>
      <c r="AV2705" s="1156"/>
      <c r="AW2705" s="1156"/>
      <c r="AX2705" s="1156"/>
      <c r="AY2705" s="1156"/>
      <c r="AZ2705" s="1156"/>
      <c r="BA2705" s="1156"/>
      <c r="BB2705" s="1156"/>
      <c r="BC2705" s="1156"/>
      <c r="BD2705" s="1156"/>
      <c r="BE2705" s="1156"/>
      <c r="BF2705" s="1157"/>
      <c r="BG2705" s="1155"/>
      <c r="BH2705" s="1156"/>
      <c r="BI2705" s="1156"/>
      <c r="BJ2705" s="1156"/>
      <c r="BK2705" s="1156"/>
      <c r="BL2705" s="1156"/>
      <c r="BM2705" s="1156"/>
      <c r="BN2705" s="1156"/>
      <c r="BO2705" s="1156"/>
      <c r="BP2705" s="1156"/>
      <c r="BQ2705" s="1156"/>
      <c r="BR2705" s="1156"/>
      <c r="BS2705" s="1156"/>
      <c r="BT2705" s="1156"/>
      <c r="BU2705" s="1156"/>
      <c r="BV2705" s="1156"/>
      <c r="BW2705" s="1156"/>
      <c r="BX2705" s="1156"/>
      <c r="BY2705" s="1156"/>
      <c r="BZ2705" s="1157"/>
      <c r="CA2705" s="270"/>
      <c r="CB2705" s="3" t="str">
        <f t="shared" si="478"/>
        <v>Riadok bude skrytý.</v>
      </c>
      <c r="CC2705" s="271" t="s">
        <v>832</v>
      </c>
      <c r="CW2705" s="30">
        <f t="shared" si="483"/>
        <v>1</v>
      </c>
      <c r="CX2705" s="30">
        <f t="shared" si="485"/>
        <v>0</v>
      </c>
      <c r="CZ2705" s="30">
        <f t="shared" si="479"/>
        <v>1</v>
      </c>
      <c r="DA2705" s="52">
        <f t="shared" si="486"/>
        <v>0</v>
      </c>
      <c r="DB2705" s="2">
        <f t="shared" si="484"/>
        <v>0</v>
      </c>
      <c r="DS2705" s="130">
        <f>SI!BY2705</f>
        <v>158</v>
      </c>
      <c r="DZ2705" s="131">
        <f>SI!BZ2705</f>
        <v>0</v>
      </c>
    </row>
    <row r="2706" spans="1:130" hidden="1" x14ac:dyDescent="0.25">
      <c r="A2706" s="141"/>
      <c r="B2706" s="1158"/>
      <c r="C2706" s="1159"/>
      <c r="D2706" s="1159"/>
      <c r="E2706" s="1159"/>
      <c r="F2706" s="1159"/>
      <c r="G2706" s="1159"/>
      <c r="H2706" s="1159"/>
      <c r="I2706" s="1159"/>
      <c r="J2706" s="1159"/>
      <c r="K2706" s="1159"/>
      <c r="L2706" s="1159"/>
      <c r="M2706" s="1159"/>
      <c r="N2706" s="1159"/>
      <c r="O2706" s="1159"/>
      <c r="P2706" s="1159"/>
      <c r="Q2706" s="1159"/>
      <c r="R2706" s="1159"/>
      <c r="S2706" s="1159"/>
      <c r="T2706" s="1159"/>
      <c r="U2706" s="1159"/>
      <c r="V2706" s="1159"/>
      <c r="W2706" s="1159"/>
      <c r="X2706" s="1159"/>
      <c r="Y2706" s="1159"/>
      <c r="Z2706" s="1159"/>
      <c r="AA2706" s="1159"/>
      <c r="AB2706" s="1159"/>
      <c r="AC2706" s="1159"/>
      <c r="AD2706" s="1159"/>
      <c r="AE2706" s="1159"/>
      <c r="AF2706" s="1159"/>
      <c r="AG2706" s="1159"/>
      <c r="AH2706" s="1159"/>
      <c r="AI2706" s="1159"/>
      <c r="AJ2706" s="1159"/>
      <c r="AK2706" s="1160"/>
      <c r="AL2706" s="1155"/>
      <c r="AM2706" s="1156"/>
      <c r="AN2706" s="1156"/>
      <c r="AO2706" s="1156"/>
      <c r="AP2706" s="1156"/>
      <c r="AQ2706" s="1156"/>
      <c r="AR2706" s="1156"/>
      <c r="AS2706" s="1156"/>
      <c r="AT2706" s="1156"/>
      <c r="AU2706" s="1156"/>
      <c r="AV2706" s="1156"/>
      <c r="AW2706" s="1156"/>
      <c r="AX2706" s="1156"/>
      <c r="AY2706" s="1156"/>
      <c r="AZ2706" s="1156"/>
      <c r="BA2706" s="1156"/>
      <c r="BB2706" s="1156"/>
      <c r="BC2706" s="1156"/>
      <c r="BD2706" s="1156"/>
      <c r="BE2706" s="1156"/>
      <c r="BF2706" s="1157"/>
      <c r="BG2706" s="1155"/>
      <c r="BH2706" s="1156"/>
      <c r="BI2706" s="1156"/>
      <c r="BJ2706" s="1156"/>
      <c r="BK2706" s="1156"/>
      <c r="BL2706" s="1156"/>
      <c r="BM2706" s="1156"/>
      <c r="BN2706" s="1156"/>
      <c r="BO2706" s="1156"/>
      <c r="BP2706" s="1156"/>
      <c r="BQ2706" s="1156"/>
      <c r="BR2706" s="1156"/>
      <c r="BS2706" s="1156"/>
      <c r="BT2706" s="1156"/>
      <c r="BU2706" s="1156"/>
      <c r="BV2706" s="1156"/>
      <c r="BW2706" s="1156"/>
      <c r="BX2706" s="1156"/>
      <c r="BY2706" s="1156"/>
      <c r="BZ2706" s="1157"/>
      <c r="CA2706" s="270"/>
      <c r="CB2706" s="3" t="str">
        <f t="shared" si="478"/>
        <v>Riadok bude skrytý.</v>
      </c>
      <c r="CC2706" s="271" t="s">
        <v>832</v>
      </c>
      <c r="CW2706" s="30">
        <f t="shared" si="483"/>
        <v>1</v>
      </c>
      <c r="CX2706" s="30">
        <f t="shared" si="485"/>
        <v>0</v>
      </c>
      <c r="CZ2706" s="30">
        <f t="shared" si="479"/>
        <v>1</v>
      </c>
      <c r="DA2706" s="52">
        <f t="shared" si="486"/>
        <v>0</v>
      </c>
      <c r="DB2706" s="2">
        <f t="shared" si="484"/>
        <v>0</v>
      </c>
      <c r="DS2706" s="130">
        <f>SI!BY2706</f>
        <v>864</v>
      </c>
      <c r="DZ2706" s="131">
        <f>SI!BZ2706</f>
        <v>0</v>
      </c>
    </row>
    <row r="2707" spans="1:130" hidden="1" x14ac:dyDescent="0.25">
      <c r="A2707" s="141"/>
      <c r="B2707" s="1206"/>
      <c r="C2707" s="1207"/>
      <c r="D2707" s="1207"/>
      <c r="E2707" s="1207"/>
      <c r="F2707" s="1207"/>
      <c r="G2707" s="1207"/>
      <c r="H2707" s="1207"/>
      <c r="I2707" s="1207"/>
      <c r="J2707" s="1207"/>
      <c r="K2707" s="1207"/>
      <c r="L2707" s="1207"/>
      <c r="M2707" s="1207"/>
      <c r="N2707" s="1207"/>
      <c r="O2707" s="1207"/>
      <c r="P2707" s="1207"/>
      <c r="Q2707" s="1207"/>
      <c r="R2707" s="1207"/>
      <c r="S2707" s="1207"/>
      <c r="T2707" s="1207"/>
      <c r="U2707" s="1207"/>
      <c r="V2707" s="1207"/>
      <c r="W2707" s="1207"/>
      <c r="X2707" s="1207"/>
      <c r="Y2707" s="1207"/>
      <c r="Z2707" s="1207"/>
      <c r="AA2707" s="1207"/>
      <c r="AB2707" s="1207"/>
      <c r="AC2707" s="1207"/>
      <c r="AD2707" s="1207"/>
      <c r="AE2707" s="1207"/>
      <c r="AF2707" s="1207"/>
      <c r="AG2707" s="1207"/>
      <c r="AH2707" s="1207"/>
      <c r="AI2707" s="1207"/>
      <c r="AJ2707" s="1207"/>
      <c r="AK2707" s="1208"/>
      <c r="AL2707" s="1164"/>
      <c r="AM2707" s="1165"/>
      <c r="AN2707" s="1165"/>
      <c r="AO2707" s="1165"/>
      <c r="AP2707" s="1165"/>
      <c r="AQ2707" s="1165"/>
      <c r="AR2707" s="1165"/>
      <c r="AS2707" s="1165"/>
      <c r="AT2707" s="1165"/>
      <c r="AU2707" s="1165"/>
      <c r="AV2707" s="1165"/>
      <c r="AW2707" s="1165"/>
      <c r="AX2707" s="1165"/>
      <c r="AY2707" s="1165"/>
      <c r="AZ2707" s="1165"/>
      <c r="BA2707" s="1165"/>
      <c r="BB2707" s="1165"/>
      <c r="BC2707" s="1165"/>
      <c r="BD2707" s="1165"/>
      <c r="BE2707" s="1165"/>
      <c r="BF2707" s="1166"/>
      <c r="BG2707" s="1164"/>
      <c r="BH2707" s="1165"/>
      <c r="BI2707" s="1165"/>
      <c r="BJ2707" s="1165"/>
      <c r="BK2707" s="1165"/>
      <c r="BL2707" s="1165"/>
      <c r="BM2707" s="1165"/>
      <c r="BN2707" s="1165"/>
      <c r="BO2707" s="1165"/>
      <c r="BP2707" s="1165"/>
      <c r="BQ2707" s="1165"/>
      <c r="BR2707" s="1165"/>
      <c r="BS2707" s="1165"/>
      <c r="BT2707" s="1165"/>
      <c r="BU2707" s="1165"/>
      <c r="BV2707" s="1165"/>
      <c r="BW2707" s="1165"/>
      <c r="BX2707" s="1165"/>
      <c r="BY2707" s="1165"/>
      <c r="BZ2707" s="1166"/>
      <c r="CA2707" s="270"/>
      <c r="CB2707" s="3" t="str">
        <f t="shared" si="478"/>
        <v>Riadok bude skrytý.</v>
      </c>
      <c r="CC2707" s="271" t="s">
        <v>832</v>
      </c>
      <c r="CW2707" s="30">
        <f t="shared" si="483"/>
        <v>1</v>
      </c>
      <c r="CZ2707" s="30">
        <f t="shared" si="479"/>
        <v>1</v>
      </c>
      <c r="DA2707" s="30">
        <f t="shared" ref="DA2707:DA2712" si="487">+IF(CW2707+CX2707+CY2707=0,0,IF(CZ2707=0,0,1))</f>
        <v>1</v>
      </c>
      <c r="DB2707" s="2">
        <f t="shared" si="484"/>
        <v>0</v>
      </c>
      <c r="DS2707" s="130">
        <f>SI!BY2707</f>
        <v>163</v>
      </c>
      <c r="DZ2707" s="131">
        <f>SI!BZ2707</f>
        <v>0</v>
      </c>
    </row>
    <row r="2708" spans="1:130" hidden="1" x14ac:dyDescent="0.25">
      <c r="A2708" s="141"/>
      <c r="B2708" s="401" t="s">
        <v>341</v>
      </c>
      <c r="C2708" s="402"/>
      <c r="D2708" s="402"/>
      <c r="E2708" s="402"/>
      <c r="F2708" s="402"/>
      <c r="G2708" s="402"/>
      <c r="H2708" s="402"/>
      <c r="I2708" s="402"/>
      <c r="J2708" s="402"/>
      <c r="K2708" s="402"/>
      <c r="L2708" s="402"/>
      <c r="M2708" s="402"/>
      <c r="N2708" s="402"/>
      <c r="O2708" s="402"/>
      <c r="P2708" s="402"/>
      <c r="Q2708" s="402"/>
      <c r="R2708" s="402"/>
      <c r="S2708" s="402"/>
      <c r="T2708" s="402"/>
      <c r="U2708" s="402"/>
      <c r="V2708" s="402"/>
      <c r="W2708" s="402"/>
      <c r="X2708" s="402"/>
      <c r="Y2708" s="402"/>
      <c r="Z2708" s="402"/>
      <c r="AA2708" s="402"/>
      <c r="AB2708" s="402"/>
      <c r="AC2708" s="402"/>
      <c r="AD2708" s="402"/>
      <c r="AE2708" s="402"/>
      <c r="AF2708" s="402"/>
      <c r="AG2708" s="402"/>
      <c r="AH2708" s="402"/>
      <c r="AI2708" s="402"/>
      <c r="AJ2708" s="402"/>
      <c r="AK2708" s="776"/>
      <c r="AL2708" s="1152">
        <f>+AL2709+AL2711</f>
        <v>0</v>
      </c>
      <c r="AM2708" s="1153"/>
      <c r="AN2708" s="1153"/>
      <c r="AO2708" s="1153"/>
      <c r="AP2708" s="1153"/>
      <c r="AQ2708" s="1153"/>
      <c r="AR2708" s="1153"/>
      <c r="AS2708" s="1153"/>
      <c r="AT2708" s="1153"/>
      <c r="AU2708" s="1153"/>
      <c r="AV2708" s="1153"/>
      <c r="AW2708" s="1153"/>
      <c r="AX2708" s="1153"/>
      <c r="AY2708" s="1153"/>
      <c r="AZ2708" s="1153"/>
      <c r="BA2708" s="1153"/>
      <c r="BB2708" s="1153"/>
      <c r="BC2708" s="1153"/>
      <c r="BD2708" s="1153"/>
      <c r="BE2708" s="1153"/>
      <c r="BF2708" s="1154"/>
      <c r="BG2708" s="1152">
        <f>+BG2709+BG2711</f>
        <v>0</v>
      </c>
      <c r="BH2708" s="1153"/>
      <c r="BI2708" s="1153"/>
      <c r="BJ2708" s="1153"/>
      <c r="BK2708" s="1153"/>
      <c r="BL2708" s="1153"/>
      <c r="BM2708" s="1153"/>
      <c r="BN2708" s="1153"/>
      <c r="BO2708" s="1153"/>
      <c r="BP2708" s="1153"/>
      <c r="BQ2708" s="1153"/>
      <c r="BR2708" s="1153"/>
      <c r="BS2708" s="1153"/>
      <c r="BT2708" s="1153"/>
      <c r="BU2708" s="1153"/>
      <c r="BV2708" s="1153"/>
      <c r="BW2708" s="1153"/>
      <c r="BX2708" s="1153"/>
      <c r="BY2708" s="1153"/>
      <c r="BZ2708" s="1154"/>
      <c r="CA2708" s="142"/>
      <c r="CB2708" s="3" t="str">
        <f t="shared" si="478"/>
        <v>Riadok bude skrytý.</v>
      </c>
      <c r="CC2708" s="271" t="s">
        <v>832</v>
      </c>
      <c r="CW2708" s="30">
        <f t="shared" si="483"/>
        <v>1</v>
      </c>
      <c r="CZ2708" s="30">
        <f t="shared" si="479"/>
        <v>1</v>
      </c>
      <c r="DA2708" s="30">
        <f t="shared" si="487"/>
        <v>1</v>
      </c>
      <c r="DB2708" s="2">
        <f t="shared" si="484"/>
        <v>0</v>
      </c>
      <c r="DS2708" s="130">
        <f>SI!BY2708</f>
        <v>598</v>
      </c>
      <c r="DZ2708" s="131">
        <f>SI!BZ2708</f>
        <v>0</v>
      </c>
    </row>
    <row r="2709" spans="1:130" hidden="1" x14ac:dyDescent="0.25">
      <c r="A2709" s="141"/>
      <c r="B2709" s="1170" t="s">
        <v>342</v>
      </c>
      <c r="C2709" s="1171"/>
      <c r="D2709" s="1171"/>
      <c r="E2709" s="1171"/>
      <c r="F2709" s="1171"/>
      <c r="G2709" s="1171"/>
      <c r="H2709" s="1171"/>
      <c r="I2709" s="1171"/>
      <c r="J2709" s="1171"/>
      <c r="K2709" s="1171"/>
      <c r="L2709" s="1171"/>
      <c r="M2709" s="1171"/>
      <c r="N2709" s="1171"/>
      <c r="O2709" s="1171"/>
      <c r="P2709" s="1171"/>
      <c r="Q2709" s="1171"/>
      <c r="R2709" s="1171"/>
      <c r="S2709" s="1171"/>
      <c r="T2709" s="1171"/>
      <c r="U2709" s="1171"/>
      <c r="V2709" s="1171"/>
      <c r="W2709" s="1171"/>
      <c r="X2709" s="1171"/>
      <c r="Y2709" s="1171"/>
      <c r="Z2709" s="1171"/>
      <c r="AA2709" s="1171"/>
      <c r="AB2709" s="1171"/>
      <c r="AC2709" s="1171"/>
      <c r="AD2709" s="1171"/>
      <c r="AE2709" s="1171"/>
      <c r="AF2709" s="1171"/>
      <c r="AG2709" s="1171"/>
      <c r="AH2709" s="1171"/>
      <c r="AI2709" s="1171"/>
      <c r="AJ2709" s="1171"/>
      <c r="AK2709" s="1172"/>
      <c r="AL2709" s="1161"/>
      <c r="AM2709" s="1162"/>
      <c r="AN2709" s="1162"/>
      <c r="AO2709" s="1162"/>
      <c r="AP2709" s="1162"/>
      <c r="AQ2709" s="1162"/>
      <c r="AR2709" s="1162"/>
      <c r="AS2709" s="1162"/>
      <c r="AT2709" s="1162"/>
      <c r="AU2709" s="1162"/>
      <c r="AV2709" s="1162"/>
      <c r="AW2709" s="1162"/>
      <c r="AX2709" s="1162"/>
      <c r="AY2709" s="1162"/>
      <c r="AZ2709" s="1162"/>
      <c r="BA2709" s="1162"/>
      <c r="BB2709" s="1162"/>
      <c r="BC2709" s="1162"/>
      <c r="BD2709" s="1162"/>
      <c r="BE2709" s="1162"/>
      <c r="BF2709" s="1163"/>
      <c r="BG2709" s="1161"/>
      <c r="BH2709" s="1162"/>
      <c r="BI2709" s="1162"/>
      <c r="BJ2709" s="1162"/>
      <c r="BK2709" s="1162"/>
      <c r="BL2709" s="1162"/>
      <c r="BM2709" s="1162"/>
      <c r="BN2709" s="1162"/>
      <c r="BO2709" s="1162"/>
      <c r="BP2709" s="1162"/>
      <c r="BQ2709" s="1162"/>
      <c r="BR2709" s="1162"/>
      <c r="BS2709" s="1162"/>
      <c r="BT2709" s="1162"/>
      <c r="BU2709" s="1162"/>
      <c r="BV2709" s="1162"/>
      <c r="BW2709" s="1162"/>
      <c r="BX2709" s="1162"/>
      <c r="BY2709" s="1162"/>
      <c r="BZ2709" s="1163"/>
      <c r="CA2709" s="142"/>
      <c r="CB2709" s="3" t="str">
        <f t="shared" si="478"/>
        <v>Riadok bude skrytý.</v>
      </c>
      <c r="CC2709" s="271" t="s">
        <v>832</v>
      </c>
      <c r="CW2709" s="30">
        <f t="shared" si="483"/>
        <v>1</v>
      </c>
      <c r="CZ2709" s="30">
        <f t="shared" si="479"/>
        <v>1</v>
      </c>
      <c r="DA2709" s="30">
        <f t="shared" si="487"/>
        <v>1</v>
      </c>
      <c r="DB2709" s="2">
        <f t="shared" si="484"/>
        <v>0</v>
      </c>
      <c r="DS2709" s="130">
        <f>SI!BY2709</f>
        <v>154</v>
      </c>
      <c r="DZ2709" s="131">
        <f>SI!BZ2709</f>
        <v>0</v>
      </c>
    </row>
    <row r="2710" spans="1:130" hidden="1" x14ac:dyDescent="0.25">
      <c r="A2710" s="141"/>
      <c r="B2710" s="1176" t="s">
        <v>343</v>
      </c>
      <c r="C2710" s="1177"/>
      <c r="D2710" s="1177"/>
      <c r="E2710" s="1177"/>
      <c r="F2710" s="1177"/>
      <c r="G2710" s="1177"/>
      <c r="H2710" s="1177"/>
      <c r="I2710" s="1177"/>
      <c r="J2710" s="1177"/>
      <c r="K2710" s="1177"/>
      <c r="L2710" s="1177"/>
      <c r="M2710" s="1177"/>
      <c r="N2710" s="1177"/>
      <c r="O2710" s="1177"/>
      <c r="P2710" s="1177"/>
      <c r="Q2710" s="1177"/>
      <c r="R2710" s="1177"/>
      <c r="S2710" s="1177"/>
      <c r="T2710" s="1177"/>
      <c r="U2710" s="1177"/>
      <c r="V2710" s="1177"/>
      <c r="W2710" s="1177"/>
      <c r="X2710" s="1177"/>
      <c r="Y2710" s="1177"/>
      <c r="Z2710" s="1177"/>
      <c r="AA2710" s="1177"/>
      <c r="AB2710" s="1177"/>
      <c r="AC2710" s="1177"/>
      <c r="AD2710" s="1177"/>
      <c r="AE2710" s="1177"/>
      <c r="AF2710" s="1177"/>
      <c r="AG2710" s="1177"/>
      <c r="AH2710" s="1177"/>
      <c r="AI2710" s="1177"/>
      <c r="AJ2710" s="1177"/>
      <c r="AK2710" s="1178"/>
      <c r="AL2710" s="1155"/>
      <c r="AM2710" s="1156"/>
      <c r="AN2710" s="1156"/>
      <c r="AO2710" s="1156"/>
      <c r="AP2710" s="1156"/>
      <c r="AQ2710" s="1156"/>
      <c r="AR2710" s="1156"/>
      <c r="AS2710" s="1156"/>
      <c r="AT2710" s="1156"/>
      <c r="AU2710" s="1156"/>
      <c r="AV2710" s="1156"/>
      <c r="AW2710" s="1156"/>
      <c r="AX2710" s="1156"/>
      <c r="AY2710" s="1156"/>
      <c r="AZ2710" s="1156"/>
      <c r="BA2710" s="1156"/>
      <c r="BB2710" s="1156"/>
      <c r="BC2710" s="1156"/>
      <c r="BD2710" s="1156"/>
      <c r="BE2710" s="1156"/>
      <c r="BF2710" s="1157"/>
      <c r="BG2710" s="1155"/>
      <c r="BH2710" s="1156"/>
      <c r="BI2710" s="1156"/>
      <c r="BJ2710" s="1156"/>
      <c r="BK2710" s="1156"/>
      <c r="BL2710" s="1156"/>
      <c r="BM2710" s="1156"/>
      <c r="BN2710" s="1156"/>
      <c r="BO2710" s="1156"/>
      <c r="BP2710" s="1156"/>
      <c r="BQ2710" s="1156"/>
      <c r="BR2710" s="1156"/>
      <c r="BS2710" s="1156"/>
      <c r="BT2710" s="1156"/>
      <c r="BU2710" s="1156"/>
      <c r="BV2710" s="1156"/>
      <c r="BW2710" s="1156"/>
      <c r="BX2710" s="1156"/>
      <c r="BY2710" s="1156"/>
      <c r="BZ2710" s="1157"/>
      <c r="CA2710" s="142"/>
      <c r="CB2710" s="3" t="str">
        <f t="shared" si="478"/>
        <v>Riadok bude skrytý.</v>
      </c>
      <c r="CC2710" s="271" t="s">
        <v>832</v>
      </c>
      <c r="CW2710" s="30">
        <f t="shared" si="483"/>
        <v>1</v>
      </c>
      <c r="CZ2710" s="30">
        <f t="shared" si="479"/>
        <v>1</v>
      </c>
      <c r="DA2710" s="30">
        <f t="shared" si="487"/>
        <v>1</v>
      </c>
      <c r="DB2710" s="2">
        <f t="shared" si="484"/>
        <v>0</v>
      </c>
      <c r="DS2710" s="130">
        <f>SI!BY2710</f>
        <v>193</v>
      </c>
      <c r="DZ2710" s="131">
        <f>SI!BZ2710</f>
        <v>0</v>
      </c>
    </row>
    <row r="2711" spans="1:130" hidden="1" x14ac:dyDescent="0.25">
      <c r="A2711" s="141"/>
      <c r="B2711" s="1167" t="s">
        <v>344</v>
      </c>
      <c r="C2711" s="1168"/>
      <c r="D2711" s="1168"/>
      <c r="E2711" s="1168"/>
      <c r="F2711" s="1168"/>
      <c r="G2711" s="1168"/>
      <c r="H2711" s="1168"/>
      <c r="I2711" s="1168"/>
      <c r="J2711" s="1168"/>
      <c r="K2711" s="1168"/>
      <c r="L2711" s="1168"/>
      <c r="M2711" s="1168"/>
      <c r="N2711" s="1168"/>
      <c r="O2711" s="1168"/>
      <c r="P2711" s="1168"/>
      <c r="Q2711" s="1168"/>
      <c r="R2711" s="1168"/>
      <c r="S2711" s="1168"/>
      <c r="T2711" s="1168"/>
      <c r="U2711" s="1168"/>
      <c r="V2711" s="1168"/>
      <c r="W2711" s="1168"/>
      <c r="X2711" s="1168"/>
      <c r="Y2711" s="1168"/>
      <c r="Z2711" s="1168"/>
      <c r="AA2711" s="1168"/>
      <c r="AB2711" s="1168"/>
      <c r="AC2711" s="1168"/>
      <c r="AD2711" s="1168"/>
      <c r="AE2711" s="1168"/>
      <c r="AF2711" s="1168"/>
      <c r="AG2711" s="1168"/>
      <c r="AH2711" s="1168"/>
      <c r="AI2711" s="1168"/>
      <c r="AJ2711" s="1168"/>
      <c r="AK2711" s="1169"/>
      <c r="AL2711" s="1152">
        <f>+SUM(AL2712:BF2721)</f>
        <v>0</v>
      </c>
      <c r="AM2711" s="1153"/>
      <c r="AN2711" s="1153"/>
      <c r="AO2711" s="1153"/>
      <c r="AP2711" s="1153"/>
      <c r="AQ2711" s="1153"/>
      <c r="AR2711" s="1153"/>
      <c r="AS2711" s="1153"/>
      <c r="AT2711" s="1153"/>
      <c r="AU2711" s="1153"/>
      <c r="AV2711" s="1153"/>
      <c r="AW2711" s="1153"/>
      <c r="AX2711" s="1153"/>
      <c r="AY2711" s="1153"/>
      <c r="AZ2711" s="1153"/>
      <c r="BA2711" s="1153"/>
      <c r="BB2711" s="1153"/>
      <c r="BC2711" s="1153"/>
      <c r="BD2711" s="1153"/>
      <c r="BE2711" s="1153"/>
      <c r="BF2711" s="1154"/>
      <c r="BG2711" s="1152">
        <f>+SUM(BG2712:BZ2721)</f>
        <v>0</v>
      </c>
      <c r="BH2711" s="1153"/>
      <c r="BI2711" s="1153"/>
      <c r="BJ2711" s="1153"/>
      <c r="BK2711" s="1153"/>
      <c r="BL2711" s="1153"/>
      <c r="BM2711" s="1153"/>
      <c r="BN2711" s="1153"/>
      <c r="BO2711" s="1153"/>
      <c r="BP2711" s="1153"/>
      <c r="BQ2711" s="1153"/>
      <c r="BR2711" s="1153"/>
      <c r="BS2711" s="1153"/>
      <c r="BT2711" s="1153"/>
      <c r="BU2711" s="1153"/>
      <c r="BV2711" s="1153"/>
      <c r="BW2711" s="1153"/>
      <c r="BX2711" s="1153"/>
      <c r="BY2711" s="1153"/>
      <c r="BZ2711" s="1154"/>
      <c r="CA2711" s="142"/>
      <c r="CB2711" s="3" t="str">
        <f t="shared" si="478"/>
        <v>Riadok bude skrytý.</v>
      </c>
      <c r="CC2711" s="271" t="s">
        <v>832</v>
      </c>
      <c r="CW2711" s="30">
        <f t="shared" si="483"/>
        <v>1</v>
      </c>
      <c r="CZ2711" s="30">
        <f t="shared" si="479"/>
        <v>1</v>
      </c>
      <c r="DA2711" s="30">
        <f t="shared" si="487"/>
        <v>1</v>
      </c>
      <c r="DB2711" s="2">
        <f t="shared" si="484"/>
        <v>0</v>
      </c>
      <c r="DS2711" s="130">
        <f>SI!BY2711</f>
        <v>964</v>
      </c>
      <c r="DZ2711" s="131">
        <f>SI!BZ2711</f>
        <v>0</v>
      </c>
    </row>
    <row r="2712" spans="1:130" hidden="1" x14ac:dyDescent="0.25">
      <c r="A2712" s="141"/>
      <c r="B2712" s="1083"/>
      <c r="C2712" s="1084"/>
      <c r="D2712" s="1084"/>
      <c r="E2712" s="1084"/>
      <c r="F2712" s="1084"/>
      <c r="G2712" s="1084"/>
      <c r="H2712" s="1084"/>
      <c r="I2712" s="1084"/>
      <c r="J2712" s="1084"/>
      <c r="K2712" s="1084"/>
      <c r="L2712" s="1084"/>
      <c r="M2712" s="1084"/>
      <c r="N2712" s="1084"/>
      <c r="O2712" s="1084"/>
      <c r="P2712" s="1084"/>
      <c r="Q2712" s="1084"/>
      <c r="R2712" s="1084"/>
      <c r="S2712" s="1084"/>
      <c r="T2712" s="1084"/>
      <c r="U2712" s="1084"/>
      <c r="V2712" s="1084"/>
      <c r="W2712" s="1084"/>
      <c r="X2712" s="1084"/>
      <c r="Y2712" s="1084"/>
      <c r="Z2712" s="1084"/>
      <c r="AA2712" s="1084"/>
      <c r="AB2712" s="1084"/>
      <c r="AC2712" s="1084"/>
      <c r="AD2712" s="1084"/>
      <c r="AE2712" s="1084"/>
      <c r="AF2712" s="1084"/>
      <c r="AG2712" s="1084"/>
      <c r="AH2712" s="1084"/>
      <c r="AI2712" s="1084"/>
      <c r="AJ2712" s="1084"/>
      <c r="AK2712" s="1134"/>
      <c r="AL2712" s="1161"/>
      <c r="AM2712" s="1162"/>
      <c r="AN2712" s="1162"/>
      <c r="AO2712" s="1162"/>
      <c r="AP2712" s="1162"/>
      <c r="AQ2712" s="1162"/>
      <c r="AR2712" s="1162"/>
      <c r="AS2712" s="1162"/>
      <c r="AT2712" s="1162"/>
      <c r="AU2712" s="1162"/>
      <c r="AV2712" s="1162"/>
      <c r="AW2712" s="1162"/>
      <c r="AX2712" s="1162"/>
      <c r="AY2712" s="1162"/>
      <c r="AZ2712" s="1162"/>
      <c r="BA2712" s="1162"/>
      <c r="BB2712" s="1162"/>
      <c r="BC2712" s="1162"/>
      <c r="BD2712" s="1162"/>
      <c r="BE2712" s="1162"/>
      <c r="BF2712" s="1163"/>
      <c r="BG2712" s="1161"/>
      <c r="BH2712" s="1162"/>
      <c r="BI2712" s="1162"/>
      <c r="BJ2712" s="1162"/>
      <c r="BK2712" s="1162"/>
      <c r="BL2712" s="1162"/>
      <c r="BM2712" s="1162"/>
      <c r="BN2712" s="1162"/>
      <c r="BO2712" s="1162"/>
      <c r="BP2712" s="1162"/>
      <c r="BQ2712" s="1162"/>
      <c r="BR2712" s="1162"/>
      <c r="BS2712" s="1162"/>
      <c r="BT2712" s="1162"/>
      <c r="BU2712" s="1162"/>
      <c r="BV2712" s="1162"/>
      <c r="BW2712" s="1162"/>
      <c r="BX2712" s="1162"/>
      <c r="BY2712" s="1162"/>
      <c r="BZ2712" s="1163"/>
      <c r="CA2712" s="142"/>
      <c r="CB2712" s="3" t="str">
        <f t="shared" si="478"/>
        <v>Riadok bude skrytý.</v>
      </c>
      <c r="CC2712" s="271" t="s">
        <v>832</v>
      </c>
      <c r="CW2712" s="30">
        <f t="shared" si="483"/>
        <v>1</v>
      </c>
      <c r="CZ2712" s="30">
        <f t="shared" si="479"/>
        <v>1</v>
      </c>
      <c r="DA2712" s="30">
        <f t="shared" si="487"/>
        <v>1</v>
      </c>
      <c r="DB2712" s="2">
        <f t="shared" si="484"/>
        <v>0</v>
      </c>
      <c r="DS2712" s="130">
        <f>SI!BY2712</f>
        <v>117</v>
      </c>
      <c r="DZ2712" s="131">
        <f>SI!BZ2712</f>
        <v>0</v>
      </c>
    </row>
    <row r="2713" spans="1:130" hidden="1" x14ac:dyDescent="0.25">
      <c r="A2713" s="141"/>
      <c r="B2713" s="1083"/>
      <c r="C2713" s="1084"/>
      <c r="D2713" s="1084"/>
      <c r="E2713" s="1084"/>
      <c r="F2713" s="1084"/>
      <c r="G2713" s="1084"/>
      <c r="H2713" s="1084"/>
      <c r="I2713" s="1084"/>
      <c r="J2713" s="1084"/>
      <c r="K2713" s="1084"/>
      <c r="L2713" s="1084"/>
      <c r="M2713" s="1084"/>
      <c r="N2713" s="1084"/>
      <c r="O2713" s="1084"/>
      <c r="P2713" s="1084"/>
      <c r="Q2713" s="1084"/>
      <c r="R2713" s="1084"/>
      <c r="S2713" s="1084"/>
      <c r="T2713" s="1084"/>
      <c r="U2713" s="1084"/>
      <c r="V2713" s="1084"/>
      <c r="W2713" s="1084"/>
      <c r="X2713" s="1084"/>
      <c r="Y2713" s="1084"/>
      <c r="Z2713" s="1084"/>
      <c r="AA2713" s="1084"/>
      <c r="AB2713" s="1084"/>
      <c r="AC2713" s="1084"/>
      <c r="AD2713" s="1084"/>
      <c r="AE2713" s="1084"/>
      <c r="AF2713" s="1084"/>
      <c r="AG2713" s="1084"/>
      <c r="AH2713" s="1084"/>
      <c r="AI2713" s="1084"/>
      <c r="AJ2713" s="1084"/>
      <c r="AK2713" s="1134"/>
      <c r="AL2713" s="1155"/>
      <c r="AM2713" s="1156"/>
      <c r="AN2713" s="1156"/>
      <c r="AO2713" s="1156"/>
      <c r="AP2713" s="1156"/>
      <c r="AQ2713" s="1156"/>
      <c r="AR2713" s="1156"/>
      <c r="AS2713" s="1156"/>
      <c r="AT2713" s="1156"/>
      <c r="AU2713" s="1156"/>
      <c r="AV2713" s="1156"/>
      <c r="AW2713" s="1156"/>
      <c r="AX2713" s="1156"/>
      <c r="AY2713" s="1156"/>
      <c r="AZ2713" s="1156"/>
      <c r="BA2713" s="1156"/>
      <c r="BB2713" s="1156"/>
      <c r="BC2713" s="1156"/>
      <c r="BD2713" s="1156"/>
      <c r="BE2713" s="1156"/>
      <c r="BF2713" s="1157"/>
      <c r="BG2713" s="1155"/>
      <c r="BH2713" s="1156"/>
      <c r="BI2713" s="1156"/>
      <c r="BJ2713" s="1156"/>
      <c r="BK2713" s="1156"/>
      <c r="BL2713" s="1156"/>
      <c r="BM2713" s="1156"/>
      <c r="BN2713" s="1156"/>
      <c r="BO2713" s="1156"/>
      <c r="BP2713" s="1156"/>
      <c r="BQ2713" s="1156"/>
      <c r="BR2713" s="1156"/>
      <c r="BS2713" s="1156"/>
      <c r="BT2713" s="1156"/>
      <c r="BU2713" s="1156"/>
      <c r="BV2713" s="1156"/>
      <c r="BW2713" s="1156"/>
      <c r="BX2713" s="1156"/>
      <c r="BY2713" s="1156"/>
      <c r="BZ2713" s="1157"/>
      <c r="CA2713" s="142"/>
      <c r="CB2713" s="3" t="str">
        <f t="shared" si="478"/>
        <v>Riadok bude skrytý.</v>
      </c>
      <c r="CC2713" s="271" t="s">
        <v>832</v>
      </c>
      <c r="CW2713" s="30">
        <f t="shared" si="483"/>
        <v>1</v>
      </c>
      <c r="CX2713" s="30">
        <f t="shared" ref="CX2713:CX2720" si="488">+IF(B2713="",0,1)</f>
        <v>0</v>
      </c>
      <c r="CZ2713" s="30">
        <f t="shared" si="479"/>
        <v>1</v>
      </c>
      <c r="DA2713" s="52">
        <f t="shared" ref="DA2713:DA2720" si="489">+IF(CW2713*CX2713=0,0,IF(CZ2713=0,0,1))</f>
        <v>0</v>
      </c>
      <c r="DB2713" s="2">
        <f t="shared" si="484"/>
        <v>0</v>
      </c>
      <c r="DS2713" s="130">
        <f>SI!BY2713</f>
        <v>603</v>
      </c>
      <c r="DZ2713" s="131">
        <f>SI!BZ2713</f>
        <v>0</v>
      </c>
    </row>
    <row r="2714" spans="1:130" hidden="1" x14ac:dyDescent="0.25">
      <c r="A2714" s="141"/>
      <c r="B2714" s="1083"/>
      <c r="C2714" s="1084"/>
      <c r="D2714" s="1084"/>
      <c r="E2714" s="1084"/>
      <c r="F2714" s="1084"/>
      <c r="G2714" s="1084"/>
      <c r="H2714" s="1084"/>
      <c r="I2714" s="1084"/>
      <c r="J2714" s="1084"/>
      <c r="K2714" s="1084"/>
      <c r="L2714" s="1084"/>
      <c r="M2714" s="1084"/>
      <c r="N2714" s="1084"/>
      <c r="O2714" s="1084"/>
      <c r="P2714" s="1084"/>
      <c r="Q2714" s="1084"/>
      <c r="R2714" s="1084"/>
      <c r="S2714" s="1084"/>
      <c r="T2714" s="1084"/>
      <c r="U2714" s="1084"/>
      <c r="V2714" s="1084"/>
      <c r="W2714" s="1084"/>
      <c r="X2714" s="1084"/>
      <c r="Y2714" s="1084"/>
      <c r="Z2714" s="1084"/>
      <c r="AA2714" s="1084"/>
      <c r="AB2714" s="1084"/>
      <c r="AC2714" s="1084"/>
      <c r="AD2714" s="1084"/>
      <c r="AE2714" s="1084"/>
      <c r="AF2714" s="1084"/>
      <c r="AG2714" s="1084"/>
      <c r="AH2714" s="1084"/>
      <c r="AI2714" s="1084"/>
      <c r="AJ2714" s="1084"/>
      <c r="AK2714" s="1134"/>
      <c r="AL2714" s="1155"/>
      <c r="AM2714" s="1156"/>
      <c r="AN2714" s="1156"/>
      <c r="AO2714" s="1156"/>
      <c r="AP2714" s="1156"/>
      <c r="AQ2714" s="1156"/>
      <c r="AR2714" s="1156"/>
      <c r="AS2714" s="1156"/>
      <c r="AT2714" s="1156"/>
      <c r="AU2714" s="1156"/>
      <c r="AV2714" s="1156"/>
      <c r="AW2714" s="1156"/>
      <c r="AX2714" s="1156"/>
      <c r="AY2714" s="1156"/>
      <c r="AZ2714" s="1156"/>
      <c r="BA2714" s="1156"/>
      <c r="BB2714" s="1156"/>
      <c r="BC2714" s="1156"/>
      <c r="BD2714" s="1156"/>
      <c r="BE2714" s="1156"/>
      <c r="BF2714" s="1157"/>
      <c r="BG2714" s="1155"/>
      <c r="BH2714" s="1156"/>
      <c r="BI2714" s="1156"/>
      <c r="BJ2714" s="1156"/>
      <c r="BK2714" s="1156"/>
      <c r="BL2714" s="1156"/>
      <c r="BM2714" s="1156"/>
      <c r="BN2714" s="1156"/>
      <c r="BO2714" s="1156"/>
      <c r="BP2714" s="1156"/>
      <c r="BQ2714" s="1156"/>
      <c r="BR2714" s="1156"/>
      <c r="BS2714" s="1156"/>
      <c r="BT2714" s="1156"/>
      <c r="BU2714" s="1156"/>
      <c r="BV2714" s="1156"/>
      <c r="BW2714" s="1156"/>
      <c r="BX2714" s="1156"/>
      <c r="BY2714" s="1156"/>
      <c r="BZ2714" s="1157"/>
      <c r="CA2714" s="142"/>
      <c r="CB2714" s="3" t="str">
        <f t="shared" si="478"/>
        <v>Riadok bude skrytý.</v>
      </c>
      <c r="CC2714" s="271" t="s">
        <v>832</v>
      </c>
      <c r="CW2714" s="30">
        <f t="shared" si="483"/>
        <v>1</v>
      </c>
      <c r="CX2714" s="30">
        <f t="shared" si="488"/>
        <v>0</v>
      </c>
      <c r="CZ2714" s="30">
        <f t="shared" si="479"/>
        <v>1</v>
      </c>
      <c r="DA2714" s="52">
        <f t="shared" si="489"/>
        <v>0</v>
      </c>
      <c r="DB2714" s="2">
        <f t="shared" si="484"/>
        <v>0</v>
      </c>
      <c r="DS2714" s="130">
        <f>SI!BY2714</f>
        <v>166</v>
      </c>
      <c r="DZ2714" s="131">
        <f>SI!BZ2714</f>
        <v>0</v>
      </c>
    </row>
    <row r="2715" spans="1:130" hidden="1" x14ac:dyDescent="0.25">
      <c r="A2715" s="141"/>
      <c r="B2715" s="1083"/>
      <c r="C2715" s="1084"/>
      <c r="D2715" s="1084"/>
      <c r="E2715" s="1084"/>
      <c r="F2715" s="1084"/>
      <c r="G2715" s="1084"/>
      <c r="H2715" s="1084"/>
      <c r="I2715" s="1084"/>
      <c r="J2715" s="1084"/>
      <c r="K2715" s="1084"/>
      <c r="L2715" s="1084"/>
      <c r="M2715" s="1084"/>
      <c r="N2715" s="1084"/>
      <c r="O2715" s="1084"/>
      <c r="P2715" s="1084"/>
      <c r="Q2715" s="1084"/>
      <c r="R2715" s="1084"/>
      <c r="S2715" s="1084"/>
      <c r="T2715" s="1084"/>
      <c r="U2715" s="1084"/>
      <c r="V2715" s="1084"/>
      <c r="W2715" s="1084"/>
      <c r="X2715" s="1084"/>
      <c r="Y2715" s="1084"/>
      <c r="Z2715" s="1084"/>
      <c r="AA2715" s="1084"/>
      <c r="AB2715" s="1084"/>
      <c r="AC2715" s="1084"/>
      <c r="AD2715" s="1084"/>
      <c r="AE2715" s="1084"/>
      <c r="AF2715" s="1084"/>
      <c r="AG2715" s="1084"/>
      <c r="AH2715" s="1084"/>
      <c r="AI2715" s="1084"/>
      <c r="AJ2715" s="1084"/>
      <c r="AK2715" s="1134"/>
      <c r="AL2715" s="1155"/>
      <c r="AM2715" s="1156"/>
      <c r="AN2715" s="1156"/>
      <c r="AO2715" s="1156"/>
      <c r="AP2715" s="1156"/>
      <c r="AQ2715" s="1156"/>
      <c r="AR2715" s="1156"/>
      <c r="AS2715" s="1156"/>
      <c r="AT2715" s="1156"/>
      <c r="AU2715" s="1156"/>
      <c r="AV2715" s="1156"/>
      <c r="AW2715" s="1156"/>
      <c r="AX2715" s="1156"/>
      <c r="AY2715" s="1156"/>
      <c r="AZ2715" s="1156"/>
      <c r="BA2715" s="1156"/>
      <c r="BB2715" s="1156"/>
      <c r="BC2715" s="1156"/>
      <c r="BD2715" s="1156"/>
      <c r="BE2715" s="1156"/>
      <c r="BF2715" s="1157"/>
      <c r="BG2715" s="1155"/>
      <c r="BH2715" s="1156"/>
      <c r="BI2715" s="1156"/>
      <c r="BJ2715" s="1156"/>
      <c r="BK2715" s="1156"/>
      <c r="BL2715" s="1156"/>
      <c r="BM2715" s="1156"/>
      <c r="BN2715" s="1156"/>
      <c r="BO2715" s="1156"/>
      <c r="BP2715" s="1156"/>
      <c r="BQ2715" s="1156"/>
      <c r="BR2715" s="1156"/>
      <c r="BS2715" s="1156"/>
      <c r="BT2715" s="1156"/>
      <c r="BU2715" s="1156"/>
      <c r="BV2715" s="1156"/>
      <c r="BW2715" s="1156"/>
      <c r="BX2715" s="1156"/>
      <c r="BY2715" s="1156"/>
      <c r="BZ2715" s="1157"/>
      <c r="CA2715" s="142"/>
      <c r="CB2715" s="3" t="str">
        <f t="shared" si="478"/>
        <v>Riadok bude skrytý.</v>
      </c>
      <c r="CC2715" s="271" t="s">
        <v>832</v>
      </c>
      <c r="CW2715" s="30">
        <f t="shared" si="483"/>
        <v>1</v>
      </c>
      <c r="CX2715" s="30">
        <f t="shared" si="488"/>
        <v>0</v>
      </c>
      <c r="CZ2715" s="30">
        <f t="shared" si="479"/>
        <v>1</v>
      </c>
      <c r="DA2715" s="52">
        <f t="shared" si="489"/>
        <v>0</v>
      </c>
      <c r="DB2715" s="2">
        <f t="shared" si="484"/>
        <v>0</v>
      </c>
      <c r="DS2715" s="130">
        <f>SI!BY2715</f>
        <v>1074</v>
      </c>
      <c r="DZ2715" s="131">
        <f>SI!BZ2715</f>
        <v>0</v>
      </c>
    </row>
    <row r="2716" spans="1:130" hidden="1" x14ac:dyDescent="0.25">
      <c r="A2716" s="141"/>
      <c r="B2716" s="1083"/>
      <c r="C2716" s="1084"/>
      <c r="D2716" s="1084"/>
      <c r="E2716" s="1084"/>
      <c r="F2716" s="1084"/>
      <c r="G2716" s="1084"/>
      <c r="H2716" s="1084"/>
      <c r="I2716" s="1084"/>
      <c r="J2716" s="1084"/>
      <c r="K2716" s="1084"/>
      <c r="L2716" s="1084"/>
      <c r="M2716" s="1084"/>
      <c r="N2716" s="1084"/>
      <c r="O2716" s="1084"/>
      <c r="P2716" s="1084"/>
      <c r="Q2716" s="1084"/>
      <c r="R2716" s="1084"/>
      <c r="S2716" s="1084"/>
      <c r="T2716" s="1084"/>
      <c r="U2716" s="1084"/>
      <c r="V2716" s="1084"/>
      <c r="W2716" s="1084"/>
      <c r="X2716" s="1084"/>
      <c r="Y2716" s="1084"/>
      <c r="Z2716" s="1084"/>
      <c r="AA2716" s="1084"/>
      <c r="AB2716" s="1084"/>
      <c r="AC2716" s="1084"/>
      <c r="AD2716" s="1084"/>
      <c r="AE2716" s="1084"/>
      <c r="AF2716" s="1084"/>
      <c r="AG2716" s="1084"/>
      <c r="AH2716" s="1084"/>
      <c r="AI2716" s="1084"/>
      <c r="AJ2716" s="1084"/>
      <c r="AK2716" s="1134"/>
      <c r="AL2716" s="1155"/>
      <c r="AM2716" s="1156"/>
      <c r="AN2716" s="1156"/>
      <c r="AO2716" s="1156"/>
      <c r="AP2716" s="1156"/>
      <c r="AQ2716" s="1156"/>
      <c r="AR2716" s="1156"/>
      <c r="AS2716" s="1156"/>
      <c r="AT2716" s="1156"/>
      <c r="AU2716" s="1156"/>
      <c r="AV2716" s="1156"/>
      <c r="AW2716" s="1156"/>
      <c r="AX2716" s="1156"/>
      <c r="AY2716" s="1156"/>
      <c r="AZ2716" s="1156"/>
      <c r="BA2716" s="1156"/>
      <c r="BB2716" s="1156"/>
      <c r="BC2716" s="1156"/>
      <c r="BD2716" s="1156"/>
      <c r="BE2716" s="1156"/>
      <c r="BF2716" s="1157"/>
      <c r="BG2716" s="1155"/>
      <c r="BH2716" s="1156"/>
      <c r="BI2716" s="1156"/>
      <c r="BJ2716" s="1156"/>
      <c r="BK2716" s="1156"/>
      <c r="BL2716" s="1156"/>
      <c r="BM2716" s="1156"/>
      <c r="BN2716" s="1156"/>
      <c r="BO2716" s="1156"/>
      <c r="BP2716" s="1156"/>
      <c r="BQ2716" s="1156"/>
      <c r="BR2716" s="1156"/>
      <c r="BS2716" s="1156"/>
      <c r="BT2716" s="1156"/>
      <c r="BU2716" s="1156"/>
      <c r="BV2716" s="1156"/>
      <c r="BW2716" s="1156"/>
      <c r="BX2716" s="1156"/>
      <c r="BY2716" s="1156"/>
      <c r="BZ2716" s="1157"/>
      <c r="CA2716" s="142"/>
      <c r="CB2716" s="3" t="str">
        <f t="shared" si="478"/>
        <v>Riadok bude skrytý.</v>
      </c>
      <c r="CC2716" s="271" t="s">
        <v>832</v>
      </c>
      <c r="CW2716" s="30">
        <f t="shared" si="483"/>
        <v>1</v>
      </c>
      <c r="CX2716" s="30">
        <f t="shared" si="488"/>
        <v>0</v>
      </c>
      <c r="CZ2716" s="30">
        <f t="shared" si="479"/>
        <v>1</v>
      </c>
      <c r="DA2716" s="52">
        <f t="shared" si="489"/>
        <v>0</v>
      </c>
      <c r="DB2716" s="2">
        <f t="shared" si="484"/>
        <v>0</v>
      </c>
      <c r="DS2716" s="130">
        <f>SI!BY2716</f>
        <v>120</v>
      </c>
      <c r="DZ2716" s="131">
        <f>SI!BZ2716</f>
        <v>0</v>
      </c>
    </row>
    <row r="2717" spans="1:130" hidden="1" x14ac:dyDescent="0.25">
      <c r="A2717" s="141"/>
      <c r="B2717" s="1083"/>
      <c r="C2717" s="1084"/>
      <c r="D2717" s="1084"/>
      <c r="E2717" s="1084"/>
      <c r="F2717" s="1084"/>
      <c r="G2717" s="1084"/>
      <c r="H2717" s="1084"/>
      <c r="I2717" s="1084"/>
      <c r="J2717" s="1084"/>
      <c r="K2717" s="1084"/>
      <c r="L2717" s="1084"/>
      <c r="M2717" s="1084"/>
      <c r="N2717" s="1084"/>
      <c r="O2717" s="1084"/>
      <c r="P2717" s="1084"/>
      <c r="Q2717" s="1084"/>
      <c r="R2717" s="1084"/>
      <c r="S2717" s="1084"/>
      <c r="T2717" s="1084"/>
      <c r="U2717" s="1084"/>
      <c r="V2717" s="1084"/>
      <c r="W2717" s="1084"/>
      <c r="X2717" s="1084"/>
      <c r="Y2717" s="1084"/>
      <c r="Z2717" s="1084"/>
      <c r="AA2717" s="1084"/>
      <c r="AB2717" s="1084"/>
      <c r="AC2717" s="1084"/>
      <c r="AD2717" s="1084"/>
      <c r="AE2717" s="1084"/>
      <c r="AF2717" s="1084"/>
      <c r="AG2717" s="1084"/>
      <c r="AH2717" s="1084"/>
      <c r="AI2717" s="1084"/>
      <c r="AJ2717" s="1084"/>
      <c r="AK2717" s="1134"/>
      <c r="AL2717" s="1155"/>
      <c r="AM2717" s="1156"/>
      <c r="AN2717" s="1156"/>
      <c r="AO2717" s="1156"/>
      <c r="AP2717" s="1156"/>
      <c r="AQ2717" s="1156"/>
      <c r="AR2717" s="1156"/>
      <c r="AS2717" s="1156"/>
      <c r="AT2717" s="1156"/>
      <c r="AU2717" s="1156"/>
      <c r="AV2717" s="1156"/>
      <c r="AW2717" s="1156"/>
      <c r="AX2717" s="1156"/>
      <c r="AY2717" s="1156"/>
      <c r="AZ2717" s="1156"/>
      <c r="BA2717" s="1156"/>
      <c r="BB2717" s="1156"/>
      <c r="BC2717" s="1156"/>
      <c r="BD2717" s="1156"/>
      <c r="BE2717" s="1156"/>
      <c r="BF2717" s="1157"/>
      <c r="BG2717" s="1155"/>
      <c r="BH2717" s="1156"/>
      <c r="BI2717" s="1156"/>
      <c r="BJ2717" s="1156"/>
      <c r="BK2717" s="1156"/>
      <c r="BL2717" s="1156"/>
      <c r="BM2717" s="1156"/>
      <c r="BN2717" s="1156"/>
      <c r="BO2717" s="1156"/>
      <c r="BP2717" s="1156"/>
      <c r="BQ2717" s="1156"/>
      <c r="BR2717" s="1156"/>
      <c r="BS2717" s="1156"/>
      <c r="BT2717" s="1156"/>
      <c r="BU2717" s="1156"/>
      <c r="BV2717" s="1156"/>
      <c r="BW2717" s="1156"/>
      <c r="BX2717" s="1156"/>
      <c r="BY2717" s="1156"/>
      <c r="BZ2717" s="1157"/>
      <c r="CA2717" s="142"/>
      <c r="CB2717" s="3" t="str">
        <f t="shared" si="478"/>
        <v>Riadok bude skrytý.</v>
      </c>
      <c r="CC2717" s="271" t="s">
        <v>832</v>
      </c>
      <c r="CW2717" s="30">
        <f t="shared" si="483"/>
        <v>1</v>
      </c>
      <c r="CX2717" s="30">
        <f t="shared" si="488"/>
        <v>0</v>
      </c>
      <c r="CZ2717" s="30">
        <f t="shared" si="479"/>
        <v>1</v>
      </c>
      <c r="DA2717" s="52">
        <f t="shared" si="489"/>
        <v>0</v>
      </c>
      <c r="DB2717" s="2">
        <f t="shared" si="484"/>
        <v>0</v>
      </c>
      <c r="DS2717" s="130">
        <f>SI!BY2717</f>
        <v>106</v>
      </c>
      <c r="DZ2717" s="131">
        <f>SI!BZ2717</f>
        <v>0</v>
      </c>
    </row>
    <row r="2718" spans="1:130" hidden="1" x14ac:dyDescent="0.25">
      <c r="A2718" s="141"/>
      <c r="B2718" s="1083"/>
      <c r="C2718" s="1084"/>
      <c r="D2718" s="1084"/>
      <c r="E2718" s="1084"/>
      <c r="F2718" s="1084"/>
      <c r="G2718" s="1084"/>
      <c r="H2718" s="1084"/>
      <c r="I2718" s="1084"/>
      <c r="J2718" s="1084"/>
      <c r="K2718" s="1084"/>
      <c r="L2718" s="1084"/>
      <c r="M2718" s="1084"/>
      <c r="N2718" s="1084"/>
      <c r="O2718" s="1084"/>
      <c r="P2718" s="1084"/>
      <c r="Q2718" s="1084"/>
      <c r="R2718" s="1084"/>
      <c r="S2718" s="1084"/>
      <c r="T2718" s="1084"/>
      <c r="U2718" s="1084"/>
      <c r="V2718" s="1084"/>
      <c r="W2718" s="1084"/>
      <c r="X2718" s="1084"/>
      <c r="Y2718" s="1084"/>
      <c r="Z2718" s="1084"/>
      <c r="AA2718" s="1084"/>
      <c r="AB2718" s="1084"/>
      <c r="AC2718" s="1084"/>
      <c r="AD2718" s="1084"/>
      <c r="AE2718" s="1084"/>
      <c r="AF2718" s="1084"/>
      <c r="AG2718" s="1084"/>
      <c r="AH2718" s="1084"/>
      <c r="AI2718" s="1084"/>
      <c r="AJ2718" s="1084"/>
      <c r="AK2718" s="1134"/>
      <c r="AL2718" s="1155"/>
      <c r="AM2718" s="1156"/>
      <c r="AN2718" s="1156"/>
      <c r="AO2718" s="1156"/>
      <c r="AP2718" s="1156"/>
      <c r="AQ2718" s="1156"/>
      <c r="AR2718" s="1156"/>
      <c r="AS2718" s="1156"/>
      <c r="AT2718" s="1156"/>
      <c r="AU2718" s="1156"/>
      <c r="AV2718" s="1156"/>
      <c r="AW2718" s="1156"/>
      <c r="AX2718" s="1156"/>
      <c r="AY2718" s="1156"/>
      <c r="AZ2718" s="1156"/>
      <c r="BA2718" s="1156"/>
      <c r="BB2718" s="1156"/>
      <c r="BC2718" s="1156"/>
      <c r="BD2718" s="1156"/>
      <c r="BE2718" s="1156"/>
      <c r="BF2718" s="1157"/>
      <c r="BG2718" s="1155"/>
      <c r="BH2718" s="1156"/>
      <c r="BI2718" s="1156"/>
      <c r="BJ2718" s="1156"/>
      <c r="BK2718" s="1156"/>
      <c r="BL2718" s="1156"/>
      <c r="BM2718" s="1156"/>
      <c r="BN2718" s="1156"/>
      <c r="BO2718" s="1156"/>
      <c r="BP2718" s="1156"/>
      <c r="BQ2718" s="1156"/>
      <c r="BR2718" s="1156"/>
      <c r="BS2718" s="1156"/>
      <c r="BT2718" s="1156"/>
      <c r="BU2718" s="1156"/>
      <c r="BV2718" s="1156"/>
      <c r="BW2718" s="1156"/>
      <c r="BX2718" s="1156"/>
      <c r="BY2718" s="1156"/>
      <c r="BZ2718" s="1157"/>
      <c r="CA2718" s="142"/>
      <c r="CB2718" s="3" t="str">
        <f t="shared" si="478"/>
        <v>Riadok bude skrytý.</v>
      </c>
      <c r="CC2718" s="271" t="s">
        <v>832</v>
      </c>
      <c r="CW2718" s="30">
        <f t="shared" si="483"/>
        <v>1</v>
      </c>
      <c r="CX2718" s="30">
        <f t="shared" si="488"/>
        <v>0</v>
      </c>
      <c r="CZ2718" s="30">
        <f t="shared" si="479"/>
        <v>1</v>
      </c>
      <c r="DA2718" s="52">
        <f t="shared" si="489"/>
        <v>0</v>
      </c>
      <c r="DB2718" s="2">
        <f t="shared" si="484"/>
        <v>0</v>
      </c>
      <c r="DS2718" s="130">
        <f>SI!BY2718</f>
        <v>176</v>
      </c>
      <c r="DZ2718" s="131">
        <f>SI!BZ2718</f>
        <v>0</v>
      </c>
    </row>
    <row r="2719" spans="1:130" hidden="1" x14ac:dyDescent="0.25">
      <c r="A2719" s="141"/>
      <c r="B2719" s="1083"/>
      <c r="C2719" s="1084"/>
      <c r="D2719" s="1084"/>
      <c r="E2719" s="1084"/>
      <c r="F2719" s="1084"/>
      <c r="G2719" s="1084"/>
      <c r="H2719" s="1084"/>
      <c r="I2719" s="1084"/>
      <c r="J2719" s="1084"/>
      <c r="K2719" s="1084"/>
      <c r="L2719" s="1084"/>
      <c r="M2719" s="1084"/>
      <c r="N2719" s="1084"/>
      <c r="O2719" s="1084"/>
      <c r="P2719" s="1084"/>
      <c r="Q2719" s="1084"/>
      <c r="R2719" s="1084"/>
      <c r="S2719" s="1084"/>
      <c r="T2719" s="1084"/>
      <c r="U2719" s="1084"/>
      <c r="V2719" s="1084"/>
      <c r="W2719" s="1084"/>
      <c r="X2719" s="1084"/>
      <c r="Y2719" s="1084"/>
      <c r="Z2719" s="1084"/>
      <c r="AA2719" s="1084"/>
      <c r="AB2719" s="1084"/>
      <c r="AC2719" s="1084"/>
      <c r="AD2719" s="1084"/>
      <c r="AE2719" s="1084"/>
      <c r="AF2719" s="1084"/>
      <c r="AG2719" s="1084"/>
      <c r="AH2719" s="1084"/>
      <c r="AI2719" s="1084"/>
      <c r="AJ2719" s="1084"/>
      <c r="AK2719" s="1134"/>
      <c r="AL2719" s="1155"/>
      <c r="AM2719" s="1156"/>
      <c r="AN2719" s="1156"/>
      <c r="AO2719" s="1156"/>
      <c r="AP2719" s="1156"/>
      <c r="AQ2719" s="1156"/>
      <c r="AR2719" s="1156"/>
      <c r="AS2719" s="1156"/>
      <c r="AT2719" s="1156"/>
      <c r="AU2719" s="1156"/>
      <c r="AV2719" s="1156"/>
      <c r="AW2719" s="1156"/>
      <c r="AX2719" s="1156"/>
      <c r="AY2719" s="1156"/>
      <c r="AZ2719" s="1156"/>
      <c r="BA2719" s="1156"/>
      <c r="BB2719" s="1156"/>
      <c r="BC2719" s="1156"/>
      <c r="BD2719" s="1156"/>
      <c r="BE2719" s="1156"/>
      <c r="BF2719" s="1157"/>
      <c r="BG2719" s="1155"/>
      <c r="BH2719" s="1156"/>
      <c r="BI2719" s="1156"/>
      <c r="BJ2719" s="1156"/>
      <c r="BK2719" s="1156"/>
      <c r="BL2719" s="1156"/>
      <c r="BM2719" s="1156"/>
      <c r="BN2719" s="1156"/>
      <c r="BO2719" s="1156"/>
      <c r="BP2719" s="1156"/>
      <c r="BQ2719" s="1156"/>
      <c r="BR2719" s="1156"/>
      <c r="BS2719" s="1156"/>
      <c r="BT2719" s="1156"/>
      <c r="BU2719" s="1156"/>
      <c r="BV2719" s="1156"/>
      <c r="BW2719" s="1156"/>
      <c r="BX2719" s="1156"/>
      <c r="BY2719" s="1156"/>
      <c r="BZ2719" s="1157"/>
      <c r="CA2719" s="142"/>
      <c r="CB2719" s="3" t="str">
        <f t="shared" si="478"/>
        <v>Riadok bude skrytý.</v>
      </c>
      <c r="CC2719" s="271" t="s">
        <v>832</v>
      </c>
      <c r="CW2719" s="30">
        <f t="shared" si="483"/>
        <v>1</v>
      </c>
      <c r="CX2719" s="30">
        <f t="shared" si="488"/>
        <v>0</v>
      </c>
      <c r="CZ2719" s="30">
        <f t="shared" si="479"/>
        <v>1</v>
      </c>
      <c r="DA2719" s="52">
        <f t="shared" si="489"/>
        <v>0</v>
      </c>
      <c r="DB2719" s="2">
        <f t="shared" si="484"/>
        <v>0</v>
      </c>
      <c r="DS2719" s="130">
        <f>SI!BY2719</f>
        <v>170</v>
      </c>
      <c r="DZ2719" s="131">
        <f>SI!BZ2719</f>
        <v>0</v>
      </c>
    </row>
    <row r="2720" spans="1:130" hidden="1" x14ac:dyDescent="0.25">
      <c r="A2720" s="141"/>
      <c r="B2720" s="1083"/>
      <c r="C2720" s="1084"/>
      <c r="D2720" s="1084"/>
      <c r="E2720" s="1084"/>
      <c r="F2720" s="1084"/>
      <c r="G2720" s="1084"/>
      <c r="H2720" s="1084"/>
      <c r="I2720" s="1084"/>
      <c r="J2720" s="1084"/>
      <c r="K2720" s="1084"/>
      <c r="L2720" s="1084"/>
      <c r="M2720" s="1084"/>
      <c r="N2720" s="1084"/>
      <c r="O2720" s="1084"/>
      <c r="P2720" s="1084"/>
      <c r="Q2720" s="1084"/>
      <c r="R2720" s="1084"/>
      <c r="S2720" s="1084"/>
      <c r="T2720" s="1084"/>
      <c r="U2720" s="1084"/>
      <c r="V2720" s="1084"/>
      <c r="W2720" s="1084"/>
      <c r="X2720" s="1084"/>
      <c r="Y2720" s="1084"/>
      <c r="Z2720" s="1084"/>
      <c r="AA2720" s="1084"/>
      <c r="AB2720" s="1084"/>
      <c r="AC2720" s="1084"/>
      <c r="AD2720" s="1084"/>
      <c r="AE2720" s="1084"/>
      <c r="AF2720" s="1084"/>
      <c r="AG2720" s="1084"/>
      <c r="AH2720" s="1084"/>
      <c r="AI2720" s="1084"/>
      <c r="AJ2720" s="1084"/>
      <c r="AK2720" s="1134"/>
      <c r="AL2720" s="1155"/>
      <c r="AM2720" s="1156"/>
      <c r="AN2720" s="1156"/>
      <c r="AO2720" s="1156"/>
      <c r="AP2720" s="1156"/>
      <c r="AQ2720" s="1156"/>
      <c r="AR2720" s="1156"/>
      <c r="AS2720" s="1156"/>
      <c r="AT2720" s="1156"/>
      <c r="AU2720" s="1156"/>
      <c r="AV2720" s="1156"/>
      <c r="AW2720" s="1156"/>
      <c r="AX2720" s="1156"/>
      <c r="AY2720" s="1156"/>
      <c r="AZ2720" s="1156"/>
      <c r="BA2720" s="1156"/>
      <c r="BB2720" s="1156"/>
      <c r="BC2720" s="1156"/>
      <c r="BD2720" s="1156"/>
      <c r="BE2720" s="1156"/>
      <c r="BF2720" s="1157"/>
      <c r="BG2720" s="1155"/>
      <c r="BH2720" s="1156"/>
      <c r="BI2720" s="1156"/>
      <c r="BJ2720" s="1156"/>
      <c r="BK2720" s="1156"/>
      <c r="BL2720" s="1156"/>
      <c r="BM2720" s="1156"/>
      <c r="BN2720" s="1156"/>
      <c r="BO2720" s="1156"/>
      <c r="BP2720" s="1156"/>
      <c r="BQ2720" s="1156"/>
      <c r="BR2720" s="1156"/>
      <c r="BS2720" s="1156"/>
      <c r="BT2720" s="1156"/>
      <c r="BU2720" s="1156"/>
      <c r="BV2720" s="1156"/>
      <c r="BW2720" s="1156"/>
      <c r="BX2720" s="1156"/>
      <c r="BY2720" s="1156"/>
      <c r="BZ2720" s="1157"/>
      <c r="CA2720" s="270"/>
      <c r="CB2720" s="3" t="str">
        <f t="shared" si="478"/>
        <v>Riadok bude skrytý.</v>
      </c>
      <c r="CC2720" s="271" t="s">
        <v>832</v>
      </c>
      <c r="CW2720" s="30">
        <f t="shared" si="483"/>
        <v>1</v>
      </c>
      <c r="CX2720" s="30">
        <f t="shared" si="488"/>
        <v>0</v>
      </c>
      <c r="CZ2720" s="30">
        <f t="shared" si="479"/>
        <v>1</v>
      </c>
      <c r="DA2720" s="52">
        <f t="shared" si="489"/>
        <v>0</v>
      </c>
      <c r="DB2720" s="2">
        <f t="shared" si="484"/>
        <v>0</v>
      </c>
      <c r="DS2720" s="130">
        <f>SI!BY2720</f>
        <v>196</v>
      </c>
      <c r="DZ2720" s="131">
        <f>SI!BZ2720</f>
        <v>0</v>
      </c>
    </row>
    <row r="2721" spans="1:130" hidden="1" x14ac:dyDescent="0.25">
      <c r="A2721" s="141"/>
      <c r="B2721" s="1143"/>
      <c r="C2721" s="1144"/>
      <c r="D2721" s="1144"/>
      <c r="E2721" s="1144"/>
      <c r="F2721" s="1144"/>
      <c r="G2721" s="1144"/>
      <c r="H2721" s="1144"/>
      <c r="I2721" s="1144"/>
      <c r="J2721" s="1144"/>
      <c r="K2721" s="1144"/>
      <c r="L2721" s="1144"/>
      <c r="M2721" s="1144"/>
      <c r="N2721" s="1144"/>
      <c r="O2721" s="1144"/>
      <c r="P2721" s="1144"/>
      <c r="Q2721" s="1144"/>
      <c r="R2721" s="1144"/>
      <c r="S2721" s="1144"/>
      <c r="T2721" s="1144"/>
      <c r="U2721" s="1144"/>
      <c r="V2721" s="1144"/>
      <c r="W2721" s="1144"/>
      <c r="X2721" s="1144"/>
      <c r="Y2721" s="1144"/>
      <c r="Z2721" s="1144"/>
      <c r="AA2721" s="1144"/>
      <c r="AB2721" s="1144"/>
      <c r="AC2721" s="1144"/>
      <c r="AD2721" s="1144"/>
      <c r="AE2721" s="1144"/>
      <c r="AF2721" s="1144"/>
      <c r="AG2721" s="1144"/>
      <c r="AH2721" s="1144"/>
      <c r="AI2721" s="1144"/>
      <c r="AJ2721" s="1144"/>
      <c r="AK2721" s="1145"/>
      <c r="AL2721" s="1164"/>
      <c r="AM2721" s="1165"/>
      <c r="AN2721" s="1165"/>
      <c r="AO2721" s="1165"/>
      <c r="AP2721" s="1165"/>
      <c r="AQ2721" s="1165"/>
      <c r="AR2721" s="1165"/>
      <c r="AS2721" s="1165"/>
      <c r="AT2721" s="1165"/>
      <c r="AU2721" s="1165"/>
      <c r="AV2721" s="1165"/>
      <c r="AW2721" s="1165"/>
      <c r="AX2721" s="1165"/>
      <c r="AY2721" s="1165"/>
      <c r="AZ2721" s="1165"/>
      <c r="BA2721" s="1165"/>
      <c r="BB2721" s="1165"/>
      <c r="BC2721" s="1165"/>
      <c r="BD2721" s="1165"/>
      <c r="BE2721" s="1165"/>
      <c r="BF2721" s="1166"/>
      <c r="BG2721" s="1164"/>
      <c r="BH2721" s="1165"/>
      <c r="BI2721" s="1165"/>
      <c r="BJ2721" s="1165"/>
      <c r="BK2721" s="1165"/>
      <c r="BL2721" s="1165"/>
      <c r="BM2721" s="1165"/>
      <c r="BN2721" s="1165"/>
      <c r="BO2721" s="1165"/>
      <c r="BP2721" s="1165"/>
      <c r="BQ2721" s="1165"/>
      <c r="BR2721" s="1165"/>
      <c r="BS2721" s="1165"/>
      <c r="BT2721" s="1165"/>
      <c r="BU2721" s="1165"/>
      <c r="BV2721" s="1165"/>
      <c r="BW2721" s="1165"/>
      <c r="BX2721" s="1165"/>
      <c r="BY2721" s="1165"/>
      <c r="BZ2721" s="1166"/>
      <c r="CA2721" s="270"/>
      <c r="CB2721" s="3" t="str">
        <f t="shared" si="478"/>
        <v>Riadok bude skrytý.</v>
      </c>
      <c r="CC2721" s="271" t="s">
        <v>832</v>
      </c>
      <c r="CW2721" s="30">
        <f t="shared" si="483"/>
        <v>1</v>
      </c>
      <c r="CZ2721" s="30">
        <f>IF(CC2721="",1,IF(CC2721="Chcem skryť riadok.",0,1))</f>
        <v>1</v>
      </c>
      <c r="DA2721" s="30">
        <f>+IF(CW2721+CX2721+CY2721=0,0,IF(CZ2721=0,0,1))</f>
        <v>1</v>
      </c>
      <c r="DB2721" s="2">
        <f t="shared" si="484"/>
        <v>0</v>
      </c>
      <c r="DS2721" s="130">
        <f>SI!BY2721</f>
        <v>156</v>
      </c>
      <c r="DZ2721" s="131">
        <f>SI!BZ2721</f>
        <v>0</v>
      </c>
    </row>
    <row r="2722" spans="1:130" hidden="1" x14ac:dyDescent="0.25">
      <c r="A2722" s="141"/>
      <c r="B2722" s="1146" t="s">
        <v>1038</v>
      </c>
      <c r="C2722" s="1147"/>
      <c r="D2722" s="1147"/>
      <c r="E2722" s="1147"/>
      <c r="F2722" s="1147"/>
      <c r="G2722" s="1147"/>
      <c r="H2722" s="1147"/>
      <c r="I2722" s="1147"/>
      <c r="J2722" s="1147"/>
      <c r="K2722" s="1147"/>
      <c r="L2722" s="1147"/>
      <c r="M2722" s="1147"/>
      <c r="N2722" s="1147"/>
      <c r="O2722" s="1147"/>
      <c r="P2722" s="1147"/>
      <c r="Q2722" s="1147"/>
      <c r="R2722" s="1147"/>
      <c r="S2722" s="1147"/>
      <c r="T2722" s="1147"/>
      <c r="U2722" s="1147"/>
      <c r="V2722" s="1147"/>
      <c r="W2722" s="1147"/>
      <c r="X2722" s="1147"/>
      <c r="Y2722" s="1147"/>
      <c r="Z2722" s="1147"/>
      <c r="AA2722" s="1147"/>
      <c r="AB2722" s="1147"/>
      <c r="AC2722" s="1147"/>
      <c r="AD2722" s="1147"/>
      <c r="AE2722" s="1147"/>
      <c r="AF2722" s="1147"/>
      <c r="AG2722" s="1147"/>
      <c r="AH2722" s="1147"/>
      <c r="AI2722" s="1147"/>
      <c r="AJ2722" s="1147"/>
      <c r="AK2722" s="1148"/>
      <c r="AL2722" s="1152">
        <f>+SUM(AL2723:BF2732)</f>
        <v>0</v>
      </c>
      <c r="AM2722" s="1153"/>
      <c r="AN2722" s="1153"/>
      <c r="AO2722" s="1153"/>
      <c r="AP2722" s="1153"/>
      <c r="AQ2722" s="1153"/>
      <c r="AR2722" s="1153"/>
      <c r="AS2722" s="1153"/>
      <c r="AT2722" s="1153"/>
      <c r="AU2722" s="1153"/>
      <c r="AV2722" s="1153"/>
      <c r="AW2722" s="1153"/>
      <c r="AX2722" s="1153"/>
      <c r="AY2722" s="1153"/>
      <c r="AZ2722" s="1153"/>
      <c r="BA2722" s="1153"/>
      <c r="BB2722" s="1153"/>
      <c r="BC2722" s="1153"/>
      <c r="BD2722" s="1153"/>
      <c r="BE2722" s="1153"/>
      <c r="BF2722" s="1154"/>
      <c r="BG2722" s="1152">
        <f>+SUM(BG2723:BZ2732)</f>
        <v>0</v>
      </c>
      <c r="BH2722" s="1153"/>
      <c r="BI2722" s="1153"/>
      <c r="BJ2722" s="1153"/>
      <c r="BK2722" s="1153"/>
      <c r="BL2722" s="1153"/>
      <c r="BM2722" s="1153"/>
      <c r="BN2722" s="1153"/>
      <c r="BO2722" s="1153"/>
      <c r="BP2722" s="1153"/>
      <c r="BQ2722" s="1153"/>
      <c r="BR2722" s="1153"/>
      <c r="BS2722" s="1153"/>
      <c r="BT2722" s="1153"/>
      <c r="BU2722" s="1153"/>
      <c r="BV2722" s="1153"/>
      <c r="BW2722" s="1153"/>
      <c r="BX2722" s="1153"/>
      <c r="BY2722" s="1153"/>
      <c r="BZ2722" s="1154"/>
      <c r="CA2722" s="142"/>
      <c r="CB2722" s="3" t="str">
        <f t="shared" si="478"/>
        <v>Riadok bude skrytý.</v>
      </c>
      <c r="CC2722" s="271" t="s">
        <v>832</v>
      </c>
      <c r="CD2722" s="4"/>
      <c r="CE2722" s="4"/>
      <c r="CW2722" s="30">
        <f t="shared" si="483"/>
        <v>1</v>
      </c>
      <c r="CZ2722" s="30">
        <f t="shared" si="479"/>
        <v>1</v>
      </c>
      <c r="DA2722" s="30">
        <f>+IF(CW2722+CX2722+CY2722=0,0,IF(CZ2722=0,0,1))</f>
        <v>1</v>
      </c>
      <c r="DB2722" s="2">
        <f t="shared" si="484"/>
        <v>0</v>
      </c>
      <c r="DS2722" s="130">
        <f>SI!BY2722</f>
        <v>194</v>
      </c>
      <c r="DZ2722" s="131">
        <f>SI!BZ2722</f>
        <v>0</v>
      </c>
    </row>
    <row r="2723" spans="1:130" hidden="1" x14ac:dyDescent="0.25">
      <c r="A2723" s="141"/>
      <c r="B2723" s="1149"/>
      <c r="C2723" s="1150"/>
      <c r="D2723" s="1150"/>
      <c r="E2723" s="1150"/>
      <c r="F2723" s="1150"/>
      <c r="G2723" s="1150"/>
      <c r="H2723" s="1150"/>
      <c r="I2723" s="1150"/>
      <c r="J2723" s="1150"/>
      <c r="K2723" s="1150"/>
      <c r="L2723" s="1150"/>
      <c r="M2723" s="1150"/>
      <c r="N2723" s="1150"/>
      <c r="O2723" s="1150"/>
      <c r="P2723" s="1150"/>
      <c r="Q2723" s="1150"/>
      <c r="R2723" s="1150"/>
      <c r="S2723" s="1150"/>
      <c r="T2723" s="1150"/>
      <c r="U2723" s="1150"/>
      <c r="V2723" s="1150"/>
      <c r="W2723" s="1150"/>
      <c r="X2723" s="1150"/>
      <c r="Y2723" s="1150"/>
      <c r="Z2723" s="1150"/>
      <c r="AA2723" s="1150"/>
      <c r="AB2723" s="1150"/>
      <c r="AC2723" s="1150"/>
      <c r="AD2723" s="1150"/>
      <c r="AE2723" s="1150"/>
      <c r="AF2723" s="1150"/>
      <c r="AG2723" s="1150"/>
      <c r="AH2723" s="1150"/>
      <c r="AI2723" s="1150"/>
      <c r="AJ2723" s="1150"/>
      <c r="AK2723" s="1151"/>
      <c r="AL2723" s="1161"/>
      <c r="AM2723" s="1162"/>
      <c r="AN2723" s="1162"/>
      <c r="AO2723" s="1162"/>
      <c r="AP2723" s="1162"/>
      <c r="AQ2723" s="1162"/>
      <c r="AR2723" s="1162"/>
      <c r="AS2723" s="1162"/>
      <c r="AT2723" s="1162"/>
      <c r="AU2723" s="1162"/>
      <c r="AV2723" s="1162"/>
      <c r="AW2723" s="1162"/>
      <c r="AX2723" s="1162"/>
      <c r="AY2723" s="1162"/>
      <c r="AZ2723" s="1162"/>
      <c r="BA2723" s="1162"/>
      <c r="BB2723" s="1162"/>
      <c r="BC2723" s="1162"/>
      <c r="BD2723" s="1162"/>
      <c r="BE2723" s="1162"/>
      <c r="BF2723" s="1163"/>
      <c r="BG2723" s="1161"/>
      <c r="BH2723" s="1162"/>
      <c r="BI2723" s="1162"/>
      <c r="BJ2723" s="1162"/>
      <c r="BK2723" s="1162"/>
      <c r="BL2723" s="1162"/>
      <c r="BM2723" s="1162"/>
      <c r="BN2723" s="1162"/>
      <c r="BO2723" s="1162"/>
      <c r="BP2723" s="1162"/>
      <c r="BQ2723" s="1162"/>
      <c r="BR2723" s="1162"/>
      <c r="BS2723" s="1162"/>
      <c r="BT2723" s="1162"/>
      <c r="BU2723" s="1162"/>
      <c r="BV2723" s="1162"/>
      <c r="BW2723" s="1162"/>
      <c r="BX2723" s="1162"/>
      <c r="BY2723" s="1162"/>
      <c r="BZ2723" s="1163"/>
      <c r="CA2723" s="270"/>
      <c r="CB2723" s="3" t="str">
        <f t="shared" si="478"/>
        <v>Riadok bude skrytý.</v>
      </c>
      <c r="CC2723" s="271" t="s">
        <v>832</v>
      </c>
      <c r="CW2723" s="30">
        <f t="shared" si="483"/>
        <v>1</v>
      </c>
      <c r="CZ2723" s="30">
        <f>IF(CC2723="",1,IF(CC2723="Chcem skryť riadok.",0,1))</f>
        <v>1</v>
      </c>
      <c r="DA2723" s="30">
        <f>+IF(CW2723+CX2723+CY2723=0,0,IF(CZ2723=0,0,1))</f>
        <v>1</v>
      </c>
      <c r="DB2723" s="2">
        <f t="shared" si="484"/>
        <v>0</v>
      </c>
      <c r="DS2723" s="130">
        <f>SI!BY2723</f>
        <v>940</v>
      </c>
      <c r="DZ2723" s="131">
        <f>SI!BZ2723</f>
        <v>0</v>
      </c>
    </row>
    <row r="2724" spans="1:130" hidden="1" x14ac:dyDescent="0.25">
      <c r="A2724" s="141"/>
      <c r="B2724" s="1083"/>
      <c r="C2724" s="1084"/>
      <c r="D2724" s="1084"/>
      <c r="E2724" s="1084"/>
      <c r="F2724" s="1084"/>
      <c r="G2724" s="1084"/>
      <c r="H2724" s="1084"/>
      <c r="I2724" s="1084"/>
      <c r="J2724" s="1084"/>
      <c r="K2724" s="1084"/>
      <c r="L2724" s="1084"/>
      <c r="M2724" s="1084"/>
      <c r="N2724" s="1084"/>
      <c r="O2724" s="1084"/>
      <c r="P2724" s="1084"/>
      <c r="Q2724" s="1084"/>
      <c r="R2724" s="1084"/>
      <c r="S2724" s="1084"/>
      <c r="T2724" s="1084"/>
      <c r="U2724" s="1084"/>
      <c r="V2724" s="1084"/>
      <c r="W2724" s="1084"/>
      <c r="X2724" s="1084"/>
      <c r="Y2724" s="1084"/>
      <c r="Z2724" s="1084"/>
      <c r="AA2724" s="1084"/>
      <c r="AB2724" s="1084"/>
      <c r="AC2724" s="1084"/>
      <c r="AD2724" s="1084"/>
      <c r="AE2724" s="1084"/>
      <c r="AF2724" s="1084"/>
      <c r="AG2724" s="1084"/>
      <c r="AH2724" s="1084"/>
      <c r="AI2724" s="1084"/>
      <c r="AJ2724" s="1084"/>
      <c r="AK2724" s="1134"/>
      <c r="AL2724" s="1155"/>
      <c r="AM2724" s="1156"/>
      <c r="AN2724" s="1156"/>
      <c r="AO2724" s="1156"/>
      <c r="AP2724" s="1156"/>
      <c r="AQ2724" s="1156"/>
      <c r="AR2724" s="1156"/>
      <c r="AS2724" s="1156"/>
      <c r="AT2724" s="1156"/>
      <c r="AU2724" s="1156"/>
      <c r="AV2724" s="1156"/>
      <c r="AW2724" s="1156"/>
      <c r="AX2724" s="1156"/>
      <c r="AY2724" s="1156"/>
      <c r="AZ2724" s="1156"/>
      <c r="BA2724" s="1156"/>
      <c r="BB2724" s="1156"/>
      <c r="BC2724" s="1156"/>
      <c r="BD2724" s="1156"/>
      <c r="BE2724" s="1156"/>
      <c r="BF2724" s="1157"/>
      <c r="BG2724" s="1155"/>
      <c r="BH2724" s="1156"/>
      <c r="BI2724" s="1156"/>
      <c r="BJ2724" s="1156"/>
      <c r="BK2724" s="1156"/>
      <c r="BL2724" s="1156"/>
      <c r="BM2724" s="1156"/>
      <c r="BN2724" s="1156"/>
      <c r="BO2724" s="1156"/>
      <c r="BP2724" s="1156"/>
      <c r="BQ2724" s="1156"/>
      <c r="BR2724" s="1156"/>
      <c r="BS2724" s="1156"/>
      <c r="BT2724" s="1156"/>
      <c r="BU2724" s="1156"/>
      <c r="BV2724" s="1156"/>
      <c r="BW2724" s="1156"/>
      <c r="BX2724" s="1156"/>
      <c r="BY2724" s="1156"/>
      <c r="BZ2724" s="1157"/>
      <c r="CA2724" s="270"/>
      <c r="CB2724" s="3" t="str">
        <f t="shared" si="478"/>
        <v>Riadok bude skrytý.</v>
      </c>
      <c r="CC2724" s="271" t="s">
        <v>832</v>
      </c>
      <c r="CW2724" s="30">
        <f t="shared" ref="CW2724:CW2732" si="490">+IF($J$2658="neúčtovala",0,1)</f>
        <v>1</v>
      </c>
      <c r="CX2724" s="30">
        <f t="shared" ref="CX2724:CX2731" si="491">+IF(B2724="",0,1)</f>
        <v>0</v>
      </c>
      <c r="CZ2724" s="30">
        <f t="shared" si="479"/>
        <v>1</v>
      </c>
      <c r="DA2724" s="52">
        <f t="shared" ref="DA2724:DA2731" si="492">+IF(CW2724*CX2724=0,0,IF(CZ2724=0,0,1))</f>
        <v>0</v>
      </c>
      <c r="DB2724" s="2">
        <f t="shared" si="484"/>
        <v>0</v>
      </c>
      <c r="DS2724" s="130">
        <f>SI!BY2724</f>
        <v>127</v>
      </c>
      <c r="DZ2724" s="131">
        <f>SI!BZ2724</f>
        <v>0</v>
      </c>
    </row>
    <row r="2725" spans="1:130" hidden="1" x14ac:dyDescent="0.25">
      <c r="A2725" s="141"/>
      <c r="B2725" s="1083"/>
      <c r="C2725" s="1084"/>
      <c r="D2725" s="1084"/>
      <c r="E2725" s="1084"/>
      <c r="F2725" s="1084"/>
      <c r="G2725" s="1084"/>
      <c r="H2725" s="1084"/>
      <c r="I2725" s="1084"/>
      <c r="J2725" s="1084"/>
      <c r="K2725" s="1084"/>
      <c r="L2725" s="1084"/>
      <c r="M2725" s="1084"/>
      <c r="N2725" s="1084"/>
      <c r="O2725" s="1084"/>
      <c r="P2725" s="1084"/>
      <c r="Q2725" s="1084"/>
      <c r="R2725" s="1084"/>
      <c r="S2725" s="1084"/>
      <c r="T2725" s="1084"/>
      <c r="U2725" s="1084"/>
      <c r="V2725" s="1084"/>
      <c r="W2725" s="1084"/>
      <c r="X2725" s="1084"/>
      <c r="Y2725" s="1084"/>
      <c r="Z2725" s="1084"/>
      <c r="AA2725" s="1084"/>
      <c r="AB2725" s="1084"/>
      <c r="AC2725" s="1084"/>
      <c r="AD2725" s="1084"/>
      <c r="AE2725" s="1084"/>
      <c r="AF2725" s="1084"/>
      <c r="AG2725" s="1084"/>
      <c r="AH2725" s="1084"/>
      <c r="AI2725" s="1084"/>
      <c r="AJ2725" s="1084"/>
      <c r="AK2725" s="1134"/>
      <c r="AL2725" s="1155"/>
      <c r="AM2725" s="1156"/>
      <c r="AN2725" s="1156"/>
      <c r="AO2725" s="1156"/>
      <c r="AP2725" s="1156"/>
      <c r="AQ2725" s="1156"/>
      <c r="AR2725" s="1156"/>
      <c r="AS2725" s="1156"/>
      <c r="AT2725" s="1156"/>
      <c r="AU2725" s="1156"/>
      <c r="AV2725" s="1156"/>
      <c r="AW2725" s="1156"/>
      <c r="AX2725" s="1156"/>
      <c r="AY2725" s="1156"/>
      <c r="AZ2725" s="1156"/>
      <c r="BA2725" s="1156"/>
      <c r="BB2725" s="1156"/>
      <c r="BC2725" s="1156"/>
      <c r="BD2725" s="1156"/>
      <c r="BE2725" s="1156"/>
      <c r="BF2725" s="1157"/>
      <c r="BG2725" s="1155"/>
      <c r="BH2725" s="1156"/>
      <c r="BI2725" s="1156"/>
      <c r="BJ2725" s="1156"/>
      <c r="BK2725" s="1156"/>
      <c r="BL2725" s="1156"/>
      <c r="BM2725" s="1156"/>
      <c r="BN2725" s="1156"/>
      <c r="BO2725" s="1156"/>
      <c r="BP2725" s="1156"/>
      <c r="BQ2725" s="1156"/>
      <c r="BR2725" s="1156"/>
      <c r="BS2725" s="1156"/>
      <c r="BT2725" s="1156"/>
      <c r="BU2725" s="1156"/>
      <c r="BV2725" s="1156"/>
      <c r="BW2725" s="1156"/>
      <c r="BX2725" s="1156"/>
      <c r="BY2725" s="1156"/>
      <c r="BZ2725" s="1157"/>
      <c r="CA2725" s="270"/>
      <c r="CB2725" s="3" t="str">
        <f t="shared" si="478"/>
        <v>Riadok bude skrytý.</v>
      </c>
      <c r="CC2725" s="271" t="s">
        <v>832</v>
      </c>
      <c r="CW2725" s="30">
        <f t="shared" si="490"/>
        <v>1</v>
      </c>
      <c r="CX2725" s="30">
        <f t="shared" si="491"/>
        <v>0</v>
      </c>
      <c r="CZ2725" s="30">
        <f t="shared" si="479"/>
        <v>1</v>
      </c>
      <c r="DA2725" s="52">
        <f t="shared" si="492"/>
        <v>0</v>
      </c>
      <c r="DB2725" s="2">
        <f t="shared" si="484"/>
        <v>0</v>
      </c>
      <c r="DS2725" s="130">
        <f>SI!BY2725</f>
        <v>630</v>
      </c>
      <c r="DZ2725" s="131">
        <f>SI!BZ2725</f>
        <v>0</v>
      </c>
    </row>
    <row r="2726" spans="1:130" hidden="1" x14ac:dyDescent="0.25">
      <c r="A2726" s="141"/>
      <c r="B2726" s="1083"/>
      <c r="C2726" s="1084"/>
      <c r="D2726" s="1084"/>
      <c r="E2726" s="1084"/>
      <c r="F2726" s="1084"/>
      <c r="G2726" s="1084"/>
      <c r="H2726" s="1084"/>
      <c r="I2726" s="1084"/>
      <c r="J2726" s="1084"/>
      <c r="K2726" s="1084"/>
      <c r="L2726" s="1084"/>
      <c r="M2726" s="1084"/>
      <c r="N2726" s="1084"/>
      <c r="O2726" s="1084"/>
      <c r="P2726" s="1084"/>
      <c r="Q2726" s="1084"/>
      <c r="R2726" s="1084"/>
      <c r="S2726" s="1084"/>
      <c r="T2726" s="1084"/>
      <c r="U2726" s="1084"/>
      <c r="V2726" s="1084"/>
      <c r="W2726" s="1084"/>
      <c r="X2726" s="1084"/>
      <c r="Y2726" s="1084"/>
      <c r="Z2726" s="1084"/>
      <c r="AA2726" s="1084"/>
      <c r="AB2726" s="1084"/>
      <c r="AC2726" s="1084"/>
      <c r="AD2726" s="1084"/>
      <c r="AE2726" s="1084"/>
      <c r="AF2726" s="1084"/>
      <c r="AG2726" s="1084"/>
      <c r="AH2726" s="1084"/>
      <c r="AI2726" s="1084"/>
      <c r="AJ2726" s="1084"/>
      <c r="AK2726" s="1134"/>
      <c r="AL2726" s="1155"/>
      <c r="AM2726" s="1156"/>
      <c r="AN2726" s="1156"/>
      <c r="AO2726" s="1156"/>
      <c r="AP2726" s="1156"/>
      <c r="AQ2726" s="1156"/>
      <c r="AR2726" s="1156"/>
      <c r="AS2726" s="1156"/>
      <c r="AT2726" s="1156"/>
      <c r="AU2726" s="1156"/>
      <c r="AV2726" s="1156"/>
      <c r="AW2726" s="1156"/>
      <c r="AX2726" s="1156"/>
      <c r="AY2726" s="1156"/>
      <c r="AZ2726" s="1156"/>
      <c r="BA2726" s="1156"/>
      <c r="BB2726" s="1156"/>
      <c r="BC2726" s="1156"/>
      <c r="BD2726" s="1156"/>
      <c r="BE2726" s="1156"/>
      <c r="BF2726" s="1157"/>
      <c r="BG2726" s="1155"/>
      <c r="BH2726" s="1156"/>
      <c r="BI2726" s="1156"/>
      <c r="BJ2726" s="1156"/>
      <c r="BK2726" s="1156"/>
      <c r="BL2726" s="1156"/>
      <c r="BM2726" s="1156"/>
      <c r="BN2726" s="1156"/>
      <c r="BO2726" s="1156"/>
      <c r="BP2726" s="1156"/>
      <c r="BQ2726" s="1156"/>
      <c r="BR2726" s="1156"/>
      <c r="BS2726" s="1156"/>
      <c r="BT2726" s="1156"/>
      <c r="BU2726" s="1156"/>
      <c r="BV2726" s="1156"/>
      <c r="BW2726" s="1156"/>
      <c r="BX2726" s="1156"/>
      <c r="BY2726" s="1156"/>
      <c r="BZ2726" s="1157"/>
      <c r="CA2726" s="270"/>
      <c r="CB2726" s="3" t="str">
        <f t="shared" si="478"/>
        <v>Riadok bude skrytý.</v>
      </c>
      <c r="CC2726" s="271" t="s">
        <v>832</v>
      </c>
      <c r="CW2726" s="30">
        <f t="shared" si="490"/>
        <v>1</v>
      </c>
      <c r="CX2726" s="30">
        <f t="shared" si="491"/>
        <v>0</v>
      </c>
      <c r="CZ2726" s="30">
        <f t="shared" si="479"/>
        <v>1</v>
      </c>
      <c r="DA2726" s="52">
        <f t="shared" si="492"/>
        <v>0</v>
      </c>
      <c r="DB2726" s="2">
        <f t="shared" si="484"/>
        <v>0</v>
      </c>
      <c r="DS2726" s="130">
        <f>SI!BY2726</f>
        <v>206</v>
      </c>
      <c r="DZ2726" s="131">
        <f>SI!BZ2726</f>
        <v>0</v>
      </c>
    </row>
    <row r="2727" spans="1:130" hidden="1" x14ac:dyDescent="0.25">
      <c r="A2727" s="141"/>
      <c r="B2727" s="1083"/>
      <c r="C2727" s="1084"/>
      <c r="D2727" s="1084"/>
      <c r="E2727" s="1084"/>
      <c r="F2727" s="1084"/>
      <c r="G2727" s="1084"/>
      <c r="H2727" s="1084"/>
      <c r="I2727" s="1084"/>
      <c r="J2727" s="1084"/>
      <c r="K2727" s="1084"/>
      <c r="L2727" s="1084"/>
      <c r="M2727" s="1084"/>
      <c r="N2727" s="1084"/>
      <c r="O2727" s="1084"/>
      <c r="P2727" s="1084"/>
      <c r="Q2727" s="1084"/>
      <c r="R2727" s="1084"/>
      <c r="S2727" s="1084"/>
      <c r="T2727" s="1084"/>
      <c r="U2727" s="1084"/>
      <c r="V2727" s="1084"/>
      <c r="W2727" s="1084"/>
      <c r="X2727" s="1084"/>
      <c r="Y2727" s="1084"/>
      <c r="Z2727" s="1084"/>
      <c r="AA2727" s="1084"/>
      <c r="AB2727" s="1084"/>
      <c r="AC2727" s="1084"/>
      <c r="AD2727" s="1084"/>
      <c r="AE2727" s="1084"/>
      <c r="AF2727" s="1084"/>
      <c r="AG2727" s="1084"/>
      <c r="AH2727" s="1084"/>
      <c r="AI2727" s="1084"/>
      <c r="AJ2727" s="1084"/>
      <c r="AK2727" s="1134"/>
      <c r="AL2727" s="1155"/>
      <c r="AM2727" s="1156"/>
      <c r="AN2727" s="1156"/>
      <c r="AO2727" s="1156"/>
      <c r="AP2727" s="1156"/>
      <c r="AQ2727" s="1156"/>
      <c r="AR2727" s="1156"/>
      <c r="AS2727" s="1156"/>
      <c r="AT2727" s="1156"/>
      <c r="AU2727" s="1156"/>
      <c r="AV2727" s="1156"/>
      <c r="AW2727" s="1156"/>
      <c r="AX2727" s="1156"/>
      <c r="AY2727" s="1156"/>
      <c r="AZ2727" s="1156"/>
      <c r="BA2727" s="1156"/>
      <c r="BB2727" s="1156"/>
      <c r="BC2727" s="1156"/>
      <c r="BD2727" s="1156"/>
      <c r="BE2727" s="1156"/>
      <c r="BF2727" s="1157"/>
      <c r="BG2727" s="1155"/>
      <c r="BH2727" s="1156"/>
      <c r="BI2727" s="1156"/>
      <c r="BJ2727" s="1156"/>
      <c r="BK2727" s="1156"/>
      <c r="BL2727" s="1156"/>
      <c r="BM2727" s="1156"/>
      <c r="BN2727" s="1156"/>
      <c r="BO2727" s="1156"/>
      <c r="BP2727" s="1156"/>
      <c r="BQ2727" s="1156"/>
      <c r="BR2727" s="1156"/>
      <c r="BS2727" s="1156"/>
      <c r="BT2727" s="1156"/>
      <c r="BU2727" s="1156"/>
      <c r="BV2727" s="1156"/>
      <c r="BW2727" s="1156"/>
      <c r="BX2727" s="1156"/>
      <c r="BY2727" s="1156"/>
      <c r="BZ2727" s="1157"/>
      <c r="CA2727" s="270"/>
      <c r="CB2727" s="3" t="str">
        <f t="shared" si="478"/>
        <v>Riadok bude skrytý.</v>
      </c>
      <c r="CC2727" s="271" t="s">
        <v>832</v>
      </c>
      <c r="CW2727" s="30">
        <f t="shared" si="490"/>
        <v>1</v>
      </c>
      <c r="CX2727" s="30">
        <f t="shared" si="491"/>
        <v>0</v>
      </c>
      <c r="CZ2727" s="30">
        <f t="shared" si="479"/>
        <v>1</v>
      </c>
      <c r="DA2727" s="52">
        <f t="shared" si="492"/>
        <v>0</v>
      </c>
      <c r="DB2727" s="2">
        <f t="shared" si="484"/>
        <v>0</v>
      </c>
      <c r="DS2727" s="130">
        <f>SI!BY2727</f>
        <v>410</v>
      </c>
      <c r="DZ2727" s="131">
        <f>SI!BZ2727</f>
        <v>0</v>
      </c>
    </row>
    <row r="2728" spans="1:130" hidden="1" x14ac:dyDescent="0.25">
      <c r="A2728" s="141"/>
      <c r="B2728" s="1083"/>
      <c r="C2728" s="1084"/>
      <c r="D2728" s="1084"/>
      <c r="E2728" s="1084"/>
      <c r="F2728" s="1084"/>
      <c r="G2728" s="1084"/>
      <c r="H2728" s="1084"/>
      <c r="I2728" s="1084"/>
      <c r="J2728" s="1084"/>
      <c r="K2728" s="1084"/>
      <c r="L2728" s="1084"/>
      <c r="M2728" s="1084"/>
      <c r="N2728" s="1084"/>
      <c r="O2728" s="1084"/>
      <c r="P2728" s="1084"/>
      <c r="Q2728" s="1084"/>
      <c r="R2728" s="1084"/>
      <c r="S2728" s="1084"/>
      <c r="T2728" s="1084"/>
      <c r="U2728" s="1084"/>
      <c r="V2728" s="1084"/>
      <c r="W2728" s="1084"/>
      <c r="X2728" s="1084"/>
      <c r="Y2728" s="1084"/>
      <c r="Z2728" s="1084"/>
      <c r="AA2728" s="1084"/>
      <c r="AB2728" s="1084"/>
      <c r="AC2728" s="1084"/>
      <c r="AD2728" s="1084"/>
      <c r="AE2728" s="1084"/>
      <c r="AF2728" s="1084"/>
      <c r="AG2728" s="1084"/>
      <c r="AH2728" s="1084"/>
      <c r="AI2728" s="1084"/>
      <c r="AJ2728" s="1084"/>
      <c r="AK2728" s="1134"/>
      <c r="AL2728" s="1155"/>
      <c r="AM2728" s="1156"/>
      <c r="AN2728" s="1156"/>
      <c r="AO2728" s="1156"/>
      <c r="AP2728" s="1156"/>
      <c r="AQ2728" s="1156"/>
      <c r="AR2728" s="1156"/>
      <c r="AS2728" s="1156"/>
      <c r="AT2728" s="1156"/>
      <c r="AU2728" s="1156"/>
      <c r="AV2728" s="1156"/>
      <c r="AW2728" s="1156"/>
      <c r="AX2728" s="1156"/>
      <c r="AY2728" s="1156"/>
      <c r="AZ2728" s="1156"/>
      <c r="BA2728" s="1156"/>
      <c r="BB2728" s="1156"/>
      <c r="BC2728" s="1156"/>
      <c r="BD2728" s="1156"/>
      <c r="BE2728" s="1156"/>
      <c r="BF2728" s="1157"/>
      <c r="BG2728" s="1155"/>
      <c r="BH2728" s="1156"/>
      <c r="BI2728" s="1156"/>
      <c r="BJ2728" s="1156"/>
      <c r="BK2728" s="1156"/>
      <c r="BL2728" s="1156"/>
      <c r="BM2728" s="1156"/>
      <c r="BN2728" s="1156"/>
      <c r="BO2728" s="1156"/>
      <c r="BP2728" s="1156"/>
      <c r="BQ2728" s="1156"/>
      <c r="BR2728" s="1156"/>
      <c r="BS2728" s="1156"/>
      <c r="BT2728" s="1156"/>
      <c r="BU2728" s="1156"/>
      <c r="BV2728" s="1156"/>
      <c r="BW2728" s="1156"/>
      <c r="BX2728" s="1156"/>
      <c r="BY2728" s="1156"/>
      <c r="BZ2728" s="1157"/>
      <c r="CA2728" s="270"/>
      <c r="CB2728" s="3" t="str">
        <f t="shared" si="478"/>
        <v>Riadok bude skrytý.</v>
      </c>
      <c r="CC2728" s="271" t="s">
        <v>832</v>
      </c>
      <c r="CW2728" s="30">
        <f t="shared" si="490"/>
        <v>1</v>
      </c>
      <c r="CX2728" s="30">
        <f t="shared" si="491"/>
        <v>0</v>
      </c>
      <c r="CZ2728" s="30">
        <f t="shared" si="479"/>
        <v>1</v>
      </c>
      <c r="DA2728" s="52">
        <f t="shared" si="492"/>
        <v>0</v>
      </c>
      <c r="DB2728" s="2">
        <f t="shared" si="484"/>
        <v>0</v>
      </c>
      <c r="DS2728" s="130">
        <f>SI!BY2728</f>
        <v>159</v>
      </c>
      <c r="DZ2728" s="131">
        <f>SI!BZ2728</f>
        <v>0</v>
      </c>
    </row>
    <row r="2729" spans="1:130" hidden="1" x14ac:dyDescent="0.25">
      <c r="A2729" s="141"/>
      <c r="B2729" s="1083"/>
      <c r="C2729" s="1084"/>
      <c r="D2729" s="1084"/>
      <c r="E2729" s="1084"/>
      <c r="F2729" s="1084"/>
      <c r="G2729" s="1084"/>
      <c r="H2729" s="1084"/>
      <c r="I2729" s="1084"/>
      <c r="J2729" s="1084"/>
      <c r="K2729" s="1084"/>
      <c r="L2729" s="1084"/>
      <c r="M2729" s="1084"/>
      <c r="N2729" s="1084"/>
      <c r="O2729" s="1084"/>
      <c r="P2729" s="1084"/>
      <c r="Q2729" s="1084"/>
      <c r="R2729" s="1084"/>
      <c r="S2729" s="1084"/>
      <c r="T2729" s="1084"/>
      <c r="U2729" s="1084"/>
      <c r="V2729" s="1084"/>
      <c r="W2729" s="1084"/>
      <c r="X2729" s="1084"/>
      <c r="Y2729" s="1084"/>
      <c r="Z2729" s="1084"/>
      <c r="AA2729" s="1084"/>
      <c r="AB2729" s="1084"/>
      <c r="AC2729" s="1084"/>
      <c r="AD2729" s="1084"/>
      <c r="AE2729" s="1084"/>
      <c r="AF2729" s="1084"/>
      <c r="AG2729" s="1084"/>
      <c r="AH2729" s="1084"/>
      <c r="AI2729" s="1084"/>
      <c r="AJ2729" s="1084"/>
      <c r="AK2729" s="1134"/>
      <c r="AL2729" s="1155"/>
      <c r="AM2729" s="1156"/>
      <c r="AN2729" s="1156"/>
      <c r="AO2729" s="1156"/>
      <c r="AP2729" s="1156"/>
      <c r="AQ2729" s="1156"/>
      <c r="AR2729" s="1156"/>
      <c r="AS2729" s="1156"/>
      <c r="AT2729" s="1156"/>
      <c r="AU2729" s="1156"/>
      <c r="AV2729" s="1156"/>
      <c r="AW2729" s="1156"/>
      <c r="AX2729" s="1156"/>
      <c r="AY2729" s="1156"/>
      <c r="AZ2729" s="1156"/>
      <c r="BA2729" s="1156"/>
      <c r="BB2729" s="1156"/>
      <c r="BC2729" s="1156"/>
      <c r="BD2729" s="1156"/>
      <c r="BE2729" s="1156"/>
      <c r="BF2729" s="1157"/>
      <c r="BG2729" s="1155"/>
      <c r="BH2729" s="1156"/>
      <c r="BI2729" s="1156"/>
      <c r="BJ2729" s="1156"/>
      <c r="BK2729" s="1156"/>
      <c r="BL2729" s="1156"/>
      <c r="BM2729" s="1156"/>
      <c r="BN2729" s="1156"/>
      <c r="BO2729" s="1156"/>
      <c r="BP2729" s="1156"/>
      <c r="BQ2729" s="1156"/>
      <c r="BR2729" s="1156"/>
      <c r="BS2729" s="1156"/>
      <c r="BT2729" s="1156"/>
      <c r="BU2729" s="1156"/>
      <c r="BV2729" s="1156"/>
      <c r="BW2729" s="1156"/>
      <c r="BX2729" s="1156"/>
      <c r="BY2729" s="1156"/>
      <c r="BZ2729" s="1157"/>
      <c r="CA2729" s="270"/>
      <c r="CB2729" s="3" t="str">
        <f t="shared" si="478"/>
        <v>Riadok bude skrytý.</v>
      </c>
      <c r="CC2729" s="271" t="s">
        <v>832</v>
      </c>
      <c r="CW2729" s="30">
        <f t="shared" si="490"/>
        <v>1</v>
      </c>
      <c r="CX2729" s="30">
        <f t="shared" si="491"/>
        <v>0</v>
      </c>
      <c r="CZ2729" s="30">
        <f t="shared" si="479"/>
        <v>1</v>
      </c>
      <c r="DA2729" s="52">
        <f t="shared" si="492"/>
        <v>0</v>
      </c>
      <c r="DB2729" s="2">
        <f t="shared" si="484"/>
        <v>0</v>
      </c>
      <c r="DS2729" s="130">
        <f>SI!BY2729</f>
        <v>273</v>
      </c>
      <c r="DZ2729" s="131">
        <f>SI!BZ2729</f>
        <v>0</v>
      </c>
    </row>
    <row r="2730" spans="1:130" hidden="1" x14ac:dyDescent="0.25">
      <c r="A2730" s="141"/>
      <c r="B2730" s="1083"/>
      <c r="C2730" s="1084"/>
      <c r="D2730" s="1084"/>
      <c r="E2730" s="1084"/>
      <c r="F2730" s="1084"/>
      <c r="G2730" s="1084"/>
      <c r="H2730" s="1084"/>
      <c r="I2730" s="1084"/>
      <c r="J2730" s="1084"/>
      <c r="K2730" s="1084"/>
      <c r="L2730" s="1084"/>
      <c r="M2730" s="1084"/>
      <c r="N2730" s="1084"/>
      <c r="O2730" s="1084"/>
      <c r="P2730" s="1084"/>
      <c r="Q2730" s="1084"/>
      <c r="R2730" s="1084"/>
      <c r="S2730" s="1084"/>
      <c r="T2730" s="1084"/>
      <c r="U2730" s="1084"/>
      <c r="V2730" s="1084"/>
      <c r="W2730" s="1084"/>
      <c r="X2730" s="1084"/>
      <c r="Y2730" s="1084"/>
      <c r="Z2730" s="1084"/>
      <c r="AA2730" s="1084"/>
      <c r="AB2730" s="1084"/>
      <c r="AC2730" s="1084"/>
      <c r="AD2730" s="1084"/>
      <c r="AE2730" s="1084"/>
      <c r="AF2730" s="1084"/>
      <c r="AG2730" s="1084"/>
      <c r="AH2730" s="1084"/>
      <c r="AI2730" s="1084"/>
      <c r="AJ2730" s="1084"/>
      <c r="AK2730" s="1134"/>
      <c r="AL2730" s="1155"/>
      <c r="AM2730" s="1156"/>
      <c r="AN2730" s="1156"/>
      <c r="AO2730" s="1156"/>
      <c r="AP2730" s="1156"/>
      <c r="AQ2730" s="1156"/>
      <c r="AR2730" s="1156"/>
      <c r="AS2730" s="1156"/>
      <c r="AT2730" s="1156"/>
      <c r="AU2730" s="1156"/>
      <c r="AV2730" s="1156"/>
      <c r="AW2730" s="1156"/>
      <c r="AX2730" s="1156"/>
      <c r="AY2730" s="1156"/>
      <c r="AZ2730" s="1156"/>
      <c r="BA2730" s="1156"/>
      <c r="BB2730" s="1156"/>
      <c r="BC2730" s="1156"/>
      <c r="BD2730" s="1156"/>
      <c r="BE2730" s="1156"/>
      <c r="BF2730" s="1157"/>
      <c r="BG2730" s="1155"/>
      <c r="BH2730" s="1156"/>
      <c r="BI2730" s="1156"/>
      <c r="BJ2730" s="1156"/>
      <c r="BK2730" s="1156"/>
      <c r="BL2730" s="1156"/>
      <c r="BM2730" s="1156"/>
      <c r="BN2730" s="1156"/>
      <c r="BO2730" s="1156"/>
      <c r="BP2730" s="1156"/>
      <c r="BQ2730" s="1156"/>
      <c r="BR2730" s="1156"/>
      <c r="BS2730" s="1156"/>
      <c r="BT2730" s="1156"/>
      <c r="BU2730" s="1156"/>
      <c r="BV2730" s="1156"/>
      <c r="BW2730" s="1156"/>
      <c r="BX2730" s="1156"/>
      <c r="BY2730" s="1156"/>
      <c r="BZ2730" s="1157"/>
      <c r="CA2730" s="270"/>
      <c r="CB2730" s="3" t="str">
        <f t="shared" si="478"/>
        <v>Riadok bude skrytý.</v>
      </c>
      <c r="CC2730" s="271" t="s">
        <v>832</v>
      </c>
      <c r="CW2730" s="30">
        <f t="shared" si="490"/>
        <v>1</v>
      </c>
      <c r="CX2730" s="30">
        <f t="shared" si="491"/>
        <v>0</v>
      </c>
      <c r="CZ2730" s="30">
        <f t="shared" si="479"/>
        <v>1</v>
      </c>
      <c r="DA2730" s="52">
        <f t="shared" si="492"/>
        <v>0</v>
      </c>
      <c r="DB2730" s="2">
        <f t="shared" si="484"/>
        <v>0</v>
      </c>
      <c r="DS2730" s="130">
        <f>SI!BY2730</f>
        <v>152</v>
      </c>
      <c r="DZ2730" s="131">
        <f>SI!BZ2730</f>
        <v>0</v>
      </c>
    </row>
    <row r="2731" spans="1:130" hidden="1" x14ac:dyDescent="0.25">
      <c r="A2731" s="141"/>
      <c r="B2731" s="1083"/>
      <c r="C2731" s="1084"/>
      <c r="D2731" s="1084"/>
      <c r="E2731" s="1084"/>
      <c r="F2731" s="1084"/>
      <c r="G2731" s="1084"/>
      <c r="H2731" s="1084"/>
      <c r="I2731" s="1084"/>
      <c r="J2731" s="1084"/>
      <c r="K2731" s="1084"/>
      <c r="L2731" s="1084"/>
      <c r="M2731" s="1084"/>
      <c r="N2731" s="1084"/>
      <c r="O2731" s="1084"/>
      <c r="P2731" s="1084"/>
      <c r="Q2731" s="1084"/>
      <c r="R2731" s="1084"/>
      <c r="S2731" s="1084"/>
      <c r="T2731" s="1084"/>
      <c r="U2731" s="1084"/>
      <c r="V2731" s="1084"/>
      <c r="W2731" s="1084"/>
      <c r="X2731" s="1084"/>
      <c r="Y2731" s="1084"/>
      <c r="Z2731" s="1084"/>
      <c r="AA2731" s="1084"/>
      <c r="AB2731" s="1084"/>
      <c r="AC2731" s="1084"/>
      <c r="AD2731" s="1084"/>
      <c r="AE2731" s="1084"/>
      <c r="AF2731" s="1084"/>
      <c r="AG2731" s="1084"/>
      <c r="AH2731" s="1084"/>
      <c r="AI2731" s="1084"/>
      <c r="AJ2731" s="1084"/>
      <c r="AK2731" s="1134"/>
      <c r="AL2731" s="1155"/>
      <c r="AM2731" s="1156"/>
      <c r="AN2731" s="1156"/>
      <c r="AO2731" s="1156"/>
      <c r="AP2731" s="1156"/>
      <c r="AQ2731" s="1156"/>
      <c r="AR2731" s="1156"/>
      <c r="AS2731" s="1156"/>
      <c r="AT2731" s="1156"/>
      <c r="AU2731" s="1156"/>
      <c r="AV2731" s="1156"/>
      <c r="AW2731" s="1156"/>
      <c r="AX2731" s="1156"/>
      <c r="AY2731" s="1156"/>
      <c r="AZ2731" s="1156"/>
      <c r="BA2731" s="1156"/>
      <c r="BB2731" s="1156"/>
      <c r="BC2731" s="1156"/>
      <c r="BD2731" s="1156"/>
      <c r="BE2731" s="1156"/>
      <c r="BF2731" s="1157"/>
      <c r="BG2731" s="1155"/>
      <c r="BH2731" s="1156"/>
      <c r="BI2731" s="1156"/>
      <c r="BJ2731" s="1156"/>
      <c r="BK2731" s="1156"/>
      <c r="BL2731" s="1156"/>
      <c r="BM2731" s="1156"/>
      <c r="BN2731" s="1156"/>
      <c r="BO2731" s="1156"/>
      <c r="BP2731" s="1156"/>
      <c r="BQ2731" s="1156"/>
      <c r="BR2731" s="1156"/>
      <c r="BS2731" s="1156"/>
      <c r="BT2731" s="1156"/>
      <c r="BU2731" s="1156"/>
      <c r="BV2731" s="1156"/>
      <c r="BW2731" s="1156"/>
      <c r="BX2731" s="1156"/>
      <c r="BY2731" s="1156"/>
      <c r="BZ2731" s="1157"/>
      <c r="CA2731" s="270"/>
      <c r="CB2731" s="3" t="str">
        <f t="shared" si="478"/>
        <v>Riadok bude skrytý.</v>
      </c>
      <c r="CC2731" s="271" t="s">
        <v>832</v>
      </c>
      <c r="CW2731" s="30">
        <f t="shared" si="490"/>
        <v>1</v>
      </c>
      <c r="CX2731" s="30">
        <f t="shared" si="491"/>
        <v>0</v>
      </c>
      <c r="CZ2731" s="30">
        <f t="shared" si="479"/>
        <v>1</v>
      </c>
      <c r="DA2731" s="52">
        <f t="shared" si="492"/>
        <v>0</v>
      </c>
      <c r="DB2731" s="2">
        <f t="shared" si="484"/>
        <v>0</v>
      </c>
      <c r="DS2731" s="130">
        <f>SI!BY2731</f>
        <v>316</v>
      </c>
      <c r="DZ2731" s="131">
        <f>SI!BZ2731</f>
        <v>0</v>
      </c>
    </row>
    <row r="2732" spans="1:130" hidden="1" x14ac:dyDescent="0.25">
      <c r="A2732" s="141"/>
      <c r="B2732" s="1143"/>
      <c r="C2732" s="1144"/>
      <c r="D2732" s="1144"/>
      <c r="E2732" s="1144"/>
      <c r="F2732" s="1144"/>
      <c r="G2732" s="1144"/>
      <c r="H2732" s="1144"/>
      <c r="I2732" s="1144"/>
      <c r="J2732" s="1144"/>
      <c r="K2732" s="1144"/>
      <c r="L2732" s="1144"/>
      <c r="M2732" s="1144"/>
      <c r="N2732" s="1144"/>
      <c r="O2732" s="1144"/>
      <c r="P2732" s="1144"/>
      <c r="Q2732" s="1144"/>
      <c r="R2732" s="1144"/>
      <c r="S2732" s="1144"/>
      <c r="T2732" s="1144"/>
      <c r="U2732" s="1144"/>
      <c r="V2732" s="1144"/>
      <c r="W2732" s="1144"/>
      <c r="X2732" s="1144"/>
      <c r="Y2732" s="1144"/>
      <c r="Z2732" s="1144"/>
      <c r="AA2732" s="1144"/>
      <c r="AB2732" s="1144"/>
      <c r="AC2732" s="1144"/>
      <c r="AD2732" s="1144"/>
      <c r="AE2732" s="1144"/>
      <c r="AF2732" s="1144"/>
      <c r="AG2732" s="1144"/>
      <c r="AH2732" s="1144"/>
      <c r="AI2732" s="1144"/>
      <c r="AJ2732" s="1144"/>
      <c r="AK2732" s="1145"/>
      <c r="AL2732" s="1164"/>
      <c r="AM2732" s="1165"/>
      <c r="AN2732" s="1165"/>
      <c r="AO2732" s="1165"/>
      <c r="AP2732" s="1165"/>
      <c r="AQ2732" s="1165"/>
      <c r="AR2732" s="1165"/>
      <c r="AS2732" s="1165"/>
      <c r="AT2732" s="1165"/>
      <c r="AU2732" s="1165"/>
      <c r="AV2732" s="1165"/>
      <c r="AW2732" s="1165"/>
      <c r="AX2732" s="1165"/>
      <c r="AY2732" s="1165"/>
      <c r="AZ2732" s="1165"/>
      <c r="BA2732" s="1165"/>
      <c r="BB2732" s="1165"/>
      <c r="BC2732" s="1165"/>
      <c r="BD2732" s="1165"/>
      <c r="BE2732" s="1165"/>
      <c r="BF2732" s="1166"/>
      <c r="BG2732" s="1164"/>
      <c r="BH2732" s="1165"/>
      <c r="BI2732" s="1165"/>
      <c r="BJ2732" s="1165"/>
      <c r="BK2732" s="1165"/>
      <c r="BL2732" s="1165"/>
      <c r="BM2732" s="1165"/>
      <c r="BN2732" s="1165"/>
      <c r="BO2732" s="1165"/>
      <c r="BP2732" s="1165"/>
      <c r="BQ2732" s="1165"/>
      <c r="BR2732" s="1165"/>
      <c r="BS2732" s="1165"/>
      <c r="BT2732" s="1165"/>
      <c r="BU2732" s="1165"/>
      <c r="BV2732" s="1165"/>
      <c r="BW2732" s="1165"/>
      <c r="BX2732" s="1165"/>
      <c r="BY2732" s="1165"/>
      <c r="BZ2732" s="1166"/>
      <c r="CA2732" s="142"/>
      <c r="CB2732" s="3" t="str">
        <f t="shared" si="478"/>
        <v>Riadok bude skrytý.</v>
      </c>
      <c r="CC2732" s="271" t="s">
        <v>832</v>
      </c>
      <c r="CW2732" s="30">
        <f t="shared" si="490"/>
        <v>1</v>
      </c>
      <c r="CZ2732" s="30">
        <f t="shared" si="479"/>
        <v>1</v>
      </c>
      <c r="DA2732" s="30">
        <f>+IF(CW2732+CX2732+CY2732=0,0,IF(CZ2732=0,0,1))</f>
        <v>1</v>
      </c>
      <c r="DB2732" s="2">
        <f t="shared" si="484"/>
        <v>0</v>
      </c>
      <c r="DS2732" s="130">
        <f>SI!BY2732</f>
        <v>167</v>
      </c>
      <c r="DZ2732" s="131">
        <f>SI!BZ2732</f>
        <v>0</v>
      </c>
    </row>
    <row r="2733" spans="1:130" hidden="1" x14ac:dyDescent="0.25">
      <c r="A2733" s="141"/>
      <c r="CA2733" s="142"/>
      <c r="CB2733" s="3" t="str">
        <f t="shared" si="478"/>
        <v>Riadok bude skrytý.</v>
      </c>
      <c r="CW2733" s="49">
        <v>1</v>
      </c>
      <c r="CZ2733" s="30">
        <f t="shared" si="479"/>
        <v>1</v>
      </c>
      <c r="DA2733" s="30">
        <f>+IF(CW2733+CX2733+CY2733=0,0,IF(CZ2733=0,0,1))</f>
        <v>1</v>
      </c>
      <c r="DB2733" s="2">
        <f t="shared" si="484"/>
        <v>0</v>
      </c>
      <c r="DS2733" s="130">
        <f>SI!BY2733</f>
        <v>535</v>
      </c>
      <c r="DZ2733" s="131">
        <f>SI!BZ2733</f>
        <v>0</v>
      </c>
    </row>
    <row r="2734" spans="1:130" hidden="1" x14ac:dyDescent="0.25">
      <c r="A2734" s="141"/>
      <c r="B2734" s="289" t="s">
        <v>345</v>
      </c>
      <c r="C2734" s="288"/>
      <c r="D2734" s="288"/>
      <c r="E2734" s="288"/>
      <c r="F2734" s="288"/>
      <c r="G2734" s="289" t="s">
        <v>346</v>
      </c>
      <c r="H2734" s="289"/>
      <c r="I2734" s="288"/>
      <c r="J2734" s="288"/>
      <c r="K2734" s="288"/>
      <c r="L2734" s="288"/>
      <c r="M2734" s="288"/>
      <c r="N2734" s="288"/>
      <c r="O2734" s="288"/>
      <c r="P2734" s="288"/>
      <c r="Q2734" s="288"/>
      <c r="R2734" s="288"/>
      <c r="S2734" s="288"/>
      <c r="T2734" s="288"/>
      <c r="U2734" s="288"/>
      <c r="V2734" s="288"/>
      <c r="W2734" s="288"/>
      <c r="X2734" s="288"/>
      <c r="Y2734" s="288"/>
      <c r="Z2734" s="288"/>
      <c r="AA2734" s="288"/>
      <c r="AB2734" s="288"/>
      <c r="AC2734" s="288"/>
      <c r="AD2734" s="288"/>
      <c r="AE2734" s="288"/>
      <c r="AF2734" s="288"/>
      <c r="AG2734" s="288"/>
      <c r="AH2734" s="288"/>
      <c r="AI2734" s="288"/>
      <c r="AJ2734" s="288"/>
      <c r="AK2734" s="288"/>
      <c r="AL2734" s="288"/>
      <c r="AM2734" s="288"/>
      <c r="AN2734" s="288"/>
      <c r="AO2734" s="288"/>
      <c r="AP2734" s="288"/>
      <c r="AQ2734" s="288"/>
      <c r="AR2734" s="288"/>
      <c r="AS2734" s="288"/>
      <c r="AT2734" s="288"/>
      <c r="AU2734" s="288"/>
      <c r="AV2734" s="288"/>
      <c r="AW2734" s="288"/>
      <c r="AX2734" s="288"/>
      <c r="AY2734" s="288"/>
      <c r="AZ2734" s="288"/>
      <c r="BA2734" s="288"/>
      <c r="BB2734" s="288"/>
      <c r="BC2734" s="288"/>
      <c r="BD2734" s="288"/>
      <c r="BE2734" s="288"/>
      <c r="BF2734" s="288"/>
      <c r="BG2734" s="288"/>
      <c r="BH2734" s="288"/>
      <c r="BI2734" s="288"/>
      <c r="BJ2734" s="288"/>
      <c r="BK2734" s="288"/>
      <c r="BL2734" s="288"/>
      <c r="BM2734" s="288"/>
      <c r="BN2734" s="288"/>
      <c r="BO2734" s="288"/>
      <c r="BP2734" s="288"/>
      <c r="BQ2734" s="288"/>
      <c r="BR2734" s="288"/>
      <c r="BS2734" s="288"/>
      <c r="BT2734" s="288"/>
      <c r="BU2734" s="288"/>
      <c r="BV2734" s="288"/>
      <c r="BW2734" s="288"/>
      <c r="BX2734" s="288"/>
      <c r="BY2734" s="288"/>
      <c r="BZ2734" s="288"/>
      <c r="CA2734" s="265" t="s">
        <v>773</v>
      </c>
      <c r="CB2734" s="3" t="str">
        <f t="shared" si="478"/>
        <v>Riadok bude skrytý.</v>
      </c>
      <c r="CW2734" s="49">
        <v>1</v>
      </c>
      <c r="CZ2734" s="30">
        <f t="shared" si="479"/>
        <v>1</v>
      </c>
      <c r="DA2734" s="30">
        <f>+IF(CW2734+CX2734+CY2734=0,0,IF(CZ2734=0,0,1))</f>
        <v>1</v>
      </c>
      <c r="DB2734" s="2">
        <f t="shared" si="484"/>
        <v>0</v>
      </c>
      <c r="DS2734" s="130">
        <f>SI!BY2734</f>
        <v>137</v>
      </c>
      <c r="DZ2734" s="131">
        <f>SI!BZ2734</f>
        <v>0</v>
      </c>
    </row>
    <row r="2735" spans="1:130" hidden="1" x14ac:dyDescent="0.25">
      <c r="A2735" s="141"/>
      <c r="B2735" s="7"/>
      <c r="G2735" s="7"/>
      <c r="H2735" s="7"/>
      <c r="CA2735" s="142"/>
      <c r="CB2735" s="3" t="str">
        <f t="shared" si="478"/>
        <v>Riadok bude skrytý.</v>
      </c>
      <c r="CW2735" s="49">
        <v>1</v>
      </c>
      <c r="CZ2735" s="30">
        <f t="shared" si="479"/>
        <v>1</v>
      </c>
      <c r="DA2735" s="30">
        <f>+IF(CW2735+CX2735+CY2735=0,0,IF(CZ2735=0,0,1))</f>
        <v>1</v>
      </c>
      <c r="DB2735" s="2">
        <f t="shared" si="484"/>
        <v>0</v>
      </c>
      <c r="DS2735" s="130">
        <f>SI!BY2735</f>
        <v>110</v>
      </c>
      <c r="DZ2735" s="131">
        <f>SI!BZ2735</f>
        <v>0</v>
      </c>
    </row>
    <row r="2736" spans="1:130" hidden="1" x14ac:dyDescent="0.25">
      <c r="A2736" s="141"/>
      <c r="B2736" s="137" t="str">
        <f>+IF($O$52&lt;&gt;"",IF(CODE(MID($O$52,1,1))*0+ROUNDDOWN(LEN(SI!J5)/2,0)=DS2736,IF(J2571="dosahovala","K čistému obratu Spoločnosť uvádza nasledujúce údaje:","Spoločnosť nemá pre túto časť poznámok obsahovú náplň."),"NEPOVOLENÉ POUŽITIE!"),"NEPOVOLENÉ POUŽITIE!")</f>
        <v>K čistému obratu Spoločnosť uvádza nasledujúce údaje:</v>
      </c>
      <c r="G2736" s="7"/>
      <c r="H2736" s="7"/>
      <c r="CA2736" s="142"/>
      <c r="CB2736" s="3" t="str">
        <f t="shared" si="478"/>
        <v>Riadok bude skrytý.</v>
      </c>
      <c r="CW2736" s="49">
        <v>1</v>
      </c>
      <c r="CZ2736" s="30">
        <f t="shared" si="479"/>
        <v>1</v>
      </c>
      <c r="DA2736" s="30">
        <f>+IF(CW2736+CX2736+CY2736=0,0,IF(CZ2736=0,0,1))</f>
        <v>1</v>
      </c>
      <c r="DB2736" s="2">
        <f t="shared" si="484"/>
        <v>0</v>
      </c>
      <c r="DS2736" s="130">
        <f>SI!BY2736</f>
        <v>7</v>
      </c>
      <c r="DZ2736" s="131">
        <f>SI!BZ2736</f>
        <v>0</v>
      </c>
    </row>
    <row r="2737" spans="1:130" hidden="1" x14ac:dyDescent="0.25">
      <c r="A2737" s="141"/>
      <c r="B2737" s="379"/>
      <c r="C2737" s="379"/>
      <c r="D2737" s="379"/>
      <c r="E2737" s="379"/>
      <c r="F2737" s="379"/>
      <c r="G2737" s="379"/>
      <c r="H2737" s="379"/>
      <c r="I2737" s="379"/>
      <c r="J2737" s="379"/>
      <c r="K2737" s="379"/>
      <c r="L2737" s="379"/>
      <c r="M2737" s="379"/>
      <c r="N2737" s="379"/>
      <c r="O2737" s="379"/>
      <c r="P2737" s="379"/>
      <c r="Q2737" s="379"/>
      <c r="R2737" s="379"/>
      <c r="S2737" s="379"/>
      <c r="T2737" s="379"/>
      <c r="U2737" s="379"/>
      <c r="V2737" s="379"/>
      <c r="W2737" s="379"/>
      <c r="X2737" s="379"/>
      <c r="Y2737" s="379"/>
      <c r="Z2737" s="379"/>
      <c r="AA2737" s="379"/>
      <c r="AB2737" s="379"/>
      <c r="AC2737" s="379"/>
      <c r="AD2737" s="379"/>
      <c r="AE2737" s="379"/>
      <c r="AF2737" s="379"/>
      <c r="AG2737" s="379"/>
      <c r="AH2737" s="379"/>
      <c r="AI2737" s="379"/>
      <c r="AJ2737" s="379"/>
      <c r="AK2737" s="379"/>
      <c r="AL2737" s="379"/>
      <c r="AM2737" s="379"/>
      <c r="AN2737" s="379"/>
      <c r="AO2737" s="379"/>
      <c r="AP2737" s="379"/>
      <c r="AQ2737" s="379"/>
      <c r="AR2737" s="379"/>
      <c r="AS2737" s="379"/>
      <c r="AT2737" s="379"/>
      <c r="AU2737" s="379"/>
      <c r="AV2737" s="379"/>
      <c r="AW2737" s="379"/>
      <c r="AX2737" s="379"/>
      <c r="AY2737" s="379"/>
      <c r="AZ2737" s="379"/>
      <c r="BA2737" s="379"/>
      <c r="BB2737" s="379"/>
      <c r="BC2737" s="379"/>
      <c r="BD2737" s="379"/>
      <c r="BE2737" s="379"/>
      <c r="BF2737" s="379"/>
      <c r="BG2737" s="379"/>
      <c r="BH2737" s="379"/>
      <c r="BI2737" s="379"/>
      <c r="BJ2737" s="379"/>
      <c r="BK2737" s="379"/>
      <c r="BL2737" s="379"/>
      <c r="BM2737" s="379"/>
      <c r="BN2737" s="379"/>
      <c r="BO2737" s="379"/>
      <c r="BP2737" s="379"/>
      <c r="BQ2737" s="379"/>
      <c r="BR2737" s="379"/>
      <c r="BS2737" s="379"/>
      <c r="BT2737" s="379"/>
      <c r="BU2737" s="379"/>
      <c r="BV2737" s="379"/>
      <c r="BW2737" s="379"/>
      <c r="BX2737" s="379"/>
      <c r="BY2737" s="379"/>
      <c r="BZ2737" s="379"/>
      <c r="CA2737" s="281"/>
      <c r="CB2737" s="3" t="str">
        <f t="shared" si="478"/>
        <v>Riadok bude skrytý.</v>
      </c>
      <c r="CC2737" s="271" t="s">
        <v>832</v>
      </c>
      <c r="CW2737" s="32">
        <f t="shared" ref="CW2737:CW2775" si="493">+IF($J$2571="nedosahovala",0,1)</f>
        <v>1</v>
      </c>
      <c r="CX2737" s="30">
        <f t="shared" ref="CX2737:CX2756" si="494">+IF(B2737="",0,1)</f>
        <v>0</v>
      </c>
      <c r="CZ2737" s="30">
        <f t="shared" si="479"/>
        <v>1</v>
      </c>
      <c r="DA2737" s="52">
        <f t="shared" ref="DA2737:DA2756" si="495">+IF(CW2737*CX2737=0,0,IF(CZ2737=0,0,1))</f>
        <v>0</v>
      </c>
      <c r="DB2737" s="2">
        <f t="shared" si="484"/>
        <v>0</v>
      </c>
      <c r="DS2737" s="130">
        <f>SI!BY2737</f>
        <v>111</v>
      </c>
      <c r="DZ2737" s="131">
        <f>SI!BZ2737</f>
        <v>0</v>
      </c>
    </row>
    <row r="2738" spans="1:130" hidden="1" x14ac:dyDescent="0.25">
      <c r="A2738" s="141"/>
      <c r="B2738" s="379"/>
      <c r="C2738" s="379"/>
      <c r="D2738" s="379"/>
      <c r="E2738" s="379"/>
      <c r="F2738" s="379"/>
      <c r="G2738" s="379"/>
      <c r="H2738" s="379"/>
      <c r="I2738" s="379"/>
      <c r="J2738" s="379"/>
      <c r="K2738" s="379"/>
      <c r="L2738" s="379"/>
      <c r="M2738" s="379"/>
      <c r="N2738" s="379"/>
      <c r="O2738" s="379"/>
      <c r="P2738" s="379"/>
      <c r="Q2738" s="379"/>
      <c r="R2738" s="379"/>
      <c r="S2738" s="379"/>
      <c r="T2738" s="379"/>
      <c r="U2738" s="379"/>
      <c r="V2738" s="379"/>
      <c r="W2738" s="379"/>
      <c r="X2738" s="379"/>
      <c r="Y2738" s="379"/>
      <c r="Z2738" s="379"/>
      <c r="AA2738" s="379"/>
      <c r="AB2738" s="379"/>
      <c r="AC2738" s="379"/>
      <c r="AD2738" s="379"/>
      <c r="AE2738" s="379"/>
      <c r="AF2738" s="379"/>
      <c r="AG2738" s="379"/>
      <c r="AH2738" s="379"/>
      <c r="AI2738" s="379"/>
      <c r="AJ2738" s="379"/>
      <c r="AK2738" s="379"/>
      <c r="AL2738" s="379"/>
      <c r="AM2738" s="379"/>
      <c r="AN2738" s="379"/>
      <c r="AO2738" s="379"/>
      <c r="AP2738" s="379"/>
      <c r="AQ2738" s="379"/>
      <c r="AR2738" s="379"/>
      <c r="AS2738" s="379"/>
      <c r="AT2738" s="379"/>
      <c r="AU2738" s="379"/>
      <c r="AV2738" s="379"/>
      <c r="AW2738" s="379"/>
      <c r="AX2738" s="379"/>
      <c r="AY2738" s="379"/>
      <c r="AZ2738" s="379"/>
      <c r="BA2738" s="379"/>
      <c r="BB2738" s="379"/>
      <c r="BC2738" s="379"/>
      <c r="BD2738" s="379"/>
      <c r="BE2738" s="379"/>
      <c r="BF2738" s="379"/>
      <c r="BG2738" s="379"/>
      <c r="BH2738" s="379"/>
      <c r="BI2738" s="379"/>
      <c r="BJ2738" s="379"/>
      <c r="BK2738" s="379"/>
      <c r="BL2738" s="379"/>
      <c r="BM2738" s="379"/>
      <c r="BN2738" s="379"/>
      <c r="BO2738" s="379"/>
      <c r="BP2738" s="379"/>
      <c r="BQ2738" s="379"/>
      <c r="BR2738" s="379"/>
      <c r="BS2738" s="379"/>
      <c r="BT2738" s="379"/>
      <c r="BU2738" s="379"/>
      <c r="BV2738" s="379"/>
      <c r="BW2738" s="379"/>
      <c r="BX2738" s="379"/>
      <c r="BY2738" s="379"/>
      <c r="BZ2738" s="379"/>
      <c r="CA2738" s="281"/>
      <c r="CB2738" s="3" t="str">
        <f t="shared" si="478"/>
        <v>Riadok bude skrytý.</v>
      </c>
      <c r="CC2738" s="271" t="s">
        <v>832</v>
      </c>
      <c r="CW2738" s="32">
        <f t="shared" si="493"/>
        <v>1</v>
      </c>
      <c r="CX2738" s="30">
        <f t="shared" si="494"/>
        <v>0</v>
      </c>
      <c r="CZ2738" s="30">
        <f t="shared" si="479"/>
        <v>1</v>
      </c>
      <c r="DA2738" s="52">
        <f t="shared" si="495"/>
        <v>0</v>
      </c>
      <c r="DB2738" s="2">
        <f t="shared" si="484"/>
        <v>0</v>
      </c>
      <c r="DS2738" s="130">
        <f>SI!BY2738</f>
        <v>472</v>
      </c>
      <c r="DZ2738" s="131">
        <f>SI!BZ2738</f>
        <v>0</v>
      </c>
    </row>
    <row r="2739" spans="1:130" hidden="1" x14ac:dyDescent="0.25">
      <c r="A2739" s="141"/>
      <c r="B2739" s="379"/>
      <c r="C2739" s="379"/>
      <c r="D2739" s="379"/>
      <c r="E2739" s="379"/>
      <c r="F2739" s="379"/>
      <c r="G2739" s="379"/>
      <c r="H2739" s="379"/>
      <c r="I2739" s="379"/>
      <c r="J2739" s="379"/>
      <c r="K2739" s="379"/>
      <c r="L2739" s="379"/>
      <c r="M2739" s="379"/>
      <c r="N2739" s="379"/>
      <c r="O2739" s="379"/>
      <c r="P2739" s="379"/>
      <c r="Q2739" s="379"/>
      <c r="R2739" s="379"/>
      <c r="S2739" s="379"/>
      <c r="T2739" s="379"/>
      <c r="U2739" s="379"/>
      <c r="V2739" s="379"/>
      <c r="W2739" s="379"/>
      <c r="X2739" s="379"/>
      <c r="Y2739" s="379"/>
      <c r="Z2739" s="379"/>
      <c r="AA2739" s="379"/>
      <c r="AB2739" s="379"/>
      <c r="AC2739" s="379"/>
      <c r="AD2739" s="379"/>
      <c r="AE2739" s="379"/>
      <c r="AF2739" s="379"/>
      <c r="AG2739" s="379"/>
      <c r="AH2739" s="379"/>
      <c r="AI2739" s="379"/>
      <c r="AJ2739" s="379"/>
      <c r="AK2739" s="379"/>
      <c r="AL2739" s="379"/>
      <c r="AM2739" s="379"/>
      <c r="AN2739" s="379"/>
      <c r="AO2739" s="379"/>
      <c r="AP2739" s="379"/>
      <c r="AQ2739" s="379"/>
      <c r="AR2739" s="379"/>
      <c r="AS2739" s="379"/>
      <c r="AT2739" s="379"/>
      <c r="AU2739" s="379"/>
      <c r="AV2739" s="379"/>
      <c r="AW2739" s="379"/>
      <c r="AX2739" s="379"/>
      <c r="AY2739" s="379"/>
      <c r="AZ2739" s="379"/>
      <c r="BA2739" s="379"/>
      <c r="BB2739" s="379"/>
      <c r="BC2739" s="379"/>
      <c r="BD2739" s="379"/>
      <c r="BE2739" s="379"/>
      <c r="BF2739" s="379"/>
      <c r="BG2739" s="379"/>
      <c r="BH2739" s="379"/>
      <c r="BI2739" s="379"/>
      <c r="BJ2739" s="379"/>
      <c r="BK2739" s="379"/>
      <c r="BL2739" s="379"/>
      <c r="BM2739" s="379"/>
      <c r="BN2739" s="379"/>
      <c r="BO2739" s="379"/>
      <c r="BP2739" s="379"/>
      <c r="BQ2739" s="379"/>
      <c r="BR2739" s="379"/>
      <c r="BS2739" s="379"/>
      <c r="BT2739" s="379"/>
      <c r="BU2739" s="379"/>
      <c r="BV2739" s="379"/>
      <c r="BW2739" s="379"/>
      <c r="BX2739" s="379"/>
      <c r="BY2739" s="379"/>
      <c r="BZ2739" s="379"/>
      <c r="CA2739" s="281"/>
      <c r="CB2739" s="3" t="str">
        <f t="shared" ref="CB2739:CB2802" si="496">+IF(DB2739=0,"Riadok bude skrytý.","Riadok bude vidieť.")</f>
        <v>Riadok bude skrytý.</v>
      </c>
      <c r="CC2739" s="271" t="s">
        <v>832</v>
      </c>
      <c r="CW2739" s="32">
        <f t="shared" si="493"/>
        <v>1</v>
      </c>
      <c r="CX2739" s="30">
        <f t="shared" si="494"/>
        <v>0</v>
      </c>
      <c r="CZ2739" s="30">
        <f t="shared" ref="CZ2739:CZ2802" si="497">IF(CC2739="",1,IF(CC2739="Chcem skryť riadok.",0,1))</f>
        <v>1</v>
      </c>
      <c r="DA2739" s="52">
        <f t="shared" si="495"/>
        <v>0</v>
      </c>
      <c r="DB2739" s="2">
        <f t="shared" si="484"/>
        <v>0</v>
      </c>
      <c r="DS2739" s="130">
        <f>SI!BY2739</f>
        <v>192</v>
      </c>
      <c r="DZ2739" s="131">
        <f>SI!BZ2739</f>
        <v>0</v>
      </c>
    </row>
    <row r="2740" spans="1:130" hidden="1" x14ac:dyDescent="0.25">
      <c r="A2740" s="141"/>
      <c r="B2740" s="379"/>
      <c r="C2740" s="379"/>
      <c r="D2740" s="379"/>
      <c r="E2740" s="379"/>
      <c r="F2740" s="379"/>
      <c r="G2740" s="379"/>
      <c r="H2740" s="379"/>
      <c r="I2740" s="379"/>
      <c r="J2740" s="379"/>
      <c r="K2740" s="379"/>
      <c r="L2740" s="379"/>
      <c r="M2740" s="379"/>
      <c r="N2740" s="379"/>
      <c r="O2740" s="379"/>
      <c r="P2740" s="379"/>
      <c r="Q2740" s="379"/>
      <c r="R2740" s="379"/>
      <c r="S2740" s="379"/>
      <c r="T2740" s="379"/>
      <c r="U2740" s="379"/>
      <c r="V2740" s="379"/>
      <c r="W2740" s="379"/>
      <c r="X2740" s="379"/>
      <c r="Y2740" s="379"/>
      <c r="Z2740" s="379"/>
      <c r="AA2740" s="379"/>
      <c r="AB2740" s="379"/>
      <c r="AC2740" s="379"/>
      <c r="AD2740" s="379"/>
      <c r="AE2740" s="379"/>
      <c r="AF2740" s="379"/>
      <c r="AG2740" s="379"/>
      <c r="AH2740" s="379"/>
      <c r="AI2740" s="379"/>
      <c r="AJ2740" s="379"/>
      <c r="AK2740" s="379"/>
      <c r="AL2740" s="379"/>
      <c r="AM2740" s="379"/>
      <c r="AN2740" s="379"/>
      <c r="AO2740" s="379"/>
      <c r="AP2740" s="379"/>
      <c r="AQ2740" s="379"/>
      <c r="AR2740" s="379"/>
      <c r="AS2740" s="379"/>
      <c r="AT2740" s="379"/>
      <c r="AU2740" s="379"/>
      <c r="AV2740" s="379"/>
      <c r="AW2740" s="379"/>
      <c r="AX2740" s="379"/>
      <c r="AY2740" s="379"/>
      <c r="AZ2740" s="379"/>
      <c r="BA2740" s="379"/>
      <c r="BB2740" s="379"/>
      <c r="BC2740" s="379"/>
      <c r="BD2740" s="379"/>
      <c r="BE2740" s="379"/>
      <c r="BF2740" s="379"/>
      <c r="BG2740" s="379"/>
      <c r="BH2740" s="379"/>
      <c r="BI2740" s="379"/>
      <c r="BJ2740" s="379"/>
      <c r="BK2740" s="379"/>
      <c r="BL2740" s="379"/>
      <c r="BM2740" s="379"/>
      <c r="BN2740" s="379"/>
      <c r="BO2740" s="379"/>
      <c r="BP2740" s="379"/>
      <c r="BQ2740" s="379"/>
      <c r="BR2740" s="379"/>
      <c r="BS2740" s="379"/>
      <c r="BT2740" s="379"/>
      <c r="BU2740" s="379"/>
      <c r="BV2740" s="379"/>
      <c r="BW2740" s="379"/>
      <c r="BX2740" s="379"/>
      <c r="BY2740" s="379"/>
      <c r="BZ2740" s="379"/>
      <c r="CA2740" s="281"/>
      <c r="CB2740" s="3" t="str">
        <f t="shared" si="496"/>
        <v>Riadok bude skrytý.</v>
      </c>
      <c r="CC2740" s="271" t="s">
        <v>832</v>
      </c>
      <c r="CW2740" s="32">
        <f t="shared" si="493"/>
        <v>1</v>
      </c>
      <c r="CX2740" s="30">
        <f t="shared" si="494"/>
        <v>0</v>
      </c>
      <c r="CZ2740" s="30">
        <f t="shared" si="497"/>
        <v>1</v>
      </c>
      <c r="DA2740" s="52">
        <f t="shared" si="495"/>
        <v>0</v>
      </c>
      <c r="DB2740" s="2">
        <f t="shared" si="484"/>
        <v>0</v>
      </c>
      <c r="DS2740" s="130">
        <f>SI!BY2740</f>
        <v>869</v>
      </c>
      <c r="DZ2740" s="131">
        <f>SI!BZ2740</f>
        <v>0</v>
      </c>
    </row>
    <row r="2741" spans="1:130" hidden="1" x14ac:dyDescent="0.25">
      <c r="A2741" s="141"/>
      <c r="B2741" s="379"/>
      <c r="C2741" s="379"/>
      <c r="D2741" s="379"/>
      <c r="E2741" s="379"/>
      <c r="F2741" s="379"/>
      <c r="G2741" s="379"/>
      <c r="H2741" s="379"/>
      <c r="I2741" s="379"/>
      <c r="J2741" s="379"/>
      <c r="K2741" s="379"/>
      <c r="L2741" s="379"/>
      <c r="M2741" s="379"/>
      <c r="N2741" s="379"/>
      <c r="O2741" s="379"/>
      <c r="P2741" s="379"/>
      <c r="Q2741" s="379"/>
      <c r="R2741" s="379"/>
      <c r="S2741" s="379"/>
      <c r="T2741" s="379"/>
      <c r="U2741" s="379"/>
      <c r="V2741" s="379"/>
      <c r="W2741" s="379"/>
      <c r="X2741" s="379"/>
      <c r="Y2741" s="379"/>
      <c r="Z2741" s="379"/>
      <c r="AA2741" s="379"/>
      <c r="AB2741" s="379"/>
      <c r="AC2741" s="379"/>
      <c r="AD2741" s="379"/>
      <c r="AE2741" s="379"/>
      <c r="AF2741" s="379"/>
      <c r="AG2741" s="379"/>
      <c r="AH2741" s="379"/>
      <c r="AI2741" s="379"/>
      <c r="AJ2741" s="379"/>
      <c r="AK2741" s="379"/>
      <c r="AL2741" s="379"/>
      <c r="AM2741" s="379"/>
      <c r="AN2741" s="379"/>
      <c r="AO2741" s="379"/>
      <c r="AP2741" s="379"/>
      <c r="AQ2741" s="379"/>
      <c r="AR2741" s="379"/>
      <c r="AS2741" s="379"/>
      <c r="AT2741" s="379"/>
      <c r="AU2741" s="379"/>
      <c r="AV2741" s="379"/>
      <c r="AW2741" s="379"/>
      <c r="AX2741" s="379"/>
      <c r="AY2741" s="379"/>
      <c r="AZ2741" s="379"/>
      <c r="BA2741" s="379"/>
      <c r="BB2741" s="379"/>
      <c r="BC2741" s="379"/>
      <c r="BD2741" s="379"/>
      <c r="BE2741" s="379"/>
      <c r="BF2741" s="379"/>
      <c r="BG2741" s="379"/>
      <c r="BH2741" s="379"/>
      <c r="BI2741" s="379"/>
      <c r="BJ2741" s="379"/>
      <c r="BK2741" s="379"/>
      <c r="BL2741" s="379"/>
      <c r="BM2741" s="379"/>
      <c r="BN2741" s="379"/>
      <c r="BO2741" s="379"/>
      <c r="BP2741" s="379"/>
      <c r="BQ2741" s="379"/>
      <c r="BR2741" s="379"/>
      <c r="BS2741" s="379"/>
      <c r="BT2741" s="379"/>
      <c r="BU2741" s="379"/>
      <c r="BV2741" s="379"/>
      <c r="BW2741" s="379"/>
      <c r="BX2741" s="379"/>
      <c r="BY2741" s="379"/>
      <c r="BZ2741" s="379"/>
      <c r="CA2741" s="281"/>
      <c r="CB2741" s="3" t="str">
        <f t="shared" si="496"/>
        <v>Riadok bude skrytý.</v>
      </c>
      <c r="CC2741" s="271" t="s">
        <v>832</v>
      </c>
      <c r="CW2741" s="32">
        <f t="shared" si="493"/>
        <v>1</v>
      </c>
      <c r="CX2741" s="30">
        <f t="shared" si="494"/>
        <v>0</v>
      </c>
      <c r="CZ2741" s="30">
        <f t="shared" si="497"/>
        <v>1</v>
      </c>
      <c r="DA2741" s="52">
        <f t="shared" si="495"/>
        <v>0</v>
      </c>
      <c r="DB2741" s="2">
        <f t="shared" si="484"/>
        <v>0</v>
      </c>
      <c r="DS2741" s="130">
        <f>SI!BY2741</f>
        <v>134</v>
      </c>
      <c r="DZ2741" s="131">
        <f>SI!BZ2741</f>
        <v>0</v>
      </c>
    </row>
    <row r="2742" spans="1:130" hidden="1" x14ac:dyDescent="0.25">
      <c r="A2742" s="141"/>
      <c r="B2742" s="379"/>
      <c r="C2742" s="379"/>
      <c r="D2742" s="379"/>
      <c r="E2742" s="379"/>
      <c r="F2742" s="379"/>
      <c r="G2742" s="379"/>
      <c r="H2742" s="379"/>
      <c r="I2742" s="379"/>
      <c r="J2742" s="379"/>
      <c r="K2742" s="379"/>
      <c r="L2742" s="379"/>
      <c r="M2742" s="379"/>
      <c r="N2742" s="379"/>
      <c r="O2742" s="379"/>
      <c r="P2742" s="379"/>
      <c r="Q2742" s="379"/>
      <c r="R2742" s="379"/>
      <c r="S2742" s="379"/>
      <c r="T2742" s="379"/>
      <c r="U2742" s="379"/>
      <c r="V2742" s="379"/>
      <c r="W2742" s="379"/>
      <c r="X2742" s="379"/>
      <c r="Y2742" s="379"/>
      <c r="Z2742" s="379"/>
      <c r="AA2742" s="379"/>
      <c r="AB2742" s="379"/>
      <c r="AC2742" s="379"/>
      <c r="AD2742" s="379"/>
      <c r="AE2742" s="379"/>
      <c r="AF2742" s="379"/>
      <c r="AG2742" s="379"/>
      <c r="AH2742" s="379"/>
      <c r="AI2742" s="379"/>
      <c r="AJ2742" s="379"/>
      <c r="AK2742" s="379"/>
      <c r="AL2742" s="379"/>
      <c r="AM2742" s="379"/>
      <c r="AN2742" s="379"/>
      <c r="AO2742" s="379"/>
      <c r="AP2742" s="379"/>
      <c r="AQ2742" s="379"/>
      <c r="AR2742" s="379"/>
      <c r="AS2742" s="379"/>
      <c r="AT2742" s="379"/>
      <c r="AU2742" s="379"/>
      <c r="AV2742" s="379"/>
      <c r="AW2742" s="379"/>
      <c r="AX2742" s="379"/>
      <c r="AY2742" s="379"/>
      <c r="AZ2742" s="379"/>
      <c r="BA2742" s="379"/>
      <c r="BB2742" s="379"/>
      <c r="BC2742" s="379"/>
      <c r="BD2742" s="379"/>
      <c r="BE2742" s="379"/>
      <c r="BF2742" s="379"/>
      <c r="BG2742" s="379"/>
      <c r="BH2742" s="379"/>
      <c r="BI2742" s="379"/>
      <c r="BJ2742" s="379"/>
      <c r="BK2742" s="379"/>
      <c r="BL2742" s="379"/>
      <c r="BM2742" s="379"/>
      <c r="BN2742" s="379"/>
      <c r="BO2742" s="379"/>
      <c r="BP2742" s="379"/>
      <c r="BQ2742" s="379"/>
      <c r="BR2742" s="379"/>
      <c r="BS2742" s="379"/>
      <c r="BT2742" s="379"/>
      <c r="BU2742" s="379"/>
      <c r="BV2742" s="379"/>
      <c r="BW2742" s="379"/>
      <c r="BX2742" s="379"/>
      <c r="BY2742" s="379"/>
      <c r="BZ2742" s="379"/>
      <c r="CA2742" s="281"/>
      <c r="CB2742" s="3" t="str">
        <f t="shared" si="496"/>
        <v>Riadok bude skrytý.</v>
      </c>
      <c r="CC2742" s="271" t="s">
        <v>832</v>
      </c>
      <c r="CW2742" s="32">
        <f t="shared" si="493"/>
        <v>1</v>
      </c>
      <c r="CX2742" s="30">
        <f t="shared" si="494"/>
        <v>0</v>
      </c>
      <c r="CZ2742" s="30">
        <f t="shared" si="497"/>
        <v>1</v>
      </c>
      <c r="DA2742" s="52">
        <f t="shared" si="495"/>
        <v>0</v>
      </c>
      <c r="DB2742" s="2">
        <f t="shared" si="484"/>
        <v>0</v>
      </c>
      <c r="DS2742" s="130">
        <f>SI!BY2742</f>
        <v>1013</v>
      </c>
      <c r="DZ2742" s="131">
        <f>SI!BZ2742</f>
        <v>0</v>
      </c>
    </row>
    <row r="2743" spans="1:130" hidden="1" x14ac:dyDescent="0.25">
      <c r="A2743" s="141"/>
      <c r="B2743" s="379"/>
      <c r="C2743" s="379"/>
      <c r="D2743" s="379"/>
      <c r="E2743" s="379"/>
      <c r="F2743" s="379"/>
      <c r="G2743" s="379"/>
      <c r="H2743" s="379"/>
      <c r="I2743" s="379"/>
      <c r="J2743" s="379"/>
      <c r="K2743" s="379"/>
      <c r="L2743" s="379"/>
      <c r="M2743" s="379"/>
      <c r="N2743" s="379"/>
      <c r="O2743" s="379"/>
      <c r="P2743" s="379"/>
      <c r="Q2743" s="379"/>
      <c r="R2743" s="379"/>
      <c r="S2743" s="379"/>
      <c r="T2743" s="379"/>
      <c r="U2743" s="379"/>
      <c r="V2743" s="379"/>
      <c r="W2743" s="379"/>
      <c r="X2743" s="379"/>
      <c r="Y2743" s="379"/>
      <c r="Z2743" s="379"/>
      <c r="AA2743" s="379"/>
      <c r="AB2743" s="379"/>
      <c r="AC2743" s="379"/>
      <c r="AD2743" s="379"/>
      <c r="AE2743" s="379"/>
      <c r="AF2743" s="379"/>
      <c r="AG2743" s="379"/>
      <c r="AH2743" s="379"/>
      <c r="AI2743" s="379"/>
      <c r="AJ2743" s="379"/>
      <c r="AK2743" s="379"/>
      <c r="AL2743" s="379"/>
      <c r="AM2743" s="379"/>
      <c r="AN2743" s="379"/>
      <c r="AO2743" s="379"/>
      <c r="AP2743" s="379"/>
      <c r="AQ2743" s="379"/>
      <c r="AR2743" s="379"/>
      <c r="AS2743" s="379"/>
      <c r="AT2743" s="379"/>
      <c r="AU2743" s="379"/>
      <c r="AV2743" s="379"/>
      <c r="AW2743" s="379"/>
      <c r="AX2743" s="379"/>
      <c r="AY2743" s="379"/>
      <c r="AZ2743" s="379"/>
      <c r="BA2743" s="379"/>
      <c r="BB2743" s="379"/>
      <c r="BC2743" s="379"/>
      <c r="BD2743" s="379"/>
      <c r="BE2743" s="379"/>
      <c r="BF2743" s="379"/>
      <c r="BG2743" s="379"/>
      <c r="BH2743" s="379"/>
      <c r="BI2743" s="379"/>
      <c r="BJ2743" s="379"/>
      <c r="BK2743" s="379"/>
      <c r="BL2743" s="379"/>
      <c r="BM2743" s="379"/>
      <c r="BN2743" s="379"/>
      <c r="BO2743" s="379"/>
      <c r="BP2743" s="379"/>
      <c r="BQ2743" s="379"/>
      <c r="BR2743" s="379"/>
      <c r="BS2743" s="379"/>
      <c r="BT2743" s="379"/>
      <c r="BU2743" s="379"/>
      <c r="BV2743" s="379"/>
      <c r="BW2743" s="379"/>
      <c r="BX2743" s="379"/>
      <c r="BY2743" s="379"/>
      <c r="BZ2743" s="379"/>
      <c r="CA2743" s="281"/>
      <c r="CB2743" s="3" t="str">
        <f t="shared" si="496"/>
        <v>Riadok bude skrytý.</v>
      </c>
      <c r="CC2743" s="271" t="s">
        <v>832</v>
      </c>
      <c r="CW2743" s="32">
        <f t="shared" si="493"/>
        <v>1</v>
      </c>
      <c r="CX2743" s="30">
        <f t="shared" si="494"/>
        <v>0</v>
      </c>
      <c r="CZ2743" s="30">
        <f t="shared" si="497"/>
        <v>1</v>
      </c>
      <c r="DA2743" s="52">
        <f t="shared" si="495"/>
        <v>0</v>
      </c>
      <c r="DB2743" s="2">
        <f t="shared" si="484"/>
        <v>0</v>
      </c>
      <c r="DS2743" s="130">
        <f>SI!BY2743</f>
        <v>113</v>
      </c>
      <c r="DZ2743" s="131">
        <f>SI!BZ2743</f>
        <v>0</v>
      </c>
    </row>
    <row r="2744" spans="1:130" hidden="1" x14ac:dyDescent="0.25">
      <c r="A2744" s="141"/>
      <c r="B2744" s="379"/>
      <c r="C2744" s="379"/>
      <c r="D2744" s="379"/>
      <c r="E2744" s="379"/>
      <c r="F2744" s="379"/>
      <c r="G2744" s="379"/>
      <c r="H2744" s="379"/>
      <c r="I2744" s="379"/>
      <c r="J2744" s="379"/>
      <c r="K2744" s="379"/>
      <c r="L2744" s="379"/>
      <c r="M2744" s="379"/>
      <c r="N2744" s="379"/>
      <c r="O2744" s="379"/>
      <c r="P2744" s="379"/>
      <c r="Q2744" s="379"/>
      <c r="R2744" s="379"/>
      <c r="S2744" s="379"/>
      <c r="T2744" s="379"/>
      <c r="U2744" s="379"/>
      <c r="V2744" s="379"/>
      <c r="W2744" s="379"/>
      <c r="X2744" s="379"/>
      <c r="Y2744" s="379"/>
      <c r="Z2744" s="379"/>
      <c r="AA2744" s="379"/>
      <c r="AB2744" s="379"/>
      <c r="AC2744" s="379"/>
      <c r="AD2744" s="379"/>
      <c r="AE2744" s="379"/>
      <c r="AF2744" s="379"/>
      <c r="AG2744" s="379"/>
      <c r="AH2744" s="379"/>
      <c r="AI2744" s="379"/>
      <c r="AJ2744" s="379"/>
      <c r="AK2744" s="379"/>
      <c r="AL2744" s="379"/>
      <c r="AM2744" s="379"/>
      <c r="AN2744" s="379"/>
      <c r="AO2744" s="379"/>
      <c r="AP2744" s="379"/>
      <c r="AQ2744" s="379"/>
      <c r="AR2744" s="379"/>
      <c r="AS2744" s="379"/>
      <c r="AT2744" s="379"/>
      <c r="AU2744" s="379"/>
      <c r="AV2744" s="379"/>
      <c r="AW2744" s="379"/>
      <c r="AX2744" s="379"/>
      <c r="AY2744" s="379"/>
      <c r="AZ2744" s="379"/>
      <c r="BA2744" s="379"/>
      <c r="BB2744" s="379"/>
      <c r="BC2744" s="379"/>
      <c r="BD2744" s="379"/>
      <c r="BE2744" s="379"/>
      <c r="BF2744" s="379"/>
      <c r="BG2744" s="379"/>
      <c r="BH2744" s="379"/>
      <c r="BI2744" s="379"/>
      <c r="BJ2744" s="379"/>
      <c r="BK2744" s="379"/>
      <c r="BL2744" s="379"/>
      <c r="BM2744" s="379"/>
      <c r="BN2744" s="379"/>
      <c r="BO2744" s="379"/>
      <c r="BP2744" s="379"/>
      <c r="BQ2744" s="379"/>
      <c r="BR2744" s="379"/>
      <c r="BS2744" s="379"/>
      <c r="BT2744" s="379"/>
      <c r="BU2744" s="379"/>
      <c r="BV2744" s="379"/>
      <c r="BW2744" s="379"/>
      <c r="BX2744" s="379"/>
      <c r="BY2744" s="379"/>
      <c r="BZ2744" s="379"/>
      <c r="CA2744" s="281"/>
      <c r="CB2744" s="3" t="str">
        <f t="shared" si="496"/>
        <v>Riadok bude skrytý.</v>
      </c>
      <c r="CC2744" s="271" t="s">
        <v>832</v>
      </c>
      <c r="CW2744" s="32">
        <f t="shared" si="493"/>
        <v>1</v>
      </c>
      <c r="CX2744" s="30">
        <f t="shared" si="494"/>
        <v>0</v>
      </c>
      <c r="CZ2744" s="30">
        <f t="shared" si="497"/>
        <v>1</v>
      </c>
      <c r="DA2744" s="52">
        <f t="shared" si="495"/>
        <v>0</v>
      </c>
      <c r="DB2744" s="2">
        <f t="shared" si="484"/>
        <v>0</v>
      </c>
      <c r="DS2744" s="130">
        <f>SI!BY2744</f>
        <v>943</v>
      </c>
      <c r="DZ2744" s="131">
        <f>SI!BZ2744</f>
        <v>0</v>
      </c>
    </row>
    <row r="2745" spans="1:130" hidden="1" x14ac:dyDescent="0.25">
      <c r="A2745" s="141"/>
      <c r="B2745" s="379"/>
      <c r="C2745" s="379"/>
      <c r="D2745" s="379"/>
      <c r="E2745" s="379"/>
      <c r="F2745" s="379"/>
      <c r="G2745" s="379"/>
      <c r="H2745" s="379"/>
      <c r="I2745" s="379"/>
      <c r="J2745" s="379"/>
      <c r="K2745" s="379"/>
      <c r="L2745" s="379"/>
      <c r="M2745" s="379"/>
      <c r="N2745" s="379"/>
      <c r="O2745" s="379"/>
      <c r="P2745" s="379"/>
      <c r="Q2745" s="379"/>
      <c r="R2745" s="379"/>
      <c r="S2745" s="379"/>
      <c r="T2745" s="379"/>
      <c r="U2745" s="379"/>
      <c r="V2745" s="379"/>
      <c r="W2745" s="379"/>
      <c r="X2745" s="379"/>
      <c r="Y2745" s="379"/>
      <c r="Z2745" s="379"/>
      <c r="AA2745" s="379"/>
      <c r="AB2745" s="379"/>
      <c r="AC2745" s="379"/>
      <c r="AD2745" s="379"/>
      <c r="AE2745" s="379"/>
      <c r="AF2745" s="379"/>
      <c r="AG2745" s="379"/>
      <c r="AH2745" s="379"/>
      <c r="AI2745" s="379"/>
      <c r="AJ2745" s="379"/>
      <c r="AK2745" s="379"/>
      <c r="AL2745" s="379"/>
      <c r="AM2745" s="379"/>
      <c r="AN2745" s="379"/>
      <c r="AO2745" s="379"/>
      <c r="AP2745" s="379"/>
      <c r="AQ2745" s="379"/>
      <c r="AR2745" s="379"/>
      <c r="AS2745" s="379"/>
      <c r="AT2745" s="379"/>
      <c r="AU2745" s="379"/>
      <c r="AV2745" s="379"/>
      <c r="AW2745" s="379"/>
      <c r="AX2745" s="379"/>
      <c r="AY2745" s="379"/>
      <c r="AZ2745" s="379"/>
      <c r="BA2745" s="379"/>
      <c r="BB2745" s="379"/>
      <c r="BC2745" s="379"/>
      <c r="BD2745" s="379"/>
      <c r="BE2745" s="379"/>
      <c r="BF2745" s="379"/>
      <c r="BG2745" s="379"/>
      <c r="BH2745" s="379"/>
      <c r="BI2745" s="379"/>
      <c r="BJ2745" s="379"/>
      <c r="BK2745" s="379"/>
      <c r="BL2745" s="379"/>
      <c r="BM2745" s="379"/>
      <c r="BN2745" s="379"/>
      <c r="BO2745" s="379"/>
      <c r="BP2745" s="379"/>
      <c r="BQ2745" s="379"/>
      <c r="BR2745" s="379"/>
      <c r="BS2745" s="379"/>
      <c r="BT2745" s="379"/>
      <c r="BU2745" s="379"/>
      <c r="BV2745" s="379"/>
      <c r="BW2745" s="379"/>
      <c r="BX2745" s="379"/>
      <c r="BY2745" s="379"/>
      <c r="BZ2745" s="379"/>
      <c r="CA2745" s="281"/>
      <c r="CB2745" s="3" t="str">
        <f t="shared" si="496"/>
        <v>Riadok bude skrytý.</v>
      </c>
      <c r="CC2745" s="271" t="s">
        <v>832</v>
      </c>
      <c r="CW2745" s="32">
        <f t="shared" si="493"/>
        <v>1</v>
      </c>
      <c r="CX2745" s="30">
        <f t="shared" si="494"/>
        <v>0</v>
      </c>
      <c r="CZ2745" s="30">
        <f t="shared" si="497"/>
        <v>1</v>
      </c>
      <c r="DA2745" s="52">
        <f t="shared" si="495"/>
        <v>0</v>
      </c>
      <c r="DB2745" s="2">
        <f t="shared" si="484"/>
        <v>0</v>
      </c>
      <c r="DS2745" s="130">
        <f>SI!BY2745</f>
        <v>136</v>
      </c>
      <c r="DZ2745" s="131">
        <f>SI!BZ2745</f>
        <v>0</v>
      </c>
    </row>
    <row r="2746" spans="1:130" hidden="1" x14ac:dyDescent="0.25">
      <c r="A2746" s="141"/>
      <c r="B2746" s="379"/>
      <c r="C2746" s="379"/>
      <c r="D2746" s="379"/>
      <c r="E2746" s="379"/>
      <c r="F2746" s="379"/>
      <c r="G2746" s="379"/>
      <c r="H2746" s="379"/>
      <c r="I2746" s="379"/>
      <c r="J2746" s="379"/>
      <c r="K2746" s="379"/>
      <c r="L2746" s="379"/>
      <c r="M2746" s="379"/>
      <c r="N2746" s="379"/>
      <c r="O2746" s="379"/>
      <c r="P2746" s="379"/>
      <c r="Q2746" s="379"/>
      <c r="R2746" s="379"/>
      <c r="S2746" s="379"/>
      <c r="T2746" s="379"/>
      <c r="U2746" s="379"/>
      <c r="V2746" s="379"/>
      <c r="W2746" s="379"/>
      <c r="X2746" s="379"/>
      <c r="Y2746" s="379"/>
      <c r="Z2746" s="379"/>
      <c r="AA2746" s="379"/>
      <c r="AB2746" s="379"/>
      <c r="AC2746" s="379"/>
      <c r="AD2746" s="379"/>
      <c r="AE2746" s="379"/>
      <c r="AF2746" s="379"/>
      <c r="AG2746" s="379"/>
      <c r="AH2746" s="379"/>
      <c r="AI2746" s="379"/>
      <c r="AJ2746" s="379"/>
      <c r="AK2746" s="379"/>
      <c r="AL2746" s="379"/>
      <c r="AM2746" s="379"/>
      <c r="AN2746" s="379"/>
      <c r="AO2746" s="379"/>
      <c r="AP2746" s="379"/>
      <c r="AQ2746" s="379"/>
      <c r="AR2746" s="379"/>
      <c r="AS2746" s="379"/>
      <c r="AT2746" s="379"/>
      <c r="AU2746" s="379"/>
      <c r="AV2746" s="379"/>
      <c r="AW2746" s="379"/>
      <c r="AX2746" s="379"/>
      <c r="AY2746" s="379"/>
      <c r="AZ2746" s="379"/>
      <c r="BA2746" s="379"/>
      <c r="BB2746" s="379"/>
      <c r="BC2746" s="379"/>
      <c r="BD2746" s="379"/>
      <c r="BE2746" s="379"/>
      <c r="BF2746" s="379"/>
      <c r="BG2746" s="379"/>
      <c r="BH2746" s="379"/>
      <c r="BI2746" s="379"/>
      <c r="BJ2746" s="379"/>
      <c r="BK2746" s="379"/>
      <c r="BL2746" s="379"/>
      <c r="BM2746" s="379"/>
      <c r="BN2746" s="379"/>
      <c r="BO2746" s="379"/>
      <c r="BP2746" s="379"/>
      <c r="BQ2746" s="379"/>
      <c r="BR2746" s="379"/>
      <c r="BS2746" s="379"/>
      <c r="BT2746" s="379"/>
      <c r="BU2746" s="379"/>
      <c r="BV2746" s="379"/>
      <c r="BW2746" s="379"/>
      <c r="BX2746" s="379"/>
      <c r="BY2746" s="379"/>
      <c r="BZ2746" s="379"/>
      <c r="CA2746" s="281"/>
      <c r="CB2746" s="3" t="str">
        <f t="shared" si="496"/>
        <v>Riadok bude skrytý.</v>
      </c>
      <c r="CC2746" s="271" t="s">
        <v>832</v>
      </c>
      <c r="CW2746" s="32">
        <f t="shared" si="493"/>
        <v>1</v>
      </c>
      <c r="CX2746" s="30">
        <f t="shared" si="494"/>
        <v>0</v>
      </c>
      <c r="CZ2746" s="30">
        <f t="shared" si="497"/>
        <v>1</v>
      </c>
      <c r="DA2746" s="52">
        <f t="shared" si="495"/>
        <v>0</v>
      </c>
      <c r="DB2746" s="2">
        <f t="shared" si="484"/>
        <v>0</v>
      </c>
      <c r="DS2746" s="130">
        <f>SI!BY2746</f>
        <v>731</v>
      </c>
      <c r="DZ2746" s="131">
        <f>SI!BZ2746</f>
        <v>0</v>
      </c>
    </row>
    <row r="2747" spans="1:130" hidden="1" x14ac:dyDescent="0.25">
      <c r="A2747" s="141"/>
      <c r="B2747" s="379"/>
      <c r="C2747" s="379"/>
      <c r="D2747" s="379"/>
      <c r="E2747" s="379"/>
      <c r="F2747" s="379"/>
      <c r="G2747" s="379"/>
      <c r="H2747" s="379"/>
      <c r="I2747" s="379"/>
      <c r="J2747" s="379"/>
      <c r="K2747" s="379"/>
      <c r="L2747" s="379"/>
      <c r="M2747" s="379"/>
      <c r="N2747" s="379"/>
      <c r="O2747" s="379"/>
      <c r="P2747" s="379"/>
      <c r="Q2747" s="379"/>
      <c r="R2747" s="379"/>
      <c r="S2747" s="379"/>
      <c r="T2747" s="379"/>
      <c r="U2747" s="379"/>
      <c r="V2747" s="379"/>
      <c r="W2747" s="379"/>
      <c r="X2747" s="379"/>
      <c r="Y2747" s="379"/>
      <c r="Z2747" s="379"/>
      <c r="AA2747" s="379"/>
      <c r="AB2747" s="379"/>
      <c r="AC2747" s="379"/>
      <c r="AD2747" s="379"/>
      <c r="AE2747" s="379"/>
      <c r="AF2747" s="379"/>
      <c r="AG2747" s="379"/>
      <c r="AH2747" s="379"/>
      <c r="AI2747" s="379"/>
      <c r="AJ2747" s="379"/>
      <c r="AK2747" s="379"/>
      <c r="AL2747" s="379"/>
      <c r="AM2747" s="379"/>
      <c r="AN2747" s="379"/>
      <c r="AO2747" s="379"/>
      <c r="AP2747" s="379"/>
      <c r="AQ2747" s="379"/>
      <c r="AR2747" s="379"/>
      <c r="AS2747" s="379"/>
      <c r="AT2747" s="379"/>
      <c r="AU2747" s="379"/>
      <c r="AV2747" s="379"/>
      <c r="AW2747" s="379"/>
      <c r="AX2747" s="379"/>
      <c r="AY2747" s="379"/>
      <c r="AZ2747" s="379"/>
      <c r="BA2747" s="379"/>
      <c r="BB2747" s="379"/>
      <c r="BC2747" s="379"/>
      <c r="BD2747" s="379"/>
      <c r="BE2747" s="379"/>
      <c r="BF2747" s="379"/>
      <c r="BG2747" s="379"/>
      <c r="BH2747" s="379"/>
      <c r="BI2747" s="379"/>
      <c r="BJ2747" s="379"/>
      <c r="BK2747" s="379"/>
      <c r="BL2747" s="379"/>
      <c r="BM2747" s="379"/>
      <c r="BN2747" s="379"/>
      <c r="BO2747" s="379"/>
      <c r="BP2747" s="379"/>
      <c r="BQ2747" s="379"/>
      <c r="BR2747" s="379"/>
      <c r="BS2747" s="379"/>
      <c r="BT2747" s="379"/>
      <c r="BU2747" s="379"/>
      <c r="BV2747" s="379"/>
      <c r="BW2747" s="379"/>
      <c r="BX2747" s="379"/>
      <c r="BY2747" s="379"/>
      <c r="BZ2747" s="379"/>
      <c r="CA2747" s="281"/>
      <c r="CB2747" s="3" t="str">
        <f t="shared" si="496"/>
        <v>Riadok bude skrytý.</v>
      </c>
      <c r="CC2747" s="271" t="s">
        <v>832</v>
      </c>
      <c r="CW2747" s="32">
        <f t="shared" si="493"/>
        <v>1</v>
      </c>
      <c r="CX2747" s="30">
        <f t="shared" si="494"/>
        <v>0</v>
      </c>
      <c r="CZ2747" s="30">
        <f t="shared" si="497"/>
        <v>1</v>
      </c>
      <c r="DA2747" s="52">
        <f t="shared" si="495"/>
        <v>0</v>
      </c>
      <c r="DB2747" s="2">
        <f t="shared" si="484"/>
        <v>0</v>
      </c>
      <c r="DS2747" s="130">
        <f>SI!BY2747</f>
        <v>110</v>
      </c>
      <c r="DZ2747" s="131">
        <f>SI!BZ2747</f>
        <v>0</v>
      </c>
    </row>
    <row r="2748" spans="1:130" hidden="1" x14ac:dyDescent="0.25">
      <c r="A2748" s="141"/>
      <c r="B2748" s="379"/>
      <c r="C2748" s="379"/>
      <c r="D2748" s="379"/>
      <c r="E2748" s="379"/>
      <c r="F2748" s="379"/>
      <c r="G2748" s="379"/>
      <c r="H2748" s="379"/>
      <c r="I2748" s="379"/>
      <c r="J2748" s="379"/>
      <c r="K2748" s="379"/>
      <c r="L2748" s="379"/>
      <c r="M2748" s="379"/>
      <c r="N2748" s="379"/>
      <c r="O2748" s="379"/>
      <c r="P2748" s="379"/>
      <c r="Q2748" s="379"/>
      <c r="R2748" s="379"/>
      <c r="S2748" s="379"/>
      <c r="T2748" s="379"/>
      <c r="U2748" s="379"/>
      <c r="V2748" s="379"/>
      <c r="W2748" s="379"/>
      <c r="X2748" s="379"/>
      <c r="Y2748" s="379"/>
      <c r="Z2748" s="379"/>
      <c r="AA2748" s="379"/>
      <c r="AB2748" s="379"/>
      <c r="AC2748" s="379"/>
      <c r="AD2748" s="379"/>
      <c r="AE2748" s="379"/>
      <c r="AF2748" s="379"/>
      <c r="AG2748" s="379"/>
      <c r="AH2748" s="379"/>
      <c r="AI2748" s="379"/>
      <c r="AJ2748" s="379"/>
      <c r="AK2748" s="379"/>
      <c r="AL2748" s="379"/>
      <c r="AM2748" s="379"/>
      <c r="AN2748" s="379"/>
      <c r="AO2748" s="379"/>
      <c r="AP2748" s="379"/>
      <c r="AQ2748" s="379"/>
      <c r="AR2748" s="379"/>
      <c r="AS2748" s="379"/>
      <c r="AT2748" s="379"/>
      <c r="AU2748" s="379"/>
      <c r="AV2748" s="379"/>
      <c r="AW2748" s="379"/>
      <c r="AX2748" s="379"/>
      <c r="AY2748" s="379"/>
      <c r="AZ2748" s="379"/>
      <c r="BA2748" s="379"/>
      <c r="BB2748" s="379"/>
      <c r="BC2748" s="379"/>
      <c r="BD2748" s="379"/>
      <c r="BE2748" s="379"/>
      <c r="BF2748" s="379"/>
      <c r="BG2748" s="379"/>
      <c r="BH2748" s="379"/>
      <c r="BI2748" s="379"/>
      <c r="BJ2748" s="379"/>
      <c r="BK2748" s="379"/>
      <c r="BL2748" s="379"/>
      <c r="BM2748" s="379"/>
      <c r="BN2748" s="379"/>
      <c r="BO2748" s="379"/>
      <c r="BP2748" s="379"/>
      <c r="BQ2748" s="379"/>
      <c r="BR2748" s="379"/>
      <c r="BS2748" s="379"/>
      <c r="BT2748" s="379"/>
      <c r="BU2748" s="379"/>
      <c r="BV2748" s="379"/>
      <c r="BW2748" s="379"/>
      <c r="BX2748" s="379"/>
      <c r="BY2748" s="379"/>
      <c r="BZ2748" s="379"/>
      <c r="CA2748" s="281"/>
      <c r="CB2748" s="3" t="str">
        <f t="shared" si="496"/>
        <v>Riadok bude skrytý.</v>
      </c>
      <c r="CC2748" s="271" t="s">
        <v>832</v>
      </c>
      <c r="CW2748" s="32">
        <f t="shared" si="493"/>
        <v>1</v>
      </c>
      <c r="CX2748" s="30">
        <f t="shared" si="494"/>
        <v>0</v>
      </c>
      <c r="CZ2748" s="30">
        <f t="shared" si="497"/>
        <v>1</v>
      </c>
      <c r="DA2748" s="52">
        <f t="shared" si="495"/>
        <v>0</v>
      </c>
      <c r="DB2748" s="2">
        <f t="shared" si="484"/>
        <v>0</v>
      </c>
      <c r="DS2748" s="130">
        <f>SI!BY2748</f>
        <v>957</v>
      </c>
      <c r="DZ2748" s="131">
        <f>SI!BZ2748</f>
        <v>0</v>
      </c>
    </row>
    <row r="2749" spans="1:130" hidden="1" x14ac:dyDescent="0.25">
      <c r="A2749" s="141"/>
      <c r="B2749" s="379"/>
      <c r="C2749" s="379"/>
      <c r="D2749" s="379"/>
      <c r="E2749" s="379"/>
      <c r="F2749" s="379"/>
      <c r="G2749" s="379"/>
      <c r="H2749" s="379"/>
      <c r="I2749" s="379"/>
      <c r="J2749" s="379"/>
      <c r="K2749" s="379"/>
      <c r="L2749" s="379"/>
      <c r="M2749" s="379"/>
      <c r="N2749" s="379"/>
      <c r="O2749" s="379"/>
      <c r="P2749" s="379"/>
      <c r="Q2749" s="379"/>
      <c r="R2749" s="379"/>
      <c r="S2749" s="379"/>
      <c r="T2749" s="379"/>
      <c r="U2749" s="379"/>
      <c r="V2749" s="379"/>
      <c r="W2749" s="379"/>
      <c r="X2749" s="379"/>
      <c r="Y2749" s="379"/>
      <c r="Z2749" s="379"/>
      <c r="AA2749" s="379"/>
      <c r="AB2749" s="379"/>
      <c r="AC2749" s="379"/>
      <c r="AD2749" s="379"/>
      <c r="AE2749" s="379"/>
      <c r="AF2749" s="379"/>
      <c r="AG2749" s="379"/>
      <c r="AH2749" s="379"/>
      <c r="AI2749" s="379"/>
      <c r="AJ2749" s="379"/>
      <c r="AK2749" s="379"/>
      <c r="AL2749" s="379"/>
      <c r="AM2749" s="379"/>
      <c r="AN2749" s="379"/>
      <c r="AO2749" s="379"/>
      <c r="AP2749" s="379"/>
      <c r="AQ2749" s="379"/>
      <c r="AR2749" s="379"/>
      <c r="AS2749" s="379"/>
      <c r="AT2749" s="379"/>
      <c r="AU2749" s="379"/>
      <c r="AV2749" s="379"/>
      <c r="AW2749" s="379"/>
      <c r="AX2749" s="379"/>
      <c r="AY2749" s="379"/>
      <c r="AZ2749" s="379"/>
      <c r="BA2749" s="379"/>
      <c r="BB2749" s="379"/>
      <c r="BC2749" s="379"/>
      <c r="BD2749" s="379"/>
      <c r="BE2749" s="379"/>
      <c r="BF2749" s="379"/>
      <c r="BG2749" s="379"/>
      <c r="BH2749" s="379"/>
      <c r="BI2749" s="379"/>
      <c r="BJ2749" s="379"/>
      <c r="BK2749" s="379"/>
      <c r="BL2749" s="379"/>
      <c r="BM2749" s="379"/>
      <c r="BN2749" s="379"/>
      <c r="BO2749" s="379"/>
      <c r="BP2749" s="379"/>
      <c r="BQ2749" s="379"/>
      <c r="BR2749" s="379"/>
      <c r="BS2749" s="379"/>
      <c r="BT2749" s="379"/>
      <c r="BU2749" s="379"/>
      <c r="BV2749" s="379"/>
      <c r="BW2749" s="379"/>
      <c r="BX2749" s="379"/>
      <c r="BY2749" s="379"/>
      <c r="BZ2749" s="379"/>
      <c r="CA2749" s="281"/>
      <c r="CB2749" s="3" t="str">
        <f t="shared" si="496"/>
        <v>Riadok bude skrytý.</v>
      </c>
      <c r="CC2749" s="271" t="s">
        <v>832</v>
      </c>
      <c r="CW2749" s="32">
        <f t="shared" si="493"/>
        <v>1</v>
      </c>
      <c r="CX2749" s="30">
        <f t="shared" si="494"/>
        <v>0</v>
      </c>
      <c r="CZ2749" s="30">
        <f t="shared" si="497"/>
        <v>1</v>
      </c>
      <c r="DA2749" s="52">
        <f t="shared" si="495"/>
        <v>0</v>
      </c>
      <c r="DB2749" s="2">
        <f t="shared" si="484"/>
        <v>0</v>
      </c>
      <c r="DS2749" s="130">
        <f>SI!BY2749</f>
        <v>485</v>
      </c>
      <c r="DZ2749" s="131">
        <f>SI!BZ2749</f>
        <v>0</v>
      </c>
    </row>
    <row r="2750" spans="1:130" hidden="1" x14ac:dyDescent="0.25">
      <c r="A2750" s="141"/>
      <c r="B2750" s="379"/>
      <c r="C2750" s="379"/>
      <c r="D2750" s="379"/>
      <c r="E2750" s="379"/>
      <c r="F2750" s="379"/>
      <c r="G2750" s="379"/>
      <c r="H2750" s="379"/>
      <c r="I2750" s="379"/>
      <c r="J2750" s="379"/>
      <c r="K2750" s="379"/>
      <c r="L2750" s="379"/>
      <c r="M2750" s="379"/>
      <c r="N2750" s="379"/>
      <c r="O2750" s="379"/>
      <c r="P2750" s="379"/>
      <c r="Q2750" s="379"/>
      <c r="R2750" s="379"/>
      <c r="S2750" s="379"/>
      <c r="T2750" s="379"/>
      <c r="U2750" s="379"/>
      <c r="V2750" s="379"/>
      <c r="W2750" s="379"/>
      <c r="X2750" s="379"/>
      <c r="Y2750" s="379"/>
      <c r="Z2750" s="379"/>
      <c r="AA2750" s="379"/>
      <c r="AB2750" s="379"/>
      <c r="AC2750" s="379"/>
      <c r="AD2750" s="379"/>
      <c r="AE2750" s="379"/>
      <c r="AF2750" s="379"/>
      <c r="AG2750" s="379"/>
      <c r="AH2750" s="379"/>
      <c r="AI2750" s="379"/>
      <c r="AJ2750" s="379"/>
      <c r="AK2750" s="379"/>
      <c r="AL2750" s="379"/>
      <c r="AM2750" s="379"/>
      <c r="AN2750" s="379"/>
      <c r="AO2750" s="379"/>
      <c r="AP2750" s="379"/>
      <c r="AQ2750" s="379"/>
      <c r="AR2750" s="379"/>
      <c r="AS2750" s="379"/>
      <c r="AT2750" s="379"/>
      <c r="AU2750" s="379"/>
      <c r="AV2750" s="379"/>
      <c r="AW2750" s="379"/>
      <c r="AX2750" s="379"/>
      <c r="AY2750" s="379"/>
      <c r="AZ2750" s="379"/>
      <c r="BA2750" s="379"/>
      <c r="BB2750" s="379"/>
      <c r="BC2750" s="379"/>
      <c r="BD2750" s="379"/>
      <c r="BE2750" s="379"/>
      <c r="BF2750" s="379"/>
      <c r="BG2750" s="379"/>
      <c r="BH2750" s="379"/>
      <c r="BI2750" s="379"/>
      <c r="BJ2750" s="379"/>
      <c r="BK2750" s="379"/>
      <c r="BL2750" s="379"/>
      <c r="BM2750" s="379"/>
      <c r="BN2750" s="379"/>
      <c r="BO2750" s="379"/>
      <c r="BP2750" s="379"/>
      <c r="BQ2750" s="379"/>
      <c r="BR2750" s="379"/>
      <c r="BS2750" s="379"/>
      <c r="BT2750" s="379"/>
      <c r="BU2750" s="379"/>
      <c r="BV2750" s="379"/>
      <c r="BW2750" s="379"/>
      <c r="BX2750" s="379"/>
      <c r="BY2750" s="379"/>
      <c r="BZ2750" s="379"/>
      <c r="CA2750" s="281"/>
      <c r="CB2750" s="3" t="str">
        <f t="shared" si="496"/>
        <v>Riadok bude skrytý.</v>
      </c>
      <c r="CC2750" s="271" t="s">
        <v>832</v>
      </c>
      <c r="CW2750" s="32">
        <f t="shared" si="493"/>
        <v>1</v>
      </c>
      <c r="CX2750" s="30">
        <f t="shared" si="494"/>
        <v>0</v>
      </c>
      <c r="CZ2750" s="30">
        <f t="shared" si="497"/>
        <v>1</v>
      </c>
      <c r="DA2750" s="52">
        <f t="shared" si="495"/>
        <v>0</v>
      </c>
      <c r="DB2750" s="2">
        <f t="shared" si="484"/>
        <v>0</v>
      </c>
      <c r="DS2750" s="130">
        <f>SI!BY2750</f>
        <v>173</v>
      </c>
      <c r="DZ2750" s="131">
        <f>SI!BZ2750</f>
        <v>0</v>
      </c>
    </row>
    <row r="2751" spans="1:130" hidden="1" x14ac:dyDescent="0.25">
      <c r="A2751" s="141"/>
      <c r="B2751" s="379"/>
      <c r="C2751" s="379"/>
      <c r="D2751" s="379"/>
      <c r="E2751" s="379"/>
      <c r="F2751" s="379"/>
      <c r="G2751" s="379"/>
      <c r="H2751" s="379"/>
      <c r="I2751" s="379"/>
      <c r="J2751" s="379"/>
      <c r="K2751" s="379"/>
      <c r="L2751" s="379"/>
      <c r="M2751" s="379"/>
      <c r="N2751" s="379"/>
      <c r="O2751" s="379"/>
      <c r="P2751" s="379"/>
      <c r="Q2751" s="379"/>
      <c r="R2751" s="379"/>
      <c r="S2751" s="379"/>
      <c r="T2751" s="379"/>
      <c r="U2751" s="379"/>
      <c r="V2751" s="379"/>
      <c r="W2751" s="379"/>
      <c r="X2751" s="379"/>
      <c r="Y2751" s="379"/>
      <c r="Z2751" s="379"/>
      <c r="AA2751" s="379"/>
      <c r="AB2751" s="379"/>
      <c r="AC2751" s="379"/>
      <c r="AD2751" s="379"/>
      <c r="AE2751" s="379"/>
      <c r="AF2751" s="379"/>
      <c r="AG2751" s="379"/>
      <c r="AH2751" s="379"/>
      <c r="AI2751" s="379"/>
      <c r="AJ2751" s="379"/>
      <c r="AK2751" s="379"/>
      <c r="AL2751" s="379"/>
      <c r="AM2751" s="379"/>
      <c r="AN2751" s="379"/>
      <c r="AO2751" s="379"/>
      <c r="AP2751" s="379"/>
      <c r="AQ2751" s="379"/>
      <c r="AR2751" s="379"/>
      <c r="AS2751" s="379"/>
      <c r="AT2751" s="379"/>
      <c r="AU2751" s="379"/>
      <c r="AV2751" s="379"/>
      <c r="AW2751" s="379"/>
      <c r="AX2751" s="379"/>
      <c r="AY2751" s="379"/>
      <c r="AZ2751" s="379"/>
      <c r="BA2751" s="379"/>
      <c r="BB2751" s="379"/>
      <c r="BC2751" s="379"/>
      <c r="BD2751" s="379"/>
      <c r="BE2751" s="379"/>
      <c r="BF2751" s="379"/>
      <c r="BG2751" s="379"/>
      <c r="BH2751" s="379"/>
      <c r="BI2751" s="379"/>
      <c r="BJ2751" s="379"/>
      <c r="BK2751" s="379"/>
      <c r="BL2751" s="379"/>
      <c r="BM2751" s="379"/>
      <c r="BN2751" s="379"/>
      <c r="BO2751" s="379"/>
      <c r="BP2751" s="379"/>
      <c r="BQ2751" s="379"/>
      <c r="BR2751" s="379"/>
      <c r="BS2751" s="379"/>
      <c r="BT2751" s="379"/>
      <c r="BU2751" s="379"/>
      <c r="BV2751" s="379"/>
      <c r="BW2751" s="379"/>
      <c r="BX2751" s="379"/>
      <c r="BY2751" s="379"/>
      <c r="BZ2751" s="379"/>
      <c r="CA2751" s="281"/>
      <c r="CB2751" s="3" t="str">
        <f t="shared" si="496"/>
        <v>Riadok bude skrytý.</v>
      </c>
      <c r="CC2751" s="271" t="s">
        <v>832</v>
      </c>
      <c r="CW2751" s="32">
        <f t="shared" si="493"/>
        <v>1</v>
      </c>
      <c r="CX2751" s="30">
        <f t="shared" si="494"/>
        <v>0</v>
      </c>
      <c r="CZ2751" s="30">
        <f t="shared" si="497"/>
        <v>1</v>
      </c>
      <c r="DA2751" s="52">
        <f t="shared" si="495"/>
        <v>0</v>
      </c>
      <c r="DB2751" s="2">
        <f t="shared" si="484"/>
        <v>0</v>
      </c>
      <c r="DS2751" s="130">
        <f>SI!BY2751</f>
        <v>162</v>
      </c>
      <c r="DZ2751" s="131">
        <f>SI!BZ2751</f>
        <v>0</v>
      </c>
    </row>
    <row r="2752" spans="1:130" hidden="1" x14ac:dyDescent="0.25">
      <c r="A2752" s="141"/>
      <c r="B2752" s="379"/>
      <c r="C2752" s="379"/>
      <c r="D2752" s="379"/>
      <c r="E2752" s="379"/>
      <c r="F2752" s="379"/>
      <c r="G2752" s="379"/>
      <c r="H2752" s="379"/>
      <c r="I2752" s="379"/>
      <c r="J2752" s="379"/>
      <c r="K2752" s="379"/>
      <c r="L2752" s="379"/>
      <c r="M2752" s="379"/>
      <c r="N2752" s="379"/>
      <c r="O2752" s="379"/>
      <c r="P2752" s="379"/>
      <c r="Q2752" s="379"/>
      <c r="R2752" s="379"/>
      <c r="S2752" s="379"/>
      <c r="T2752" s="379"/>
      <c r="U2752" s="379"/>
      <c r="V2752" s="379"/>
      <c r="W2752" s="379"/>
      <c r="X2752" s="379"/>
      <c r="Y2752" s="379"/>
      <c r="Z2752" s="379"/>
      <c r="AA2752" s="379"/>
      <c r="AB2752" s="379"/>
      <c r="AC2752" s="379"/>
      <c r="AD2752" s="379"/>
      <c r="AE2752" s="379"/>
      <c r="AF2752" s="379"/>
      <c r="AG2752" s="379"/>
      <c r="AH2752" s="379"/>
      <c r="AI2752" s="379"/>
      <c r="AJ2752" s="379"/>
      <c r="AK2752" s="379"/>
      <c r="AL2752" s="379"/>
      <c r="AM2752" s="379"/>
      <c r="AN2752" s="379"/>
      <c r="AO2752" s="379"/>
      <c r="AP2752" s="379"/>
      <c r="AQ2752" s="379"/>
      <c r="AR2752" s="379"/>
      <c r="AS2752" s="379"/>
      <c r="AT2752" s="379"/>
      <c r="AU2752" s="379"/>
      <c r="AV2752" s="379"/>
      <c r="AW2752" s="379"/>
      <c r="AX2752" s="379"/>
      <c r="AY2752" s="379"/>
      <c r="AZ2752" s="379"/>
      <c r="BA2752" s="379"/>
      <c r="BB2752" s="379"/>
      <c r="BC2752" s="379"/>
      <c r="BD2752" s="379"/>
      <c r="BE2752" s="379"/>
      <c r="BF2752" s="379"/>
      <c r="BG2752" s="379"/>
      <c r="BH2752" s="379"/>
      <c r="BI2752" s="379"/>
      <c r="BJ2752" s="379"/>
      <c r="BK2752" s="379"/>
      <c r="BL2752" s="379"/>
      <c r="BM2752" s="379"/>
      <c r="BN2752" s="379"/>
      <c r="BO2752" s="379"/>
      <c r="BP2752" s="379"/>
      <c r="BQ2752" s="379"/>
      <c r="BR2752" s="379"/>
      <c r="BS2752" s="379"/>
      <c r="BT2752" s="379"/>
      <c r="BU2752" s="379"/>
      <c r="BV2752" s="379"/>
      <c r="BW2752" s="379"/>
      <c r="BX2752" s="379"/>
      <c r="BY2752" s="379"/>
      <c r="BZ2752" s="379"/>
      <c r="CA2752" s="281"/>
      <c r="CB2752" s="3" t="str">
        <f t="shared" si="496"/>
        <v>Riadok bude skrytý.</v>
      </c>
      <c r="CC2752" s="271" t="s">
        <v>832</v>
      </c>
      <c r="CW2752" s="32">
        <f t="shared" si="493"/>
        <v>1</v>
      </c>
      <c r="CX2752" s="30">
        <f t="shared" si="494"/>
        <v>0</v>
      </c>
      <c r="CZ2752" s="30">
        <f t="shared" si="497"/>
        <v>1</v>
      </c>
      <c r="DA2752" s="52">
        <f t="shared" si="495"/>
        <v>0</v>
      </c>
      <c r="DB2752" s="2">
        <f t="shared" si="484"/>
        <v>0</v>
      </c>
      <c r="DS2752" s="130">
        <f>SI!BY2752</f>
        <v>149</v>
      </c>
      <c r="DZ2752" s="131">
        <f>SI!BZ2752</f>
        <v>0</v>
      </c>
    </row>
    <row r="2753" spans="1:130" hidden="1" x14ac:dyDescent="0.25">
      <c r="A2753" s="141"/>
      <c r="B2753" s="379"/>
      <c r="C2753" s="379"/>
      <c r="D2753" s="379"/>
      <c r="E2753" s="379"/>
      <c r="F2753" s="379"/>
      <c r="G2753" s="379"/>
      <c r="H2753" s="379"/>
      <c r="I2753" s="379"/>
      <c r="J2753" s="379"/>
      <c r="K2753" s="379"/>
      <c r="L2753" s="379"/>
      <c r="M2753" s="379"/>
      <c r="N2753" s="379"/>
      <c r="O2753" s="379"/>
      <c r="P2753" s="379"/>
      <c r="Q2753" s="379"/>
      <c r="R2753" s="379"/>
      <c r="S2753" s="379"/>
      <c r="T2753" s="379"/>
      <c r="U2753" s="379"/>
      <c r="V2753" s="379"/>
      <c r="W2753" s="379"/>
      <c r="X2753" s="379"/>
      <c r="Y2753" s="379"/>
      <c r="Z2753" s="379"/>
      <c r="AA2753" s="379"/>
      <c r="AB2753" s="379"/>
      <c r="AC2753" s="379"/>
      <c r="AD2753" s="379"/>
      <c r="AE2753" s="379"/>
      <c r="AF2753" s="379"/>
      <c r="AG2753" s="379"/>
      <c r="AH2753" s="379"/>
      <c r="AI2753" s="379"/>
      <c r="AJ2753" s="379"/>
      <c r="AK2753" s="379"/>
      <c r="AL2753" s="379"/>
      <c r="AM2753" s="379"/>
      <c r="AN2753" s="379"/>
      <c r="AO2753" s="379"/>
      <c r="AP2753" s="379"/>
      <c r="AQ2753" s="379"/>
      <c r="AR2753" s="379"/>
      <c r="AS2753" s="379"/>
      <c r="AT2753" s="379"/>
      <c r="AU2753" s="379"/>
      <c r="AV2753" s="379"/>
      <c r="AW2753" s="379"/>
      <c r="AX2753" s="379"/>
      <c r="AY2753" s="379"/>
      <c r="AZ2753" s="379"/>
      <c r="BA2753" s="379"/>
      <c r="BB2753" s="379"/>
      <c r="BC2753" s="379"/>
      <c r="BD2753" s="379"/>
      <c r="BE2753" s="379"/>
      <c r="BF2753" s="379"/>
      <c r="BG2753" s="379"/>
      <c r="BH2753" s="379"/>
      <c r="BI2753" s="379"/>
      <c r="BJ2753" s="379"/>
      <c r="BK2753" s="379"/>
      <c r="BL2753" s="379"/>
      <c r="BM2753" s="379"/>
      <c r="BN2753" s="379"/>
      <c r="BO2753" s="379"/>
      <c r="BP2753" s="379"/>
      <c r="BQ2753" s="379"/>
      <c r="BR2753" s="379"/>
      <c r="BS2753" s="379"/>
      <c r="BT2753" s="379"/>
      <c r="BU2753" s="379"/>
      <c r="BV2753" s="379"/>
      <c r="BW2753" s="379"/>
      <c r="BX2753" s="379"/>
      <c r="BY2753" s="379"/>
      <c r="BZ2753" s="379"/>
      <c r="CA2753" s="281"/>
      <c r="CB2753" s="3" t="str">
        <f t="shared" si="496"/>
        <v>Riadok bude skrytý.</v>
      </c>
      <c r="CC2753" s="271" t="s">
        <v>832</v>
      </c>
      <c r="CW2753" s="32">
        <f t="shared" si="493"/>
        <v>1</v>
      </c>
      <c r="CX2753" s="30">
        <f t="shared" si="494"/>
        <v>0</v>
      </c>
      <c r="CZ2753" s="30">
        <f t="shared" si="497"/>
        <v>1</v>
      </c>
      <c r="DA2753" s="52">
        <f t="shared" si="495"/>
        <v>0</v>
      </c>
      <c r="DB2753" s="2">
        <f t="shared" si="484"/>
        <v>0</v>
      </c>
      <c r="DS2753" s="130">
        <f>SI!BY2753</f>
        <v>139</v>
      </c>
      <c r="DZ2753" s="131">
        <f>SI!BZ2753</f>
        <v>0</v>
      </c>
    </row>
    <row r="2754" spans="1:130" hidden="1" x14ac:dyDescent="0.25">
      <c r="A2754" s="141"/>
      <c r="B2754" s="379"/>
      <c r="C2754" s="379"/>
      <c r="D2754" s="379"/>
      <c r="E2754" s="379"/>
      <c r="F2754" s="379"/>
      <c r="G2754" s="379"/>
      <c r="H2754" s="379"/>
      <c r="I2754" s="379"/>
      <c r="J2754" s="379"/>
      <c r="K2754" s="379"/>
      <c r="L2754" s="379"/>
      <c r="M2754" s="379"/>
      <c r="N2754" s="379"/>
      <c r="O2754" s="379"/>
      <c r="P2754" s="379"/>
      <c r="Q2754" s="379"/>
      <c r="R2754" s="379"/>
      <c r="S2754" s="379"/>
      <c r="T2754" s="379"/>
      <c r="U2754" s="379"/>
      <c r="V2754" s="379"/>
      <c r="W2754" s="379"/>
      <c r="X2754" s="379"/>
      <c r="Y2754" s="379"/>
      <c r="Z2754" s="379"/>
      <c r="AA2754" s="379"/>
      <c r="AB2754" s="379"/>
      <c r="AC2754" s="379"/>
      <c r="AD2754" s="379"/>
      <c r="AE2754" s="379"/>
      <c r="AF2754" s="379"/>
      <c r="AG2754" s="379"/>
      <c r="AH2754" s="379"/>
      <c r="AI2754" s="379"/>
      <c r="AJ2754" s="379"/>
      <c r="AK2754" s="379"/>
      <c r="AL2754" s="379"/>
      <c r="AM2754" s="379"/>
      <c r="AN2754" s="379"/>
      <c r="AO2754" s="379"/>
      <c r="AP2754" s="379"/>
      <c r="AQ2754" s="379"/>
      <c r="AR2754" s="379"/>
      <c r="AS2754" s="379"/>
      <c r="AT2754" s="379"/>
      <c r="AU2754" s="379"/>
      <c r="AV2754" s="379"/>
      <c r="AW2754" s="379"/>
      <c r="AX2754" s="379"/>
      <c r="AY2754" s="379"/>
      <c r="AZ2754" s="379"/>
      <c r="BA2754" s="379"/>
      <c r="BB2754" s="379"/>
      <c r="BC2754" s="379"/>
      <c r="BD2754" s="379"/>
      <c r="BE2754" s="379"/>
      <c r="BF2754" s="379"/>
      <c r="BG2754" s="379"/>
      <c r="BH2754" s="379"/>
      <c r="BI2754" s="379"/>
      <c r="BJ2754" s="379"/>
      <c r="BK2754" s="379"/>
      <c r="BL2754" s="379"/>
      <c r="BM2754" s="379"/>
      <c r="BN2754" s="379"/>
      <c r="BO2754" s="379"/>
      <c r="BP2754" s="379"/>
      <c r="BQ2754" s="379"/>
      <c r="BR2754" s="379"/>
      <c r="BS2754" s="379"/>
      <c r="BT2754" s="379"/>
      <c r="BU2754" s="379"/>
      <c r="BV2754" s="379"/>
      <c r="BW2754" s="379"/>
      <c r="BX2754" s="379"/>
      <c r="BY2754" s="379"/>
      <c r="BZ2754" s="379"/>
      <c r="CA2754" s="281"/>
      <c r="CB2754" s="3" t="str">
        <f t="shared" si="496"/>
        <v>Riadok bude skrytý.</v>
      </c>
      <c r="CC2754" s="271" t="s">
        <v>832</v>
      </c>
      <c r="CW2754" s="32">
        <f t="shared" si="493"/>
        <v>1</v>
      </c>
      <c r="CX2754" s="30">
        <f t="shared" si="494"/>
        <v>0</v>
      </c>
      <c r="CZ2754" s="30">
        <f t="shared" si="497"/>
        <v>1</v>
      </c>
      <c r="DA2754" s="52">
        <f t="shared" si="495"/>
        <v>0</v>
      </c>
      <c r="DB2754" s="2">
        <f t="shared" si="484"/>
        <v>0</v>
      </c>
      <c r="DS2754" s="130">
        <f>SI!BY2754</f>
        <v>133</v>
      </c>
      <c r="DZ2754" s="131">
        <f>SI!BZ2754</f>
        <v>0</v>
      </c>
    </row>
    <row r="2755" spans="1:130" hidden="1" x14ac:dyDescent="0.25">
      <c r="A2755" s="141"/>
      <c r="B2755" s="379"/>
      <c r="C2755" s="379"/>
      <c r="D2755" s="379"/>
      <c r="E2755" s="379"/>
      <c r="F2755" s="379"/>
      <c r="G2755" s="379"/>
      <c r="H2755" s="379"/>
      <c r="I2755" s="379"/>
      <c r="J2755" s="379"/>
      <c r="K2755" s="379"/>
      <c r="L2755" s="379"/>
      <c r="M2755" s="379"/>
      <c r="N2755" s="379"/>
      <c r="O2755" s="379"/>
      <c r="P2755" s="379"/>
      <c r="Q2755" s="379"/>
      <c r="R2755" s="379"/>
      <c r="S2755" s="379"/>
      <c r="T2755" s="379"/>
      <c r="U2755" s="379"/>
      <c r="V2755" s="379"/>
      <c r="W2755" s="379"/>
      <c r="X2755" s="379"/>
      <c r="Y2755" s="379"/>
      <c r="Z2755" s="379"/>
      <c r="AA2755" s="379"/>
      <c r="AB2755" s="379"/>
      <c r="AC2755" s="379"/>
      <c r="AD2755" s="379"/>
      <c r="AE2755" s="379"/>
      <c r="AF2755" s="379"/>
      <c r="AG2755" s="379"/>
      <c r="AH2755" s="379"/>
      <c r="AI2755" s="379"/>
      <c r="AJ2755" s="379"/>
      <c r="AK2755" s="379"/>
      <c r="AL2755" s="379"/>
      <c r="AM2755" s="379"/>
      <c r="AN2755" s="379"/>
      <c r="AO2755" s="379"/>
      <c r="AP2755" s="379"/>
      <c r="AQ2755" s="379"/>
      <c r="AR2755" s="379"/>
      <c r="AS2755" s="379"/>
      <c r="AT2755" s="379"/>
      <c r="AU2755" s="379"/>
      <c r="AV2755" s="379"/>
      <c r="AW2755" s="379"/>
      <c r="AX2755" s="379"/>
      <c r="AY2755" s="379"/>
      <c r="AZ2755" s="379"/>
      <c r="BA2755" s="379"/>
      <c r="BB2755" s="379"/>
      <c r="BC2755" s="379"/>
      <c r="BD2755" s="379"/>
      <c r="BE2755" s="379"/>
      <c r="BF2755" s="379"/>
      <c r="BG2755" s="379"/>
      <c r="BH2755" s="379"/>
      <c r="BI2755" s="379"/>
      <c r="BJ2755" s="379"/>
      <c r="BK2755" s="379"/>
      <c r="BL2755" s="379"/>
      <c r="BM2755" s="379"/>
      <c r="BN2755" s="379"/>
      <c r="BO2755" s="379"/>
      <c r="BP2755" s="379"/>
      <c r="BQ2755" s="379"/>
      <c r="BR2755" s="379"/>
      <c r="BS2755" s="379"/>
      <c r="BT2755" s="379"/>
      <c r="BU2755" s="379"/>
      <c r="BV2755" s="379"/>
      <c r="BW2755" s="379"/>
      <c r="BX2755" s="379"/>
      <c r="BY2755" s="379"/>
      <c r="BZ2755" s="379"/>
      <c r="CA2755" s="281"/>
      <c r="CB2755" s="3" t="str">
        <f t="shared" si="496"/>
        <v>Riadok bude skrytý.</v>
      </c>
      <c r="CC2755" s="271" t="s">
        <v>832</v>
      </c>
      <c r="CW2755" s="32">
        <f t="shared" si="493"/>
        <v>1</v>
      </c>
      <c r="CX2755" s="30">
        <f t="shared" si="494"/>
        <v>0</v>
      </c>
      <c r="CZ2755" s="30">
        <f t="shared" si="497"/>
        <v>1</v>
      </c>
      <c r="DA2755" s="52">
        <f t="shared" si="495"/>
        <v>0</v>
      </c>
      <c r="DB2755" s="2">
        <f t="shared" si="484"/>
        <v>0</v>
      </c>
      <c r="DS2755" s="130">
        <f>SI!BY2755</f>
        <v>932</v>
      </c>
      <c r="DZ2755" s="131">
        <f>SI!BZ2755</f>
        <v>0</v>
      </c>
    </row>
    <row r="2756" spans="1:130" hidden="1" x14ac:dyDescent="0.25">
      <c r="A2756" s="141"/>
      <c r="B2756" s="379"/>
      <c r="C2756" s="379"/>
      <c r="D2756" s="379"/>
      <c r="E2756" s="379"/>
      <c r="F2756" s="379"/>
      <c r="G2756" s="379"/>
      <c r="H2756" s="379"/>
      <c r="I2756" s="379"/>
      <c r="J2756" s="379"/>
      <c r="K2756" s="379"/>
      <c r="L2756" s="379"/>
      <c r="M2756" s="379"/>
      <c r="N2756" s="379"/>
      <c r="O2756" s="379"/>
      <c r="P2756" s="379"/>
      <c r="Q2756" s="379"/>
      <c r="R2756" s="379"/>
      <c r="S2756" s="379"/>
      <c r="T2756" s="379"/>
      <c r="U2756" s="379"/>
      <c r="V2756" s="379"/>
      <c r="W2756" s="379"/>
      <c r="X2756" s="379"/>
      <c r="Y2756" s="379"/>
      <c r="Z2756" s="379"/>
      <c r="AA2756" s="379"/>
      <c r="AB2756" s="379"/>
      <c r="AC2756" s="379"/>
      <c r="AD2756" s="379"/>
      <c r="AE2756" s="379"/>
      <c r="AF2756" s="379"/>
      <c r="AG2756" s="379"/>
      <c r="AH2756" s="379"/>
      <c r="AI2756" s="379"/>
      <c r="AJ2756" s="379"/>
      <c r="AK2756" s="379"/>
      <c r="AL2756" s="379"/>
      <c r="AM2756" s="379"/>
      <c r="AN2756" s="379"/>
      <c r="AO2756" s="379"/>
      <c r="AP2756" s="379"/>
      <c r="AQ2756" s="379"/>
      <c r="AR2756" s="379"/>
      <c r="AS2756" s="379"/>
      <c r="AT2756" s="379"/>
      <c r="AU2756" s="379"/>
      <c r="AV2756" s="379"/>
      <c r="AW2756" s="379"/>
      <c r="AX2756" s="379"/>
      <c r="AY2756" s="379"/>
      <c r="AZ2756" s="379"/>
      <c r="BA2756" s="379"/>
      <c r="BB2756" s="379"/>
      <c r="BC2756" s="379"/>
      <c r="BD2756" s="379"/>
      <c r="BE2756" s="379"/>
      <c r="BF2756" s="379"/>
      <c r="BG2756" s="379"/>
      <c r="BH2756" s="379"/>
      <c r="BI2756" s="379"/>
      <c r="BJ2756" s="379"/>
      <c r="BK2756" s="379"/>
      <c r="BL2756" s="379"/>
      <c r="BM2756" s="379"/>
      <c r="BN2756" s="379"/>
      <c r="BO2756" s="379"/>
      <c r="BP2756" s="379"/>
      <c r="BQ2756" s="379"/>
      <c r="BR2756" s="379"/>
      <c r="BS2756" s="379"/>
      <c r="BT2756" s="379"/>
      <c r="BU2756" s="379"/>
      <c r="BV2756" s="379"/>
      <c r="BW2756" s="379"/>
      <c r="BX2756" s="379"/>
      <c r="BY2756" s="379"/>
      <c r="BZ2756" s="379"/>
      <c r="CA2756" s="281"/>
      <c r="CB2756" s="3" t="str">
        <f t="shared" si="496"/>
        <v>Riadok bude skrytý.</v>
      </c>
      <c r="CC2756" s="271" t="s">
        <v>832</v>
      </c>
      <c r="CW2756" s="32">
        <f t="shared" si="493"/>
        <v>1</v>
      </c>
      <c r="CX2756" s="30">
        <f t="shared" si="494"/>
        <v>0</v>
      </c>
      <c r="CZ2756" s="30">
        <f t="shared" si="497"/>
        <v>1</v>
      </c>
      <c r="DA2756" s="52">
        <f t="shared" si="495"/>
        <v>0</v>
      </c>
      <c r="DB2756" s="2">
        <f t="shared" si="484"/>
        <v>0</v>
      </c>
      <c r="DS2756" s="130">
        <f>SI!BY2756</f>
        <v>185</v>
      </c>
      <c r="DZ2756" s="131">
        <f>SI!BZ2756</f>
        <v>0</v>
      </c>
    </row>
    <row r="2757" spans="1:130" hidden="1" x14ac:dyDescent="0.25">
      <c r="A2757" s="141"/>
      <c r="CA2757" s="270"/>
      <c r="CB2757" s="3" t="str">
        <f t="shared" si="496"/>
        <v>Riadok bude skrytý.</v>
      </c>
      <c r="CC2757" s="271" t="s">
        <v>832</v>
      </c>
      <c r="CW2757" s="32">
        <f t="shared" si="493"/>
        <v>1</v>
      </c>
      <c r="CZ2757" s="30">
        <f t="shared" si="497"/>
        <v>1</v>
      </c>
      <c r="DA2757" s="30">
        <f t="shared" ref="DA2757:DA2768" si="498">+IF(CW2757+CX2757+CY2757=0,0,IF(CZ2757=0,0,1))</f>
        <v>1</v>
      </c>
      <c r="DB2757" s="2">
        <f t="shared" si="484"/>
        <v>0</v>
      </c>
      <c r="DS2757" s="130">
        <f>SI!BY2757</f>
        <v>812</v>
      </c>
      <c r="DZ2757" s="131">
        <f>SI!BZ2757</f>
        <v>0</v>
      </c>
    </row>
    <row r="2758" spans="1:130" hidden="1" x14ac:dyDescent="0.25">
      <c r="A2758" s="141"/>
      <c r="B2758" s="137" t="str">
        <f>+IF($M$52&lt;&gt;"",IF(SQRT(INT(FACT(DAY(24324))*FACT(DAY(24385))/576))=DS2758,"Čistý obrat Spoločnosti je uvedený v tabuľke:","NEPOVOLENÉ POUŽITIE!"),"NEPOVOLENÉ POUŽITIE!")</f>
        <v>Čistý obrat Spoločnosti je uvedený v tabuľke:</v>
      </c>
      <c r="CA2758" s="265" t="s">
        <v>773</v>
      </c>
      <c r="CB2758" s="3" t="str">
        <f t="shared" si="496"/>
        <v>Riadok bude skrytý.</v>
      </c>
      <c r="CC2758" s="271" t="s">
        <v>832</v>
      </c>
      <c r="CW2758" s="32">
        <f t="shared" si="493"/>
        <v>1</v>
      </c>
      <c r="CZ2758" s="30">
        <f t="shared" si="497"/>
        <v>1</v>
      </c>
      <c r="DA2758" s="30">
        <f t="shared" si="498"/>
        <v>1</v>
      </c>
      <c r="DB2758" s="2">
        <f t="shared" si="484"/>
        <v>0</v>
      </c>
      <c r="DS2758" s="130">
        <f>SI!BY2758</f>
        <v>5</v>
      </c>
      <c r="DZ2758" s="131">
        <f>SI!BZ2758</f>
        <v>0</v>
      </c>
    </row>
    <row r="2759" spans="1:130" hidden="1" x14ac:dyDescent="0.25">
      <c r="A2759" s="141"/>
      <c r="CA2759" s="270"/>
      <c r="CB2759" s="3" t="str">
        <f t="shared" si="496"/>
        <v>Riadok bude skrytý.</v>
      </c>
      <c r="CC2759" s="271" t="s">
        <v>832</v>
      </c>
      <c r="CW2759" s="32">
        <f t="shared" si="493"/>
        <v>1</v>
      </c>
      <c r="CZ2759" s="30">
        <f t="shared" si="497"/>
        <v>1</v>
      </c>
      <c r="DA2759" s="30">
        <f t="shared" si="498"/>
        <v>1</v>
      </c>
      <c r="DB2759" s="2">
        <f t="shared" ref="DB2759:DB2781" si="499">+IF($CD$1="malé",0,DA2759)</f>
        <v>0</v>
      </c>
      <c r="DS2759" s="130">
        <f>SI!BY2759</f>
        <v>415</v>
      </c>
      <c r="DZ2759" s="131">
        <f>SI!BZ2759</f>
        <v>0</v>
      </c>
    </row>
    <row r="2760" spans="1:130" ht="14.95" hidden="1" customHeight="1" x14ac:dyDescent="0.25">
      <c r="A2760" s="141"/>
      <c r="B2760" s="439" t="s">
        <v>171</v>
      </c>
      <c r="C2760" s="440"/>
      <c r="D2760" s="440"/>
      <c r="E2760" s="440"/>
      <c r="F2760" s="440"/>
      <c r="G2760" s="440"/>
      <c r="H2760" s="440"/>
      <c r="I2760" s="440"/>
      <c r="J2760" s="440"/>
      <c r="K2760" s="440"/>
      <c r="L2760" s="440"/>
      <c r="M2760" s="440"/>
      <c r="N2760" s="440"/>
      <c r="O2760" s="440"/>
      <c r="P2760" s="440"/>
      <c r="Q2760" s="440"/>
      <c r="R2760" s="440"/>
      <c r="S2760" s="440"/>
      <c r="T2760" s="440"/>
      <c r="U2760" s="440"/>
      <c r="V2760" s="440"/>
      <c r="W2760" s="440"/>
      <c r="X2760" s="440"/>
      <c r="Y2760" s="440"/>
      <c r="Z2760" s="440"/>
      <c r="AA2760" s="440"/>
      <c r="AB2760" s="440"/>
      <c r="AC2760" s="440"/>
      <c r="AD2760" s="440"/>
      <c r="AE2760" s="440"/>
      <c r="AF2760" s="440"/>
      <c r="AG2760" s="440"/>
      <c r="AH2760" s="440"/>
      <c r="AI2760" s="440"/>
      <c r="AJ2760" s="440"/>
      <c r="AK2760" s="636" t="s">
        <v>948</v>
      </c>
      <c r="AL2760" s="637"/>
      <c r="AM2760" s="637"/>
      <c r="AN2760" s="637"/>
      <c r="AO2760" s="637"/>
      <c r="AP2760" s="637"/>
      <c r="AQ2760" s="637"/>
      <c r="AR2760" s="637"/>
      <c r="AS2760" s="637"/>
      <c r="AT2760" s="637"/>
      <c r="AU2760" s="637"/>
      <c r="AV2760" s="637"/>
      <c r="AW2760" s="637"/>
      <c r="AX2760" s="637"/>
      <c r="AY2760" s="637"/>
      <c r="AZ2760" s="637"/>
      <c r="BA2760" s="637"/>
      <c r="BB2760" s="637"/>
      <c r="BC2760" s="637"/>
      <c r="BD2760" s="637"/>
      <c r="BE2760" s="638"/>
      <c r="BF2760" s="1996" t="s">
        <v>949</v>
      </c>
      <c r="BG2760" s="1997"/>
      <c r="BH2760" s="1997"/>
      <c r="BI2760" s="1997"/>
      <c r="BJ2760" s="1997"/>
      <c r="BK2760" s="1997"/>
      <c r="BL2760" s="1997"/>
      <c r="BM2760" s="1997"/>
      <c r="BN2760" s="1997"/>
      <c r="BO2760" s="1997"/>
      <c r="BP2760" s="1997"/>
      <c r="BQ2760" s="1997"/>
      <c r="BR2760" s="1997"/>
      <c r="BS2760" s="1997"/>
      <c r="BT2760" s="1997"/>
      <c r="BU2760" s="1997"/>
      <c r="BV2760" s="1997"/>
      <c r="BW2760" s="1997"/>
      <c r="BX2760" s="1997"/>
      <c r="BY2760" s="1997"/>
      <c r="BZ2760" s="1998"/>
      <c r="CA2760" s="265" t="s">
        <v>773</v>
      </c>
      <c r="CB2760" s="3" t="str">
        <f t="shared" si="496"/>
        <v>Riadok bude skrytý.</v>
      </c>
      <c r="CC2760" s="271" t="s">
        <v>832</v>
      </c>
      <c r="CW2760" s="32">
        <f t="shared" si="493"/>
        <v>1</v>
      </c>
      <c r="CZ2760" s="30">
        <f t="shared" si="497"/>
        <v>1</v>
      </c>
      <c r="DA2760" s="30">
        <f t="shared" si="498"/>
        <v>1</v>
      </c>
      <c r="DB2760" s="2">
        <f t="shared" si="499"/>
        <v>0</v>
      </c>
      <c r="DS2760" s="130">
        <f>SI!BY2760</f>
        <v>153</v>
      </c>
      <c r="DZ2760" s="131">
        <f>SI!BZ2760</f>
        <v>0</v>
      </c>
    </row>
    <row r="2761" spans="1:130" hidden="1" x14ac:dyDescent="0.25">
      <c r="A2761" s="141"/>
      <c r="B2761" s="442"/>
      <c r="C2761" s="443"/>
      <c r="D2761" s="443"/>
      <c r="E2761" s="443"/>
      <c r="F2761" s="443"/>
      <c r="G2761" s="443"/>
      <c r="H2761" s="443"/>
      <c r="I2761" s="443"/>
      <c r="J2761" s="443"/>
      <c r="K2761" s="443"/>
      <c r="L2761" s="443"/>
      <c r="M2761" s="443"/>
      <c r="N2761" s="443"/>
      <c r="O2761" s="443"/>
      <c r="P2761" s="443"/>
      <c r="Q2761" s="443"/>
      <c r="R2761" s="443"/>
      <c r="S2761" s="443"/>
      <c r="T2761" s="443"/>
      <c r="U2761" s="443"/>
      <c r="V2761" s="443"/>
      <c r="W2761" s="443"/>
      <c r="X2761" s="443"/>
      <c r="Y2761" s="443"/>
      <c r="Z2761" s="443"/>
      <c r="AA2761" s="443"/>
      <c r="AB2761" s="443"/>
      <c r="AC2761" s="443"/>
      <c r="AD2761" s="443"/>
      <c r="AE2761" s="443"/>
      <c r="AF2761" s="443"/>
      <c r="AG2761" s="443"/>
      <c r="AH2761" s="443"/>
      <c r="AI2761" s="443"/>
      <c r="AJ2761" s="443"/>
      <c r="AK2761" s="639">
        <f>+AJ141</f>
        <v>2021</v>
      </c>
      <c r="AL2761" s="640"/>
      <c r="AM2761" s="640"/>
      <c r="AN2761" s="640"/>
      <c r="AO2761" s="640"/>
      <c r="AP2761" s="640"/>
      <c r="AQ2761" s="640"/>
      <c r="AR2761" s="640"/>
      <c r="AS2761" s="640"/>
      <c r="AT2761" s="640"/>
      <c r="AU2761" s="640"/>
      <c r="AV2761" s="640"/>
      <c r="AW2761" s="640"/>
      <c r="AX2761" s="640"/>
      <c r="AY2761" s="640"/>
      <c r="AZ2761" s="640"/>
      <c r="BA2761" s="640"/>
      <c r="BB2761" s="640"/>
      <c r="BC2761" s="640"/>
      <c r="BD2761" s="640"/>
      <c r="BE2761" s="641"/>
      <c r="BF2761" s="495">
        <f>+BE141</f>
        <v>2020</v>
      </c>
      <c r="BG2761" s="496"/>
      <c r="BH2761" s="496"/>
      <c r="BI2761" s="496"/>
      <c r="BJ2761" s="496"/>
      <c r="BK2761" s="496"/>
      <c r="BL2761" s="496"/>
      <c r="BM2761" s="496"/>
      <c r="BN2761" s="496"/>
      <c r="BO2761" s="496"/>
      <c r="BP2761" s="496"/>
      <c r="BQ2761" s="496"/>
      <c r="BR2761" s="496"/>
      <c r="BS2761" s="496"/>
      <c r="BT2761" s="496"/>
      <c r="BU2761" s="496"/>
      <c r="BV2761" s="496"/>
      <c r="BW2761" s="496"/>
      <c r="BX2761" s="496"/>
      <c r="BY2761" s="496"/>
      <c r="BZ2761" s="497"/>
      <c r="CA2761" s="142"/>
      <c r="CB2761" s="3" t="str">
        <f t="shared" si="496"/>
        <v>Riadok bude skrytý.</v>
      </c>
      <c r="CC2761" s="271" t="s">
        <v>832</v>
      </c>
      <c r="CW2761" s="32">
        <f t="shared" si="493"/>
        <v>1</v>
      </c>
      <c r="CZ2761" s="30">
        <f t="shared" si="497"/>
        <v>1</v>
      </c>
      <c r="DA2761" s="30">
        <f t="shared" si="498"/>
        <v>1</v>
      </c>
      <c r="DB2761" s="2">
        <f t="shared" si="499"/>
        <v>0</v>
      </c>
      <c r="DS2761" s="130">
        <f>SI!BY2761</f>
        <v>178</v>
      </c>
      <c r="DZ2761" s="131">
        <f>SI!BZ2761</f>
        <v>0</v>
      </c>
    </row>
    <row r="2762" spans="1:130" hidden="1" x14ac:dyDescent="0.25">
      <c r="A2762" s="141"/>
      <c r="B2762" s="1570" t="s">
        <v>347</v>
      </c>
      <c r="C2762" s="1571"/>
      <c r="D2762" s="1571"/>
      <c r="E2762" s="1571"/>
      <c r="F2762" s="1571"/>
      <c r="G2762" s="1571"/>
      <c r="H2762" s="1571"/>
      <c r="I2762" s="1571"/>
      <c r="J2762" s="1571"/>
      <c r="K2762" s="1571"/>
      <c r="L2762" s="1571"/>
      <c r="M2762" s="1571"/>
      <c r="N2762" s="1571"/>
      <c r="O2762" s="1571"/>
      <c r="P2762" s="1571"/>
      <c r="Q2762" s="1571"/>
      <c r="R2762" s="1571"/>
      <c r="S2762" s="1571"/>
      <c r="T2762" s="1571"/>
      <c r="U2762" s="1571"/>
      <c r="V2762" s="1571"/>
      <c r="W2762" s="1571"/>
      <c r="X2762" s="1571"/>
      <c r="Y2762" s="1571"/>
      <c r="Z2762" s="1571"/>
      <c r="AA2762" s="1571"/>
      <c r="AB2762" s="1571"/>
      <c r="AC2762" s="1571"/>
      <c r="AD2762" s="1571"/>
      <c r="AE2762" s="1571"/>
      <c r="AF2762" s="1571"/>
      <c r="AG2762" s="1571"/>
      <c r="AH2762" s="1571"/>
      <c r="AI2762" s="1571"/>
      <c r="AJ2762" s="1572"/>
      <c r="AK2762" s="1002"/>
      <c r="AL2762" s="1003"/>
      <c r="AM2762" s="1003"/>
      <c r="AN2762" s="1003"/>
      <c r="AO2762" s="1003"/>
      <c r="AP2762" s="1003"/>
      <c r="AQ2762" s="1003"/>
      <c r="AR2762" s="1003"/>
      <c r="AS2762" s="1003"/>
      <c r="AT2762" s="1003"/>
      <c r="AU2762" s="1003"/>
      <c r="AV2762" s="1003"/>
      <c r="AW2762" s="1003"/>
      <c r="AX2762" s="1003"/>
      <c r="AY2762" s="1003"/>
      <c r="AZ2762" s="1003"/>
      <c r="BA2762" s="1003"/>
      <c r="BB2762" s="1003"/>
      <c r="BC2762" s="1003"/>
      <c r="BD2762" s="1003"/>
      <c r="BE2762" s="1573"/>
      <c r="BF2762" s="1002"/>
      <c r="BG2762" s="1003"/>
      <c r="BH2762" s="1003"/>
      <c r="BI2762" s="1003"/>
      <c r="BJ2762" s="1003"/>
      <c r="BK2762" s="1003"/>
      <c r="BL2762" s="1003"/>
      <c r="BM2762" s="1003"/>
      <c r="BN2762" s="1003"/>
      <c r="BO2762" s="1003"/>
      <c r="BP2762" s="1003"/>
      <c r="BQ2762" s="1003"/>
      <c r="BR2762" s="1003"/>
      <c r="BS2762" s="1003"/>
      <c r="BT2762" s="1003"/>
      <c r="BU2762" s="1003"/>
      <c r="BV2762" s="1003"/>
      <c r="BW2762" s="1003"/>
      <c r="BX2762" s="1003"/>
      <c r="BY2762" s="1003"/>
      <c r="BZ2762" s="1138"/>
      <c r="CA2762" s="142"/>
      <c r="CB2762" s="3" t="str">
        <f t="shared" si="496"/>
        <v>Riadok bude skrytý.</v>
      </c>
      <c r="CC2762" s="271" t="s">
        <v>832</v>
      </c>
      <c r="CW2762" s="32">
        <f t="shared" si="493"/>
        <v>1</v>
      </c>
      <c r="CZ2762" s="30">
        <f t="shared" si="497"/>
        <v>1</v>
      </c>
      <c r="DA2762" s="30">
        <f t="shared" si="498"/>
        <v>1</v>
      </c>
      <c r="DB2762" s="2">
        <f t="shared" si="499"/>
        <v>0</v>
      </c>
      <c r="DS2762" s="130">
        <f>SI!BY2762</f>
        <v>153</v>
      </c>
      <c r="DZ2762" s="131">
        <f>SI!BZ2762</f>
        <v>0</v>
      </c>
    </row>
    <row r="2763" spans="1:130" hidden="1" x14ac:dyDescent="0.25">
      <c r="A2763" s="141"/>
      <c r="B2763" s="1140" t="s">
        <v>348</v>
      </c>
      <c r="C2763" s="1141"/>
      <c r="D2763" s="1141"/>
      <c r="E2763" s="1141"/>
      <c r="F2763" s="1141"/>
      <c r="G2763" s="1141"/>
      <c r="H2763" s="1141"/>
      <c r="I2763" s="1141"/>
      <c r="J2763" s="1141"/>
      <c r="K2763" s="1141"/>
      <c r="L2763" s="1141"/>
      <c r="M2763" s="1141"/>
      <c r="N2763" s="1141"/>
      <c r="O2763" s="1141"/>
      <c r="P2763" s="1141"/>
      <c r="Q2763" s="1141"/>
      <c r="R2763" s="1141"/>
      <c r="S2763" s="1141"/>
      <c r="T2763" s="1141"/>
      <c r="U2763" s="1141"/>
      <c r="V2763" s="1141"/>
      <c r="W2763" s="1141"/>
      <c r="X2763" s="1141"/>
      <c r="Y2763" s="1141"/>
      <c r="Z2763" s="1141"/>
      <c r="AA2763" s="1141"/>
      <c r="AB2763" s="1141"/>
      <c r="AC2763" s="1141"/>
      <c r="AD2763" s="1141"/>
      <c r="AE2763" s="1141"/>
      <c r="AF2763" s="1141"/>
      <c r="AG2763" s="1141"/>
      <c r="AH2763" s="1141"/>
      <c r="AI2763" s="1141"/>
      <c r="AJ2763" s="1142"/>
      <c r="AK2763" s="869"/>
      <c r="AL2763" s="332"/>
      <c r="AM2763" s="332"/>
      <c r="AN2763" s="332"/>
      <c r="AO2763" s="332"/>
      <c r="AP2763" s="332"/>
      <c r="AQ2763" s="332"/>
      <c r="AR2763" s="332"/>
      <c r="AS2763" s="332"/>
      <c r="AT2763" s="332"/>
      <c r="AU2763" s="332"/>
      <c r="AV2763" s="332"/>
      <c r="AW2763" s="332"/>
      <c r="AX2763" s="332"/>
      <c r="AY2763" s="332"/>
      <c r="AZ2763" s="332"/>
      <c r="BA2763" s="332"/>
      <c r="BB2763" s="332"/>
      <c r="BC2763" s="332"/>
      <c r="BD2763" s="332"/>
      <c r="BE2763" s="1085"/>
      <c r="BF2763" s="869"/>
      <c r="BG2763" s="332"/>
      <c r="BH2763" s="332"/>
      <c r="BI2763" s="332"/>
      <c r="BJ2763" s="332"/>
      <c r="BK2763" s="332"/>
      <c r="BL2763" s="332"/>
      <c r="BM2763" s="332"/>
      <c r="BN2763" s="332"/>
      <c r="BO2763" s="332"/>
      <c r="BP2763" s="332"/>
      <c r="BQ2763" s="332"/>
      <c r="BR2763" s="332"/>
      <c r="BS2763" s="332"/>
      <c r="BT2763" s="332"/>
      <c r="BU2763" s="332"/>
      <c r="BV2763" s="332"/>
      <c r="BW2763" s="332"/>
      <c r="BX2763" s="332"/>
      <c r="BY2763" s="332"/>
      <c r="BZ2763" s="1096"/>
      <c r="CA2763" s="142"/>
      <c r="CB2763" s="3" t="str">
        <f t="shared" si="496"/>
        <v>Riadok bude skrytý.</v>
      </c>
      <c r="CC2763" s="271" t="s">
        <v>832</v>
      </c>
      <c r="CW2763" s="32">
        <f t="shared" si="493"/>
        <v>1</v>
      </c>
      <c r="CZ2763" s="30">
        <f t="shared" si="497"/>
        <v>1</v>
      </c>
      <c r="DA2763" s="30">
        <f t="shared" si="498"/>
        <v>1</v>
      </c>
      <c r="DB2763" s="2">
        <f t="shared" si="499"/>
        <v>0</v>
      </c>
      <c r="DS2763" s="130">
        <f>SI!BY2763</f>
        <v>1088</v>
      </c>
      <c r="DZ2763" s="131">
        <f>SI!BZ2763</f>
        <v>0</v>
      </c>
    </row>
    <row r="2764" spans="1:130" hidden="1" x14ac:dyDescent="0.25">
      <c r="A2764" s="141"/>
      <c r="B2764" s="1140" t="s">
        <v>349</v>
      </c>
      <c r="C2764" s="1141"/>
      <c r="D2764" s="1141"/>
      <c r="E2764" s="1141"/>
      <c r="F2764" s="1141"/>
      <c r="G2764" s="1141"/>
      <c r="H2764" s="1141"/>
      <c r="I2764" s="1141"/>
      <c r="J2764" s="1141"/>
      <c r="K2764" s="1141"/>
      <c r="L2764" s="1141"/>
      <c r="M2764" s="1141"/>
      <c r="N2764" s="1141"/>
      <c r="O2764" s="1141"/>
      <c r="P2764" s="1141"/>
      <c r="Q2764" s="1141"/>
      <c r="R2764" s="1141"/>
      <c r="S2764" s="1141"/>
      <c r="T2764" s="1141"/>
      <c r="U2764" s="1141"/>
      <c r="V2764" s="1141"/>
      <c r="W2764" s="1141"/>
      <c r="X2764" s="1141"/>
      <c r="Y2764" s="1141"/>
      <c r="Z2764" s="1141"/>
      <c r="AA2764" s="1141"/>
      <c r="AB2764" s="1141"/>
      <c r="AC2764" s="1141"/>
      <c r="AD2764" s="1141"/>
      <c r="AE2764" s="1141"/>
      <c r="AF2764" s="1141"/>
      <c r="AG2764" s="1141"/>
      <c r="AH2764" s="1141"/>
      <c r="AI2764" s="1141"/>
      <c r="AJ2764" s="1142"/>
      <c r="AK2764" s="869"/>
      <c r="AL2764" s="332"/>
      <c r="AM2764" s="332"/>
      <c r="AN2764" s="332"/>
      <c r="AO2764" s="332"/>
      <c r="AP2764" s="332"/>
      <c r="AQ2764" s="332"/>
      <c r="AR2764" s="332"/>
      <c r="AS2764" s="332"/>
      <c r="AT2764" s="332"/>
      <c r="AU2764" s="332"/>
      <c r="AV2764" s="332"/>
      <c r="AW2764" s="332"/>
      <c r="AX2764" s="332"/>
      <c r="AY2764" s="332"/>
      <c r="AZ2764" s="332"/>
      <c r="BA2764" s="332"/>
      <c r="BB2764" s="332"/>
      <c r="BC2764" s="332"/>
      <c r="BD2764" s="332"/>
      <c r="BE2764" s="1085"/>
      <c r="BF2764" s="869"/>
      <c r="BG2764" s="332"/>
      <c r="BH2764" s="332"/>
      <c r="BI2764" s="332"/>
      <c r="BJ2764" s="332"/>
      <c r="BK2764" s="332"/>
      <c r="BL2764" s="332"/>
      <c r="BM2764" s="332"/>
      <c r="BN2764" s="332"/>
      <c r="BO2764" s="332"/>
      <c r="BP2764" s="332"/>
      <c r="BQ2764" s="332"/>
      <c r="BR2764" s="332"/>
      <c r="BS2764" s="332"/>
      <c r="BT2764" s="332"/>
      <c r="BU2764" s="332"/>
      <c r="BV2764" s="332"/>
      <c r="BW2764" s="332"/>
      <c r="BX2764" s="332"/>
      <c r="BY2764" s="332"/>
      <c r="BZ2764" s="1096"/>
      <c r="CA2764" s="142"/>
      <c r="CB2764" s="3" t="str">
        <f t="shared" si="496"/>
        <v>Riadok bude skrytý.</v>
      </c>
      <c r="CC2764" s="271" t="s">
        <v>832</v>
      </c>
      <c r="CW2764" s="32">
        <f t="shared" si="493"/>
        <v>1</v>
      </c>
      <c r="CZ2764" s="30">
        <f t="shared" si="497"/>
        <v>1</v>
      </c>
      <c r="DA2764" s="30">
        <f t="shared" si="498"/>
        <v>1</v>
      </c>
      <c r="DB2764" s="2">
        <f t="shared" si="499"/>
        <v>0</v>
      </c>
      <c r="DS2764" s="130">
        <f>SI!BY2764</f>
        <v>174</v>
      </c>
      <c r="DZ2764" s="131">
        <f>SI!BZ2764</f>
        <v>0</v>
      </c>
    </row>
    <row r="2765" spans="1:130" hidden="1" x14ac:dyDescent="0.25">
      <c r="A2765" s="141"/>
      <c r="B2765" s="1140" t="s">
        <v>350</v>
      </c>
      <c r="C2765" s="1141"/>
      <c r="D2765" s="1141"/>
      <c r="E2765" s="1141"/>
      <c r="F2765" s="1141"/>
      <c r="G2765" s="1141"/>
      <c r="H2765" s="1141"/>
      <c r="I2765" s="1141"/>
      <c r="J2765" s="1141"/>
      <c r="K2765" s="1141"/>
      <c r="L2765" s="1141"/>
      <c r="M2765" s="1141"/>
      <c r="N2765" s="1141"/>
      <c r="O2765" s="1141"/>
      <c r="P2765" s="1141"/>
      <c r="Q2765" s="1141"/>
      <c r="R2765" s="1141"/>
      <c r="S2765" s="1141"/>
      <c r="T2765" s="1141"/>
      <c r="U2765" s="1141"/>
      <c r="V2765" s="1141"/>
      <c r="W2765" s="1141"/>
      <c r="X2765" s="1141"/>
      <c r="Y2765" s="1141"/>
      <c r="Z2765" s="1141"/>
      <c r="AA2765" s="1141"/>
      <c r="AB2765" s="1141"/>
      <c r="AC2765" s="1141"/>
      <c r="AD2765" s="1141"/>
      <c r="AE2765" s="1141"/>
      <c r="AF2765" s="1141"/>
      <c r="AG2765" s="1141"/>
      <c r="AH2765" s="1141"/>
      <c r="AI2765" s="1141"/>
      <c r="AJ2765" s="1142"/>
      <c r="AK2765" s="869"/>
      <c r="AL2765" s="332"/>
      <c r="AM2765" s="332"/>
      <c r="AN2765" s="332"/>
      <c r="AO2765" s="332"/>
      <c r="AP2765" s="332"/>
      <c r="AQ2765" s="332"/>
      <c r="AR2765" s="332"/>
      <c r="AS2765" s="332"/>
      <c r="AT2765" s="332"/>
      <c r="AU2765" s="332"/>
      <c r="AV2765" s="332"/>
      <c r="AW2765" s="332"/>
      <c r="AX2765" s="332"/>
      <c r="AY2765" s="332"/>
      <c r="AZ2765" s="332"/>
      <c r="BA2765" s="332"/>
      <c r="BB2765" s="332"/>
      <c r="BC2765" s="332"/>
      <c r="BD2765" s="332"/>
      <c r="BE2765" s="1085"/>
      <c r="BF2765" s="869"/>
      <c r="BG2765" s="332"/>
      <c r="BH2765" s="332"/>
      <c r="BI2765" s="332"/>
      <c r="BJ2765" s="332"/>
      <c r="BK2765" s="332"/>
      <c r="BL2765" s="332"/>
      <c r="BM2765" s="332"/>
      <c r="BN2765" s="332"/>
      <c r="BO2765" s="332"/>
      <c r="BP2765" s="332"/>
      <c r="BQ2765" s="332"/>
      <c r="BR2765" s="332"/>
      <c r="BS2765" s="332"/>
      <c r="BT2765" s="332"/>
      <c r="BU2765" s="332"/>
      <c r="BV2765" s="332"/>
      <c r="BW2765" s="332"/>
      <c r="BX2765" s="332"/>
      <c r="BY2765" s="332"/>
      <c r="BZ2765" s="1096"/>
      <c r="CA2765" s="142"/>
      <c r="CB2765" s="3" t="str">
        <f t="shared" si="496"/>
        <v>Riadok bude skrytý.</v>
      </c>
      <c r="CC2765" s="271" t="s">
        <v>832</v>
      </c>
      <c r="CW2765" s="32">
        <f t="shared" si="493"/>
        <v>1</v>
      </c>
      <c r="CZ2765" s="30">
        <f t="shared" si="497"/>
        <v>1</v>
      </c>
      <c r="DA2765" s="30">
        <f t="shared" si="498"/>
        <v>1</v>
      </c>
      <c r="DB2765" s="2">
        <f t="shared" si="499"/>
        <v>0</v>
      </c>
      <c r="DS2765" s="130">
        <f>SI!BY2765</f>
        <v>252</v>
      </c>
      <c r="DZ2765" s="131">
        <f>SI!BZ2765</f>
        <v>0</v>
      </c>
    </row>
    <row r="2766" spans="1:130" hidden="1" x14ac:dyDescent="0.25">
      <c r="A2766" s="141"/>
      <c r="B2766" s="1140" t="s">
        <v>351</v>
      </c>
      <c r="C2766" s="1141"/>
      <c r="D2766" s="1141"/>
      <c r="E2766" s="1141"/>
      <c r="F2766" s="1141"/>
      <c r="G2766" s="1141"/>
      <c r="H2766" s="1141"/>
      <c r="I2766" s="1141"/>
      <c r="J2766" s="1141"/>
      <c r="K2766" s="1141"/>
      <c r="L2766" s="1141"/>
      <c r="M2766" s="1141"/>
      <c r="N2766" s="1141"/>
      <c r="O2766" s="1141"/>
      <c r="P2766" s="1141"/>
      <c r="Q2766" s="1141"/>
      <c r="R2766" s="1141"/>
      <c r="S2766" s="1141"/>
      <c r="T2766" s="1141"/>
      <c r="U2766" s="1141"/>
      <c r="V2766" s="1141"/>
      <c r="W2766" s="1141"/>
      <c r="X2766" s="1141"/>
      <c r="Y2766" s="1141"/>
      <c r="Z2766" s="1141"/>
      <c r="AA2766" s="1141"/>
      <c r="AB2766" s="1141"/>
      <c r="AC2766" s="1141"/>
      <c r="AD2766" s="1141"/>
      <c r="AE2766" s="1141"/>
      <c r="AF2766" s="1141"/>
      <c r="AG2766" s="1141"/>
      <c r="AH2766" s="1141"/>
      <c r="AI2766" s="1141"/>
      <c r="AJ2766" s="1142"/>
      <c r="AK2766" s="869"/>
      <c r="AL2766" s="332"/>
      <c r="AM2766" s="332"/>
      <c r="AN2766" s="332"/>
      <c r="AO2766" s="332"/>
      <c r="AP2766" s="332"/>
      <c r="AQ2766" s="332"/>
      <c r="AR2766" s="332"/>
      <c r="AS2766" s="332"/>
      <c r="AT2766" s="332"/>
      <c r="AU2766" s="332"/>
      <c r="AV2766" s="332"/>
      <c r="AW2766" s="332"/>
      <c r="AX2766" s="332"/>
      <c r="AY2766" s="332"/>
      <c r="AZ2766" s="332"/>
      <c r="BA2766" s="332"/>
      <c r="BB2766" s="332"/>
      <c r="BC2766" s="332"/>
      <c r="BD2766" s="332"/>
      <c r="BE2766" s="1085"/>
      <c r="BF2766" s="869"/>
      <c r="BG2766" s="332"/>
      <c r="BH2766" s="332"/>
      <c r="BI2766" s="332"/>
      <c r="BJ2766" s="332"/>
      <c r="BK2766" s="332"/>
      <c r="BL2766" s="332"/>
      <c r="BM2766" s="332"/>
      <c r="BN2766" s="332"/>
      <c r="BO2766" s="332"/>
      <c r="BP2766" s="332"/>
      <c r="BQ2766" s="332"/>
      <c r="BR2766" s="332"/>
      <c r="BS2766" s="332"/>
      <c r="BT2766" s="332"/>
      <c r="BU2766" s="332"/>
      <c r="BV2766" s="332"/>
      <c r="BW2766" s="332"/>
      <c r="BX2766" s="332"/>
      <c r="BY2766" s="332"/>
      <c r="BZ2766" s="1096"/>
      <c r="CA2766" s="142"/>
      <c r="CB2766" s="3" t="str">
        <f t="shared" si="496"/>
        <v>Riadok bude skrytý.</v>
      </c>
      <c r="CC2766" s="271" t="s">
        <v>832</v>
      </c>
      <c r="CW2766" s="32">
        <f t="shared" si="493"/>
        <v>1</v>
      </c>
      <c r="CZ2766" s="30">
        <f t="shared" si="497"/>
        <v>1</v>
      </c>
      <c r="DA2766" s="30">
        <f t="shared" si="498"/>
        <v>1</v>
      </c>
      <c r="DB2766" s="2">
        <f t="shared" si="499"/>
        <v>0</v>
      </c>
      <c r="DS2766" s="130">
        <f>SI!BY2766</f>
        <v>120</v>
      </c>
      <c r="DZ2766" s="131">
        <f>SI!BZ2766</f>
        <v>0</v>
      </c>
    </row>
    <row r="2767" spans="1:130" hidden="1" x14ac:dyDescent="0.25">
      <c r="A2767" s="141"/>
      <c r="B2767" s="1140" t="s">
        <v>352</v>
      </c>
      <c r="C2767" s="1141"/>
      <c r="D2767" s="1141"/>
      <c r="E2767" s="1141"/>
      <c r="F2767" s="1141"/>
      <c r="G2767" s="1141"/>
      <c r="H2767" s="1141"/>
      <c r="I2767" s="1141"/>
      <c r="J2767" s="1141"/>
      <c r="K2767" s="1141"/>
      <c r="L2767" s="1141"/>
      <c r="M2767" s="1141"/>
      <c r="N2767" s="1141"/>
      <c r="O2767" s="1141"/>
      <c r="P2767" s="1141"/>
      <c r="Q2767" s="1141"/>
      <c r="R2767" s="1141"/>
      <c r="S2767" s="1141"/>
      <c r="T2767" s="1141"/>
      <c r="U2767" s="1141"/>
      <c r="V2767" s="1141"/>
      <c r="W2767" s="1141"/>
      <c r="X2767" s="1141"/>
      <c r="Y2767" s="1141"/>
      <c r="Z2767" s="1141"/>
      <c r="AA2767" s="1141"/>
      <c r="AB2767" s="1141"/>
      <c r="AC2767" s="1141"/>
      <c r="AD2767" s="1141"/>
      <c r="AE2767" s="1141"/>
      <c r="AF2767" s="1141"/>
      <c r="AG2767" s="1141"/>
      <c r="AH2767" s="1141"/>
      <c r="AI2767" s="1141"/>
      <c r="AJ2767" s="1142"/>
      <c r="AK2767" s="869"/>
      <c r="AL2767" s="332"/>
      <c r="AM2767" s="332"/>
      <c r="AN2767" s="332"/>
      <c r="AO2767" s="332"/>
      <c r="AP2767" s="332"/>
      <c r="AQ2767" s="332"/>
      <c r="AR2767" s="332"/>
      <c r="AS2767" s="332"/>
      <c r="AT2767" s="332"/>
      <c r="AU2767" s="332"/>
      <c r="AV2767" s="332"/>
      <c r="AW2767" s="332"/>
      <c r="AX2767" s="332"/>
      <c r="AY2767" s="332"/>
      <c r="AZ2767" s="332"/>
      <c r="BA2767" s="332"/>
      <c r="BB2767" s="332"/>
      <c r="BC2767" s="332"/>
      <c r="BD2767" s="332"/>
      <c r="BE2767" s="1085"/>
      <c r="BF2767" s="1080"/>
      <c r="BG2767" s="1081"/>
      <c r="BH2767" s="1081"/>
      <c r="BI2767" s="1081"/>
      <c r="BJ2767" s="1081"/>
      <c r="BK2767" s="1081"/>
      <c r="BL2767" s="1081"/>
      <c r="BM2767" s="1081"/>
      <c r="BN2767" s="1081"/>
      <c r="BO2767" s="1081"/>
      <c r="BP2767" s="1081"/>
      <c r="BQ2767" s="1081"/>
      <c r="BR2767" s="1081"/>
      <c r="BS2767" s="1081"/>
      <c r="BT2767" s="1081"/>
      <c r="BU2767" s="1081"/>
      <c r="BV2767" s="1081"/>
      <c r="BW2767" s="1081"/>
      <c r="BX2767" s="1081"/>
      <c r="BY2767" s="1081"/>
      <c r="BZ2767" s="1082"/>
      <c r="CA2767" s="142"/>
      <c r="CB2767" s="3" t="str">
        <f t="shared" si="496"/>
        <v>Riadok bude skrytý.</v>
      </c>
      <c r="CC2767" s="271" t="s">
        <v>832</v>
      </c>
      <c r="CW2767" s="32">
        <f t="shared" si="493"/>
        <v>1</v>
      </c>
      <c r="CZ2767" s="30">
        <f t="shared" si="497"/>
        <v>1</v>
      </c>
      <c r="DA2767" s="30">
        <f t="shared" si="498"/>
        <v>1</v>
      </c>
      <c r="DB2767" s="2">
        <f t="shared" si="499"/>
        <v>0</v>
      </c>
      <c r="DS2767" s="130">
        <f>SI!BY2767</f>
        <v>1</v>
      </c>
      <c r="DZ2767" s="131">
        <f>SI!BZ2767</f>
        <v>0</v>
      </c>
    </row>
    <row r="2768" spans="1:130" hidden="1" x14ac:dyDescent="0.25">
      <c r="A2768" s="141"/>
      <c r="B2768" s="579" t="s">
        <v>353</v>
      </c>
      <c r="C2768" s="580"/>
      <c r="D2768" s="580"/>
      <c r="E2768" s="580"/>
      <c r="F2768" s="580"/>
      <c r="G2768" s="580"/>
      <c r="H2768" s="580"/>
      <c r="I2768" s="580"/>
      <c r="J2768" s="580"/>
      <c r="K2768" s="580"/>
      <c r="L2768" s="580"/>
      <c r="M2768" s="580"/>
      <c r="N2768" s="580"/>
      <c r="O2768" s="580"/>
      <c r="P2768" s="580"/>
      <c r="Q2768" s="580"/>
      <c r="R2768" s="580"/>
      <c r="S2768" s="580"/>
      <c r="T2768" s="580"/>
      <c r="U2768" s="580"/>
      <c r="V2768" s="580"/>
      <c r="W2768" s="580"/>
      <c r="X2768" s="580"/>
      <c r="Y2768" s="580"/>
      <c r="Z2768" s="580"/>
      <c r="AA2768" s="580"/>
      <c r="AB2768" s="580"/>
      <c r="AC2768" s="580"/>
      <c r="AD2768" s="580"/>
      <c r="AE2768" s="580"/>
      <c r="AF2768" s="580"/>
      <c r="AG2768" s="580"/>
      <c r="AH2768" s="580"/>
      <c r="AI2768" s="580"/>
      <c r="AJ2768" s="580"/>
      <c r="AK2768" s="1568">
        <f>+SUM(AK2762:BE2767)</f>
        <v>0</v>
      </c>
      <c r="AL2768" s="1569"/>
      <c r="AM2768" s="1569"/>
      <c r="AN2768" s="1569"/>
      <c r="AO2768" s="1569"/>
      <c r="AP2768" s="1569"/>
      <c r="AQ2768" s="1569"/>
      <c r="AR2768" s="1569"/>
      <c r="AS2768" s="1569"/>
      <c r="AT2768" s="1569"/>
      <c r="AU2768" s="1569"/>
      <c r="AV2768" s="1569"/>
      <c r="AW2768" s="1569"/>
      <c r="AX2768" s="1569"/>
      <c r="AY2768" s="1569"/>
      <c r="AZ2768" s="1569"/>
      <c r="BA2768" s="1569"/>
      <c r="BB2768" s="1569"/>
      <c r="BC2768" s="1569"/>
      <c r="BD2768" s="1569"/>
      <c r="BE2768" s="1569"/>
      <c r="BF2768" s="1568">
        <f>+SUM(BF2762:BZ2767)</f>
        <v>0</v>
      </c>
      <c r="BG2768" s="1569"/>
      <c r="BH2768" s="1569"/>
      <c r="BI2768" s="1569"/>
      <c r="BJ2768" s="1569"/>
      <c r="BK2768" s="1569"/>
      <c r="BL2768" s="1569"/>
      <c r="BM2768" s="1569"/>
      <c r="BN2768" s="1569"/>
      <c r="BO2768" s="1569"/>
      <c r="BP2768" s="1569"/>
      <c r="BQ2768" s="1569"/>
      <c r="BR2768" s="1569"/>
      <c r="BS2768" s="1569"/>
      <c r="BT2768" s="1569"/>
      <c r="BU2768" s="1569"/>
      <c r="BV2768" s="1569"/>
      <c r="BW2768" s="1569"/>
      <c r="BX2768" s="1569"/>
      <c r="BY2768" s="1569"/>
      <c r="BZ2768" s="1999"/>
      <c r="CA2768" s="142"/>
      <c r="CB2768" s="3" t="str">
        <f t="shared" si="496"/>
        <v>Riadok bude skrytý.</v>
      </c>
      <c r="CC2768" s="271" t="s">
        <v>832</v>
      </c>
      <c r="CW2768" s="32">
        <f t="shared" si="493"/>
        <v>1</v>
      </c>
      <c r="CZ2768" s="30">
        <f t="shared" si="497"/>
        <v>1</v>
      </c>
      <c r="DA2768" s="30">
        <f t="shared" si="498"/>
        <v>1</v>
      </c>
      <c r="DB2768" s="2">
        <f t="shared" si="499"/>
        <v>0</v>
      </c>
      <c r="DS2768" s="130">
        <f>SI!BY2768</f>
        <v>175</v>
      </c>
      <c r="DZ2768" s="131">
        <f>SI!BZ2768</f>
        <v>0</v>
      </c>
    </row>
    <row r="2769" spans="1:130" hidden="1" x14ac:dyDescent="0.25">
      <c r="A2769" s="141"/>
      <c r="CA2769" s="142"/>
      <c r="CB2769" s="3" t="str">
        <f t="shared" si="496"/>
        <v>Riadok bude skrytý.</v>
      </c>
      <c r="CC2769" s="271" t="s">
        <v>832</v>
      </c>
      <c r="CW2769" s="32">
        <f t="shared" si="493"/>
        <v>1</v>
      </c>
      <c r="CZ2769" s="30">
        <f>IF(CC2769="",1,IF(CC2769="Chcem skryť riadok.",0,1))</f>
        <v>1</v>
      </c>
      <c r="DA2769" s="30">
        <f>+IF(CW2769+CX2769+CY2769=0,0,IF(CZ2769=0,0,1))</f>
        <v>1</v>
      </c>
      <c r="DB2769" s="2">
        <f t="shared" si="499"/>
        <v>0</v>
      </c>
      <c r="DS2769" s="130">
        <f>SI!BY2769</f>
        <v>869</v>
      </c>
      <c r="DZ2769" s="131">
        <f>SI!BZ2769</f>
        <v>0</v>
      </c>
    </row>
    <row r="2770" spans="1:130" hidden="1" x14ac:dyDescent="0.25">
      <c r="A2770" s="141"/>
      <c r="B2770" s="137" t="str">
        <f>+IF($K$52&lt;&gt;"",IF(INT(SQRT((CODE(MID($K$52,1,1)))))*0+LEN(SI!J5)=DS2770,"Spoločnosť uvádza k výnosom ďalšie doplňujúce informácie:","NEPOVOLENÉ POUŽITIE!"),"NEPOVOLENÉ POUŽITIE!")</f>
        <v>Spoločnosť uvádza k výnosom ďalšie doplňujúce informácie:</v>
      </c>
      <c r="C2770" s="7"/>
      <c r="D2770" s="7"/>
      <c r="E2770" s="7"/>
      <c r="F2770" s="7"/>
      <c r="CA2770" s="265" t="s">
        <v>773</v>
      </c>
      <c r="CB2770" s="3" t="str">
        <f t="shared" si="496"/>
        <v>Riadok bude skrytý.</v>
      </c>
      <c r="CC2770" s="271" t="s">
        <v>832</v>
      </c>
      <c r="CW2770" s="32">
        <f t="shared" si="493"/>
        <v>1</v>
      </c>
      <c r="CX2770" s="30">
        <f>+IF(B2771="",0,1)</f>
        <v>0</v>
      </c>
      <c r="CZ2770" s="30">
        <f t="shared" si="497"/>
        <v>1</v>
      </c>
      <c r="DA2770" s="52">
        <f t="shared" ref="DA2770:DA2776" si="500">+IF(CW2770*CX2770=0,0,IF(CZ2770=0,0,1))</f>
        <v>0</v>
      </c>
      <c r="DB2770" s="2">
        <f t="shared" si="499"/>
        <v>0</v>
      </c>
      <c r="DS2770" s="130">
        <f>SI!BY2770</f>
        <v>15</v>
      </c>
      <c r="DZ2770" s="131">
        <f>SI!BZ2770</f>
        <v>0</v>
      </c>
    </row>
    <row r="2771" spans="1:130" hidden="1" x14ac:dyDescent="0.25">
      <c r="A2771" s="141"/>
      <c r="B2771" s="379"/>
      <c r="C2771" s="379"/>
      <c r="D2771" s="379"/>
      <c r="E2771" s="379"/>
      <c r="F2771" s="379"/>
      <c r="G2771" s="379"/>
      <c r="H2771" s="379"/>
      <c r="I2771" s="379"/>
      <c r="J2771" s="379"/>
      <c r="K2771" s="379"/>
      <c r="L2771" s="379"/>
      <c r="M2771" s="379"/>
      <c r="N2771" s="379"/>
      <c r="O2771" s="379"/>
      <c r="P2771" s="379"/>
      <c r="Q2771" s="379"/>
      <c r="R2771" s="379"/>
      <c r="S2771" s="379"/>
      <c r="T2771" s="379"/>
      <c r="U2771" s="379"/>
      <c r="V2771" s="379"/>
      <c r="W2771" s="379"/>
      <c r="X2771" s="379"/>
      <c r="Y2771" s="379"/>
      <c r="Z2771" s="379"/>
      <c r="AA2771" s="379"/>
      <c r="AB2771" s="379"/>
      <c r="AC2771" s="379"/>
      <c r="AD2771" s="379"/>
      <c r="AE2771" s="379"/>
      <c r="AF2771" s="379"/>
      <c r="AG2771" s="379"/>
      <c r="AH2771" s="379"/>
      <c r="AI2771" s="379"/>
      <c r="AJ2771" s="379"/>
      <c r="AK2771" s="379"/>
      <c r="AL2771" s="379"/>
      <c r="AM2771" s="379"/>
      <c r="AN2771" s="379"/>
      <c r="AO2771" s="379"/>
      <c r="AP2771" s="379"/>
      <c r="AQ2771" s="379"/>
      <c r="AR2771" s="379"/>
      <c r="AS2771" s="379"/>
      <c r="AT2771" s="379"/>
      <c r="AU2771" s="379"/>
      <c r="AV2771" s="379"/>
      <c r="AW2771" s="379"/>
      <c r="AX2771" s="379"/>
      <c r="AY2771" s="379"/>
      <c r="AZ2771" s="379"/>
      <c r="BA2771" s="379"/>
      <c r="BB2771" s="379"/>
      <c r="BC2771" s="379"/>
      <c r="BD2771" s="379"/>
      <c r="BE2771" s="379"/>
      <c r="BF2771" s="379"/>
      <c r="BG2771" s="379"/>
      <c r="BH2771" s="379"/>
      <c r="BI2771" s="379"/>
      <c r="BJ2771" s="379"/>
      <c r="BK2771" s="379"/>
      <c r="BL2771" s="379"/>
      <c r="BM2771" s="379"/>
      <c r="BN2771" s="379"/>
      <c r="BO2771" s="379"/>
      <c r="BP2771" s="379"/>
      <c r="BQ2771" s="379"/>
      <c r="BR2771" s="379"/>
      <c r="BS2771" s="379"/>
      <c r="BT2771" s="379"/>
      <c r="BU2771" s="379"/>
      <c r="BV2771" s="379"/>
      <c r="BW2771" s="379"/>
      <c r="BX2771" s="379"/>
      <c r="BY2771" s="379"/>
      <c r="BZ2771" s="379"/>
      <c r="CA2771" s="270"/>
      <c r="CB2771" s="3" t="str">
        <f t="shared" si="496"/>
        <v>Riadok bude skrytý.</v>
      </c>
      <c r="CC2771" s="271" t="s">
        <v>832</v>
      </c>
      <c r="CW2771" s="32">
        <f t="shared" si="493"/>
        <v>1</v>
      </c>
      <c r="CX2771" s="30">
        <f>+IF(B2771="",0,1)</f>
        <v>0</v>
      </c>
      <c r="CZ2771" s="30">
        <f t="shared" si="497"/>
        <v>1</v>
      </c>
      <c r="DA2771" s="52">
        <f t="shared" si="500"/>
        <v>0</v>
      </c>
      <c r="DB2771" s="2">
        <f t="shared" si="499"/>
        <v>0</v>
      </c>
      <c r="DS2771" s="130">
        <f>SI!BY2771</f>
        <v>118</v>
      </c>
      <c r="DZ2771" s="131">
        <f>SI!BZ2771</f>
        <v>0</v>
      </c>
    </row>
    <row r="2772" spans="1:130" hidden="1" x14ac:dyDescent="0.25">
      <c r="A2772" s="141"/>
      <c r="B2772" s="379"/>
      <c r="C2772" s="379"/>
      <c r="D2772" s="379"/>
      <c r="E2772" s="379"/>
      <c r="F2772" s="379"/>
      <c r="G2772" s="379"/>
      <c r="H2772" s="379"/>
      <c r="I2772" s="379"/>
      <c r="J2772" s="379"/>
      <c r="K2772" s="379"/>
      <c r="L2772" s="379"/>
      <c r="M2772" s="379"/>
      <c r="N2772" s="379"/>
      <c r="O2772" s="379"/>
      <c r="P2772" s="379"/>
      <c r="Q2772" s="379"/>
      <c r="R2772" s="379"/>
      <c r="S2772" s="379"/>
      <c r="T2772" s="379"/>
      <c r="U2772" s="379"/>
      <c r="V2772" s="379"/>
      <c r="W2772" s="379"/>
      <c r="X2772" s="379"/>
      <c r="Y2772" s="379"/>
      <c r="Z2772" s="379"/>
      <c r="AA2772" s="379"/>
      <c r="AB2772" s="379"/>
      <c r="AC2772" s="379"/>
      <c r="AD2772" s="379"/>
      <c r="AE2772" s="379"/>
      <c r="AF2772" s="379"/>
      <c r="AG2772" s="379"/>
      <c r="AH2772" s="379"/>
      <c r="AI2772" s="379"/>
      <c r="AJ2772" s="379"/>
      <c r="AK2772" s="379"/>
      <c r="AL2772" s="379"/>
      <c r="AM2772" s="379"/>
      <c r="AN2772" s="379"/>
      <c r="AO2772" s="379"/>
      <c r="AP2772" s="379"/>
      <c r="AQ2772" s="379"/>
      <c r="AR2772" s="379"/>
      <c r="AS2772" s="379"/>
      <c r="AT2772" s="379"/>
      <c r="AU2772" s="379"/>
      <c r="AV2772" s="379"/>
      <c r="AW2772" s="379"/>
      <c r="AX2772" s="379"/>
      <c r="AY2772" s="379"/>
      <c r="AZ2772" s="379"/>
      <c r="BA2772" s="379"/>
      <c r="BB2772" s="379"/>
      <c r="BC2772" s="379"/>
      <c r="BD2772" s="379"/>
      <c r="BE2772" s="379"/>
      <c r="BF2772" s="379"/>
      <c r="BG2772" s="379"/>
      <c r="BH2772" s="379"/>
      <c r="BI2772" s="379"/>
      <c r="BJ2772" s="379"/>
      <c r="BK2772" s="379"/>
      <c r="BL2772" s="379"/>
      <c r="BM2772" s="379"/>
      <c r="BN2772" s="379"/>
      <c r="BO2772" s="379"/>
      <c r="BP2772" s="379"/>
      <c r="BQ2772" s="379"/>
      <c r="BR2772" s="379"/>
      <c r="BS2772" s="379"/>
      <c r="BT2772" s="379"/>
      <c r="BU2772" s="379"/>
      <c r="BV2772" s="379"/>
      <c r="BW2772" s="379"/>
      <c r="BX2772" s="379"/>
      <c r="BY2772" s="379"/>
      <c r="BZ2772" s="379"/>
      <c r="CA2772" s="270"/>
      <c r="CB2772" s="3" t="str">
        <f t="shared" si="496"/>
        <v>Riadok bude skrytý.</v>
      </c>
      <c r="CC2772" s="271" t="s">
        <v>832</v>
      </c>
      <c r="CW2772" s="32">
        <f t="shared" si="493"/>
        <v>1</v>
      </c>
      <c r="CX2772" s="30">
        <f>+IF(B2772="",0,1)</f>
        <v>0</v>
      </c>
      <c r="CZ2772" s="30">
        <f t="shared" si="497"/>
        <v>1</v>
      </c>
      <c r="DA2772" s="52">
        <f t="shared" si="500"/>
        <v>0</v>
      </c>
      <c r="DB2772" s="2">
        <f t="shared" si="499"/>
        <v>0</v>
      </c>
      <c r="DS2772" s="130">
        <f>SI!BY2772</f>
        <v>144</v>
      </c>
      <c r="DZ2772" s="131">
        <f>SI!BZ2772</f>
        <v>0</v>
      </c>
    </row>
    <row r="2773" spans="1:130" hidden="1" x14ac:dyDescent="0.25">
      <c r="A2773" s="141"/>
      <c r="B2773" s="379"/>
      <c r="C2773" s="379"/>
      <c r="D2773" s="379"/>
      <c r="E2773" s="379"/>
      <c r="F2773" s="379"/>
      <c r="G2773" s="379"/>
      <c r="H2773" s="379"/>
      <c r="I2773" s="379"/>
      <c r="J2773" s="379"/>
      <c r="K2773" s="379"/>
      <c r="L2773" s="379"/>
      <c r="M2773" s="379"/>
      <c r="N2773" s="379"/>
      <c r="O2773" s="379"/>
      <c r="P2773" s="379"/>
      <c r="Q2773" s="379"/>
      <c r="R2773" s="379"/>
      <c r="S2773" s="379"/>
      <c r="T2773" s="379"/>
      <c r="U2773" s="379"/>
      <c r="V2773" s="379"/>
      <c r="W2773" s="379"/>
      <c r="X2773" s="379"/>
      <c r="Y2773" s="379"/>
      <c r="Z2773" s="379"/>
      <c r="AA2773" s="379"/>
      <c r="AB2773" s="379"/>
      <c r="AC2773" s="379"/>
      <c r="AD2773" s="379"/>
      <c r="AE2773" s="379"/>
      <c r="AF2773" s="379"/>
      <c r="AG2773" s="379"/>
      <c r="AH2773" s="379"/>
      <c r="AI2773" s="379"/>
      <c r="AJ2773" s="379"/>
      <c r="AK2773" s="379"/>
      <c r="AL2773" s="379"/>
      <c r="AM2773" s="379"/>
      <c r="AN2773" s="379"/>
      <c r="AO2773" s="379"/>
      <c r="AP2773" s="379"/>
      <c r="AQ2773" s="379"/>
      <c r="AR2773" s="379"/>
      <c r="AS2773" s="379"/>
      <c r="AT2773" s="379"/>
      <c r="AU2773" s="379"/>
      <c r="AV2773" s="379"/>
      <c r="AW2773" s="379"/>
      <c r="AX2773" s="379"/>
      <c r="AY2773" s="379"/>
      <c r="AZ2773" s="379"/>
      <c r="BA2773" s="379"/>
      <c r="BB2773" s="379"/>
      <c r="BC2773" s="379"/>
      <c r="BD2773" s="379"/>
      <c r="BE2773" s="379"/>
      <c r="BF2773" s="379"/>
      <c r="BG2773" s="379"/>
      <c r="BH2773" s="379"/>
      <c r="BI2773" s="379"/>
      <c r="BJ2773" s="379"/>
      <c r="BK2773" s="379"/>
      <c r="BL2773" s="379"/>
      <c r="BM2773" s="379"/>
      <c r="BN2773" s="379"/>
      <c r="BO2773" s="379"/>
      <c r="BP2773" s="379"/>
      <c r="BQ2773" s="379"/>
      <c r="BR2773" s="379"/>
      <c r="BS2773" s="379"/>
      <c r="BT2773" s="379"/>
      <c r="BU2773" s="379"/>
      <c r="BV2773" s="379"/>
      <c r="BW2773" s="379"/>
      <c r="BX2773" s="379"/>
      <c r="BY2773" s="379"/>
      <c r="BZ2773" s="379"/>
      <c r="CA2773" s="270"/>
      <c r="CB2773" s="3" t="str">
        <f t="shared" si="496"/>
        <v>Riadok bude skrytý.</v>
      </c>
      <c r="CC2773" s="271" t="s">
        <v>832</v>
      </c>
      <c r="CW2773" s="32">
        <f t="shared" si="493"/>
        <v>1</v>
      </c>
      <c r="CX2773" s="30">
        <f>+IF(B2773="",0,1)</f>
        <v>0</v>
      </c>
      <c r="CZ2773" s="30">
        <f t="shared" si="497"/>
        <v>1</v>
      </c>
      <c r="DA2773" s="52">
        <f t="shared" si="500"/>
        <v>0</v>
      </c>
      <c r="DB2773" s="2">
        <f t="shared" si="499"/>
        <v>0</v>
      </c>
      <c r="DS2773" s="130">
        <f>SI!BY2773</f>
        <v>165</v>
      </c>
      <c r="DZ2773" s="131">
        <f>SI!BZ2773</f>
        <v>0</v>
      </c>
    </row>
    <row r="2774" spans="1:130" hidden="1" x14ac:dyDescent="0.25">
      <c r="A2774" s="141"/>
      <c r="B2774" s="379"/>
      <c r="C2774" s="379"/>
      <c r="D2774" s="379"/>
      <c r="E2774" s="379"/>
      <c r="F2774" s="379"/>
      <c r="G2774" s="379"/>
      <c r="H2774" s="379"/>
      <c r="I2774" s="379"/>
      <c r="J2774" s="379"/>
      <c r="K2774" s="379"/>
      <c r="L2774" s="379"/>
      <c r="M2774" s="379"/>
      <c r="N2774" s="379"/>
      <c r="O2774" s="379"/>
      <c r="P2774" s="379"/>
      <c r="Q2774" s="379"/>
      <c r="R2774" s="379"/>
      <c r="S2774" s="379"/>
      <c r="T2774" s="379"/>
      <c r="U2774" s="379"/>
      <c r="V2774" s="379"/>
      <c r="W2774" s="379"/>
      <c r="X2774" s="379"/>
      <c r="Y2774" s="379"/>
      <c r="Z2774" s="379"/>
      <c r="AA2774" s="379"/>
      <c r="AB2774" s="379"/>
      <c r="AC2774" s="379"/>
      <c r="AD2774" s="379"/>
      <c r="AE2774" s="379"/>
      <c r="AF2774" s="379"/>
      <c r="AG2774" s="379"/>
      <c r="AH2774" s="379"/>
      <c r="AI2774" s="379"/>
      <c r="AJ2774" s="379"/>
      <c r="AK2774" s="379"/>
      <c r="AL2774" s="379"/>
      <c r="AM2774" s="379"/>
      <c r="AN2774" s="379"/>
      <c r="AO2774" s="379"/>
      <c r="AP2774" s="379"/>
      <c r="AQ2774" s="379"/>
      <c r="AR2774" s="379"/>
      <c r="AS2774" s="379"/>
      <c r="AT2774" s="379"/>
      <c r="AU2774" s="379"/>
      <c r="AV2774" s="379"/>
      <c r="AW2774" s="379"/>
      <c r="AX2774" s="379"/>
      <c r="AY2774" s="379"/>
      <c r="AZ2774" s="379"/>
      <c r="BA2774" s="379"/>
      <c r="BB2774" s="379"/>
      <c r="BC2774" s="379"/>
      <c r="BD2774" s="379"/>
      <c r="BE2774" s="379"/>
      <c r="BF2774" s="379"/>
      <c r="BG2774" s="379"/>
      <c r="BH2774" s="379"/>
      <c r="BI2774" s="379"/>
      <c r="BJ2774" s="379"/>
      <c r="BK2774" s="379"/>
      <c r="BL2774" s="379"/>
      <c r="BM2774" s="379"/>
      <c r="BN2774" s="379"/>
      <c r="BO2774" s="379"/>
      <c r="BP2774" s="379"/>
      <c r="BQ2774" s="379"/>
      <c r="BR2774" s="379"/>
      <c r="BS2774" s="379"/>
      <c r="BT2774" s="379"/>
      <c r="BU2774" s="379"/>
      <c r="BV2774" s="379"/>
      <c r="BW2774" s="379"/>
      <c r="BX2774" s="379"/>
      <c r="BY2774" s="379"/>
      <c r="BZ2774" s="379"/>
      <c r="CA2774" s="270"/>
      <c r="CB2774" s="3" t="str">
        <f t="shared" si="496"/>
        <v>Riadok bude skrytý.</v>
      </c>
      <c r="CC2774" s="271" t="s">
        <v>832</v>
      </c>
      <c r="CW2774" s="32">
        <f t="shared" si="493"/>
        <v>1</v>
      </c>
      <c r="CX2774" s="30">
        <f>+IF(B2774="",0,1)</f>
        <v>0</v>
      </c>
      <c r="CZ2774" s="30">
        <f t="shared" si="497"/>
        <v>1</v>
      </c>
      <c r="DA2774" s="52">
        <f t="shared" si="500"/>
        <v>0</v>
      </c>
      <c r="DB2774" s="2">
        <f t="shared" si="499"/>
        <v>0</v>
      </c>
      <c r="DS2774" s="130">
        <f>SI!BY2774</f>
        <v>129</v>
      </c>
      <c r="DZ2774" s="131">
        <f>SI!BZ2774</f>
        <v>0</v>
      </c>
    </row>
    <row r="2775" spans="1:130" hidden="1" x14ac:dyDescent="0.25">
      <c r="A2775" s="141"/>
      <c r="B2775" s="379"/>
      <c r="C2775" s="379"/>
      <c r="D2775" s="379"/>
      <c r="E2775" s="379"/>
      <c r="F2775" s="379"/>
      <c r="G2775" s="379"/>
      <c r="H2775" s="379"/>
      <c r="I2775" s="379"/>
      <c r="J2775" s="379"/>
      <c r="K2775" s="379"/>
      <c r="L2775" s="379"/>
      <c r="M2775" s="379"/>
      <c r="N2775" s="379"/>
      <c r="O2775" s="379"/>
      <c r="P2775" s="379"/>
      <c r="Q2775" s="379"/>
      <c r="R2775" s="379"/>
      <c r="S2775" s="379"/>
      <c r="T2775" s="379"/>
      <c r="U2775" s="379"/>
      <c r="V2775" s="379"/>
      <c r="W2775" s="379"/>
      <c r="X2775" s="379"/>
      <c r="Y2775" s="379"/>
      <c r="Z2775" s="379"/>
      <c r="AA2775" s="379"/>
      <c r="AB2775" s="379"/>
      <c r="AC2775" s="379"/>
      <c r="AD2775" s="379"/>
      <c r="AE2775" s="379"/>
      <c r="AF2775" s="379"/>
      <c r="AG2775" s="379"/>
      <c r="AH2775" s="379"/>
      <c r="AI2775" s="379"/>
      <c r="AJ2775" s="379"/>
      <c r="AK2775" s="379"/>
      <c r="AL2775" s="379"/>
      <c r="AM2775" s="379"/>
      <c r="AN2775" s="379"/>
      <c r="AO2775" s="379"/>
      <c r="AP2775" s="379"/>
      <c r="AQ2775" s="379"/>
      <c r="AR2775" s="379"/>
      <c r="AS2775" s="379"/>
      <c r="AT2775" s="379"/>
      <c r="AU2775" s="379"/>
      <c r="AV2775" s="379"/>
      <c r="AW2775" s="379"/>
      <c r="AX2775" s="379"/>
      <c r="AY2775" s="379"/>
      <c r="AZ2775" s="379"/>
      <c r="BA2775" s="379"/>
      <c r="BB2775" s="379"/>
      <c r="BC2775" s="379"/>
      <c r="BD2775" s="379"/>
      <c r="BE2775" s="379"/>
      <c r="BF2775" s="379"/>
      <c r="BG2775" s="379"/>
      <c r="BH2775" s="379"/>
      <c r="BI2775" s="379"/>
      <c r="BJ2775" s="379"/>
      <c r="BK2775" s="379"/>
      <c r="BL2775" s="379"/>
      <c r="BM2775" s="379"/>
      <c r="BN2775" s="379"/>
      <c r="BO2775" s="379"/>
      <c r="BP2775" s="379"/>
      <c r="BQ2775" s="379"/>
      <c r="BR2775" s="379"/>
      <c r="BS2775" s="379"/>
      <c r="BT2775" s="379"/>
      <c r="BU2775" s="379"/>
      <c r="BV2775" s="379"/>
      <c r="BW2775" s="379"/>
      <c r="BX2775" s="379"/>
      <c r="BY2775" s="379"/>
      <c r="BZ2775" s="379"/>
      <c r="CA2775" s="270"/>
      <c r="CB2775" s="3" t="str">
        <f t="shared" si="496"/>
        <v>Riadok bude skrytý.</v>
      </c>
      <c r="CC2775" s="271" t="s">
        <v>832</v>
      </c>
      <c r="CW2775" s="32">
        <f t="shared" si="493"/>
        <v>1</v>
      </c>
      <c r="CX2775" s="30">
        <f>+IF(B2775="",0,1)</f>
        <v>0</v>
      </c>
      <c r="CZ2775" s="30">
        <f t="shared" si="497"/>
        <v>1</v>
      </c>
      <c r="DA2775" s="52">
        <f t="shared" si="500"/>
        <v>0</v>
      </c>
      <c r="DB2775" s="2">
        <f t="shared" si="499"/>
        <v>0</v>
      </c>
      <c r="DS2775" s="130">
        <f>SI!BY2775</f>
        <v>179</v>
      </c>
      <c r="DZ2775" s="131">
        <f>SI!BZ2775</f>
        <v>0</v>
      </c>
    </row>
    <row r="2776" spans="1:130" hidden="1" x14ac:dyDescent="0.25">
      <c r="A2776" s="141"/>
      <c r="CA2776" s="270"/>
      <c r="CB2776" s="3" t="str">
        <f t="shared" si="496"/>
        <v>Riadok bude skrytý.</v>
      </c>
      <c r="CC2776" s="271" t="s">
        <v>832</v>
      </c>
      <c r="CW2776" s="49">
        <v>1</v>
      </c>
      <c r="CX2776" s="30">
        <f>+IF(B2775="",0,1)</f>
        <v>0</v>
      </c>
      <c r="CZ2776" s="30">
        <f t="shared" si="497"/>
        <v>1</v>
      </c>
      <c r="DA2776" s="52">
        <f t="shared" si="500"/>
        <v>0</v>
      </c>
      <c r="DB2776" s="2">
        <f t="shared" si="499"/>
        <v>0</v>
      </c>
      <c r="DS2776" s="130">
        <f>SI!BY2776</f>
        <v>190</v>
      </c>
      <c r="DZ2776" s="131">
        <f>SI!BZ2776</f>
        <v>0</v>
      </c>
    </row>
    <row r="2777" spans="1:130" ht="17" hidden="1" thickBot="1" x14ac:dyDescent="0.35">
      <c r="A2777" s="141"/>
      <c r="B2777" s="21"/>
      <c r="C2777" s="268"/>
      <c r="D2777" s="268"/>
      <c r="E2777" s="22" t="s">
        <v>354</v>
      </c>
      <c r="F2777" s="268"/>
      <c r="G2777" s="125"/>
      <c r="H2777" s="22"/>
      <c r="I2777" s="268"/>
      <c r="J2777" s="268"/>
      <c r="K2777" s="268"/>
      <c r="L2777" s="268"/>
      <c r="M2777" s="268"/>
      <c r="N2777" s="268"/>
      <c r="O2777" s="268"/>
      <c r="P2777" s="268"/>
      <c r="Q2777" s="268"/>
      <c r="R2777" s="268"/>
      <c r="S2777" s="268"/>
      <c r="T2777" s="268"/>
      <c r="U2777" s="268"/>
      <c r="V2777" s="268"/>
      <c r="W2777" s="268"/>
      <c r="X2777" s="268"/>
      <c r="Y2777" s="268"/>
      <c r="Z2777" s="268"/>
      <c r="AA2777" s="268"/>
      <c r="AB2777" s="268"/>
      <c r="AC2777" s="268"/>
      <c r="AD2777" s="268"/>
      <c r="AE2777" s="268"/>
      <c r="AF2777" s="268"/>
      <c r="AG2777" s="268"/>
      <c r="AH2777" s="268"/>
      <c r="AI2777" s="268"/>
      <c r="AJ2777" s="268"/>
      <c r="AK2777" s="276"/>
      <c r="AL2777" s="276"/>
      <c r="AM2777" s="276"/>
      <c r="AN2777" s="276"/>
      <c r="AO2777" s="276"/>
      <c r="AP2777" s="276"/>
      <c r="AQ2777" s="276"/>
      <c r="AR2777" s="276"/>
      <c r="AS2777" s="276"/>
      <c r="AT2777" s="276"/>
      <c r="AU2777" s="276"/>
      <c r="AV2777" s="276"/>
      <c r="AW2777" s="276"/>
      <c r="AX2777" s="276"/>
      <c r="AY2777" s="276"/>
      <c r="AZ2777" s="276"/>
      <c r="BA2777" s="276"/>
      <c r="BB2777" s="276"/>
      <c r="BC2777" s="276"/>
      <c r="BD2777" s="932" t="str">
        <f>+SI!J2</f>
        <v>Resumo s.r.o.</v>
      </c>
      <c r="BE2777" s="932"/>
      <c r="BF2777" s="932"/>
      <c r="BG2777" s="932"/>
      <c r="BH2777" s="932"/>
      <c r="BI2777" s="932"/>
      <c r="BJ2777" s="932"/>
      <c r="BK2777" s="932"/>
      <c r="BL2777" s="932"/>
      <c r="BM2777" s="932"/>
      <c r="BN2777" s="932"/>
      <c r="BO2777" s="932"/>
      <c r="BP2777" s="932"/>
      <c r="BQ2777" s="932"/>
      <c r="BR2777" s="932"/>
      <c r="BS2777" s="932"/>
      <c r="BT2777" s="932"/>
      <c r="BU2777" s="932"/>
      <c r="BV2777" s="932"/>
      <c r="BW2777" s="932"/>
      <c r="BX2777" s="932"/>
      <c r="BY2777" s="932"/>
      <c r="BZ2777" s="933"/>
      <c r="CA2777" s="265" t="s">
        <v>773</v>
      </c>
      <c r="CB2777" s="3" t="str">
        <f t="shared" si="496"/>
        <v>Riadok bude skrytý.</v>
      </c>
      <c r="CW2777" s="49">
        <v>1</v>
      </c>
      <c r="CZ2777" s="30">
        <f t="shared" si="497"/>
        <v>1</v>
      </c>
      <c r="DA2777" s="30">
        <f t="shared" ref="DA2777:DA2784" si="501">+IF(CW2777+CX2777+CY2777=0,0,IF(CZ2777=0,0,1))</f>
        <v>1</v>
      </c>
      <c r="DB2777" s="2">
        <f t="shared" si="499"/>
        <v>0</v>
      </c>
      <c r="DS2777" s="130">
        <f>SI!BY2777</f>
        <v>116</v>
      </c>
      <c r="DZ2777" s="131">
        <f>SI!BZ2777</f>
        <v>0</v>
      </c>
    </row>
    <row r="2778" spans="1:130" hidden="1" x14ac:dyDescent="0.25">
      <c r="A2778" s="141"/>
      <c r="CA2778" s="142"/>
      <c r="CB2778" s="3" t="str">
        <f t="shared" si="496"/>
        <v>Riadok bude skrytý.</v>
      </c>
      <c r="CW2778" s="49">
        <v>1</v>
      </c>
      <c r="CZ2778" s="30">
        <f t="shared" si="497"/>
        <v>1</v>
      </c>
      <c r="DA2778" s="30">
        <f t="shared" si="501"/>
        <v>1</v>
      </c>
      <c r="DB2778" s="2">
        <f t="shared" si="499"/>
        <v>0</v>
      </c>
      <c r="DS2778" s="130">
        <f>SI!BY2778</f>
        <v>172</v>
      </c>
      <c r="DZ2778" s="131">
        <f>SI!BZ2778</f>
        <v>0</v>
      </c>
    </row>
    <row r="2779" spans="1:130" hidden="1" x14ac:dyDescent="0.25">
      <c r="A2779" s="141"/>
      <c r="B2779" s="289" t="s">
        <v>355</v>
      </c>
      <c r="C2779" s="288"/>
      <c r="D2779" s="288"/>
      <c r="E2779" s="288"/>
      <c r="F2779" s="288"/>
      <c r="G2779" s="289" t="str">
        <f>+IF($U$52&lt;&gt;"",IF((ROUNDDOWN(CODE(MID($U$52,1,1)),0)-(BIN2DEC(1010)/10))*0+(LEN(SI!J2)+LEN(SI!J5))=DS2779,"Náklady na poskytnuté služby, ostatné náklady na hospodársku činnosť, finančné náklady a náklady ","NEPOVOLENÉ POUŽITIE!"),"NEPOVOLENÉ POUŽITIE!")</f>
        <v xml:space="preserve">Náklady na poskytnuté služby, ostatné náklady na hospodársku činnosť, finančné náklady a náklady </v>
      </c>
      <c r="H2779" s="289"/>
      <c r="I2779" s="288"/>
      <c r="J2779" s="288"/>
      <c r="K2779" s="288"/>
      <c r="L2779" s="288"/>
      <c r="M2779" s="288"/>
      <c r="N2779" s="288"/>
      <c r="O2779" s="288"/>
      <c r="P2779" s="288"/>
      <c r="Q2779" s="288"/>
      <c r="R2779" s="288"/>
      <c r="S2779" s="288"/>
      <c r="T2779" s="288"/>
      <c r="U2779" s="288"/>
      <c r="V2779" s="288"/>
      <c r="W2779" s="288"/>
      <c r="X2779" s="288"/>
      <c r="Y2779" s="288"/>
      <c r="Z2779" s="288"/>
      <c r="AA2779" s="288"/>
      <c r="AB2779" s="288"/>
      <c r="AC2779" s="288"/>
      <c r="AD2779" s="288"/>
      <c r="AE2779" s="288"/>
      <c r="AF2779" s="288"/>
      <c r="AG2779" s="288"/>
      <c r="AH2779" s="288"/>
      <c r="AI2779" s="288"/>
      <c r="AJ2779" s="288"/>
      <c r="AK2779" s="288"/>
      <c r="AL2779" s="288"/>
      <c r="AM2779" s="288"/>
      <c r="AN2779" s="288"/>
      <c r="AO2779" s="288"/>
      <c r="AP2779" s="288"/>
      <c r="AQ2779" s="288"/>
      <c r="AR2779" s="288"/>
      <c r="AS2779" s="288"/>
      <c r="AT2779" s="288"/>
      <c r="AU2779" s="288"/>
      <c r="AV2779" s="288"/>
      <c r="AW2779" s="288"/>
      <c r="AX2779" s="288"/>
      <c r="AY2779" s="288"/>
      <c r="AZ2779" s="288"/>
      <c r="BA2779" s="288"/>
      <c r="BB2779" s="288"/>
      <c r="BC2779" s="288"/>
      <c r="BD2779" s="288"/>
      <c r="BE2779" s="288"/>
      <c r="BF2779" s="288"/>
      <c r="BG2779" s="288"/>
      <c r="BH2779" s="288"/>
      <c r="BI2779" s="288"/>
      <c r="BJ2779" s="288"/>
      <c r="BK2779" s="288"/>
      <c r="BL2779" s="288"/>
      <c r="BM2779" s="288"/>
      <c r="BN2779" s="288"/>
      <c r="BO2779" s="288"/>
      <c r="BP2779" s="288"/>
      <c r="BQ2779" s="288"/>
      <c r="BR2779" s="288"/>
      <c r="BS2779" s="288"/>
      <c r="BT2779" s="288"/>
      <c r="BU2779" s="288"/>
      <c r="BV2779" s="288"/>
      <c r="BW2779" s="288"/>
      <c r="BX2779" s="288"/>
      <c r="BY2779" s="288"/>
      <c r="BZ2779" s="288"/>
      <c r="CA2779" s="142"/>
      <c r="CB2779" s="3" t="str">
        <f t="shared" si="496"/>
        <v>Riadok bude skrytý.</v>
      </c>
      <c r="CW2779" s="49">
        <v>1</v>
      </c>
      <c r="CZ2779" s="30">
        <f t="shared" si="497"/>
        <v>1</v>
      </c>
      <c r="DA2779" s="30">
        <f t="shared" si="501"/>
        <v>1</v>
      </c>
      <c r="DB2779" s="2">
        <f t="shared" si="499"/>
        <v>0</v>
      </c>
      <c r="DS2779" s="130">
        <f>SI!BY2779</f>
        <v>28</v>
      </c>
      <c r="DZ2779" s="131">
        <f>SI!BZ2779</f>
        <v>0</v>
      </c>
    </row>
    <row r="2780" spans="1:130" hidden="1" x14ac:dyDescent="0.25">
      <c r="A2780" s="141"/>
      <c r="B2780" s="288"/>
      <c r="C2780" s="288"/>
      <c r="D2780" s="288"/>
      <c r="E2780" s="288"/>
      <c r="F2780" s="288"/>
      <c r="G2780" s="289" t="s">
        <v>1047</v>
      </c>
      <c r="H2780" s="289"/>
      <c r="I2780" s="288"/>
      <c r="J2780" s="288"/>
      <c r="K2780" s="288"/>
      <c r="L2780" s="288"/>
      <c r="M2780" s="288"/>
      <c r="N2780" s="288"/>
      <c r="O2780" s="288"/>
      <c r="P2780" s="288"/>
      <c r="Q2780" s="288"/>
      <c r="R2780" s="288"/>
      <c r="S2780" s="288"/>
      <c r="T2780" s="288"/>
      <c r="U2780" s="288"/>
      <c r="V2780" s="288"/>
      <c r="W2780" s="288"/>
      <c r="X2780" s="288"/>
      <c r="Y2780" s="288"/>
      <c r="Z2780" s="288"/>
      <c r="AA2780" s="288"/>
      <c r="AB2780" s="288"/>
      <c r="AC2780" s="288"/>
      <c r="AD2780" s="288"/>
      <c r="AE2780" s="288"/>
      <c r="AF2780" s="288"/>
      <c r="AG2780" s="288"/>
      <c r="AH2780" s="288"/>
      <c r="AI2780" s="288"/>
      <c r="AJ2780" s="288"/>
      <c r="AK2780" s="288"/>
      <c r="AL2780" s="288"/>
      <c r="AM2780" s="288"/>
      <c r="AN2780" s="288"/>
      <c r="AO2780" s="288"/>
      <c r="AP2780" s="288"/>
      <c r="AQ2780" s="288"/>
      <c r="AR2780" s="288"/>
      <c r="AS2780" s="288"/>
      <c r="AT2780" s="288"/>
      <c r="AU2780" s="288"/>
      <c r="AV2780" s="288"/>
      <c r="AW2780" s="288"/>
      <c r="AX2780" s="288"/>
      <c r="AY2780" s="288"/>
      <c r="AZ2780" s="288"/>
      <c r="BA2780" s="288"/>
      <c r="BB2780" s="288"/>
      <c r="BC2780" s="288"/>
      <c r="BD2780" s="288"/>
      <c r="BE2780" s="288"/>
      <c r="BF2780" s="288"/>
      <c r="BG2780" s="288"/>
      <c r="BH2780" s="288"/>
      <c r="BI2780" s="288"/>
      <c r="BJ2780" s="288"/>
      <c r="BK2780" s="288"/>
      <c r="BL2780" s="288"/>
      <c r="BM2780" s="288"/>
      <c r="BN2780" s="288"/>
      <c r="BO2780" s="288"/>
      <c r="BP2780" s="288"/>
      <c r="BQ2780" s="288"/>
      <c r="BR2780" s="288"/>
      <c r="BS2780" s="288"/>
      <c r="BT2780" s="288"/>
      <c r="BU2780" s="288"/>
      <c r="BV2780" s="288"/>
      <c r="BW2780" s="288"/>
      <c r="BX2780" s="288"/>
      <c r="BY2780" s="288"/>
      <c r="BZ2780" s="288"/>
      <c r="CA2780" s="142"/>
      <c r="CB2780" s="3" t="str">
        <f t="shared" si="496"/>
        <v>Riadok bude skrytý.</v>
      </c>
      <c r="CW2780" s="49">
        <v>1</v>
      </c>
      <c r="CZ2780" s="30">
        <f t="shared" si="497"/>
        <v>1</v>
      </c>
      <c r="DA2780" s="30">
        <f t="shared" si="501"/>
        <v>1</v>
      </c>
      <c r="DB2780" s="2">
        <f t="shared" si="499"/>
        <v>0</v>
      </c>
      <c r="DS2780" s="130">
        <f>SI!BY2780</f>
        <v>205</v>
      </c>
      <c r="DZ2780" s="131">
        <f>SI!BZ2780</f>
        <v>0</v>
      </c>
    </row>
    <row r="2781" spans="1:130" hidden="1" x14ac:dyDescent="0.25">
      <c r="A2781" s="141"/>
      <c r="G2781" s="7"/>
      <c r="H2781" s="7"/>
      <c r="CA2781" s="142"/>
      <c r="CB2781" s="3" t="str">
        <f t="shared" si="496"/>
        <v>Riadok bude skrytý.</v>
      </c>
      <c r="CW2781" s="49">
        <v>1</v>
      </c>
      <c r="CZ2781" s="30">
        <f t="shared" si="497"/>
        <v>1</v>
      </c>
      <c r="DA2781" s="30">
        <f t="shared" si="501"/>
        <v>1</v>
      </c>
      <c r="DB2781" s="2">
        <f t="shared" si="499"/>
        <v>0</v>
      </c>
      <c r="DS2781" s="130">
        <f>SI!BY2781</f>
        <v>158</v>
      </c>
      <c r="DZ2781" s="131">
        <f>SI!BZ2781</f>
        <v>0</v>
      </c>
    </row>
    <row r="2782" spans="1:130" x14ac:dyDescent="0.25">
      <c r="A2782" s="141"/>
      <c r="B2782" s="137" t="s">
        <v>208</v>
      </c>
      <c r="J2782" s="378" t="s">
        <v>1070</v>
      </c>
      <c r="K2782" s="378"/>
      <c r="L2782" s="378"/>
      <c r="M2782" s="378"/>
      <c r="N2782" s="378"/>
      <c r="O2782" s="378"/>
      <c r="P2782" s="378"/>
      <c r="Q2782" s="378"/>
      <c r="R2782" s="378"/>
      <c r="S2782" s="137" t="str">
        <f>+IF($G$52&lt;&gt;"",IF(ROUNDDOWN(CODE(MID($G$52,1,1))*2,0)*0+(LEN(SI!J2)+LEN(SI!J3))=DS2782,"o nákladoch na poskytnuté služby, ostatných nákladoch na hospodársku činnosť,","NEPOVOLENÉ POUŽITIE!"),"NEPOVOLENÉ POUŽITIE!")</f>
        <v>o nákladoch na poskytnuté služby, ostatných nákladoch na hospodársku činnosť,</v>
      </c>
      <c r="T2782" s="38"/>
      <c r="CA2782" s="142"/>
      <c r="CB2782" s="3" t="str">
        <f t="shared" si="496"/>
        <v>Riadok bude vidieť.</v>
      </c>
      <c r="CC2782" s="271" t="s">
        <v>832</v>
      </c>
      <c r="CD2782" s="14"/>
      <c r="CF2782" s="13"/>
      <c r="CW2782" s="49">
        <v>1</v>
      </c>
      <c r="CZ2782" s="30">
        <f t="shared" si="497"/>
        <v>1</v>
      </c>
      <c r="DA2782" s="30">
        <f t="shared" si="501"/>
        <v>1</v>
      </c>
      <c r="DB2782" s="140">
        <f t="shared" ref="DB2782:DB2805" si="502">+DA2782</f>
        <v>1</v>
      </c>
      <c r="DS2782" s="130">
        <f>SI!BY2782</f>
        <v>18</v>
      </c>
      <c r="DZ2782" s="131">
        <f>SI!BZ2782</f>
        <v>0</v>
      </c>
    </row>
    <row r="2783" spans="1:130" x14ac:dyDescent="0.25">
      <c r="A2783" s="141"/>
      <c r="B2783" s="137" t="str">
        <f>+IF($Q$52&lt;&gt;"",IF((CODE(MID($Q$52,1,1)))*(INT((PI()-3.1415)*10^5))*0+(LEN(SI!J5)-LEN(SI!J6))=DS2783,"finančných a o nákladoch majúcich výnimočný rozsah alebo výskyt.","NEPOVOLENÉ POUŽITIE!"),"NEPOVOLENÉ POUŽITIE!")</f>
        <v>finančných a o nákladoch majúcich výnimočný rozsah alebo výskyt.</v>
      </c>
      <c r="CA2783" s="142"/>
      <c r="CB2783" s="3" t="str">
        <f t="shared" si="496"/>
        <v>Riadok bude vidieť.</v>
      </c>
      <c r="CC2783" s="271" t="s">
        <v>832</v>
      </c>
      <c r="CD2783" s="14"/>
      <c r="CF2783" s="13"/>
      <c r="CW2783" s="49">
        <v>1</v>
      </c>
      <c r="CZ2783" s="30">
        <f t="shared" si="497"/>
        <v>1</v>
      </c>
      <c r="DA2783" s="30">
        <f t="shared" si="501"/>
        <v>1</v>
      </c>
      <c r="DB2783" s="140">
        <f t="shared" si="502"/>
        <v>1</v>
      </c>
      <c r="DS2783" s="130">
        <f>SI!BY2783</f>
        <v>10</v>
      </c>
      <c r="DZ2783" s="131">
        <f>SI!BZ2783</f>
        <v>0</v>
      </c>
    </row>
    <row r="2784" spans="1:130" x14ac:dyDescent="0.25">
      <c r="A2784" s="141"/>
      <c r="B2784" s="137" t="str">
        <f>+IF($E$52&lt;&gt;"",IF(ROUNDDOWN(CODE(MID($E$52,1,1))/10,0)*(IF(SI!EE2784="",1,SI!EE2784-1-1-1))+(LEN(SI!J2)+2)=DS2784,IF(J2782="neúčtovala","Spoločnosť nemá pre túto časť poznámok obsahovú náplň.","K nákladom Spoločnosť uvádza: "),"NEPOVOLENÉ POUŽITIE!"),"NEPOVOLENÉ POUŽITIE!")</f>
        <v>Spoločnosť nemá pre túto časť poznámok obsahovú náplň.</v>
      </c>
      <c r="CA2784" s="270"/>
      <c r="CB2784" s="3" t="str">
        <f t="shared" si="496"/>
        <v>Riadok bude vidieť.</v>
      </c>
      <c r="CC2784" s="271" t="s">
        <v>832</v>
      </c>
      <c r="CD2784" s="14"/>
      <c r="CF2784" s="13"/>
      <c r="CW2784" s="30">
        <f>+IF($J$2782="neúčtovala",1,1)</f>
        <v>1</v>
      </c>
      <c r="CZ2784" s="30">
        <f t="shared" si="497"/>
        <v>1</v>
      </c>
      <c r="DA2784" s="30">
        <f t="shared" si="501"/>
        <v>1</v>
      </c>
      <c r="DB2784" s="140">
        <f t="shared" si="502"/>
        <v>1</v>
      </c>
      <c r="DS2784" s="130">
        <f>SI!BY2784</f>
        <v>15</v>
      </c>
      <c r="DZ2784" s="131">
        <f>SI!BZ2784</f>
        <v>0</v>
      </c>
    </row>
    <row r="2785" spans="1:130" hidden="1" x14ac:dyDescent="0.25">
      <c r="A2785" s="141"/>
      <c r="B2785" s="379" t="s">
        <v>1067</v>
      </c>
      <c r="C2785" s="379"/>
      <c r="D2785" s="379"/>
      <c r="E2785" s="379"/>
      <c r="F2785" s="379"/>
      <c r="G2785" s="379"/>
      <c r="H2785" s="379"/>
      <c r="I2785" s="379"/>
      <c r="J2785" s="379"/>
      <c r="K2785" s="379"/>
      <c r="L2785" s="379"/>
      <c r="M2785" s="379"/>
      <c r="N2785" s="379"/>
      <c r="O2785" s="379"/>
      <c r="P2785" s="379"/>
      <c r="Q2785" s="379"/>
      <c r="R2785" s="379"/>
      <c r="S2785" s="379"/>
      <c r="T2785" s="379"/>
      <c r="U2785" s="379"/>
      <c r="V2785" s="379"/>
      <c r="W2785" s="379"/>
      <c r="X2785" s="379"/>
      <c r="Y2785" s="379"/>
      <c r="Z2785" s="379"/>
      <c r="AA2785" s="379"/>
      <c r="AB2785" s="379"/>
      <c r="AC2785" s="379"/>
      <c r="AD2785" s="379"/>
      <c r="AE2785" s="379"/>
      <c r="AF2785" s="379"/>
      <c r="AG2785" s="379"/>
      <c r="AH2785" s="379"/>
      <c r="AI2785" s="379"/>
      <c r="AJ2785" s="379"/>
      <c r="AK2785" s="379"/>
      <c r="AL2785" s="379"/>
      <c r="AM2785" s="379"/>
      <c r="AN2785" s="379"/>
      <c r="AO2785" s="379"/>
      <c r="AP2785" s="379"/>
      <c r="AQ2785" s="379"/>
      <c r="AR2785" s="379"/>
      <c r="AS2785" s="379"/>
      <c r="AT2785" s="379"/>
      <c r="AU2785" s="379"/>
      <c r="AV2785" s="379"/>
      <c r="AW2785" s="379"/>
      <c r="AX2785" s="379"/>
      <c r="AY2785" s="379"/>
      <c r="AZ2785" s="379"/>
      <c r="BA2785" s="379"/>
      <c r="BB2785" s="379"/>
      <c r="BC2785" s="379"/>
      <c r="BD2785" s="379"/>
      <c r="BE2785" s="379"/>
      <c r="BF2785" s="379"/>
      <c r="BG2785" s="379"/>
      <c r="BH2785" s="379"/>
      <c r="BI2785" s="379"/>
      <c r="BJ2785" s="379"/>
      <c r="BK2785" s="379"/>
      <c r="BL2785" s="379"/>
      <c r="BM2785" s="379"/>
      <c r="BN2785" s="379"/>
      <c r="BO2785" s="379"/>
      <c r="BP2785" s="379"/>
      <c r="BQ2785" s="379"/>
      <c r="BR2785" s="379"/>
      <c r="BS2785" s="379"/>
      <c r="BT2785" s="379"/>
      <c r="BU2785" s="379"/>
      <c r="BV2785" s="379"/>
      <c r="BW2785" s="379"/>
      <c r="BX2785" s="379"/>
      <c r="BY2785" s="379"/>
      <c r="BZ2785" s="379"/>
      <c r="CA2785" s="281"/>
      <c r="CB2785" s="3" t="str">
        <f t="shared" si="496"/>
        <v>Riadok bude skrytý.</v>
      </c>
      <c r="CC2785" s="271" t="s">
        <v>832</v>
      </c>
      <c r="CW2785" s="30">
        <f t="shared" ref="CW2785:CW2816" si="503">+IF($J$2782="neúčtovala",0,1)</f>
        <v>0</v>
      </c>
      <c r="CX2785" s="30">
        <f t="shared" ref="CX2785:CX2804" si="504">+IF(B2785="",0,1)</f>
        <v>1</v>
      </c>
      <c r="CZ2785" s="30">
        <f t="shared" si="497"/>
        <v>1</v>
      </c>
      <c r="DA2785" s="52">
        <f t="shared" ref="DA2785:DA2804" si="505">+IF(CW2785*CX2785=0,0,IF(CZ2785=0,0,1))</f>
        <v>0</v>
      </c>
      <c r="DB2785" s="140">
        <f t="shared" si="502"/>
        <v>0</v>
      </c>
      <c r="DS2785" s="130">
        <f>SI!BY2785</f>
        <v>196</v>
      </c>
      <c r="DZ2785" s="131">
        <f>SI!BZ2785</f>
        <v>0</v>
      </c>
    </row>
    <row r="2786" spans="1:130" hidden="1" x14ac:dyDescent="0.25">
      <c r="A2786" s="141"/>
      <c r="B2786" s="379" t="s">
        <v>1066</v>
      </c>
      <c r="C2786" s="379"/>
      <c r="D2786" s="379"/>
      <c r="E2786" s="379"/>
      <c r="F2786" s="379"/>
      <c r="G2786" s="379"/>
      <c r="H2786" s="379"/>
      <c r="I2786" s="379"/>
      <c r="J2786" s="379"/>
      <c r="K2786" s="379"/>
      <c r="L2786" s="379"/>
      <c r="M2786" s="379"/>
      <c r="N2786" s="379"/>
      <c r="O2786" s="379"/>
      <c r="P2786" s="379"/>
      <c r="Q2786" s="379"/>
      <c r="R2786" s="379"/>
      <c r="S2786" s="379"/>
      <c r="T2786" s="379"/>
      <c r="U2786" s="379"/>
      <c r="V2786" s="379"/>
      <c r="W2786" s="379"/>
      <c r="X2786" s="379"/>
      <c r="Y2786" s="379"/>
      <c r="Z2786" s="379"/>
      <c r="AA2786" s="379"/>
      <c r="AB2786" s="379"/>
      <c r="AC2786" s="379"/>
      <c r="AD2786" s="379"/>
      <c r="AE2786" s="379"/>
      <c r="AF2786" s="379"/>
      <c r="AG2786" s="379"/>
      <c r="AH2786" s="379"/>
      <c r="AI2786" s="379"/>
      <c r="AJ2786" s="379"/>
      <c r="AK2786" s="379"/>
      <c r="AL2786" s="379"/>
      <c r="AM2786" s="379"/>
      <c r="AN2786" s="379"/>
      <c r="AO2786" s="379"/>
      <c r="AP2786" s="379"/>
      <c r="AQ2786" s="379"/>
      <c r="AR2786" s="379"/>
      <c r="AS2786" s="379"/>
      <c r="AT2786" s="379"/>
      <c r="AU2786" s="379"/>
      <c r="AV2786" s="379"/>
      <c r="AW2786" s="379"/>
      <c r="AX2786" s="379"/>
      <c r="AY2786" s="379"/>
      <c r="AZ2786" s="379"/>
      <c r="BA2786" s="379"/>
      <c r="BB2786" s="379"/>
      <c r="BC2786" s="379"/>
      <c r="BD2786" s="379"/>
      <c r="BE2786" s="379"/>
      <c r="BF2786" s="379"/>
      <c r="BG2786" s="379"/>
      <c r="BH2786" s="379"/>
      <c r="BI2786" s="379"/>
      <c r="BJ2786" s="379"/>
      <c r="BK2786" s="379"/>
      <c r="BL2786" s="379"/>
      <c r="BM2786" s="379"/>
      <c r="BN2786" s="379"/>
      <c r="BO2786" s="379"/>
      <c r="BP2786" s="379"/>
      <c r="BQ2786" s="379"/>
      <c r="BR2786" s="379"/>
      <c r="BS2786" s="379"/>
      <c r="BT2786" s="379"/>
      <c r="BU2786" s="379"/>
      <c r="BV2786" s="379"/>
      <c r="BW2786" s="379"/>
      <c r="BX2786" s="379"/>
      <c r="BY2786" s="379"/>
      <c r="BZ2786" s="379"/>
      <c r="CA2786" s="281"/>
      <c r="CB2786" s="3" t="str">
        <f t="shared" si="496"/>
        <v>Riadok bude skrytý.</v>
      </c>
      <c r="CC2786" s="271" t="s">
        <v>832</v>
      </c>
      <c r="CW2786" s="30">
        <f t="shared" si="503"/>
        <v>0</v>
      </c>
      <c r="CX2786" s="30">
        <f t="shared" si="504"/>
        <v>1</v>
      </c>
      <c r="CZ2786" s="30">
        <f t="shared" si="497"/>
        <v>1</v>
      </c>
      <c r="DA2786" s="52">
        <f t="shared" si="505"/>
        <v>0</v>
      </c>
      <c r="DB2786" s="140">
        <f t="shared" si="502"/>
        <v>0</v>
      </c>
      <c r="DS2786" s="130">
        <f>SI!BY2786</f>
        <v>188</v>
      </c>
      <c r="DZ2786" s="131">
        <f>SI!BZ2786</f>
        <v>0</v>
      </c>
    </row>
    <row r="2787" spans="1:130" hidden="1" x14ac:dyDescent="0.25">
      <c r="A2787" s="141"/>
      <c r="B2787" s="379"/>
      <c r="C2787" s="379"/>
      <c r="D2787" s="379"/>
      <c r="E2787" s="379"/>
      <c r="F2787" s="379"/>
      <c r="G2787" s="379"/>
      <c r="H2787" s="379"/>
      <c r="I2787" s="379"/>
      <c r="J2787" s="379"/>
      <c r="K2787" s="379"/>
      <c r="L2787" s="379"/>
      <c r="M2787" s="379"/>
      <c r="N2787" s="379"/>
      <c r="O2787" s="379"/>
      <c r="P2787" s="379"/>
      <c r="Q2787" s="379"/>
      <c r="R2787" s="379"/>
      <c r="S2787" s="379"/>
      <c r="T2787" s="379"/>
      <c r="U2787" s="379"/>
      <c r="V2787" s="379"/>
      <c r="W2787" s="379"/>
      <c r="X2787" s="379"/>
      <c r="Y2787" s="379"/>
      <c r="Z2787" s="379"/>
      <c r="AA2787" s="379"/>
      <c r="AB2787" s="379"/>
      <c r="AC2787" s="379"/>
      <c r="AD2787" s="379"/>
      <c r="AE2787" s="379"/>
      <c r="AF2787" s="379"/>
      <c r="AG2787" s="379"/>
      <c r="AH2787" s="379"/>
      <c r="AI2787" s="379"/>
      <c r="AJ2787" s="379"/>
      <c r="AK2787" s="379"/>
      <c r="AL2787" s="379"/>
      <c r="AM2787" s="379"/>
      <c r="AN2787" s="379"/>
      <c r="AO2787" s="379"/>
      <c r="AP2787" s="379"/>
      <c r="AQ2787" s="379"/>
      <c r="AR2787" s="379"/>
      <c r="AS2787" s="379"/>
      <c r="AT2787" s="379"/>
      <c r="AU2787" s="379"/>
      <c r="AV2787" s="379"/>
      <c r="AW2787" s="379"/>
      <c r="AX2787" s="379"/>
      <c r="AY2787" s="379"/>
      <c r="AZ2787" s="379"/>
      <c r="BA2787" s="379"/>
      <c r="BB2787" s="379"/>
      <c r="BC2787" s="379"/>
      <c r="BD2787" s="379"/>
      <c r="BE2787" s="379"/>
      <c r="BF2787" s="379"/>
      <c r="BG2787" s="379"/>
      <c r="BH2787" s="379"/>
      <c r="BI2787" s="379"/>
      <c r="BJ2787" s="379"/>
      <c r="BK2787" s="379"/>
      <c r="BL2787" s="379"/>
      <c r="BM2787" s="379"/>
      <c r="BN2787" s="379"/>
      <c r="BO2787" s="379"/>
      <c r="BP2787" s="379"/>
      <c r="BQ2787" s="379"/>
      <c r="BR2787" s="379"/>
      <c r="BS2787" s="379"/>
      <c r="BT2787" s="379"/>
      <c r="BU2787" s="379"/>
      <c r="BV2787" s="379"/>
      <c r="BW2787" s="379"/>
      <c r="BX2787" s="379"/>
      <c r="BY2787" s="379"/>
      <c r="BZ2787" s="379"/>
      <c r="CA2787" s="281"/>
      <c r="CB2787" s="3" t="str">
        <f t="shared" si="496"/>
        <v>Riadok bude skrytý.</v>
      </c>
      <c r="CC2787" s="271" t="s">
        <v>832</v>
      </c>
      <c r="CW2787" s="30">
        <f t="shared" si="503"/>
        <v>0</v>
      </c>
      <c r="CX2787" s="30">
        <f t="shared" si="504"/>
        <v>0</v>
      </c>
      <c r="CZ2787" s="30">
        <f t="shared" si="497"/>
        <v>1</v>
      </c>
      <c r="DA2787" s="52">
        <f t="shared" si="505"/>
        <v>0</v>
      </c>
      <c r="DB2787" s="140">
        <f t="shared" si="502"/>
        <v>0</v>
      </c>
      <c r="DS2787" s="130">
        <f>SI!BY2787</f>
        <v>107</v>
      </c>
      <c r="DZ2787" s="131">
        <f>SI!BZ2787</f>
        <v>0</v>
      </c>
    </row>
    <row r="2788" spans="1:130" hidden="1" x14ac:dyDescent="0.25">
      <c r="A2788" s="141"/>
      <c r="B2788" s="379"/>
      <c r="C2788" s="379"/>
      <c r="D2788" s="379"/>
      <c r="E2788" s="379"/>
      <c r="F2788" s="379"/>
      <c r="G2788" s="379"/>
      <c r="H2788" s="379"/>
      <c r="I2788" s="379"/>
      <c r="J2788" s="379"/>
      <c r="K2788" s="379"/>
      <c r="L2788" s="379"/>
      <c r="M2788" s="379"/>
      <c r="N2788" s="379"/>
      <c r="O2788" s="379"/>
      <c r="P2788" s="379"/>
      <c r="Q2788" s="379"/>
      <c r="R2788" s="379"/>
      <c r="S2788" s="379"/>
      <c r="T2788" s="379"/>
      <c r="U2788" s="379"/>
      <c r="V2788" s="379"/>
      <c r="W2788" s="379"/>
      <c r="X2788" s="379"/>
      <c r="Y2788" s="379"/>
      <c r="Z2788" s="379"/>
      <c r="AA2788" s="379"/>
      <c r="AB2788" s="379"/>
      <c r="AC2788" s="379"/>
      <c r="AD2788" s="379"/>
      <c r="AE2788" s="379"/>
      <c r="AF2788" s="379"/>
      <c r="AG2788" s="379"/>
      <c r="AH2788" s="379"/>
      <c r="AI2788" s="379"/>
      <c r="AJ2788" s="379"/>
      <c r="AK2788" s="379"/>
      <c r="AL2788" s="379"/>
      <c r="AM2788" s="379"/>
      <c r="AN2788" s="379"/>
      <c r="AO2788" s="379"/>
      <c r="AP2788" s="379"/>
      <c r="AQ2788" s="379"/>
      <c r="AR2788" s="379"/>
      <c r="AS2788" s="379"/>
      <c r="AT2788" s="379"/>
      <c r="AU2788" s="379"/>
      <c r="AV2788" s="379"/>
      <c r="AW2788" s="379"/>
      <c r="AX2788" s="379"/>
      <c r="AY2788" s="379"/>
      <c r="AZ2788" s="379"/>
      <c r="BA2788" s="379"/>
      <c r="BB2788" s="379"/>
      <c r="BC2788" s="379"/>
      <c r="BD2788" s="379"/>
      <c r="BE2788" s="379"/>
      <c r="BF2788" s="379"/>
      <c r="BG2788" s="379"/>
      <c r="BH2788" s="379"/>
      <c r="BI2788" s="379"/>
      <c r="BJ2788" s="379"/>
      <c r="BK2788" s="379"/>
      <c r="BL2788" s="379"/>
      <c r="BM2788" s="379"/>
      <c r="BN2788" s="379"/>
      <c r="BO2788" s="379"/>
      <c r="BP2788" s="379"/>
      <c r="BQ2788" s="379"/>
      <c r="BR2788" s="379"/>
      <c r="BS2788" s="379"/>
      <c r="BT2788" s="379"/>
      <c r="BU2788" s="379"/>
      <c r="BV2788" s="379"/>
      <c r="BW2788" s="379"/>
      <c r="BX2788" s="379"/>
      <c r="BY2788" s="379"/>
      <c r="BZ2788" s="379"/>
      <c r="CA2788" s="281"/>
      <c r="CB2788" s="3" t="str">
        <f t="shared" si="496"/>
        <v>Riadok bude skrytý.</v>
      </c>
      <c r="CC2788" s="271" t="s">
        <v>832</v>
      </c>
      <c r="CW2788" s="30">
        <f t="shared" si="503"/>
        <v>0</v>
      </c>
      <c r="CX2788" s="30">
        <f t="shared" si="504"/>
        <v>0</v>
      </c>
      <c r="CZ2788" s="30">
        <f t="shared" si="497"/>
        <v>1</v>
      </c>
      <c r="DA2788" s="52">
        <f t="shared" si="505"/>
        <v>0</v>
      </c>
      <c r="DB2788" s="140">
        <f t="shared" si="502"/>
        <v>0</v>
      </c>
      <c r="DS2788" s="130">
        <f>SI!BY2788</f>
        <v>174</v>
      </c>
      <c r="DZ2788" s="131">
        <f>SI!BZ2788</f>
        <v>0</v>
      </c>
    </row>
    <row r="2789" spans="1:130" hidden="1" x14ac:dyDescent="0.25">
      <c r="A2789" s="141"/>
      <c r="B2789" s="379"/>
      <c r="C2789" s="379"/>
      <c r="D2789" s="379"/>
      <c r="E2789" s="379"/>
      <c r="F2789" s="379"/>
      <c r="G2789" s="379"/>
      <c r="H2789" s="379"/>
      <c r="I2789" s="379"/>
      <c r="J2789" s="379"/>
      <c r="K2789" s="379"/>
      <c r="L2789" s="379"/>
      <c r="M2789" s="379"/>
      <c r="N2789" s="379"/>
      <c r="O2789" s="379"/>
      <c r="P2789" s="379"/>
      <c r="Q2789" s="379"/>
      <c r="R2789" s="379"/>
      <c r="S2789" s="379"/>
      <c r="T2789" s="379"/>
      <c r="U2789" s="379"/>
      <c r="V2789" s="379"/>
      <c r="W2789" s="379"/>
      <c r="X2789" s="379"/>
      <c r="Y2789" s="379"/>
      <c r="Z2789" s="379"/>
      <c r="AA2789" s="379"/>
      <c r="AB2789" s="379"/>
      <c r="AC2789" s="379"/>
      <c r="AD2789" s="379"/>
      <c r="AE2789" s="379"/>
      <c r="AF2789" s="379"/>
      <c r="AG2789" s="379"/>
      <c r="AH2789" s="379"/>
      <c r="AI2789" s="379"/>
      <c r="AJ2789" s="379"/>
      <c r="AK2789" s="379"/>
      <c r="AL2789" s="379"/>
      <c r="AM2789" s="379"/>
      <c r="AN2789" s="379"/>
      <c r="AO2789" s="379"/>
      <c r="AP2789" s="379"/>
      <c r="AQ2789" s="379"/>
      <c r="AR2789" s="379"/>
      <c r="AS2789" s="379"/>
      <c r="AT2789" s="379"/>
      <c r="AU2789" s="379"/>
      <c r="AV2789" s="379"/>
      <c r="AW2789" s="379"/>
      <c r="AX2789" s="379"/>
      <c r="AY2789" s="379"/>
      <c r="AZ2789" s="379"/>
      <c r="BA2789" s="379"/>
      <c r="BB2789" s="379"/>
      <c r="BC2789" s="379"/>
      <c r="BD2789" s="379"/>
      <c r="BE2789" s="379"/>
      <c r="BF2789" s="379"/>
      <c r="BG2789" s="379"/>
      <c r="BH2789" s="379"/>
      <c r="BI2789" s="379"/>
      <c r="BJ2789" s="379"/>
      <c r="BK2789" s="379"/>
      <c r="BL2789" s="379"/>
      <c r="BM2789" s="379"/>
      <c r="BN2789" s="379"/>
      <c r="BO2789" s="379"/>
      <c r="BP2789" s="379"/>
      <c r="BQ2789" s="379"/>
      <c r="BR2789" s="379"/>
      <c r="BS2789" s="379"/>
      <c r="BT2789" s="379"/>
      <c r="BU2789" s="379"/>
      <c r="BV2789" s="379"/>
      <c r="BW2789" s="379"/>
      <c r="BX2789" s="379"/>
      <c r="BY2789" s="379"/>
      <c r="BZ2789" s="379"/>
      <c r="CA2789" s="281"/>
      <c r="CB2789" s="3" t="str">
        <f t="shared" si="496"/>
        <v>Riadok bude skrytý.</v>
      </c>
      <c r="CC2789" s="271" t="s">
        <v>832</v>
      </c>
      <c r="CW2789" s="30">
        <f t="shared" si="503"/>
        <v>0</v>
      </c>
      <c r="CX2789" s="30">
        <f t="shared" si="504"/>
        <v>0</v>
      </c>
      <c r="CZ2789" s="30">
        <f t="shared" si="497"/>
        <v>1</v>
      </c>
      <c r="DA2789" s="52">
        <f t="shared" si="505"/>
        <v>0</v>
      </c>
      <c r="DB2789" s="140">
        <f t="shared" si="502"/>
        <v>0</v>
      </c>
      <c r="DS2789" s="130">
        <f>SI!BY2789</f>
        <v>181</v>
      </c>
      <c r="DZ2789" s="131">
        <f>SI!BZ2789</f>
        <v>0</v>
      </c>
    </row>
    <row r="2790" spans="1:130" hidden="1" x14ac:dyDescent="0.25">
      <c r="A2790" s="141"/>
      <c r="B2790" s="379"/>
      <c r="C2790" s="379"/>
      <c r="D2790" s="379"/>
      <c r="E2790" s="379"/>
      <c r="F2790" s="379"/>
      <c r="G2790" s="379"/>
      <c r="H2790" s="379"/>
      <c r="I2790" s="379"/>
      <c r="J2790" s="379"/>
      <c r="K2790" s="379"/>
      <c r="L2790" s="379"/>
      <c r="M2790" s="379"/>
      <c r="N2790" s="379"/>
      <c r="O2790" s="379"/>
      <c r="P2790" s="379"/>
      <c r="Q2790" s="379"/>
      <c r="R2790" s="379"/>
      <c r="S2790" s="379"/>
      <c r="T2790" s="379"/>
      <c r="U2790" s="379"/>
      <c r="V2790" s="379"/>
      <c r="W2790" s="379"/>
      <c r="X2790" s="379"/>
      <c r="Y2790" s="379"/>
      <c r="Z2790" s="379"/>
      <c r="AA2790" s="379"/>
      <c r="AB2790" s="379"/>
      <c r="AC2790" s="379"/>
      <c r="AD2790" s="379"/>
      <c r="AE2790" s="379"/>
      <c r="AF2790" s="379"/>
      <c r="AG2790" s="379"/>
      <c r="AH2790" s="379"/>
      <c r="AI2790" s="379"/>
      <c r="AJ2790" s="379"/>
      <c r="AK2790" s="379"/>
      <c r="AL2790" s="379"/>
      <c r="AM2790" s="379"/>
      <c r="AN2790" s="379"/>
      <c r="AO2790" s="379"/>
      <c r="AP2790" s="379"/>
      <c r="AQ2790" s="379"/>
      <c r="AR2790" s="379"/>
      <c r="AS2790" s="379"/>
      <c r="AT2790" s="379"/>
      <c r="AU2790" s="379"/>
      <c r="AV2790" s="379"/>
      <c r="AW2790" s="379"/>
      <c r="AX2790" s="379"/>
      <c r="AY2790" s="379"/>
      <c r="AZ2790" s="379"/>
      <c r="BA2790" s="379"/>
      <c r="BB2790" s="379"/>
      <c r="BC2790" s="379"/>
      <c r="BD2790" s="379"/>
      <c r="BE2790" s="379"/>
      <c r="BF2790" s="379"/>
      <c r="BG2790" s="379"/>
      <c r="BH2790" s="379"/>
      <c r="BI2790" s="379"/>
      <c r="BJ2790" s="379"/>
      <c r="BK2790" s="379"/>
      <c r="BL2790" s="379"/>
      <c r="BM2790" s="379"/>
      <c r="BN2790" s="379"/>
      <c r="BO2790" s="379"/>
      <c r="BP2790" s="379"/>
      <c r="BQ2790" s="379"/>
      <c r="BR2790" s="379"/>
      <c r="BS2790" s="379"/>
      <c r="BT2790" s="379"/>
      <c r="BU2790" s="379"/>
      <c r="BV2790" s="379"/>
      <c r="BW2790" s="379"/>
      <c r="BX2790" s="379"/>
      <c r="BY2790" s="379"/>
      <c r="BZ2790" s="379"/>
      <c r="CA2790" s="281"/>
      <c r="CB2790" s="3" t="str">
        <f t="shared" si="496"/>
        <v>Riadok bude skrytý.</v>
      </c>
      <c r="CC2790" s="271" t="s">
        <v>832</v>
      </c>
      <c r="CW2790" s="30">
        <f t="shared" si="503"/>
        <v>0</v>
      </c>
      <c r="CX2790" s="30">
        <f t="shared" si="504"/>
        <v>0</v>
      </c>
      <c r="CZ2790" s="30">
        <f t="shared" si="497"/>
        <v>1</v>
      </c>
      <c r="DA2790" s="52">
        <f t="shared" si="505"/>
        <v>0</v>
      </c>
      <c r="DB2790" s="140">
        <f t="shared" si="502"/>
        <v>0</v>
      </c>
      <c r="DS2790" s="130">
        <f>SI!BY2790</f>
        <v>133</v>
      </c>
      <c r="DZ2790" s="131">
        <f>SI!BZ2790</f>
        <v>0</v>
      </c>
    </row>
    <row r="2791" spans="1:130" hidden="1" x14ac:dyDescent="0.25">
      <c r="A2791" s="141"/>
      <c r="B2791" s="379"/>
      <c r="C2791" s="379"/>
      <c r="D2791" s="379"/>
      <c r="E2791" s="379"/>
      <c r="F2791" s="379"/>
      <c r="G2791" s="379"/>
      <c r="H2791" s="379"/>
      <c r="I2791" s="379"/>
      <c r="J2791" s="379"/>
      <c r="K2791" s="379"/>
      <c r="L2791" s="379"/>
      <c r="M2791" s="379"/>
      <c r="N2791" s="379"/>
      <c r="O2791" s="379"/>
      <c r="P2791" s="379"/>
      <c r="Q2791" s="379"/>
      <c r="R2791" s="379"/>
      <c r="S2791" s="379"/>
      <c r="T2791" s="379"/>
      <c r="U2791" s="379"/>
      <c r="V2791" s="379"/>
      <c r="W2791" s="379"/>
      <c r="X2791" s="379"/>
      <c r="Y2791" s="379"/>
      <c r="Z2791" s="379"/>
      <c r="AA2791" s="379"/>
      <c r="AB2791" s="379"/>
      <c r="AC2791" s="379"/>
      <c r="AD2791" s="379"/>
      <c r="AE2791" s="379"/>
      <c r="AF2791" s="379"/>
      <c r="AG2791" s="379"/>
      <c r="AH2791" s="379"/>
      <c r="AI2791" s="379"/>
      <c r="AJ2791" s="379"/>
      <c r="AK2791" s="379"/>
      <c r="AL2791" s="379"/>
      <c r="AM2791" s="379"/>
      <c r="AN2791" s="379"/>
      <c r="AO2791" s="379"/>
      <c r="AP2791" s="379"/>
      <c r="AQ2791" s="379"/>
      <c r="AR2791" s="379"/>
      <c r="AS2791" s="379"/>
      <c r="AT2791" s="379"/>
      <c r="AU2791" s="379"/>
      <c r="AV2791" s="379"/>
      <c r="AW2791" s="379"/>
      <c r="AX2791" s="379"/>
      <c r="AY2791" s="379"/>
      <c r="AZ2791" s="379"/>
      <c r="BA2791" s="379"/>
      <c r="BB2791" s="379"/>
      <c r="BC2791" s="379"/>
      <c r="BD2791" s="379"/>
      <c r="BE2791" s="379"/>
      <c r="BF2791" s="379"/>
      <c r="BG2791" s="379"/>
      <c r="BH2791" s="379"/>
      <c r="BI2791" s="379"/>
      <c r="BJ2791" s="379"/>
      <c r="BK2791" s="379"/>
      <c r="BL2791" s="379"/>
      <c r="BM2791" s="379"/>
      <c r="BN2791" s="379"/>
      <c r="BO2791" s="379"/>
      <c r="BP2791" s="379"/>
      <c r="BQ2791" s="379"/>
      <c r="BR2791" s="379"/>
      <c r="BS2791" s="379"/>
      <c r="BT2791" s="379"/>
      <c r="BU2791" s="379"/>
      <c r="BV2791" s="379"/>
      <c r="BW2791" s="379"/>
      <c r="BX2791" s="379"/>
      <c r="BY2791" s="379"/>
      <c r="BZ2791" s="379"/>
      <c r="CA2791" s="281"/>
      <c r="CB2791" s="3" t="str">
        <f t="shared" si="496"/>
        <v>Riadok bude skrytý.</v>
      </c>
      <c r="CC2791" s="271" t="s">
        <v>832</v>
      </c>
      <c r="CW2791" s="30">
        <f t="shared" si="503"/>
        <v>0</v>
      </c>
      <c r="CX2791" s="30">
        <f t="shared" si="504"/>
        <v>0</v>
      </c>
      <c r="CZ2791" s="30">
        <f t="shared" si="497"/>
        <v>1</v>
      </c>
      <c r="DA2791" s="52">
        <f t="shared" si="505"/>
        <v>0</v>
      </c>
      <c r="DB2791" s="140">
        <f t="shared" si="502"/>
        <v>0</v>
      </c>
      <c r="DS2791" s="130">
        <f>SI!BY2791</f>
        <v>176</v>
      </c>
      <c r="DZ2791" s="131">
        <f>SI!BZ2791</f>
        <v>0</v>
      </c>
    </row>
    <row r="2792" spans="1:130" hidden="1" x14ac:dyDescent="0.25">
      <c r="A2792" s="141"/>
      <c r="B2792" s="379"/>
      <c r="C2792" s="379"/>
      <c r="D2792" s="379"/>
      <c r="E2792" s="379"/>
      <c r="F2792" s="379"/>
      <c r="G2792" s="379"/>
      <c r="H2792" s="379"/>
      <c r="I2792" s="379"/>
      <c r="J2792" s="379"/>
      <c r="K2792" s="379"/>
      <c r="L2792" s="379"/>
      <c r="M2792" s="379"/>
      <c r="N2792" s="379"/>
      <c r="O2792" s="379"/>
      <c r="P2792" s="379"/>
      <c r="Q2792" s="379"/>
      <c r="R2792" s="379"/>
      <c r="S2792" s="379"/>
      <c r="T2792" s="379"/>
      <c r="U2792" s="379"/>
      <c r="V2792" s="379"/>
      <c r="W2792" s="379"/>
      <c r="X2792" s="379"/>
      <c r="Y2792" s="379"/>
      <c r="Z2792" s="379"/>
      <c r="AA2792" s="379"/>
      <c r="AB2792" s="379"/>
      <c r="AC2792" s="379"/>
      <c r="AD2792" s="379"/>
      <c r="AE2792" s="379"/>
      <c r="AF2792" s="379"/>
      <c r="AG2792" s="379"/>
      <c r="AH2792" s="379"/>
      <c r="AI2792" s="379"/>
      <c r="AJ2792" s="379"/>
      <c r="AK2792" s="379"/>
      <c r="AL2792" s="379"/>
      <c r="AM2792" s="379"/>
      <c r="AN2792" s="379"/>
      <c r="AO2792" s="379"/>
      <c r="AP2792" s="379"/>
      <c r="AQ2792" s="379"/>
      <c r="AR2792" s="379"/>
      <c r="AS2792" s="379"/>
      <c r="AT2792" s="379"/>
      <c r="AU2792" s="379"/>
      <c r="AV2792" s="379"/>
      <c r="AW2792" s="379"/>
      <c r="AX2792" s="379"/>
      <c r="AY2792" s="379"/>
      <c r="AZ2792" s="379"/>
      <c r="BA2792" s="379"/>
      <c r="BB2792" s="379"/>
      <c r="BC2792" s="379"/>
      <c r="BD2792" s="379"/>
      <c r="BE2792" s="379"/>
      <c r="BF2792" s="379"/>
      <c r="BG2792" s="379"/>
      <c r="BH2792" s="379"/>
      <c r="BI2792" s="379"/>
      <c r="BJ2792" s="379"/>
      <c r="BK2792" s="379"/>
      <c r="BL2792" s="379"/>
      <c r="BM2792" s="379"/>
      <c r="BN2792" s="379"/>
      <c r="BO2792" s="379"/>
      <c r="BP2792" s="379"/>
      <c r="BQ2792" s="379"/>
      <c r="BR2792" s="379"/>
      <c r="BS2792" s="379"/>
      <c r="BT2792" s="379"/>
      <c r="BU2792" s="379"/>
      <c r="BV2792" s="379"/>
      <c r="BW2792" s="379"/>
      <c r="BX2792" s="379"/>
      <c r="BY2792" s="379"/>
      <c r="BZ2792" s="379"/>
      <c r="CA2792" s="281"/>
      <c r="CB2792" s="3" t="str">
        <f t="shared" si="496"/>
        <v>Riadok bude skrytý.</v>
      </c>
      <c r="CC2792" s="271" t="s">
        <v>832</v>
      </c>
      <c r="CW2792" s="30">
        <f t="shared" si="503"/>
        <v>0</v>
      </c>
      <c r="CX2792" s="30">
        <f t="shared" si="504"/>
        <v>0</v>
      </c>
      <c r="CZ2792" s="30">
        <f t="shared" si="497"/>
        <v>1</v>
      </c>
      <c r="DA2792" s="52">
        <f t="shared" si="505"/>
        <v>0</v>
      </c>
      <c r="DB2792" s="140">
        <f t="shared" si="502"/>
        <v>0</v>
      </c>
      <c r="DS2792" s="130">
        <f>SI!BY2792</f>
        <v>149</v>
      </c>
      <c r="DZ2792" s="131">
        <f>SI!BZ2792</f>
        <v>0</v>
      </c>
    </row>
    <row r="2793" spans="1:130" hidden="1" x14ac:dyDescent="0.25">
      <c r="A2793" s="141"/>
      <c r="B2793" s="379"/>
      <c r="C2793" s="379"/>
      <c r="D2793" s="379"/>
      <c r="E2793" s="379"/>
      <c r="F2793" s="379"/>
      <c r="G2793" s="379"/>
      <c r="H2793" s="379"/>
      <c r="I2793" s="379"/>
      <c r="J2793" s="379"/>
      <c r="K2793" s="379"/>
      <c r="L2793" s="379"/>
      <c r="M2793" s="379"/>
      <c r="N2793" s="379"/>
      <c r="O2793" s="379"/>
      <c r="P2793" s="379"/>
      <c r="Q2793" s="379"/>
      <c r="R2793" s="379"/>
      <c r="S2793" s="379"/>
      <c r="T2793" s="379"/>
      <c r="U2793" s="379"/>
      <c r="V2793" s="379"/>
      <c r="W2793" s="379"/>
      <c r="X2793" s="379"/>
      <c r="Y2793" s="379"/>
      <c r="Z2793" s="379"/>
      <c r="AA2793" s="379"/>
      <c r="AB2793" s="379"/>
      <c r="AC2793" s="379"/>
      <c r="AD2793" s="379"/>
      <c r="AE2793" s="379"/>
      <c r="AF2793" s="379"/>
      <c r="AG2793" s="379"/>
      <c r="AH2793" s="379"/>
      <c r="AI2793" s="379"/>
      <c r="AJ2793" s="379"/>
      <c r="AK2793" s="379"/>
      <c r="AL2793" s="379"/>
      <c r="AM2793" s="379"/>
      <c r="AN2793" s="379"/>
      <c r="AO2793" s="379"/>
      <c r="AP2793" s="379"/>
      <c r="AQ2793" s="379"/>
      <c r="AR2793" s="379"/>
      <c r="AS2793" s="379"/>
      <c r="AT2793" s="379"/>
      <c r="AU2793" s="379"/>
      <c r="AV2793" s="379"/>
      <c r="AW2793" s="379"/>
      <c r="AX2793" s="379"/>
      <c r="AY2793" s="379"/>
      <c r="AZ2793" s="379"/>
      <c r="BA2793" s="379"/>
      <c r="BB2793" s="379"/>
      <c r="BC2793" s="379"/>
      <c r="BD2793" s="379"/>
      <c r="BE2793" s="379"/>
      <c r="BF2793" s="379"/>
      <c r="BG2793" s="379"/>
      <c r="BH2793" s="379"/>
      <c r="BI2793" s="379"/>
      <c r="BJ2793" s="379"/>
      <c r="BK2793" s="379"/>
      <c r="BL2793" s="379"/>
      <c r="BM2793" s="379"/>
      <c r="BN2793" s="379"/>
      <c r="BO2793" s="379"/>
      <c r="BP2793" s="379"/>
      <c r="BQ2793" s="379"/>
      <c r="BR2793" s="379"/>
      <c r="BS2793" s="379"/>
      <c r="BT2793" s="379"/>
      <c r="BU2793" s="379"/>
      <c r="BV2793" s="379"/>
      <c r="BW2793" s="379"/>
      <c r="BX2793" s="379"/>
      <c r="BY2793" s="379"/>
      <c r="BZ2793" s="379"/>
      <c r="CA2793" s="281"/>
      <c r="CB2793" s="3" t="str">
        <f t="shared" si="496"/>
        <v>Riadok bude skrytý.</v>
      </c>
      <c r="CC2793" s="271" t="s">
        <v>832</v>
      </c>
      <c r="CW2793" s="30">
        <f t="shared" si="503"/>
        <v>0</v>
      </c>
      <c r="CX2793" s="30">
        <f t="shared" si="504"/>
        <v>0</v>
      </c>
      <c r="CZ2793" s="30">
        <f t="shared" si="497"/>
        <v>1</v>
      </c>
      <c r="DA2793" s="52">
        <f t="shared" si="505"/>
        <v>0</v>
      </c>
      <c r="DB2793" s="140">
        <f t="shared" si="502"/>
        <v>0</v>
      </c>
      <c r="DS2793" s="130">
        <f>SI!BY2793</f>
        <v>110</v>
      </c>
      <c r="DZ2793" s="131">
        <f>SI!BZ2793</f>
        <v>0</v>
      </c>
    </row>
    <row r="2794" spans="1:130" hidden="1" x14ac:dyDescent="0.25">
      <c r="A2794" s="141"/>
      <c r="B2794" s="379"/>
      <c r="C2794" s="379"/>
      <c r="D2794" s="379"/>
      <c r="E2794" s="379"/>
      <c r="F2794" s="379"/>
      <c r="G2794" s="379"/>
      <c r="H2794" s="379"/>
      <c r="I2794" s="379"/>
      <c r="J2794" s="379"/>
      <c r="K2794" s="379"/>
      <c r="L2794" s="379"/>
      <c r="M2794" s="379"/>
      <c r="N2794" s="379"/>
      <c r="O2794" s="379"/>
      <c r="P2794" s="379"/>
      <c r="Q2794" s="379"/>
      <c r="R2794" s="379"/>
      <c r="S2794" s="379"/>
      <c r="T2794" s="379"/>
      <c r="U2794" s="379"/>
      <c r="V2794" s="379"/>
      <c r="W2794" s="379"/>
      <c r="X2794" s="379"/>
      <c r="Y2794" s="379"/>
      <c r="Z2794" s="379"/>
      <c r="AA2794" s="379"/>
      <c r="AB2794" s="379"/>
      <c r="AC2794" s="379"/>
      <c r="AD2794" s="379"/>
      <c r="AE2794" s="379"/>
      <c r="AF2794" s="379"/>
      <c r="AG2794" s="379"/>
      <c r="AH2794" s="379"/>
      <c r="AI2794" s="379"/>
      <c r="AJ2794" s="379"/>
      <c r="AK2794" s="379"/>
      <c r="AL2794" s="379"/>
      <c r="AM2794" s="379"/>
      <c r="AN2794" s="379"/>
      <c r="AO2794" s="379"/>
      <c r="AP2794" s="379"/>
      <c r="AQ2794" s="379"/>
      <c r="AR2794" s="379"/>
      <c r="AS2794" s="379"/>
      <c r="AT2794" s="379"/>
      <c r="AU2794" s="379"/>
      <c r="AV2794" s="379"/>
      <c r="AW2794" s="379"/>
      <c r="AX2794" s="379"/>
      <c r="AY2794" s="379"/>
      <c r="AZ2794" s="379"/>
      <c r="BA2794" s="379"/>
      <c r="BB2794" s="379"/>
      <c r="BC2794" s="379"/>
      <c r="BD2794" s="379"/>
      <c r="BE2794" s="379"/>
      <c r="BF2794" s="379"/>
      <c r="BG2794" s="379"/>
      <c r="BH2794" s="379"/>
      <c r="BI2794" s="379"/>
      <c r="BJ2794" s="379"/>
      <c r="BK2794" s="379"/>
      <c r="BL2794" s="379"/>
      <c r="BM2794" s="379"/>
      <c r="BN2794" s="379"/>
      <c r="BO2794" s="379"/>
      <c r="BP2794" s="379"/>
      <c r="BQ2794" s="379"/>
      <c r="BR2794" s="379"/>
      <c r="BS2794" s="379"/>
      <c r="BT2794" s="379"/>
      <c r="BU2794" s="379"/>
      <c r="BV2794" s="379"/>
      <c r="BW2794" s="379"/>
      <c r="BX2794" s="379"/>
      <c r="BY2794" s="379"/>
      <c r="BZ2794" s="379"/>
      <c r="CA2794" s="281"/>
      <c r="CB2794" s="3" t="str">
        <f t="shared" si="496"/>
        <v>Riadok bude skrytý.</v>
      </c>
      <c r="CC2794" s="271" t="s">
        <v>832</v>
      </c>
      <c r="CW2794" s="30">
        <f t="shared" si="503"/>
        <v>0</v>
      </c>
      <c r="CX2794" s="30">
        <f t="shared" si="504"/>
        <v>0</v>
      </c>
      <c r="CZ2794" s="30">
        <f t="shared" si="497"/>
        <v>1</v>
      </c>
      <c r="DA2794" s="52">
        <f t="shared" si="505"/>
        <v>0</v>
      </c>
      <c r="DB2794" s="140">
        <f t="shared" si="502"/>
        <v>0</v>
      </c>
      <c r="DS2794" s="130">
        <f>SI!BY2794</f>
        <v>201</v>
      </c>
      <c r="DZ2794" s="131">
        <f>SI!BZ2794</f>
        <v>0</v>
      </c>
    </row>
    <row r="2795" spans="1:130" hidden="1" x14ac:dyDescent="0.25">
      <c r="A2795" s="141"/>
      <c r="B2795" s="379"/>
      <c r="C2795" s="379"/>
      <c r="D2795" s="379"/>
      <c r="E2795" s="379"/>
      <c r="F2795" s="379"/>
      <c r="G2795" s="379"/>
      <c r="H2795" s="379"/>
      <c r="I2795" s="379"/>
      <c r="J2795" s="379"/>
      <c r="K2795" s="379"/>
      <c r="L2795" s="379"/>
      <c r="M2795" s="379"/>
      <c r="N2795" s="379"/>
      <c r="O2795" s="379"/>
      <c r="P2795" s="379"/>
      <c r="Q2795" s="379"/>
      <c r="R2795" s="379"/>
      <c r="S2795" s="379"/>
      <c r="T2795" s="379"/>
      <c r="U2795" s="379"/>
      <c r="V2795" s="379"/>
      <c r="W2795" s="379"/>
      <c r="X2795" s="379"/>
      <c r="Y2795" s="379"/>
      <c r="Z2795" s="379"/>
      <c r="AA2795" s="379"/>
      <c r="AB2795" s="379"/>
      <c r="AC2795" s="379"/>
      <c r="AD2795" s="379"/>
      <c r="AE2795" s="379"/>
      <c r="AF2795" s="379"/>
      <c r="AG2795" s="379"/>
      <c r="AH2795" s="379"/>
      <c r="AI2795" s="379"/>
      <c r="AJ2795" s="379"/>
      <c r="AK2795" s="379"/>
      <c r="AL2795" s="379"/>
      <c r="AM2795" s="379"/>
      <c r="AN2795" s="379"/>
      <c r="AO2795" s="379"/>
      <c r="AP2795" s="379"/>
      <c r="AQ2795" s="379"/>
      <c r="AR2795" s="379"/>
      <c r="AS2795" s="379"/>
      <c r="AT2795" s="379"/>
      <c r="AU2795" s="379"/>
      <c r="AV2795" s="379"/>
      <c r="AW2795" s="379"/>
      <c r="AX2795" s="379"/>
      <c r="AY2795" s="379"/>
      <c r="AZ2795" s="379"/>
      <c r="BA2795" s="379"/>
      <c r="BB2795" s="379"/>
      <c r="BC2795" s="379"/>
      <c r="BD2795" s="379"/>
      <c r="BE2795" s="379"/>
      <c r="BF2795" s="379"/>
      <c r="BG2795" s="379"/>
      <c r="BH2795" s="379"/>
      <c r="BI2795" s="379"/>
      <c r="BJ2795" s="379"/>
      <c r="BK2795" s="379"/>
      <c r="BL2795" s="379"/>
      <c r="BM2795" s="379"/>
      <c r="BN2795" s="379"/>
      <c r="BO2795" s="379"/>
      <c r="BP2795" s="379"/>
      <c r="BQ2795" s="379"/>
      <c r="BR2795" s="379"/>
      <c r="BS2795" s="379"/>
      <c r="BT2795" s="379"/>
      <c r="BU2795" s="379"/>
      <c r="BV2795" s="379"/>
      <c r="BW2795" s="379"/>
      <c r="BX2795" s="379"/>
      <c r="BY2795" s="379"/>
      <c r="BZ2795" s="379"/>
      <c r="CA2795" s="281"/>
      <c r="CB2795" s="3" t="str">
        <f t="shared" si="496"/>
        <v>Riadok bude skrytý.</v>
      </c>
      <c r="CC2795" s="271" t="s">
        <v>832</v>
      </c>
      <c r="CW2795" s="30">
        <f t="shared" si="503"/>
        <v>0</v>
      </c>
      <c r="CX2795" s="30">
        <f t="shared" si="504"/>
        <v>0</v>
      </c>
      <c r="CZ2795" s="30">
        <f t="shared" si="497"/>
        <v>1</v>
      </c>
      <c r="DA2795" s="52">
        <f t="shared" si="505"/>
        <v>0</v>
      </c>
      <c r="DB2795" s="140">
        <f t="shared" si="502"/>
        <v>0</v>
      </c>
      <c r="DS2795" s="130">
        <f>SI!BY2795</f>
        <v>119</v>
      </c>
      <c r="DZ2795" s="131">
        <f>SI!BZ2795</f>
        <v>0</v>
      </c>
    </row>
    <row r="2796" spans="1:130" hidden="1" x14ac:dyDescent="0.25">
      <c r="A2796" s="141"/>
      <c r="B2796" s="379"/>
      <c r="C2796" s="379"/>
      <c r="D2796" s="379"/>
      <c r="E2796" s="379"/>
      <c r="F2796" s="379"/>
      <c r="G2796" s="379"/>
      <c r="H2796" s="379"/>
      <c r="I2796" s="379"/>
      <c r="J2796" s="379"/>
      <c r="K2796" s="379"/>
      <c r="L2796" s="379"/>
      <c r="M2796" s="379"/>
      <c r="N2796" s="379"/>
      <c r="O2796" s="379"/>
      <c r="P2796" s="379"/>
      <c r="Q2796" s="379"/>
      <c r="R2796" s="379"/>
      <c r="S2796" s="379"/>
      <c r="T2796" s="379"/>
      <c r="U2796" s="379"/>
      <c r="V2796" s="379"/>
      <c r="W2796" s="379"/>
      <c r="X2796" s="379"/>
      <c r="Y2796" s="379"/>
      <c r="Z2796" s="379"/>
      <c r="AA2796" s="379"/>
      <c r="AB2796" s="379"/>
      <c r="AC2796" s="379"/>
      <c r="AD2796" s="379"/>
      <c r="AE2796" s="379"/>
      <c r="AF2796" s="379"/>
      <c r="AG2796" s="379"/>
      <c r="AH2796" s="379"/>
      <c r="AI2796" s="379"/>
      <c r="AJ2796" s="379"/>
      <c r="AK2796" s="379"/>
      <c r="AL2796" s="379"/>
      <c r="AM2796" s="379"/>
      <c r="AN2796" s="379"/>
      <c r="AO2796" s="379"/>
      <c r="AP2796" s="379"/>
      <c r="AQ2796" s="379"/>
      <c r="AR2796" s="379"/>
      <c r="AS2796" s="379"/>
      <c r="AT2796" s="379"/>
      <c r="AU2796" s="379"/>
      <c r="AV2796" s="379"/>
      <c r="AW2796" s="379"/>
      <c r="AX2796" s="379"/>
      <c r="AY2796" s="379"/>
      <c r="AZ2796" s="379"/>
      <c r="BA2796" s="379"/>
      <c r="BB2796" s="379"/>
      <c r="BC2796" s="379"/>
      <c r="BD2796" s="379"/>
      <c r="BE2796" s="379"/>
      <c r="BF2796" s="379"/>
      <c r="BG2796" s="379"/>
      <c r="BH2796" s="379"/>
      <c r="BI2796" s="379"/>
      <c r="BJ2796" s="379"/>
      <c r="BK2796" s="379"/>
      <c r="BL2796" s="379"/>
      <c r="BM2796" s="379"/>
      <c r="BN2796" s="379"/>
      <c r="BO2796" s="379"/>
      <c r="BP2796" s="379"/>
      <c r="BQ2796" s="379"/>
      <c r="BR2796" s="379"/>
      <c r="BS2796" s="379"/>
      <c r="BT2796" s="379"/>
      <c r="BU2796" s="379"/>
      <c r="BV2796" s="379"/>
      <c r="BW2796" s="379"/>
      <c r="BX2796" s="379"/>
      <c r="BY2796" s="379"/>
      <c r="BZ2796" s="379"/>
      <c r="CA2796" s="281"/>
      <c r="CB2796" s="3" t="str">
        <f t="shared" si="496"/>
        <v>Riadok bude skrytý.</v>
      </c>
      <c r="CC2796" s="271" t="s">
        <v>832</v>
      </c>
      <c r="CW2796" s="30">
        <f t="shared" si="503"/>
        <v>0</v>
      </c>
      <c r="CX2796" s="30">
        <f t="shared" si="504"/>
        <v>0</v>
      </c>
      <c r="CZ2796" s="30">
        <f t="shared" si="497"/>
        <v>1</v>
      </c>
      <c r="DA2796" s="52">
        <f t="shared" si="505"/>
        <v>0</v>
      </c>
      <c r="DB2796" s="140">
        <f t="shared" si="502"/>
        <v>0</v>
      </c>
      <c r="DS2796" s="130">
        <f>SI!BY2796</f>
        <v>176</v>
      </c>
      <c r="DZ2796" s="131">
        <f>SI!BZ2796</f>
        <v>0</v>
      </c>
    </row>
    <row r="2797" spans="1:130" hidden="1" x14ac:dyDescent="0.25">
      <c r="A2797" s="141"/>
      <c r="B2797" s="379"/>
      <c r="C2797" s="379"/>
      <c r="D2797" s="379"/>
      <c r="E2797" s="379"/>
      <c r="F2797" s="379"/>
      <c r="G2797" s="379"/>
      <c r="H2797" s="379"/>
      <c r="I2797" s="379"/>
      <c r="J2797" s="379"/>
      <c r="K2797" s="379"/>
      <c r="L2797" s="379"/>
      <c r="M2797" s="379"/>
      <c r="N2797" s="379"/>
      <c r="O2797" s="379"/>
      <c r="P2797" s="379"/>
      <c r="Q2797" s="379"/>
      <c r="R2797" s="379"/>
      <c r="S2797" s="379"/>
      <c r="T2797" s="379"/>
      <c r="U2797" s="379"/>
      <c r="V2797" s="379"/>
      <c r="W2797" s="379"/>
      <c r="X2797" s="379"/>
      <c r="Y2797" s="379"/>
      <c r="Z2797" s="379"/>
      <c r="AA2797" s="379"/>
      <c r="AB2797" s="379"/>
      <c r="AC2797" s="379"/>
      <c r="AD2797" s="379"/>
      <c r="AE2797" s="379"/>
      <c r="AF2797" s="379"/>
      <c r="AG2797" s="379"/>
      <c r="AH2797" s="379"/>
      <c r="AI2797" s="379"/>
      <c r="AJ2797" s="379"/>
      <c r="AK2797" s="379"/>
      <c r="AL2797" s="379"/>
      <c r="AM2797" s="379"/>
      <c r="AN2797" s="379"/>
      <c r="AO2797" s="379"/>
      <c r="AP2797" s="379"/>
      <c r="AQ2797" s="379"/>
      <c r="AR2797" s="379"/>
      <c r="AS2797" s="379"/>
      <c r="AT2797" s="379"/>
      <c r="AU2797" s="379"/>
      <c r="AV2797" s="379"/>
      <c r="AW2797" s="379"/>
      <c r="AX2797" s="379"/>
      <c r="AY2797" s="379"/>
      <c r="AZ2797" s="379"/>
      <c r="BA2797" s="379"/>
      <c r="BB2797" s="379"/>
      <c r="BC2797" s="379"/>
      <c r="BD2797" s="379"/>
      <c r="BE2797" s="379"/>
      <c r="BF2797" s="379"/>
      <c r="BG2797" s="379"/>
      <c r="BH2797" s="379"/>
      <c r="BI2797" s="379"/>
      <c r="BJ2797" s="379"/>
      <c r="BK2797" s="379"/>
      <c r="BL2797" s="379"/>
      <c r="BM2797" s="379"/>
      <c r="BN2797" s="379"/>
      <c r="BO2797" s="379"/>
      <c r="BP2797" s="379"/>
      <c r="BQ2797" s="379"/>
      <c r="BR2797" s="379"/>
      <c r="BS2797" s="379"/>
      <c r="BT2797" s="379"/>
      <c r="BU2797" s="379"/>
      <c r="BV2797" s="379"/>
      <c r="BW2797" s="379"/>
      <c r="BX2797" s="379"/>
      <c r="BY2797" s="379"/>
      <c r="BZ2797" s="379"/>
      <c r="CA2797" s="281"/>
      <c r="CB2797" s="3" t="str">
        <f t="shared" si="496"/>
        <v>Riadok bude skrytý.</v>
      </c>
      <c r="CC2797" s="271" t="s">
        <v>832</v>
      </c>
      <c r="CW2797" s="30">
        <f t="shared" si="503"/>
        <v>0</v>
      </c>
      <c r="CX2797" s="30">
        <f t="shared" si="504"/>
        <v>0</v>
      </c>
      <c r="CZ2797" s="30">
        <f t="shared" si="497"/>
        <v>1</v>
      </c>
      <c r="DA2797" s="52">
        <f t="shared" si="505"/>
        <v>0</v>
      </c>
      <c r="DB2797" s="140">
        <f t="shared" si="502"/>
        <v>0</v>
      </c>
      <c r="DS2797" s="130">
        <f>SI!BY2797</f>
        <v>199</v>
      </c>
      <c r="DZ2797" s="131">
        <f>SI!BZ2797</f>
        <v>0</v>
      </c>
    </row>
    <row r="2798" spans="1:130" hidden="1" x14ac:dyDescent="0.25">
      <c r="A2798" s="141"/>
      <c r="B2798" s="379"/>
      <c r="C2798" s="379"/>
      <c r="D2798" s="379"/>
      <c r="E2798" s="379"/>
      <c r="F2798" s="379"/>
      <c r="G2798" s="379"/>
      <c r="H2798" s="379"/>
      <c r="I2798" s="379"/>
      <c r="J2798" s="379"/>
      <c r="K2798" s="379"/>
      <c r="L2798" s="379"/>
      <c r="M2798" s="379"/>
      <c r="N2798" s="379"/>
      <c r="O2798" s="379"/>
      <c r="P2798" s="379"/>
      <c r="Q2798" s="379"/>
      <c r="R2798" s="379"/>
      <c r="S2798" s="379"/>
      <c r="T2798" s="379"/>
      <c r="U2798" s="379"/>
      <c r="V2798" s="379"/>
      <c r="W2798" s="379"/>
      <c r="X2798" s="379"/>
      <c r="Y2798" s="379"/>
      <c r="Z2798" s="379"/>
      <c r="AA2798" s="379"/>
      <c r="AB2798" s="379"/>
      <c r="AC2798" s="379"/>
      <c r="AD2798" s="379"/>
      <c r="AE2798" s="379"/>
      <c r="AF2798" s="379"/>
      <c r="AG2798" s="379"/>
      <c r="AH2798" s="379"/>
      <c r="AI2798" s="379"/>
      <c r="AJ2798" s="379"/>
      <c r="AK2798" s="379"/>
      <c r="AL2798" s="379"/>
      <c r="AM2798" s="379"/>
      <c r="AN2798" s="379"/>
      <c r="AO2798" s="379"/>
      <c r="AP2798" s="379"/>
      <c r="AQ2798" s="379"/>
      <c r="AR2798" s="379"/>
      <c r="AS2798" s="379"/>
      <c r="AT2798" s="379"/>
      <c r="AU2798" s="379"/>
      <c r="AV2798" s="379"/>
      <c r="AW2798" s="379"/>
      <c r="AX2798" s="379"/>
      <c r="AY2798" s="379"/>
      <c r="AZ2798" s="379"/>
      <c r="BA2798" s="379"/>
      <c r="BB2798" s="379"/>
      <c r="BC2798" s="379"/>
      <c r="BD2798" s="379"/>
      <c r="BE2798" s="379"/>
      <c r="BF2798" s="379"/>
      <c r="BG2798" s="379"/>
      <c r="BH2798" s="379"/>
      <c r="BI2798" s="379"/>
      <c r="BJ2798" s="379"/>
      <c r="BK2798" s="379"/>
      <c r="BL2798" s="379"/>
      <c r="BM2798" s="379"/>
      <c r="BN2798" s="379"/>
      <c r="BO2798" s="379"/>
      <c r="BP2798" s="379"/>
      <c r="BQ2798" s="379"/>
      <c r="BR2798" s="379"/>
      <c r="BS2798" s="379"/>
      <c r="BT2798" s="379"/>
      <c r="BU2798" s="379"/>
      <c r="BV2798" s="379"/>
      <c r="BW2798" s="379"/>
      <c r="BX2798" s="379"/>
      <c r="BY2798" s="379"/>
      <c r="BZ2798" s="379"/>
      <c r="CA2798" s="281"/>
      <c r="CB2798" s="3" t="str">
        <f t="shared" si="496"/>
        <v>Riadok bude skrytý.</v>
      </c>
      <c r="CC2798" s="271" t="s">
        <v>832</v>
      </c>
      <c r="CW2798" s="30">
        <f t="shared" si="503"/>
        <v>0</v>
      </c>
      <c r="CX2798" s="30">
        <f t="shared" si="504"/>
        <v>0</v>
      </c>
      <c r="CZ2798" s="30">
        <f t="shared" si="497"/>
        <v>1</v>
      </c>
      <c r="DA2798" s="52">
        <f t="shared" si="505"/>
        <v>0</v>
      </c>
      <c r="DB2798" s="140">
        <f t="shared" si="502"/>
        <v>0</v>
      </c>
      <c r="DS2798" s="130">
        <f>SI!BY2798</f>
        <v>154</v>
      </c>
      <c r="DZ2798" s="131">
        <f>SI!BZ2798</f>
        <v>0</v>
      </c>
    </row>
    <row r="2799" spans="1:130" hidden="1" x14ac:dyDescent="0.25">
      <c r="A2799" s="141"/>
      <c r="B2799" s="379"/>
      <c r="C2799" s="379"/>
      <c r="D2799" s="379"/>
      <c r="E2799" s="379"/>
      <c r="F2799" s="379"/>
      <c r="G2799" s="379"/>
      <c r="H2799" s="379"/>
      <c r="I2799" s="379"/>
      <c r="J2799" s="379"/>
      <c r="K2799" s="379"/>
      <c r="L2799" s="379"/>
      <c r="M2799" s="379"/>
      <c r="N2799" s="379"/>
      <c r="O2799" s="379"/>
      <c r="P2799" s="379"/>
      <c r="Q2799" s="379"/>
      <c r="R2799" s="379"/>
      <c r="S2799" s="379"/>
      <c r="T2799" s="379"/>
      <c r="U2799" s="379"/>
      <c r="V2799" s="379"/>
      <c r="W2799" s="379"/>
      <c r="X2799" s="379"/>
      <c r="Y2799" s="379"/>
      <c r="Z2799" s="379"/>
      <c r="AA2799" s="379"/>
      <c r="AB2799" s="379"/>
      <c r="AC2799" s="379"/>
      <c r="AD2799" s="379"/>
      <c r="AE2799" s="379"/>
      <c r="AF2799" s="379"/>
      <c r="AG2799" s="379"/>
      <c r="AH2799" s="379"/>
      <c r="AI2799" s="379"/>
      <c r="AJ2799" s="379"/>
      <c r="AK2799" s="379"/>
      <c r="AL2799" s="379"/>
      <c r="AM2799" s="379"/>
      <c r="AN2799" s="379"/>
      <c r="AO2799" s="379"/>
      <c r="AP2799" s="379"/>
      <c r="AQ2799" s="379"/>
      <c r="AR2799" s="379"/>
      <c r="AS2799" s="379"/>
      <c r="AT2799" s="379"/>
      <c r="AU2799" s="379"/>
      <c r="AV2799" s="379"/>
      <c r="AW2799" s="379"/>
      <c r="AX2799" s="379"/>
      <c r="AY2799" s="379"/>
      <c r="AZ2799" s="379"/>
      <c r="BA2799" s="379"/>
      <c r="BB2799" s="379"/>
      <c r="BC2799" s="379"/>
      <c r="BD2799" s="379"/>
      <c r="BE2799" s="379"/>
      <c r="BF2799" s="379"/>
      <c r="BG2799" s="379"/>
      <c r="BH2799" s="379"/>
      <c r="BI2799" s="379"/>
      <c r="BJ2799" s="379"/>
      <c r="BK2799" s="379"/>
      <c r="BL2799" s="379"/>
      <c r="BM2799" s="379"/>
      <c r="BN2799" s="379"/>
      <c r="BO2799" s="379"/>
      <c r="BP2799" s="379"/>
      <c r="BQ2799" s="379"/>
      <c r="BR2799" s="379"/>
      <c r="BS2799" s="379"/>
      <c r="BT2799" s="379"/>
      <c r="BU2799" s="379"/>
      <c r="BV2799" s="379"/>
      <c r="BW2799" s="379"/>
      <c r="BX2799" s="379"/>
      <c r="BY2799" s="379"/>
      <c r="BZ2799" s="379"/>
      <c r="CA2799" s="281"/>
      <c r="CB2799" s="3" t="str">
        <f t="shared" si="496"/>
        <v>Riadok bude skrytý.</v>
      </c>
      <c r="CC2799" s="271" t="s">
        <v>832</v>
      </c>
      <c r="CW2799" s="30">
        <f t="shared" si="503"/>
        <v>0</v>
      </c>
      <c r="CX2799" s="30">
        <f t="shared" si="504"/>
        <v>0</v>
      </c>
      <c r="CZ2799" s="30">
        <f t="shared" si="497"/>
        <v>1</v>
      </c>
      <c r="DA2799" s="52">
        <f t="shared" si="505"/>
        <v>0</v>
      </c>
      <c r="DB2799" s="140">
        <f t="shared" si="502"/>
        <v>0</v>
      </c>
      <c r="DS2799" s="130">
        <f>SI!BY2799</f>
        <v>179</v>
      </c>
      <c r="DZ2799" s="131">
        <f>SI!BZ2799</f>
        <v>0</v>
      </c>
    </row>
    <row r="2800" spans="1:130" hidden="1" x14ac:dyDescent="0.25">
      <c r="A2800" s="141"/>
      <c r="B2800" s="379"/>
      <c r="C2800" s="379"/>
      <c r="D2800" s="379"/>
      <c r="E2800" s="379"/>
      <c r="F2800" s="379"/>
      <c r="G2800" s="379"/>
      <c r="H2800" s="379"/>
      <c r="I2800" s="379"/>
      <c r="J2800" s="379"/>
      <c r="K2800" s="379"/>
      <c r="L2800" s="379"/>
      <c r="M2800" s="379"/>
      <c r="N2800" s="379"/>
      <c r="O2800" s="379"/>
      <c r="P2800" s="379"/>
      <c r="Q2800" s="379"/>
      <c r="R2800" s="379"/>
      <c r="S2800" s="379"/>
      <c r="T2800" s="379"/>
      <c r="U2800" s="379"/>
      <c r="V2800" s="379"/>
      <c r="W2800" s="379"/>
      <c r="X2800" s="379"/>
      <c r="Y2800" s="379"/>
      <c r="Z2800" s="379"/>
      <c r="AA2800" s="379"/>
      <c r="AB2800" s="379"/>
      <c r="AC2800" s="379"/>
      <c r="AD2800" s="379"/>
      <c r="AE2800" s="379"/>
      <c r="AF2800" s="379"/>
      <c r="AG2800" s="379"/>
      <c r="AH2800" s="379"/>
      <c r="AI2800" s="379"/>
      <c r="AJ2800" s="379"/>
      <c r="AK2800" s="379"/>
      <c r="AL2800" s="379"/>
      <c r="AM2800" s="379"/>
      <c r="AN2800" s="379"/>
      <c r="AO2800" s="379"/>
      <c r="AP2800" s="379"/>
      <c r="AQ2800" s="379"/>
      <c r="AR2800" s="379"/>
      <c r="AS2800" s="379"/>
      <c r="AT2800" s="379"/>
      <c r="AU2800" s="379"/>
      <c r="AV2800" s="379"/>
      <c r="AW2800" s="379"/>
      <c r="AX2800" s="379"/>
      <c r="AY2800" s="379"/>
      <c r="AZ2800" s="379"/>
      <c r="BA2800" s="379"/>
      <c r="BB2800" s="379"/>
      <c r="BC2800" s="379"/>
      <c r="BD2800" s="379"/>
      <c r="BE2800" s="379"/>
      <c r="BF2800" s="379"/>
      <c r="BG2800" s="379"/>
      <c r="BH2800" s="379"/>
      <c r="BI2800" s="379"/>
      <c r="BJ2800" s="379"/>
      <c r="BK2800" s="379"/>
      <c r="BL2800" s="379"/>
      <c r="BM2800" s="379"/>
      <c r="BN2800" s="379"/>
      <c r="BO2800" s="379"/>
      <c r="BP2800" s="379"/>
      <c r="BQ2800" s="379"/>
      <c r="BR2800" s="379"/>
      <c r="BS2800" s="379"/>
      <c r="BT2800" s="379"/>
      <c r="BU2800" s="379"/>
      <c r="BV2800" s="379"/>
      <c r="BW2800" s="379"/>
      <c r="BX2800" s="379"/>
      <c r="BY2800" s="379"/>
      <c r="BZ2800" s="379"/>
      <c r="CA2800" s="281"/>
      <c r="CB2800" s="3" t="str">
        <f t="shared" si="496"/>
        <v>Riadok bude skrytý.</v>
      </c>
      <c r="CC2800" s="271" t="s">
        <v>832</v>
      </c>
      <c r="CW2800" s="30">
        <f t="shared" si="503"/>
        <v>0</v>
      </c>
      <c r="CX2800" s="30">
        <f t="shared" si="504"/>
        <v>0</v>
      </c>
      <c r="CZ2800" s="30">
        <f t="shared" si="497"/>
        <v>1</v>
      </c>
      <c r="DA2800" s="52">
        <f t="shared" si="505"/>
        <v>0</v>
      </c>
      <c r="DB2800" s="140">
        <f t="shared" si="502"/>
        <v>0</v>
      </c>
      <c r="DS2800" s="130">
        <f>SI!BY2800</f>
        <v>157</v>
      </c>
      <c r="DZ2800" s="131">
        <f>SI!BZ2800</f>
        <v>0</v>
      </c>
    </row>
    <row r="2801" spans="1:130" hidden="1" x14ac:dyDescent="0.25">
      <c r="A2801" s="141"/>
      <c r="B2801" s="379"/>
      <c r="C2801" s="379"/>
      <c r="D2801" s="379"/>
      <c r="E2801" s="379"/>
      <c r="F2801" s="379"/>
      <c r="G2801" s="379"/>
      <c r="H2801" s="379"/>
      <c r="I2801" s="379"/>
      <c r="J2801" s="379"/>
      <c r="K2801" s="379"/>
      <c r="L2801" s="379"/>
      <c r="M2801" s="379"/>
      <c r="N2801" s="379"/>
      <c r="O2801" s="379"/>
      <c r="P2801" s="379"/>
      <c r="Q2801" s="379"/>
      <c r="R2801" s="379"/>
      <c r="S2801" s="379"/>
      <c r="T2801" s="379"/>
      <c r="U2801" s="379"/>
      <c r="V2801" s="379"/>
      <c r="W2801" s="379"/>
      <c r="X2801" s="379"/>
      <c r="Y2801" s="379"/>
      <c r="Z2801" s="379"/>
      <c r="AA2801" s="379"/>
      <c r="AB2801" s="379"/>
      <c r="AC2801" s="379"/>
      <c r="AD2801" s="379"/>
      <c r="AE2801" s="379"/>
      <c r="AF2801" s="379"/>
      <c r="AG2801" s="379"/>
      <c r="AH2801" s="379"/>
      <c r="AI2801" s="379"/>
      <c r="AJ2801" s="379"/>
      <c r="AK2801" s="379"/>
      <c r="AL2801" s="379"/>
      <c r="AM2801" s="379"/>
      <c r="AN2801" s="379"/>
      <c r="AO2801" s="379"/>
      <c r="AP2801" s="379"/>
      <c r="AQ2801" s="379"/>
      <c r="AR2801" s="379"/>
      <c r="AS2801" s="379"/>
      <c r="AT2801" s="379"/>
      <c r="AU2801" s="379"/>
      <c r="AV2801" s="379"/>
      <c r="AW2801" s="379"/>
      <c r="AX2801" s="379"/>
      <c r="AY2801" s="379"/>
      <c r="AZ2801" s="379"/>
      <c r="BA2801" s="379"/>
      <c r="BB2801" s="379"/>
      <c r="BC2801" s="379"/>
      <c r="BD2801" s="379"/>
      <c r="BE2801" s="379"/>
      <c r="BF2801" s="379"/>
      <c r="BG2801" s="379"/>
      <c r="BH2801" s="379"/>
      <c r="BI2801" s="379"/>
      <c r="BJ2801" s="379"/>
      <c r="BK2801" s="379"/>
      <c r="BL2801" s="379"/>
      <c r="BM2801" s="379"/>
      <c r="BN2801" s="379"/>
      <c r="BO2801" s="379"/>
      <c r="BP2801" s="379"/>
      <c r="BQ2801" s="379"/>
      <c r="BR2801" s="379"/>
      <c r="BS2801" s="379"/>
      <c r="BT2801" s="379"/>
      <c r="BU2801" s="379"/>
      <c r="BV2801" s="379"/>
      <c r="BW2801" s="379"/>
      <c r="BX2801" s="379"/>
      <c r="BY2801" s="379"/>
      <c r="BZ2801" s="379"/>
      <c r="CA2801" s="281"/>
      <c r="CB2801" s="3" t="str">
        <f t="shared" si="496"/>
        <v>Riadok bude skrytý.</v>
      </c>
      <c r="CC2801" s="271" t="s">
        <v>832</v>
      </c>
      <c r="CW2801" s="30">
        <f t="shared" si="503"/>
        <v>0</v>
      </c>
      <c r="CX2801" s="30">
        <f t="shared" si="504"/>
        <v>0</v>
      </c>
      <c r="CZ2801" s="30">
        <f t="shared" si="497"/>
        <v>1</v>
      </c>
      <c r="DA2801" s="52">
        <f t="shared" si="505"/>
        <v>0</v>
      </c>
      <c r="DB2801" s="140">
        <f t="shared" si="502"/>
        <v>0</v>
      </c>
      <c r="DS2801" s="130">
        <f>SI!BY2801</f>
        <v>159</v>
      </c>
      <c r="DZ2801" s="131">
        <f>SI!BZ2801</f>
        <v>0</v>
      </c>
    </row>
    <row r="2802" spans="1:130" hidden="1" x14ac:dyDescent="0.25">
      <c r="A2802" s="141"/>
      <c r="B2802" s="379"/>
      <c r="C2802" s="379"/>
      <c r="D2802" s="379"/>
      <c r="E2802" s="379"/>
      <c r="F2802" s="379"/>
      <c r="G2802" s="379"/>
      <c r="H2802" s="379"/>
      <c r="I2802" s="379"/>
      <c r="J2802" s="379"/>
      <c r="K2802" s="379"/>
      <c r="L2802" s="379"/>
      <c r="M2802" s="379"/>
      <c r="N2802" s="379"/>
      <c r="O2802" s="379"/>
      <c r="P2802" s="379"/>
      <c r="Q2802" s="379"/>
      <c r="R2802" s="379"/>
      <c r="S2802" s="379"/>
      <c r="T2802" s="379"/>
      <c r="U2802" s="379"/>
      <c r="V2802" s="379"/>
      <c r="W2802" s="379"/>
      <c r="X2802" s="379"/>
      <c r="Y2802" s="379"/>
      <c r="Z2802" s="379"/>
      <c r="AA2802" s="379"/>
      <c r="AB2802" s="379"/>
      <c r="AC2802" s="379"/>
      <c r="AD2802" s="379"/>
      <c r="AE2802" s="379"/>
      <c r="AF2802" s="379"/>
      <c r="AG2802" s="379"/>
      <c r="AH2802" s="379"/>
      <c r="AI2802" s="379"/>
      <c r="AJ2802" s="379"/>
      <c r="AK2802" s="379"/>
      <c r="AL2802" s="379"/>
      <c r="AM2802" s="379"/>
      <c r="AN2802" s="379"/>
      <c r="AO2802" s="379"/>
      <c r="AP2802" s="379"/>
      <c r="AQ2802" s="379"/>
      <c r="AR2802" s="379"/>
      <c r="AS2802" s="379"/>
      <c r="AT2802" s="379"/>
      <c r="AU2802" s="379"/>
      <c r="AV2802" s="379"/>
      <c r="AW2802" s="379"/>
      <c r="AX2802" s="379"/>
      <c r="AY2802" s="379"/>
      <c r="AZ2802" s="379"/>
      <c r="BA2802" s="379"/>
      <c r="BB2802" s="379"/>
      <c r="BC2802" s="379"/>
      <c r="BD2802" s="379"/>
      <c r="BE2802" s="379"/>
      <c r="BF2802" s="379"/>
      <c r="BG2802" s="379"/>
      <c r="BH2802" s="379"/>
      <c r="BI2802" s="379"/>
      <c r="BJ2802" s="379"/>
      <c r="BK2802" s="379"/>
      <c r="BL2802" s="379"/>
      <c r="BM2802" s="379"/>
      <c r="BN2802" s="379"/>
      <c r="BO2802" s="379"/>
      <c r="BP2802" s="379"/>
      <c r="BQ2802" s="379"/>
      <c r="BR2802" s="379"/>
      <c r="BS2802" s="379"/>
      <c r="BT2802" s="379"/>
      <c r="BU2802" s="379"/>
      <c r="BV2802" s="379"/>
      <c r="BW2802" s="379"/>
      <c r="BX2802" s="379"/>
      <c r="BY2802" s="379"/>
      <c r="BZ2802" s="379"/>
      <c r="CA2802" s="281"/>
      <c r="CB2802" s="3" t="str">
        <f t="shared" si="496"/>
        <v>Riadok bude skrytý.</v>
      </c>
      <c r="CC2802" s="271" t="s">
        <v>832</v>
      </c>
      <c r="CW2802" s="30">
        <f t="shared" si="503"/>
        <v>0</v>
      </c>
      <c r="CX2802" s="30">
        <f t="shared" si="504"/>
        <v>0</v>
      </c>
      <c r="CZ2802" s="30">
        <f t="shared" si="497"/>
        <v>1</v>
      </c>
      <c r="DA2802" s="52">
        <f t="shared" si="505"/>
        <v>0</v>
      </c>
      <c r="DB2802" s="140">
        <f t="shared" si="502"/>
        <v>0</v>
      </c>
      <c r="DS2802" s="130">
        <f>SI!BY2802</f>
        <v>95</v>
      </c>
      <c r="DZ2802" s="131">
        <f>SI!BZ2802</f>
        <v>0</v>
      </c>
    </row>
    <row r="2803" spans="1:130" hidden="1" x14ac:dyDescent="0.25">
      <c r="A2803" s="141"/>
      <c r="B2803" s="379"/>
      <c r="C2803" s="379"/>
      <c r="D2803" s="379"/>
      <c r="E2803" s="379"/>
      <c r="F2803" s="379"/>
      <c r="G2803" s="379"/>
      <c r="H2803" s="379"/>
      <c r="I2803" s="379"/>
      <c r="J2803" s="379"/>
      <c r="K2803" s="379"/>
      <c r="L2803" s="379"/>
      <c r="M2803" s="379"/>
      <c r="N2803" s="379"/>
      <c r="O2803" s="379"/>
      <c r="P2803" s="379"/>
      <c r="Q2803" s="379"/>
      <c r="R2803" s="379"/>
      <c r="S2803" s="379"/>
      <c r="T2803" s="379"/>
      <c r="U2803" s="379"/>
      <c r="V2803" s="379"/>
      <c r="W2803" s="379"/>
      <c r="X2803" s="379"/>
      <c r="Y2803" s="379"/>
      <c r="Z2803" s="379"/>
      <c r="AA2803" s="379"/>
      <c r="AB2803" s="379"/>
      <c r="AC2803" s="379"/>
      <c r="AD2803" s="379"/>
      <c r="AE2803" s="379"/>
      <c r="AF2803" s="379"/>
      <c r="AG2803" s="379"/>
      <c r="AH2803" s="379"/>
      <c r="AI2803" s="379"/>
      <c r="AJ2803" s="379"/>
      <c r="AK2803" s="379"/>
      <c r="AL2803" s="379"/>
      <c r="AM2803" s="379"/>
      <c r="AN2803" s="379"/>
      <c r="AO2803" s="379"/>
      <c r="AP2803" s="379"/>
      <c r="AQ2803" s="379"/>
      <c r="AR2803" s="379"/>
      <c r="AS2803" s="379"/>
      <c r="AT2803" s="379"/>
      <c r="AU2803" s="379"/>
      <c r="AV2803" s="379"/>
      <c r="AW2803" s="379"/>
      <c r="AX2803" s="379"/>
      <c r="AY2803" s="379"/>
      <c r="AZ2803" s="379"/>
      <c r="BA2803" s="379"/>
      <c r="BB2803" s="379"/>
      <c r="BC2803" s="379"/>
      <c r="BD2803" s="379"/>
      <c r="BE2803" s="379"/>
      <c r="BF2803" s="379"/>
      <c r="BG2803" s="379"/>
      <c r="BH2803" s="379"/>
      <c r="BI2803" s="379"/>
      <c r="BJ2803" s="379"/>
      <c r="BK2803" s="379"/>
      <c r="BL2803" s="379"/>
      <c r="BM2803" s="379"/>
      <c r="BN2803" s="379"/>
      <c r="BO2803" s="379"/>
      <c r="BP2803" s="379"/>
      <c r="BQ2803" s="379"/>
      <c r="BR2803" s="379"/>
      <c r="BS2803" s="379"/>
      <c r="BT2803" s="379"/>
      <c r="BU2803" s="379"/>
      <c r="BV2803" s="379"/>
      <c r="BW2803" s="379"/>
      <c r="BX2803" s="379"/>
      <c r="BY2803" s="379"/>
      <c r="BZ2803" s="379"/>
      <c r="CA2803" s="281"/>
      <c r="CB2803" s="3" t="str">
        <f t="shared" ref="CB2803:CB2866" si="506">+IF(DB2803=0,"Riadok bude skrytý.","Riadok bude vidieť.")</f>
        <v>Riadok bude skrytý.</v>
      </c>
      <c r="CC2803" s="271" t="s">
        <v>832</v>
      </c>
      <c r="CW2803" s="30">
        <f t="shared" si="503"/>
        <v>0</v>
      </c>
      <c r="CX2803" s="30">
        <f t="shared" si="504"/>
        <v>0</v>
      </c>
      <c r="CZ2803" s="30">
        <f t="shared" ref="CZ2803:CZ2866" si="507">IF(CC2803="",1,IF(CC2803="Chcem skryť riadok.",0,1))</f>
        <v>1</v>
      </c>
      <c r="DA2803" s="52">
        <f t="shared" si="505"/>
        <v>0</v>
      </c>
      <c r="DB2803" s="140">
        <f t="shared" si="502"/>
        <v>0</v>
      </c>
      <c r="DS2803" s="130">
        <f>SI!BY2803</f>
        <v>197</v>
      </c>
      <c r="DZ2803" s="131">
        <f>SI!BZ2803</f>
        <v>0</v>
      </c>
    </row>
    <row r="2804" spans="1:130" hidden="1" x14ac:dyDescent="0.25">
      <c r="A2804" s="141"/>
      <c r="B2804" s="379"/>
      <c r="C2804" s="379"/>
      <c r="D2804" s="379"/>
      <c r="E2804" s="379"/>
      <c r="F2804" s="379"/>
      <c r="G2804" s="379"/>
      <c r="H2804" s="379"/>
      <c r="I2804" s="379"/>
      <c r="J2804" s="379"/>
      <c r="K2804" s="379"/>
      <c r="L2804" s="379"/>
      <c r="M2804" s="379"/>
      <c r="N2804" s="379"/>
      <c r="O2804" s="379"/>
      <c r="P2804" s="379"/>
      <c r="Q2804" s="379"/>
      <c r="R2804" s="379"/>
      <c r="S2804" s="379"/>
      <c r="T2804" s="379"/>
      <c r="U2804" s="379"/>
      <c r="V2804" s="379"/>
      <c r="W2804" s="379"/>
      <c r="X2804" s="379"/>
      <c r="Y2804" s="379"/>
      <c r="Z2804" s="379"/>
      <c r="AA2804" s="379"/>
      <c r="AB2804" s="379"/>
      <c r="AC2804" s="379"/>
      <c r="AD2804" s="379"/>
      <c r="AE2804" s="379"/>
      <c r="AF2804" s="379"/>
      <c r="AG2804" s="379"/>
      <c r="AH2804" s="379"/>
      <c r="AI2804" s="379"/>
      <c r="AJ2804" s="379"/>
      <c r="AK2804" s="379"/>
      <c r="AL2804" s="379"/>
      <c r="AM2804" s="379"/>
      <c r="AN2804" s="379"/>
      <c r="AO2804" s="379"/>
      <c r="AP2804" s="379"/>
      <c r="AQ2804" s="379"/>
      <c r="AR2804" s="379"/>
      <c r="AS2804" s="379"/>
      <c r="AT2804" s="379"/>
      <c r="AU2804" s="379"/>
      <c r="AV2804" s="379"/>
      <c r="AW2804" s="379"/>
      <c r="AX2804" s="379"/>
      <c r="AY2804" s="379"/>
      <c r="AZ2804" s="379"/>
      <c r="BA2804" s="379"/>
      <c r="BB2804" s="379"/>
      <c r="BC2804" s="379"/>
      <c r="BD2804" s="379"/>
      <c r="BE2804" s="379"/>
      <c r="BF2804" s="379"/>
      <c r="BG2804" s="379"/>
      <c r="BH2804" s="379"/>
      <c r="BI2804" s="379"/>
      <c r="BJ2804" s="379"/>
      <c r="BK2804" s="379"/>
      <c r="BL2804" s="379"/>
      <c r="BM2804" s="379"/>
      <c r="BN2804" s="379"/>
      <c r="BO2804" s="379"/>
      <c r="BP2804" s="379"/>
      <c r="BQ2804" s="379"/>
      <c r="BR2804" s="379"/>
      <c r="BS2804" s="379"/>
      <c r="BT2804" s="379"/>
      <c r="BU2804" s="379"/>
      <c r="BV2804" s="379"/>
      <c r="BW2804" s="379"/>
      <c r="BX2804" s="379"/>
      <c r="BY2804" s="379"/>
      <c r="BZ2804" s="379"/>
      <c r="CA2804" s="281"/>
      <c r="CB2804" s="3" t="str">
        <f t="shared" si="506"/>
        <v>Riadok bude skrytý.</v>
      </c>
      <c r="CC2804" s="271" t="s">
        <v>832</v>
      </c>
      <c r="CW2804" s="30">
        <f t="shared" si="503"/>
        <v>0</v>
      </c>
      <c r="CX2804" s="30">
        <f t="shared" si="504"/>
        <v>0</v>
      </c>
      <c r="CZ2804" s="30">
        <f t="shared" si="507"/>
        <v>1</v>
      </c>
      <c r="DA2804" s="52">
        <f t="shared" si="505"/>
        <v>0</v>
      </c>
      <c r="DB2804" s="140">
        <f t="shared" si="502"/>
        <v>0</v>
      </c>
      <c r="DS2804" s="130">
        <f>SI!BY2804</f>
        <v>203</v>
      </c>
      <c r="DZ2804" s="131">
        <f>SI!BZ2804</f>
        <v>0</v>
      </c>
    </row>
    <row r="2805" spans="1:130" hidden="1" x14ac:dyDescent="0.25">
      <c r="A2805" s="141"/>
      <c r="CA2805" s="270"/>
      <c r="CB2805" s="3" t="str">
        <f t="shared" si="506"/>
        <v>Riadok bude skrytý.</v>
      </c>
      <c r="CC2805" s="271" t="s">
        <v>832</v>
      </c>
      <c r="CW2805" s="30">
        <f t="shared" si="503"/>
        <v>0</v>
      </c>
      <c r="CZ2805" s="30">
        <f t="shared" si="507"/>
        <v>1</v>
      </c>
      <c r="DA2805" s="30">
        <f t="shared" ref="DA2805:DA2819" si="508">+IF(CW2805+CX2805+CY2805=0,0,IF(CZ2805=0,0,1))</f>
        <v>0</v>
      </c>
      <c r="DB2805" s="140">
        <f t="shared" si="502"/>
        <v>0</v>
      </c>
      <c r="DS2805" s="130">
        <f>SI!BY2805</f>
        <v>185</v>
      </c>
      <c r="DZ2805" s="131">
        <f>SI!BZ2805</f>
        <v>0</v>
      </c>
    </row>
    <row r="2806" spans="1:130" hidden="1" x14ac:dyDescent="0.25">
      <c r="A2806" s="141"/>
      <c r="B2806" s="137" t="str">
        <f>+IF($U$52&lt;&gt;"",IF((ROUNDDOWN(CODE(MID($U$52,1,1)),0)-(BIN2DEC(1010)/10))*0+(LEN(SI!J2)+LEN(SI!J5))=DS2806,"Prehľad o nákladoch na poskytnuté služby, ostatných nákladoch na hospodársku činnosť, finančných a ","NEPOVOLENÉ POUŽITIE!"),"NEPOVOLENÉ POUŽITIE!")</f>
        <v xml:space="preserve">Prehľad o nákladoch na poskytnuté služby, ostatných nákladoch na hospodársku činnosť, finančných a </v>
      </c>
      <c r="CA2806" s="265" t="s">
        <v>773</v>
      </c>
      <c r="CB2806" s="3" t="str">
        <f t="shared" si="506"/>
        <v>Riadok bude skrytý.</v>
      </c>
      <c r="CC2806" s="271" t="s">
        <v>832</v>
      </c>
      <c r="CW2806" s="30">
        <f t="shared" si="503"/>
        <v>0</v>
      </c>
      <c r="CZ2806" s="30">
        <f t="shared" si="507"/>
        <v>1</v>
      </c>
      <c r="DA2806" s="30">
        <f t="shared" si="508"/>
        <v>0</v>
      </c>
      <c r="DB2806" s="2">
        <f t="shared" ref="DB2806:DB2869" si="509">+IF($CD$1="malé",0,DA2806)</f>
        <v>0</v>
      </c>
      <c r="DS2806" s="130">
        <f>SI!BY2806</f>
        <v>28</v>
      </c>
      <c r="DZ2806" s="131">
        <f>SI!BZ2806</f>
        <v>0</v>
      </c>
    </row>
    <row r="2807" spans="1:130" hidden="1" x14ac:dyDescent="0.25">
      <c r="A2807" s="141"/>
      <c r="B2807" s="137" t="str">
        <f>+IF($I$52&lt;&gt;"",IF((ROUNDDOWN(CODE(MID($I$52,1,1))*3,0)+DAY(36167))*(IF(SI!EE2807="",1,SI!EE2807-1))+(2*LEN(SI!J3))=DS2807,"nákladoch majúcich výnimočný rozsah alebo výskyt je v tabuľke:","NEPOVOLENÉ POUŽITIE!"),"NEPOVOLENÉ POUŽITIE!")</f>
        <v>nákladoch majúcich výnimočný rozsah alebo výskyt je v tabuľke:</v>
      </c>
      <c r="CA2807" s="281"/>
      <c r="CB2807" s="3" t="str">
        <f t="shared" si="506"/>
        <v>Riadok bude skrytý.</v>
      </c>
      <c r="CC2807" s="271" t="s">
        <v>832</v>
      </c>
      <c r="CW2807" s="30">
        <f t="shared" si="503"/>
        <v>0</v>
      </c>
      <c r="CZ2807" s="30">
        <f t="shared" si="507"/>
        <v>1</v>
      </c>
      <c r="DA2807" s="30">
        <f t="shared" si="508"/>
        <v>0</v>
      </c>
      <c r="DB2807" s="2">
        <f t="shared" si="509"/>
        <v>0</v>
      </c>
      <c r="DS2807" s="130">
        <f>SI!BY2807</f>
        <v>10</v>
      </c>
      <c r="DZ2807" s="131">
        <f>SI!BZ2807</f>
        <v>0</v>
      </c>
    </row>
    <row r="2808" spans="1:130" hidden="1" x14ac:dyDescent="0.25">
      <c r="A2808" s="141"/>
      <c r="CA2808" s="281"/>
      <c r="CB2808" s="3" t="str">
        <f t="shared" si="506"/>
        <v>Riadok bude skrytý.</v>
      </c>
      <c r="CC2808" s="271" t="s">
        <v>832</v>
      </c>
      <c r="CW2808" s="30">
        <f t="shared" si="503"/>
        <v>0</v>
      </c>
      <c r="CZ2808" s="30">
        <f t="shared" si="507"/>
        <v>1</v>
      </c>
      <c r="DA2808" s="30">
        <f t="shared" si="508"/>
        <v>0</v>
      </c>
      <c r="DB2808" s="2">
        <f t="shared" si="509"/>
        <v>0</v>
      </c>
      <c r="DS2808" s="130">
        <f>SI!BY2808</f>
        <v>187</v>
      </c>
      <c r="DZ2808" s="131">
        <f>SI!BZ2808</f>
        <v>0</v>
      </c>
    </row>
    <row r="2809" spans="1:130" ht="14.95" hidden="1" customHeight="1" x14ac:dyDescent="0.25">
      <c r="A2809" s="141"/>
      <c r="B2809" s="439" t="s">
        <v>171</v>
      </c>
      <c r="C2809" s="440"/>
      <c r="D2809" s="440"/>
      <c r="E2809" s="440"/>
      <c r="F2809" s="440"/>
      <c r="G2809" s="440"/>
      <c r="H2809" s="440"/>
      <c r="I2809" s="440"/>
      <c r="J2809" s="440"/>
      <c r="K2809" s="440"/>
      <c r="L2809" s="440"/>
      <c r="M2809" s="440"/>
      <c r="N2809" s="440"/>
      <c r="O2809" s="440"/>
      <c r="P2809" s="440"/>
      <c r="Q2809" s="440"/>
      <c r="R2809" s="440"/>
      <c r="S2809" s="440"/>
      <c r="T2809" s="440"/>
      <c r="U2809" s="440"/>
      <c r="V2809" s="440"/>
      <c r="W2809" s="440"/>
      <c r="X2809" s="440"/>
      <c r="Y2809" s="440"/>
      <c r="Z2809" s="440"/>
      <c r="AA2809" s="440"/>
      <c r="AB2809" s="440"/>
      <c r="AC2809" s="440"/>
      <c r="AD2809" s="440"/>
      <c r="AE2809" s="440"/>
      <c r="AF2809" s="440"/>
      <c r="AG2809" s="440"/>
      <c r="AH2809" s="440"/>
      <c r="AI2809" s="440"/>
      <c r="AJ2809" s="440"/>
      <c r="AK2809" s="440"/>
      <c r="AL2809" s="440"/>
      <c r="AM2809" s="440"/>
      <c r="AN2809" s="440"/>
      <c r="AO2809" s="440"/>
      <c r="AP2809" s="440"/>
      <c r="AQ2809" s="440"/>
      <c r="AR2809" s="440"/>
      <c r="AS2809" s="440"/>
      <c r="AT2809" s="440"/>
      <c r="AU2809" s="440"/>
      <c r="AV2809" s="440"/>
      <c r="AW2809" s="1063">
        <f>+AJ141</f>
        <v>2021</v>
      </c>
      <c r="AX2809" s="1058"/>
      <c r="AY2809" s="1058"/>
      <c r="AZ2809" s="1058"/>
      <c r="BA2809" s="1058"/>
      <c r="BB2809" s="1058"/>
      <c r="BC2809" s="1058"/>
      <c r="BD2809" s="1058"/>
      <c r="BE2809" s="1058"/>
      <c r="BF2809" s="1058"/>
      <c r="BG2809" s="1058"/>
      <c r="BH2809" s="1058"/>
      <c r="BI2809" s="1058"/>
      <c r="BJ2809" s="1058"/>
      <c r="BK2809" s="1058"/>
      <c r="BL2809" s="2112"/>
      <c r="BM2809" s="1063">
        <f>+BE141</f>
        <v>2020</v>
      </c>
      <c r="BN2809" s="1058"/>
      <c r="BO2809" s="1058"/>
      <c r="BP2809" s="1058"/>
      <c r="BQ2809" s="1058"/>
      <c r="BR2809" s="1058"/>
      <c r="BS2809" s="1058"/>
      <c r="BT2809" s="1058"/>
      <c r="BU2809" s="1058"/>
      <c r="BV2809" s="1058"/>
      <c r="BW2809" s="1058"/>
      <c r="BX2809" s="1058"/>
      <c r="BY2809" s="1058"/>
      <c r="BZ2809" s="1059"/>
      <c r="CA2809" s="265" t="s">
        <v>773</v>
      </c>
      <c r="CB2809" s="3" t="str">
        <f t="shared" si="506"/>
        <v>Riadok bude skrytý.</v>
      </c>
      <c r="CC2809" s="271" t="s">
        <v>832</v>
      </c>
      <c r="CD2809" s="4"/>
      <c r="CW2809" s="30">
        <f t="shared" si="503"/>
        <v>0</v>
      </c>
      <c r="CZ2809" s="30">
        <f t="shared" si="507"/>
        <v>1</v>
      </c>
      <c r="DA2809" s="30">
        <f t="shared" si="508"/>
        <v>0</v>
      </c>
      <c r="DB2809" s="2">
        <f t="shared" si="509"/>
        <v>0</v>
      </c>
      <c r="DS2809" s="130">
        <f>SI!BY2809</f>
        <v>1117</v>
      </c>
      <c r="DZ2809" s="131">
        <f>SI!BZ2809</f>
        <v>0</v>
      </c>
    </row>
    <row r="2810" spans="1:130" hidden="1" x14ac:dyDescent="0.25">
      <c r="A2810" s="141"/>
      <c r="B2810" s="442"/>
      <c r="C2810" s="443"/>
      <c r="D2810" s="443"/>
      <c r="E2810" s="443"/>
      <c r="F2810" s="443"/>
      <c r="G2810" s="443"/>
      <c r="H2810" s="443"/>
      <c r="I2810" s="443"/>
      <c r="J2810" s="443"/>
      <c r="K2810" s="443"/>
      <c r="L2810" s="443"/>
      <c r="M2810" s="443"/>
      <c r="N2810" s="443"/>
      <c r="O2810" s="443"/>
      <c r="P2810" s="443"/>
      <c r="Q2810" s="443"/>
      <c r="R2810" s="443"/>
      <c r="S2810" s="443"/>
      <c r="T2810" s="443"/>
      <c r="U2810" s="443"/>
      <c r="V2810" s="443"/>
      <c r="W2810" s="443"/>
      <c r="X2810" s="443"/>
      <c r="Y2810" s="443"/>
      <c r="Z2810" s="443"/>
      <c r="AA2810" s="443"/>
      <c r="AB2810" s="443"/>
      <c r="AC2810" s="443"/>
      <c r="AD2810" s="443"/>
      <c r="AE2810" s="443"/>
      <c r="AF2810" s="443"/>
      <c r="AG2810" s="443"/>
      <c r="AH2810" s="443"/>
      <c r="AI2810" s="443"/>
      <c r="AJ2810" s="443"/>
      <c r="AK2810" s="443"/>
      <c r="AL2810" s="443"/>
      <c r="AM2810" s="443"/>
      <c r="AN2810" s="443"/>
      <c r="AO2810" s="443"/>
      <c r="AP2810" s="443"/>
      <c r="AQ2810" s="443"/>
      <c r="AR2810" s="443"/>
      <c r="AS2810" s="443"/>
      <c r="AT2810" s="443"/>
      <c r="AU2810" s="443"/>
      <c r="AV2810" s="443"/>
      <c r="AW2810" s="1064"/>
      <c r="AX2810" s="1061"/>
      <c r="AY2810" s="1061"/>
      <c r="AZ2810" s="1061"/>
      <c r="BA2810" s="1061"/>
      <c r="BB2810" s="1061"/>
      <c r="BC2810" s="1061"/>
      <c r="BD2810" s="1061"/>
      <c r="BE2810" s="1061"/>
      <c r="BF2810" s="1061"/>
      <c r="BG2810" s="1061"/>
      <c r="BH2810" s="1061"/>
      <c r="BI2810" s="1061"/>
      <c r="BJ2810" s="1061"/>
      <c r="BK2810" s="1061"/>
      <c r="BL2810" s="2113"/>
      <c r="BM2810" s="1064"/>
      <c r="BN2810" s="1061"/>
      <c r="BO2810" s="1061"/>
      <c r="BP2810" s="1061"/>
      <c r="BQ2810" s="1061"/>
      <c r="BR2810" s="1061"/>
      <c r="BS2810" s="1061"/>
      <c r="BT2810" s="1061"/>
      <c r="BU2810" s="1061"/>
      <c r="BV2810" s="1061"/>
      <c r="BW2810" s="1061"/>
      <c r="BX2810" s="1061"/>
      <c r="BY2810" s="1061"/>
      <c r="BZ2810" s="1062"/>
      <c r="CA2810" s="142"/>
      <c r="CB2810" s="3" t="str">
        <f t="shared" si="506"/>
        <v>Riadok bude skrytý.</v>
      </c>
      <c r="CC2810" s="271" t="s">
        <v>832</v>
      </c>
      <c r="CW2810" s="30">
        <f t="shared" si="503"/>
        <v>0</v>
      </c>
      <c r="CZ2810" s="30">
        <f t="shared" si="507"/>
        <v>1</v>
      </c>
      <c r="DA2810" s="30">
        <f t="shared" si="508"/>
        <v>0</v>
      </c>
      <c r="DB2810" s="2">
        <f t="shared" si="509"/>
        <v>0</v>
      </c>
      <c r="DS2810" s="130">
        <f>SI!BY2810</f>
        <v>118</v>
      </c>
      <c r="DZ2810" s="131">
        <f>SI!BZ2810</f>
        <v>0</v>
      </c>
    </row>
    <row r="2811" spans="1:130" hidden="1" x14ac:dyDescent="0.25">
      <c r="A2811" s="141"/>
      <c r="B2811" s="401" t="s">
        <v>356</v>
      </c>
      <c r="C2811" s="402"/>
      <c r="D2811" s="402"/>
      <c r="E2811" s="402"/>
      <c r="F2811" s="402"/>
      <c r="G2811" s="402"/>
      <c r="H2811" s="402"/>
      <c r="I2811" s="402"/>
      <c r="J2811" s="402"/>
      <c r="K2811" s="402"/>
      <c r="L2811" s="402"/>
      <c r="M2811" s="402"/>
      <c r="N2811" s="402"/>
      <c r="O2811" s="402"/>
      <c r="P2811" s="402"/>
      <c r="Q2811" s="402"/>
      <c r="R2811" s="402"/>
      <c r="S2811" s="402"/>
      <c r="T2811" s="402"/>
      <c r="U2811" s="402"/>
      <c r="V2811" s="402"/>
      <c r="W2811" s="402"/>
      <c r="X2811" s="402"/>
      <c r="Y2811" s="402"/>
      <c r="Z2811" s="402"/>
      <c r="AA2811" s="402"/>
      <c r="AB2811" s="402"/>
      <c r="AC2811" s="402"/>
      <c r="AD2811" s="402"/>
      <c r="AE2811" s="402"/>
      <c r="AF2811" s="402"/>
      <c r="AG2811" s="402"/>
      <c r="AH2811" s="402"/>
      <c r="AI2811" s="402"/>
      <c r="AJ2811" s="402"/>
      <c r="AK2811" s="402"/>
      <c r="AL2811" s="402"/>
      <c r="AM2811" s="402"/>
      <c r="AN2811" s="402"/>
      <c r="AO2811" s="402"/>
      <c r="AP2811" s="402"/>
      <c r="AQ2811" s="402"/>
      <c r="AR2811" s="402"/>
      <c r="AS2811" s="402"/>
      <c r="AT2811" s="402"/>
      <c r="AU2811" s="402"/>
      <c r="AV2811" s="402"/>
      <c r="AW2811" s="2114">
        <f>+AW2812+AW2818</f>
        <v>0</v>
      </c>
      <c r="AX2811" s="2115"/>
      <c r="AY2811" s="2115"/>
      <c r="AZ2811" s="2115"/>
      <c r="BA2811" s="2115"/>
      <c r="BB2811" s="2115"/>
      <c r="BC2811" s="2115"/>
      <c r="BD2811" s="2115"/>
      <c r="BE2811" s="2115"/>
      <c r="BF2811" s="2115"/>
      <c r="BG2811" s="2115"/>
      <c r="BH2811" s="2115"/>
      <c r="BI2811" s="2115"/>
      <c r="BJ2811" s="2115"/>
      <c r="BK2811" s="2115"/>
      <c r="BL2811" s="2117"/>
      <c r="BM2811" s="2114">
        <f>+BM2812+BM2818</f>
        <v>0</v>
      </c>
      <c r="BN2811" s="2115"/>
      <c r="BO2811" s="2115"/>
      <c r="BP2811" s="2115"/>
      <c r="BQ2811" s="2115"/>
      <c r="BR2811" s="2115"/>
      <c r="BS2811" s="2115"/>
      <c r="BT2811" s="2115"/>
      <c r="BU2811" s="2115"/>
      <c r="BV2811" s="2115"/>
      <c r="BW2811" s="2115"/>
      <c r="BX2811" s="2115"/>
      <c r="BY2811" s="2115"/>
      <c r="BZ2811" s="2116"/>
      <c r="CA2811" s="142"/>
      <c r="CB2811" s="3" t="str">
        <f t="shared" si="506"/>
        <v>Riadok bude skrytý.</v>
      </c>
      <c r="CC2811" s="271" t="s">
        <v>832</v>
      </c>
      <c r="CD2811" s="4"/>
      <c r="CE2811" s="4"/>
      <c r="CF2811" s="4"/>
      <c r="CG2811" s="4"/>
      <c r="CH2811" s="4"/>
      <c r="CI2811" s="4"/>
      <c r="CJ2811" s="4"/>
      <c r="CK2811" s="4"/>
      <c r="CL2811" s="4"/>
      <c r="CM2811" s="4"/>
      <c r="CN2811" s="4"/>
      <c r="CO2811" s="4"/>
      <c r="CP2811" s="4"/>
      <c r="CW2811" s="30">
        <f t="shared" si="503"/>
        <v>0</v>
      </c>
      <c r="CZ2811" s="30">
        <f t="shared" si="507"/>
        <v>1</v>
      </c>
      <c r="DA2811" s="30">
        <f t="shared" si="508"/>
        <v>0</v>
      </c>
      <c r="DB2811" s="2">
        <f t="shared" si="509"/>
        <v>0</v>
      </c>
      <c r="DS2811" s="130">
        <f>SI!BY2811</f>
        <v>302</v>
      </c>
      <c r="DZ2811" s="131">
        <f>SI!BZ2811</f>
        <v>0</v>
      </c>
    </row>
    <row r="2812" spans="1:130" hidden="1" x14ac:dyDescent="0.25">
      <c r="A2812" s="141"/>
      <c r="B2812" s="2006" t="s">
        <v>357</v>
      </c>
      <c r="C2812" s="2007"/>
      <c r="D2812" s="2007"/>
      <c r="E2812" s="2007"/>
      <c r="F2812" s="2007"/>
      <c r="G2812" s="2007"/>
      <c r="H2812" s="2007"/>
      <c r="I2812" s="2007"/>
      <c r="J2812" s="2007"/>
      <c r="K2812" s="2007"/>
      <c r="L2812" s="2007"/>
      <c r="M2812" s="2007"/>
      <c r="N2812" s="2007"/>
      <c r="O2812" s="2007"/>
      <c r="P2812" s="2007"/>
      <c r="Q2812" s="2007"/>
      <c r="R2812" s="2007"/>
      <c r="S2812" s="2007"/>
      <c r="T2812" s="2007"/>
      <c r="U2812" s="2007"/>
      <c r="V2812" s="2007"/>
      <c r="W2812" s="2007"/>
      <c r="X2812" s="2007"/>
      <c r="Y2812" s="2007"/>
      <c r="Z2812" s="2007"/>
      <c r="AA2812" s="2007"/>
      <c r="AB2812" s="2007"/>
      <c r="AC2812" s="2007"/>
      <c r="AD2812" s="2007"/>
      <c r="AE2812" s="2007"/>
      <c r="AF2812" s="2007"/>
      <c r="AG2812" s="2007"/>
      <c r="AH2812" s="2007"/>
      <c r="AI2812" s="2007"/>
      <c r="AJ2812" s="2007"/>
      <c r="AK2812" s="2007"/>
      <c r="AL2812" s="2007"/>
      <c r="AM2812" s="2007"/>
      <c r="AN2812" s="2007"/>
      <c r="AO2812" s="2007"/>
      <c r="AP2812" s="2007"/>
      <c r="AQ2812" s="2007"/>
      <c r="AR2812" s="2007"/>
      <c r="AS2812" s="2007"/>
      <c r="AT2812" s="2007"/>
      <c r="AU2812" s="2007"/>
      <c r="AV2812" s="2007"/>
      <c r="AW2812" s="2008">
        <f>+SUM(AW2813:BL2817)</f>
        <v>0</v>
      </c>
      <c r="AX2812" s="2009"/>
      <c r="AY2812" s="2009"/>
      <c r="AZ2812" s="2009"/>
      <c r="BA2812" s="2009"/>
      <c r="BB2812" s="2009"/>
      <c r="BC2812" s="2009"/>
      <c r="BD2812" s="2009"/>
      <c r="BE2812" s="2009"/>
      <c r="BF2812" s="2009"/>
      <c r="BG2812" s="2009"/>
      <c r="BH2812" s="2009"/>
      <c r="BI2812" s="2009"/>
      <c r="BJ2812" s="2009"/>
      <c r="BK2812" s="2009"/>
      <c r="BL2812" s="2118"/>
      <c r="BM2812" s="2008">
        <f>+SUM(BM2813:BZ2817)</f>
        <v>0</v>
      </c>
      <c r="BN2812" s="2009"/>
      <c r="BO2812" s="2009"/>
      <c r="BP2812" s="2009"/>
      <c r="BQ2812" s="2009"/>
      <c r="BR2812" s="2009"/>
      <c r="BS2812" s="2009"/>
      <c r="BT2812" s="2009"/>
      <c r="BU2812" s="2009"/>
      <c r="BV2812" s="2009"/>
      <c r="BW2812" s="2009"/>
      <c r="BX2812" s="2009"/>
      <c r="BY2812" s="2009"/>
      <c r="BZ2812" s="2010"/>
      <c r="CA2812" s="142"/>
      <c r="CB2812" s="3" t="str">
        <f t="shared" si="506"/>
        <v>Riadok bude skrytý.</v>
      </c>
      <c r="CC2812" s="271" t="s">
        <v>832</v>
      </c>
      <c r="CW2812" s="30">
        <f t="shared" si="503"/>
        <v>0</v>
      </c>
      <c r="CZ2812" s="30">
        <f t="shared" si="507"/>
        <v>1</v>
      </c>
      <c r="DA2812" s="30">
        <f t="shared" si="508"/>
        <v>0</v>
      </c>
      <c r="DB2812" s="2">
        <f t="shared" si="509"/>
        <v>0</v>
      </c>
      <c r="DS2812" s="130">
        <f>SI!BY2812</f>
        <v>172</v>
      </c>
      <c r="DZ2812" s="131">
        <f>SI!BZ2812</f>
        <v>0</v>
      </c>
    </row>
    <row r="2813" spans="1:130" hidden="1" x14ac:dyDescent="0.25">
      <c r="A2813" s="141"/>
      <c r="B2813" s="1994" t="s">
        <v>358</v>
      </c>
      <c r="C2813" s="1995"/>
      <c r="D2813" s="1995"/>
      <c r="E2813" s="1995"/>
      <c r="F2813" s="1995"/>
      <c r="G2813" s="1995"/>
      <c r="H2813" s="1995"/>
      <c r="I2813" s="1995"/>
      <c r="J2813" s="1995"/>
      <c r="K2813" s="1995"/>
      <c r="L2813" s="1995"/>
      <c r="M2813" s="1995"/>
      <c r="N2813" s="1995"/>
      <c r="O2813" s="1995"/>
      <c r="P2813" s="1995"/>
      <c r="Q2813" s="1995"/>
      <c r="R2813" s="1995"/>
      <c r="S2813" s="1995"/>
      <c r="T2813" s="1995"/>
      <c r="U2813" s="1995"/>
      <c r="V2813" s="1995"/>
      <c r="W2813" s="1995"/>
      <c r="X2813" s="1995"/>
      <c r="Y2813" s="1995"/>
      <c r="Z2813" s="1995"/>
      <c r="AA2813" s="1995"/>
      <c r="AB2813" s="1995"/>
      <c r="AC2813" s="1995"/>
      <c r="AD2813" s="1995"/>
      <c r="AE2813" s="1995"/>
      <c r="AF2813" s="1995"/>
      <c r="AG2813" s="1995"/>
      <c r="AH2813" s="1995"/>
      <c r="AI2813" s="1995"/>
      <c r="AJ2813" s="1995"/>
      <c r="AK2813" s="1995"/>
      <c r="AL2813" s="1995"/>
      <c r="AM2813" s="1995"/>
      <c r="AN2813" s="1995"/>
      <c r="AO2813" s="1995"/>
      <c r="AP2813" s="1995"/>
      <c r="AQ2813" s="1995"/>
      <c r="AR2813" s="1995"/>
      <c r="AS2813" s="1995"/>
      <c r="AT2813" s="1995"/>
      <c r="AU2813" s="1995"/>
      <c r="AV2813" s="1995"/>
      <c r="AW2813" s="869"/>
      <c r="AX2813" s="332"/>
      <c r="AY2813" s="332"/>
      <c r="AZ2813" s="332"/>
      <c r="BA2813" s="332"/>
      <c r="BB2813" s="332"/>
      <c r="BC2813" s="332"/>
      <c r="BD2813" s="332"/>
      <c r="BE2813" s="332"/>
      <c r="BF2813" s="332"/>
      <c r="BG2813" s="332"/>
      <c r="BH2813" s="332"/>
      <c r="BI2813" s="332"/>
      <c r="BJ2813" s="332"/>
      <c r="BK2813" s="332"/>
      <c r="BL2813" s="1085"/>
      <c r="BM2813" s="869"/>
      <c r="BN2813" s="332"/>
      <c r="BO2813" s="332"/>
      <c r="BP2813" s="332"/>
      <c r="BQ2813" s="332"/>
      <c r="BR2813" s="332"/>
      <c r="BS2813" s="332"/>
      <c r="BT2813" s="332"/>
      <c r="BU2813" s="332"/>
      <c r="BV2813" s="332"/>
      <c r="BW2813" s="332"/>
      <c r="BX2813" s="332"/>
      <c r="BY2813" s="332"/>
      <c r="BZ2813" s="1096"/>
      <c r="CA2813" s="142"/>
      <c r="CB2813" s="3" t="str">
        <f t="shared" si="506"/>
        <v>Riadok bude skrytý.</v>
      </c>
      <c r="CC2813" s="271" t="s">
        <v>832</v>
      </c>
      <c r="CW2813" s="30">
        <f t="shared" si="503"/>
        <v>0</v>
      </c>
      <c r="CZ2813" s="30">
        <f t="shared" si="507"/>
        <v>1</v>
      </c>
      <c r="DA2813" s="30">
        <f t="shared" si="508"/>
        <v>0</v>
      </c>
      <c r="DB2813" s="2">
        <f t="shared" si="509"/>
        <v>0</v>
      </c>
      <c r="DS2813" s="130">
        <f>SI!BY2813</f>
        <v>777</v>
      </c>
      <c r="DZ2813" s="131">
        <f>SI!BZ2813</f>
        <v>0</v>
      </c>
    </row>
    <row r="2814" spans="1:130" hidden="1" x14ac:dyDescent="0.25">
      <c r="A2814" s="141"/>
      <c r="B2814" s="1994" t="s">
        <v>359</v>
      </c>
      <c r="C2814" s="1995"/>
      <c r="D2814" s="1995"/>
      <c r="E2814" s="1995"/>
      <c r="F2814" s="1995"/>
      <c r="G2814" s="1995"/>
      <c r="H2814" s="1995"/>
      <c r="I2814" s="1995"/>
      <c r="J2814" s="1995"/>
      <c r="K2814" s="1995"/>
      <c r="L2814" s="1995"/>
      <c r="M2814" s="1995"/>
      <c r="N2814" s="1995"/>
      <c r="O2814" s="1995"/>
      <c r="P2814" s="1995"/>
      <c r="Q2814" s="1995"/>
      <c r="R2814" s="1995"/>
      <c r="S2814" s="1995"/>
      <c r="T2814" s="1995"/>
      <c r="U2814" s="1995"/>
      <c r="V2814" s="1995"/>
      <c r="W2814" s="1995"/>
      <c r="X2814" s="1995"/>
      <c r="Y2814" s="1995"/>
      <c r="Z2814" s="1995"/>
      <c r="AA2814" s="1995"/>
      <c r="AB2814" s="1995"/>
      <c r="AC2814" s="1995"/>
      <c r="AD2814" s="1995"/>
      <c r="AE2814" s="1995"/>
      <c r="AF2814" s="1995"/>
      <c r="AG2814" s="1995"/>
      <c r="AH2814" s="1995"/>
      <c r="AI2814" s="1995"/>
      <c r="AJ2814" s="1995"/>
      <c r="AK2814" s="1995"/>
      <c r="AL2814" s="1995"/>
      <c r="AM2814" s="1995"/>
      <c r="AN2814" s="1995"/>
      <c r="AO2814" s="1995"/>
      <c r="AP2814" s="1995"/>
      <c r="AQ2814" s="1995"/>
      <c r="AR2814" s="1995"/>
      <c r="AS2814" s="1995"/>
      <c r="AT2814" s="1995"/>
      <c r="AU2814" s="1995"/>
      <c r="AV2814" s="1995"/>
      <c r="AW2814" s="869"/>
      <c r="AX2814" s="332"/>
      <c r="AY2814" s="332"/>
      <c r="AZ2814" s="332"/>
      <c r="BA2814" s="332"/>
      <c r="BB2814" s="332"/>
      <c r="BC2814" s="332"/>
      <c r="BD2814" s="332"/>
      <c r="BE2814" s="332"/>
      <c r="BF2814" s="332"/>
      <c r="BG2814" s="332"/>
      <c r="BH2814" s="332"/>
      <c r="BI2814" s="332"/>
      <c r="BJ2814" s="332"/>
      <c r="BK2814" s="332"/>
      <c r="BL2814" s="1085"/>
      <c r="BM2814" s="869"/>
      <c r="BN2814" s="332"/>
      <c r="BO2814" s="332"/>
      <c r="BP2814" s="332"/>
      <c r="BQ2814" s="332"/>
      <c r="BR2814" s="332"/>
      <c r="BS2814" s="332"/>
      <c r="BT2814" s="332"/>
      <c r="BU2814" s="332"/>
      <c r="BV2814" s="332"/>
      <c r="BW2814" s="332"/>
      <c r="BX2814" s="332"/>
      <c r="BY2814" s="332"/>
      <c r="BZ2814" s="1096"/>
      <c r="CA2814" s="142"/>
      <c r="CB2814" s="3" t="str">
        <f t="shared" si="506"/>
        <v>Riadok bude skrytý.</v>
      </c>
      <c r="CC2814" s="271" t="s">
        <v>832</v>
      </c>
      <c r="CW2814" s="30">
        <f t="shared" si="503"/>
        <v>0</v>
      </c>
      <c r="CZ2814" s="30">
        <f t="shared" si="507"/>
        <v>1</v>
      </c>
      <c r="DA2814" s="30">
        <f t="shared" si="508"/>
        <v>0</v>
      </c>
      <c r="DB2814" s="2">
        <f t="shared" si="509"/>
        <v>0</v>
      </c>
      <c r="DS2814" s="130">
        <f>SI!BY2814</f>
        <v>169</v>
      </c>
      <c r="DZ2814" s="131">
        <f>SI!BZ2814</f>
        <v>0</v>
      </c>
    </row>
    <row r="2815" spans="1:130" hidden="1" x14ac:dyDescent="0.25">
      <c r="A2815" s="141"/>
      <c r="B2815" s="1994" t="s">
        <v>360</v>
      </c>
      <c r="C2815" s="1995"/>
      <c r="D2815" s="1995"/>
      <c r="E2815" s="1995"/>
      <c r="F2815" s="1995"/>
      <c r="G2815" s="1995"/>
      <c r="H2815" s="1995"/>
      <c r="I2815" s="1995"/>
      <c r="J2815" s="1995"/>
      <c r="K2815" s="1995"/>
      <c r="L2815" s="1995"/>
      <c r="M2815" s="1995"/>
      <c r="N2815" s="1995"/>
      <c r="O2815" s="1995"/>
      <c r="P2815" s="1995"/>
      <c r="Q2815" s="1995"/>
      <c r="R2815" s="1995"/>
      <c r="S2815" s="1995"/>
      <c r="T2815" s="1995"/>
      <c r="U2815" s="1995"/>
      <c r="V2815" s="1995"/>
      <c r="W2815" s="1995"/>
      <c r="X2815" s="1995"/>
      <c r="Y2815" s="1995"/>
      <c r="Z2815" s="1995"/>
      <c r="AA2815" s="1995"/>
      <c r="AB2815" s="1995"/>
      <c r="AC2815" s="1995"/>
      <c r="AD2815" s="1995"/>
      <c r="AE2815" s="1995"/>
      <c r="AF2815" s="1995"/>
      <c r="AG2815" s="1995"/>
      <c r="AH2815" s="1995"/>
      <c r="AI2815" s="1995"/>
      <c r="AJ2815" s="1995"/>
      <c r="AK2815" s="1995"/>
      <c r="AL2815" s="1995"/>
      <c r="AM2815" s="1995"/>
      <c r="AN2815" s="1995"/>
      <c r="AO2815" s="1995"/>
      <c r="AP2815" s="1995"/>
      <c r="AQ2815" s="1995"/>
      <c r="AR2815" s="1995"/>
      <c r="AS2815" s="1995"/>
      <c r="AT2815" s="1995"/>
      <c r="AU2815" s="1995"/>
      <c r="AV2815" s="1995"/>
      <c r="AW2815" s="869"/>
      <c r="AX2815" s="332"/>
      <c r="AY2815" s="332"/>
      <c r="AZ2815" s="332"/>
      <c r="BA2815" s="332"/>
      <c r="BB2815" s="332"/>
      <c r="BC2815" s="332"/>
      <c r="BD2815" s="332"/>
      <c r="BE2815" s="332"/>
      <c r="BF2815" s="332"/>
      <c r="BG2815" s="332"/>
      <c r="BH2815" s="332"/>
      <c r="BI2815" s="332"/>
      <c r="BJ2815" s="332"/>
      <c r="BK2815" s="332"/>
      <c r="BL2815" s="1085"/>
      <c r="BM2815" s="869"/>
      <c r="BN2815" s="332"/>
      <c r="BO2815" s="332"/>
      <c r="BP2815" s="332"/>
      <c r="BQ2815" s="332"/>
      <c r="BR2815" s="332"/>
      <c r="BS2815" s="332"/>
      <c r="BT2815" s="332"/>
      <c r="BU2815" s="332"/>
      <c r="BV2815" s="332"/>
      <c r="BW2815" s="332"/>
      <c r="BX2815" s="332"/>
      <c r="BY2815" s="332"/>
      <c r="BZ2815" s="1096"/>
      <c r="CA2815" s="142"/>
      <c r="CB2815" s="3" t="str">
        <f t="shared" si="506"/>
        <v>Riadok bude skrytý.</v>
      </c>
      <c r="CC2815" s="271" t="s">
        <v>832</v>
      </c>
      <c r="CW2815" s="30">
        <f t="shared" si="503"/>
        <v>0</v>
      </c>
      <c r="CZ2815" s="30">
        <f t="shared" si="507"/>
        <v>1</v>
      </c>
      <c r="DA2815" s="30">
        <f t="shared" si="508"/>
        <v>0</v>
      </c>
      <c r="DB2815" s="2">
        <f t="shared" si="509"/>
        <v>0</v>
      </c>
      <c r="DS2815" s="130">
        <f>SI!BY2815</f>
        <v>371</v>
      </c>
      <c r="DZ2815" s="131">
        <f>SI!BZ2815</f>
        <v>0</v>
      </c>
    </row>
    <row r="2816" spans="1:130" hidden="1" x14ac:dyDescent="0.25">
      <c r="A2816" s="141"/>
      <c r="B2816" s="1994" t="s">
        <v>361</v>
      </c>
      <c r="C2816" s="1995"/>
      <c r="D2816" s="1995"/>
      <c r="E2816" s="1995"/>
      <c r="F2816" s="1995"/>
      <c r="G2816" s="1995"/>
      <c r="H2816" s="1995"/>
      <c r="I2816" s="1995"/>
      <c r="J2816" s="1995"/>
      <c r="K2816" s="1995"/>
      <c r="L2816" s="1995"/>
      <c r="M2816" s="1995"/>
      <c r="N2816" s="1995"/>
      <c r="O2816" s="1995"/>
      <c r="P2816" s="1995"/>
      <c r="Q2816" s="1995"/>
      <c r="R2816" s="1995"/>
      <c r="S2816" s="1995"/>
      <c r="T2816" s="1995"/>
      <c r="U2816" s="1995"/>
      <c r="V2816" s="1995"/>
      <c r="W2816" s="1995"/>
      <c r="X2816" s="1995"/>
      <c r="Y2816" s="1995"/>
      <c r="Z2816" s="1995"/>
      <c r="AA2816" s="1995"/>
      <c r="AB2816" s="1995"/>
      <c r="AC2816" s="1995"/>
      <c r="AD2816" s="1995"/>
      <c r="AE2816" s="1995"/>
      <c r="AF2816" s="1995"/>
      <c r="AG2816" s="1995"/>
      <c r="AH2816" s="1995"/>
      <c r="AI2816" s="1995"/>
      <c r="AJ2816" s="1995"/>
      <c r="AK2816" s="1995"/>
      <c r="AL2816" s="1995"/>
      <c r="AM2816" s="1995"/>
      <c r="AN2816" s="1995"/>
      <c r="AO2816" s="1995"/>
      <c r="AP2816" s="1995"/>
      <c r="AQ2816" s="1995"/>
      <c r="AR2816" s="1995"/>
      <c r="AS2816" s="1995"/>
      <c r="AT2816" s="1995"/>
      <c r="AU2816" s="1995"/>
      <c r="AV2816" s="1995"/>
      <c r="AW2816" s="869"/>
      <c r="AX2816" s="332"/>
      <c r="AY2816" s="332"/>
      <c r="AZ2816" s="332"/>
      <c r="BA2816" s="332"/>
      <c r="BB2816" s="332"/>
      <c r="BC2816" s="332"/>
      <c r="BD2816" s="332"/>
      <c r="BE2816" s="332"/>
      <c r="BF2816" s="332"/>
      <c r="BG2816" s="332"/>
      <c r="BH2816" s="332"/>
      <c r="BI2816" s="332"/>
      <c r="BJ2816" s="332"/>
      <c r="BK2816" s="332"/>
      <c r="BL2816" s="1085"/>
      <c r="BM2816" s="869"/>
      <c r="BN2816" s="332"/>
      <c r="BO2816" s="332"/>
      <c r="BP2816" s="332"/>
      <c r="BQ2816" s="332"/>
      <c r="BR2816" s="332"/>
      <c r="BS2816" s="332"/>
      <c r="BT2816" s="332"/>
      <c r="BU2816" s="332"/>
      <c r="BV2816" s="332"/>
      <c r="BW2816" s="332"/>
      <c r="BX2816" s="332"/>
      <c r="BY2816" s="332"/>
      <c r="BZ2816" s="1096"/>
      <c r="CA2816" s="142"/>
      <c r="CB2816" s="3" t="str">
        <f t="shared" si="506"/>
        <v>Riadok bude skrytý.</v>
      </c>
      <c r="CC2816" s="271" t="s">
        <v>832</v>
      </c>
      <c r="CW2816" s="30">
        <f t="shared" si="503"/>
        <v>0</v>
      </c>
      <c r="CZ2816" s="30">
        <f t="shared" si="507"/>
        <v>1</v>
      </c>
      <c r="DA2816" s="30">
        <f t="shared" si="508"/>
        <v>0</v>
      </c>
      <c r="DB2816" s="2">
        <f t="shared" si="509"/>
        <v>0</v>
      </c>
      <c r="DS2816" s="130">
        <f>SI!BY2816</f>
        <v>202</v>
      </c>
      <c r="DZ2816" s="131">
        <f>SI!BZ2816</f>
        <v>0</v>
      </c>
    </row>
    <row r="2817" spans="1:130" hidden="1" x14ac:dyDescent="0.25">
      <c r="A2817" s="141"/>
      <c r="B2817" s="2004" t="s">
        <v>362</v>
      </c>
      <c r="C2817" s="2005"/>
      <c r="D2817" s="2005"/>
      <c r="E2817" s="2005"/>
      <c r="F2817" s="2005"/>
      <c r="G2817" s="2005"/>
      <c r="H2817" s="2005"/>
      <c r="I2817" s="2005"/>
      <c r="J2817" s="2005"/>
      <c r="K2817" s="2005"/>
      <c r="L2817" s="2005"/>
      <c r="M2817" s="2005"/>
      <c r="N2817" s="2005"/>
      <c r="O2817" s="2005"/>
      <c r="P2817" s="2005"/>
      <c r="Q2817" s="2005"/>
      <c r="R2817" s="2005"/>
      <c r="S2817" s="2005"/>
      <c r="T2817" s="2005"/>
      <c r="U2817" s="2005"/>
      <c r="V2817" s="2005"/>
      <c r="W2817" s="2005"/>
      <c r="X2817" s="2005"/>
      <c r="Y2817" s="2005"/>
      <c r="Z2817" s="2005"/>
      <c r="AA2817" s="2005"/>
      <c r="AB2817" s="2005"/>
      <c r="AC2817" s="2005"/>
      <c r="AD2817" s="2005"/>
      <c r="AE2817" s="2005"/>
      <c r="AF2817" s="2005"/>
      <c r="AG2817" s="2005"/>
      <c r="AH2817" s="2005"/>
      <c r="AI2817" s="2005"/>
      <c r="AJ2817" s="2005"/>
      <c r="AK2817" s="2005"/>
      <c r="AL2817" s="2005"/>
      <c r="AM2817" s="2005"/>
      <c r="AN2817" s="2005"/>
      <c r="AO2817" s="2005"/>
      <c r="AP2817" s="2005"/>
      <c r="AQ2817" s="2005"/>
      <c r="AR2817" s="2005"/>
      <c r="AS2817" s="2005"/>
      <c r="AT2817" s="2005"/>
      <c r="AU2817" s="2005"/>
      <c r="AV2817" s="2005"/>
      <c r="AW2817" s="1080"/>
      <c r="AX2817" s="1081"/>
      <c r="AY2817" s="1081"/>
      <c r="AZ2817" s="1081"/>
      <c r="BA2817" s="1081"/>
      <c r="BB2817" s="1081"/>
      <c r="BC2817" s="1081"/>
      <c r="BD2817" s="1081"/>
      <c r="BE2817" s="1081"/>
      <c r="BF2817" s="1081"/>
      <c r="BG2817" s="1081"/>
      <c r="BH2817" s="1081"/>
      <c r="BI2817" s="1081"/>
      <c r="BJ2817" s="1081"/>
      <c r="BK2817" s="1081"/>
      <c r="BL2817" s="1137"/>
      <c r="BM2817" s="1080"/>
      <c r="BN2817" s="1081"/>
      <c r="BO2817" s="1081"/>
      <c r="BP2817" s="1081"/>
      <c r="BQ2817" s="1081"/>
      <c r="BR2817" s="1081"/>
      <c r="BS2817" s="1081"/>
      <c r="BT2817" s="1081"/>
      <c r="BU2817" s="1081"/>
      <c r="BV2817" s="1081"/>
      <c r="BW2817" s="1081"/>
      <c r="BX2817" s="1081"/>
      <c r="BY2817" s="1081"/>
      <c r="BZ2817" s="1082"/>
      <c r="CA2817" s="142"/>
      <c r="CB2817" s="3" t="str">
        <f t="shared" si="506"/>
        <v>Riadok bude skrytý.</v>
      </c>
      <c r="CC2817" s="271" t="s">
        <v>832</v>
      </c>
      <c r="CW2817" s="30">
        <f t="shared" ref="CW2817:CW2848" si="510">+IF($J$2782="neúčtovala",0,1)</f>
        <v>0</v>
      </c>
      <c r="CZ2817" s="30">
        <f t="shared" si="507"/>
        <v>1</v>
      </c>
      <c r="DA2817" s="30">
        <f t="shared" si="508"/>
        <v>0</v>
      </c>
      <c r="DB2817" s="2">
        <f t="shared" si="509"/>
        <v>0</v>
      </c>
      <c r="DS2817" s="130">
        <f>SI!BY2817</f>
        <v>1144</v>
      </c>
      <c r="DZ2817" s="131">
        <f>SI!BZ2817</f>
        <v>0</v>
      </c>
    </row>
    <row r="2818" spans="1:130" hidden="1" x14ac:dyDescent="0.25">
      <c r="A2818" s="141"/>
      <c r="B2818" s="2000" t="s">
        <v>363</v>
      </c>
      <c r="C2818" s="2001"/>
      <c r="D2818" s="2001"/>
      <c r="E2818" s="2001"/>
      <c r="F2818" s="2001"/>
      <c r="G2818" s="2001"/>
      <c r="H2818" s="2001"/>
      <c r="I2818" s="2001"/>
      <c r="J2818" s="2001"/>
      <c r="K2818" s="2001"/>
      <c r="L2818" s="2001"/>
      <c r="M2818" s="2001"/>
      <c r="N2818" s="2001"/>
      <c r="O2818" s="2001"/>
      <c r="P2818" s="2001"/>
      <c r="Q2818" s="2001"/>
      <c r="R2818" s="2001"/>
      <c r="S2818" s="2001"/>
      <c r="T2818" s="2001"/>
      <c r="U2818" s="2001"/>
      <c r="V2818" s="2001"/>
      <c r="W2818" s="2001"/>
      <c r="X2818" s="2001"/>
      <c r="Y2818" s="2001"/>
      <c r="Z2818" s="2001"/>
      <c r="AA2818" s="2001"/>
      <c r="AB2818" s="2001"/>
      <c r="AC2818" s="2001"/>
      <c r="AD2818" s="2001"/>
      <c r="AE2818" s="2001"/>
      <c r="AF2818" s="2001"/>
      <c r="AG2818" s="2001"/>
      <c r="AH2818" s="2001"/>
      <c r="AI2818" s="2001"/>
      <c r="AJ2818" s="2001"/>
      <c r="AK2818" s="2001"/>
      <c r="AL2818" s="2001"/>
      <c r="AM2818" s="2001"/>
      <c r="AN2818" s="2001"/>
      <c r="AO2818" s="2001"/>
      <c r="AP2818" s="2001"/>
      <c r="AQ2818" s="2001"/>
      <c r="AR2818" s="2001"/>
      <c r="AS2818" s="2001"/>
      <c r="AT2818" s="2001"/>
      <c r="AU2818" s="2001"/>
      <c r="AV2818" s="2001"/>
      <c r="AW2818" s="1077">
        <f>+SUM(AW2819:BL2828)</f>
        <v>0</v>
      </c>
      <c r="AX2818" s="1078"/>
      <c r="AY2818" s="1078"/>
      <c r="AZ2818" s="1078"/>
      <c r="BA2818" s="1078"/>
      <c r="BB2818" s="1078"/>
      <c r="BC2818" s="1078"/>
      <c r="BD2818" s="1078"/>
      <c r="BE2818" s="1078"/>
      <c r="BF2818" s="1078"/>
      <c r="BG2818" s="1078"/>
      <c r="BH2818" s="1078"/>
      <c r="BI2818" s="1078"/>
      <c r="BJ2818" s="1078"/>
      <c r="BK2818" s="1078"/>
      <c r="BL2818" s="1139"/>
      <c r="BM2818" s="1077">
        <f>+SUM(BM2819:BZ2828)</f>
        <v>0</v>
      </c>
      <c r="BN2818" s="1078"/>
      <c r="BO2818" s="1078"/>
      <c r="BP2818" s="1078"/>
      <c r="BQ2818" s="1078"/>
      <c r="BR2818" s="1078"/>
      <c r="BS2818" s="1078"/>
      <c r="BT2818" s="1078"/>
      <c r="BU2818" s="1078"/>
      <c r="BV2818" s="1078"/>
      <c r="BW2818" s="1078"/>
      <c r="BX2818" s="1078"/>
      <c r="BY2818" s="1078"/>
      <c r="BZ2818" s="1079"/>
      <c r="CA2818" s="142"/>
      <c r="CB2818" s="3" t="str">
        <f t="shared" si="506"/>
        <v>Riadok bude skrytý.</v>
      </c>
      <c r="CC2818" s="271" t="s">
        <v>832</v>
      </c>
      <c r="CD2818" s="4"/>
      <c r="CE2818" s="4"/>
      <c r="CF2818" s="4"/>
      <c r="CG2818" s="4"/>
      <c r="CH2818" s="4"/>
      <c r="CI2818" s="4"/>
      <c r="CJ2818" s="4"/>
      <c r="CK2818" s="4"/>
      <c r="CL2818" s="4"/>
      <c r="CM2818" s="4"/>
      <c r="CN2818" s="4"/>
      <c r="CO2818" s="4"/>
      <c r="CP2818" s="4"/>
      <c r="CW2818" s="30">
        <f t="shared" si="510"/>
        <v>0</v>
      </c>
      <c r="CX2818" s="35"/>
      <c r="CZ2818" s="30">
        <f t="shared" si="507"/>
        <v>1</v>
      </c>
      <c r="DA2818" s="30">
        <f t="shared" si="508"/>
        <v>0</v>
      </c>
      <c r="DB2818" s="2">
        <f t="shared" si="509"/>
        <v>0</v>
      </c>
      <c r="DS2818" s="130">
        <f>SI!BY2818</f>
        <v>174</v>
      </c>
      <c r="DZ2818" s="131">
        <f>SI!BZ2818</f>
        <v>0</v>
      </c>
    </row>
    <row r="2819" spans="1:130" hidden="1" x14ac:dyDescent="0.25">
      <c r="A2819" s="141"/>
      <c r="B2819" s="1083"/>
      <c r="C2819" s="1084"/>
      <c r="D2819" s="1084"/>
      <c r="E2819" s="1084"/>
      <c r="F2819" s="1084"/>
      <c r="G2819" s="1084"/>
      <c r="H2819" s="1084"/>
      <c r="I2819" s="1084"/>
      <c r="J2819" s="1084"/>
      <c r="K2819" s="1084"/>
      <c r="L2819" s="1084"/>
      <c r="M2819" s="1084"/>
      <c r="N2819" s="1084"/>
      <c r="O2819" s="1084"/>
      <c r="P2819" s="1084"/>
      <c r="Q2819" s="1084"/>
      <c r="R2819" s="1084"/>
      <c r="S2819" s="1084"/>
      <c r="T2819" s="1084"/>
      <c r="U2819" s="1084"/>
      <c r="V2819" s="1084"/>
      <c r="W2819" s="1084"/>
      <c r="X2819" s="1084"/>
      <c r="Y2819" s="1084"/>
      <c r="Z2819" s="1084"/>
      <c r="AA2819" s="1084"/>
      <c r="AB2819" s="1084"/>
      <c r="AC2819" s="1084"/>
      <c r="AD2819" s="1084"/>
      <c r="AE2819" s="1084"/>
      <c r="AF2819" s="1084"/>
      <c r="AG2819" s="1084"/>
      <c r="AH2819" s="1084"/>
      <c r="AI2819" s="1084"/>
      <c r="AJ2819" s="1084"/>
      <c r="AK2819" s="1084"/>
      <c r="AL2819" s="1084"/>
      <c r="AM2819" s="1084"/>
      <c r="AN2819" s="1084"/>
      <c r="AO2819" s="1084"/>
      <c r="AP2819" s="1084"/>
      <c r="AQ2819" s="1084"/>
      <c r="AR2819" s="1084"/>
      <c r="AS2819" s="1084"/>
      <c r="AT2819" s="1084"/>
      <c r="AU2819" s="1084"/>
      <c r="AV2819" s="1084"/>
      <c r="AW2819" s="1002"/>
      <c r="AX2819" s="1003"/>
      <c r="AY2819" s="1003"/>
      <c r="AZ2819" s="1003"/>
      <c r="BA2819" s="1003"/>
      <c r="BB2819" s="1003"/>
      <c r="BC2819" s="1003"/>
      <c r="BD2819" s="1003"/>
      <c r="BE2819" s="1003"/>
      <c r="BF2819" s="1003"/>
      <c r="BG2819" s="1003"/>
      <c r="BH2819" s="1003"/>
      <c r="BI2819" s="1003"/>
      <c r="BJ2819" s="1003"/>
      <c r="BK2819" s="1003"/>
      <c r="BL2819" s="1573"/>
      <c r="BM2819" s="1002"/>
      <c r="BN2819" s="1003"/>
      <c r="BO2819" s="1003"/>
      <c r="BP2819" s="1003"/>
      <c r="BQ2819" s="1003"/>
      <c r="BR2819" s="1003"/>
      <c r="BS2819" s="1003"/>
      <c r="BT2819" s="1003"/>
      <c r="BU2819" s="1003"/>
      <c r="BV2819" s="1003"/>
      <c r="BW2819" s="1003"/>
      <c r="BX2819" s="1003"/>
      <c r="BY2819" s="1003"/>
      <c r="BZ2819" s="1138"/>
      <c r="CA2819" s="142"/>
      <c r="CB2819" s="3" t="str">
        <f t="shared" si="506"/>
        <v>Riadok bude skrytý.</v>
      </c>
      <c r="CC2819" s="271" t="s">
        <v>832</v>
      </c>
      <c r="CD2819" s="33"/>
      <c r="CW2819" s="30">
        <f t="shared" si="510"/>
        <v>0</v>
      </c>
      <c r="CZ2819" s="30">
        <f t="shared" si="507"/>
        <v>1</v>
      </c>
      <c r="DA2819" s="30">
        <f t="shared" si="508"/>
        <v>0</v>
      </c>
      <c r="DB2819" s="2">
        <f t="shared" si="509"/>
        <v>0</v>
      </c>
      <c r="DS2819" s="130">
        <f>SI!BY2819</f>
        <v>166</v>
      </c>
      <c r="DZ2819" s="131">
        <f>SI!BZ2819</f>
        <v>0</v>
      </c>
    </row>
    <row r="2820" spans="1:130" hidden="1" x14ac:dyDescent="0.25">
      <c r="A2820" s="141"/>
      <c r="B2820" s="1083"/>
      <c r="C2820" s="1084"/>
      <c r="D2820" s="1084"/>
      <c r="E2820" s="1084"/>
      <c r="F2820" s="1084"/>
      <c r="G2820" s="1084"/>
      <c r="H2820" s="1084"/>
      <c r="I2820" s="1084"/>
      <c r="J2820" s="1084"/>
      <c r="K2820" s="1084"/>
      <c r="L2820" s="1084"/>
      <c r="M2820" s="1084"/>
      <c r="N2820" s="1084"/>
      <c r="O2820" s="1084"/>
      <c r="P2820" s="1084"/>
      <c r="Q2820" s="1084"/>
      <c r="R2820" s="1084"/>
      <c r="S2820" s="1084"/>
      <c r="T2820" s="1084"/>
      <c r="U2820" s="1084"/>
      <c r="V2820" s="1084"/>
      <c r="W2820" s="1084"/>
      <c r="X2820" s="1084"/>
      <c r="Y2820" s="1084"/>
      <c r="Z2820" s="1084"/>
      <c r="AA2820" s="1084"/>
      <c r="AB2820" s="1084"/>
      <c r="AC2820" s="1084"/>
      <c r="AD2820" s="1084"/>
      <c r="AE2820" s="1084"/>
      <c r="AF2820" s="1084"/>
      <c r="AG2820" s="1084"/>
      <c r="AH2820" s="1084"/>
      <c r="AI2820" s="1084"/>
      <c r="AJ2820" s="1084"/>
      <c r="AK2820" s="1084"/>
      <c r="AL2820" s="1084"/>
      <c r="AM2820" s="1084"/>
      <c r="AN2820" s="1084"/>
      <c r="AO2820" s="1084"/>
      <c r="AP2820" s="1084"/>
      <c r="AQ2820" s="1084"/>
      <c r="AR2820" s="1084"/>
      <c r="AS2820" s="1084"/>
      <c r="AT2820" s="1084"/>
      <c r="AU2820" s="1084"/>
      <c r="AV2820" s="1084"/>
      <c r="AW2820" s="869"/>
      <c r="AX2820" s="332"/>
      <c r="AY2820" s="332"/>
      <c r="AZ2820" s="332"/>
      <c r="BA2820" s="332"/>
      <c r="BB2820" s="332"/>
      <c r="BC2820" s="332"/>
      <c r="BD2820" s="332"/>
      <c r="BE2820" s="332"/>
      <c r="BF2820" s="332"/>
      <c r="BG2820" s="332"/>
      <c r="BH2820" s="332"/>
      <c r="BI2820" s="332"/>
      <c r="BJ2820" s="332"/>
      <c r="BK2820" s="332"/>
      <c r="BL2820" s="1085"/>
      <c r="BM2820" s="869"/>
      <c r="BN2820" s="332"/>
      <c r="BO2820" s="332"/>
      <c r="BP2820" s="332"/>
      <c r="BQ2820" s="332"/>
      <c r="BR2820" s="332"/>
      <c r="BS2820" s="332"/>
      <c r="BT2820" s="332"/>
      <c r="BU2820" s="332"/>
      <c r="BV2820" s="332"/>
      <c r="BW2820" s="332"/>
      <c r="BX2820" s="332"/>
      <c r="BY2820" s="332"/>
      <c r="BZ2820" s="1096"/>
      <c r="CA2820" s="270"/>
      <c r="CB2820" s="3" t="str">
        <f t="shared" si="506"/>
        <v>Riadok bude skrytý.</v>
      </c>
      <c r="CC2820" s="271" t="s">
        <v>832</v>
      </c>
      <c r="CD2820" s="4" t="s">
        <v>758</v>
      </c>
      <c r="CW2820" s="30">
        <f t="shared" si="510"/>
        <v>0</v>
      </c>
      <c r="CX2820" s="30">
        <f t="shared" ref="CX2820:CX2827" si="511">+IF(B2820="",0,1)</f>
        <v>0</v>
      </c>
      <c r="CZ2820" s="30">
        <f t="shared" si="507"/>
        <v>1</v>
      </c>
      <c r="DA2820" s="52">
        <f t="shared" ref="DA2820:DA2827" si="512">+IF(CW2820*CX2820=0,0,IF(CZ2820=0,0,1))</f>
        <v>0</v>
      </c>
      <c r="DB2820" s="2">
        <f t="shared" si="509"/>
        <v>0</v>
      </c>
      <c r="DS2820" s="130">
        <f>SI!BY2820</f>
        <v>96</v>
      </c>
      <c r="DZ2820" s="131">
        <f>SI!BZ2820</f>
        <v>0</v>
      </c>
    </row>
    <row r="2821" spans="1:130" hidden="1" x14ac:dyDescent="0.25">
      <c r="A2821" s="141"/>
      <c r="B2821" s="1083"/>
      <c r="C2821" s="1084"/>
      <c r="D2821" s="1084"/>
      <c r="E2821" s="1084"/>
      <c r="F2821" s="1084"/>
      <c r="G2821" s="1084"/>
      <c r="H2821" s="1084"/>
      <c r="I2821" s="1084"/>
      <c r="J2821" s="1084"/>
      <c r="K2821" s="1084"/>
      <c r="L2821" s="1084"/>
      <c r="M2821" s="1084"/>
      <c r="N2821" s="1084"/>
      <c r="O2821" s="1084"/>
      <c r="P2821" s="1084"/>
      <c r="Q2821" s="1084"/>
      <c r="R2821" s="1084"/>
      <c r="S2821" s="1084"/>
      <c r="T2821" s="1084"/>
      <c r="U2821" s="1084"/>
      <c r="V2821" s="1084"/>
      <c r="W2821" s="1084"/>
      <c r="X2821" s="1084"/>
      <c r="Y2821" s="1084"/>
      <c r="Z2821" s="1084"/>
      <c r="AA2821" s="1084"/>
      <c r="AB2821" s="1084"/>
      <c r="AC2821" s="1084"/>
      <c r="AD2821" s="1084"/>
      <c r="AE2821" s="1084"/>
      <c r="AF2821" s="1084"/>
      <c r="AG2821" s="1084"/>
      <c r="AH2821" s="1084"/>
      <c r="AI2821" s="1084"/>
      <c r="AJ2821" s="1084"/>
      <c r="AK2821" s="1084"/>
      <c r="AL2821" s="1084"/>
      <c r="AM2821" s="1084"/>
      <c r="AN2821" s="1084"/>
      <c r="AO2821" s="1084"/>
      <c r="AP2821" s="1084"/>
      <c r="AQ2821" s="1084"/>
      <c r="AR2821" s="1084"/>
      <c r="AS2821" s="1084"/>
      <c r="AT2821" s="1084"/>
      <c r="AU2821" s="1084"/>
      <c r="AV2821" s="1084"/>
      <c r="AW2821" s="869"/>
      <c r="AX2821" s="332"/>
      <c r="AY2821" s="332"/>
      <c r="AZ2821" s="332"/>
      <c r="BA2821" s="332"/>
      <c r="BB2821" s="332"/>
      <c r="BC2821" s="332"/>
      <c r="BD2821" s="332"/>
      <c r="BE2821" s="332"/>
      <c r="BF2821" s="332"/>
      <c r="BG2821" s="332"/>
      <c r="BH2821" s="332"/>
      <c r="BI2821" s="332"/>
      <c r="BJ2821" s="332"/>
      <c r="BK2821" s="332"/>
      <c r="BL2821" s="1085"/>
      <c r="BM2821" s="869"/>
      <c r="BN2821" s="332"/>
      <c r="BO2821" s="332"/>
      <c r="BP2821" s="332"/>
      <c r="BQ2821" s="332"/>
      <c r="BR2821" s="332"/>
      <c r="BS2821" s="332"/>
      <c r="BT2821" s="332"/>
      <c r="BU2821" s="332"/>
      <c r="BV2821" s="332"/>
      <c r="BW2821" s="332"/>
      <c r="BX2821" s="332"/>
      <c r="BY2821" s="332"/>
      <c r="BZ2821" s="1096"/>
      <c r="CA2821" s="270"/>
      <c r="CB2821" s="3" t="str">
        <f t="shared" si="506"/>
        <v>Riadok bude skrytý.</v>
      </c>
      <c r="CC2821" s="271" t="s">
        <v>832</v>
      </c>
      <c r="CW2821" s="30">
        <f t="shared" si="510"/>
        <v>0</v>
      </c>
      <c r="CX2821" s="30">
        <f t="shared" si="511"/>
        <v>0</v>
      </c>
      <c r="CZ2821" s="30">
        <f t="shared" si="507"/>
        <v>1</v>
      </c>
      <c r="DA2821" s="52">
        <f t="shared" si="512"/>
        <v>0</v>
      </c>
      <c r="DB2821" s="2">
        <f t="shared" si="509"/>
        <v>0</v>
      </c>
      <c r="DS2821" s="130">
        <f>SI!BY2821</f>
        <v>179</v>
      </c>
      <c r="DZ2821" s="131">
        <f>SI!BZ2821</f>
        <v>0</v>
      </c>
    </row>
    <row r="2822" spans="1:130" hidden="1" x14ac:dyDescent="0.25">
      <c r="A2822" s="141"/>
      <c r="B2822" s="1083"/>
      <c r="C2822" s="1084"/>
      <c r="D2822" s="1084"/>
      <c r="E2822" s="1084"/>
      <c r="F2822" s="1084"/>
      <c r="G2822" s="1084"/>
      <c r="H2822" s="1084"/>
      <c r="I2822" s="1084"/>
      <c r="J2822" s="1084"/>
      <c r="K2822" s="1084"/>
      <c r="L2822" s="1084"/>
      <c r="M2822" s="1084"/>
      <c r="N2822" s="1084"/>
      <c r="O2822" s="1084"/>
      <c r="P2822" s="1084"/>
      <c r="Q2822" s="1084"/>
      <c r="R2822" s="1084"/>
      <c r="S2822" s="1084"/>
      <c r="T2822" s="1084"/>
      <c r="U2822" s="1084"/>
      <c r="V2822" s="1084"/>
      <c r="W2822" s="1084"/>
      <c r="X2822" s="1084"/>
      <c r="Y2822" s="1084"/>
      <c r="Z2822" s="1084"/>
      <c r="AA2822" s="1084"/>
      <c r="AB2822" s="1084"/>
      <c r="AC2822" s="1084"/>
      <c r="AD2822" s="1084"/>
      <c r="AE2822" s="1084"/>
      <c r="AF2822" s="1084"/>
      <c r="AG2822" s="1084"/>
      <c r="AH2822" s="1084"/>
      <c r="AI2822" s="1084"/>
      <c r="AJ2822" s="1084"/>
      <c r="AK2822" s="1084"/>
      <c r="AL2822" s="1084"/>
      <c r="AM2822" s="1084"/>
      <c r="AN2822" s="1084"/>
      <c r="AO2822" s="1084"/>
      <c r="AP2822" s="1084"/>
      <c r="AQ2822" s="1084"/>
      <c r="AR2822" s="1084"/>
      <c r="AS2822" s="1084"/>
      <c r="AT2822" s="1084"/>
      <c r="AU2822" s="1084"/>
      <c r="AV2822" s="1084"/>
      <c r="AW2822" s="869"/>
      <c r="AX2822" s="332"/>
      <c r="AY2822" s="332"/>
      <c r="AZ2822" s="332"/>
      <c r="BA2822" s="332"/>
      <c r="BB2822" s="332"/>
      <c r="BC2822" s="332"/>
      <c r="BD2822" s="332"/>
      <c r="BE2822" s="332"/>
      <c r="BF2822" s="332"/>
      <c r="BG2822" s="332"/>
      <c r="BH2822" s="332"/>
      <c r="BI2822" s="332"/>
      <c r="BJ2822" s="332"/>
      <c r="BK2822" s="332"/>
      <c r="BL2822" s="1085"/>
      <c r="BM2822" s="869"/>
      <c r="BN2822" s="332"/>
      <c r="BO2822" s="332"/>
      <c r="BP2822" s="332"/>
      <c r="BQ2822" s="332"/>
      <c r="BR2822" s="332"/>
      <c r="BS2822" s="332"/>
      <c r="BT2822" s="332"/>
      <c r="BU2822" s="332"/>
      <c r="BV2822" s="332"/>
      <c r="BW2822" s="332"/>
      <c r="BX2822" s="332"/>
      <c r="BY2822" s="332"/>
      <c r="BZ2822" s="1096"/>
      <c r="CA2822" s="270"/>
      <c r="CB2822" s="3" t="str">
        <f t="shared" si="506"/>
        <v>Riadok bude skrytý.</v>
      </c>
      <c r="CC2822" s="271" t="s">
        <v>832</v>
      </c>
      <c r="CW2822" s="30">
        <f t="shared" si="510"/>
        <v>0</v>
      </c>
      <c r="CX2822" s="30">
        <f t="shared" si="511"/>
        <v>0</v>
      </c>
      <c r="CZ2822" s="30">
        <f t="shared" si="507"/>
        <v>1</v>
      </c>
      <c r="DA2822" s="52">
        <f t="shared" si="512"/>
        <v>0</v>
      </c>
      <c r="DB2822" s="2">
        <f t="shared" si="509"/>
        <v>0</v>
      </c>
      <c r="DS2822" s="130">
        <f>SI!BY2822</f>
        <v>184</v>
      </c>
      <c r="DZ2822" s="131">
        <f>SI!BZ2822</f>
        <v>0</v>
      </c>
    </row>
    <row r="2823" spans="1:130" hidden="1" x14ac:dyDescent="0.25">
      <c r="A2823" s="141"/>
      <c r="B2823" s="1083"/>
      <c r="C2823" s="1084"/>
      <c r="D2823" s="1084"/>
      <c r="E2823" s="1084"/>
      <c r="F2823" s="1084"/>
      <c r="G2823" s="1084"/>
      <c r="H2823" s="1084"/>
      <c r="I2823" s="1084"/>
      <c r="J2823" s="1084"/>
      <c r="K2823" s="1084"/>
      <c r="L2823" s="1084"/>
      <c r="M2823" s="1084"/>
      <c r="N2823" s="1084"/>
      <c r="O2823" s="1084"/>
      <c r="P2823" s="1084"/>
      <c r="Q2823" s="1084"/>
      <c r="R2823" s="1084"/>
      <c r="S2823" s="1084"/>
      <c r="T2823" s="1084"/>
      <c r="U2823" s="1084"/>
      <c r="V2823" s="1084"/>
      <c r="W2823" s="1084"/>
      <c r="X2823" s="1084"/>
      <c r="Y2823" s="1084"/>
      <c r="Z2823" s="1084"/>
      <c r="AA2823" s="1084"/>
      <c r="AB2823" s="1084"/>
      <c r="AC2823" s="1084"/>
      <c r="AD2823" s="1084"/>
      <c r="AE2823" s="1084"/>
      <c r="AF2823" s="1084"/>
      <c r="AG2823" s="1084"/>
      <c r="AH2823" s="1084"/>
      <c r="AI2823" s="1084"/>
      <c r="AJ2823" s="1084"/>
      <c r="AK2823" s="1084"/>
      <c r="AL2823" s="1084"/>
      <c r="AM2823" s="1084"/>
      <c r="AN2823" s="1084"/>
      <c r="AO2823" s="1084"/>
      <c r="AP2823" s="1084"/>
      <c r="AQ2823" s="1084"/>
      <c r="AR2823" s="1084"/>
      <c r="AS2823" s="1084"/>
      <c r="AT2823" s="1084"/>
      <c r="AU2823" s="1084"/>
      <c r="AV2823" s="1084"/>
      <c r="AW2823" s="869"/>
      <c r="AX2823" s="332"/>
      <c r="AY2823" s="332"/>
      <c r="AZ2823" s="332"/>
      <c r="BA2823" s="332"/>
      <c r="BB2823" s="332"/>
      <c r="BC2823" s="332"/>
      <c r="BD2823" s="332"/>
      <c r="BE2823" s="332"/>
      <c r="BF2823" s="332"/>
      <c r="BG2823" s="332"/>
      <c r="BH2823" s="332"/>
      <c r="BI2823" s="332"/>
      <c r="BJ2823" s="332"/>
      <c r="BK2823" s="332"/>
      <c r="BL2823" s="1085"/>
      <c r="BM2823" s="869"/>
      <c r="BN2823" s="332"/>
      <c r="BO2823" s="332"/>
      <c r="BP2823" s="332"/>
      <c r="BQ2823" s="332"/>
      <c r="BR2823" s="332"/>
      <c r="BS2823" s="332"/>
      <c r="BT2823" s="332"/>
      <c r="BU2823" s="332"/>
      <c r="BV2823" s="332"/>
      <c r="BW2823" s="332"/>
      <c r="BX2823" s="332"/>
      <c r="BY2823" s="332"/>
      <c r="BZ2823" s="1096"/>
      <c r="CA2823" s="270"/>
      <c r="CB2823" s="3" t="str">
        <f t="shared" si="506"/>
        <v>Riadok bude skrytý.</v>
      </c>
      <c r="CC2823" s="271" t="s">
        <v>832</v>
      </c>
      <c r="CW2823" s="30">
        <f t="shared" si="510"/>
        <v>0</v>
      </c>
      <c r="CX2823" s="30">
        <f t="shared" si="511"/>
        <v>0</v>
      </c>
      <c r="CZ2823" s="30">
        <f t="shared" si="507"/>
        <v>1</v>
      </c>
      <c r="DA2823" s="52">
        <f t="shared" si="512"/>
        <v>0</v>
      </c>
      <c r="DB2823" s="2">
        <f t="shared" si="509"/>
        <v>0</v>
      </c>
      <c r="DS2823" s="130">
        <f>SI!BY2823</f>
        <v>120</v>
      </c>
      <c r="DZ2823" s="131">
        <f>SI!BZ2823</f>
        <v>0</v>
      </c>
    </row>
    <row r="2824" spans="1:130" hidden="1" x14ac:dyDescent="0.25">
      <c r="A2824" s="141"/>
      <c r="B2824" s="1083"/>
      <c r="C2824" s="1084"/>
      <c r="D2824" s="1084"/>
      <c r="E2824" s="1084"/>
      <c r="F2824" s="1084"/>
      <c r="G2824" s="1084"/>
      <c r="H2824" s="1084"/>
      <c r="I2824" s="1084"/>
      <c r="J2824" s="1084"/>
      <c r="K2824" s="1084"/>
      <c r="L2824" s="1084"/>
      <c r="M2824" s="1084"/>
      <c r="N2824" s="1084"/>
      <c r="O2824" s="1084"/>
      <c r="P2824" s="1084"/>
      <c r="Q2824" s="1084"/>
      <c r="R2824" s="1084"/>
      <c r="S2824" s="1084"/>
      <c r="T2824" s="1084"/>
      <c r="U2824" s="1084"/>
      <c r="V2824" s="1084"/>
      <c r="W2824" s="1084"/>
      <c r="X2824" s="1084"/>
      <c r="Y2824" s="1084"/>
      <c r="Z2824" s="1084"/>
      <c r="AA2824" s="1084"/>
      <c r="AB2824" s="1084"/>
      <c r="AC2824" s="1084"/>
      <c r="AD2824" s="1084"/>
      <c r="AE2824" s="1084"/>
      <c r="AF2824" s="1084"/>
      <c r="AG2824" s="1084"/>
      <c r="AH2824" s="1084"/>
      <c r="AI2824" s="1084"/>
      <c r="AJ2824" s="1084"/>
      <c r="AK2824" s="1084"/>
      <c r="AL2824" s="1084"/>
      <c r="AM2824" s="1084"/>
      <c r="AN2824" s="1084"/>
      <c r="AO2824" s="1084"/>
      <c r="AP2824" s="1084"/>
      <c r="AQ2824" s="1084"/>
      <c r="AR2824" s="1084"/>
      <c r="AS2824" s="1084"/>
      <c r="AT2824" s="1084"/>
      <c r="AU2824" s="1084"/>
      <c r="AV2824" s="1084"/>
      <c r="AW2824" s="869"/>
      <c r="AX2824" s="332"/>
      <c r="AY2824" s="332"/>
      <c r="AZ2824" s="332"/>
      <c r="BA2824" s="332"/>
      <c r="BB2824" s="332"/>
      <c r="BC2824" s="332"/>
      <c r="BD2824" s="332"/>
      <c r="BE2824" s="332"/>
      <c r="BF2824" s="332"/>
      <c r="BG2824" s="332"/>
      <c r="BH2824" s="332"/>
      <c r="BI2824" s="332"/>
      <c r="BJ2824" s="332"/>
      <c r="BK2824" s="332"/>
      <c r="BL2824" s="1085"/>
      <c r="BM2824" s="869"/>
      <c r="BN2824" s="332"/>
      <c r="BO2824" s="332"/>
      <c r="BP2824" s="332"/>
      <c r="BQ2824" s="332"/>
      <c r="BR2824" s="332"/>
      <c r="BS2824" s="332"/>
      <c r="BT2824" s="332"/>
      <c r="BU2824" s="332"/>
      <c r="BV2824" s="332"/>
      <c r="BW2824" s="332"/>
      <c r="BX2824" s="332"/>
      <c r="BY2824" s="332"/>
      <c r="BZ2824" s="1096"/>
      <c r="CA2824" s="270"/>
      <c r="CB2824" s="3" t="str">
        <f t="shared" si="506"/>
        <v>Riadok bude skrytý.</v>
      </c>
      <c r="CC2824" s="271" t="s">
        <v>832</v>
      </c>
      <c r="CW2824" s="30">
        <f t="shared" si="510"/>
        <v>0</v>
      </c>
      <c r="CX2824" s="30">
        <f t="shared" si="511"/>
        <v>0</v>
      </c>
      <c r="CZ2824" s="30">
        <f t="shared" si="507"/>
        <v>1</v>
      </c>
      <c r="DA2824" s="52">
        <f t="shared" si="512"/>
        <v>0</v>
      </c>
      <c r="DB2824" s="2">
        <f t="shared" si="509"/>
        <v>0</v>
      </c>
      <c r="DS2824" s="130">
        <f>SI!BY2824</f>
        <v>596</v>
      </c>
      <c r="DZ2824" s="131">
        <f>SI!BZ2824</f>
        <v>0</v>
      </c>
    </row>
    <row r="2825" spans="1:130" hidden="1" x14ac:dyDescent="0.25">
      <c r="A2825" s="141"/>
      <c r="B2825" s="1083"/>
      <c r="C2825" s="1084"/>
      <c r="D2825" s="1084"/>
      <c r="E2825" s="1084"/>
      <c r="F2825" s="1084"/>
      <c r="G2825" s="1084"/>
      <c r="H2825" s="1084"/>
      <c r="I2825" s="1084"/>
      <c r="J2825" s="1084"/>
      <c r="K2825" s="1084"/>
      <c r="L2825" s="1084"/>
      <c r="M2825" s="1084"/>
      <c r="N2825" s="1084"/>
      <c r="O2825" s="1084"/>
      <c r="P2825" s="1084"/>
      <c r="Q2825" s="1084"/>
      <c r="R2825" s="1084"/>
      <c r="S2825" s="1084"/>
      <c r="T2825" s="1084"/>
      <c r="U2825" s="1084"/>
      <c r="V2825" s="1084"/>
      <c r="W2825" s="1084"/>
      <c r="X2825" s="1084"/>
      <c r="Y2825" s="1084"/>
      <c r="Z2825" s="1084"/>
      <c r="AA2825" s="1084"/>
      <c r="AB2825" s="1084"/>
      <c r="AC2825" s="1084"/>
      <c r="AD2825" s="1084"/>
      <c r="AE2825" s="1084"/>
      <c r="AF2825" s="1084"/>
      <c r="AG2825" s="1084"/>
      <c r="AH2825" s="1084"/>
      <c r="AI2825" s="1084"/>
      <c r="AJ2825" s="1084"/>
      <c r="AK2825" s="1084"/>
      <c r="AL2825" s="1084"/>
      <c r="AM2825" s="1084"/>
      <c r="AN2825" s="1084"/>
      <c r="AO2825" s="1084"/>
      <c r="AP2825" s="1084"/>
      <c r="AQ2825" s="1084"/>
      <c r="AR2825" s="1084"/>
      <c r="AS2825" s="1084"/>
      <c r="AT2825" s="1084"/>
      <c r="AU2825" s="1084"/>
      <c r="AV2825" s="1084"/>
      <c r="AW2825" s="869"/>
      <c r="AX2825" s="332"/>
      <c r="AY2825" s="332"/>
      <c r="AZ2825" s="332"/>
      <c r="BA2825" s="332"/>
      <c r="BB2825" s="332"/>
      <c r="BC2825" s="332"/>
      <c r="BD2825" s="332"/>
      <c r="BE2825" s="332"/>
      <c r="BF2825" s="332"/>
      <c r="BG2825" s="332"/>
      <c r="BH2825" s="332"/>
      <c r="BI2825" s="332"/>
      <c r="BJ2825" s="332"/>
      <c r="BK2825" s="332"/>
      <c r="BL2825" s="1085"/>
      <c r="BM2825" s="869"/>
      <c r="BN2825" s="332"/>
      <c r="BO2825" s="332"/>
      <c r="BP2825" s="332"/>
      <c r="BQ2825" s="332"/>
      <c r="BR2825" s="332"/>
      <c r="BS2825" s="332"/>
      <c r="BT2825" s="332"/>
      <c r="BU2825" s="332"/>
      <c r="BV2825" s="332"/>
      <c r="BW2825" s="332"/>
      <c r="BX2825" s="332"/>
      <c r="BY2825" s="332"/>
      <c r="BZ2825" s="1096"/>
      <c r="CA2825" s="270"/>
      <c r="CB2825" s="3" t="str">
        <f t="shared" si="506"/>
        <v>Riadok bude skrytý.</v>
      </c>
      <c r="CC2825" s="271" t="s">
        <v>832</v>
      </c>
      <c r="CW2825" s="30">
        <f t="shared" si="510"/>
        <v>0</v>
      </c>
      <c r="CX2825" s="30">
        <f t="shared" si="511"/>
        <v>0</v>
      </c>
      <c r="CZ2825" s="30">
        <f t="shared" si="507"/>
        <v>1</v>
      </c>
      <c r="DA2825" s="52">
        <f t="shared" si="512"/>
        <v>0</v>
      </c>
      <c r="DB2825" s="2">
        <f t="shared" si="509"/>
        <v>0</v>
      </c>
      <c r="DS2825" s="130">
        <f>SI!BY2825</f>
        <v>169</v>
      </c>
      <c r="DZ2825" s="131">
        <f>SI!BZ2825</f>
        <v>0</v>
      </c>
    </row>
    <row r="2826" spans="1:130" hidden="1" x14ac:dyDescent="0.25">
      <c r="A2826" s="141"/>
      <c r="B2826" s="1083"/>
      <c r="C2826" s="1084"/>
      <c r="D2826" s="1084"/>
      <c r="E2826" s="1084"/>
      <c r="F2826" s="1084"/>
      <c r="G2826" s="1084"/>
      <c r="H2826" s="1084"/>
      <c r="I2826" s="1084"/>
      <c r="J2826" s="1084"/>
      <c r="K2826" s="1084"/>
      <c r="L2826" s="1084"/>
      <c r="M2826" s="1084"/>
      <c r="N2826" s="1084"/>
      <c r="O2826" s="1084"/>
      <c r="P2826" s="1084"/>
      <c r="Q2826" s="1084"/>
      <c r="R2826" s="1084"/>
      <c r="S2826" s="1084"/>
      <c r="T2826" s="1084"/>
      <c r="U2826" s="1084"/>
      <c r="V2826" s="1084"/>
      <c r="W2826" s="1084"/>
      <c r="X2826" s="1084"/>
      <c r="Y2826" s="1084"/>
      <c r="Z2826" s="1084"/>
      <c r="AA2826" s="1084"/>
      <c r="AB2826" s="1084"/>
      <c r="AC2826" s="1084"/>
      <c r="AD2826" s="1084"/>
      <c r="AE2826" s="1084"/>
      <c r="AF2826" s="1084"/>
      <c r="AG2826" s="1084"/>
      <c r="AH2826" s="1084"/>
      <c r="AI2826" s="1084"/>
      <c r="AJ2826" s="1084"/>
      <c r="AK2826" s="1084"/>
      <c r="AL2826" s="1084"/>
      <c r="AM2826" s="1084"/>
      <c r="AN2826" s="1084"/>
      <c r="AO2826" s="1084"/>
      <c r="AP2826" s="1084"/>
      <c r="AQ2826" s="1084"/>
      <c r="AR2826" s="1084"/>
      <c r="AS2826" s="1084"/>
      <c r="AT2826" s="1084"/>
      <c r="AU2826" s="1084"/>
      <c r="AV2826" s="1084"/>
      <c r="AW2826" s="869"/>
      <c r="AX2826" s="332"/>
      <c r="AY2826" s="332"/>
      <c r="AZ2826" s="332"/>
      <c r="BA2826" s="332"/>
      <c r="BB2826" s="332"/>
      <c r="BC2826" s="332"/>
      <c r="BD2826" s="332"/>
      <c r="BE2826" s="332"/>
      <c r="BF2826" s="332"/>
      <c r="BG2826" s="332"/>
      <c r="BH2826" s="332"/>
      <c r="BI2826" s="332"/>
      <c r="BJ2826" s="332"/>
      <c r="BK2826" s="332"/>
      <c r="BL2826" s="1085"/>
      <c r="BM2826" s="869"/>
      <c r="BN2826" s="332"/>
      <c r="BO2826" s="332"/>
      <c r="BP2826" s="332"/>
      <c r="BQ2826" s="332"/>
      <c r="BR2826" s="332"/>
      <c r="BS2826" s="332"/>
      <c r="BT2826" s="332"/>
      <c r="BU2826" s="332"/>
      <c r="BV2826" s="332"/>
      <c r="BW2826" s="332"/>
      <c r="BX2826" s="332"/>
      <c r="BY2826" s="332"/>
      <c r="BZ2826" s="1096"/>
      <c r="CA2826" s="270"/>
      <c r="CB2826" s="3" t="str">
        <f t="shared" si="506"/>
        <v>Riadok bude skrytý.</v>
      </c>
      <c r="CC2826" s="271" t="s">
        <v>832</v>
      </c>
      <c r="CW2826" s="30">
        <f t="shared" si="510"/>
        <v>0</v>
      </c>
      <c r="CX2826" s="30">
        <f t="shared" si="511"/>
        <v>0</v>
      </c>
      <c r="CZ2826" s="30">
        <f t="shared" si="507"/>
        <v>1</v>
      </c>
      <c r="DA2826" s="52">
        <f t="shared" si="512"/>
        <v>0</v>
      </c>
      <c r="DB2826" s="2">
        <f t="shared" si="509"/>
        <v>0</v>
      </c>
      <c r="DS2826" s="130">
        <f>SI!BY2826</f>
        <v>725</v>
      </c>
      <c r="DZ2826" s="131">
        <f>SI!BZ2826</f>
        <v>0</v>
      </c>
    </row>
    <row r="2827" spans="1:130" hidden="1" x14ac:dyDescent="0.25">
      <c r="A2827" s="141"/>
      <c r="B2827" s="1083"/>
      <c r="C2827" s="1084"/>
      <c r="D2827" s="1084"/>
      <c r="E2827" s="1084"/>
      <c r="F2827" s="1084"/>
      <c r="G2827" s="1084"/>
      <c r="H2827" s="1084"/>
      <c r="I2827" s="1084"/>
      <c r="J2827" s="1084"/>
      <c r="K2827" s="1084"/>
      <c r="L2827" s="1084"/>
      <c r="M2827" s="1084"/>
      <c r="N2827" s="1084"/>
      <c r="O2827" s="1084"/>
      <c r="P2827" s="1084"/>
      <c r="Q2827" s="1084"/>
      <c r="R2827" s="1084"/>
      <c r="S2827" s="1084"/>
      <c r="T2827" s="1084"/>
      <c r="U2827" s="1084"/>
      <c r="V2827" s="1084"/>
      <c r="W2827" s="1084"/>
      <c r="X2827" s="1084"/>
      <c r="Y2827" s="1084"/>
      <c r="Z2827" s="1084"/>
      <c r="AA2827" s="1084"/>
      <c r="AB2827" s="1084"/>
      <c r="AC2827" s="1084"/>
      <c r="AD2827" s="1084"/>
      <c r="AE2827" s="1084"/>
      <c r="AF2827" s="1084"/>
      <c r="AG2827" s="1084"/>
      <c r="AH2827" s="1084"/>
      <c r="AI2827" s="1084"/>
      <c r="AJ2827" s="1084"/>
      <c r="AK2827" s="1084"/>
      <c r="AL2827" s="1084"/>
      <c r="AM2827" s="1084"/>
      <c r="AN2827" s="1084"/>
      <c r="AO2827" s="1084"/>
      <c r="AP2827" s="1084"/>
      <c r="AQ2827" s="1084"/>
      <c r="AR2827" s="1084"/>
      <c r="AS2827" s="1084"/>
      <c r="AT2827" s="1084"/>
      <c r="AU2827" s="1084"/>
      <c r="AV2827" s="1084"/>
      <c r="AW2827" s="869"/>
      <c r="AX2827" s="332"/>
      <c r="AY2827" s="332"/>
      <c r="AZ2827" s="332"/>
      <c r="BA2827" s="332"/>
      <c r="BB2827" s="332"/>
      <c r="BC2827" s="332"/>
      <c r="BD2827" s="332"/>
      <c r="BE2827" s="332"/>
      <c r="BF2827" s="332"/>
      <c r="BG2827" s="332"/>
      <c r="BH2827" s="332"/>
      <c r="BI2827" s="332"/>
      <c r="BJ2827" s="332"/>
      <c r="BK2827" s="332"/>
      <c r="BL2827" s="1085"/>
      <c r="BM2827" s="869"/>
      <c r="BN2827" s="332"/>
      <c r="BO2827" s="332"/>
      <c r="BP2827" s="332"/>
      <c r="BQ2827" s="332"/>
      <c r="BR2827" s="332"/>
      <c r="BS2827" s="332"/>
      <c r="BT2827" s="332"/>
      <c r="BU2827" s="332"/>
      <c r="BV2827" s="332"/>
      <c r="BW2827" s="332"/>
      <c r="BX2827" s="332"/>
      <c r="BY2827" s="332"/>
      <c r="BZ2827" s="1096"/>
      <c r="CA2827" s="270"/>
      <c r="CB2827" s="3" t="str">
        <f t="shared" si="506"/>
        <v>Riadok bude skrytý.</v>
      </c>
      <c r="CC2827" s="271" t="s">
        <v>832</v>
      </c>
      <c r="CW2827" s="30">
        <f t="shared" si="510"/>
        <v>0</v>
      </c>
      <c r="CX2827" s="30">
        <f t="shared" si="511"/>
        <v>0</v>
      </c>
      <c r="CZ2827" s="30">
        <f t="shared" si="507"/>
        <v>1</v>
      </c>
      <c r="DA2827" s="52">
        <f t="shared" si="512"/>
        <v>0</v>
      </c>
      <c r="DB2827" s="2">
        <f t="shared" si="509"/>
        <v>0</v>
      </c>
      <c r="DS2827" s="130">
        <f>SI!BY2827</f>
        <v>109</v>
      </c>
      <c r="DZ2827" s="131">
        <f>SI!BZ2827</f>
        <v>0</v>
      </c>
    </row>
    <row r="2828" spans="1:130" hidden="1" x14ac:dyDescent="0.25">
      <c r="A2828" s="141"/>
      <c r="B2828" s="1854" t="s">
        <v>759</v>
      </c>
      <c r="C2828" s="1855"/>
      <c r="D2828" s="1855"/>
      <c r="E2828" s="1855"/>
      <c r="F2828" s="1855"/>
      <c r="G2828" s="1855"/>
      <c r="H2828" s="1855"/>
      <c r="I2828" s="1855"/>
      <c r="J2828" s="1855"/>
      <c r="K2828" s="1855"/>
      <c r="L2828" s="1855"/>
      <c r="M2828" s="1855"/>
      <c r="N2828" s="1855"/>
      <c r="O2828" s="1855"/>
      <c r="P2828" s="1855"/>
      <c r="Q2828" s="1855"/>
      <c r="R2828" s="1855"/>
      <c r="S2828" s="1855"/>
      <c r="T2828" s="1855"/>
      <c r="U2828" s="1855"/>
      <c r="V2828" s="1855"/>
      <c r="W2828" s="1855"/>
      <c r="X2828" s="1855"/>
      <c r="Y2828" s="1855"/>
      <c r="Z2828" s="1855"/>
      <c r="AA2828" s="1855"/>
      <c r="AB2828" s="1855"/>
      <c r="AC2828" s="1855"/>
      <c r="AD2828" s="1855"/>
      <c r="AE2828" s="1855"/>
      <c r="AF2828" s="1855"/>
      <c r="AG2828" s="1855"/>
      <c r="AH2828" s="1855"/>
      <c r="AI2828" s="1855"/>
      <c r="AJ2828" s="1855"/>
      <c r="AK2828" s="1855"/>
      <c r="AL2828" s="1855"/>
      <c r="AM2828" s="1855"/>
      <c r="AN2828" s="1855"/>
      <c r="AO2828" s="1855"/>
      <c r="AP2828" s="1855"/>
      <c r="AQ2828" s="1855"/>
      <c r="AR2828" s="1855"/>
      <c r="AS2828" s="1855"/>
      <c r="AT2828" s="1855"/>
      <c r="AU2828" s="1855"/>
      <c r="AV2828" s="1855"/>
      <c r="AW2828" s="1080"/>
      <c r="AX2828" s="1081"/>
      <c r="AY2828" s="1081"/>
      <c r="AZ2828" s="1081"/>
      <c r="BA2828" s="1081"/>
      <c r="BB2828" s="1081"/>
      <c r="BC2828" s="1081"/>
      <c r="BD2828" s="1081"/>
      <c r="BE2828" s="1081"/>
      <c r="BF2828" s="1081"/>
      <c r="BG2828" s="1081"/>
      <c r="BH2828" s="1081"/>
      <c r="BI2828" s="1081"/>
      <c r="BJ2828" s="1081"/>
      <c r="BK2828" s="1081"/>
      <c r="BL2828" s="1137"/>
      <c r="BM2828" s="1080"/>
      <c r="BN2828" s="1081"/>
      <c r="BO2828" s="1081"/>
      <c r="BP2828" s="1081"/>
      <c r="BQ2828" s="1081"/>
      <c r="BR2828" s="1081"/>
      <c r="BS2828" s="1081"/>
      <c r="BT2828" s="1081"/>
      <c r="BU2828" s="1081"/>
      <c r="BV2828" s="1081"/>
      <c r="BW2828" s="1081"/>
      <c r="BX2828" s="1081"/>
      <c r="BY2828" s="1081"/>
      <c r="BZ2828" s="1082"/>
      <c r="CA2828" s="142"/>
      <c r="CB2828" s="3" t="str">
        <f t="shared" si="506"/>
        <v>Riadok bude skrytý.</v>
      </c>
      <c r="CC2828" s="271" t="s">
        <v>832</v>
      </c>
      <c r="CW2828" s="30">
        <f t="shared" si="510"/>
        <v>0</v>
      </c>
      <c r="CZ2828" s="30">
        <f t="shared" si="507"/>
        <v>1</v>
      </c>
      <c r="DA2828" s="30">
        <f>+IF(CW2828+CX2828+CY2828=0,0,IF(CZ2828=0,0,1))</f>
        <v>0</v>
      </c>
      <c r="DB2828" s="2">
        <f t="shared" si="509"/>
        <v>0</v>
      </c>
      <c r="DS2828" s="130">
        <f>SI!BY2828</f>
        <v>280</v>
      </c>
      <c r="DZ2828" s="131">
        <f>SI!BZ2828</f>
        <v>0</v>
      </c>
    </row>
    <row r="2829" spans="1:130" hidden="1" x14ac:dyDescent="0.25">
      <c r="A2829" s="141"/>
      <c r="B2829" s="2002" t="s">
        <v>364</v>
      </c>
      <c r="C2829" s="2003"/>
      <c r="D2829" s="2003"/>
      <c r="E2829" s="2003"/>
      <c r="F2829" s="2003"/>
      <c r="G2829" s="2003"/>
      <c r="H2829" s="2003"/>
      <c r="I2829" s="2003"/>
      <c r="J2829" s="2003"/>
      <c r="K2829" s="2003"/>
      <c r="L2829" s="2003"/>
      <c r="M2829" s="2003"/>
      <c r="N2829" s="2003"/>
      <c r="O2829" s="2003"/>
      <c r="P2829" s="2003"/>
      <c r="Q2829" s="2003"/>
      <c r="R2829" s="2003"/>
      <c r="S2829" s="2003"/>
      <c r="T2829" s="2003"/>
      <c r="U2829" s="2003"/>
      <c r="V2829" s="2003"/>
      <c r="W2829" s="2003"/>
      <c r="X2829" s="2003"/>
      <c r="Y2829" s="2003"/>
      <c r="Z2829" s="2003"/>
      <c r="AA2829" s="2003"/>
      <c r="AB2829" s="2003"/>
      <c r="AC2829" s="2003"/>
      <c r="AD2829" s="2003"/>
      <c r="AE2829" s="2003"/>
      <c r="AF2829" s="2003"/>
      <c r="AG2829" s="2003"/>
      <c r="AH2829" s="2003"/>
      <c r="AI2829" s="2003"/>
      <c r="AJ2829" s="2003"/>
      <c r="AK2829" s="2003"/>
      <c r="AL2829" s="2003"/>
      <c r="AM2829" s="2003"/>
      <c r="AN2829" s="2003"/>
      <c r="AO2829" s="2003"/>
      <c r="AP2829" s="2003"/>
      <c r="AQ2829" s="2003"/>
      <c r="AR2829" s="2003"/>
      <c r="AS2829" s="2003"/>
      <c r="AT2829" s="2003"/>
      <c r="AU2829" s="2003"/>
      <c r="AV2829" s="2003"/>
      <c r="AW2829" s="1077">
        <f>+SUM(AW2830:BL2839)</f>
        <v>0</v>
      </c>
      <c r="AX2829" s="1078"/>
      <c r="AY2829" s="1078"/>
      <c r="AZ2829" s="1078"/>
      <c r="BA2829" s="1078"/>
      <c r="BB2829" s="1078"/>
      <c r="BC2829" s="1078"/>
      <c r="BD2829" s="1078"/>
      <c r="BE2829" s="1078"/>
      <c r="BF2829" s="1078"/>
      <c r="BG2829" s="1078"/>
      <c r="BH2829" s="1078"/>
      <c r="BI2829" s="1078"/>
      <c r="BJ2829" s="1078"/>
      <c r="BK2829" s="1078"/>
      <c r="BL2829" s="1139"/>
      <c r="BM2829" s="1077">
        <f>+SUM(BM2830:BZ2839)</f>
        <v>0</v>
      </c>
      <c r="BN2829" s="1078"/>
      <c r="BO2829" s="1078"/>
      <c r="BP2829" s="1078"/>
      <c r="BQ2829" s="1078"/>
      <c r="BR2829" s="1078"/>
      <c r="BS2829" s="1078"/>
      <c r="BT2829" s="1078"/>
      <c r="BU2829" s="1078"/>
      <c r="BV2829" s="1078"/>
      <c r="BW2829" s="1078"/>
      <c r="BX2829" s="1078"/>
      <c r="BY2829" s="1078"/>
      <c r="BZ2829" s="1079"/>
      <c r="CA2829" s="142"/>
      <c r="CB2829" s="3" t="str">
        <f t="shared" si="506"/>
        <v>Riadok bude skrytý.</v>
      </c>
      <c r="CC2829" s="271" t="s">
        <v>832</v>
      </c>
      <c r="CD2829" s="4" t="s">
        <v>758</v>
      </c>
      <c r="CW2829" s="30">
        <f t="shared" si="510"/>
        <v>0</v>
      </c>
      <c r="CX2829" s="35"/>
      <c r="CZ2829" s="30">
        <f t="shared" si="507"/>
        <v>1</v>
      </c>
      <c r="DA2829" s="30">
        <f>+IF(CW2829+CX2829+CY2829=0,0,IF(CZ2829=0,0,1))</f>
        <v>0</v>
      </c>
      <c r="DB2829" s="2">
        <f t="shared" si="509"/>
        <v>0</v>
      </c>
      <c r="DS2829" s="130">
        <f>SI!BY2829</f>
        <v>129</v>
      </c>
      <c r="DZ2829" s="131">
        <f>SI!BZ2829</f>
        <v>0</v>
      </c>
    </row>
    <row r="2830" spans="1:130" hidden="1" x14ac:dyDescent="0.25">
      <c r="A2830" s="141"/>
      <c r="B2830" s="1083"/>
      <c r="C2830" s="1084"/>
      <c r="D2830" s="1084"/>
      <c r="E2830" s="1084"/>
      <c r="F2830" s="1084"/>
      <c r="G2830" s="1084"/>
      <c r="H2830" s="1084"/>
      <c r="I2830" s="1084"/>
      <c r="J2830" s="1084"/>
      <c r="K2830" s="1084"/>
      <c r="L2830" s="1084"/>
      <c r="M2830" s="1084"/>
      <c r="N2830" s="1084"/>
      <c r="O2830" s="1084"/>
      <c r="P2830" s="1084"/>
      <c r="Q2830" s="1084"/>
      <c r="R2830" s="1084"/>
      <c r="S2830" s="1084"/>
      <c r="T2830" s="1084"/>
      <c r="U2830" s="1084"/>
      <c r="V2830" s="1084"/>
      <c r="W2830" s="1084"/>
      <c r="X2830" s="1084"/>
      <c r="Y2830" s="1084"/>
      <c r="Z2830" s="1084"/>
      <c r="AA2830" s="1084"/>
      <c r="AB2830" s="1084"/>
      <c r="AC2830" s="1084"/>
      <c r="AD2830" s="1084"/>
      <c r="AE2830" s="1084"/>
      <c r="AF2830" s="1084"/>
      <c r="AG2830" s="1084"/>
      <c r="AH2830" s="1084"/>
      <c r="AI2830" s="1084"/>
      <c r="AJ2830" s="1084"/>
      <c r="AK2830" s="1084"/>
      <c r="AL2830" s="1084"/>
      <c r="AM2830" s="1084"/>
      <c r="AN2830" s="1084"/>
      <c r="AO2830" s="1084"/>
      <c r="AP2830" s="1084"/>
      <c r="AQ2830" s="1084"/>
      <c r="AR2830" s="1084"/>
      <c r="AS2830" s="1084"/>
      <c r="AT2830" s="1084"/>
      <c r="AU2830" s="1084"/>
      <c r="AV2830" s="1084"/>
      <c r="AW2830" s="1002"/>
      <c r="AX2830" s="1003"/>
      <c r="AY2830" s="1003"/>
      <c r="AZ2830" s="1003"/>
      <c r="BA2830" s="1003"/>
      <c r="BB2830" s="1003"/>
      <c r="BC2830" s="1003"/>
      <c r="BD2830" s="1003"/>
      <c r="BE2830" s="1003"/>
      <c r="BF2830" s="1003"/>
      <c r="BG2830" s="1003"/>
      <c r="BH2830" s="1003"/>
      <c r="BI2830" s="1003"/>
      <c r="BJ2830" s="1003"/>
      <c r="BK2830" s="1003"/>
      <c r="BL2830" s="1573"/>
      <c r="BM2830" s="1002"/>
      <c r="BN2830" s="1003"/>
      <c r="BO2830" s="1003"/>
      <c r="BP2830" s="1003"/>
      <c r="BQ2830" s="1003"/>
      <c r="BR2830" s="1003"/>
      <c r="BS2830" s="1003"/>
      <c r="BT2830" s="1003"/>
      <c r="BU2830" s="1003"/>
      <c r="BV2830" s="1003"/>
      <c r="BW2830" s="1003"/>
      <c r="BX2830" s="1003"/>
      <c r="BY2830" s="1003"/>
      <c r="BZ2830" s="1138"/>
      <c r="CA2830" s="142"/>
      <c r="CB2830" s="3" t="str">
        <f t="shared" si="506"/>
        <v>Riadok bude skrytý.</v>
      </c>
      <c r="CC2830" s="271" t="s">
        <v>832</v>
      </c>
      <c r="CW2830" s="30">
        <f t="shared" si="510"/>
        <v>0</v>
      </c>
      <c r="CZ2830" s="30">
        <f t="shared" si="507"/>
        <v>1</v>
      </c>
      <c r="DA2830" s="30">
        <f>+IF(CW2830+CX2830+CY2830=0,0,IF(CZ2830=0,0,1))</f>
        <v>0</v>
      </c>
      <c r="DB2830" s="2">
        <f t="shared" si="509"/>
        <v>0</v>
      </c>
      <c r="DS2830" s="130">
        <f>SI!BY2830</f>
        <v>406</v>
      </c>
      <c r="DZ2830" s="131">
        <f>SI!BZ2830</f>
        <v>0</v>
      </c>
    </row>
    <row r="2831" spans="1:130" hidden="1" x14ac:dyDescent="0.25">
      <c r="A2831" s="141"/>
      <c r="B2831" s="1083"/>
      <c r="C2831" s="1084"/>
      <c r="D2831" s="1084"/>
      <c r="E2831" s="1084"/>
      <c r="F2831" s="1084"/>
      <c r="G2831" s="1084"/>
      <c r="H2831" s="1084"/>
      <c r="I2831" s="1084"/>
      <c r="J2831" s="1084"/>
      <c r="K2831" s="1084"/>
      <c r="L2831" s="1084"/>
      <c r="M2831" s="1084"/>
      <c r="N2831" s="1084"/>
      <c r="O2831" s="1084"/>
      <c r="P2831" s="1084"/>
      <c r="Q2831" s="1084"/>
      <c r="R2831" s="1084"/>
      <c r="S2831" s="1084"/>
      <c r="T2831" s="1084"/>
      <c r="U2831" s="1084"/>
      <c r="V2831" s="1084"/>
      <c r="W2831" s="1084"/>
      <c r="X2831" s="1084"/>
      <c r="Y2831" s="1084"/>
      <c r="Z2831" s="1084"/>
      <c r="AA2831" s="1084"/>
      <c r="AB2831" s="1084"/>
      <c r="AC2831" s="1084"/>
      <c r="AD2831" s="1084"/>
      <c r="AE2831" s="1084"/>
      <c r="AF2831" s="1084"/>
      <c r="AG2831" s="1084"/>
      <c r="AH2831" s="1084"/>
      <c r="AI2831" s="1084"/>
      <c r="AJ2831" s="1084"/>
      <c r="AK2831" s="1084"/>
      <c r="AL2831" s="1084"/>
      <c r="AM2831" s="1084"/>
      <c r="AN2831" s="1084"/>
      <c r="AO2831" s="1084"/>
      <c r="AP2831" s="1084"/>
      <c r="AQ2831" s="1084"/>
      <c r="AR2831" s="1084"/>
      <c r="AS2831" s="1084"/>
      <c r="AT2831" s="1084"/>
      <c r="AU2831" s="1084"/>
      <c r="AV2831" s="1084"/>
      <c r="AW2831" s="869"/>
      <c r="AX2831" s="332"/>
      <c r="AY2831" s="332"/>
      <c r="AZ2831" s="332"/>
      <c r="BA2831" s="332"/>
      <c r="BB2831" s="332"/>
      <c r="BC2831" s="332"/>
      <c r="BD2831" s="332"/>
      <c r="BE2831" s="332"/>
      <c r="BF2831" s="332"/>
      <c r="BG2831" s="332"/>
      <c r="BH2831" s="332"/>
      <c r="BI2831" s="332"/>
      <c r="BJ2831" s="332"/>
      <c r="BK2831" s="332"/>
      <c r="BL2831" s="1085"/>
      <c r="BM2831" s="869"/>
      <c r="BN2831" s="332"/>
      <c r="BO2831" s="332"/>
      <c r="BP2831" s="332"/>
      <c r="BQ2831" s="332"/>
      <c r="BR2831" s="332"/>
      <c r="BS2831" s="332"/>
      <c r="BT2831" s="332"/>
      <c r="BU2831" s="332"/>
      <c r="BV2831" s="332"/>
      <c r="BW2831" s="332"/>
      <c r="BX2831" s="332"/>
      <c r="BY2831" s="332"/>
      <c r="BZ2831" s="1096"/>
      <c r="CA2831" s="270"/>
      <c r="CB2831" s="3" t="str">
        <f t="shared" si="506"/>
        <v>Riadok bude skrytý.</v>
      </c>
      <c r="CC2831" s="271" t="s">
        <v>832</v>
      </c>
      <c r="CW2831" s="30">
        <f t="shared" si="510"/>
        <v>0</v>
      </c>
      <c r="CX2831" s="30">
        <f t="shared" ref="CX2831:CX2838" si="513">+IF(B2831="",0,1)</f>
        <v>0</v>
      </c>
      <c r="CZ2831" s="30">
        <f t="shared" si="507"/>
        <v>1</v>
      </c>
      <c r="DA2831" s="52">
        <f t="shared" ref="DA2831:DA2838" si="514">+IF(CW2831*CX2831=0,0,IF(CZ2831=0,0,1))</f>
        <v>0</v>
      </c>
      <c r="DB2831" s="2">
        <f t="shared" si="509"/>
        <v>0</v>
      </c>
      <c r="DS2831" s="130">
        <f>SI!BY2831</f>
        <v>186</v>
      </c>
      <c r="DZ2831" s="131">
        <f>SI!BZ2831</f>
        <v>0</v>
      </c>
    </row>
    <row r="2832" spans="1:130" hidden="1" x14ac:dyDescent="0.25">
      <c r="A2832" s="141"/>
      <c r="B2832" s="1083"/>
      <c r="C2832" s="1084"/>
      <c r="D2832" s="1084"/>
      <c r="E2832" s="1084"/>
      <c r="F2832" s="1084"/>
      <c r="G2832" s="1084"/>
      <c r="H2832" s="1084"/>
      <c r="I2832" s="1084"/>
      <c r="J2832" s="1084"/>
      <c r="K2832" s="1084"/>
      <c r="L2832" s="1084"/>
      <c r="M2832" s="1084"/>
      <c r="N2832" s="1084"/>
      <c r="O2832" s="1084"/>
      <c r="P2832" s="1084"/>
      <c r="Q2832" s="1084"/>
      <c r="R2832" s="1084"/>
      <c r="S2832" s="1084"/>
      <c r="T2832" s="1084"/>
      <c r="U2832" s="1084"/>
      <c r="V2832" s="1084"/>
      <c r="W2832" s="1084"/>
      <c r="X2832" s="1084"/>
      <c r="Y2832" s="1084"/>
      <c r="Z2832" s="1084"/>
      <c r="AA2832" s="1084"/>
      <c r="AB2832" s="1084"/>
      <c r="AC2832" s="1084"/>
      <c r="AD2832" s="1084"/>
      <c r="AE2832" s="1084"/>
      <c r="AF2832" s="1084"/>
      <c r="AG2832" s="1084"/>
      <c r="AH2832" s="1084"/>
      <c r="AI2832" s="1084"/>
      <c r="AJ2832" s="1084"/>
      <c r="AK2832" s="1084"/>
      <c r="AL2832" s="1084"/>
      <c r="AM2832" s="1084"/>
      <c r="AN2832" s="1084"/>
      <c r="AO2832" s="1084"/>
      <c r="AP2832" s="1084"/>
      <c r="AQ2832" s="1084"/>
      <c r="AR2832" s="1084"/>
      <c r="AS2832" s="1084"/>
      <c r="AT2832" s="1084"/>
      <c r="AU2832" s="1084"/>
      <c r="AV2832" s="1084"/>
      <c r="AW2832" s="869"/>
      <c r="AX2832" s="332"/>
      <c r="AY2832" s="332"/>
      <c r="AZ2832" s="332"/>
      <c r="BA2832" s="332"/>
      <c r="BB2832" s="332"/>
      <c r="BC2832" s="332"/>
      <c r="BD2832" s="332"/>
      <c r="BE2832" s="332"/>
      <c r="BF2832" s="332"/>
      <c r="BG2832" s="332"/>
      <c r="BH2832" s="332"/>
      <c r="BI2832" s="332"/>
      <c r="BJ2832" s="332"/>
      <c r="BK2832" s="332"/>
      <c r="BL2832" s="1085"/>
      <c r="BM2832" s="869"/>
      <c r="BN2832" s="332"/>
      <c r="BO2832" s="332"/>
      <c r="BP2832" s="332"/>
      <c r="BQ2832" s="332"/>
      <c r="BR2832" s="332"/>
      <c r="BS2832" s="332"/>
      <c r="BT2832" s="332"/>
      <c r="BU2832" s="332"/>
      <c r="BV2832" s="332"/>
      <c r="BW2832" s="332"/>
      <c r="BX2832" s="332"/>
      <c r="BY2832" s="332"/>
      <c r="BZ2832" s="1096"/>
      <c r="CA2832" s="270"/>
      <c r="CB2832" s="3" t="str">
        <f t="shared" si="506"/>
        <v>Riadok bude skrytý.</v>
      </c>
      <c r="CC2832" s="271" t="s">
        <v>832</v>
      </c>
      <c r="CW2832" s="30">
        <f t="shared" si="510"/>
        <v>0</v>
      </c>
      <c r="CX2832" s="30">
        <f t="shared" si="513"/>
        <v>0</v>
      </c>
      <c r="CZ2832" s="30">
        <f t="shared" si="507"/>
        <v>1</v>
      </c>
      <c r="DA2832" s="52">
        <f t="shared" si="514"/>
        <v>0</v>
      </c>
      <c r="DB2832" s="2">
        <f t="shared" si="509"/>
        <v>0</v>
      </c>
      <c r="DS2832" s="130">
        <f>SI!BY2832</f>
        <v>115</v>
      </c>
      <c r="DZ2832" s="131">
        <f>SI!BZ2832</f>
        <v>0</v>
      </c>
    </row>
    <row r="2833" spans="1:130" hidden="1" x14ac:dyDescent="0.25">
      <c r="A2833" s="141"/>
      <c r="B2833" s="1083"/>
      <c r="C2833" s="1084"/>
      <c r="D2833" s="1084"/>
      <c r="E2833" s="1084"/>
      <c r="F2833" s="1084"/>
      <c r="G2833" s="1084"/>
      <c r="H2833" s="1084"/>
      <c r="I2833" s="1084"/>
      <c r="J2833" s="1084"/>
      <c r="K2833" s="1084"/>
      <c r="L2833" s="1084"/>
      <c r="M2833" s="1084"/>
      <c r="N2833" s="1084"/>
      <c r="O2833" s="1084"/>
      <c r="P2833" s="1084"/>
      <c r="Q2833" s="1084"/>
      <c r="R2833" s="1084"/>
      <c r="S2833" s="1084"/>
      <c r="T2833" s="1084"/>
      <c r="U2833" s="1084"/>
      <c r="V2833" s="1084"/>
      <c r="W2833" s="1084"/>
      <c r="X2833" s="1084"/>
      <c r="Y2833" s="1084"/>
      <c r="Z2833" s="1084"/>
      <c r="AA2833" s="1084"/>
      <c r="AB2833" s="1084"/>
      <c r="AC2833" s="1084"/>
      <c r="AD2833" s="1084"/>
      <c r="AE2833" s="1084"/>
      <c r="AF2833" s="1084"/>
      <c r="AG2833" s="1084"/>
      <c r="AH2833" s="1084"/>
      <c r="AI2833" s="1084"/>
      <c r="AJ2833" s="1084"/>
      <c r="AK2833" s="1084"/>
      <c r="AL2833" s="1084"/>
      <c r="AM2833" s="1084"/>
      <c r="AN2833" s="1084"/>
      <c r="AO2833" s="1084"/>
      <c r="AP2833" s="1084"/>
      <c r="AQ2833" s="1084"/>
      <c r="AR2833" s="1084"/>
      <c r="AS2833" s="1084"/>
      <c r="AT2833" s="1084"/>
      <c r="AU2833" s="1084"/>
      <c r="AV2833" s="1084"/>
      <c r="AW2833" s="869"/>
      <c r="AX2833" s="332"/>
      <c r="AY2833" s="332"/>
      <c r="AZ2833" s="332"/>
      <c r="BA2833" s="332"/>
      <c r="BB2833" s="332"/>
      <c r="BC2833" s="332"/>
      <c r="BD2833" s="332"/>
      <c r="BE2833" s="332"/>
      <c r="BF2833" s="332"/>
      <c r="BG2833" s="332"/>
      <c r="BH2833" s="332"/>
      <c r="BI2833" s="332"/>
      <c r="BJ2833" s="332"/>
      <c r="BK2833" s="332"/>
      <c r="BL2833" s="1085"/>
      <c r="BM2833" s="869"/>
      <c r="BN2833" s="332"/>
      <c r="BO2833" s="332"/>
      <c r="BP2833" s="332"/>
      <c r="BQ2833" s="332"/>
      <c r="BR2833" s="332"/>
      <c r="BS2833" s="332"/>
      <c r="BT2833" s="332"/>
      <c r="BU2833" s="332"/>
      <c r="BV2833" s="332"/>
      <c r="BW2833" s="332"/>
      <c r="BX2833" s="332"/>
      <c r="BY2833" s="332"/>
      <c r="BZ2833" s="1096"/>
      <c r="CA2833" s="270"/>
      <c r="CB2833" s="3" t="str">
        <f t="shared" si="506"/>
        <v>Riadok bude skrytý.</v>
      </c>
      <c r="CC2833" s="271" t="s">
        <v>832</v>
      </c>
      <c r="CW2833" s="30">
        <f t="shared" si="510"/>
        <v>0</v>
      </c>
      <c r="CX2833" s="30">
        <f t="shared" si="513"/>
        <v>0</v>
      </c>
      <c r="CZ2833" s="30">
        <f t="shared" si="507"/>
        <v>1</v>
      </c>
      <c r="DA2833" s="52">
        <f t="shared" si="514"/>
        <v>0</v>
      </c>
      <c r="DB2833" s="2">
        <f t="shared" si="509"/>
        <v>0</v>
      </c>
      <c r="DS2833" s="130">
        <f>SI!BY2833</f>
        <v>183</v>
      </c>
      <c r="DZ2833" s="131">
        <f>SI!BZ2833</f>
        <v>0</v>
      </c>
    </row>
    <row r="2834" spans="1:130" hidden="1" x14ac:dyDescent="0.25">
      <c r="A2834" s="141"/>
      <c r="B2834" s="1083"/>
      <c r="C2834" s="1084"/>
      <c r="D2834" s="1084"/>
      <c r="E2834" s="1084"/>
      <c r="F2834" s="1084"/>
      <c r="G2834" s="1084"/>
      <c r="H2834" s="1084"/>
      <c r="I2834" s="1084"/>
      <c r="J2834" s="1084"/>
      <c r="K2834" s="1084"/>
      <c r="L2834" s="1084"/>
      <c r="M2834" s="1084"/>
      <c r="N2834" s="1084"/>
      <c r="O2834" s="1084"/>
      <c r="P2834" s="1084"/>
      <c r="Q2834" s="1084"/>
      <c r="R2834" s="1084"/>
      <c r="S2834" s="1084"/>
      <c r="T2834" s="1084"/>
      <c r="U2834" s="1084"/>
      <c r="V2834" s="1084"/>
      <c r="W2834" s="1084"/>
      <c r="X2834" s="1084"/>
      <c r="Y2834" s="1084"/>
      <c r="Z2834" s="1084"/>
      <c r="AA2834" s="1084"/>
      <c r="AB2834" s="1084"/>
      <c r="AC2834" s="1084"/>
      <c r="AD2834" s="1084"/>
      <c r="AE2834" s="1084"/>
      <c r="AF2834" s="1084"/>
      <c r="AG2834" s="1084"/>
      <c r="AH2834" s="1084"/>
      <c r="AI2834" s="1084"/>
      <c r="AJ2834" s="1084"/>
      <c r="AK2834" s="1084"/>
      <c r="AL2834" s="1084"/>
      <c r="AM2834" s="1084"/>
      <c r="AN2834" s="1084"/>
      <c r="AO2834" s="1084"/>
      <c r="AP2834" s="1084"/>
      <c r="AQ2834" s="1084"/>
      <c r="AR2834" s="1084"/>
      <c r="AS2834" s="1084"/>
      <c r="AT2834" s="1084"/>
      <c r="AU2834" s="1084"/>
      <c r="AV2834" s="1084"/>
      <c r="AW2834" s="869"/>
      <c r="AX2834" s="332"/>
      <c r="AY2834" s="332"/>
      <c r="AZ2834" s="332"/>
      <c r="BA2834" s="332"/>
      <c r="BB2834" s="332"/>
      <c r="BC2834" s="332"/>
      <c r="BD2834" s="332"/>
      <c r="BE2834" s="332"/>
      <c r="BF2834" s="332"/>
      <c r="BG2834" s="332"/>
      <c r="BH2834" s="332"/>
      <c r="BI2834" s="332"/>
      <c r="BJ2834" s="332"/>
      <c r="BK2834" s="332"/>
      <c r="BL2834" s="1085"/>
      <c r="BM2834" s="869"/>
      <c r="BN2834" s="332"/>
      <c r="BO2834" s="332"/>
      <c r="BP2834" s="332"/>
      <c r="BQ2834" s="332"/>
      <c r="BR2834" s="332"/>
      <c r="BS2834" s="332"/>
      <c r="BT2834" s="332"/>
      <c r="BU2834" s="332"/>
      <c r="BV2834" s="332"/>
      <c r="BW2834" s="332"/>
      <c r="BX2834" s="332"/>
      <c r="BY2834" s="332"/>
      <c r="BZ2834" s="1096"/>
      <c r="CA2834" s="270"/>
      <c r="CB2834" s="3" t="str">
        <f t="shared" si="506"/>
        <v>Riadok bude skrytý.</v>
      </c>
      <c r="CC2834" s="271" t="s">
        <v>832</v>
      </c>
      <c r="CW2834" s="30">
        <f t="shared" si="510"/>
        <v>0</v>
      </c>
      <c r="CX2834" s="30">
        <f t="shared" si="513"/>
        <v>0</v>
      </c>
      <c r="CZ2834" s="30">
        <f t="shared" si="507"/>
        <v>1</v>
      </c>
      <c r="DA2834" s="52">
        <f t="shared" si="514"/>
        <v>0</v>
      </c>
      <c r="DB2834" s="2">
        <f t="shared" si="509"/>
        <v>0</v>
      </c>
      <c r="DS2834" s="130">
        <f>SI!BY2834</f>
        <v>1010</v>
      </c>
      <c r="DZ2834" s="131">
        <f>SI!BZ2834</f>
        <v>0</v>
      </c>
    </row>
    <row r="2835" spans="1:130" hidden="1" x14ac:dyDescent="0.25">
      <c r="A2835" s="141"/>
      <c r="B2835" s="1083"/>
      <c r="C2835" s="1084"/>
      <c r="D2835" s="1084"/>
      <c r="E2835" s="1084"/>
      <c r="F2835" s="1084"/>
      <c r="G2835" s="1084"/>
      <c r="H2835" s="1084"/>
      <c r="I2835" s="1084"/>
      <c r="J2835" s="1084"/>
      <c r="K2835" s="1084"/>
      <c r="L2835" s="1084"/>
      <c r="M2835" s="1084"/>
      <c r="N2835" s="1084"/>
      <c r="O2835" s="1084"/>
      <c r="P2835" s="1084"/>
      <c r="Q2835" s="1084"/>
      <c r="R2835" s="1084"/>
      <c r="S2835" s="1084"/>
      <c r="T2835" s="1084"/>
      <c r="U2835" s="1084"/>
      <c r="V2835" s="1084"/>
      <c r="W2835" s="1084"/>
      <c r="X2835" s="1084"/>
      <c r="Y2835" s="1084"/>
      <c r="Z2835" s="1084"/>
      <c r="AA2835" s="1084"/>
      <c r="AB2835" s="1084"/>
      <c r="AC2835" s="1084"/>
      <c r="AD2835" s="1084"/>
      <c r="AE2835" s="1084"/>
      <c r="AF2835" s="1084"/>
      <c r="AG2835" s="1084"/>
      <c r="AH2835" s="1084"/>
      <c r="AI2835" s="1084"/>
      <c r="AJ2835" s="1084"/>
      <c r="AK2835" s="1084"/>
      <c r="AL2835" s="1084"/>
      <c r="AM2835" s="1084"/>
      <c r="AN2835" s="1084"/>
      <c r="AO2835" s="1084"/>
      <c r="AP2835" s="1084"/>
      <c r="AQ2835" s="1084"/>
      <c r="AR2835" s="1084"/>
      <c r="AS2835" s="1084"/>
      <c r="AT2835" s="1084"/>
      <c r="AU2835" s="1084"/>
      <c r="AV2835" s="1084"/>
      <c r="AW2835" s="869"/>
      <c r="AX2835" s="332"/>
      <c r="AY2835" s="332"/>
      <c r="AZ2835" s="332"/>
      <c r="BA2835" s="332"/>
      <c r="BB2835" s="332"/>
      <c r="BC2835" s="332"/>
      <c r="BD2835" s="332"/>
      <c r="BE2835" s="332"/>
      <c r="BF2835" s="332"/>
      <c r="BG2835" s="332"/>
      <c r="BH2835" s="332"/>
      <c r="BI2835" s="332"/>
      <c r="BJ2835" s="332"/>
      <c r="BK2835" s="332"/>
      <c r="BL2835" s="1085"/>
      <c r="BM2835" s="869"/>
      <c r="BN2835" s="332"/>
      <c r="BO2835" s="332"/>
      <c r="BP2835" s="332"/>
      <c r="BQ2835" s="332"/>
      <c r="BR2835" s="332"/>
      <c r="BS2835" s="332"/>
      <c r="BT2835" s="332"/>
      <c r="BU2835" s="332"/>
      <c r="BV2835" s="332"/>
      <c r="BW2835" s="332"/>
      <c r="BX2835" s="332"/>
      <c r="BY2835" s="332"/>
      <c r="BZ2835" s="1096"/>
      <c r="CA2835" s="270"/>
      <c r="CB2835" s="3" t="str">
        <f t="shared" si="506"/>
        <v>Riadok bude skrytý.</v>
      </c>
      <c r="CC2835" s="271" t="s">
        <v>832</v>
      </c>
      <c r="CW2835" s="30">
        <f t="shared" si="510"/>
        <v>0</v>
      </c>
      <c r="CX2835" s="30">
        <f t="shared" si="513"/>
        <v>0</v>
      </c>
      <c r="CZ2835" s="30">
        <f t="shared" si="507"/>
        <v>1</v>
      </c>
      <c r="DA2835" s="52">
        <f t="shared" si="514"/>
        <v>0</v>
      </c>
      <c r="DB2835" s="2">
        <f t="shared" si="509"/>
        <v>0</v>
      </c>
      <c r="DS2835" s="130">
        <f>SI!BY2835</f>
        <v>147</v>
      </c>
      <c r="DZ2835" s="131">
        <f>SI!BZ2835</f>
        <v>0</v>
      </c>
    </row>
    <row r="2836" spans="1:130" hidden="1" x14ac:dyDescent="0.25">
      <c r="A2836" s="141"/>
      <c r="B2836" s="1083"/>
      <c r="C2836" s="1084"/>
      <c r="D2836" s="1084"/>
      <c r="E2836" s="1084"/>
      <c r="F2836" s="1084"/>
      <c r="G2836" s="1084"/>
      <c r="H2836" s="1084"/>
      <c r="I2836" s="1084"/>
      <c r="J2836" s="1084"/>
      <c r="K2836" s="1084"/>
      <c r="L2836" s="1084"/>
      <c r="M2836" s="1084"/>
      <c r="N2836" s="1084"/>
      <c r="O2836" s="1084"/>
      <c r="P2836" s="1084"/>
      <c r="Q2836" s="1084"/>
      <c r="R2836" s="1084"/>
      <c r="S2836" s="1084"/>
      <c r="T2836" s="1084"/>
      <c r="U2836" s="1084"/>
      <c r="V2836" s="1084"/>
      <c r="W2836" s="1084"/>
      <c r="X2836" s="1084"/>
      <c r="Y2836" s="1084"/>
      <c r="Z2836" s="1084"/>
      <c r="AA2836" s="1084"/>
      <c r="AB2836" s="1084"/>
      <c r="AC2836" s="1084"/>
      <c r="AD2836" s="1084"/>
      <c r="AE2836" s="1084"/>
      <c r="AF2836" s="1084"/>
      <c r="AG2836" s="1084"/>
      <c r="AH2836" s="1084"/>
      <c r="AI2836" s="1084"/>
      <c r="AJ2836" s="1084"/>
      <c r="AK2836" s="1084"/>
      <c r="AL2836" s="1084"/>
      <c r="AM2836" s="1084"/>
      <c r="AN2836" s="1084"/>
      <c r="AO2836" s="1084"/>
      <c r="AP2836" s="1084"/>
      <c r="AQ2836" s="1084"/>
      <c r="AR2836" s="1084"/>
      <c r="AS2836" s="1084"/>
      <c r="AT2836" s="1084"/>
      <c r="AU2836" s="1084"/>
      <c r="AV2836" s="1084"/>
      <c r="AW2836" s="869"/>
      <c r="AX2836" s="332"/>
      <c r="AY2836" s="332"/>
      <c r="AZ2836" s="332"/>
      <c r="BA2836" s="332"/>
      <c r="BB2836" s="332"/>
      <c r="BC2836" s="332"/>
      <c r="BD2836" s="332"/>
      <c r="BE2836" s="332"/>
      <c r="BF2836" s="332"/>
      <c r="BG2836" s="332"/>
      <c r="BH2836" s="332"/>
      <c r="BI2836" s="332"/>
      <c r="BJ2836" s="332"/>
      <c r="BK2836" s="332"/>
      <c r="BL2836" s="1085"/>
      <c r="BM2836" s="869"/>
      <c r="BN2836" s="332"/>
      <c r="BO2836" s="332"/>
      <c r="BP2836" s="332"/>
      <c r="BQ2836" s="332"/>
      <c r="BR2836" s="332"/>
      <c r="BS2836" s="332"/>
      <c r="BT2836" s="332"/>
      <c r="BU2836" s="332"/>
      <c r="BV2836" s="332"/>
      <c r="BW2836" s="332"/>
      <c r="BX2836" s="332"/>
      <c r="BY2836" s="332"/>
      <c r="BZ2836" s="1096"/>
      <c r="CA2836" s="270"/>
      <c r="CB2836" s="3" t="str">
        <f t="shared" si="506"/>
        <v>Riadok bude skrytý.</v>
      </c>
      <c r="CC2836" s="271" t="s">
        <v>832</v>
      </c>
      <c r="CW2836" s="30">
        <f t="shared" si="510"/>
        <v>0</v>
      </c>
      <c r="CX2836" s="30">
        <f t="shared" si="513"/>
        <v>0</v>
      </c>
      <c r="CZ2836" s="30">
        <f t="shared" si="507"/>
        <v>1</v>
      </c>
      <c r="DA2836" s="52">
        <f t="shared" si="514"/>
        <v>0</v>
      </c>
      <c r="DB2836" s="2">
        <f t="shared" si="509"/>
        <v>0</v>
      </c>
      <c r="DS2836" s="130">
        <f>SI!BY2836</f>
        <v>302</v>
      </c>
      <c r="DZ2836" s="131">
        <f>SI!BZ2836</f>
        <v>0</v>
      </c>
    </row>
    <row r="2837" spans="1:130" hidden="1" x14ac:dyDescent="0.25">
      <c r="A2837" s="141"/>
      <c r="B2837" s="1083"/>
      <c r="C2837" s="1084"/>
      <c r="D2837" s="1084"/>
      <c r="E2837" s="1084"/>
      <c r="F2837" s="1084"/>
      <c r="G2837" s="1084"/>
      <c r="H2837" s="1084"/>
      <c r="I2837" s="1084"/>
      <c r="J2837" s="1084"/>
      <c r="K2837" s="1084"/>
      <c r="L2837" s="1084"/>
      <c r="M2837" s="1084"/>
      <c r="N2837" s="1084"/>
      <c r="O2837" s="1084"/>
      <c r="P2837" s="1084"/>
      <c r="Q2837" s="1084"/>
      <c r="R2837" s="1084"/>
      <c r="S2837" s="1084"/>
      <c r="T2837" s="1084"/>
      <c r="U2837" s="1084"/>
      <c r="V2837" s="1084"/>
      <c r="W2837" s="1084"/>
      <c r="X2837" s="1084"/>
      <c r="Y2837" s="1084"/>
      <c r="Z2837" s="1084"/>
      <c r="AA2837" s="1084"/>
      <c r="AB2837" s="1084"/>
      <c r="AC2837" s="1084"/>
      <c r="AD2837" s="1084"/>
      <c r="AE2837" s="1084"/>
      <c r="AF2837" s="1084"/>
      <c r="AG2837" s="1084"/>
      <c r="AH2837" s="1084"/>
      <c r="AI2837" s="1084"/>
      <c r="AJ2837" s="1084"/>
      <c r="AK2837" s="1084"/>
      <c r="AL2837" s="1084"/>
      <c r="AM2837" s="1084"/>
      <c r="AN2837" s="1084"/>
      <c r="AO2837" s="1084"/>
      <c r="AP2837" s="1084"/>
      <c r="AQ2837" s="1084"/>
      <c r="AR2837" s="1084"/>
      <c r="AS2837" s="1084"/>
      <c r="AT2837" s="1084"/>
      <c r="AU2837" s="1084"/>
      <c r="AV2837" s="1084"/>
      <c r="AW2837" s="869"/>
      <c r="AX2837" s="332"/>
      <c r="AY2837" s="332"/>
      <c r="AZ2837" s="332"/>
      <c r="BA2837" s="332"/>
      <c r="BB2837" s="332"/>
      <c r="BC2837" s="332"/>
      <c r="BD2837" s="332"/>
      <c r="BE2837" s="332"/>
      <c r="BF2837" s="332"/>
      <c r="BG2837" s="332"/>
      <c r="BH2837" s="332"/>
      <c r="BI2837" s="332"/>
      <c r="BJ2837" s="332"/>
      <c r="BK2837" s="332"/>
      <c r="BL2837" s="1085"/>
      <c r="BM2837" s="869"/>
      <c r="BN2837" s="332"/>
      <c r="BO2837" s="332"/>
      <c r="BP2837" s="332"/>
      <c r="BQ2837" s="332"/>
      <c r="BR2837" s="332"/>
      <c r="BS2837" s="332"/>
      <c r="BT2837" s="332"/>
      <c r="BU2837" s="332"/>
      <c r="BV2837" s="332"/>
      <c r="BW2837" s="332"/>
      <c r="BX2837" s="332"/>
      <c r="BY2837" s="332"/>
      <c r="BZ2837" s="1096"/>
      <c r="CA2837" s="270"/>
      <c r="CB2837" s="3" t="str">
        <f t="shared" si="506"/>
        <v>Riadok bude skrytý.</v>
      </c>
      <c r="CC2837" s="271" t="s">
        <v>832</v>
      </c>
      <c r="CW2837" s="30">
        <f t="shared" si="510"/>
        <v>0</v>
      </c>
      <c r="CX2837" s="30">
        <f t="shared" si="513"/>
        <v>0</v>
      </c>
      <c r="CZ2837" s="30">
        <f t="shared" si="507"/>
        <v>1</v>
      </c>
      <c r="DA2837" s="52">
        <f t="shared" si="514"/>
        <v>0</v>
      </c>
      <c r="DB2837" s="2">
        <f t="shared" si="509"/>
        <v>0</v>
      </c>
      <c r="DS2837" s="130">
        <f>SI!BY2837</f>
        <v>191</v>
      </c>
      <c r="DZ2837" s="131">
        <f>SI!BZ2837</f>
        <v>0</v>
      </c>
    </row>
    <row r="2838" spans="1:130" hidden="1" x14ac:dyDescent="0.25">
      <c r="A2838" s="141"/>
      <c r="B2838" s="1083"/>
      <c r="C2838" s="1084"/>
      <c r="D2838" s="1084"/>
      <c r="E2838" s="1084"/>
      <c r="F2838" s="1084"/>
      <c r="G2838" s="1084"/>
      <c r="H2838" s="1084"/>
      <c r="I2838" s="1084"/>
      <c r="J2838" s="1084"/>
      <c r="K2838" s="1084"/>
      <c r="L2838" s="1084"/>
      <c r="M2838" s="1084"/>
      <c r="N2838" s="1084"/>
      <c r="O2838" s="1084"/>
      <c r="P2838" s="1084"/>
      <c r="Q2838" s="1084"/>
      <c r="R2838" s="1084"/>
      <c r="S2838" s="1084"/>
      <c r="T2838" s="1084"/>
      <c r="U2838" s="1084"/>
      <c r="V2838" s="1084"/>
      <c r="W2838" s="1084"/>
      <c r="X2838" s="1084"/>
      <c r="Y2838" s="1084"/>
      <c r="Z2838" s="1084"/>
      <c r="AA2838" s="1084"/>
      <c r="AB2838" s="1084"/>
      <c r="AC2838" s="1084"/>
      <c r="AD2838" s="1084"/>
      <c r="AE2838" s="1084"/>
      <c r="AF2838" s="1084"/>
      <c r="AG2838" s="1084"/>
      <c r="AH2838" s="1084"/>
      <c r="AI2838" s="1084"/>
      <c r="AJ2838" s="1084"/>
      <c r="AK2838" s="1084"/>
      <c r="AL2838" s="1084"/>
      <c r="AM2838" s="1084"/>
      <c r="AN2838" s="1084"/>
      <c r="AO2838" s="1084"/>
      <c r="AP2838" s="1084"/>
      <c r="AQ2838" s="1084"/>
      <c r="AR2838" s="1084"/>
      <c r="AS2838" s="1084"/>
      <c r="AT2838" s="1084"/>
      <c r="AU2838" s="1084"/>
      <c r="AV2838" s="1084"/>
      <c r="AW2838" s="869"/>
      <c r="AX2838" s="332"/>
      <c r="AY2838" s="332"/>
      <c r="AZ2838" s="332"/>
      <c r="BA2838" s="332"/>
      <c r="BB2838" s="332"/>
      <c r="BC2838" s="332"/>
      <c r="BD2838" s="332"/>
      <c r="BE2838" s="332"/>
      <c r="BF2838" s="332"/>
      <c r="BG2838" s="332"/>
      <c r="BH2838" s="332"/>
      <c r="BI2838" s="332"/>
      <c r="BJ2838" s="332"/>
      <c r="BK2838" s="332"/>
      <c r="BL2838" s="1085"/>
      <c r="BM2838" s="869"/>
      <c r="BN2838" s="332"/>
      <c r="BO2838" s="332"/>
      <c r="BP2838" s="332"/>
      <c r="BQ2838" s="332"/>
      <c r="BR2838" s="332"/>
      <c r="BS2838" s="332"/>
      <c r="BT2838" s="332"/>
      <c r="BU2838" s="332"/>
      <c r="BV2838" s="332"/>
      <c r="BW2838" s="332"/>
      <c r="BX2838" s="332"/>
      <c r="BY2838" s="332"/>
      <c r="BZ2838" s="1096"/>
      <c r="CA2838" s="270"/>
      <c r="CB2838" s="3" t="str">
        <f t="shared" si="506"/>
        <v>Riadok bude skrytý.</v>
      </c>
      <c r="CC2838" s="271" t="s">
        <v>832</v>
      </c>
      <c r="CW2838" s="30">
        <f t="shared" si="510"/>
        <v>0</v>
      </c>
      <c r="CX2838" s="30">
        <f t="shared" si="513"/>
        <v>0</v>
      </c>
      <c r="CZ2838" s="30">
        <f t="shared" si="507"/>
        <v>1</v>
      </c>
      <c r="DA2838" s="52">
        <f t="shared" si="514"/>
        <v>0</v>
      </c>
      <c r="DB2838" s="2">
        <f t="shared" si="509"/>
        <v>0</v>
      </c>
      <c r="DS2838" s="130">
        <f>SI!BY2838</f>
        <v>122</v>
      </c>
      <c r="DZ2838" s="131">
        <f>SI!BZ2838</f>
        <v>0</v>
      </c>
    </row>
    <row r="2839" spans="1:130" hidden="1" x14ac:dyDescent="0.25">
      <c r="A2839" s="141"/>
      <c r="B2839" s="1083" t="s">
        <v>760</v>
      </c>
      <c r="C2839" s="1084"/>
      <c r="D2839" s="1084"/>
      <c r="E2839" s="1084"/>
      <c r="F2839" s="1084"/>
      <c r="G2839" s="1084"/>
      <c r="H2839" s="1084"/>
      <c r="I2839" s="1084"/>
      <c r="J2839" s="1084"/>
      <c r="K2839" s="1084"/>
      <c r="L2839" s="1084"/>
      <c r="M2839" s="1084"/>
      <c r="N2839" s="1084"/>
      <c r="O2839" s="1084"/>
      <c r="P2839" s="1084"/>
      <c r="Q2839" s="1084"/>
      <c r="R2839" s="1084"/>
      <c r="S2839" s="1084"/>
      <c r="T2839" s="1084"/>
      <c r="U2839" s="1084"/>
      <c r="V2839" s="1084"/>
      <c r="W2839" s="1084"/>
      <c r="X2839" s="1084"/>
      <c r="Y2839" s="1084"/>
      <c r="Z2839" s="1084"/>
      <c r="AA2839" s="1084"/>
      <c r="AB2839" s="1084"/>
      <c r="AC2839" s="1084"/>
      <c r="AD2839" s="1084"/>
      <c r="AE2839" s="1084"/>
      <c r="AF2839" s="1084"/>
      <c r="AG2839" s="1084"/>
      <c r="AH2839" s="1084"/>
      <c r="AI2839" s="1084"/>
      <c r="AJ2839" s="1084"/>
      <c r="AK2839" s="1084"/>
      <c r="AL2839" s="1084"/>
      <c r="AM2839" s="1084"/>
      <c r="AN2839" s="1084"/>
      <c r="AO2839" s="1084"/>
      <c r="AP2839" s="1084"/>
      <c r="AQ2839" s="1084"/>
      <c r="AR2839" s="1084"/>
      <c r="AS2839" s="1084"/>
      <c r="AT2839" s="1084"/>
      <c r="AU2839" s="1084"/>
      <c r="AV2839" s="1084"/>
      <c r="AW2839" s="1080"/>
      <c r="AX2839" s="1081"/>
      <c r="AY2839" s="1081"/>
      <c r="AZ2839" s="1081"/>
      <c r="BA2839" s="1081"/>
      <c r="BB2839" s="1081"/>
      <c r="BC2839" s="1081"/>
      <c r="BD2839" s="1081"/>
      <c r="BE2839" s="1081"/>
      <c r="BF2839" s="1081"/>
      <c r="BG2839" s="1081"/>
      <c r="BH2839" s="1081"/>
      <c r="BI2839" s="1081"/>
      <c r="BJ2839" s="1081"/>
      <c r="BK2839" s="1081"/>
      <c r="BL2839" s="1137"/>
      <c r="BM2839" s="1080"/>
      <c r="BN2839" s="1081"/>
      <c r="BO2839" s="1081"/>
      <c r="BP2839" s="1081"/>
      <c r="BQ2839" s="1081"/>
      <c r="BR2839" s="1081"/>
      <c r="BS2839" s="1081"/>
      <c r="BT2839" s="1081"/>
      <c r="BU2839" s="1081"/>
      <c r="BV2839" s="1081"/>
      <c r="BW2839" s="1081"/>
      <c r="BX2839" s="1081"/>
      <c r="BY2839" s="1081"/>
      <c r="BZ2839" s="1082"/>
      <c r="CA2839" s="142"/>
      <c r="CB2839" s="3" t="str">
        <f t="shared" si="506"/>
        <v>Riadok bude skrytý.</v>
      </c>
      <c r="CC2839" s="271" t="s">
        <v>832</v>
      </c>
      <c r="CW2839" s="30">
        <f t="shared" si="510"/>
        <v>0</v>
      </c>
      <c r="CZ2839" s="30">
        <f t="shared" si="507"/>
        <v>1</v>
      </c>
      <c r="DA2839" s="30">
        <f t="shared" ref="DA2839:DA2844" si="515">+IF(CW2839+CX2839+CY2839=0,0,IF(CZ2839=0,0,1))</f>
        <v>0</v>
      </c>
      <c r="DB2839" s="2">
        <f t="shared" si="509"/>
        <v>0</v>
      </c>
      <c r="DS2839" s="130">
        <f>SI!BY2839</f>
        <v>106</v>
      </c>
      <c r="DZ2839" s="131">
        <f>SI!BZ2839</f>
        <v>0</v>
      </c>
    </row>
    <row r="2840" spans="1:130" hidden="1" x14ac:dyDescent="0.25">
      <c r="A2840" s="141"/>
      <c r="B2840" s="401" t="s">
        <v>365</v>
      </c>
      <c r="C2840" s="402"/>
      <c r="D2840" s="402"/>
      <c r="E2840" s="402"/>
      <c r="F2840" s="402"/>
      <c r="G2840" s="402"/>
      <c r="H2840" s="402"/>
      <c r="I2840" s="402"/>
      <c r="J2840" s="402"/>
      <c r="K2840" s="402"/>
      <c r="L2840" s="402"/>
      <c r="M2840" s="402"/>
      <c r="N2840" s="402"/>
      <c r="O2840" s="402"/>
      <c r="P2840" s="402"/>
      <c r="Q2840" s="402"/>
      <c r="R2840" s="402"/>
      <c r="S2840" s="402"/>
      <c r="T2840" s="402"/>
      <c r="U2840" s="402"/>
      <c r="V2840" s="402"/>
      <c r="W2840" s="402"/>
      <c r="X2840" s="402"/>
      <c r="Y2840" s="402"/>
      <c r="Z2840" s="402"/>
      <c r="AA2840" s="402"/>
      <c r="AB2840" s="402"/>
      <c r="AC2840" s="402"/>
      <c r="AD2840" s="402"/>
      <c r="AE2840" s="402"/>
      <c r="AF2840" s="402"/>
      <c r="AG2840" s="402"/>
      <c r="AH2840" s="402"/>
      <c r="AI2840" s="402"/>
      <c r="AJ2840" s="402"/>
      <c r="AK2840" s="402"/>
      <c r="AL2840" s="402"/>
      <c r="AM2840" s="402"/>
      <c r="AN2840" s="402"/>
      <c r="AO2840" s="402"/>
      <c r="AP2840" s="402"/>
      <c r="AQ2840" s="402"/>
      <c r="AR2840" s="402"/>
      <c r="AS2840" s="402"/>
      <c r="AT2840" s="402"/>
      <c r="AU2840" s="402"/>
      <c r="AV2840" s="402"/>
      <c r="AW2840" s="1077">
        <f>+AW2841+AW2843</f>
        <v>0</v>
      </c>
      <c r="AX2840" s="1078"/>
      <c r="AY2840" s="1078"/>
      <c r="AZ2840" s="1078"/>
      <c r="BA2840" s="1078"/>
      <c r="BB2840" s="1078"/>
      <c r="BC2840" s="1078"/>
      <c r="BD2840" s="1078"/>
      <c r="BE2840" s="1078"/>
      <c r="BF2840" s="1078"/>
      <c r="BG2840" s="1078"/>
      <c r="BH2840" s="1078"/>
      <c r="BI2840" s="1078"/>
      <c r="BJ2840" s="1078"/>
      <c r="BK2840" s="1078"/>
      <c r="BL2840" s="1139"/>
      <c r="BM2840" s="1077">
        <f>+BM2841+BM2843</f>
        <v>0</v>
      </c>
      <c r="BN2840" s="1078"/>
      <c r="BO2840" s="1078"/>
      <c r="BP2840" s="1078"/>
      <c r="BQ2840" s="1078"/>
      <c r="BR2840" s="1078"/>
      <c r="BS2840" s="1078"/>
      <c r="BT2840" s="1078"/>
      <c r="BU2840" s="1078"/>
      <c r="BV2840" s="1078"/>
      <c r="BW2840" s="1078"/>
      <c r="BX2840" s="1078"/>
      <c r="BY2840" s="1078"/>
      <c r="BZ2840" s="1079"/>
      <c r="CA2840" s="142"/>
      <c r="CB2840" s="3" t="str">
        <f t="shared" si="506"/>
        <v>Riadok bude skrytý.</v>
      </c>
      <c r="CC2840" s="271" t="s">
        <v>832</v>
      </c>
      <c r="CW2840" s="30">
        <f t="shared" si="510"/>
        <v>0</v>
      </c>
      <c r="CZ2840" s="30">
        <f t="shared" si="507"/>
        <v>1</v>
      </c>
      <c r="DA2840" s="30">
        <f t="shared" si="515"/>
        <v>0</v>
      </c>
      <c r="DB2840" s="2">
        <f t="shared" si="509"/>
        <v>0</v>
      </c>
      <c r="DS2840" s="130">
        <f>SI!BY2840</f>
        <v>175</v>
      </c>
      <c r="DZ2840" s="131">
        <f>SI!BZ2840</f>
        <v>0</v>
      </c>
    </row>
    <row r="2841" spans="1:130" hidden="1" x14ac:dyDescent="0.25">
      <c r="A2841" s="141"/>
      <c r="B2841" s="1135" t="s">
        <v>366</v>
      </c>
      <c r="C2841" s="1136"/>
      <c r="D2841" s="1136"/>
      <c r="E2841" s="1136"/>
      <c r="F2841" s="1136"/>
      <c r="G2841" s="1136"/>
      <c r="H2841" s="1136"/>
      <c r="I2841" s="1136"/>
      <c r="J2841" s="1136"/>
      <c r="K2841" s="1136"/>
      <c r="L2841" s="1136"/>
      <c r="M2841" s="1136"/>
      <c r="N2841" s="1136"/>
      <c r="O2841" s="1136"/>
      <c r="P2841" s="1136"/>
      <c r="Q2841" s="1136"/>
      <c r="R2841" s="1136"/>
      <c r="S2841" s="1136"/>
      <c r="T2841" s="1136"/>
      <c r="U2841" s="1136"/>
      <c r="V2841" s="1136"/>
      <c r="W2841" s="1136"/>
      <c r="X2841" s="1136"/>
      <c r="Y2841" s="1136"/>
      <c r="Z2841" s="1136"/>
      <c r="AA2841" s="1136"/>
      <c r="AB2841" s="1136"/>
      <c r="AC2841" s="1136"/>
      <c r="AD2841" s="1136"/>
      <c r="AE2841" s="1136"/>
      <c r="AF2841" s="1136"/>
      <c r="AG2841" s="1136"/>
      <c r="AH2841" s="1136"/>
      <c r="AI2841" s="1136"/>
      <c r="AJ2841" s="1136"/>
      <c r="AK2841" s="1136"/>
      <c r="AL2841" s="1136"/>
      <c r="AM2841" s="1136"/>
      <c r="AN2841" s="1136"/>
      <c r="AO2841" s="1136"/>
      <c r="AP2841" s="1136"/>
      <c r="AQ2841" s="1136"/>
      <c r="AR2841" s="1136"/>
      <c r="AS2841" s="1136"/>
      <c r="AT2841" s="1136"/>
      <c r="AU2841" s="1136"/>
      <c r="AV2841" s="1136"/>
      <c r="AW2841" s="1002"/>
      <c r="AX2841" s="1003"/>
      <c r="AY2841" s="1003"/>
      <c r="AZ2841" s="1003"/>
      <c r="BA2841" s="1003"/>
      <c r="BB2841" s="1003"/>
      <c r="BC2841" s="1003"/>
      <c r="BD2841" s="1003"/>
      <c r="BE2841" s="1003"/>
      <c r="BF2841" s="1003"/>
      <c r="BG2841" s="1003"/>
      <c r="BH2841" s="1003"/>
      <c r="BI2841" s="1003"/>
      <c r="BJ2841" s="1003"/>
      <c r="BK2841" s="1003"/>
      <c r="BL2841" s="1573"/>
      <c r="BM2841" s="1002"/>
      <c r="BN2841" s="1003"/>
      <c r="BO2841" s="1003"/>
      <c r="BP2841" s="1003"/>
      <c r="BQ2841" s="1003"/>
      <c r="BR2841" s="1003"/>
      <c r="BS2841" s="1003"/>
      <c r="BT2841" s="1003"/>
      <c r="BU2841" s="1003"/>
      <c r="BV2841" s="1003"/>
      <c r="BW2841" s="1003"/>
      <c r="BX2841" s="1003"/>
      <c r="BY2841" s="1003"/>
      <c r="BZ2841" s="1138"/>
      <c r="CA2841" s="142"/>
      <c r="CB2841" s="3" t="str">
        <f t="shared" si="506"/>
        <v>Riadok bude skrytý.</v>
      </c>
      <c r="CC2841" s="271" t="s">
        <v>832</v>
      </c>
      <c r="CW2841" s="30">
        <f t="shared" si="510"/>
        <v>0</v>
      </c>
      <c r="CZ2841" s="30">
        <f t="shared" si="507"/>
        <v>1</v>
      </c>
      <c r="DA2841" s="30">
        <f t="shared" si="515"/>
        <v>0</v>
      </c>
      <c r="DB2841" s="2">
        <f t="shared" si="509"/>
        <v>0</v>
      </c>
      <c r="DS2841" s="130">
        <f>SI!BY2841</f>
        <v>4</v>
      </c>
      <c r="DZ2841" s="131">
        <f>SI!BZ2841</f>
        <v>0</v>
      </c>
    </row>
    <row r="2842" spans="1:130" hidden="1" x14ac:dyDescent="0.25">
      <c r="A2842" s="141"/>
      <c r="B2842" s="1176" t="s">
        <v>367</v>
      </c>
      <c r="C2842" s="1177"/>
      <c r="D2842" s="1177"/>
      <c r="E2842" s="1177"/>
      <c r="F2842" s="1177"/>
      <c r="G2842" s="1177"/>
      <c r="H2842" s="1177"/>
      <c r="I2842" s="1177"/>
      <c r="J2842" s="1177"/>
      <c r="K2842" s="1177"/>
      <c r="L2842" s="1177"/>
      <c r="M2842" s="1177"/>
      <c r="N2842" s="1177"/>
      <c r="O2842" s="1177"/>
      <c r="P2842" s="1177"/>
      <c r="Q2842" s="1177"/>
      <c r="R2842" s="1177"/>
      <c r="S2842" s="1177"/>
      <c r="T2842" s="1177"/>
      <c r="U2842" s="1177"/>
      <c r="V2842" s="1177"/>
      <c r="W2842" s="1177"/>
      <c r="X2842" s="1177"/>
      <c r="Y2842" s="1177"/>
      <c r="Z2842" s="1177"/>
      <c r="AA2842" s="1177"/>
      <c r="AB2842" s="1177"/>
      <c r="AC2842" s="1177"/>
      <c r="AD2842" s="1177"/>
      <c r="AE2842" s="1177"/>
      <c r="AF2842" s="1177"/>
      <c r="AG2842" s="1177"/>
      <c r="AH2842" s="1177"/>
      <c r="AI2842" s="1177"/>
      <c r="AJ2842" s="1177"/>
      <c r="AK2842" s="1177"/>
      <c r="AL2842" s="1177"/>
      <c r="AM2842" s="1177"/>
      <c r="AN2842" s="1177"/>
      <c r="AO2842" s="1177"/>
      <c r="AP2842" s="1177"/>
      <c r="AQ2842" s="1177"/>
      <c r="AR2842" s="1177"/>
      <c r="AS2842" s="1177"/>
      <c r="AT2842" s="1177"/>
      <c r="AU2842" s="1177"/>
      <c r="AV2842" s="1177"/>
      <c r="AW2842" s="1080"/>
      <c r="AX2842" s="1081"/>
      <c r="AY2842" s="1081"/>
      <c r="AZ2842" s="1081"/>
      <c r="BA2842" s="1081"/>
      <c r="BB2842" s="1081"/>
      <c r="BC2842" s="1081"/>
      <c r="BD2842" s="1081"/>
      <c r="BE2842" s="1081"/>
      <c r="BF2842" s="1081"/>
      <c r="BG2842" s="1081"/>
      <c r="BH2842" s="1081"/>
      <c r="BI2842" s="1081"/>
      <c r="BJ2842" s="1081"/>
      <c r="BK2842" s="1081"/>
      <c r="BL2842" s="1137"/>
      <c r="BM2842" s="1080"/>
      <c r="BN2842" s="1081"/>
      <c r="BO2842" s="1081"/>
      <c r="BP2842" s="1081"/>
      <c r="BQ2842" s="1081"/>
      <c r="BR2842" s="1081"/>
      <c r="BS2842" s="1081"/>
      <c r="BT2842" s="1081"/>
      <c r="BU2842" s="1081"/>
      <c r="BV2842" s="1081"/>
      <c r="BW2842" s="1081"/>
      <c r="BX2842" s="1081"/>
      <c r="BY2842" s="1081"/>
      <c r="BZ2842" s="1082"/>
      <c r="CA2842" s="142"/>
      <c r="CB2842" s="3" t="str">
        <f t="shared" si="506"/>
        <v>Riadok bude skrytý.</v>
      </c>
      <c r="CC2842" s="271" t="s">
        <v>832</v>
      </c>
      <c r="CW2842" s="30">
        <f t="shared" si="510"/>
        <v>0</v>
      </c>
      <c r="CZ2842" s="30">
        <f t="shared" si="507"/>
        <v>1</v>
      </c>
      <c r="DA2842" s="30">
        <f t="shared" si="515"/>
        <v>0</v>
      </c>
      <c r="DB2842" s="2">
        <f t="shared" si="509"/>
        <v>0</v>
      </c>
      <c r="DS2842" s="130">
        <f>SI!BY2842</f>
        <v>1060</v>
      </c>
      <c r="DZ2842" s="131">
        <f>SI!BZ2842</f>
        <v>0</v>
      </c>
    </row>
    <row r="2843" spans="1:130" hidden="1" x14ac:dyDescent="0.25">
      <c r="A2843" s="141"/>
      <c r="B2843" s="1167" t="s">
        <v>368</v>
      </c>
      <c r="C2843" s="1168"/>
      <c r="D2843" s="1168"/>
      <c r="E2843" s="1168"/>
      <c r="F2843" s="1168"/>
      <c r="G2843" s="1168"/>
      <c r="H2843" s="1168"/>
      <c r="I2843" s="1168"/>
      <c r="J2843" s="1168"/>
      <c r="K2843" s="1168"/>
      <c r="L2843" s="1168"/>
      <c r="M2843" s="1168"/>
      <c r="N2843" s="1168"/>
      <c r="O2843" s="1168"/>
      <c r="P2843" s="1168"/>
      <c r="Q2843" s="1168"/>
      <c r="R2843" s="1168"/>
      <c r="S2843" s="1168"/>
      <c r="T2843" s="1168"/>
      <c r="U2843" s="1168"/>
      <c r="V2843" s="1168"/>
      <c r="W2843" s="1168"/>
      <c r="X2843" s="1168"/>
      <c r="Y2843" s="1168"/>
      <c r="Z2843" s="1168"/>
      <c r="AA2843" s="1168"/>
      <c r="AB2843" s="1168"/>
      <c r="AC2843" s="1168"/>
      <c r="AD2843" s="1168"/>
      <c r="AE2843" s="1168"/>
      <c r="AF2843" s="1168"/>
      <c r="AG2843" s="1168"/>
      <c r="AH2843" s="1168"/>
      <c r="AI2843" s="1168"/>
      <c r="AJ2843" s="1168"/>
      <c r="AK2843" s="1168"/>
      <c r="AL2843" s="1168"/>
      <c r="AM2843" s="1168"/>
      <c r="AN2843" s="1168"/>
      <c r="AO2843" s="1168"/>
      <c r="AP2843" s="1168"/>
      <c r="AQ2843" s="1168"/>
      <c r="AR2843" s="1168"/>
      <c r="AS2843" s="1168"/>
      <c r="AT2843" s="1168"/>
      <c r="AU2843" s="1168"/>
      <c r="AV2843" s="1168"/>
      <c r="AW2843" s="1077">
        <f>+SUM(AW2844:BL2853)</f>
        <v>0</v>
      </c>
      <c r="AX2843" s="1078"/>
      <c r="AY2843" s="1078"/>
      <c r="AZ2843" s="1078"/>
      <c r="BA2843" s="1078"/>
      <c r="BB2843" s="1078"/>
      <c r="BC2843" s="1078"/>
      <c r="BD2843" s="1078"/>
      <c r="BE2843" s="1078"/>
      <c r="BF2843" s="1078"/>
      <c r="BG2843" s="1078"/>
      <c r="BH2843" s="1078"/>
      <c r="BI2843" s="1078"/>
      <c r="BJ2843" s="1078"/>
      <c r="BK2843" s="1078"/>
      <c r="BL2843" s="1139"/>
      <c r="BM2843" s="1077">
        <f>+SUM(BM2844:BZ2853)</f>
        <v>0</v>
      </c>
      <c r="BN2843" s="1078"/>
      <c r="BO2843" s="1078"/>
      <c r="BP2843" s="1078"/>
      <c r="BQ2843" s="1078"/>
      <c r="BR2843" s="1078"/>
      <c r="BS2843" s="1078"/>
      <c r="BT2843" s="1078"/>
      <c r="BU2843" s="1078"/>
      <c r="BV2843" s="1078"/>
      <c r="BW2843" s="1078"/>
      <c r="BX2843" s="1078"/>
      <c r="BY2843" s="1078"/>
      <c r="BZ2843" s="1079"/>
      <c r="CA2843" s="142"/>
      <c r="CB2843" s="3" t="str">
        <f t="shared" si="506"/>
        <v>Riadok bude skrytý.</v>
      </c>
      <c r="CC2843" s="271" t="s">
        <v>832</v>
      </c>
      <c r="CW2843" s="30">
        <f t="shared" si="510"/>
        <v>0</v>
      </c>
      <c r="CZ2843" s="30">
        <f t="shared" si="507"/>
        <v>1</v>
      </c>
      <c r="DA2843" s="30">
        <f t="shared" si="515"/>
        <v>0</v>
      </c>
      <c r="DB2843" s="2">
        <f t="shared" si="509"/>
        <v>0</v>
      </c>
      <c r="DS2843" s="130">
        <f>SI!BY2843</f>
        <v>146</v>
      </c>
      <c r="DZ2843" s="131">
        <f>SI!BZ2843</f>
        <v>0</v>
      </c>
    </row>
    <row r="2844" spans="1:130" hidden="1" x14ac:dyDescent="0.25">
      <c r="A2844" s="141"/>
      <c r="B2844" s="1083"/>
      <c r="C2844" s="1084"/>
      <c r="D2844" s="1084"/>
      <c r="E2844" s="1084"/>
      <c r="F2844" s="1084"/>
      <c r="G2844" s="1084"/>
      <c r="H2844" s="1084"/>
      <c r="I2844" s="1084"/>
      <c r="J2844" s="1084"/>
      <c r="K2844" s="1084"/>
      <c r="L2844" s="1084"/>
      <c r="M2844" s="1084"/>
      <c r="N2844" s="1084"/>
      <c r="O2844" s="1084"/>
      <c r="P2844" s="1084"/>
      <c r="Q2844" s="1084"/>
      <c r="R2844" s="1084"/>
      <c r="S2844" s="1084"/>
      <c r="T2844" s="1084"/>
      <c r="U2844" s="1084"/>
      <c r="V2844" s="1084"/>
      <c r="W2844" s="1084"/>
      <c r="X2844" s="1084"/>
      <c r="Y2844" s="1084"/>
      <c r="Z2844" s="1084"/>
      <c r="AA2844" s="1084"/>
      <c r="AB2844" s="1084"/>
      <c r="AC2844" s="1084"/>
      <c r="AD2844" s="1084"/>
      <c r="AE2844" s="1084"/>
      <c r="AF2844" s="1084"/>
      <c r="AG2844" s="1084"/>
      <c r="AH2844" s="1084"/>
      <c r="AI2844" s="1084"/>
      <c r="AJ2844" s="1084"/>
      <c r="AK2844" s="1084"/>
      <c r="AL2844" s="1084"/>
      <c r="AM2844" s="1084"/>
      <c r="AN2844" s="1084"/>
      <c r="AO2844" s="1084"/>
      <c r="AP2844" s="1084"/>
      <c r="AQ2844" s="1084"/>
      <c r="AR2844" s="1084"/>
      <c r="AS2844" s="1084"/>
      <c r="AT2844" s="1084"/>
      <c r="AU2844" s="1084"/>
      <c r="AV2844" s="1084"/>
      <c r="AW2844" s="1002"/>
      <c r="AX2844" s="1003"/>
      <c r="AY2844" s="1003"/>
      <c r="AZ2844" s="1003"/>
      <c r="BA2844" s="1003"/>
      <c r="BB2844" s="1003"/>
      <c r="BC2844" s="1003"/>
      <c r="BD2844" s="1003"/>
      <c r="BE2844" s="1003"/>
      <c r="BF2844" s="1003"/>
      <c r="BG2844" s="1003"/>
      <c r="BH2844" s="1003"/>
      <c r="BI2844" s="1003"/>
      <c r="BJ2844" s="1003"/>
      <c r="BK2844" s="1003"/>
      <c r="BL2844" s="1573"/>
      <c r="BM2844" s="1002"/>
      <c r="BN2844" s="1003"/>
      <c r="BO2844" s="1003"/>
      <c r="BP2844" s="1003"/>
      <c r="BQ2844" s="1003"/>
      <c r="BR2844" s="1003"/>
      <c r="BS2844" s="1003"/>
      <c r="BT2844" s="1003"/>
      <c r="BU2844" s="1003"/>
      <c r="BV2844" s="1003"/>
      <c r="BW2844" s="1003"/>
      <c r="BX2844" s="1003"/>
      <c r="BY2844" s="1003"/>
      <c r="BZ2844" s="1138"/>
      <c r="CA2844" s="142"/>
      <c r="CB2844" s="3" t="str">
        <f t="shared" si="506"/>
        <v>Riadok bude skrytý.</v>
      </c>
      <c r="CC2844" s="271" t="s">
        <v>832</v>
      </c>
      <c r="CW2844" s="30">
        <f t="shared" si="510"/>
        <v>0</v>
      </c>
      <c r="CZ2844" s="30">
        <f t="shared" si="507"/>
        <v>1</v>
      </c>
      <c r="DA2844" s="30">
        <f t="shared" si="515"/>
        <v>0</v>
      </c>
      <c r="DB2844" s="2">
        <f t="shared" si="509"/>
        <v>0</v>
      </c>
      <c r="DS2844" s="130">
        <f>SI!BY2844</f>
        <v>458</v>
      </c>
      <c r="DZ2844" s="131">
        <f>SI!BZ2844</f>
        <v>0</v>
      </c>
    </row>
    <row r="2845" spans="1:130" hidden="1" x14ac:dyDescent="0.25">
      <c r="A2845" s="141"/>
      <c r="B2845" s="1083"/>
      <c r="C2845" s="1084"/>
      <c r="D2845" s="1084"/>
      <c r="E2845" s="1084"/>
      <c r="F2845" s="1084"/>
      <c r="G2845" s="1084"/>
      <c r="H2845" s="1084"/>
      <c r="I2845" s="1084"/>
      <c r="J2845" s="1084"/>
      <c r="K2845" s="1084"/>
      <c r="L2845" s="1084"/>
      <c r="M2845" s="1084"/>
      <c r="N2845" s="1084"/>
      <c r="O2845" s="1084"/>
      <c r="P2845" s="1084"/>
      <c r="Q2845" s="1084"/>
      <c r="R2845" s="1084"/>
      <c r="S2845" s="1084"/>
      <c r="T2845" s="1084"/>
      <c r="U2845" s="1084"/>
      <c r="V2845" s="1084"/>
      <c r="W2845" s="1084"/>
      <c r="X2845" s="1084"/>
      <c r="Y2845" s="1084"/>
      <c r="Z2845" s="1084"/>
      <c r="AA2845" s="1084"/>
      <c r="AB2845" s="1084"/>
      <c r="AC2845" s="1084"/>
      <c r="AD2845" s="1084"/>
      <c r="AE2845" s="1084"/>
      <c r="AF2845" s="1084"/>
      <c r="AG2845" s="1084"/>
      <c r="AH2845" s="1084"/>
      <c r="AI2845" s="1084"/>
      <c r="AJ2845" s="1084"/>
      <c r="AK2845" s="1084"/>
      <c r="AL2845" s="1084"/>
      <c r="AM2845" s="1084"/>
      <c r="AN2845" s="1084"/>
      <c r="AO2845" s="1084"/>
      <c r="AP2845" s="1084"/>
      <c r="AQ2845" s="1084"/>
      <c r="AR2845" s="1084"/>
      <c r="AS2845" s="1084"/>
      <c r="AT2845" s="1084"/>
      <c r="AU2845" s="1084"/>
      <c r="AV2845" s="1084"/>
      <c r="AW2845" s="869"/>
      <c r="AX2845" s="332"/>
      <c r="AY2845" s="332"/>
      <c r="AZ2845" s="332"/>
      <c r="BA2845" s="332"/>
      <c r="BB2845" s="332"/>
      <c r="BC2845" s="332"/>
      <c r="BD2845" s="332"/>
      <c r="BE2845" s="332"/>
      <c r="BF2845" s="332"/>
      <c r="BG2845" s="332"/>
      <c r="BH2845" s="332"/>
      <c r="BI2845" s="332"/>
      <c r="BJ2845" s="332"/>
      <c r="BK2845" s="332"/>
      <c r="BL2845" s="1085"/>
      <c r="BM2845" s="869"/>
      <c r="BN2845" s="332"/>
      <c r="BO2845" s="332"/>
      <c r="BP2845" s="332"/>
      <c r="BQ2845" s="332"/>
      <c r="BR2845" s="332"/>
      <c r="BS2845" s="332"/>
      <c r="BT2845" s="332"/>
      <c r="BU2845" s="332"/>
      <c r="BV2845" s="332"/>
      <c r="BW2845" s="332"/>
      <c r="BX2845" s="332"/>
      <c r="BY2845" s="332"/>
      <c r="BZ2845" s="1096"/>
      <c r="CA2845" s="270"/>
      <c r="CB2845" s="3" t="str">
        <f t="shared" si="506"/>
        <v>Riadok bude skrytý.</v>
      </c>
      <c r="CC2845" s="271" t="s">
        <v>832</v>
      </c>
      <c r="CW2845" s="30">
        <f t="shared" si="510"/>
        <v>0</v>
      </c>
      <c r="CX2845" s="30">
        <f t="shared" ref="CX2845:CX2852" si="516">+IF(B2845="",0,1)</f>
        <v>0</v>
      </c>
      <c r="CZ2845" s="30">
        <f t="shared" si="507"/>
        <v>1</v>
      </c>
      <c r="DA2845" s="52">
        <f t="shared" ref="DA2845:DA2852" si="517">+IF(CW2845*CX2845=0,0,IF(CZ2845=0,0,1))</f>
        <v>0</v>
      </c>
      <c r="DB2845" s="2">
        <f t="shared" si="509"/>
        <v>0</v>
      </c>
      <c r="DS2845" s="130">
        <f>SI!BY2845</f>
        <v>148</v>
      </c>
      <c r="DZ2845" s="131">
        <f>SI!BZ2845</f>
        <v>0</v>
      </c>
    </row>
    <row r="2846" spans="1:130" hidden="1" x14ac:dyDescent="0.25">
      <c r="A2846" s="141"/>
      <c r="B2846" s="1083"/>
      <c r="C2846" s="1084"/>
      <c r="D2846" s="1084"/>
      <c r="E2846" s="1084"/>
      <c r="F2846" s="1084"/>
      <c r="G2846" s="1084"/>
      <c r="H2846" s="1084"/>
      <c r="I2846" s="1084"/>
      <c r="J2846" s="1084"/>
      <c r="K2846" s="1084"/>
      <c r="L2846" s="1084"/>
      <c r="M2846" s="1084"/>
      <c r="N2846" s="1084"/>
      <c r="O2846" s="1084"/>
      <c r="P2846" s="1084"/>
      <c r="Q2846" s="1084"/>
      <c r="R2846" s="1084"/>
      <c r="S2846" s="1084"/>
      <c r="T2846" s="1084"/>
      <c r="U2846" s="1084"/>
      <c r="V2846" s="1084"/>
      <c r="W2846" s="1084"/>
      <c r="X2846" s="1084"/>
      <c r="Y2846" s="1084"/>
      <c r="Z2846" s="1084"/>
      <c r="AA2846" s="1084"/>
      <c r="AB2846" s="1084"/>
      <c r="AC2846" s="1084"/>
      <c r="AD2846" s="1084"/>
      <c r="AE2846" s="1084"/>
      <c r="AF2846" s="1084"/>
      <c r="AG2846" s="1084"/>
      <c r="AH2846" s="1084"/>
      <c r="AI2846" s="1084"/>
      <c r="AJ2846" s="1084"/>
      <c r="AK2846" s="1084"/>
      <c r="AL2846" s="1084"/>
      <c r="AM2846" s="1084"/>
      <c r="AN2846" s="1084"/>
      <c r="AO2846" s="1084"/>
      <c r="AP2846" s="1084"/>
      <c r="AQ2846" s="1084"/>
      <c r="AR2846" s="1084"/>
      <c r="AS2846" s="1084"/>
      <c r="AT2846" s="1084"/>
      <c r="AU2846" s="1084"/>
      <c r="AV2846" s="1084"/>
      <c r="AW2846" s="869"/>
      <c r="AX2846" s="332"/>
      <c r="AY2846" s="332"/>
      <c r="AZ2846" s="332"/>
      <c r="BA2846" s="332"/>
      <c r="BB2846" s="332"/>
      <c r="BC2846" s="332"/>
      <c r="BD2846" s="332"/>
      <c r="BE2846" s="332"/>
      <c r="BF2846" s="332"/>
      <c r="BG2846" s="332"/>
      <c r="BH2846" s="332"/>
      <c r="BI2846" s="332"/>
      <c r="BJ2846" s="332"/>
      <c r="BK2846" s="332"/>
      <c r="BL2846" s="1085"/>
      <c r="BM2846" s="869"/>
      <c r="BN2846" s="332"/>
      <c r="BO2846" s="332"/>
      <c r="BP2846" s="332"/>
      <c r="BQ2846" s="332"/>
      <c r="BR2846" s="332"/>
      <c r="BS2846" s="332"/>
      <c r="BT2846" s="332"/>
      <c r="BU2846" s="332"/>
      <c r="BV2846" s="332"/>
      <c r="BW2846" s="332"/>
      <c r="BX2846" s="332"/>
      <c r="BY2846" s="332"/>
      <c r="BZ2846" s="1096"/>
      <c r="CA2846" s="270"/>
      <c r="CB2846" s="3" t="str">
        <f t="shared" si="506"/>
        <v>Riadok bude skrytý.</v>
      </c>
      <c r="CC2846" s="271" t="s">
        <v>832</v>
      </c>
      <c r="CW2846" s="30">
        <f t="shared" si="510"/>
        <v>0</v>
      </c>
      <c r="CX2846" s="30">
        <f t="shared" si="516"/>
        <v>0</v>
      </c>
      <c r="CZ2846" s="30">
        <f t="shared" si="507"/>
        <v>1</v>
      </c>
      <c r="DA2846" s="52">
        <f t="shared" si="517"/>
        <v>0</v>
      </c>
      <c r="DB2846" s="2">
        <f t="shared" si="509"/>
        <v>0</v>
      </c>
      <c r="DS2846" s="130">
        <f>SI!BY2846</f>
        <v>113</v>
      </c>
      <c r="DZ2846" s="131">
        <f>SI!BZ2846</f>
        <v>0</v>
      </c>
    </row>
    <row r="2847" spans="1:130" hidden="1" x14ac:dyDescent="0.25">
      <c r="A2847" s="141"/>
      <c r="B2847" s="1083"/>
      <c r="C2847" s="1084"/>
      <c r="D2847" s="1084"/>
      <c r="E2847" s="1084"/>
      <c r="F2847" s="1084"/>
      <c r="G2847" s="1084"/>
      <c r="H2847" s="1084"/>
      <c r="I2847" s="1084"/>
      <c r="J2847" s="1084"/>
      <c r="K2847" s="1084"/>
      <c r="L2847" s="1084"/>
      <c r="M2847" s="1084"/>
      <c r="N2847" s="1084"/>
      <c r="O2847" s="1084"/>
      <c r="P2847" s="1084"/>
      <c r="Q2847" s="1084"/>
      <c r="R2847" s="1084"/>
      <c r="S2847" s="1084"/>
      <c r="T2847" s="1084"/>
      <c r="U2847" s="1084"/>
      <c r="V2847" s="1084"/>
      <c r="W2847" s="1084"/>
      <c r="X2847" s="1084"/>
      <c r="Y2847" s="1084"/>
      <c r="Z2847" s="1084"/>
      <c r="AA2847" s="1084"/>
      <c r="AB2847" s="1084"/>
      <c r="AC2847" s="1084"/>
      <c r="AD2847" s="1084"/>
      <c r="AE2847" s="1084"/>
      <c r="AF2847" s="1084"/>
      <c r="AG2847" s="1084"/>
      <c r="AH2847" s="1084"/>
      <c r="AI2847" s="1084"/>
      <c r="AJ2847" s="1084"/>
      <c r="AK2847" s="1084"/>
      <c r="AL2847" s="1084"/>
      <c r="AM2847" s="1084"/>
      <c r="AN2847" s="1084"/>
      <c r="AO2847" s="1084"/>
      <c r="AP2847" s="1084"/>
      <c r="AQ2847" s="1084"/>
      <c r="AR2847" s="1084"/>
      <c r="AS2847" s="1084"/>
      <c r="AT2847" s="1084"/>
      <c r="AU2847" s="1084"/>
      <c r="AV2847" s="1084"/>
      <c r="AW2847" s="869"/>
      <c r="AX2847" s="332"/>
      <c r="AY2847" s="332"/>
      <c r="AZ2847" s="332"/>
      <c r="BA2847" s="332"/>
      <c r="BB2847" s="332"/>
      <c r="BC2847" s="332"/>
      <c r="BD2847" s="332"/>
      <c r="BE2847" s="332"/>
      <c r="BF2847" s="332"/>
      <c r="BG2847" s="332"/>
      <c r="BH2847" s="332"/>
      <c r="BI2847" s="332"/>
      <c r="BJ2847" s="332"/>
      <c r="BK2847" s="332"/>
      <c r="BL2847" s="1085"/>
      <c r="BM2847" s="869"/>
      <c r="BN2847" s="332"/>
      <c r="BO2847" s="332"/>
      <c r="BP2847" s="332"/>
      <c r="BQ2847" s="332"/>
      <c r="BR2847" s="332"/>
      <c r="BS2847" s="332"/>
      <c r="BT2847" s="332"/>
      <c r="BU2847" s="332"/>
      <c r="BV2847" s="332"/>
      <c r="BW2847" s="332"/>
      <c r="BX2847" s="332"/>
      <c r="BY2847" s="332"/>
      <c r="BZ2847" s="1096"/>
      <c r="CA2847" s="270"/>
      <c r="CB2847" s="3" t="str">
        <f t="shared" si="506"/>
        <v>Riadok bude skrytý.</v>
      </c>
      <c r="CC2847" s="271" t="s">
        <v>832</v>
      </c>
      <c r="CW2847" s="30">
        <f t="shared" si="510"/>
        <v>0</v>
      </c>
      <c r="CX2847" s="30">
        <f t="shared" si="516"/>
        <v>0</v>
      </c>
      <c r="CZ2847" s="30">
        <f t="shared" si="507"/>
        <v>1</v>
      </c>
      <c r="DA2847" s="52">
        <f t="shared" si="517"/>
        <v>0</v>
      </c>
      <c r="DB2847" s="2">
        <f t="shared" si="509"/>
        <v>0</v>
      </c>
      <c r="DS2847" s="130">
        <f>SI!BY2847</f>
        <v>297</v>
      </c>
      <c r="DZ2847" s="131">
        <f>SI!BZ2847</f>
        <v>0</v>
      </c>
    </row>
    <row r="2848" spans="1:130" hidden="1" x14ac:dyDescent="0.25">
      <c r="A2848" s="141"/>
      <c r="B2848" s="1083"/>
      <c r="C2848" s="1084"/>
      <c r="D2848" s="1084"/>
      <c r="E2848" s="1084"/>
      <c r="F2848" s="1084"/>
      <c r="G2848" s="1084"/>
      <c r="H2848" s="1084"/>
      <c r="I2848" s="1084"/>
      <c r="J2848" s="1084"/>
      <c r="K2848" s="1084"/>
      <c r="L2848" s="1084"/>
      <c r="M2848" s="1084"/>
      <c r="N2848" s="1084"/>
      <c r="O2848" s="1084"/>
      <c r="P2848" s="1084"/>
      <c r="Q2848" s="1084"/>
      <c r="R2848" s="1084"/>
      <c r="S2848" s="1084"/>
      <c r="T2848" s="1084"/>
      <c r="U2848" s="1084"/>
      <c r="V2848" s="1084"/>
      <c r="W2848" s="1084"/>
      <c r="X2848" s="1084"/>
      <c r="Y2848" s="1084"/>
      <c r="Z2848" s="1084"/>
      <c r="AA2848" s="1084"/>
      <c r="AB2848" s="1084"/>
      <c r="AC2848" s="1084"/>
      <c r="AD2848" s="1084"/>
      <c r="AE2848" s="1084"/>
      <c r="AF2848" s="1084"/>
      <c r="AG2848" s="1084"/>
      <c r="AH2848" s="1084"/>
      <c r="AI2848" s="1084"/>
      <c r="AJ2848" s="1084"/>
      <c r="AK2848" s="1084"/>
      <c r="AL2848" s="1084"/>
      <c r="AM2848" s="1084"/>
      <c r="AN2848" s="1084"/>
      <c r="AO2848" s="1084"/>
      <c r="AP2848" s="1084"/>
      <c r="AQ2848" s="1084"/>
      <c r="AR2848" s="1084"/>
      <c r="AS2848" s="1084"/>
      <c r="AT2848" s="1084"/>
      <c r="AU2848" s="1084"/>
      <c r="AV2848" s="1084"/>
      <c r="AW2848" s="869"/>
      <c r="AX2848" s="332"/>
      <c r="AY2848" s="332"/>
      <c r="AZ2848" s="332"/>
      <c r="BA2848" s="332"/>
      <c r="BB2848" s="332"/>
      <c r="BC2848" s="332"/>
      <c r="BD2848" s="332"/>
      <c r="BE2848" s="332"/>
      <c r="BF2848" s="332"/>
      <c r="BG2848" s="332"/>
      <c r="BH2848" s="332"/>
      <c r="BI2848" s="332"/>
      <c r="BJ2848" s="332"/>
      <c r="BK2848" s="332"/>
      <c r="BL2848" s="1085"/>
      <c r="BM2848" s="869"/>
      <c r="BN2848" s="332"/>
      <c r="BO2848" s="332"/>
      <c r="BP2848" s="332"/>
      <c r="BQ2848" s="332"/>
      <c r="BR2848" s="332"/>
      <c r="BS2848" s="332"/>
      <c r="BT2848" s="332"/>
      <c r="BU2848" s="332"/>
      <c r="BV2848" s="332"/>
      <c r="BW2848" s="332"/>
      <c r="BX2848" s="332"/>
      <c r="BY2848" s="332"/>
      <c r="BZ2848" s="1096"/>
      <c r="CA2848" s="270"/>
      <c r="CB2848" s="3" t="str">
        <f t="shared" si="506"/>
        <v>Riadok bude skrytý.</v>
      </c>
      <c r="CC2848" s="271" t="s">
        <v>832</v>
      </c>
      <c r="CW2848" s="30">
        <f t="shared" si="510"/>
        <v>0</v>
      </c>
      <c r="CX2848" s="30">
        <f t="shared" si="516"/>
        <v>0</v>
      </c>
      <c r="CZ2848" s="30">
        <f t="shared" si="507"/>
        <v>1</v>
      </c>
      <c r="DA2848" s="52">
        <f t="shared" si="517"/>
        <v>0</v>
      </c>
      <c r="DB2848" s="2">
        <f t="shared" si="509"/>
        <v>0</v>
      </c>
      <c r="DS2848" s="130">
        <f>SI!BY2848</f>
        <v>126</v>
      </c>
      <c r="DZ2848" s="131">
        <f>SI!BZ2848</f>
        <v>0</v>
      </c>
    </row>
    <row r="2849" spans="1:130" hidden="1" x14ac:dyDescent="0.25">
      <c r="A2849" s="141"/>
      <c r="B2849" s="1083"/>
      <c r="C2849" s="1084"/>
      <c r="D2849" s="1084"/>
      <c r="E2849" s="1084"/>
      <c r="F2849" s="1084"/>
      <c r="G2849" s="1084"/>
      <c r="H2849" s="1084"/>
      <c r="I2849" s="1084"/>
      <c r="J2849" s="1084"/>
      <c r="K2849" s="1084"/>
      <c r="L2849" s="1084"/>
      <c r="M2849" s="1084"/>
      <c r="N2849" s="1084"/>
      <c r="O2849" s="1084"/>
      <c r="P2849" s="1084"/>
      <c r="Q2849" s="1084"/>
      <c r="R2849" s="1084"/>
      <c r="S2849" s="1084"/>
      <c r="T2849" s="1084"/>
      <c r="U2849" s="1084"/>
      <c r="V2849" s="1084"/>
      <c r="W2849" s="1084"/>
      <c r="X2849" s="1084"/>
      <c r="Y2849" s="1084"/>
      <c r="Z2849" s="1084"/>
      <c r="AA2849" s="1084"/>
      <c r="AB2849" s="1084"/>
      <c r="AC2849" s="1084"/>
      <c r="AD2849" s="1084"/>
      <c r="AE2849" s="1084"/>
      <c r="AF2849" s="1084"/>
      <c r="AG2849" s="1084"/>
      <c r="AH2849" s="1084"/>
      <c r="AI2849" s="1084"/>
      <c r="AJ2849" s="1084"/>
      <c r="AK2849" s="1084"/>
      <c r="AL2849" s="1084"/>
      <c r="AM2849" s="1084"/>
      <c r="AN2849" s="1084"/>
      <c r="AO2849" s="1084"/>
      <c r="AP2849" s="1084"/>
      <c r="AQ2849" s="1084"/>
      <c r="AR2849" s="1084"/>
      <c r="AS2849" s="1084"/>
      <c r="AT2849" s="1084"/>
      <c r="AU2849" s="1084"/>
      <c r="AV2849" s="1084"/>
      <c r="AW2849" s="869"/>
      <c r="AX2849" s="332"/>
      <c r="AY2849" s="332"/>
      <c r="AZ2849" s="332"/>
      <c r="BA2849" s="332"/>
      <c r="BB2849" s="332"/>
      <c r="BC2849" s="332"/>
      <c r="BD2849" s="332"/>
      <c r="BE2849" s="332"/>
      <c r="BF2849" s="332"/>
      <c r="BG2849" s="332"/>
      <c r="BH2849" s="332"/>
      <c r="BI2849" s="332"/>
      <c r="BJ2849" s="332"/>
      <c r="BK2849" s="332"/>
      <c r="BL2849" s="1085"/>
      <c r="BM2849" s="869"/>
      <c r="BN2849" s="332"/>
      <c r="BO2849" s="332"/>
      <c r="BP2849" s="332"/>
      <c r="BQ2849" s="332"/>
      <c r="BR2849" s="332"/>
      <c r="BS2849" s="332"/>
      <c r="BT2849" s="332"/>
      <c r="BU2849" s="332"/>
      <c r="BV2849" s="332"/>
      <c r="BW2849" s="332"/>
      <c r="BX2849" s="332"/>
      <c r="BY2849" s="332"/>
      <c r="BZ2849" s="1096"/>
      <c r="CA2849" s="270"/>
      <c r="CB2849" s="3" t="str">
        <f t="shared" si="506"/>
        <v>Riadok bude skrytý.</v>
      </c>
      <c r="CC2849" s="271" t="s">
        <v>832</v>
      </c>
      <c r="CW2849" s="30">
        <f t="shared" ref="CW2849:CW2880" si="518">+IF($J$2782="neúčtovala",0,1)</f>
        <v>0</v>
      </c>
      <c r="CX2849" s="30">
        <f t="shared" si="516"/>
        <v>0</v>
      </c>
      <c r="CZ2849" s="30">
        <f t="shared" si="507"/>
        <v>1</v>
      </c>
      <c r="DA2849" s="52">
        <f t="shared" si="517"/>
        <v>0</v>
      </c>
      <c r="DB2849" s="2">
        <f t="shared" si="509"/>
        <v>0</v>
      </c>
      <c r="DS2849" s="130">
        <f>SI!BY2849</f>
        <v>830</v>
      </c>
      <c r="DZ2849" s="131">
        <f>SI!BZ2849</f>
        <v>0</v>
      </c>
    </row>
    <row r="2850" spans="1:130" hidden="1" x14ac:dyDescent="0.25">
      <c r="A2850" s="141"/>
      <c r="B2850" s="1083"/>
      <c r="C2850" s="1084"/>
      <c r="D2850" s="1084"/>
      <c r="E2850" s="1084"/>
      <c r="F2850" s="1084"/>
      <c r="G2850" s="1084"/>
      <c r="H2850" s="1084"/>
      <c r="I2850" s="1084"/>
      <c r="J2850" s="1084"/>
      <c r="K2850" s="1084"/>
      <c r="L2850" s="1084"/>
      <c r="M2850" s="1084"/>
      <c r="N2850" s="1084"/>
      <c r="O2850" s="1084"/>
      <c r="P2850" s="1084"/>
      <c r="Q2850" s="1084"/>
      <c r="R2850" s="1084"/>
      <c r="S2850" s="1084"/>
      <c r="T2850" s="1084"/>
      <c r="U2850" s="1084"/>
      <c r="V2850" s="1084"/>
      <c r="W2850" s="1084"/>
      <c r="X2850" s="1084"/>
      <c r="Y2850" s="1084"/>
      <c r="Z2850" s="1084"/>
      <c r="AA2850" s="1084"/>
      <c r="AB2850" s="1084"/>
      <c r="AC2850" s="1084"/>
      <c r="AD2850" s="1084"/>
      <c r="AE2850" s="1084"/>
      <c r="AF2850" s="1084"/>
      <c r="AG2850" s="1084"/>
      <c r="AH2850" s="1084"/>
      <c r="AI2850" s="1084"/>
      <c r="AJ2850" s="1084"/>
      <c r="AK2850" s="1084"/>
      <c r="AL2850" s="1084"/>
      <c r="AM2850" s="1084"/>
      <c r="AN2850" s="1084"/>
      <c r="AO2850" s="1084"/>
      <c r="AP2850" s="1084"/>
      <c r="AQ2850" s="1084"/>
      <c r="AR2850" s="1084"/>
      <c r="AS2850" s="1084"/>
      <c r="AT2850" s="1084"/>
      <c r="AU2850" s="1084"/>
      <c r="AV2850" s="1084"/>
      <c r="AW2850" s="869"/>
      <c r="AX2850" s="332"/>
      <c r="AY2850" s="332"/>
      <c r="AZ2850" s="332"/>
      <c r="BA2850" s="332"/>
      <c r="BB2850" s="332"/>
      <c r="BC2850" s="332"/>
      <c r="BD2850" s="332"/>
      <c r="BE2850" s="332"/>
      <c r="BF2850" s="332"/>
      <c r="BG2850" s="332"/>
      <c r="BH2850" s="332"/>
      <c r="BI2850" s="332"/>
      <c r="BJ2850" s="332"/>
      <c r="BK2850" s="332"/>
      <c r="BL2850" s="1085"/>
      <c r="BM2850" s="869"/>
      <c r="BN2850" s="332"/>
      <c r="BO2850" s="332"/>
      <c r="BP2850" s="332"/>
      <c r="BQ2850" s="332"/>
      <c r="BR2850" s="332"/>
      <c r="BS2850" s="332"/>
      <c r="BT2850" s="332"/>
      <c r="BU2850" s="332"/>
      <c r="BV2850" s="332"/>
      <c r="BW2850" s="332"/>
      <c r="BX2850" s="332"/>
      <c r="BY2850" s="332"/>
      <c r="BZ2850" s="1096"/>
      <c r="CA2850" s="270"/>
      <c r="CB2850" s="3" t="str">
        <f t="shared" si="506"/>
        <v>Riadok bude skrytý.</v>
      </c>
      <c r="CC2850" s="271" t="s">
        <v>832</v>
      </c>
      <c r="CW2850" s="30">
        <f t="shared" si="518"/>
        <v>0</v>
      </c>
      <c r="CX2850" s="30">
        <f t="shared" si="516"/>
        <v>0</v>
      </c>
      <c r="CZ2850" s="30">
        <f t="shared" si="507"/>
        <v>1</v>
      </c>
      <c r="DA2850" s="52">
        <f t="shared" si="517"/>
        <v>0</v>
      </c>
      <c r="DB2850" s="2">
        <f t="shared" si="509"/>
        <v>0</v>
      </c>
      <c r="DS2850" s="130">
        <f>SI!BY2850</f>
        <v>193</v>
      </c>
      <c r="DZ2850" s="131">
        <f>SI!BZ2850</f>
        <v>0</v>
      </c>
    </row>
    <row r="2851" spans="1:130" hidden="1" x14ac:dyDescent="0.25">
      <c r="A2851" s="141"/>
      <c r="B2851" s="1083"/>
      <c r="C2851" s="1084"/>
      <c r="D2851" s="1084"/>
      <c r="E2851" s="1084"/>
      <c r="F2851" s="1084"/>
      <c r="G2851" s="1084"/>
      <c r="H2851" s="1084"/>
      <c r="I2851" s="1084"/>
      <c r="J2851" s="1084"/>
      <c r="K2851" s="1084"/>
      <c r="L2851" s="1084"/>
      <c r="M2851" s="1084"/>
      <c r="N2851" s="1084"/>
      <c r="O2851" s="1084"/>
      <c r="P2851" s="1084"/>
      <c r="Q2851" s="1084"/>
      <c r="R2851" s="1084"/>
      <c r="S2851" s="1084"/>
      <c r="T2851" s="1084"/>
      <c r="U2851" s="1084"/>
      <c r="V2851" s="1084"/>
      <c r="W2851" s="1084"/>
      <c r="X2851" s="1084"/>
      <c r="Y2851" s="1084"/>
      <c r="Z2851" s="1084"/>
      <c r="AA2851" s="1084"/>
      <c r="AB2851" s="1084"/>
      <c r="AC2851" s="1084"/>
      <c r="AD2851" s="1084"/>
      <c r="AE2851" s="1084"/>
      <c r="AF2851" s="1084"/>
      <c r="AG2851" s="1084"/>
      <c r="AH2851" s="1084"/>
      <c r="AI2851" s="1084"/>
      <c r="AJ2851" s="1084"/>
      <c r="AK2851" s="1084"/>
      <c r="AL2851" s="1084"/>
      <c r="AM2851" s="1084"/>
      <c r="AN2851" s="1084"/>
      <c r="AO2851" s="1084"/>
      <c r="AP2851" s="1084"/>
      <c r="AQ2851" s="1084"/>
      <c r="AR2851" s="1084"/>
      <c r="AS2851" s="1084"/>
      <c r="AT2851" s="1084"/>
      <c r="AU2851" s="1084"/>
      <c r="AV2851" s="1084"/>
      <c r="AW2851" s="869"/>
      <c r="AX2851" s="332"/>
      <c r="AY2851" s="332"/>
      <c r="AZ2851" s="332"/>
      <c r="BA2851" s="332"/>
      <c r="BB2851" s="332"/>
      <c r="BC2851" s="332"/>
      <c r="BD2851" s="332"/>
      <c r="BE2851" s="332"/>
      <c r="BF2851" s="332"/>
      <c r="BG2851" s="332"/>
      <c r="BH2851" s="332"/>
      <c r="BI2851" s="332"/>
      <c r="BJ2851" s="332"/>
      <c r="BK2851" s="332"/>
      <c r="BL2851" s="1085"/>
      <c r="BM2851" s="869"/>
      <c r="BN2851" s="332"/>
      <c r="BO2851" s="332"/>
      <c r="BP2851" s="332"/>
      <c r="BQ2851" s="332"/>
      <c r="BR2851" s="332"/>
      <c r="BS2851" s="332"/>
      <c r="BT2851" s="332"/>
      <c r="BU2851" s="332"/>
      <c r="BV2851" s="332"/>
      <c r="BW2851" s="332"/>
      <c r="BX2851" s="332"/>
      <c r="BY2851" s="332"/>
      <c r="BZ2851" s="1096"/>
      <c r="CA2851" s="270"/>
      <c r="CB2851" s="3" t="str">
        <f t="shared" si="506"/>
        <v>Riadok bude skrytý.</v>
      </c>
      <c r="CC2851" s="271" t="s">
        <v>832</v>
      </c>
      <c r="CW2851" s="30">
        <f t="shared" si="518"/>
        <v>0</v>
      </c>
      <c r="CX2851" s="30">
        <f t="shared" si="516"/>
        <v>0</v>
      </c>
      <c r="CZ2851" s="30">
        <f t="shared" si="507"/>
        <v>1</v>
      </c>
      <c r="DA2851" s="52">
        <f t="shared" si="517"/>
        <v>0</v>
      </c>
      <c r="DB2851" s="2">
        <f t="shared" si="509"/>
        <v>0</v>
      </c>
      <c r="DS2851" s="130">
        <f>SI!BY2851</f>
        <v>207</v>
      </c>
      <c r="DZ2851" s="131">
        <f>SI!BZ2851</f>
        <v>0</v>
      </c>
    </row>
    <row r="2852" spans="1:130" hidden="1" x14ac:dyDescent="0.25">
      <c r="A2852" s="141"/>
      <c r="B2852" s="1083"/>
      <c r="C2852" s="1084"/>
      <c r="D2852" s="1084"/>
      <c r="E2852" s="1084"/>
      <c r="F2852" s="1084"/>
      <c r="G2852" s="1084"/>
      <c r="H2852" s="1084"/>
      <c r="I2852" s="1084"/>
      <c r="J2852" s="1084"/>
      <c r="K2852" s="1084"/>
      <c r="L2852" s="1084"/>
      <c r="M2852" s="1084"/>
      <c r="N2852" s="1084"/>
      <c r="O2852" s="1084"/>
      <c r="P2852" s="1084"/>
      <c r="Q2852" s="1084"/>
      <c r="R2852" s="1084"/>
      <c r="S2852" s="1084"/>
      <c r="T2852" s="1084"/>
      <c r="U2852" s="1084"/>
      <c r="V2852" s="1084"/>
      <c r="W2852" s="1084"/>
      <c r="X2852" s="1084"/>
      <c r="Y2852" s="1084"/>
      <c r="Z2852" s="1084"/>
      <c r="AA2852" s="1084"/>
      <c r="AB2852" s="1084"/>
      <c r="AC2852" s="1084"/>
      <c r="AD2852" s="1084"/>
      <c r="AE2852" s="1084"/>
      <c r="AF2852" s="1084"/>
      <c r="AG2852" s="1084"/>
      <c r="AH2852" s="1084"/>
      <c r="AI2852" s="1084"/>
      <c r="AJ2852" s="1084"/>
      <c r="AK2852" s="1084"/>
      <c r="AL2852" s="1084"/>
      <c r="AM2852" s="1084"/>
      <c r="AN2852" s="1084"/>
      <c r="AO2852" s="1084"/>
      <c r="AP2852" s="1084"/>
      <c r="AQ2852" s="1084"/>
      <c r="AR2852" s="1084"/>
      <c r="AS2852" s="1084"/>
      <c r="AT2852" s="1084"/>
      <c r="AU2852" s="1084"/>
      <c r="AV2852" s="1084"/>
      <c r="AW2852" s="869"/>
      <c r="AX2852" s="332"/>
      <c r="AY2852" s="332"/>
      <c r="AZ2852" s="332"/>
      <c r="BA2852" s="332"/>
      <c r="BB2852" s="332"/>
      <c r="BC2852" s="332"/>
      <c r="BD2852" s="332"/>
      <c r="BE2852" s="332"/>
      <c r="BF2852" s="332"/>
      <c r="BG2852" s="332"/>
      <c r="BH2852" s="332"/>
      <c r="BI2852" s="332"/>
      <c r="BJ2852" s="332"/>
      <c r="BK2852" s="332"/>
      <c r="BL2852" s="1085"/>
      <c r="BM2852" s="869"/>
      <c r="BN2852" s="332"/>
      <c r="BO2852" s="332"/>
      <c r="BP2852" s="332"/>
      <c r="BQ2852" s="332"/>
      <c r="BR2852" s="332"/>
      <c r="BS2852" s="332"/>
      <c r="BT2852" s="332"/>
      <c r="BU2852" s="332"/>
      <c r="BV2852" s="332"/>
      <c r="BW2852" s="332"/>
      <c r="BX2852" s="332"/>
      <c r="BY2852" s="332"/>
      <c r="BZ2852" s="1096"/>
      <c r="CA2852" s="270"/>
      <c r="CB2852" s="3" t="str">
        <f t="shared" si="506"/>
        <v>Riadok bude skrytý.</v>
      </c>
      <c r="CC2852" s="271" t="s">
        <v>832</v>
      </c>
      <c r="CW2852" s="30">
        <f t="shared" si="518"/>
        <v>0</v>
      </c>
      <c r="CX2852" s="30">
        <f t="shared" si="516"/>
        <v>0</v>
      </c>
      <c r="CZ2852" s="30">
        <f t="shared" si="507"/>
        <v>1</v>
      </c>
      <c r="DA2852" s="52">
        <f t="shared" si="517"/>
        <v>0</v>
      </c>
      <c r="DB2852" s="2">
        <f t="shared" si="509"/>
        <v>0</v>
      </c>
      <c r="DS2852" s="130">
        <f>SI!BY2852</f>
        <v>172</v>
      </c>
      <c r="DZ2852" s="131">
        <f>SI!BZ2852</f>
        <v>0</v>
      </c>
    </row>
    <row r="2853" spans="1:130" hidden="1" x14ac:dyDescent="0.25">
      <c r="A2853" s="141"/>
      <c r="B2853" s="1854"/>
      <c r="C2853" s="1855"/>
      <c r="D2853" s="1855"/>
      <c r="E2853" s="1855"/>
      <c r="F2853" s="1855"/>
      <c r="G2853" s="1855"/>
      <c r="H2853" s="1855"/>
      <c r="I2853" s="1855"/>
      <c r="J2853" s="1855"/>
      <c r="K2853" s="1855"/>
      <c r="L2853" s="1855"/>
      <c r="M2853" s="1855"/>
      <c r="N2853" s="1855"/>
      <c r="O2853" s="1855"/>
      <c r="P2853" s="1855"/>
      <c r="Q2853" s="1855"/>
      <c r="R2853" s="1855"/>
      <c r="S2853" s="1855"/>
      <c r="T2853" s="1855"/>
      <c r="U2853" s="1855"/>
      <c r="V2853" s="1855"/>
      <c r="W2853" s="1855"/>
      <c r="X2853" s="1855"/>
      <c r="Y2853" s="1855"/>
      <c r="Z2853" s="1855"/>
      <c r="AA2853" s="1855"/>
      <c r="AB2853" s="1855"/>
      <c r="AC2853" s="1855"/>
      <c r="AD2853" s="1855"/>
      <c r="AE2853" s="1855"/>
      <c r="AF2853" s="1855"/>
      <c r="AG2853" s="1855"/>
      <c r="AH2853" s="1855"/>
      <c r="AI2853" s="1855"/>
      <c r="AJ2853" s="1855"/>
      <c r="AK2853" s="1855"/>
      <c r="AL2853" s="1855"/>
      <c r="AM2853" s="1855"/>
      <c r="AN2853" s="1855"/>
      <c r="AO2853" s="1855"/>
      <c r="AP2853" s="1855"/>
      <c r="AQ2853" s="1855"/>
      <c r="AR2853" s="1855"/>
      <c r="AS2853" s="1855"/>
      <c r="AT2853" s="1855"/>
      <c r="AU2853" s="1855"/>
      <c r="AV2853" s="1855"/>
      <c r="AW2853" s="1080"/>
      <c r="AX2853" s="1081"/>
      <c r="AY2853" s="1081"/>
      <c r="AZ2853" s="1081"/>
      <c r="BA2853" s="1081"/>
      <c r="BB2853" s="1081"/>
      <c r="BC2853" s="1081"/>
      <c r="BD2853" s="1081"/>
      <c r="BE2853" s="1081"/>
      <c r="BF2853" s="1081"/>
      <c r="BG2853" s="1081"/>
      <c r="BH2853" s="1081"/>
      <c r="BI2853" s="1081"/>
      <c r="BJ2853" s="1081"/>
      <c r="BK2853" s="1081"/>
      <c r="BL2853" s="1137"/>
      <c r="BM2853" s="1080"/>
      <c r="BN2853" s="1081"/>
      <c r="BO2853" s="1081"/>
      <c r="BP2853" s="1081"/>
      <c r="BQ2853" s="1081"/>
      <c r="BR2853" s="1081"/>
      <c r="BS2853" s="1081"/>
      <c r="BT2853" s="1081"/>
      <c r="BU2853" s="1081"/>
      <c r="BV2853" s="1081"/>
      <c r="BW2853" s="1081"/>
      <c r="BX2853" s="1081"/>
      <c r="BY2853" s="1081"/>
      <c r="BZ2853" s="1082"/>
      <c r="CA2853" s="270"/>
      <c r="CB2853" s="3" t="str">
        <f t="shared" si="506"/>
        <v>Riadok bude skrytý.</v>
      </c>
      <c r="CC2853" s="271" t="s">
        <v>832</v>
      </c>
      <c r="CW2853" s="30">
        <f t="shared" si="518"/>
        <v>0</v>
      </c>
      <c r="CZ2853" s="30">
        <f t="shared" si="507"/>
        <v>1</v>
      </c>
      <c r="DA2853" s="30">
        <f>+IF(CW2853+CX2853+CY2853=0,0,IF(CZ2853=0,0,1))</f>
        <v>0</v>
      </c>
      <c r="DB2853" s="2">
        <f t="shared" si="509"/>
        <v>0</v>
      </c>
      <c r="DS2853" s="130">
        <f>SI!BY2853</f>
        <v>380</v>
      </c>
      <c r="DZ2853" s="131">
        <f>SI!BZ2853</f>
        <v>0</v>
      </c>
    </row>
    <row r="2854" spans="1:130" hidden="1" x14ac:dyDescent="0.25">
      <c r="A2854" s="141"/>
      <c r="B2854" s="401" t="s">
        <v>1039</v>
      </c>
      <c r="C2854" s="402"/>
      <c r="D2854" s="402"/>
      <c r="E2854" s="402"/>
      <c r="F2854" s="402"/>
      <c r="G2854" s="402"/>
      <c r="H2854" s="402"/>
      <c r="I2854" s="402"/>
      <c r="J2854" s="402"/>
      <c r="K2854" s="402"/>
      <c r="L2854" s="402"/>
      <c r="M2854" s="402"/>
      <c r="N2854" s="402"/>
      <c r="O2854" s="402"/>
      <c r="P2854" s="402"/>
      <c r="Q2854" s="402"/>
      <c r="R2854" s="402"/>
      <c r="S2854" s="402"/>
      <c r="T2854" s="402"/>
      <c r="U2854" s="402"/>
      <c r="V2854" s="402"/>
      <c r="W2854" s="402"/>
      <c r="X2854" s="402"/>
      <c r="Y2854" s="402"/>
      <c r="Z2854" s="402"/>
      <c r="AA2854" s="402"/>
      <c r="AB2854" s="402"/>
      <c r="AC2854" s="402"/>
      <c r="AD2854" s="402"/>
      <c r="AE2854" s="402"/>
      <c r="AF2854" s="402"/>
      <c r="AG2854" s="402"/>
      <c r="AH2854" s="402"/>
      <c r="AI2854" s="402"/>
      <c r="AJ2854" s="402"/>
      <c r="AK2854" s="402"/>
      <c r="AL2854" s="402"/>
      <c r="AM2854" s="402"/>
      <c r="AN2854" s="402"/>
      <c r="AO2854" s="402"/>
      <c r="AP2854" s="402"/>
      <c r="AQ2854" s="402"/>
      <c r="AR2854" s="402"/>
      <c r="AS2854" s="402"/>
      <c r="AT2854" s="402"/>
      <c r="AU2854" s="402"/>
      <c r="AV2854" s="402"/>
      <c r="AW2854" s="1077">
        <f>+SUM(AW2855:BL2864)</f>
        <v>0</v>
      </c>
      <c r="AX2854" s="1078"/>
      <c r="AY2854" s="1078"/>
      <c r="AZ2854" s="1078"/>
      <c r="BA2854" s="1078"/>
      <c r="BB2854" s="1078"/>
      <c r="BC2854" s="1078"/>
      <c r="BD2854" s="1078"/>
      <c r="BE2854" s="1078"/>
      <c r="BF2854" s="1078"/>
      <c r="BG2854" s="1078"/>
      <c r="BH2854" s="1078"/>
      <c r="BI2854" s="1078"/>
      <c r="BJ2854" s="1078"/>
      <c r="BK2854" s="1078"/>
      <c r="BL2854" s="1139"/>
      <c r="BM2854" s="1077">
        <f>+SUM(BM2855:BZ2864)</f>
        <v>0</v>
      </c>
      <c r="BN2854" s="1078"/>
      <c r="BO2854" s="1078"/>
      <c r="BP2854" s="1078"/>
      <c r="BQ2854" s="1078"/>
      <c r="BR2854" s="1078"/>
      <c r="BS2854" s="1078"/>
      <c r="BT2854" s="1078"/>
      <c r="BU2854" s="1078"/>
      <c r="BV2854" s="1078"/>
      <c r="BW2854" s="1078"/>
      <c r="BX2854" s="1078"/>
      <c r="BY2854" s="1078"/>
      <c r="BZ2854" s="1079"/>
      <c r="CA2854" s="142"/>
      <c r="CB2854" s="3" t="str">
        <f t="shared" si="506"/>
        <v>Riadok bude skrytý.</v>
      </c>
      <c r="CC2854" s="271" t="s">
        <v>832</v>
      </c>
      <c r="CD2854" s="137"/>
      <c r="CE2854" s="137"/>
      <c r="CW2854" s="30">
        <f t="shared" si="518"/>
        <v>0</v>
      </c>
      <c r="CZ2854" s="30">
        <f t="shared" si="507"/>
        <v>1</v>
      </c>
      <c r="DA2854" s="30">
        <f>+IF(CW2854+CX2854+CY2854=0,0,IF(CZ2854=0,0,1))</f>
        <v>0</v>
      </c>
      <c r="DB2854" s="2">
        <f t="shared" si="509"/>
        <v>0</v>
      </c>
      <c r="DS2854" s="130">
        <f>SI!BY2854</f>
        <v>201</v>
      </c>
      <c r="DZ2854" s="131">
        <f>SI!BZ2854</f>
        <v>0</v>
      </c>
    </row>
    <row r="2855" spans="1:130" hidden="1" x14ac:dyDescent="0.25">
      <c r="A2855" s="141"/>
      <c r="B2855" s="1083"/>
      <c r="C2855" s="1084"/>
      <c r="D2855" s="1084"/>
      <c r="E2855" s="1084"/>
      <c r="F2855" s="1084"/>
      <c r="G2855" s="1084"/>
      <c r="H2855" s="1084"/>
      <c r="I2855" s="1084"/>
      <c r="J2855" s="1084"/>
      <c r="K2855" s="1084"/>
      <c r="L2855" s="1084"/>
      <c r="M2855" s="1084"/>
      <c r="N2855" s="1084"/>
      <c r="O2855" s="1084"/>
      <c r="P2855" s="1084"/>
      <c r="Q2855" s="1084"/>
      <c r="R2855" s="1084"/>
      <c r="S2855" s="1084"/>
      <c r="T2855" s="1084"/>
      <c r="U2855" s="1084"/>
      <c r="V2855" s="1084"/>
      <c r="W2855" s="1084"/>
      <c r="X2855" s="1084"/>
      <c r="Y2855" s="1084"/>
      <c r="Z2855" s="1084"/>
      <c r="AA2855" s="1084"/>
      <c r="AB2855" s="1084"/>
      <c r="AC2855" s="1084"/>
      <c r="AD2855" s="1084"/>
      <c r="AE2855" s="1084"/>
      <c r="AF2855" s="1084"/>
      <c r="AG2855" s="1084"/>
      <c r="AH2855" s="1084"/>
      <c r="AI2855" s="1084"/>
      <c r="AJ2855" s="1084"/>
      <c r="AK2855" s="1084"/>
      <c r="AL2855" s="1084"/>
      <c r="AM2855" s="1084"/>
      <c r="AN2855" s="1084"/>
      <c r="AO2855" s="1084"/>
      <c r="AP2855" s="1084"/>
      <c r="AQ2855" s="1084"/>
      <c r="AR2855" s="1084"/>
      <c r="AS2855" s="1084"/>
      <c r="AT2855" s="1084"/>
      <c r="AU2855" s="1084"/>
      <c r="AV2855" s="1084"/>
      <c r="AW2855" s="1002"/>
      <c r="AX2855" s="1003"/>
      <c r="AY2855" s="1003"/>
      <c r="AZ2855" s="1003"/>
      <c r="BA2855" s="1003"/>
      <c r="BB2855" s="1003"/>
      <c r="BC2855" s="1003"/>
      <c r="BD2855" s="1003"/>
      <c r="BE2855" s="1003"/>
      <c r="BF2855" s="1003"/>
      <c r="BG2855" s="1003"/>
      <c r="BH2855" s="1003"/>
      <c r="BI2855" s="1003"/>
      <c r="BJ2855" s="1003"/>
      <c r="BK2855" s="1003"/>
      <c r="BL2855" s="1573"/>
      <c r="BM2855" s="1002"/>
      <c r="BN2855" s="1003"/>
      <c r="BO2855" s="1003"/>
      <c r="BP2855" s="1003"/>
      <c r="BQ2855" s="1003"/>
      <c r="BR2855" s="1003"/>
      <c r="BS2855" s="1003"/>
      <c r="BT2855" s="1003"/>
      <c r="BU2855" s="1003"/>
      <c r="BV2855" s="1003"/>
      <c r="BW2855" s="1003"/>
      <c r="BX2855" s="1003"/>
      <c r="BY2855" s="1003"/>
      <c r="BZ2855" s="1138"/>
      <c r="CA2855" s="270"/>
      <c r="CB2855" s="3" t="str">
        <f t="shared" si="506"/>
        <v>Riadok bude skrytý.</v>
      </c>
      <c r="CC2855" s="271" t="s">
        <v>832</v>
      </c>
      <c r="CW2855" s="30">
        <f t="shared" si="518"/>
        <v>0</v>
      </c>
      <c r="CZ2855" s="30">
        <f>IF(CC2855="",1,IF(CC2855="Chcem skryť riadok.",0,1))</f>
        <v>1</v>
      </c>
      <c r="DA2855" s="30">
        <f>+IF(CW2855+CX2855+CY2855=0,0,IF(CZ2855=0,0,1))</f>
        <v>0</v>
      </c>
      <c r="DB2855" s="2">
        <f t="shared" si="509"/>
        <v>0</v>
      </c>
      <c r="DS2855" s="130">
        <f>SI!BY2855</f>
        <v>307</v>
      </c>
      <c r="DZ2855" s="131">
        <f>SI!BZ2855</f>
        <v>0</v>
      </c>
    </row>
    <row r="2856" spans="1:130" hidden="1" x14ac:dyDescent="0.25">
      <c r="A2856" s="141"/>
      <c r="B2856" s="1083"/>
      <c r="C2856" s="1084"/>
      <c r="D2856" s="1084"/>
      <c r="E2856" s="1084"/>
      <c r="F2856" s="1084"/>
      <c r="G2856" s="1084"/>
      <c r="H2856" s="1084"/>
      <c r="I2856" s="1084"/>
      <c r="J2856" s="1084"/>
      <c r="K2856" s="1084"/>
      <c r="L2856" s="1084"/>
      <c r="M2856" s="1084"/>
      <c r="N2856" s="1084"/>
      <c r="O2856" s="1084"/>
      <c r="P2856" s="1084"/>
      <c r="Q2856" s="1084"/>
      <c r="R2856" s="1084"/>
      <c r="S2856" s="1084"/>
      <c r="T2856" s="1084"/>
      <c r="U2856" s="1084"/>
      <c r="V2856" s="1084"/>
      <c r="W2856" s="1084"/>
      <c r="X2856" s="1084"/>
      <c r="Y2856" s="1084"/>
      <c r="Z2856" s="1084"/>
      <c r="AA2856" s="1084"/>
      <c r="AB2856" s="1084"/>
      <c r="AC2856" s="1084"/>
      <c r="AD2856" s="1084"/>
      <c r="AE2856" s="1084"/>
      <c r="AF2856" s="1084"/>
      <c r="AG2856" s="1084"/>
      <c r="AH2856" s="1084"/>
      <c r="AI2856" s="1084"/>
      <c r="AJ2856" s="1084"/>
      <c r="AK2856" s="1084"/>
      <c r="AL2856" s="1084"/>
      <c r="AM2856" s="1084"/>
      <c r="AN2856" s="1084"/>
      <c r="AO2856" s="1084"/>
      <c r="AP2856" s="1084"/>
      <c r="AQ2856" s="1084"/>
      <c r="AR2856" s="1084"/>
      <c r="AS2856" s="1084"/>
      <c r="AT2856" s="1084"/>
      <c r="AU2856" s="1084"/>
      <c r="AV2856" s="1084"/>
      <c r="AW2856" s="869"/>
      <c r="AX2856" s="332"/>
      <c r="AY2856" s="332"/>
      <c r="AZ2856" s="332"/>
      <c r="BA2856" s="332"/>
      <c r="BB2856" s="332"/>
      <c r="BC2856" s="332"/>
      <c r="BD2856" s="332"/>
      <c r="BE2856" s="332"/>
      <c r="BF2856" s="332"/>
      <c r="BG2856" s="332"/>
      <c r="BH2856" s="332"/>
      <c r="BI2856" s="332"/>
      <c r="BJ2856" s="332"/>
      <c r="BK2856" s="332"/>
      <c r="BL2856" s="1085"/>
      <c r="BM2856" s="869"/>
      <c r="BN2856" s="332"/>
      <c r="BO2856" s="332"/>
      <c r="BP2856" s="332"/>
      <c r="BQ2856" s="332"/>
      <c r="BR2856" s="332"/>
      <c r="BS2856" s="332"/>
      <c r="BT2856" s="332"/>
      <c r="BU2856" s="332"/>
      <c r="BV2856" s="332"/>
      <c r="BW2856" s="332"/>
      <c r="BX2856" s="332"/>
      <c r="BY2856" s="332"/>
      <c r="BZ2856" s="1096"/>
      <c r="CA2856" s="270"/>
      <c r="CB2856" s="3" t="str">
        <f t="shared" si="506"/>
        <v>Riadok bude skrytý.</v>
      </c>
      <c r="CC2856" s="271" t="s">
        <v>832</v>
      </c>
      <c r="CW2856" s="30">
        <f t="shared" si="518"/>
        <v>0</v>
      </c>
      <c r="CX2856" s="30">
        <f t="shared" ref="CX2856:CX2864" si="519">+IF(B2856="",0,1)</f>
        <v>0</v>
      </c>
      <c r="CZ2856" s="30">
        <f t="shared" si="507"/>
        <v>1</v>
      </c>
      <c r="DA2856" s="52">
        <f t="shared" ref="DA2856:DA2886" si="520">+IF(CW2856*CX2856=0,0,IF(CZ2856=0,0,1))</f>
        <v>0</v>
      </c>
      <c r="DB2856" s="2">
        <f t="shared" si="509"/>
        <v>0</v>
      </c>
      <c r="DS2856" s="130">
        <f>SI!BY2856</f>
        <v>148</v>
      </c>
      <c r="DZ2856" s="131">
        <f>SI!BZ2856</f>
        <v>0</v>
      </c>
    </row>
    <row r="2857" spans="1:130" hidden="1" x14ac:dyDescent="0.25">
      <c r="A2857" s="141"/>
      <c r="B2857" s="1083"/>
      <c r="C2857" s="1084"/>
      <c r="D2857" s="1084"/>
      <c r="E2857" s="1084"/>
      <c r="F2857" s="1084"/>
      <c r="G2857" s="1084"/>
      <c r="H2857" s="1084"/>
      <c r="I2857" s="1084"/>
      <c r="J2857" s="1084"/>
      <c r="K2857" s="1084"/>
      <c r="L2857" s="1084"/>
      <c r="M2857" s="1084"/>
      <c r="N2857" s="1084"/>
      <c r="O2857" s="1084"/>
      <c r="P2857" s="1084"/>
      <c r="Q2857" s="1084"/>
      <c r="R2857" s="1084"/>
      <c r="S2857" s="1084"/>
      <c r="T2857" s="1084"/>
      <c r="U2857" s="1084"/>
      <c r="V2857" s="1084"/>
      <c r="W2857" s="1084"/>
      <c r="X2857" s="1084"/>
      <c r="Y2857" s="1084"/>
      <c r="Z2857" s="1084"/>
      <c r="AA2857" s="1084"/>
      <c r="AB2857" s="1084"/>
      <c r="AC2857" s="1084"/>
      <c r="AD2857" s="1084"/>
      <c r="AE2857" s="1084"/>
      <c r="AF2857" s="1084"/>
      <c r="AG2857" s="1084"/>
      <c r="AH2857" s="1084"/>
      <c r="AI2857" s="1084"/>
      <c r="AJ2857" s="1084"/>
      <c r="AK2857" s="1084"/>
      <c r="AL2857" s="1084"/>
      <c r="AM2857" s="1084"/>
      <c r="AN2857" s="1084"/>
      <c r="AO2857" s="1084"/>
      <c r="AP2857" s="1084"/>
      <c r="AQ2857" s="1084"/>
      <c r="AR2857" s="1084"/>
      <c r="AS2857" s="1084"/>
      <c r="AT2857" s="1084"/>
      <c r="AU2857" s="1084"/>
      <c r="AV2857" s="1084"/>
      <c r="AW2857" s="869"/>
      <c r="AX2857" s="332"/>
      <c r="AY2857" s="332"/>
      <c r="AZ2857" s="332"/>
      <c r="BA2857" s="332"/>
      <c r="BB2857" s="332"/>
      <c r="BC2857" s="332"/>
      <c r="BD2857" s="332"/>
      <c r="BE2857" s="332"/>
      <c r="BF2857" s="332"/>
      <c r="BG2857" s="332"/>
      <c r="BH2857" s="332"/>
      <c r="BI2857" s="332"/>
      <c r="BJ2857" s="332"/>
      <c r="BK2857" s="332"/>
      <c r="BL2857" s="1085"/>
      <c r="BM2857" s="869"/>
      <c r="BN2857" s="332"/>
      <c r="BO2857" s="332"/>
      <c r="BP2857" s="332"/>
      <c r="BQ2857" s="332"/>
      <c r="BR2857" s="332"/>
      <c r="BS2857" s="332"/>
      <c r="BT2857" s="332"/>
      <c r="BU2857" s="332"/>
      <c r="BV2857" s="332"/>
      <c r="BW2857" s="332"/>
      <c r="BX2857" s="332"/>
      <c r="BY2857" s="332"/>
      <c r="BZ2857" s="1096"/>
      <c r="CA2857" s="270"/>
      <c r="CB2857" s="3" t="str">
        <f t="shared" si="506"/>
        <v>Riadok bude skrytý.</v>
      </c>
      <c r="CC2857" s="271" t="s">
        <v>832</v>
      </c>
      <c r="CW2857" s="30">
        <f t="shared" si="518"/>
        <v>0</v>
      </c>
      <c r="CX2857" s="30">
        <f t="shared" si="519"/>
        <v>0</v>
      </c>
      <c r="CZ2857" s="30">
        <f t="shared" si="507"/>
        <v>1</v>
      </c>
      <c r="DA2857" s="52">
        <f t="shared" si="520"/>
        <v>0</v>
      </c>
      <c r="DB2857" s="2">
        <f t="shared" si="509"/>
        <v>0</v>
      </c>
      <c r="DS2857" s="130">
        <f>SI!BY2857</f>
        <v>417</v>
      </c>
      <c r="DZ2857" s="131">
        <f>SI!BZ2857</f>
        <v>0</v>
      </c>
    </row>
    <row r="2858" spans="1:130" hidden="1" x14ac:dyDescent="0.25">
      <c r="A2858" s="141"/>
      <c r="B2858" s="1083"/>
      <c r="C2858" s="1084"/>
      <c r="D2858" s="1084"/>
      <c r="E2858" s="1084"/>
      <c r="F2858" s="1084"/>
      <c r="G2858" s="1084"/>
      <c r="H2858" s="1084"/>
      <c r="I2858" s="1084"/>
      <c r="J2858" s="1084"/>
      <c r="K2858" s="1084"/>
      <c r="L2858" s="1084"/>
      <c r="M2858" s="1084"/>
      <c r="N2858" s="1084"/>
      <c r="O2858" s="1084"/>
      <c r="P2858" s="1084"/>
      <c r="Q2858" s="1084"/>
      <c r="R2858" s="1084"/>
      <c r="S2858" s="1084"/>
      <c r="T2858" s="1084"/>
      <c r="U2858" s="1084"/>
      <c r="V2858" s="1084"/>
      <c r="W2858" s="1084"/>
      <c r="X2858" s="1084"/>
      <c r="Y2858" s="1084"/>
      <c r="Z2858" s="1084"/>
      <c r="AA2858" s="1084"/>
      <c r="AB2858" s="1084"/>
      <c r="AC2858" s="1084"/>
      <c r="AD2858" s="1084"/>
      <c r="AE2858" s="1084"/>
      <c r="AF2858" s="1084"/>
      <c r="AG2858" s="1084"/>
      <c r="AH2858" s="1084"/>
      <c r="AI2858" s="1084"/>
      <c r="AJ2858" s="1084"/>
      <c r="AK2858" s="1084"/>
      <c r="AL2858" s="1084"/>
      <c r="AM2858" s="1084"/>
      <c r="AN2858" s="1084"/>
      <c r="AO2858" s="1084"/>
      <c r="AP2858" s="1084"/>
      <c r="AQ2858" s="1084"/>
      <c r="AR2858" s="1084"/>
      <c r="AS2858" s="1084"/>
      <c r="AT2858" s="1084"/>
      <c r="AU2858" s="1084"/>
      <c r="AV2858" s="1084"/>
      <c r="AW2858" s="869"/>
      <c r="AX2858" s="332"/>
      <c r="AY2858" s="332"/>
      <c r="AZ2858" s="332"/>
      <c r="BA2858" s="332"/>
      <c r="BB2858" s="332"/>
      <c r="BC2858" s="332"/>
      <c r="BD2858" s="332"/>
      <c r="BE2858" s="332"/>
      <c r="BF2858" s="332"/>
      <c r="BG2858" s="332"/>
      <c r="BH2858" s="332"/>
      <c r="BI2858" s="332"/>
      <c r="BJ2858" s="332"/>
      <c r="BK2858" s="332"/>
      <c r="BL2858" s="1085"/>
      <c r="BM2858" s="869"/>
      <c r="BN2858" s="332"/>
      <c r="BO2858" s="332"/>
      <c r="BP2858" s="332"/>
      <c r="BQ2858" s="332"/>
      <c r="BR2858" s="332"/>
      <c r="BS2858" s="332"/>
      <c r="BT2858" s="332"/>
      <c r="BU2858" s="332"/>
      <c r="BV2858" s="332"/>
      <c r="BW2858" s="332"/>
      <c r="BX2858" s="332"/>
      <c r="BY2858" s="332"/>
      <c r="BZ2858" s="1096"/>
      <c r="CA2858" s="270"/>
      <c r="CB2858" s="3" t="str">
        <f t="shared" si="506"/>
        <v>Riadok bude skrytý.</v>
      </c>
      <c r="CC2858" s="271" t="s">
        <v>832</v>
      </c>
      <c r="CW2858" s="30">
        <f t="shared" si="518"/>
        <v>0</v>
      </c>
      <c r="CX2858" s="30">
        <f t="shared" si="519"/>
        <v>0</v>
      </c>
      <c r="CZ2858" s="30">
        <f t="shared" si="507"/>
        <v>1</v>
      </c>
      <c r="DA2858" s="52">
        <f t="shared" si="520"/>
        <v>0</v>
      </c>
      <c r="DB2858" s="2">
        <f t="shared" si="509"/>
        <v>0</v>
      </c>
      <c r="DS2858" s="130">
        <f>SI!BY2858</f>
        <v>116</v>
      </c>
      <c r="DZ2858" s="131">
        <f>SI!BZ2858</f>
        <v>0</v>
      </c>
    </row>
    <row r="2859" spans="1:130" hidden="1" x14ac:dyDescent="0.25">
      <c r="A2859" s="141"/>
      <c r="B2859" s="1083"/>
      <c r="C2859" s="1084"/>
      <c r="D2859" s="1084"/>
      <c r="E2859" s="1084"/>
      <c r="F2859" s="1084"/>
      <c r="G2859" s="1084"/>
      <c r="H2859" s="1084"/>
      <c r="I2859" s="1084"/>
      <c r="J2859" s="1084"/>
      <c r="K2859" s="1084"/>
      <c r="L2859" s="1084"/>
      <c r="M2859" s="1084"/>
      <c r="N2859" s="1084"/>
      <c r="O2859" s="1084"/>
      <c r="P2859" s="1084"/>
      <c r="Q2859" s="1084"/>
      <c r="R2859" s="1084"/>
      <c r="S2859" s="1084"/>
      <c r="T2859" s="1084"/>
      <c r="U2859" s="1084"/>
      <c r="V2859" s="1084"/>
      <c r="W2859" s="1084"/>
      <c r="X2859" s="1084"/>
      <c r="Y2859" s="1084"/>
      <c r="Z2859" s="1084"/>
      <c r="AA2859" s="1084"/>
      <c r="AB2859" s="1084"/>
      <c r="AC2859" s="1084"/>
      <c r="AD2859" s="1084"/>
      <c r="AE2859" s="1084"/>
      <c r="AF2859" s="1084"/>
      <c r="AG2859" s="1084"/>
      <c r="AH2859" s="1084"/>
      <c r="AI2859" s="1084"/>
      <c r="AJ2859" s="1084"/>
      <c r="AK2859" s="1084"/>
      <c r="AL2859" s="1084"/>
      <c r="AM2859" s="1084"/>
      <c r="AN2859" s="1084"/>
      <c r="AO2859" s="1084"/>
      <c r="AP2859" s="1084"/>
      <c r="AQ2859" s="1084"/>
      <c r="AR2859" s="1084"/>
      <c r="AS2859" s="1084"/>
      <c r="AT2859" s="1084"/>
      <c r="AU2859" s="1084"/>
      <c r="AV2859" s="1084"/>
      <c r="AW2859" s="869"/>
      <c r="AX2859" s="332"/>
      <c r="AY2859" s="332"/>
      <c r="AZ2859" s="332"/>
      <c r="BA2859" s="332"/>
      <c r="BB2859" s="332"/>
      <c r="BC2859" s="332"/>
      <c r="BD2859" s="332"/>
      <c r="BE2859" s="332"/>
      <c r="BF2859" s="332"/>
      <c r="BG2859" s="332"/>
      <c r="BH2859" s="332"/>
      <c r="BI2859" s="332"/>
      <c r="BJ2859" s="332"/>
      <c r="BK2859" s="332"/>
      <c r="BL2859" s="1085"/>
      <c r="BM2859" s="869"/>
      <c r="BN2859" s="332"/>
      <c r="BO2859" s="332"/>
      <c r="BP2859" s="332"/>
      <c r="BQ2859" s="332"/>
      <c r="BR2859" s="332"/>
      <c r="BS2859" s="332"/>
      <c r="BT2859" s="332"/>
      <c r="BU2859" s="332"/>
      <c r="BV2859" s="332"/>
      <c r="BW2859" s="332"/>
      <c r="BX2859" s="332"/>
      <c r="BY2859" s="332"/>
      <c r="BZ2859" s="1096"/>
      <c r="CA2859" s="270"/>
      <c r="CB2859" s="3" t="str">
        <f t="shared" si="506"/>
        <v>Riadok bude skrytý.</v>
      </c>
      <c r="CC2859" s="271" t="s">
        <v>832</v>
      </c>
      <c r="CW2859" s="30">
        <f t="shared" si="518"/>
        <v>0</v>
      </c>
      <c r="CX2859" s="30">
        <f t="shared" si="519"/>
        <v>0</v>
      </c>
      <c r="CZ2859" s="30">
        <f t="shared" si="507"/>
        <v>1</v>
      </c>
      <c r="DA2859" s="52">
        <f t="shared" si="520"/>
        <v>0</v>
      </c>
      <c r="DB2859" s="2">
        <f t="shared" si="509"/>
        <v>0</v>
      </c>
      <c r="DS2859" s="130">
        <f>SI!BY2859</f>
        <v>950</v>
      </c>
      <c r="DZ2859" s="131">
        <f>SI!BZ2859</f>
        <v>0</v>
      </c>
    </row>
    <row r="2860" spans="1:130" hidden="1" x14ac:dyDescent="0.25">
      <c r="A2860" s="141"/>
      <c r="B2860" s="1083"/>
      <c r="C2860" s="1084"/>
      <c r="D2860" s="1084"/>
      <c r="E2860" s="1084"/>
      <c r="F2860" s="1084"/>
      <c r="G2860" s="1084"/>
      <c r="H2860" s="1084"/>
      <c r="I2860" s="1084"/>
      <c r="J2860" s="1084"/>
      <c r="K2860" s="1084"/>
      <c r="L2860" s="1084"/>
      <c r="M2860" s="1084"/>
      <c r="N2860" s="1084"/>
      <c r="O2860" s="1084"/>
      <c r="P2860" s="1084"/>
      <c r="Q2860" s="1084"/>
      <c r="R2860" s="1084"/>
      <c r="S2860" s="1084"/>
      <c r="T2860" s="1084"/>
      <c r="U2860" s="1084"/>
      <c r="V2860" s="1084"/>
      <c r="W2860" s="1084"/>
      <c r="X2860" s="1084"/>
      <c r="Y2860" s="1084"/>
      <c r="Z2860" s="1084"/>
      <c r="AA2860" s="1084"/>
      <c r="AB2860" s="1084"/>
      <c r="AC2860" s="1084"/>
      <c r="AD2860" s="1084"/>
      <c r="AE2860" s="1084"/>
      <c r="AF2860" s="1084"/>
      <c r="AG2860" s="1084"/>
      <c r="AH2860" s="1084"/>
      <c r="AI2860" s="1084"/>
      <c r="AJ2860" s="1084"/>
      <c r="AK2860" s="1084"/>
      <c r="AL2860" s="1084"/>
      <c r="AM2860" s="1084"/>
      <c r="AN2860" s="1084"/>
      <c r="AO2860" s="1084"/>
      <c r="AP2860" s="1084"/>
      <c r="AQ2860" s="1084"/>
      <c r="AR2860" s="1084"/>
      <c r="AS2860" s="1084"/>
      <c r="AT2860" s="1084"/>
      <c r="AU2860" s="1084"/>
      <c r="AV2860" s="1084"/>
      <c r="AW2860" s="869"/>
      <c r="AX2860" s="332"/>
      <c r="AY2860" s="332"/>
      <c r="AZ2860" s="332"/>
      <c r="BA2860" s="332"/>
      <c r="BB2860" s="332"/>
      <c r="BC2860" s="332"/>
      <c r="BD2860" s="332"/>
      <c r="BE2860" s="332"/>
      <c r="BF2860" s="332"/>
      <c r="BG2860" s="332"/>
      <c r="BH2860" s="332"/>
      <c r="BI2860" s="332"/>
      <c r="BJ2860" s="332"/>
      <c r="BK2860" s="332"/>
      <c r="BL2860" s="1085"/>
      <c r="BM2860" s="869"/>
      <c r="BN2860" s="332"/>
      <c r="BO2860" s="332"/>
      <c r="BP2860" s="332"/>
      <c r="BQ2860" s="332"/>
      <c r="BR2860" s="332"/>
      <c r="BS2860" s="332"/>
      <c r="BT2860" s="332"/>
      <c r="BU2860" s="332"/>
      <c r="BV2860" s="332"/>
      <c r="BW2860" s="332"/>
      <c r="BX2860" s="332"/>
      <c r="BY2860" s="332"/>
      <c r="BZ2860" s="1096"/>
      <c r="CA2860" s="270"/>
      <c r="CB2860" s="3" t="str">
        <f t="shared" si="506"/>
        <v>Riadok bude skrytý.</v>
      </c>
      <c r="CC2860" s="271" t="s">
        <v>832</v>
      </c>
      <c r="CW2860" s="30">
        <f t="shared" si="518"/>
        <v>0</v>
      </c>
      <c r="CX2860" s="30">
        <f t="shared" si="519"/>
        <v>0</v>
      </c>
      <c r="CZ2860" s="30">
        <f t="shared" si="507"/>
        <v>1</v>
      </c>
      <c r="DA2860" s="52">
        <f t="shared" si="520"/>
        <v>0</v>
      </c>
      <c r="DB2860" s="2">
        <f t="shared" si="509"/>
        <v>0</v>
      </c>
      <c r="DS2860" s="130">
        <f>SI!BY2860</f>
        <v>827</v>
      </c>
      <c r="DZ2860" s="131">
        <f>SI!BZ2860</f>
        <v>0</v>
      </c>
    </row>
    <row r="2861" spans="1:130" hidden="1" x14ac:dyDescent="0.25">
      <c r="A2861" s="141"/>
      <c r="B2861" s="1083"/>
      <c r="C2861" s="1084"/>
      <c r="D2861" s="1084"/>
      <c r="E2861" s="1084"/>
      <c r="F2861" s="1084"/>
      <c r="G2861" s="1084"/>
      <c r="H2861" s="1084"/>
      <c r="I2861" s="1084"/>
      <c r="J2861" s="1084"/>
      <c r="K2861" s="1084"/>
      <c r="L2861" s="1084"/>
      <c r="M2861" s="1084"/>
      <c r="N2861" s="1084"/>
      <c r="O2861" s="1084"/>
      <c r="P2861" s="1084"/>
      <c r="Q2861" s="1084"/>
      <c r="R2861" s="1084"/>
      <c r="S2861" s="1084"/>
      <c r="T2861" s="1084"/>
      <c r="U2861" s="1084"/>
      <c r="V2861" s="1084"/>
      <c r="W2861" s="1084"/>
      <c r="X2861" s="1084"/>
      <c r="Y2861" s="1084"/>
      <c r="Z2861" s="1084"/>
      <c r="AA2861" s="1084"/>
      <c r="AB2861" s="1084"/>
      <c r="AC2861" s="1084"/>
      <c r="AD2861" s="1084"/>
      <c r="AE2861" s="1084"/>
      <c r="AF2861" s="1084"/>
      <c r="AG2861" s="1084"/>
      <c r="AH2861" s="1084"/>
      <c r="AI2861" s="1084"/>
      <c r="AJ2861" s="1084"/>
      <c r="AK2861" s="1084"/>
      <c r="AL2861" s="1084"/>
      <c r="AM2861" s="1084"/>
      <c r="AN2861" s="1084"/>
      <c r="AO2861" s="1084"/>
      <c r="AP2861" s="1084"/>
      <c r="AQ2861" s="1084"/>
      <c r="AR2861" s="1084"/>
      <c r="AS2861" s="1084"/>
      <c r="AT2861" s="1084"/>
      <c r="AU2861" s="1084"/>
      <c r="AV2861" s="1084"/>
      <c r="AW2861" s="869"/>
      <c r="AX2861" s="332"/>
      <c r="AY2861" s="332"/>
      <c r="AZ2861" s="332"/>
      <c r="BA2861" s="332"/>
      <c r="BB2861" s="332"/>
      <c r="BC2861" s="332"/>
      <c r="BD2861" s="332"/>
      <c r="BE2861" s="332"/>
      <c r="BF2861" s="332"/>
      <c r="BG2861" s="332"/>
      <c r="BH2861" s="332"/>
      <c r="BI2861" s="332"/>
      <c r="BJ2861" s="332"/>
      <c r="BK2861" s="332"/>
      <c r="BL2861" s="1085"/>
      <c r="BM2861" s="869"/>
      <c r="BN2861" s="332"/>
      <c r="BO2861" s="332"/>
      <c r="BP2861" s="332"/>
      <c r="BQ2861" s="332"/>
      <c r="BR2861" s="332"/>
      <c r="BS2861" s="332"/>
      <c r="BT2861" s="332"/>
      <c r="BU2861" s="332"/>
      <c r="BV2861" s="332"/>
      <c r="BW2861" s="332"/>
      <c r="BX2861" s="332"/>
      <c r="BY2861" s="332"/>
      <c r="BZ2861" s="1096"/>
      <c r="CA2861" s="270"/>
      <c r="CB2861" s="3" t="str">
        <f t="shared" si="506"/>
        <v>Riadok bude skrytý.</v>
      </c>
      <c r="CC2861" s="271" t="s">
        <v>832</v>
      </c>
      <c r="CW2861" s="30">
        <f t="shared" si="518"/>
        <v>0</v>
      </c>
      <c r="CX2861" s="30">
        <f t="shared" si="519"/>
        <v>0</v>
      </c>
      <c r="CZ2861" s="30">
        <f t="shared" si="507"/>
        <v>1</v>
      </c>
      <c r="DA2861" s="52">
        <f t="shared" si="520"/>
        <v>0</v>
      </c>
      <c r="DB2861" s="2">
        <f t="shared" si="509"/>
        <v>0</v>
      </c>
      <c r="DS2861" s="130">
        <f>SI!BY2861</f>
        <v>170</v>
      </c>
      <c r="DZ2861" s="131">
        <f>SI!BZ2861</f>
        <v>0</v>
      </c>
    </row>
    <row r="2862" spans="1:130" hidden="1" x14ac:dyDescent="0.25">
      <c r="A2862" s="141"/>
      <c r="B2862" s="1083"/>
      <c r="C2862" s="1084"/>
      <c r="D2862" s="1084"/>
      <c r="E2862" s="1084"/>
      <c r="F2862" s="1084"/>
      <c r="G2862" s="1084"/>
      <c r="H2862" s="1084"/>
      <c r="I2862" s="1084"/>
      <c r="J2862" s="1084"/>
      <c r="K2862" s="1084"/>
      <c r="L2862" s="1084"/>
      <c r="M2862" s="1084"/>
      <c r="N2862" s="1084"/>
      <c r="O2862" s="1084"/>
      <c r="P2862" s="1084"/>
      <c r="Q2862" s="1084"/>
      <c r="R2862" s="1084"/>
      <c r="S2862" s="1084"/>
      <c r="T2862" s="1084"/>
      <c r="U2862" s="1084"/>
      <c r="V2862" s="1084"/>
      <c r="W2862" s="1084"/>
      <c r="X2862" s="1084"/>
      <c r="Y2862" s="1084"/>
      <c r="Z2862" s="1084"/>
      <c r="AA2862" s="1084"/>
      <c r="AB2862" s="1084"/>
      <c r="AC2862" s="1084"/>
      <c r="AD2862" s="1084"/>
      <c r="AE2862" s="1084"/>
      <c r="AF2862" s="1084"/>
      <c r="AG2862" s="1084"/>
      <c r="AH2862" s="1084"/>
      <c r="AI2862" s="1084"/>
      <c r="AJ2862" s="1084"/>
      <c r="AK2862" s="1084"/>
      <c r="AL2862" s="1084"/>
      <c r="AM2862" s="1084"/>
      <c r="AN2862" s="1084"/>
      <c r="AO2862" s="1084"/>
      <c r="AP2862" s="1084"/>
      <c r="AQ2862" s="1084"/>
      <c r="AR2862" s="1084"/>
      <c r="AS2862" s="1084"/>
      <c r="AT2862" s="1084"/>
      <c r="AU2862" s="1084"/>
      <c r="AV2862" s="1084"/>
      <c r="AW2862" s="869"/>
      <c r="AX2862" s="332"/>
      <c r="AY2862" s="332"/>
      <c r="AZ2862" s="332"/>
      <c r="BA2862" s="332"/>
      <c r="BB2862" s="332"/>
      <c r="BC2862" s="332"/>
      <c r="BD2862" s="332"/>
      <c r="BE2862" s="332"/>
      <c r="BF2862" s="332"/>
      <c r="BG2862" s="332"/>
      <c r="BH2862" s="332"/>
      <c r="BI2862" s="332"/>
      <c r="BJ2862" s="332"/>
      <c r="BK2862" s="332"/>
      <c r="BL2862" s="1085"/>
      <c r="BM2862" s="869"/>
      <c r="BN2862" s="332"/>
      <c r="BO2862" s="332"/>
      <c r="BP2862" s="332"/>
      <c r="BQ2862" s="332"/>
      <c r="BR2862" s="332"/>
      <c r="BS2862" s="332"/>
      <c r="BT2862" s="332"/>
      <c r="BU2862" s="332"/>
      <c r="BV2862" s="332"/>
      <c r="BW2862" s="332"/>
      <c r="BX2862" s="332"/>
      <c r="BY2862" s="332"/>
      <c r="BZ2862" s="1096"/>
      <c r="CA2862" s="270"/>
      <c r="CB2862" s="3" t="str">
        <f t="shared" si="506"/>
        <v>Riadok bude skrytý.</v>
      </c>
      <c r="CC2862" s="271" t="s">
        <v>832</v>
      </c>
      <c r="CW2862" s="30">
        <f t="shared" si="518"/>
        <v>0</v>
      </c>
      <c r="CX2862" s="30">
        <f t="shared" si="519"/>
        <v>0</v>
      </c>
      <c r="CZ2862" s="30">
        <f t="shared" si="507"/>
        <v>1</v>
      </c>
      <c r="DA2862" s="52">
        <f t="shared" si="520"/>
        <v>0</v>
      </c>
      <c r="DB2862" s="2">
        <f t="shared" si="509"/>
        <v>0</v>
      </c>
      <c r="DS2862" s="130">
        <f>SI!BY2862</f>
        <v>227</v>
      </c>
      <c r="DZ2862" s="131">
        <f>SI!BZ2862</f>
        <v>0</v>
      </c>
    </row>
    <row r="2863" spans="1:130" hidden="1" x14ac:dyDescent="0.25">
      <c r="A2863" s="141"/>
      <c r="B2863" s="1083"/>
      <c r="C2863" s="1084"/>
      <c r="D2863" s="1084"/>
      <c r="E2863" s="1084"/>
      <c r="F2863" s="1084"/>
      <c r="G2863" s="1084"/>
      <c r="H2863" s="1084"/>
      <c r="I2863" s="1084"/>
      <c r="J2863" s="1084"/>
      <c r="K2863" s="1084"/>
      <c r="L2863" s="1084"/>
      <c r="M2863" s="1084"/>
      <c r="N2863" s="1084"/>
      <c r="O2863" s="1084"/>
      <c r="P2863" s="1084"/>
      <c r="Q2863" s="1084"/>
      <c r="R2863" s="1084"/>
      <c r="S2863" s="1084"/>
      <c r="T2863" s="1084"/>
      <c r="U2863" s="1084"/>
      <c r="V2863" s="1084"/>
      <c r="W2863" s="1084"/>
      <c r="X2863" s="1084"/>
      <c r="Y2863" s="1084"/>
      <c r="Z2863" s="1084"/>
      <c r="AA2863" s="1084"/>
      <c r="AB2863" s="1084"/>
      <c r="AC2863" s="1084"/>
      <c r="AD2863" s="1084"/>
      <c r="AE2863" s="1084"/>
      <c r="AF2863" s="1084"/>
      <c r="AG2863" s="1084"/>
      <c r="AH2863" s="1084"/>
      <c r="AI2863" s="1084"/>
      <c r="AJ2863" s="1084"/>
      <c r="AK2863" s="1084"/>
      <c r="AL2863" s="1084"/>
      <c r="AM2863" s="1084"/>
      <c r="AN2863" s="1084"/>
      <c r="AO2863" s="1084"/>
      <c r="AP2863" s="1084"/>
      <c r="AQ2863" s="1084"/>
      <c r="AR2863" s="1084"/>
      <c r="AS2863" s="1084"/>
      <c r="AT2863" s="1084"/>
      <c r="AU2863" s="1084"/>
      <c r="AV2863" s="1084"/>
      <c r="AW2863" s="869"/>
      <c r="AX2863" s="332"/>
      <c r="AY2863" s="332"/>
      <c r="AZ2863" s="332"/>
      <c r="BA2863" s="332"/>
      <c r="BB2863" s="332"/>
      <c r="BC2863" s="332"/>
      <c r="BD2863" s="332"/>
      <c r="BE2863" s="332"/>
      <c r="BF2863" s="332"/>
      <c r="BG2863" s="332"/>
      <c r="BH2863" s="332"/>
      <c r="BI2863" s="332"/>
      <c r="BJ2863" s="332"/>
      <c r="BK2863" s="332"/>
      <c r="BL2863" s="1085"/>
      <c r="BM2863" s="869"/>
      <c r="BN2863" s="332"/>
      <c r="BO2863" s="332"/>
      <c r="BP2863" s="332"/>
      <c r="BQ2863" s="332"/>
      <c r="BR2863" s="332"/>
      <c r="BS2863" s="332"/>
      <c r="BT2863" s="332"/>
      <c r="BU2863" s="332"/>
      <c r="BV2863" s="332"/>
      <c r="BW2863" s="332"/>
      <c r="BX2863" s="332"/>
      <c r="BY2863" s="332"/>
      <c r="BZ2863" s="1096"/>
      <c r="CA2863" s="270"/>
      <c r="CB2863" s="3" t="str">
        <f t="shared" si="506"/>
        <v>Riadok bude skrytý.</v>
      </c>
      <c r="CC2863" s="271" t="s">
        <v>832</v>
      </c>
      <c r="CW2863" s="30">
        <f t="shared" si="518"/>
        <v>0</v>
      </c>
      <c r="CX2863" s="30">
        <f t="shared" si="519"/>
        <v>0</v>
      </c>
      <c r="CZ2863" s="30">
        <f t="shared" si="507"/>
        <v>1</v>
      </c>
      <c r="DA2863" s="52">
        <f t="shared" si="520"/>
        <v>0</v>
      </c>
      <c r="DB2863" s="2">
        <f t="shared" si="509"/>
        <v>0</v>
      </c>
      <c r="DS2863" s="130">
        <f>SI!BY2863</f>
        <v>193</v>
      </c>
      <c r="DZ2863" s="131">
        <f>SI!BZ2863</f>
        <v>0</v>
      </c>
    </row>
    <row r="2864" spans="1:130" hidden="1" x14ac:dyDescent="0.25">
      <c r="A2864" s="141"/>
      <c r="B2864" s="1143"/>
      <c r="C2864" s="1144"/>
      <c r="D2864" s="1144"/>
      <c r="E2864" s="1144"/>
      <c r="F2864" s="1144"/>
      <c r="G2864" s="1144"/>
      <c r="H2864" s="1144"/>
      <c r="I2864" s="1144"/>
      <c r="J2864" s="1144"/>
      <c r="K2864" s="1144"/>
      <c r="L2864" s="1144"/>
      <c r="M2864" s="1144"/>
      <c r="N2864" s="1144"/>
      <c r="O2864" s="1144"/>
      <c r="P2864" s="1144"/>
      <c r="Q2864" s="1144"/>
      <c r="R2864" s="1144"/>
      <c r="S2864" s="1144"/>
      <c r="T2864" s="1144"/>
      <c r="U2864" s="1144"/>
      <c r="V2864" s="1144"/>
      <c r="W2864" s="1144"/>
      <c r="X2864" s="1144"/>
      <c r="Y2864" s="1144"/>
      <c r="Z2864" s="1144"/>
      <c r="AA2864" s="1144"/>
      <c r="AB2864" s="1144"/>
      <c r="AC2864" s="1144"/>
      <c r="AD2864" s="1144"/>
      <c r="AE2864" s="1144"/>
      <c r="AF2864" s="1144"/>
      <c r="AG2864" s="1144"/>
      <c r="AH2864" s="1144"/>
      <c r="AI2864" s="1144"/>
      <c r="AJ2864" s="1144"/>
      <c r="AK2864" s="1144"/>
      <c r="AL2864" s="1144"/>
      <c r="AM2864" s="1144"/>
      <c r="AN2864" s="1144"/>
      <c r="AO2864" s="1144"/>
      <c r="AP2864" s="1144"/>
      <c r="AQ2864" s="1144"/>
      <c r="AR2864" s="1144"/>
      <c r="AS2864" s="1144"/>
      <c r="AT2864" s="1144"/>
      <c r="AU2864" s="1144"/>
      <c r="AV2864" s="1144"/>
      <c r="AW2864" s="2119"/>
      <c r="AX2864" s="339"/>
      <c r="AY2864" s="339"/>
      <c r="AZ2864" s="339"/>
      <c r="BA2864" s="339"/>
      <c r="BB2864" s="339"/>
      <c r="BC2864" s="339"/>
      <c r="BD2864" s="339"/>
      <c r="BE2864" s="339"/>
      <c r="BF2864" s="339"/>
      <c r="BG2864" s="339"/>
      <c r="BH2864" s="339"/>
      <c r="BI2864" s="339"/>
      <c r="BJ2864" s="339"/>
      <c r="BK2864" s="339"/>
      <c r="BL2864" s="2120"/>
      <c r="BM2864" s="2119"/>
      <c r="BN2864" s="339"/>
      <c r="BO2864" s="339"/>
      <c r="BP2864" s="339"/>
      <c r="BQ2864" s="339"/>
      <c r="BR2864" s="339"/>
      <c r="BS2864" s="339"/>
      <c r="BT2864" s="339"/>
      <c r="BU2864" s="339"/>
      <c r="BV2864" s="339"/>
      <c r="BW2864" s="339"/>
      <c r="BX2864" s="339"/>
      <c r="BY2864" s="339"/>
      <c r="BZ2864" s="2121"/>
      <c r="CA2864" s="142"/>
      <c r="CB2864" s="3" t="str">
        <f t="shared" si="506"/>
        <v>Riadok bude skrytý.</v>
      </c>
      <c r="CC2864" s="271" t="s">
        <v>832</v>
      </c>
      <c r="CW2864" s="30">
        <f t="shared" si="518"/>
        <v>0</v>
      </c>
      <c r="CX2864" s="30">
        <f t="shared" si="519"/>
        <v>0</v>
      </c>
      <c r="CZ2864" s="30">
        <f t="shared" si="507"/>
        <v>1</v>
      </c>
      <c r="DA2864" s="30">
        <f>+IF(CW2864+CX2864+CY2864=0,0,IF(CZ2864=0,0,1))</f>
        <v>0</v>
      </c>
      <c r="DB2864" s="2">
        <f t="shared" si="509"/>
        <v>0</v>
      </c>
      <c r="DS2864" s="130">
        <f>SI!BY2864</f>
        <v>658</v>
      </c>
      <c r="DZ2864" s="131">
        <f>SI!BZ2864</f>
        <v>0</v>
      </c>
    </row>
    <row r="2865" spans="1:130" hidden="1" x14ac:dyDescent="0.25">
      <c r="A2865" s="141"/>
      <c r="CA2865" s="142"/>
      <c r="CB2865" s="3" t="str">
        <f t="shared" si="506"/>
        <v>Riadok bude skrytý.</v>
      </c>
      <c r="CC2865" s="271" t="s">
        <v>832</v>
      </c>
      <c r="CW2865" s="30">
        <f t="shared" si="518"/>
        <v>0</v>
      </c>
      <c r="CX2865" s="30">
        <f>+IF(B2867="",0,1)</f>
        <v>0</v>
      </c>
      <c r="CZ2865" s="30">
        <f t="shared" si="507"/>
        <v>1</v>
      </c>
      <c r="DA2865" s="52">
        <f t="shared" si="520"/>
        <v>0</v>
      </c>
      <c r="DB2865" s="2">
        <f t="shared" si="509"/>
        <v>0</v>
      </c>
      <c r="DS2865" s="130">
        <f>SI!BY2865</f>
        <v>145</v>
      </c>
      <c r="DZ2865" s="131">
        <f>SI!BZ2865</f>
        <v>0</v>
      </c>
    </row>
    <row r="2866" spans="1:130" hidden="1" x14ac:dyDescent="0.25">
      <c r="A2866" s="141"/>
      <c r="B2866" s="137" t="str">
        <f>+IF($O$52&lt;&gt;"",IF(CODE(MID($O$52,1,1))*(IF(SI!EE2866="",1,SI!EE2866-1-1))+ROUNDDOWN(LEN(SI!J5)/2,0)=DS2866,"Spoločnosť uvádza k nákladom ďalšie doplňujúce informácie:","NEPOVOLENÉ POUŽITIE!"),"NEPOVOLENÉ POUŽITIE!")</f>
        <v>Spoločnosť uvádza k nákladom ďalšie doplňujúce informácie:</v>
      </c>
      <c r="C2866" s="7"/>
      <c r="D2866" s="7"/>
      <c r="E2866" s="7"/>
      <c r="F2866" s="7"/>
      <c r="CA2866" s="265" t="s">
        <v>773</v>
      </c>
      <c r="CB2866" s="3" t="str">
        <f t="shared" si="506"/>
        <v>Riadok bude skrytý.</v>
      </c>
      <c r="CC2866" s="271" t="s">
        <v>832</v>
      </c>
      <c r="CW2866" s="30">
        <f t="shared" si="518"/>
        <v>0</v>
      </c>
      <c r="CX2866" s="30">
        <f>+IF(B2867="",0,1)</f>
        <v>0</v>
      </c>
      <c r="CZ2866" s="30">
        <f t="shared" si="507"/>
        <v>1</v>
      </c>
      <c r="DA2866" s="52">
        <f t="shared" si="520"/>
        <v>0</v>
      </c>
      <c r="DB2866" s="2">
        <f t="shared" si="509"/>
        <v>0</v>
      </c>
      <c r="DS2866" s="130">
        <f>SI!BY2866</f>
        <v>7</v>
      </c>
      <c r="DZ2866" s="131">
        <f>SI!BZ2866</f>
        <v>0</v>
      </c>
    </row>
    <row r="2867" spans="1:130" hidden="1" x14ac:dyDescent="0.25">
      <c r="A2867" s="141"/>
      <c r="B2867" s="379"/>
      <c r="C2867" s="379"/>
      <c r="D2867" s="379"/>
      <c r="E2867" s="379"/>
      <c r="F2867" s="379"/>
      <c r="G2867" s="379"/>
      <c r="H2867" s="379"/>
      <c r="I2867" s="379"/>
      <c r="J2867" s="379"/>
      <c r="K2867" s="379"/>
      <c r="L2867" s="379"/>
      <c r="M2867" s="379"/>
      <c r="N2867" s="379"/>
      <c r="O2867" s="379"/>
      <c r="P2867" s="379"/>
      <c r="Q2867" s="379"/>
      <c r="R2867" s="379"/>
      <c r="S2867" s="379"/>
      <c r="T2867" s="379"/>
      <c r="U2867" s="379"/>
      <c r="V2867" s="379"/>
      <c r="W2867" s="379"/>
      <c r="X2867" s="379"/>
      <c r="Y2867" s="379"/>
      <c r="Z2867" s="379"/>
      <c r="AA2867" s="379"/>
      <c r="AB2867" s="379"/>
      <c r="AC2867" s="379"/>
      <c r="AD2867" s="379"/>
      <c r="AE2867" s="379"/>
      <c r="AF2867" s="379"/>
      <c r="AG2867" s="379"/>
      <c r="AH2867" s="379"/>
      <c r="AI2867" s="379"/>
      <c r="AJ2867" s="379"/>
      <c r="AK2867" s="379"/>
      <c r="AL2867" s="379"/>
      <c r="AM2867" s="379"/>
      <c r="AN2867" s="379"/>
      <c r="AO2867" s="379"/>
      <c r="AP2867" s="379"/>
      <c r="AQ2867" s="379"/>
      <c r="AR2867" s="379"/>
      <c r="AS2867" s="379"/>
      <c r="AT2867" s="379"/>
      <c r="AU2867" s="379"/>
      <c r="AV2867" s="379"/>
      <c r="AW2867" s="379"/>
      <c r="AX2867" s="379"/>
      <c r="AY2867" s="379"/>
      <c r="AZ2867" s="379"/>
      <c r="BA2867" s="379"/>
      <c r="BB2867" s="379"/>
      <c r="BC2867" s="379"/>
      <c r="BD2867" s="379"/>
      <c r="BE2867" s="379"/>
      <c r="BF2867" s="379"/>
      <c r="BG2867" s="379"/>
      <c r="BH2867" s="379"/>
      <c r="BI2867" s="379"/>
      <c r="BJ2867" s="379"/>
      <c r="BK2867" s="379"/>
      <c r="BL2867" s="379"/>
      <c r="BM2867" s="379"/>
      <c r="BN2867" s="379"/>
      <c r="BO2867" s="379"/>
      <c r="BP2867" s="379"/>
      <c r="BQ2867" s="379"/>
      <c r="BR2867" s="379"/>
      <c r="BS2867" s="379"/>
      <c r="BT2867" s="379"/>
      <c r="BU2867" s="379"/>
      <c r="BV2867" s="379"/>
      <c r="BW2867" s="379"/>
      <c r="BX2867" s="379"/>
      <c r="BY2867" s="379"/>
      <c r="BZ2867" s="379"/>
      <c r="CA2867" s="270"/>
      <c r="CB2867" s="3" t="str">
        <f t="shared" ref="CB2867:CB2930" si="521">+IF(DB2867=0,"Riadok bude skrytý.","Riadok bude vidieť.")</f>
        <v>Riadok bude skrytý.</v>
      </c>
      <c r="CC2867" s="271" t="s">
        <v>832</v>
      </c>
      <c r="CW2867" s="30">
        <f t="shared" si="518"/>
        <v>0</v>
      </c>
      <c r="CX2867" s="30">
        <f t="shared" ref="CX2867:CX2886" si="522">+IF(B2867="",0,1)</f>
        <v>0</v>
      </c>
      <c r="CZ2867" s="30">
        <f t="shared" ref="CZ2867:CZ2930" si="523">IF(CC2867="",1,IF(CC2867="Chcem skryť riadok.",0,1))</f>
        <v>1</v>
      </c>
      <c r="DA2867" s="52">
        <f t="shared" si="520"/>
        <v>0</v>
      </c>
      <c r="DB2867" s="2">
        <f t="shared" si="509"/>
        <v>0</v>
      </c>
      <c r="DS2867" s="130">
        <f>SI!BY2867</f>
        <v>175</v>
      </c>
      <c r="DZ2867" s="131">
        <f>SI!BZ2867</f>
        <v>0</v>
      </c>
    </row>
    <row r="2868" spans="1:130" hidden="1" x14ac:dyDescent="0.25">
      <c r="A2868" s="141"/>
      <c r="B2868" s="379"/>
      <c r="C2868" s="379"/>
      <c r="D2868" s="379"/>
      <c r="E2868" s="379"/>
      <c r="F2868" s="379"/>
      <c r="G2868" s="379"/>
      <c r="H2868" s="379"/>
      <c r="I2868" s="379"/>
      <c r="J2868" s="379"/>
      <c r="K2868" s="379"/>
      <c r="L2868" s="379"/>
      <c r="M2868" s="379"/>
      <c r="N2868" s="379"/>
      <c r="O2868" s="379"/>
      <c r="P2868" s="379"/>
      <c r="Q2868" s="379"/>
      <c r="R2868" s="379"/>
      <c r="S2868" s="379"/>
      <c r="T2868" s="379"/>
      <c r="U2868" s="379"/>
      <c r="V2868" s="379"/>
      <c r="W2868" s="379"/>
      <c r="X2868" s="379"/>
      <c r="Y2868" s="379"/>
      <c r="Z2868" s="379"/>
      <c r="AA2868" s="379"/>
      <c r="AB2868" s="379"/>
      <c r="AC2868" s="379"/>
      <c r="AD2868" s="379"/>
      <c r="AE2868" s="379"/>
      <c r="AF2868" s="379"/>
      <c r="AG2868" s="379"/>
      <c r="AH2868" s="379"/>
      <c r="AI2868" s="379"/>
      <c r="AJ2868" s="379"/>
      <c r="AK2868" s="379"/>
      <c r="AL2868" s="379"/>
      <c r="AM2868" s="379"/>
      <c r="AN2868" s="379"/>
      <c r="AO2868" s="379"/>
      <c r="AP2868" s="379"/>
      <c r="AQ2868" s="379"/>
      <c r="AR2868" s="379"/>
      <c r="AS2868" s="379"/>
      <c r="AT2868" s="379"/>
      <c r="AU2868" s="379"/>
      <c r="AV2868" s="379"/>
      <c r="AW2868" s="379"/>
      <c r="AX2868" s="379"/>
      <c r="AY2868" s="379"/>
      <c r="AZ2868" s="379"/>
      <c r="BA2868" s="379"/>
      <c r="BB2868" s="379"/>
      <c r="BC2868" s="379"/>
      <c r="BD2868" s="379"/>
      <c r="BE2868" s="379"/>
      <c r="BF2868" s="379"/>
      <c r="BG2868" s="379"/>
      <c r="BH2868" s="379"/>
      <c r="BI2868" s="379"/>
      <c r="BJ2868" s="379"/>
      <c r="BK2868" s="379"/>
      <c r="BL2868" s="379"/>
      <c r="BM2868" s="379"/>
      <c r="BN2868" s="379"/>
      <c r="BO2868" s="379"/>
      <c r="BP2868" s="379"/>
      <c r="BQ2868" s="379"/>
      <c r="BR2868" s="379"/>
      <c r="BS2868" s="379"/>
      <c r="BT2868" s="379"/>
      <c r="BU2868" s="379"/>
      <c r="BV2868" s="379"/>
      <c r="BW2868" s="379"/>
      <c r="BX2868" s="379"/>
      <c r="BY2868" s="379"/>
      <c r="BZ2868" s="379"/>
      <c r="CA2868" s="270"/>
      <c r="CB2868" s="3" t="str">
        <f t="shared" si="521"/>
        <v>Riadok bude skrytý.</v>
      </c>
      <c r="CC2868" s="271" t="s">
        <v>832</v>
      </c>
      <c r="CW2868" s="30">
        <f t="shared" si="518"/>
        <v>0</v>
      </c>
      <c r="CX2868" s="30">
        <f t="shared" si="522"/>
        <v>0</v>
      </c>
      <c r="CZ2868" s="30">
        <f t="shared" si="523"/>
        <v>1</v>
      </c>
      <c r="DA2868" s="52">
        <f t="shared" si="520"/>
        <v>0</v>
      </c>
      <c r="DB2868" s="2">
        <f t="shared" si="509"/>
        <v>0</v>
      </c>
      <c r="DS2868" s="130">
        <f>SI!BY2868</f>
        <v>196</v>
      </c>
      <c r="DZ2868" s="131">
        <f>SI!BZ2868</f>
        <v>0</v>
      </c>
    </row>
    <row r="2869" spans="1:130" hidden="1" x14ac:dyDescent="0.25">
      <c r="A2869" s="141"/>
      <c r="B2869" s="379"/>
      <c r="C2869" s="379"/>
      <c r="D2869" s="379"/>
      <c r="E2869" s="379"/>
      <c r="F2869" s="379"/>
      <c r="G2869" s="379"/>
      <c r="H2869" s="379"/>
      <c r="I2869" s="379"/>
      <c r="J2869" s="379"/>
      <c r="K2869" s="379"/>
      <c r="L2869" s="379"/>
      <c r="M2869" s="379"/>
      <c r="N2869" s="379"/>
      <c r="O2869" s="379"/>
      <c r="P2869" s="379"/>
      <c r="Q2869" s="379"/>
      <c r="R2869" s="379"/>
      <c r="S2869" s="379"/>
      <c r="T2869" s="379"/>
      <c r="U2869" s="379"/>
      <c r="V2869" s="379"/>
      <c r="W2869" s="379"/>
      <c r="X2869" s="379"/>
      <c r="Y2869" s="379"/>
      <c r="Z2869" s="379"/>
      <c r="AA2869" s="379"/>
      <c r="AB2869" s="379"/>
      <c r="AC2869" s="379"/>
      <c r="AD2869" s="379"/>
      <c r="AE2869" s="379"/>
      <c r="AF2869" s="379"/>
      <c r="AG2869" s="379"/>
      <c r="AH2869" s="379"/>
      <c r="AI2869" s="379"/>
      <c r="AJ2869" s="379"/>
      <c r="AK2869" s="379"/>
      <c r="AL2869" s="379"/>
      <c r="AM2869" s="379"/>
      <c r="AN2869" s="379"/>
      <c r="AO2869" s="379"/>
      <c r="AP2869" s="379"/>
      <c r="AQ2869" s="379"/>
      <c r="AR2869" s="379"/>
      <c r="AS2869" s="379"/>
      <c r="AT2869" s="379"/>
      <c r="AU2869" s="379"/>
      <c r="AV2869" s="379"/>
      <c r="AW2869" s="379"/>
      <c r="AX2869" s="379"/>
      <c r="AY2869" s="379"/>
      <c r="AZ2869" s="379"/>
      <c r="BA2869" s="379"/>
      <c r="BB2869" s="379"/>
      <c r="BC2869" s="379"/>
      <c r="BD2869" s="379"/>
      <c r="BE2869" s="379"/>
      <c r="BF2869" s="379"/>
      <c r="BG2869" s="379"/>
      <c r="BH2869" s="379"/>
      <c r="BI2869" s="379"/>
      <c r="BJ2869" s="379"/>
      <c r="BK2869" s="379"/>
      <c r="BL2869" s="379"/>
      <c r="BM2869" s="379"/>
      <c r="BN2869" s="379"/>
      <c r="BO2869" s="379"/>
      <c r="BP2869" s="379"/>
      <c r="BQ2869" s="379"/>
      <c r="BR2869" s="379"/>
      <c r="BS2869" s="379"/>
      <c r="BT2869" s="379"/>
      <c r="BU2869" s="379"/>
      <c r="BV2869" s="379"/>
      <c r="BW2869" s="379"/>
      <c r="BX2869" s="379"/>
      <c r="BY2869" s="379"/>
      <c r="BZ2869" s="379"/>
      <c r="CA2869" s="270"/>
      <c r="CB2869" s="3" t="str">
        <f t="shared" si="521"/>
        <v>Riadok bude skrytý.</v>
      </c>
      <c r="CC2869" s="271" t="s">
        <v>832</v>
      </c>
      <c r="CW2869" s="30">
        <f t="shared" si="518"/>
        <v>0</v>
      </c>
      <c r="CX2869" s="30">
        <f t="shared" si="522"/>
        <v>0</v>
      </c>
      <c r="CZ2869" s="30">
        <f t="shared" si="523"/>
        <v>1</v>
      </c>
      <c r="DA2869" s="52">
        <f t="shared" si="520"/>
        <v>0</v>
      </c>
      <c r="DB2869" s="2">
        <f t="shared" si="509"/>
        <v>0</v>
      </c>
      <c r="DS2869" s="130">
        <f>SI!BY2869</f>
        <v>156</v>
      </c>
      <c r="DZ2869" s="131">
        <f>SI!BZ2869</f>
        <v>0</v>
      </c>
    </row>
    <row r="2870" spans="1:130" hidden="1" x14ac:dyDescent="0.25">
      <c r="A2870" s="141"/>
      <c r="B2870" s="379"/>
      <c r="C2870" s="379"/>
      <c r="D2870" s="379"/>
      <c r="E2870" s="379"/>
      <c r="F2870" s="379"/>
      <c r="G2870" s="379"/>
      <c r="H2870" s="379"/>
      <c r="I2870" s="379"/>
      <c r="J2870" s="379"/>
      <c r="K2870" s="379"/>
      <c r="L2870" s="379"/>
      <c r="M2870" s="379"/>
      <c r="N2870" s="379"/>
      <c r="O2870" s="379"/>
      <c r="P2870" s="379"/>
      <c r="Q2870" s="379"/>
      <c r="R2870" s="379"/>
      <c r="S2870" s="379"/>
      <c r="T2870" s="379"/>
      <c r="U2870" s="379"/>
      <c r="V2870" s="379"/>
      <c r="W2870" s="379"/>
      <c r="X2870" s="379"/>
      <c r="Y2870" s="379"/>
      <c r="Z2870" s="379"/>
      <c r="AA2870" s="379"/>
      <c r="AB2870" s="379"/>
      <c r="AC2870" s="379"/>
      <c r="AD2870" s="379"/>
      <c r="AE2870" s="379"/>
      <c r="AF2870" s="379"/>
      <c r="AG2870" s="379"/>
      <c r="AH2870" s="379"/>
      <c r="AI2870" s="379"/>
      <c r="AJ2870" s="379"/>
      <c r="AK2870" s="379"/>
      <c r="AL2870" s="379"/>
      <c r="AM2870" s="379"/>
      <c r="AN2870" s="379"/>
      <c r="AO2870" s="379"/>
      <c r="AP2870" s="379"/>
      <c r="AQ2870" s="379"/>
      <c r="AR2870" s="379"/>
      <c r="AS2870" s="379"/>
      <c r="AT2870" s="379"/>
      <c r="AU2870" s="379"/>
      <c r="AV2870" s="379"/>
      <c r="AW2870" s="379"/>
      <c r="AX2870" s="379"/>
      <c r="AY2870" s="379"/>
      <c r="AZ2870" s="379"/>
      <c r="BA2870" s="379"/>
      <c r="BB2870" s="379"/>
      <c r="BC2870" s="379"/>
      <c r="BD2870" s="379"/>
      <c r="BE2870" s="379"/>
      <c r="BF2870" s="379"/>
      <c r="BG2870" s="379"/>
      <c r="BH2870" s="379"/>
      <c r="BI2870" s="379"/>
      <c r="BJ2870" s="379"/>
      <c r="BK2870" s="379"/>
      <c r="BL2870" s="379"/>
      <c r="BM2870" s="379"/>
      <c r="BN2870" s="379"/>
      <c r="BO2870" s="379"/>
      <c r="BP2870" s="379"/>
      <c r="BQ2870" s="379"/>
      <c r="BR2870" s="379"/>
      <c r="BS2870" s="379"/>
      <c r="BT2870" s="379"/>
      <c r="BU2870" s="379"/>
      <c r="BV2870" s="379"/>
      <c r="BW2870" s="379"/>
      <c r="BX2870" s="379"/>
      <c r="BY2870" s="379"/>
      <c r="BZ2870" s="379"/>
      <c r="CA2870" s="270"/>
      <c r="CB2870" s="3" t="str">
        <f t="shared" si="521"/>
        <v>Riadok bude skrytý.</v>
      </c>
      <c r="CC2870" s="271" t="s">
        <v>832</v>
      </c>
      <c r="CW2870" s="30">
        <f t="shared" si="518"/>
        <v>0</v>
      </c>
      <c r="CX2870" s="30">
        <f t="shared" si="522"/>
        <v>0</v>
      </c>
      <c r="CZ2870" s="30">
        <f t="shared" si="523"/>
        <v>1</v>
      </c>
      <c r="DA2870" s="52">
        <f t="shared" si="520"/>
        <v>0</v>
      </c>
      <c r="DB2870" s="2">
        <f t="shared" ref="DB2870:DB2933" si="524">+IF($CD$1="malé",0,DA2870)</f>
        <v>0</v>
      </c>
      <c r="DS2870" s="130">
        <f>SI!BY2870</f>
        <v>131</v>
      </c>
      <c r="DZ2870" s="131">
        <f>SI!BZ2870</f>
        <v>0</v>
      </c>
    </row>
    <row r="2871" spans="1:130" hidden="1" x14ac:dyDescent="0.25">
      <c r="A2871" s="141"/>
      <c r="B2871" s="379"/>
      <c r="C2871" s="379"/>
      <c r="D2871" s="379"/>
      <c r="E2871" s="379"/>
      <c r="F2871" s="379"/>
      <c r="G2871" s="379"/>
      <c r="H2871" s="379"/>
      <c r="I2871" s="379"/>
      <c r="J2871" s="379"/>
      <c r="K2871" s="379"/>
      <c r="L2871" s="379"/>
      <c r="M2871" s="379"/>
      <c r="N2871" s="379"/>
      <c r="O2871" s="379"/>
      <c r="P2871" s="379"/>
      <c r="Q2871" s="379"/>
      <c r="R2871" s="379"/>
      <c r="S2871" s="379"/>
      <c r="T2871" s="379"/>
      <c r="U2871" s="379"/>
      <c r="V2871" s="379"/>
      <c r="W2871" s="379"/>
      <c r="X2871" s="379"/>
      <c r="Y2871" s="379"/>
      <c r="Z2871" s="379"/>
      <c r="AA2871" s="379"/>
      <c r="AB2871" s="379"/>
      <c r="AC2871" s="379"/>
      <c r="AD2871" s="379"/>
      <c r="AE2871" s="379"/>
      <c r="AF2871" s="379"/>
      <c r="AG2871" s="379"/>
      <c r="AH2871" s="379"/>
      <c r="AI2871" s="379"/>
      <c r="AJ2871" s="379"/>
      <c r="AK2871" s="379"/>
      <c r="AL2871" s="379"/>
      <c r="AM2871" s="379"/>
      <c r="AN2871" s="379"/>
      <c r="AO2871" s="379"/>
      <c r="AP2871" s="379"/>
      <c r="AQ2871" s="379"/>
      <c r="AR2871" s="379"/>
      <c r="AS2871" s="379"/>
      <c r="AT2871" s="379"/>
      <c r="AU2871" s="379"/>
      <c r="AV2871" s="379"/>
      <c r="AW2871" s="379"/>
      <c r="AX2871" s="379"/>
      <c r="AY2871" s="379"/>
      <c r="AZ2871" s="379"/>
      <c r="BA2871" s="379"/>
      <c r="BB2871" s="379"/>
      <c r="BC2871" s="379"/>
      <c r="BD2871" s="379"/>
      <c r="BE2871" s="379"/>
      <c r="BF2871" s="379"/>
      <c r="BG2871" s="379"/>
      <c r="BH2871" s="379"/>
      <c r="BI2871" s="379"/>
      <c r="BJ2871" s="379"/>
      <c r="BK2871" s="379"/>
      <c r="BL2871" s="379"/>
      <c r="BM2871" s="379"/>
      <c r="BN2871" s="379"/>
      <c r="BO2871" s="379"/>
      <c r="BP2871" s="379"/>
      <c r="BQ2871" s="379"/>
      <c r="BR2871" s="379"/>
      <c r="BS2871" s="379"/>
      <c r="BT2871" s="379"/>
      <c r="BU2871" s="379"/>
      <c r="BV2871" s="379"/>
      <c r="BW2871" s="379"/>
      <c r="BX2871" s="379"/>
      <c r="BY2871" s="379"/>
      <c r="BZ2871" s="379"/>
      <c r="CA2871" s="270"/>
      <c r="CB2871" s="3" t="str">
        <f t="shared" si="521"/>
        <v>Riadok bude skrytý.</v>
      </c>
      <c r="CC2871" s="271" t="s">
        <v>832</v>
      </c>
      <c r="CW2871" s="30">
        <f t="shared" si="518"/>
        <v>0</v>
      </c>
      <c r="CX2871" s="30">
        <f t="shared" si="522"/>
        <v>0</v>
      </c>
      <c r="CZ2871" s="30">
        <f t="shared" si="523"/>
        <v>1</v>
      </c>
      <c r="DA2871" s="52">
        <f t="shared" si="520"/>
        <v>0</v>
      </c>
      <c r="DB2871" s="2">
        <f t="shared" si="524"/>
        <v>0</v>
      </c>
      <c r="DS2871" s="130">
        <f>SI!BY2871</f>
        <v>174</v>
      </c>
      <c r="DZ2871" s="131">
        <f>SI!BZ2871</f>
        <v>0</v>
      </c>
    </row>
    <row r="2872" spans="1:130" hidden="1" x14ac:dyDescent="0.25">
      <c r="A2872" s="141"/>
      <c r="B2872" s="379"/>
      <c r="C2872" s="379"/>
      <c r="D2872" s="379"/>
      <c r="E2872" s="379"/>
      <c r="F2872" s="379"/>
      <c r="G2872" s="379"/>
      <c r="H2872" s="379"/>
      <c r="I2872" s="379"/>
      <c r="J2872" s="379"/>
      <c r="K2872" s="379"/>
      <c r="L2872" s="379"/>
      <c r="M2872" s="379"/>
      <c r="N2872" s="379"/>
      <c r="O2872" s="379"/>
      <c r="P2872" s="379"/>
      <c r="Q2872" s="379"/>
      <c r="R2872" s="379"/>
      <c r="S2872" s="379"/>
      <c r="T2872" s="379"/>
      <c r="U2872" s="379"/>
      <c r="V2872" s="379"/>
      <c r="W2872" s="379"/>
      <c r="X2872" s="379"/>
      <c r="Y2872" s="379"/>
      <c r="Z2872" s="379"/>
      <c r="AA2872" s="379"/>
      <c r="AB2872" s="379"/>
      <c r="AC2872" s="379"/>
      <c r="AD2872" s="379"/>
      <c r="AE2872" s="379"/>
      <c r="AF2872" s="379"/>
      <c r="AG2872" s="379"/>
      <c r="AH2872" s="379"/>
      <c r="AI2872" s="379"/>
      <c r="AJ2872" s="379"/>
      <c r="AK2872" s="379"/>
      <c r="AL2872" s="379"/>
      <c r="AM2872" s="379"/>
      <c r="AN2872" s="379"/>
      <c r="AO2872" s="379"/>
      <c r="AP2872" s="379"/>
      <c r="AQ2872" s="379"/>
      <c r="AR2872" s="379"/>
      <c r="AS2872" s="379"/>
      <c r="AT2872" s="379"/>
      <c r="AU2872" s="379"/>
      <c r="AV2872" s="379"/>
      <c r="AW2872" s="379"/>
      <c r="AX2872" s="379"/>
      <c r="AY2872" s="379"/>
      <c r="AZ2872" s="379"/>
      <c r="BA2872" s="379"/>
      <c r="BB2872" s="379"/>
      <c r="BC2872" s="379"/>
      <c r="BD2872" s="379"/>
      <c r="BE2872" s="379"/>
      <c r="BF2872" s="379"/>
      <c r="BG2872" s="379"/>
      <c r="BH2872" s="379"/>
      <c r="BI2872" s="379"/>
      <c r="BJ2872" s="379"/>
      <c r="BK2872" s="379"/>
      <c r="BL2872" s="379"/>
      <c r="BM2872" s="379"/>
      <c r="BN2872" s="379"/>
      <c r="BO2872" s="379"/>
      <c r="BP2872" s="379"/>
      <c r="BQ2872" s="379"/>
      <c r="BR2872" s="379"/>
      <c r="BS2872" s="379"/>
      <c r="BT2872" s="379"/>
      <c r="BU2872" s="379"/>
      <c r="BV2872" s="379"/>
      <c r="BW2872" s="379"/>
      <c r="BX2872" s="379"/>
      <c r="BY2872" s="379"/>
      <c r="BZ2872" s="379"/>
      <c r="CA2872" s="270"/>
      <c r="CB2872" s="3" t="str">
        <f t="shared" si="521"/>
        <v>Riadok bude skrytý.</v>
      </c>
      <c r="CC2872" s="271" t="s">
        <v>832</v>
      </c>
      <c r="CW2872" s="30">
        <f t="shared" si="518"/>
        <v>0</v>
      </c>
      <c r="CX2872" s="30">
        <f t="shared" si="522"/>
        <v>0</v>
      </c>
      <c r="CZ2872" s="30">
        <f t="shared" si="523"/>
        <v>1</v>
      </c>
      <c r="DA2872" s="52">
        <f t="shared" si="520"/>
        <v>0</v>
      </c>
      <c r="DB2872" s="2">
        <f t="shared" si="524"/>
        <v>0</v>
      </c>
      <c r="DS2872" s="130">
        <f>SI!BY2872</f>
        <v>114</v>
      </c>
      <c r="DZ2872" s="131">
        <f>SI!BZ2872</f>
        <v>0</v>
      </c>
    </row>
    <row r="2873" spans="1:130" hidden="1" x14ac:dyDescent="0.25">
      <c r="A2873" s="141"/>
      <c r="B2873" s="379"/>
      <c r="C2873" s="379"/>
      <c r="D2873" s="379"/>
      <c r="E2873" s="379"/>
      <c r="F2873" s="379"/>
      <c r="G2873" s="379"/>
      <c r="H2873" s="379"/>
      <c r="I2873" s="379"/>
      <c r="J2873" s="379"/>
      <c r="K2873" s="379"/>
      <c r="L2873" s="379"/>
      <c r="M2873" s="379"/>
      <c r="N2873" s="379"/>
      <c r="O2873" s="379"/>
      <c r="P2873" s="379"/>
      <c r="Q2873" s="379"/>
      <c r="R2873" s="379"/>
      <c r="S2873" s="379"/>
      <c r="T2873" s="379"/>
      <c r="U2873" s="379"/>
      <c r="V2873" s="379"/>
      <c r="W2873" s="379"/>
      <c r="X2873" s="379"/>
      <c r="Y2873" s="379"/>
      <c r="Z2873" s="379"/>
      <c r="AA2873" s="379"/>
      <c r="AB2873" s="379"/>
      <c r="AC2873" s="379"/>
      <c r="AD2873" s="379"/>
      <c r="AE2873" s="379"/>
      <c r="AF2873" s="379"/>
      <c r="AG2873" s="379"/>
      <c r="AH2873" s="379"/>
      <c r="AI2873" s="379"/>
      <c r="AJ2873" s="379"/>
      <c r="AK2873" s="379"/>
      <c r="AL2873" s="379"/>
      <c r="AM2873" s="379"/>
      <c r="AN2873" s="379"/>
      <c r="AO2873" s="379"/>
      <c r="AP2873" s="379"/>
      <c r="AQ2873" s="379"/>
      <c r="AR2873" s="379"/>
      <c r="AS2873" s="379"/>
      <c r="AT2873" s="379"/>
      <c r="AU2873" s="379"/>
      <c r="AV2873" s="379"/>
      <c r="AW2873" s="379"/>
      <c r="AX2873" s="379"/>
      <c r="AY2873" s="379"/>
      <c r="AZ2873" s="379"/>
      <c r="BA2873" s="379"/>
      <c r="BB2873" s="379"/>
      <c r="BC2873" s="379"/>
      <c r="BD2873" s="379"/>
      <c r="BE2873" s="379"/>
      <c r="BF2873" s="379"/>
      <c r="BG2873" s="379"/>
      <c r="BH2873" s="379"/>
      <c r="BI2873" s="379"/>
      <c r="BJ2873" s="379"/>
      <c r="BK2873" s="379"/>
      <c r="BL2873" s="379"/>
      <c r="BM2873" s="379"/>
      <c r="BN2873" s="379"/>
      <c r="BO2873" s="379"/>
      <c r="BP2873" s="379"/>
      <c r="BQ2873" s="379"/>
      <c r="BR2873" s="379"/>
      <c r="BS2873" s="379"/>
      <c r="BT2873" s="379"/>
      <c r="BU2873" s="379"/>
      <c r="BV2873" s="379"/>
      <c r="BW2873" s="379"/>
      <c r="BX2873" s="379"/>
      <c r="BY2873" s="379"/>
      <c r="BZ2873" s="379"/>
      <c r="CA2873" s="270"/>
      <c r="CB2873" s="3" t="str">
        <f t="shared" si="521"/>
        <v>Riadok bude skrytý.</v>
      </c>
      <c r="CC2873" s="271" t="s">
        <v>832</v>
      </c>
      <c r="CW2873" s="30">
        <f t="shared" si="518"/>
        <v>0</v>
      </c>
      <c r="CX2873" s="30">
        <f t="shared" si="522"/>
        <v>0</v>
      </c>
      <c r="CZ2873" s="30">
        <f t="shared" si="523"/>
        <v>1</v>
      </c>
      <c r="DA2873" s="52">
        <f t="shared" si="520"/>
        <v>0</v>
      </c>
      <c r="DB2873" s="2">
        <f t="shared" si="524"/>
        <v>0</v>
      </c>
      <c r="DS2873" s="130">
        <f>SI!BY2873</f>
        <v>201</v>
      </c>
      <c r="DZ2873" s="131">
        <f>SI!BZ2873</f>
        <v>0</v>
      </c>
    </row>
    <row r="2874" spans="1:130" hidden="1" x14ac:dyDescent="0.25">
      <c r="A2874" s="141"/>
      <c r="B2874" s="379"/>
      <c r="C2874" s="379"/>
      <c r="D2874" s="379"/>
      <c r="E2874" s="379"/>
      <c r="F2874" s="379"/>
      <c r="G2874" s="379"/>
      <c r="H2874" s="379"/>
      <c r="I2874" s="379"/>
      <c r="J2874" s="379"/>
      <c r="K2874" s="379"/>
      <c r="L2874" s="379"/>
      <c r="M2874" s="379"/>
      <c r="N2874" s="379"/>
      <c r="O2874" s="379"/>
      <c r="P2874" s="379"/>
      <c r="Q2874" s="379"/>
      <c r="R2874" s="379"/>
      <c r="S2874" s="379"/>
      <c r="T2874" s="379"/>
      <c r="U2874" s="379"/>
      <c r="V2874" s="379"/>
      <c r="W2874" s="379"/>
      <c r="X2874" s="379"/>
      <c r="Y2874" s="379"/>
      <c r="Z2874" s="379"/>
      <c r="AA2874" s="379"/>
      <c r="AB2874" s="379"/>
      <c r="AC2874" s="379"/>
      <c r="AD2874" s="379"/>
      <c r="AE2874" s="379"/>
      <c r="AF2874" s="379"/>
      <c r="AG2874" s="379"/>
      <c r="AH2874" s="379"/>
      <c r="AI2874" s="379"/>
      <c r="AJ2874" s="379"/>
      <c r="AK2874" s="379"/>
      <c r="AL2874" s="379"/>
      <c r="AM2874" s="379"/>
      <c r="AN2874" s="379"/>
      <c r="AO2874" s="379"/>
      <c r="AP2874" s="379"/>
      <c r="AQ2874" s="379"/>
      <c r="AR2874" s="379"/>
      <c r="AS2874" s="379"/>
      <c r="AT2874" s="379"/>
      <c r="AU2874" s="379"/>
      <c r="AV2874" s="379"/>
      <c r="AW2874" s="379"/>
      <c r="AX2874" s="379"/>
      <c r="AY2874" s="379"/>
      <c r="AZ2874" s="379"/>
      <c r="BA2874" s="379"/>
      <c r="BB2874" s="379"/>
      <c r="BC2874" s="379"/>
      <c r="BD2874" s="379"/>
      <c r="BE2874" s="379"/>
      <c r="BF2874" s="379"/>
      <c r="BG2874" s="379"/>
      <c r="BH2874" s="379"/>
      <c r="BI2874" s="379"/>
      <c r="BJ2874" s="379"/>
      <c r="BK2874" s="379"/>
      <c r="BL2874" s="379"/>
      <c r="BM2874" s="379"/>
      <c r="BN2874" s="379"/>
      <c r="BO2874" s="379"/>
      <c r="BP2874" s="379"/>
      <c r="BQ2874" s="379"/>
      <c r="BR2874" s="379"/>
      <c r="BS2874" s="379"/>
      <c r="BT2874" s="379"/>
      <c r="BU2874" s="379"/>
      <c r="BV2874" s="379"/>
      <c r="BW2874" s="379"/>
      <c r="BX2874" s="379"/>
      <c r="BY2874" s="379"/>
      <c r="BZ2874" s="379"/>
      <c r="CA2874" s="270"/>
      <c r="CB2874" s="3" t="str">
        <f t="shared" si="521"/>
        <v>Riadok bude skrytý.</v>
      </c>
      <c r="CC2874" s="271" t="s">
        <v>832</v>
      </c>
      <c r="CW2874" s="30">
        <f t="shared" si="518"/>
        <v>0</v>
      </c>
      <c r="CX2874" s="30">
        <f t="shared" si="522"/>
        <v>0</v>
      </c>
      <c r="CZ2874" s="30">
        <f t="shared" si="523"/>
        <v>1</v>
      </c>
      <c r="DA2874" s="52">
        <f t="shared" si="520"/>
        <v>0</v>
      </c>
      <c r="DB2874" s="2">
        <f t="shared" si="524"/>
        <v>0</v>
      </c>
      <c r="DS2874" s="130">
        <f>SI!BY2874</f>
        <v>426</v>
      </c>
      <c r="DZ2874" s="131">
        <f>SI!BZ2874</f>
        <v>0</v>
      </c>
    </row>
    <row r="2875" spans="1:130" hidden="1" x14ac:dyDescent="0.25">
      <c r="A2875" s="141"/>
      <c r="B2875" s="379"/>
      <c r="C2875" s="379"/>
      <c r="D2875" s="379"/>
      <c r="E2875" s="379"/>
      <c r="F2875" s="379"/>
      <c r="G2875" s="379"/>
      <c r="H2875" s="379"/>
      <c r="I2875" s="379"/>
      <c r="J2875" s="379"/>
      <c r="K2875" s="379"/>
      <c r="L2875" s="379"/>
      <c r="M2875" s="379"/>
      <c r="N2875" s="379"/>
      <c r="O2875" s="379"/>
      <c r="P2875" s="379"/>
      <c r="Q2875" s="379"/>
      <c r="R2875" s="379"/>
      <c r="S2875" s="379"/>
      <c r="T2875" s="379"/>
      <c r="U2875" s="379"/>
      <c r="V2875" s="379"/>
      <c r="W2875" s="379"/>
      <c r="X2875" s="379"/>
      <c r="Y2875" s="379"/>
      <c r="Z2875" s="379"/>
      <c r="AA2875" s="379"/>
      <c r="AB2875" s="379"/>
      <c r="AC2875" s="379"/>
      <c r="AD2875" s="379"/>
      <c r="AE2875" s="379"/>
      <c r="AF2875" s="379"/>
      <c r="AG2875" s="379"/>
      <c r="AH2875" s="379"/>
      <c r="AI2875" s="379"/>
      <c r="AJ2875" s="379"/>
      <c r="AK2875" s="379"/>
      <c r="AL2875" s="379"/>
      <c r="AM2875" s="379"/>
      <c r="AN2875" s="379"/>
      <c r="AO2875" s="379"/>
      <c r="AP2875" s="379"/>
      <c r="AQ2875" s="379"/>
      <c r="AR2875" s="379"/>
      <c r="AS2875" s="379"/>
      <c r="AT2875" s="379"/>
      <c r="AU2875" s="379"/>
      <c r="AV2875" s="379"/>
      <c r="AW2875" s="379"/>
      <c r="AX2875" s="379"/>
      <c r="AY2875" s="379"/>
      <c r="AZ2875" s="379"/>
      <c r="BA2875" s="379"/>
      <c r="BB2875" s="379"/>
      <c r="BC2875" s="379"/>
      <c r="BD2875" s="379"/>
      <c r="BE2875" s="379"/>
      <c r="BF2875" s="379"/>
      <c r="BG2875" s="379"/>
      <c r="BH2875" s="379"/>
      <c r="BI2875" s="379"/>
      <c r="BJ2875" s="379"/>
      <c r="BK2875" s="379"/>
      <c r="BL2875" s="379"/>
      <c r="BM2875" s="379"/>
      <c r="BN2875" s="379"/>
      <c r="BO2875" s="379"/>
      <c r="BP2875" s="379"/>
      <c r="BQ2875" s="379"/>
      <c r="BR2875" s="379"/>
      <c r="BS2875" s="379"/>
      <c r="BT2875" s="379"/>
      <c r="BU2875" s="379"/>
      <c r="BV2875" s="379"/>
      <c r="BW2875" s="379"/>
      <c r="BX2875" s="379"/>
      <c r="BY2875" s="379"/>
      <c r="BZ2875" s="379"/>
      <c r="CA2875" s="270"/>
      <c r="CB2875" s="3" t="str">
        <f t="shared" si="521"/>
        <v>Riadok bude skrytý.</v>
      </c>
      <c r="CC2875" s="271" t="s">
        <v>832</v>
      </c>
      <c r="CW2875" s="30">
        <f t="shared" si="518"/>
        <v>0</v>
      </c>
      <c r="CX2875" s="30">
        <f t="shared" si="522"/>
        <v>0</v>
      </c>
      <c r="CZ2875" s="30">
        <f t="shared" si="523"/>
        <v>1</v>
      </c>
      <c r="DA2875" s="52">
        <f t="shared" si="520"/>
        <v>0</v>
      </c>
      <c r="DB2875" s="2">
        <f t="shared" si="524"/>
        <v>0</v>
      </c>
      <c r="DS2875" s="130">
        <f>SI!BY2875</f>
        <v>175</v>
      </c>
      <c r="DZ2875" s="131">
        <f>SI!BZ2875</f>
        <v>0</v>
      </c>
    </row>
    <row r="2876" spans="1:130" hidden="1" x14ac:dyDescent="0.25">
      <c r="A2876" s="141"/>
      <c r="B2876" s="379"/>
      <c r="C2876" s="379"/>
      <c r="D2876" s="379"/>
      <c r="E2876" s="379"/>
      <c r="F2876" s="379"/>
      <c r="G2876" s="379"/>
      <c r="H2876" s="379"/>
      <c r="I2876" s="379"/>
      <c r="J2876" s="379"/>
      <c r="K2876" s="379"/>
      <c r="L2876" s="379"/>
      <c r="M2876" s="379"/>
      <c r="N2876" s="379"/>
      <c r="O2876" s="379"/>
      <c r="P2876" s="379"/>
      <c r="Q2876" s="379"/>
      <c r="R2876" s="379"/>
      <c r="S2876" s="379"/>
      <c r="T2876" s="379"/>
      <c r="U2876" s="379"/>
      <c r="V2876" s="379"/>
      <c r="W2876" s="379"/>
      <c r="X2876" s="379"/>
      <c r="Y2876" s="379"/>
      <c r="Z2876" s="379"/>
      <c r="AA2876" s="379"/>
      <c r="AB2876" s="379"/>
      <c r="AC2876" s="379"/>
      <c r="AD2876" s="379"/>
      <c r="AE2876" s="379"/>
      <c r="AF2876" s="379"/>
      <c r="AG2876" s="379"/>
      <c r="AH2876" s="379"/>
      <c r="AI2876" s="379"/>
      <c r="AJ2876" s="379"/>
      <c r="AK2876" s="379"/>
      <c r="AL2876" s="379"/>
      <c r="AM2876" s="379"/>
      <c r="AN2876" s="379"/>
      <c r="AO2876" s="379"/>
      <c r="AP2876" s="379"/>
      <c r="AQ2876" s="379"/>
      <c r="AR2876" s="379"/>
      <c r="AS2876" s="379"/>
      <c r="AT2876" s="379"/>
      <c r="AU2876" s="379"/>
      <c r="AV2876" s="379"/>
      <c r="AW2876" s="379"/>
      <c r="AX2876" s="379"/>
      <c r="AY2876" s="379"/>
      <c r="AZ2876" s="379"/>
      <c r="BA2876" s="379"/>
      <c r="BB2876" s="379"/>
      <c r="BC2876" s="379"/>
      <c r="BD2876" s="379"/>
      <c r="BE2876" s="379"/>
      <c r="BF2876" s="379"/>
      <c r="BG2876" s="379"/>
      <c r="BH2876" s="379"/>
      <c r="BI2876" s="379"/>
      <c r="BJ2876" s="379"/>
      <c r="BK2876" s="379"/>
      <c r="BL2876" s="379"/>
      <c r="BM2876" s="379"/>
      <c r="BN2876" s="379"/>
      <c r="BO2876" s="379"/>
      <c r="BP2876" s="379"/>
      <c r="BQ2876" s="379"/>
      <c r="BR2876" s="379"/>
      <c r="BS2876" s="379"/>
      <c r="BT2876" s="379"/>
      <c r="BU2876" s="379"/>
      <c r="BV2876" s="379"/>
      <c r="BW2876" s="379"/>
      <c r="BX2876" s="379"/>
      <c r="BY2876" s="379"/>
      <c r="BZ2876" s="379"/>
      <c r="CA2876" s="270"/>
      <c r="CB2876" s="3" t="str">
        <f t="shared" si="521"/>
        <v>Riadok bude skrytý.</v>
      </c>
      <c r="CC2876" s="271" t="s">
        <v>832</v>
      </c>
      <c r="CW2876" s="30">
        <f t="shared" si="518"/>
        <v>0</v>
      </c>
      <c r="CX2876" s="30">
        <f t="shared" si="522"/>
        <v>0</v>
      </c>
      <c r="CZ2876" s="30">
        <f t="shared" si="523"/>
        <v>1</v>
      </c>
      <c r="DA2876" s="52">
        <f t="shared" si="520"/>
        <v>0</v>
      </c>
      <c r="DB2876" s="2">
        <f t="shared" si="524"/>
        <v>0</v>
      </c>
      <c r="DS2876" s="130">
        <f>SI!BY2876</f>
        <v>1159</v>
      </c>
      <c r="DZ2876" s="131">
        <f>SI!BZ2876</f>
        <v>0</v>
      </c>
    </row>
    <row r="2877" spans="1:130" hidden="1" x14ac:dyDescent="0.25">
      <c r="A2877" s="141"/>
      <c r="B2877" s="379"/>
      <c r="C2877" s="379"/>
      <c r="D2877" s="379"/>
      <c r="E2877" s="379"/>
      <c r="F2877" s="379"/>
      <c r="G2877" s="379"/>
      <c r="H2877" s="379"/>
      <c r="I2877" s="379"/>
      <c r="J2877" s="379"/>
      <c r="K2877" s="379"/>
      <c r="L2877" s="379"/>
      <c r="M2877" s="379"/>
      <c r="N2877" s="379"/>
      <c r="O2877" s="379"/>
      <c r="P2877" s="379"/>
      <c r="Q2877" s="379"/>
      <c r="R2877" s="379"/>
      <c r="S2877" s="379"/>
      <c r="T2877" s="379"/>
      <c r="U2877" s="379"/>
      <c r="V2877" s="379"/>
      <c r="W2877" s="379"/>
      <c r="X2877" s="379"/>
      <c r="Y2877" s="379"/>
      <c r="Z2877" s="379"/>
      <c r="AA2877" s="379"/>
      <c r="AB2877" s="379"/>
      <c r="AC2877" s="379"/>
      <c r="AD2877" s="379"/>
      <c r="AE2877" s="379"/>
      <c r="AF2877" s="379"/>
      <c r="AG2877" s="379"/>
      <c r="AH2877" s="379"/>
      <c r="AI2877" s="379"/>
      <c r="AJ2877" s="379"/>
      <c r="AK2877" s="379"/>
      <c r="AL2877" s="379"/>
      <c r="AM2877" s="379"/>
      <c r="AN2877" s="379"/>
      <c r="AO2877" s="379"/>
      <c r="AP2877" s="379"/>
      <c r="AQ2877" s="379"/>
      <c r="AR2877" s="379"/>
      <c r="AS2877" s="379"/>
      <c r="AT2877" s="379"/>
      <c r="AU2877" s="379"/>
      <c r="AV2877" s="379"/>
      <c r="AW2877" s="379"/>
      <c r="AX2877" s="379"/>
      <c r="AY2877" s="379"/>
      <c r="AZ2877" s="379"/>
      <c r="BA2877" s="379"/>
      <c r="BB2877" s="379"/>
      <c r="BC2877" s="379"/>
      <c r="BD2877" s="379"/>
      <c r="BE2877" s="379"/>
      <c r="BF2877" s="379"/>
      <c r="BG2877" s="379"/>
      <c r="BH2877" s="379"/>
      <c r="BI2877" s="379"/>
      <c r="BJ2877" s="379"/>
      <c r="BK2877" s="379"/>
      <c r="BL2877" s="379"/>
      <c r="BM2877" s="379"/>
      <c r="BN2877" s="379"/>
      <c r="BO2877" s="379"/>
      <c r="BP2877" s="379"/>
      <c r="BQ2877" s="379"/>
      <c r="BR2877" s="379"/>
      <c r="BS2877" s="379"/>
      <c r="BT2877" s="379"/>
      <c r="BU2877" s="379"/>
      <c r="BV2877" s="379"/>
      <c r="BW2877" s="379"/>
      <c r="BX2877" s="379"/>
      <c r="BY2877" s="379"/>
      <c r="BZ2877" s="379"/>
      <c r="CA2877" s="270"/>
      <c r="CB2877" s="3" t="str">
        <f t="shared" si="521"/>
        <v>Riadok bude skrytý.</v>
      </c>
      <c r="CC2877" s="271" t="s">
        <v>832</v>
      </c>
      <c r="CW2877" s="30">
        <f t="shared" si="518"/>
        <v>0</v>
      </c>
      <c r="CX2877" s="30">
        <f t="shared" si="522"/>
        <v>0</v>
      </c>
      <c r="CZ2877" s="30">
        <f t="shared" si="523"/>
        <v>1</v>
      </c>
      <c r="DA2877" s="52">
        <f t="shared" si="520"/>
        <v>0</v>
      </c>
      <c r="DB2877" s="2">
        <f t="shared" si="524"/>
        <v>0</v>
      </c>
      <c r="DS2877" s="130">
        <f>SI!BY2877</f>
        <v>177</v>
      </c>
      <c r="DZ2877" s="131">
        <f>SI!BZ2877</f>
        <v>0</v>
      </c>
    </row>
    <row r="2878" spans="1:130" hidden="1" x14ac:dyDescent="0.25">
      <c r="A2878" s="141"/>
      <c r="B2878" s="379"/>
      <c r="C2878" s="379"/>
      <c r="D2878" s="379"/>
      <c r="E2878" s="379"/>
      <c r="F2878" s="379"/>
      <c r="G2878" s="379"/>
      <c r="H2878" s="379"/>
      <c r="I2878" s="379"/>
      <c r="J2878" s="379"/>
      <c r="K2878" s="379"/>
      <c r="L2878" s="379"/>
      <c r="M2878" s="379"/>
      <c r="N2878" s="379"/>
      <c r="O2878" s="379"/>
      <c r="P2878" s="379"/>
      <c r="Q2878" s="379"/>
      <c r="R2878" s="379"/>
      <c r="S2878" s="379"/>
      <c r="T2878" s="379"/>
      <c r="U2878" s="379"/>
      <c r="V2878" s="379"/>
      <c r="W2878" s="379"/>
      <c r="X2878" s="379"/>
      <c r="Y2878" s="379"/>
      <c r="Z2878" s="379"/>
      <c r="AA2878" s="379"/>
      <c r="AB2878" s="379"/>
      <c r="AC2878" s="379"/>
      <c r="AD2878" s="379"/>
      <c r="AE2878" s="379"/>
      <c r="AF2878" s="379"/>
      <c r="AG2878" s="379"/>
      <c r="AH2878" s="379"/>
      <c r="AI2878" s="379"/>
      <c r="AJ2878" s="379"/>
      <c r="AK2878" s="379"/>
      <c r="AL2878" s="379"/>
      <c r="AM2878" s="379"/>
      <c r="AN2878" s="379"/>
      <c r="AO2878" s="379"/>
      <c r="AP2878" s="379"/>
      <c r="AQ2878" s="379"/>
      <c r="AR2878" s="379"/>
      <c r="AS2878" s="379"/>
      <c r="AT2878" s="379"/>
      <c r="AU2878" s="379"/>
      <c r="AV2878" s="379"/>
      <c r="AW2878" s="379"/>
      <c r="AX2878" s="379"/>
      <c r="AY2878" s="379"/>
      <c r="AZ2878" s="379"/>
      <c r="BA2878" s="379"/>
      <c r="BB2878" s="379"/>
      <c r="BC2878" s="379"/>
      <c r="BD2878" s="379"/>
      <c r="BE2878" s="379"/>
      <c r="BF2878" s="379"/>
      <c r="BG2878" s="379"/>
      <c r="BH2878" s="379"/>
      <c r="BI2878" s="379"/>
      <c r="BJ2878" s="379"/>
      <c r="BK2878" s="379"/>
      <c r="BL2878" s="379"/>
      <c r="BM2878" s="379"/>
      <c r="BN2878" s="379"/>
      <c r="BO2878" s="379"/>
      <c r="BP2878" s="379"/>
      <c r="BQ2878" s="379"/>
      <c r="BR2878" s="379"/>
      <c r="BS2878" s="379"/>
      <c r="BT2878" s="379"/>
      <c r="BU2878" s="379"/>
      <c r="BV2878" s="379"/>
      <c r="BW2878" s="379"/>
      <c r="BX2878" s="379"/>
      <c r="BY2878" s="379"/>
      <c r="BZ2878" s="379"/>
      <c r="CA2878" s="270"/>
      <c r="CB2878" s="3" t="str">
        <f t="shared" si="521"/>
        <v>Riadok bude skrytý.</v>
      </c>
      <c r="CC2878" s="271" t="s">
        <v>832</v>
      </c>
      <c r="CW2878" s="30">
        <f t="shared" si="518"/>
        <v>0</v>
      </c>
      <c r="CX2878" s="30">
        <f t="shared" si="522"/>
        <v>0</v>
      </c>
      <c r="CZ2878" s="30">
        <f t="shared" si="523"/>
        <v>1</v>
      </c>
      <c r="DA2878" s="52">
        <f t="shared" si="520"/>
        <v>0</v>
      </c>
      <c r="DB2878" s="2">
        <f t="shared" si="524"/>
        <v>0</v>
      </c>
      <c r="DS2878" s="130">
        <f>SI!BY2878</f>
        <v>1044</v>
      </c>
      <c r="DZ2878" s="131">
        <f>SI!BZ2878</f>
        <v>0</v>
      </c>
    </row>
    <row r="2879" spans="1:130" hidden="1" x14ac:dyDescent="0.25">
      <c r="A2879" s="141"/>
      <c r="B2879" s="379"/>
      <c r="C2879" s="379"/>
      <c r="D2879" s="379"/>
      <c r="E2879" s="379"/>
      <c r="F2879" s="379"/>
      <c r="G2879" s="379"/>
      <c r="H2879" s="379"/>
      <c r="I2879" s="379"/>
      <c r="J2879" s="379"/>
      <c r="K2879" s="379"/>
      <c r="L2879" s="379"/>
      <c r="M2879" s="379"/>
      <c r="N2879" s="379"/>
      <c r="O2879" s="379"/>
      <c r="P2879" s="379"/>
      <c r="Q2879" s="379"/>
      <c r="R2879" s="379"/>
      <c r="S2879" s="379"/>
      <c r="T2879" s="379"/>
      <c r="U2879" s="379"/>
      <c r="V2879" s="379"/>
      <c r="W2879" s="379"/>
      <c r="X2879" s="379"/>
      <c r="Y2879" s="379"/>
      <c r="Z2879" s="379"/>
      <c r="AA2879" s="379"/>
      <c r="AB2879" s="379"/>
      <c r="AC2879" s="379"/>
      <c r="AD2879" s="379"/>
      <c r="AE2879" s="379"/>
      <c r="AF2879" s="379"/>
      <c r="AG2879" s="379"/>
      <c r="AH2879" s="379"/>
      <c r="AI2879" s="379"/>
      <c r="AJ2879" s="379"/>
      <c r="AK2879" s="379"/>
      <c r="AL2879" s="379"/>
      <c r="AM2879" s="379"/>
      <c r="AN2879" s="379"/>
      <c r="AO2879" s="379"/>
      <c r="AP2879" s="379"/>
      <c r="AQ2879" s="379"/>
      <c r="AR2879" s="379"/>
      <c r="AS2879" s="379"/>
      <c r="AT2879" s="379"/>
      <c r="AU2879" s="379"/>
      <c r="AV2879" s="379"/>
      <c r="AW2879" s="379"/>
      <c r="AX2879" s="379"/>
      <c r="AY2879" s="379"/>
      <c r="AZ2879" s="379"/>
      <c r="BA2879" s="379"/>
      <c r="BB2879" s="379"/>
      <c r="BC2879" s="379"/>
      <c r="BD2879" s="379"/>
      <c r="BE2879" s="379"/>
      <c r="BF2879" s="379"/>
      <c r="BG2879" s="379"/>
      <c r="BH2879" s="379"/>
      <c r="BI2879" s="379"/>
      <c r="BJ2879" s="379"/>
      <c r="BK2879" s="379"/>
      <c r="BL2879" s="379"/>
      <c r="BM2879" s="379"/>
      <c r="BN2879" s="379"/>
      <c r="BO2879" s="379"/>
      <c r="BP2879" s="379"/>
      <c r="BQ2879" s="379"/>
      <c r="BR2879" s="379"/>
      <c r="BS2879" s="379"/>
      <c r="BT2879" s="379"/>
      <c r="BU2879" s="379"/>
      <c r="BV2879" s="379"/>
      <c r="BW2879" s="379"/>
      <c r="BX2879" s="379"/>
      <c r="BY2879" s="379"/>
      <c r="BZ2879" s="379"/>
      <c r="CA2879" s="270"/>
      <c r="CB2879" s="3" t="str">
        <f t="shared" si="521"/>
        <v>Riadok bude skrytý.</v>
      </c>
      <c r="CC2879" s="271" t="s">
        <v>832</v>
      </c>
      <c r="CW2879" s="30">
        <f t="shared" si="518"/>
        <v>0</v>
      </c>
      <c r="CX2879" s="30">
        <f t="shared" si="522"/>
        <v>0</v>
      </c>
      <c r="CZ2879" s="30">
        <f t="shared" si="523"/>
        <v>1</v>
      </c>
      <c r="DA2879" s="52">
        <f t="shared" si="520"/>
        <v>0</v>
      </c>
      <c r="DB2879" s="2">
        <f t="shared" si="524"/>
        <v>0</v>
      </c>
      <c r="DS2879" s="130">
        <f>SI!BY2879</f>
        <v>107</v>
      </c>
      <c r="DZ2879" s="131">
        <f>SI!BZ2879</f>
        <v>0</v>
      </c>
    </row>
    <row r="2880" spans="1:130" hidden="1" x14ac:dyDescent="0.25">
      <c r="A2880" s="141"/>
      <c r="B2880" s="379"/>
      <c r="C2880" s="379"/>
      <c r="D2880" s="379"/>
      <c r="E2880" s="379"/>
      <c r="F2880" s="379"/>
      <c r="G2880" s="379"/>
      <c r="H2880" s="379"/>
      <c r="I2880" s="379"/>
      <c r="J2880" s="379"/>
      <c r="K2880" s="379"/>
      <c r="L2880" s="379"/>
      <c r="M2880" s="379"/>
      <c r="N2880" s="379"/>
      <c r="O2880" s="379"/>
      <c r="P2880" s="379"/>
      <c r="Q2880" s="379"/>
      <c r="R2880" s="379"/>
      <c r="S2880" s="379"/>
      <c r="T2880" s="379"/>
      <c r="U2880" s="379"/>
      <c r="V2880" s="379"/>
      <c r="W2880" s="379"/>
      <c r="X2880" s="379"/>
      <c r="Y2880" s="379"/>
      <c r="Z2880" s="379"/>
      <c r="AA2880" s="379"/>
      <c r="AB2880" s="379"/>
      <c r="AC2880" s="379"/>
      <c r="AD2880" s="379"/>
      <c r="AE2880" s="379"/>
      <c r="AF2880" s="379"/>
      <c r="AG2880" s="379"/>
      <c r="AH2880" s="379"/>
      <c r="AI2880" s="379"/>
      <c r="AJ2880" s="379"/>
      <c r="AK2880" s="379"/>
      <c r="AL2880" s="379"/>
      <c r="AM2880" s="379"/>
      <c r="AN2880" s="379"/>
      <c r="AO2880" s="379"/>
      <c r="AP2880" s="379"/>
      <c r="AQ2880" s="379"/>
      <c r="AR2880" s="379"/>
      <c r="AS2880" s="379"/>
      <c r="AT2880" s="379"/>
      <c r="AU2880" s="379"/>
      <c r="AV2880" s="379"/>
      <c r="AW2880" s="379"/>
      <c r="AX2880" s="379"/>
      <c r="AY2880" s="379"/>
      <c r="AZ2880" s="379"/>
      <c r="BA2880" s="379"/>
      <c r="BB2880" s="379"/>
      <c r="BC2880" s="379"/>
      <c r="BD2880" s="379"/>
      <c r="BE2880" s="379"/>
      <c r="BF2880" s="379"/>
      <c r="BG2880" s="379"/>
      <c r="BH2880" s="379"/>
      <c r="BI2880" s="379"/>
      <c r="BJ2880" s="379"/>
      <c r="BK2880" s="379"/>
      <c r="BL2880" s="379"/>
      <c r="BM2880" s="379"/>
      <c r="BN2880" s="379"/>
      <c r="BO2880" s="379"/>
      <c r="BP2880" s="379"/>
      <c r="BQ2880" s="379"/>
      <c r="BR2880" s="379"/>
      <c r="BS2880" s="379"/>
      <c r="BT2880" s="379"/>
      <c r="BU2880" s="379"/>
      <c r="BV2880" s="379"/>
      <c r="BW2880" s="379"/>
      <c r="BX2880" s="379"/>
      <c r="BY2880" s="379"/>
      <c r="BZ2880" s="379"/>
      <c r="CA2880" s="270"/>
      <c r="CB2880" s="3" t="str">
        <f t="shared" si="521"/>
        <v>Riadok bude skrytý.</v>
      </c>
      <c r="CC2880" s="271" t="s">
        <v>832</v>
      </c>
      <c r="CW2880" s="30">
        <f t="shared" si="518"/>
        <v>0</v>
      </c>
      <c r="CX2880" s="30">
        <f t="shared" si="522"/>
        <v>0</v>
      </c>
      <c r="CZ2880" s="30">
        <f t="shared" si="523"/>
        <v>1</v>
      </c>
      <c r="DA2880" s="52">
        <f t="shared" si="520"/>
        <v>0</v>
      </c>
      <c r="DB2880" s="2">
        <f t="shared" si="524"/>
        <v>0</v>
      </c>
      <c r="DS2880" s="130">
        <f>SI!BY2880</f>
        <v>268</v>
      </c>
      <c r="DZ2880" s="131">
        <f>SI!BZ2880</f>
        <v>0</v>
      </c>
    </row>
    <row r="2881" spans="1:130" hidden="1" x14ac:dyDescent="0.25">
      <c r="A2881" s="141"/>
      <c r="B2881" s="379"/>
      <c r="C2881" s="379"/>
      <c r="D2881" s="379"/>
      <c r="E2881" s="379"/>
      <c r="F2881" s="379"/>
      <c r="G2881" s="379"/>
      <c r="H2881" s="379"/>
      <c r="I2881" s="379"/>
      <c r="J2881" s="379"/>
      <c r="K2881" s="379"/>
      <c r="L2881" s="379"/>
      <c r="M2881" s="379"/>
      <c r="N2881" s="379"/>
      <c r="O2881" s="379"/>
      <c r="P2881" s="379"/>
      <c r="Q2881" s="379"/>
      <c r="R2881" s="379"/>
      <c r="S2881" s="379"/>
      <c r="T2881" s="379"/>
      <c r="U2881" s="379"/>
      <c r="V2881" s="379"/>
      <c r="W2881" s="379"/>
      <c r="X2881" s="379"/>
      <c r="Y2881" s="379"/>
      <c r="Z2881" s="379"/>
      <c r="AA2881" s="379"/>
      <c r="AB2881" s="379"/>
      <c r="AC2881" s="379"/>
      <c r="AD2881" s="379"/>
      <c r="AE2881" s="379"/>
      <c r="AF2881" s="379"/>
      <c r="AG2881" s="379"/>
      <c r="AH2881" s="379"/>
      <c r="AI2881" s="379"/>
      <c r="AJ2881" s="379"/>
      <c r="AK2881" s="379"/>
      <c r="AL2881" s="379"/>
      <c r="AM2881" s="379"/>
      <c r="AN2881" s="379"/>
      <c r="AO2881" s="379"/>
      <c r="AP2881" s="379"/>
      <c r="AQ2881" s="379"/>
      <c r="AR2881" s="379"/>
      <c r="AS2881" s="379"/>
      <c r="AT2881" s="379"/>
      <c r="AU2881" s="379"/>
      <c r="AV2881" s="379"/>
      <c r="AW2881" s="379"/>
      <c r="AX2881" s="379"/>
      <c r="AY2881" s="379"/>
      <c r="AZ2881" s="379"/>
      <c r="BA2881" s="379"/>
      <c r="BB2881" s="379"/>
      <c r="BC2881" s="379"/>
      <c r="BD2881" s="379"/>
      <c r="BE2881" s="379"/>
      <c r="BF2881" s="379"/>
      <c r="BG2881" s="379"/>
      <c r="BH2881" s="379"/>
      <c r="BI2881" s="379"/>
      <c r="BJ2881" s="379"/>
      <c r="BK2881" s="379"/>
      <c r="BL2881" s="379"/>
      <c r="BM2881" s="379"/>
      <c r="BN2881" s="379"/>
      <c r="BO2881" s="379"/>
      <c r="BP2881" s="379"/>
      <c r="BQ2881" s="379"/>
      <c r="BR2881" s="379"/>
      <c r="BS2881" s="379"/>
      <c r="BT2881" s="379"/>
      <c r="BU2881" s="379"/>
      <c r="BV2881" s="379"/>
      <c r="BW2881" s="379"/>
      <c r="BX2881" s="379"/>
      <c r="BY2881" s="379"/>
      <c r="BZ2881" s="379"/>
      <c r="CA2881" s="270"/>
      <c r="CB2881" s="3" t="str">
        <f t="shared" si="521"/>
        <v>Riadok bude skrytý.</v>
      </c>
      <c r="CC2881" s="271" t="s">
        <v>832</v>
      </c>
      <c r="CW2881" s="30">
        <f t="shared" ref="CW2881:CW2886" si="525">+IF($J$2782="neúčtovala",0,1)</f>
        <v>0</v>
      </c>
      <c r="CX2881" s="30">
        <f t="shared" si="522"/>
        <v>0</v>
      </c>
      <c r="CZ2881" s="30">
        <f t="shared" si="523"/>
        <v>1</v>
      </c>
      <c r="DA2881" s="52">
        <f t="shared" si="520"/>
        <v>0</v>
      </c>
      <c r="DB2881" s="2">
        <f t="shared" si="524"/>
        <v>0</v>
      </c>
      <c r="DS2881" s="130">
        <f>SI!BY2881</f>
        <v>146</v>
      </c>
      <c r="DZ2881" s="131">
        <f>SI!BZ2881</f>
        <v>0</v>
      </c>
    </row>
    <row r="2882" spans="1:130" hidden="1" x14ac:dyDescent="0.25">
      <c r="A2882" s="141"/>
      <c r="B2882" s="379"/>
      <c r="C2882" s="379"/>
      <c r="D2882" s="379"/>
      <c r="E2882" s="379"/>
      <c r="F2882" s="379"/>
      <c r="G2882" s="379"/>
      <c r="H2882" s="379"/>
      <c r="I2882" s="379"/>
      <c r="J2882" s="379"/>
      <c r="K2882" s="379"/>
      <c r="L2882" s="379"/>
      <c r="M2882" s="379"/>
      <c r="N2882" s="379"/>
      <c r="O2882" s="379"/>
      <c r="P2882" s="379"/>
      <c r="Q2882" s="379"/>
      <c r="R2882" s="379"/>
      <c r="S2882" s="379"/>
      <c r="T2882" s="379"/>
      <c r="U2882" s="379"/>
      <c r="V2882" s="379"/>
      <c r="W2882" s="379"/>
      <c r="X2882" s="379"/>
      <c r="Y2882" s="379"/>
      <c r="Z2882" s="379"/>
      <c r="AA2882" s="379"/>
      <c r="AB2882" s="379"/>
      <c r="AC2882" s="379"/>
      <c r="AD2882" s="379"/>
      <c r="AE2882" s="379"/>
      <c r="AF2882" s="379"/>
      <c r="AG2882" s="379"/>
      <c r="AH2882" s="379"/>
      <c r="AI2882" s="379"/>
      <c r="AJ2882" s="379"/>
      <c r="AK2882" s="379"/>
      <c r="AL2882" s="379"/>
      <c r="AM2882" s="379"/>
      <c r="AN2882" s="379"/>
      <c r="AO2882" s="379"/>
      <c r="AP2882" s="379"/>
      <c r="AQ2882" s="379"/>
      <c r="AR2882" s="379"/>
      <c r="AS2882" s="379"/>
      <c r="AT2882" s="379"/>
      <c r="AU2882" s="379"/>
      <c r="AV2882" s="379"/>
      <c r="AW2882" s="379"/>
      <c r="AX2882" s="379"/>
      <c r="AY2882" s="379"/>
      <c r="AZ2882" s="379"/>
      <c r="BA2882" s="379"/>
      <c r="BB2882" s="379"/>
      <c r="BC2882" s="379"/>
      <c r="BD2882" s="379"/>
      <c r="BE2882" s="379"/>
      <c r="BF2882" s="379"/>
      <c r="BG2882" s="379"/>
      <c r="BH2882" s="379"/>
      <c r="BI2882" s="379"/>
      <c r="BJ2882" s="379"/>
      <c r="BK2882" s="379"/>
      <c r="BL2882" s="379"/>
      <c r="BM2882" s="379"/>
      <c r="BN2882" s="379"/>
      <c r="BO2882" s="379"/>
      <c r="BP2882" s="379"/>
      <c r="BQ2882" s="379"/>
      <c r="BR2882" s="379"/>
      <c r="BS2882" s="379"/>
      <c r="BT2882" s="379"/>
      <c r="BU2882" s="379"/>
      <c r="BV2882" s="379"/>
      <c r="BW2882" s="379"/>
      <c r="BX2882" s="379"/>
      <c r="BY2882" s="379"/>
      <c r="BZ2882" s="379"/>
      <c r="CA2882" s="270"/>
      <c r="CB2882" s="3" t="str">
        <f t="shared" si="521"/>
        <v>Riadok bude skrytý.</v>
      </c>
      <c r="CC2882" s="271" t="s">
        <v>832</v>
      </c>
      <c r="CW2882" s="30">
        <f t="shared" si="525"/>
        <v>0</v>
      </c>
      <c r="CX2882" s="30">
        <f t="shared" si="522"/>
        <v>0</v>
      </c>
      <c r="CZ2882" s="30">
        <f t="shared" si="523"/>
        <v>1</v>
      </c>
      <c r="DA2882" s="52">
        <f t="shared" si="520"/>
        <v>0</v>
      </c>
      <c r="DB2882" s="2">
        <f t="shared" si="524"/>
        <v>0</v>
      </c>
      <c r="DS2882" s="130">
        <f>SI!BY2882</f>
        <v>166</v>
      </c>
      <c r="DZ2882" s="131">
        <f>SI!BZ2882</f>
        <v>0</v>
      </c>
    </row>
    <row r="2883" spans="1:130" hidden="1" x14ac:dyDescent="0.25">
      <c r="A2883" s="141"/>
      <c r="B2883" s="379"/>
      <c r="C2883" s="379"/>
      <c r="D2883" s="379"/>
      <c r="E2883" s="379"/>
      <c r="F2883" s="379"/>
      <c r="G2883" s="379"/>
      <c r="H2883" s="379"/>
      <c r="I2883" s="379"/>
      <c r="J2883" s="379"/>
      <c r="K2883" s="379"/>
      <c r="L2883" s="379"/>
      <c r="M2883" s="379"/>
      <c r="N2883" s="379"/>
      <c r="O2883" s="379"/>
      <c r="P2883" s="379"/>
      <c r="Q2883" s="379"/>
      <c r="R2883" s="379"/>
      <c r="S2883" s="379"/>
      <c r="T2883" s="379"/>
      <c r="U2883" s="379"/>
      <c r="V2883" s="379"/>
      <c r="W2883" s="379"/>
      <c r="X2883" s="379"/>
      <c r="Y2883" s="379"/>
      <c r="Z2883" s="379"/>
      <c r="AA2883" s="379"/>
      <c r="AB2883" s="379"/>
      <c r="AC2883" s="379"/>
      <c r="AD2883" s="379"/>
      <c r="AE2883" s="379"/>
      <c r="AF2883" s="379"/>
      <c r="AG2883" s="379"/>
      <c r="AH2883" s="379"/>
      <c r="AI2883" s="379"/>
      <c r="AJ2883" s="379"/>
      <c r="AK2883" s="379"/>
      <c r="AL2883" s="379"/>
      <c r="AM2883" s="379"/>
      <c r="AN2883" s="379"/>
      <c r="AO2883" s="379"/>
      <c r="AP2883" s="379"/>
      <c r="AQ2883" s="379"/>
      <c r="AR2883" s="379"/>
      <c r="AS2883" s="379"/>
      <c r="AT2883" s="379"/>
      <c r="AU2883" s="379"/>
      <c r="AV2883" s="379"/>
      <c r="AW2883" s="379"/>
      <c r="AX2883" s="379"/>
      <c r="AY2883" s="379"/>
      <c r="AZ2883" s="379"/>
      <c r="BA2883" s="379"/>
      <c r="BB2883" s="379"/>
      <c r="BC2883" s="379"/>
      <c r="BD2883" s="379"/>
      <c r="BE2883" s="379"/>
      <c r="BF2883" s="379"/>
      <c r="BG2883" s="379"/>
      <c r="BH2883" s="379"/>
      <c r="BI2883" s="379"/>
      <c r="BJ2883" s="379"/>
      <c r="BK2883" s="379"/>
      <c r="BL2883" s="379"/>
      <c r="BM2883" s="379"/>
      <c r="BN2883" s="379"/>
      <c r="BO2883" s="379"/>
      <c r="BP2883" s="379"/>
      <c r="BQ2883" s="379"/>
      <c r="BR2883" s="379"/>
      <c r="BS2883" s="379"/>
      <c r="BT2883" s="379"/>
      <c r="BU2883" s="379"/>
      <c r="BV2883" s="379"/>
      <c r="BW2883" s="379"/>
      <c r="BX2883" s="379"/>
      <c r="BY2883" s="379"/>
      <c r="BZ2883" s="379"/>
      <c r="CA2883" s="270"/>
      <c r="CB2883" s="3" t="str">
        <f t="shared" si="521"/>
        <v>Riadok bude skrytý.</v>
      </c>
      <c r="CC2883" s="271" t="s">
        <v>832</v>
      </c>
      <c r="CW2883" s="30">
        <f t="shared" si="525"/>
        <v>0</v>
      </c>
      <c r="CX2883" s="30">
        <f t="shared" si="522"/>
        <v>0</v>
      </c>
      <c r="CZ2883" s="30">
        <f t="shared" si="523"/>
        <v>1</v>
      </c>
      <c r="DA2883" s="52">
        <f t="shared" si="520"/>
        <v>0</v>
      </c>
      <c r="DB2883" s="2">
        <f t="shared" si="524"/>
        <v>0</v>
      </c>
      <c r="DS2883" s="130">
        <f>SI!BY2883</f>
        <v>197</v>
      </c>
      <c r="DZ2883" s="131">
        <f>SI!BZ2883</f>
        <v>0</v>
      </c>
    </row>
    <row r="2884" spans="1:130" hidden="1" x14ac:dyDescent="0.25">
      <c r="A2884" s="141"/>
      <c r="B2884" s="379"/>
      <c r="C2884" s="379"/>
      <c r="D2884" s="379"/>
      <c r="E2884" s="379"/>
      <c r="F2884" s="379"/>
      <c r="G2884" s="379"/>
      <c r="H2884" s="379"/>
      <c r="I2884" s="379"/>
      <c r="J2884" s="379"/>
      <c r="K2884" s="379"/>
      <c r="L2884" s="379"/>
      <c r="M2884" s="379"/>
      <c r="N2884" s="379"/>
      <c r="O2884" s="379"/>
      <c r="P2884" s="379"/>
      <c r="Q2884" s="379"/>
      <c r="R2884" s="379"/>
      <c r="S2884" s="379"/>
      <c r="T2884" s="379"/>
      <c r="U2884" s="379"/>
      <c r="V2884" s="379"/>
      <c r="W2884" s="379"/>
      <c r="X2884" s="379"/>
      <c r="Y2884" s="379"/>
      <c r="Z2884" s="379"/>
      <c r="AA2884" s="379"/>
      <c r="AB2884" s="379"/>
      <c r="AC2884" s="379"/>
      <c r="AD2884" s="379"/>
      <c r="AE2884" s="379"/>
      <c r="AF2884" s="379"/>
      <c r="AG2884" s="379"/>
      <c r="AH2884" s="379"/>
      <c r="AI2884" s="379"/>
      <c r="AJ2884" s="379"/>
      <c r="AK2884" s="379"/>
      <c r="AL2884" s="379"/>
      <c r="AM2884" s="379"/>
      <c r="AN2884" s="379"/>
      <c r="AO2884" s="379"/>
      <c r="AP2884" s="379"/>
      <c r="AQ2884" s="379"/>
      <c r="AR2884" s="379"/>
      <c r="AS2884" s="379"/>
      <c r="AT2884" s="379"/>
      <c r="AU2884" s="379"/>
      <c r="AV2884" s="379"/>
      <c r="AW2884" s="379"/>
      <c r="AX2884" s="379"/>
      <c r="AY2884" s="379"/>
      <c r="AZ2884" s="379"/>
      <c r="BA2884" s="379"/>
      <c r="BB2884" s="379"/>
      <c r="BC2884" s="379"/>
      <c r="BD2884" s="379"/>
      <c r="BE2884" s="379"/>
      <c r="BF2884" s="379"/>
      <c r="BG2884" s="379"/>
      <c r="BH2884" s="379"/>
      <c r="BI2884" s="379"/>
      <c r="BJ2884" s="379"/>
      <c r="BK2884" s="379"/>
      <c r="BL2884" s="379"/>
      <c r="BM2884" s="379"/>
      <c r="BN2884" s="379"/>
      <c r="BO2884" s="379"/>
      <c r="BP2884" s="379"/>
      <c r="BQ2884" s="379"/>
      <c r="BR2884" s="379"/>
      <c r="BS2884" s="379"/>
      <c r="BT2884" s="379"/>
      <c r="BU2884" s="379"/>
      <c r="BV2884" s="379"/>
      <c r="BW2884" s="379"/>
      <c r="BX2884" s="379"/>
      <c r="BY2884" s="379"/>
      <c r="BZ2884" s="379"/>
      <c r="CA2884" s="270"/>
      <c r="CB2884" s="3" t="str">
        <f t="shared" si="521"/>
        <v>Riadok bude skrytý.</v>
      </c>
      <c r="CC2884" s="271" t="s">
        <v>832</v>
      </c>
      <c r="CW2884" s="30">
        <f t="shared" si="525"/>
        <v>0</v>
      </c>
      <c r="CX2884" s="30">
        <f t="shared" si="522"/>
        <v>0</v>
      </c>
      <c r="CZ2884" s="30">
        <f t="shared" si="523"/>
        <v>1</v>
      </c>
      <c r="DA2884" s="52">
        <f t="shared" si="520"/>
        <v>0</v>
      </c>
      <c r="DB2884" s="2">
        <f t="shared" si="524"/>
        <v>0</v>
      </c>
      <c r="DS2884" s="130">
        <f>SI!BY2884</f>
        <v>198</v>
      </c>
      <c r="DZ2884" s="131">
        <f>SI!BZ2884</f>
        <v>0</v>
      </c>
    </row>
    <row r="2885" spans="1:130" hidden="1" x14ac:dyDescent="0.25">
      <c r="A2885" s="141"/>
      <c r="B2885" s="379"/>
      <c r="C2885" s="379"/>
      <c r="D2885" s="379"/>
      <c r="E2885" s="379"/>
      <c r="F2885" s="379"/>
      <c r="G2885" s="379"/>
      <c r="H2885" s="379"/>
      <c r="I2885" s="379"/>
      <c r="J2885" s="379"/>
      <c r="K2885" s="379"/>
      <c r="L2885" s="379"/>
      <c r="M2885" s="379"/>
      <c r="N2885" s="379"/>
      <c r="O2885" s="379"/>
      <c r="P2885" s="379"/>
      <c r="Q2885" s="379"/>
      <c r="R2885" s="379"/>
      <c r="S2885" s="379"/>
      <c r="T2885" s="379"/>
      <c r="U2885" s="379"/>
      <c r="V2885" s="379"/>
      <c r="W2885" s="379"/>
      <c r="X2885" s="379"/>
      <c r="Y2885" s="379"/>
      <c r="Z2885" s="379"/>
      <c r="AA2885" s="379"/>
      <c r="AB2885" s="379"/>
      <c r="AC2885" s="379"/>
      <c r="AD2885" s="379"/>
      <c r="AE2885" s="379"/>
      <c r="AF2885" s="379"/>
      <c r="AG2885" s="379"/>
      <c r="AH2885" s="379"/>
      <c r="AI2885" s="379"/>
      <c r="AJ2885" s="379"/>
      <c r="AK2885" s="379"/>
      <c r="AL2885" s="379"/>
      <c r="AM2885" s="379"/>
      <c r="AN2885" s="379"/>
      <c r="AO2885" s="379"/>
      <c r="AP2885" s="379"/>
      <c r="AQ2885" s="379"/>
      <c r="AR2885" s="379"/>
      <c r="AS2885" s="379"/>
      <c r="AT2885" s="379"/>
      <c r="AU2885" s="379"/>
      <c r="AV2885" s="379"/>
      <c r="AW2885" s="379"/>
      <c r="AX2885" s="379"/>
      <c r="AY2885" s="379"/>
      <c r="AZ2885" s="379"/>
      <c r="BA2885" s="379"/>
      <c r="BB2885" s="379"/>
      <c r="BC2885" s="379"/>
      <c r="BD2885" s="379"/>
      <c r="BE2885" s="379"/>
      <c r="BF2885" s="379"/>
      <c r="BG2885" s="379"/>
      <c r="BH2885" s="379"/>
      <c r="BI2885" s="379"/>
      <c r="BJ2885" s="379"/>
      <c r="BK2885" s="379"/>
      <c r="BL2885" s="379"/>
      <c r="BM2885" s="379"/>
      <c r="BN2885" s="379"/>
      <c r="BO2885" s="379"/>
      <c r="BP2885" s="379"/>
      <c r="BQ2885" s="379"/>
      <c r="BR2885" s="379"/>
      <c r="BS2885" s="379"/>
      <c r="BT2885" s="379"/>
      <c r="BU2885" s="379"/>
      <c r="BV2885" s="379"/>
      <c r="BW2885" s="379"/>
      <c r="BX2885" s="379"/>
      <c r="BY2885" s="379"/>
      <c r="BZ2885" s="379"/>
      <c r="CA2885" s="270"/>
      <c r="CB2885" s="3" t="str">
        <f t="shared" si="521"/>
        <v>Riadok bude skrytý.</v>
      </c>
      <c r="CC2885" s="271" t="s">
        <v>832</v>
      </c>
      <c r="CW2885" s="30">
        <f t="shared" si="525"/>
        <v>0</v>
      </c>
      <c r="CX2885" s="30">
        <f t="shared" si="522"/>
        <v>0</v>
      </c>
      <c r="CZ2885" s="30">
        <f t="shared" si="523"/>
        <v>1</v>
      </c>
      <c r="DA2885" s="52">
        <f t="shared" si="520"/>
        <v>0</v>
      </c>
      <c r="DB2885" s="2">
        <f t="shared" si="524"/>
        <v>0</v>
      </c>
      <c r="DS2885" s="130">
        <f>SI!BY2885</f>
        <v>183</v>
      </c>
      <c r="DZ2885" s="131">
        <f>SI!BZ2885</f>
        <v>0</v>
      </c>
    </row>
    <row r="2886" spans="1:130" hidden="1" x14ac:dyDescent="0.25">
      <c r="A2886" s="141"/>
      <c r="B2886" s="379"/>
      <c r="C2886" s="379"/>
      <c r="D2886" s="379"/>
      <c r="E2886" s="379"/>
      <c r="F2886" s="379"/>
      <c r="G2886" s="379"/>
      <c r="H2886" s="379"/>
      <c r="I2886" s="379"/>
      <c r="J2886" s="379"/>
      <c r="K2886" s="379"/>
      <c r="L2886" s="379"/>
      <c r="M2886" s="379"/>
      <c r="N2886" s="379"/>
      <c r="O2886" s="379"/>
      <c r="P2886" s="379"/>
      <c r="Q2886" s="379"/>
      <c r="R2886" s="379"/>
      <c r="S2886" s="379"/>
      <c r="T2886" s="379"/>
      <c r="U2886" s="379"/>
      <c r="V2886" s="379"/>
      <c r="W2886" s="379"/>
      <c r="X2886" s="379"/>
      <c r="Y2886" s="379"/>
      <c r="Z2886" s="379"/>
      <c r="AA2886" s="379"/>
      <c r="AB2886" s="379"/>
      <c r="AC2886" s="379"/>
      <c r="AD2886" s="379"/>
      <c r="AE2886" s="379"/>
      <c r="AF2886" s="379"/>
      <c r="AG2886" s="379"/>
      <c r="AH2886" s="379"/>
      <c r="AI2886" s="379"/>
      <c r="AJ2886" s="379"/>
      <c r="AK2886" s="379"/>
      <c r="AL2886" s="379"/>
      <c r="AM2886" s="379"/>
      <c r="AN2886" s="379"/>
      <c r="AO2886" s="379"/>
      <c r="AP2886" s="379"/>
      <c r="AQ2886" s="379"/>
      <c r="AR2886" s="379"/>
      <c r="AS2886" s="379"/>
      <c r="AT2886" s="379"/>
      <c r="AU2886" s="379"/>
      <c r="AV2886" s="379"/>
      <c r="AW2886" s="379"/>
      <c r="AX2886" s="379"/>
      <c r="AY2886" s="379"/>
      <c r="AZ2886" s="379"/>
      <c r="BA2886" s="379"/>
      <c r="BB2886" s="379"/>
      <c r="BC2886" s="379"/>
      <c r="BD2886" s="379"/>
      <c r="BE2886" s="379"/>
      <c r="BF2886" s="379"/>
      <c r="BG2886" s="379"/>
      <c r="BH2886" s="379"/>
      <c r="BI2886" s="379"/>
      <c r="BJ2886" s="379"/>
      <c r="BK2886" s="379"/>
      <c r="BL2886" s="379"/>
      <c r="BM2886" s="379"/>
      <c r="BN2886" s="379"/>
      <c r="BO2886" s="379"/>
      <c r="BP2886" s="379"/>
      <c r="BQ2886" s="379"/>
      <c r="BR2886" s="379"/>
      <c r="BS2886" s="379"/>
      <c r="BT2886" s="379"/>
      <c r="BU2886" s="379"/>
      <c r="BV2886" s="379"/>
      <c r="BW2886" s="379"/>
      <c r="BX2886" s="379"/>
      <c r="BY2886" s="379"/>
      <c r="BZ2886" s="379"/>
      <c r="CA2886" s="270"/>
      <c r="CB2886" s="3" t="str">
        <f t="shared" si="521"/>
        <v>Riadok bude skrytý.</v>
      </c>
      <c r="CC2886" s="271" t="s">
        <v>832</v>
      </c>
      <c r="CW2886" s="30">
        <f t="shared" si="525"/>
        <v>0</v>
      </c>
      <c r="CX2886" s="30">
        <f t="shared" si="522"/>
        <v>0</v>
      </c>
      <c r="CZ2886" s="30">
        <f t="shared" si="523"/>
        <v>1</v>
      </c>
      <c r="DA2886" s="52">
        <f t="shared" si="520"/>
        <v>0</v>
      </c>
      <c r="DB2886" s="2">
        <f t="shared" si="524"/>
        <v>0</v>
      </c>
      <c r="DS2886" s="130">
        <f>SI!BY2886</f>
        <v>160</v>
      </c>
      <c r="DZ2886" s="131">
        <f>SI!BZ2886</f>
        <v>0</v>
      </c>
    </row>
    <row r="2887" spans="1:130" hidden="1" x14ac:dyDescent="0.25">
      <c r="A2887" s="141"/>
      <c r="CA2887" s="270"/>
      <c r="CB2887" s="3" t="str">
        <f t="shared" si="521"/>
        <v>Riadok bude skrytý.</v>
      </c>
      <c r="CC2887" s="271" t="s">
        <v>832</v>
      </c>
      <c r="CW2887" s="49">
        <v>1</v>
      </c>
      <c r="CZ2887" s="30">
        <f t="shared" si="523"/>
        <v>1</v>
      </c>
      <c r="DA2887" s="30">
        <f t="shared" ref="DA2887:DA2893" si="526">+IF(CW2887+CX2887+CY2887=0,0,IF(CZ2887=0,0,1))</f>
        <v>1</v>
      </c>
      <c r="DB2887" s="2">
        <f t="shared" si="524"/>
        <v>0</v>
      </c>
      <c r="DS2887" s="130">
        <f>SI!BY2887</f>
        <v>196</v>
      </c>
      <c r="DZ2887" s="131">
        <f>SI!BZ2887</f>
        <v>0</v>
      </c>
    </row>
    <row r="2888" spans="1:130" ht="17" hidden="1" thickBot="1" x14ac:dyDescent="0.35">
      <c r="A2888" s="141"/>
      <c r="B2888" s="21"/>
      <c r="C2888" s="268"/>
      <c r="D2888" s="268"/>
      <c r="E2888" s="22" t="str">
        <f>+IF($S$52&lt;&gt;"",IF((CODE(MID($S$52,1,1))/100)&lt;10,IF(COMBIN(LEN(SI!J3),2)=DS2888,"Informácie o daniach z príjmov","NEPOVOLENÉ POUŽITIE !"),"NEPOVOLENÉ POUŽITIE!"),"NEPOVOLENÉ POUŽITIE !")</f>
        <v>Informácie o daniach z príjmov</v>
      </c>
      <c r="F2888" s="268"/>
      <c r="G2888" s="125"/>
      <c r="H2888" s="22"/>
      <c r="I2888" s="268"/>
      <c r="J2888" s="268"/>
      <c r="K2888" s="268"/>
      <c r="L2888" s="268"/>
      <c r="M2888" s="268"/>
      <c r="N2888" s="268"/>
      <c r="O2888" s="268"/>
      <c r="P2888" s="268"/>
      <c r="Q2888" s="268"/>
      <c r="R2888" s="268"/>
      <c r="S2888" s="268"/>
      <c r="T2888" s="268"/>
      <c r="U2888" s="268"/>
      <c r="V2888" s="268"/>
      <c r="W2888" s="268"/>
      <c r="X2888" s="268"/>
      <c r="Y2888" s="268"/>
      <c r="Z2888" s="268"/>
      <c r="AA2888" s="268"/>
      <c r="AB2888" s="268"/>
      <c r="AC2888" s="268"/>
      <c r="AD2888" s="268"/>
      <c r="AE2888" s="268"/>
      <c r="AF2888" s="268"/>
      <c r="AG2888" s="268"/>
      <c r="AH2888" s="268"/>
      <c r="AI2888" s="268"/>
      <c r="AJ2888" s="268"/>
      <c r="AK2888" s="276"/>
      <c r="AL2888" s="276"/>
      <c r="AM2888" s="276"/>
      <c r="AN2888" s="276"/>
      <c r="AO2888" s="276"/>
      <c r="AP2888" s="276"/>
      <c r="AQ2888" s="276"/>
      <c r="AR2888" s="276"/>
      <c r="AS2888" s="276"/>
      <c r="AT2888" s="276"/>
      <c r="AU2888" s="276"/>
      <c r="AV2888" s="276"/>
      <c r="AW2888" s="276"/>
      <c r="AX2888" s="276"/>
      <c r="AY2888" s="276"/>
      <c r="AZ2888" s="276"/>
      <c r="BA2888" s="276"/>
      <c r="BB2888" s="276"/>
      <c r="BC2888" s="276"/>
      <c r="BD2888" s="932" t="str">
        <f>+SI!J2</f>
        <v>Resumo s.r.o.</v>
      </c>
      <c r="BE2888" s="932"/>
      <c r="BF2888" s="932"/>
      <c r="BG2888" s="932"/>
      <c r="BH2888" s="932"/>
      <c r="BI2888" s="932"/>
      <c r="BJ2888" s="932"/>
      <c r="BK2888" s="932"/>
      <c r="BL2888" s="932"/>
      <c r="BM2888" s="932"/>
      <c r="BN2888" s="932"/>
      <c r="BO2888" s="932"/>
      <c r="BP2888" s="932"/>
      <c r="BQ2888" s="932"/>
      <c r="BR2888" s="932"/>
      <c r="BS2888" s="932"/>
      <c r="BT2888" s="932"/>
      <c r="BU2888" s="932"/>
      <c r="BV2888" s="932"/>
      <c r="BW2888" s="932"/>
      <c r="BX2888" s="932"/>
      <c r="BY2888" s="932"/>
      <c r="BZ2888" s="933"/>
      <c r="CA2888" s="265" t="s">
        <v>773</v>
      </c>
      <c r="CB2888" s="3" t="str">
        <f t="shared" si="521"/>
        <v>Riadok bude skrytý.</v>
      </c>
      <c r="CW2888" s="49">
        <v>1</v>
      </c>
      <c r="CZ2888" s="30">
        <f t="shared" si="523"/>
        <v>1</v>
      </c>
      <c r="DA2888" s="30">
        <f t="shared" si="526"/>
        <v>1</v>
      </c>
      <c r="DB2888" s="2">
        <f t="shared" si="524"/>
        <v>0</v>
      </c>
      <c r="DS2888" s="130">
        <f>SI!BY2888</f>
        <v>10</v>
      </c>
      <c r="DZ2888" s="131">
        <f>SI!BZ2888</f>
        <v>0</v>
      </c>
    </row>
    <row r="2889" spans="1:130" ht="16.3" hidden="1" x14ac:dyDescent="0.3">
      <c r="A2889" s="141"/>
      <c r="B2889" s="16"/>
      <c r="G2889" s="16"/>
      <c r="H2889" s="16"/>
      <c r="CA2889" s="142"/>
      <c r="CB2889" s="3" t="str">
        <f t="shared" si="521"/>
        <v>Riadok bude skrytý.</v>
      </c>
      <c r="CW2889" s="49">
        <v>1</v>
      </c>
      <c r="CZ2889" s="30">
        <f t="shared" si="523"/>
        <v>1</v>
      </c>
      <c r="DA2889" s="30">
        <f t="shared" si="526"/>
        <v>1</v>
      </c>
      <c r="DB2889" s="2">
        <f t="shared" si="524"/>
        <v>0</v>
      </c>
      <c r="DS2889" s="130">
        <f>SI!BY2889</f>
        <v>119</v>
      </c>
      <c r="DZ2889" s="131">
        <f>SI!BZ2889</f>
        <v>0</v>
      </c>
    </row>
    <row r="2890" spans="1:130" hidden="1" x14ac:dyDescent="0.25">
      <c r="A2890" s="141"/>
      <c r="B2890" s="289" t="s">
        <v>355</v>
      </c>
      <c r="C2890" s="288"/>
      <c r="D2890" s="288"/>
      <c r="E2890" s="288"/>
      <c r="F2890" s="288"/>
      <c r="G2890" s="289" t="str">
        <f>+IF($S$52&lt;&gt;"",IF((CODE(MID($S$52,1,1))/100)&lt;10,IF(COMBIN(LEN(SI!J3),2)=DS2890,"Odložená daň z príjmu","NEPOVOLENÉ POUŽITIE !"),"NEPOVOLENÉ POUŽITIE!"),"NEPOVOLENÉ POUŽITIE !")</f>
        <v>Odložená daň z príjmu</v>
      </c>
      <c r="H2890" s="289"/>
      <c r="I2890" s="288"/>
      <c r="J2890" s="288"/>
      <c r="K2890" s="288"/>
      <c r="L2890" s="288"/>
      <c r="M2890" s="288"/>
      <c r="N2890" s="288"/>
      <c r="O2890" s="288"/>
      <c r="P2890" s="288"/>
      <c r="Q2890" s="288"/>
      <c r="R2890" s="288"/>
      <c r="S2890" s="288"/>
      <c r="T2890" s="288"/>
      <c r="U2890" s="288"/>
      <c r="V2890" s="288"/>
      <c r="W2890" s="288"/>
      <c r="X2890" s="288"/>
      <c r="Y2890" s="288"/>
      <c r="Z2890" s="288"/>
      <c r="AA2890" s="288"/>
      <c r="AB2890" s="288"/>
      <c r="AC2890" s="288"/>
      <c r="AD2890" s="288"/>
      <c r="AE2890" s="288"/>
      <c r="AF2890" s="288"/>
      <c r="AG2890" s="288"/>
      <c r="AH2890" s="288"/>
      <c r="AI2890" s="288"/>
      <c r="AJ2890" s="288"/>
      <c r="AK2890" s="288"/>
      <c r="AL2890" s="288"/>
      <c r="AM2890" s="288"/>
      <c r="AN2890" s="288"/>
      <c r="AO2890" s="288"/>
      <c r="AP2890" s="288"/>
      <c r="AQ2890" s="288"/>
      <c r="AR2890" s="288"/>
      <c r="AS2890" s="288"/>
      <c r="AT2890" s="288"/>
      <c r="AU2890" s="288"/>
      <c r="AV2890" s="288"/>
      <c r="AW2890" s="288"/>
      <c r="AX2890" s="288"/>
      <c r="AY2890" s="288"/>
      <c r="AZ2890" s="288"/>
      <c r="BA2890" s="288"/>
      <c r="BB2890" s="288"/>
      <c r="BC2890" s="288"/>
      <c r="BD2890" s="288"/>
      <c r="BE2890" s="288"/>
      <c r="BF2890" s="288"/>
      <c r="BG2890" s="288"/>
      <c r="BH2890" s="288"/>
      <c r="BI2890" s="288"/>
      <c r="BJ2890" s="288"/>
      <c r="BK2890" s="288"/>
      <c r="BL2890" s="288"/>
      <c r="BM2890" s="288"/>
      <c r="BN2890" s="288"/>
      <c r="BO2890" s="288"/>
      <c r="BP2890" s="288"/>
      <c r="BQ2890" s="288"/>
      <c r="BR2890" s="288"/>
      <c r="BS2890" s="288"/>
      <c r="BT2890" s="288"/>
      <c r="BU2890" s="288"/>
      <c r="BV2890" s="288"/>
      <c r="BW2890" s="288"/>
      <c r="BX2890" s="288"/>
      <c r="BY2890" s="288"/>
      <c r="BZ2890" s="288"/>
      <c r="CA2890" s="142"/>
      <c r="CB2890" s="3" t="str">
        <f t="shared" si="521"/>
        <v>Riadok bude skrytý.</v>
      </c>
      <c r="CW2890" s="49">
        <v>1</v>
      </c>
      <c r="CZ2890" s="30">
        <f t="shared" si="523"/>
        <v>1</v>
      </c>
      <c r="DA2890" s="30">
        <f t="shared" si="526"/>
        <v>1</v>
      </c>
      <c r="DB2890" s="2">
        <f t="shared" si="524"/>
        <v>0</v>
      </c>
      <c r="DS2890" s="130">
        <f>SI!BY2890</f>
        <v>10</v>
      </c>
      <c r="DZ2890" s="131">
        <f>SI!BZ2890</f>
        <v>0</v>
      </c>
    </row>
    <row r="2891" spans="1:130" ht="16.3" hidden="1" x14ac:dyDescent="0.3">
      <c r="A2891" s="141"/>
      <c r="B2891" s="16"/>
      <c r="G2891" s="16"/>
      <c r="H2891" s="16"/>
      <c r="CA2891" s="142"/>
      <c r="CB2891" s="3" t="str">
        <f t="shared" si="521"/>
        <v>Riadok bude skrytý.</v>
      </c>
      <c r="CW2891" s="49">
        <v>1</v>
      </c>
      <c r="CZ2891" s="30">
        <f t="shared" si="523"/>
        <v>1</v>
      </c>
      <c r="DA2891" s="30">
        <f t="shared" si="526"/>
        <v>1</v>
      </c>
      <c r="DB2891" s="2">
        <f t="shared" si="524"/>
        <v>0</v>
      </c>
      <c r="DS2891" s="130">
        <f>SI!BY2891</f>
        <v>141</v>
      </c>
      <c r="DZ2891" s="131">
        <f>SI!BZ2891</f>
        <v>0</v>
      </c>
    </row>
    <row r="2892" spans="1:130" hidden="1" x14ac:dyDescent="0.25">
      <c r="A2892" s="141"/>
      <c r="B2892" s="137" t="s">
        <v>208</v>
      </c>
      <c r="J2892" s="378" t="s">
        <v>874</v>
      </c>
      <c r="K2892" s="378"/>
      <c r="L2892" s="378"/>
      <c r="M2892" s="378"/>
      <c r="N2892" s="378"/>
      <c r="O2892" s="378"/>
      <c r="P2892" s="378"/>
      <c r="Q2892" s="137" t="str">
        <f>+IF($E$52&lt;&gt;"",IF(ROUNDDOWN(CODE(MID($E$52,1,1))/10,0)*0+(LEN(SI!J2)+2)=DS2892,"o odloženej daňovej pohľadávke, alebo záväzku.","NEPOVOLENÉ POUŽITIE!"),"NEPOVOLENÉ POUŽITIE!")</f>
        <v>o odloženej daňovej pohľadávke, alebo záväzku.</v>
      </c>
      <c r="R2892" s="38"/>
      <c r="CA2892" s="142"/>
      <c r="CB2892" s="3" t="str">
        <f t="shared" si="521"/>
        <v>Riadok bude skrytý.</v>
      </c>
      <c r="CC2892" s="271" t="s">
        <v>832</v>
      </c>
      <c r="CF2892" s="13"/>
      <c r="CW2892" s="49">
        <v>1</v>
      </c>
      <c r="CZ2892" s="30">
        <f t="shared" si="523"/>
        <v>1</v>
      </c>
      <c r="DA2892" s="30">
        <f t="shared" si="526"/>
        <v>1</v>
      </c>
      <c r="DB2892" s="2">
        <f t="shared" si="524"/>
        <v>0</v>
      </c>
      <c r="DS2892" s="130">
        <f>SI!BY2892</f>
        <v>15</v>
      </c>
      <c r="DZ2892" s="131">
        <f>SI!BZ2892</f>
        <v>0</v>
      </c>
    </row>
    <row r="2893" spans="1:130" hidden="1" x14ac:dyDescent="0.25">
      <c r="A2893" s="141"/>
      <c r="B2893" s="137" t="str">
        <f>+IF($Q$52&lt;&gt;"",IF((CODE(MID($Q$52,1,1)))*(INT((PI()-3.1415)*10^5))*0+(LEN(SI!J5)-LEN(SI!J6))=DS2893,IF(J2892="účtuje","K odloženej dani z príjmu Spoločnosť uvádza:","Spoločnosť nemá pre túto časť poznámok obsahovú náplň."),"NEPOVOLENÉ POUŽITIE!"),"NEPOVOLENÉ POUŽITIE!")</f>
        <v>K odloženej dani z príjmu Spoločnosť uvádza:</v>
      </c>
      <c r="CA2893" s="270"/>
      <c r="CB2893" s="3" t="str">
        <f t="shared" si="521"/>
        <v>Riadok bude skrytý.</v>
      </c>
      <c r="CC2893" s="271" t="s">
        <v>832</v>
      </c>
      <c r="CW2893" s="30">
        <f>+IF($J$2892="neúčtuje",1,1)</f>
        <v>1</v>
      </c>
      <c r="CZ2893" s="30">
        <f t="shared" si="523"/>
        <v>1</v>
      </c>
      <c r="DA2893" s="30">
        <f t="shared" si="526"/>
        <v>1</v>
      </c>
      <c r="DB2893" s="2">
        <f t="shared" si="524"/>
        <v>0</v>
      </c>
      <c r="DS2893" s="130">
        <f>SI!BY2893</f>
        <v>10</v>
      </c>
      <c r="DZ2893" s="131">
        <f>SI!BZ2893</f>
        <v>0</v>
      </c>
    </row>
    <row r="2894" spans="1:130" hidden="1" x14ac:dyDescent="0.25">
      <c r="A2894" s="141"/>
      <c r="B2894" s="379"/>
      <c r="C2894" s="379"/>
      <c r="D2894" s="379"/>
      <c r="E2894" s="379"/>
      <c r="F2894" s="379"/>
      <c r="G2894" s="379"/>
      <c r="H2894" s="379"/>
      <c r="I2894" s="379"/>
      <c r="J2894" s="379"/>
      <c r="K2894" s="379"/>
      <c r="L2894" s="379"/>
      <c r="M2894" s="379"/>
      <c r="N2894" s="379"/>
      <c r="O2894" s="379"/>
      <c r="P2894" s="379"/>
      <c r="Q2894" s="379"/>
      <c r="R2894" s="379"/>
      <c r="S2894" s="379"/>
      <c r="T2894" s="379"/>
      <c r="U2894" s="379"/>
      <c r="V2894" s="379"/>
      <c r="W2894" s="379"/>
      <c r="X2894" s="379"/>
      <c r="Y2894" s="379"/>
      <c r="Z2894" s="379"/>
      <c r="AA2894" s="379"/>
      <c r="AB2894" s="379"/>
      <c r="AC2894" s="379"/>
      <c r="AD2894" s="379"/>
      <c r="AE2894" s="379"/>
      <c r="AF2894" s="379"/>
      <c r="AG2894" s="379"/>
      <c r="AH2894" s="379"/>
      <c r="AI2894" s="379"/>
      <c r="AJ2894" s="379"/>
      <c r="AK2894" s="379"/>
      <c r="AL2894" s="379"/>
      <c r="AM2894" s="379"/>
      <c r="AN2894" s="379"/>
      <c r="AO2894" s="379"/>
      <c r="AP2894" s="379"/>
      <c r="AQ2894" s="379"/>
      <c r="AR2894" s="379"/>
      <c r="AS2894" s="379"/>
      <c r="AT2894" s="379"/>
      <c r="AU2894" s="379"/>
      <c r="AV2894" s="379"/>
      <c r="AW2894" s="379"/>
      <c r="AX2894" s="379"/>
      <c r="AY2894" s="379"/>
      <c r="AZ2894" s="379"/>
      <c r="BA2894" s="379"/>
      <c r="BB2894" s="379"/>
      <c r="BC2894" s="379"/>
      <c r="BD2894" s="379"/>
      <c r="BE2894" s="379"/>
      <c r="BF2894" s="379"/>
      <c r="BG2894" s="379"/>
      <c r="BH2894" s="379"/>
      <c r="BI2894" s="379"/>
      <c r="BJ2894" s="379"/>
      <c r="BK2894" s="379"/>
      <c r="BL2894" s="379"/>
      <c r="BM2894" s="379"/>
      <c r="BN2894" s="379"/>
      <c r="BO2894" s="379"/>
      <c r="BP2894" s="379"/>
      <c r="BQ2894" s="379"/>
      <c r="BR2894" s="379"/>
      <c r="BS2894" s="379"/>
      <c r="BT2894" s="379"/>
      <c r="BU2894" s="379"/>
      <c r="BV2894" s="379"/>
      <c r="BW2894" s="379"/>
      <c r="BX2894" s="379"/>
      <c r="BY2894" s="379"/>
      <c r="BZ2894" s="379"/>
      <c r="CA2894" s="281"/>
      <c r="CB2894" s="3" t="str">
        <f t="shared" si="521"/>
        <v>Riadok bude skrytý.</v>
      </c>
      <c r="CC2894" s="271" t="s">
        <v>832</v>
      </c>
      <c r="CW2894" s="30">
        <f t="shared" ref="CW2894:CW2925" si="527">+IF($J$2892="neúčtuje",0,1)</f>
        <v>1</v>
      </c>
      <c r="CX2894" s="30">
        <f t="shared" ref="CX2894:CX2913" si="528">+IF(B2894="",0,1)</f>
        <v>0</v>
      </c>
      <c r="CZ2894" s="30">
        <f t="shared" si="523"/>
        <v>1</v>
      </c>
      <c r="DA2894" s="52">
        <f t="shared" ref="DA2894:DA2913" si="529">+IF(CW2894*CX2894=0,0,IF(CZ2894=0,0,1))</f>
        <v>0</v>
      </c>
      <c r="DB2894" s="2">
        <f t="shared" si="524"/>
        <v>0</v>
      </c>
      <c r="DS2894" s="130">
        <f>SI!BY2894</f>
        <v>157</v>
      </c>
      <c r="DZ2894" s="131">
        <f>SI!BZ2894</f>
        <v>0</v>
      </c>
    </row>
    <row r="2895" spans="1:130" hidden="1" x14ac:dyDescent="0.25">
      <c r="A2895" s="141"/>
      <c r="B2895" s="379"/>
      <c r="C2895" s="379"/>
      <c r="D2895" s="379"/>
      <c r="E2895" s="379"/>
      <c r="F2895" s="379"/>
      <c r="G2895" s="379"/>
      <c r="H2895" s="379"/>
      <c r="I2895" s="379"/>
      <c r="J2895" s="379"/>
      <c r="K2895" s="379"/>
      <c r="L2895" s="379"/>
      <c r="M2895" s="379"/>
      <c r="N2895" s="379"/>
      <c r="O2895" s="379"/>
      <c r="P2895" s="379"/>
      <c r="Q2895" s="379"/>
      <c r="R2895" s="379"/>
      <c r="S2895" s="379"/>
      <c r="T2895" s="379"/>
      <c r="U2895" s="379"/>
      <c r="V2895" s="379"/>
      <c r="W2895" s="379"/>
      <c r="X2895" s="379"/>
      <c r="Y2895" s="379"/>
      <c r="Z2895" s="379"/>
      <c r="AA2895" s="379"/>
      <c r="AB2895" s="379"/>
      <c r="AC2895" s="379"/>
      <c r="AD2895" s="379"/>
      <c r="AE2895" s="379"/>
      <c r="AF2895" s="379"/>
      <c r="AG2895" s="379"/>
      <c r="AH2895" s="379"/>
      <c r="AI2895" s="379"/>
      <c r="AJ2895" s="379"/>
      <c r="AK2895" s="379"/>
      <c r="AL2895" s="379"/>
      <c r="AM2895" s="379"/>
      <c r="AN2895" s="379"/>
      <c r="AO2895" s="379"/>
      <c r="AP2895" s="379"/>
      <c r="AQ2895" s="379"/>
      <c r="AR2895" s="379"/>
      <c r="AS2895" s="379"/>
      <c r="AT2895" s="379"/>
      <c r="AU2895" s="379"/>
      <c r="AV2895" s="379"/>
      <c r="AW2895" s="379"/>
      <c r="AX2895" s="379"/>
      <c r="AY2895" s="379"/>
      <c r="AZ2895" s="379"/>
      <c r="BA2895" s="379"/>
      <c r="BB2895" s="379"/>
      <c r="BC2895" s="379"/>
      <c r="BD2895" s="379"/>
      <c r="BE2895" s="379"/>
      <c r="BF2895" s="379"/>
      <c r="BG2895" s="379"/>
      <c r="BH2895" s="379"/>
      <c r="BI2895" s="379"/>
      <c r="BJ2895" s="379"/>
      <c r="BK2895" s="379"/>
      <c r="BL2895" s="379"/>
      <c r="BM2895" s="379"/>
      <c r="BN2895" s="379"/>
      <c r="BO2895" s="379"/>
      <c r="BP2895" s="379"/>
      <c r="BQ2895" s="379"/>
      <c r="BR2895" s="379"/>
      <c r="BS2895" s="379"/>
      <c r="BT2895" s="379"/>
      <c r="BU2895" s="379"/>
      <c r="BV2895" s="379"/>
      <c r="BW2895" s="379"/>
      <c r="BX2895" s="379"/>
      <c r="BY2895" s="379"/>
      <c r="BZ2895" s="379"/>
      <c r="CA2895" s="281"/>
      <c r="CB2895" s="3" t="str">
        <f t="shared" si="521"/>
        <v>Riadok bude skrytý.</v>
      </c>
      <c r="CC2895" s="271" t="s">
        <v>832</v>
      </c>
      <c r="CW2895" s="30">
        <f t="shared" si="527"/>
        <v>1</v>
      </c>
      <c r="CX2895" s="30">
        <f t="shared" si="528"/>
        <v>0</v>
      </c>
      <c r="CZ2895" s="30">
        <f t="shared" si="523"/>
        <v>1</v>
      </c>
      <c r="DA2895" s="52">
        <f t="shared" si="529"/>
        <v>0</v>
      </c>
      <c r="DB2895" s="2">
        <f t="shared" si="524"/>
        <v>0</v>
      </c>
      <c r="DS2895" s="130">
        <f>SI!BY2895</f>
        <v>118</v>
      </c>
      <c r="DZ2895" s="131">
        <f>SI!BZ2895</f>
        <v>0</v>
      </c>
    </row>
    <row r="2896" spans="1:130" hidden="1" x14ac:dyDescent="0.25">
      <c r="A2896" s="141"/>
      <c r="B2896" s="379"/>
      <c r="C2896" s="379"/>
      <c r="D2896" s="379"/>
      <c r="E2896" s="379"/>
      <c r="F2896" s="379"/>
      <c r="G2896" s="379"/>
      <c r="H2896" s="379"/>
      <c r="I2896" s="379"/>
      <c r="J2896" s="379"/>
      <c r="K2896" s="379"/>
      <c r="L2896" s="379"/>
      <c r="M2896" s="379"/>
      <c r="N2896" s="379"/>
      <c r="O2896" s="379"/>
      <c r="P2896" s="379"/>
      <c r="Q2896" s="379"/>
      <c r="R2896" s="379"/>
      <c r="S2896" s="379"/>
      <c r="T2896" s="379"/>
      <c r="U2896" s="379"/>
      <c r="V2896" s="379"/>
      <c r="W2896" s="379"/>
      <c r="X2896" s="379"/>
      <c r="Y2896" s="379"/>
      <c r="Z2896" s="379"/>
      <c r="AA2896" s="379"/>
      <c r="AB2896" s="379"/>
      <c r="AC2896" s="379"/>
      <c r="AD2896" s="379"/>
      <c r="AE2896" s="379"/>
      <c r="AF2896" s="379"/>
      <c r="AG2896" s="379"/>
      <c r="AH2896" s="379"/>
      <c r="AI2896" s="379"/>
      <c r="AJ2896" s="379"/>
      <c r="AK2896" s="379"/>
      <c r="AL2896" s="379"/>
      <c r="AM2896" s="379"/>
      <c r="AN2896" s="379"/>
      <c r="AO2896" s="379"/>
      <c r="AP2896" s="379"/>
      <c r="AQ2896" s="379"/>
      <c r="AR2896" s="379"/>
      <c r="AS2896" s="379"/>
      <c r="AT2896" s="379"/>
      <c r="AU2896" s="379"/>
      <c r="AV2896" s="379"/>
      <c r="AW2896" s="379"/>
      <c r="AX2896" s="379"/>
      <c r="AY2896" s="379"/>
      <c r="AZ2896" s="379"/>
      <c r="BA2896" s="379"/>
      <c r="BB2896" s="379"/>
      <c r="BC2896" s="379"/>
      <c r="BD2896" s="379"/>
      <c r="BE2896" s="379"/>
      <c r="BF2896" s="379"/>
      <c r="BG2896" s="379"/>
      <c r="BH2896" s="379"/>
      <c r="BI2896" s="379"/>
      <c r="BJ2896" s="379"/>
      <c r="BK2896" s="379"/>
      <c r="BL2896" s="379"/>
      <c r="BM2896" s="379"/>
      <c r="BN2896" s="379"/>
      <c r="BO2896" s="379"/>
      <c r="BP2896" s="379"/>
      <c r="BQ2896" s="379"/>
      <c r="BR2896" s="379"/>
      <c r="BS2896" s="379"/>
      <c r="BT2896" s="379"/>
      <c r="BU2896" s="379"/>
      <c r="BV2896" s="379"/>
      <c r="BW2896" s="379"/>
      <c r="BX2896" s="379"/>
      <c r="BY2896" s="379"/>
      <c r="BZ2896" s="379"/>
      <c r="CA2896" s="281"/>
      <c r="CB2896" s="3" t="str">
        <f t="shared" si="521"/>
        <v>Riadok bude skrytý.</v>
      </c>
      <c r="CC2896" s="271" t="s">
        <v>832</v>
      </c>
      <c r="CW2896" s="30">
        <f t="shared" si="527"/>
        <v>1</v>
      </c>
      <c r="CX2896" s="30">
        <f t="shared" si="528"/>
        <v>0</v>
      </c>
      <c r="CZ2896" s="30">
        <f t="shared" si="523"/>
        <v>1</v>
      </c>
      <c r="DA2896" s="52">
        <f t="shared" si="529"/>
        <v>0</v>
      </c>
      <c r="DB2896" s="2">
        <f t="shared" si="524"/>
        <v>0</v>
      </c>
      <c r="DS2896" s="130">
        <f>SI!BY2896</f>
        <v>143</v>
      </c>
      <c r="DZ2896" s="131">
        <f>SI!BZ2896</f>
        <v>0</v>
      </c>
    </row>
    <row r="2897" spans="1:130" hidden="1" x14ac:dyDescent="0.25">
      <c r="A2897" s="141"/>
      <c r="B2897" s="379"/>
      <c r="C2897" s="379"/>
      <c r="D2897" s="379"/>
      <c r="E2897" s="379"/>
      <c r="F2897" s="379"/>
      <c r="G2897" s="379"/>
      <c r="H2897" s="379"/>
      <c r="I2897" s="379"/>
      <c r="J2897" s="379"/>
      <c r="K2897" s="379"/>
      <c r="L2897" s="379"/>
      <c r="M2897" s="379"/>
      <c r="N2897" s="379"/>
      <c r="O2897" s="379"/>
      <c r="P2897" s="379"/>
      <c r="Q2897" s="379"/>
      <c r="R2897" s="379"/>
      <c r="S2897" s="379"/>
      <c r="T2897" s="379"/>
      <c r="U2897" s="379"/>
      <c r="V2897" s="379"/>
      <c r="W2897" s="379"/>
      <c r="X2897" s="379"/>
      <c r="Y2897" s="379"/>
      <c r="Z2897" s="379"/>
      <c r="AA2897" s="379"/>
      <c r="AB2897" s="379"/>
      <c r="AC2897" s="379"/>
      <c r="AD2897" s="379"/>
      <c r="AE2897" s="379"/>
      <c r="AF2897" s="379"/>
      <c r="AG2897" s="379"/>
      <c r="AH2897" s="379"/>
      <c r="AI2897" s="379"/>
      <c r="AJ2897" s="379"/>
      <c r="AK2897" s="379"/>
      <c r="AL2897" s="379"/>
      <c r="AM2897" s="379"/>
      <c r="AN2897" s="379"/>
      <c r="AO2897" s="379"/>
      <c r="AP2897" s="379"/>
      <c r="AQ2897" s="379"/>
      <c r="AR2897" s="379"/>
      <c r="AS2897" s="379"/>
      <c r="AT2897" s="379"/>
      <c r="AU2897" s="379"/>
      <c r="AV2897" s="379"/>
      <c r="AW2897" s="379"/>
      <c r="AX2897" s="379"/>
      <c r="AY2897" s="379"/>
      <c r="AZ2897" s="379"/>
      <c r="BA2897" s="379"/>
      <c r="BB2897" s="379"/>
      <c r="BC2897" s="379"/>
      <c r="BD2897" s="379"/>
      <c r="BE2897" s="379"/>
      <c r="BF2897" s="379"/>
      <c r="BG2897" s="379"/>
      <c r="BH2897" s="379"/>
      <c r="BI2897" s="379"/>
      <c r="BJ2897" s="379"/>
      <c r="BK2897" s="379"/>
      <c r="BL2897" s="379"/>
      <c r="BM2897" s="379"/>
      <c r="BN2897" s="379"/>
      <c r="BO2897" s="379"/>
      <c r="BP2897" s="379"/>
      <c r="BQ2897" s="379"/>
      <c r="BR2897" s="379"/>
      <c r="BS2897" s="379"/>
      <c r="BT2897" s="379"/>
      <c r="BU2897" s="379"/>
      <c r="BV2897" s="379"/>
      <c r="BW2897" s="379"/>
      <c r="BX2897" s="379"/>
      <c r="BY2897" s="379"/>
      <c r="BZ2897" s="379"/>
      <c r="CA2897" s="281"/>
      <c r="CB2897" s="3" t="str">
        <f t="shared" si="521"/>
        <v>Riadok bude skrytý.</v>
      </c>
      <c r="CC2897" s="271" t="s">
        <v>832</v>
      </c>
      <c r="CW2897" s="30">
        <f t="shared" si="527"/>
        <v>1</v>
      </c>
      <c r="CX2897" s="30">
        <f t="shared" si="528"/>
        <v>0</v>
      </c>
      <c r="CZ2897" s="30">
        <f t="shared" si="523"/>
        <v>1</v>
      </c>
      <c r="DA2897" s="52">
        <f t="shared" si="529"/>
        <v>0</v>
      </c>
      <c r="DB2897" s="2">
        <f t="shared" si="524"/>
        <v>0</v>
      </c>
      <c r="DS2897" s="130">
        <f>SI!BY2897</f>
        <v>196</v>
      </c>
      <c r="DZ2897" s="131">
        <f>SI!BZ2897</f>
        <v>0</v>
      </c>
    </row>
    <row r="2898" spans="1:130" hidden="1" x14ac:dyDescent="0.25">
      <c r="A2898" s="141"/>
      <c r="B2898" s="379"/>
      <c r="C2898" s="379"/>
      <c r="D2898" s="379"/>
      <c r="E2898" s="379"/>
      <c r="F2898" s="379"/>
      <c r="G2898" s="379"/>
      <c r="H2898" s="379"/>
      <c r="I2898" s="379"/>
      <c r="J2898" s="379"/>
      <c r="K2898" s="379"/>
      <c r="L2898" s="379"/>
      <c r="M2898" s="379"/>
      <c r="N2898" s="379"/>
      <c r="O2898" s="379"/>
      <c r="P2898" s="379"/>
      <c r="Q2898" s="379"/>
      <c r="R2898" s="379"/>
      <c r="S2898" s="379"/>
      <c r="T2898" s="379"/>
      <c r="U2898" s="379"/>
      <c r="V2898" s="379"/>
      <c r="W2898" s="379"/>
      <c r="X2898" s="379"/>
      <c r="Y2898" s="379"/>
      <c r="Z2898" s="379"/>
      <c r="AA2898" s="379"/>
      <c r="AB2898" s="379"/>
      <c r="AC2898" s="379"/>
      <c r="AD2898" s="379"/>
      <c r="AE2898" s="379"/>
      <c r="AF2898" s="379"/>
      <c r="AG2898" s="379"/>
      <c r="AH2898" s="379"/>
      <c r="AI2898" s="379"/>
      <c r="AJ2898" s="379"/>
      <c r="AK2898" s="379"/>
      <c r="AL2898" s="379"/>
      <c r="AM2898" s="379"/>
      <c r="AN2898" s="379"/>
      <c r="AO2898" s="379"/>
      <c r="AP2898" s="379"/>
      <c r="AQ2898" s="379"/>
      <c r="AR2898" s="379"/>
      <c r="AS2898" s="379"/>
      <c r="AT2898" s="379"/>
      <c r="AU2898" s="379"/>
      <c r="AV2898" s="379"/>
      <c r="AW2898" s="379"/>
      <c r="AX2898" s="379"/>
      <c r="AY2898" s="379"/>
      <c r="AZ2898" s="379"/>
      <c r="BA2898" s="379"/>
      <c r="BB2898" s="379"/>
      <c r="BC2898" s="379"/>
      <c r="BD2898" s="379"/>
      <c r="BE2898" s="379"/>
      <c r="BF2898" s="379"/>
      <c r="BG2898" s="379"/>
      <c r="BH2898" s="379"/>
      <c r="BI2898" s="379"/>
      <c r="BJ2898" s="379"/>
      <c r="BK2898" s="379"/>
      <c r="BL2898" s="379"/>
      <c r="BM2898" s="379"/>
      <c r="BN2898" s="379"/>
      <c r="BO2898" s="379"/>
      <c r="BP2898" s="379"/>
      <c r="BQ2898" s="379"/>
      <c r="BR2898" s="379"/>
      <c r="BS2898" s="379"/>
      <c r="BT2898" s="379"/>
      <c r="BU2898" s="379"/>
      <c r="BV2898" s="379"/>
      <c r="BW2898" s="379"/>
      <c r="BX2898" s="379"/>
      <c r="BY2898" s="379"/>
      <c r="BZ2898" s="379"/>
      <c r="CA2898" s="281"/>
      <c r="CB2898" s="3" t="str">
        <f t="shared" si="521"/>
        <v>Riadok bude skrytý.</v>
      </c>
      <c r="CC2898" s="271" t="s">
        <v>832</v>
      </c>
      <c r="CW2898" s="30">
        <f t="shared" si="527"/>
        <v>1</v>
      </c>
      <c r="CX2898" s="30">
        <f t="shared" si="528"/>
        <v>0</v>
      </c>
      <c r="CZ2898" s="30">
        <f t="shared" si="523"/>
        <v>1</v>
      </c>
      <c r="DA2898" s="52">
        <f t="shared" si="529"/>
        <v>0</v>
      </c>
      <c r="DB2898" s="2">
        <f t="shared" si="524"/>
        <v>0</v>
      </c>
      <c r="DS2898" s="130">
        <f>SI!BY2898</f>
        <v>167</v>
      </c>
      <c r="DZ2898" s="131">
        <f>SI!BZ2898</f>
        <v>0</v>
      </c>
    </row>
    <row r="2899" spans="1:130" hidden="1" x14ac:dyDescent="0.25">
      <c r="A2899" s="141"/>
      <c r="B2899" s="379"/>
      <c r="C2899" s="379"/>
      <c r="D2899" s="379"/>
      <c r="E2899" s="379"/>
      <c r="F2899" s="379"/>
      <c r="G2899" s="379"/>
      <c r="H2899" s="379"/>
      <c r="I2899" s="379"/>
      <c r="J2899" s="379"/>
      <c r="K2899" s="379"/>
      <c r="L2899" s="379"/>
      <c r="M2899" s="379"/>
      <c r="N2899" s="379"/>
      <c r="O2899" s="379"/>
      <c r="P2899" s="379"/>
      <c r="Q2899" s="379"/>
      <c r="R2899" s="379"/>
      <c r="S2899" s="379"/>
      <c r="T2899" s="379"/>
      <c r="U2899" s="379"/>
      <c r="V2899" s="379"/>
      <c r="W2899" s="379"/>
      <c r="X2899" s="379"/>
      <c r="Y2899" s="379"/>
      <c r="Z2899" s="379"/>
      <c r="AA2899" s="379"/>
      <c r="AB2899" s="379"/>
      <c r="AC2899" s="379"/>
      <c r="AD2899" s="379"/>
      <c r="AE2899" s="379"/>
      <c r="AF2899" s="379"/>
      <c r="AG2899" s="379"/>
      <c r="AH2899" s="379"/>
      <c r="AI2899" s="379"/>
      <c r="AJ2899" s="379"/>
      <c r="AK2899" s="379"/>
      <c r="AL2899" s="379"/>
      <c r="AM2899" s="379"/>
      <c r="AN2899" s="379"/>
      <c r="AO2899" s="379"/>
      <c r="AP2899" s="379"/>
      <c r="AQ2899" s="379"/>
      <c r="AR2899" s="379"/>
      <c r="AS2899" s="379"/>
      <c r="AT2899" s="379"/>
      <c r="AU2899" s="379"/>
      <c r="AV2899" s="379"/>
      <c r="AW2899" s="379"/>
      <c r="AX2899" s="379"/>
      <c r="AY2899" s="379"/>
      <c r="AZ2899" s="379"/>
      <c r="BA2899" s="379"/>
      <c r="BB2899" s="379"/>
      <c r="BC2899" s="379"/>
      <c r="BD2899" s="379"/>
      <c r="BE2899" s="379"/>
      <c r="BF2899" s="379"/>
      <c r="BG2899" s="379"/>
      <c r="BH2899" s="379"/>
      <c r="BI2899" s="379"/>
      <c r="BJ2899" s="379"/>
      <c r="BK2899" s="379"/>
      <c r="BL2899" s="379"/>
      <c r="BM2899" s="379"/>
      <c r="BN2899" s="379"/>
      <c r="BO2899" s="379"/>
      <c r="BP2899" s="379"/>
      <c r="BQ2899" s="379"/>
      <c r="BR2899" s="379"/>
      <c r="BS2899" s="379"/>
      <c r="BT2899" s="379"/>
      <c r="BU2899" s="379"/>
      <c r="BV2899" s="379"/>
      <c r="BW2899" s="379"/>
      <c r="BX2899" s="379"/>
      <c r="BY2899" s="379"/>
      <c r="BZ2899" s="379"/>
      <c r="CA2899" s="281"/>
      <c r="CB2899" s="3" t="str">
        <f t="shared" si="521"/>
        <v>Riadok bude skrytý.</v>
      </c>
      <c r="CC2899" s="271" t="s">
        <v>832</v>
      </c>
      <c r="CW2899" s="30">
        <f t="shared" si="527"/>
        <v>1</v>
      </c>
      <c r="CX2899" s="30">
        <f t="shared" si="528"/>
        <v>0</v>
      </c>
      <c r="CZ2899" s="30">
        <f t="shared" si="523"/>
        <v>1</v>
      </c>
      <c r="DA2899" s="52">
        <f t="shared" si="529"/>
        <v>0</v>
      </c>
      <c r="DB2899" s="2">
        <f t="shared" si="524"/>
        <v>0</v>
      </c>
      <c r="DS2899" s="130">
        <f>SI!BY2899</f>
        <v>152</v>
      </c>
      <c r="DZ2899" s="131">
        <f>SI!BZ2899</f>
        <v>0</v>
      </c>
    </row>
    <row r="2900" spans="1:130" hidden="1" x14ac:dyDescent="0.25">
      <c r="A2900" s="141"/>
      <c r="B2900" s="379"/>
      <c r="C2900" s="379"/>
      <c r="D2900" s="379"/>
      <c r="E2900" s="379"/>
      <c r="F2900" s="379"/>
      <c r="G2900" s="379"/>
      <c r="H2900" s="379"/>
      <c r="I2900" s="379"/>
      <c r="J2900" s="379"/>
      <c r="K2900" s="379"/>
      <c r="L2900" s="379"/>
      <c r="M2900" s="379"/>
      <c r="N2900" s="379"/>
      <c r="O2900" s="379"/>
      <c r="P2900" s="379"/>
      <c r="Q2900" s="379"/>
      <c r="R2900" s="379"/>
      <c r="S2900" s="379"/>
      <c r="T2900" s="379"/>
      <c r="U2900" s="379"/>
      <c r="V2900" s="379"/>
      <c r="W2900" s="379"/>
      <c r="X2900" s="379"/>
      <c r="Y2900" s="379"/>
      <c r="Z2900" s="379"/>
      <c r="AA2900" s="379"/>
      <c r="AB2900" s="379"/>
      <c r="AC2900" s="379"/>
      <c r="AD2900" s="379"/>
      <c r="AE2900" s="379"/>
      <c r="AF2900" s="379"/>
      <c r="AG2900" s="379"/>
      <c r="AH2900" s="379"/>
      <c r="AI2900" s="379"/>
      <c r="AJ2900" s="379"/>
      <c r="AK2900" s="379"/>
      <c r="AL2900" s="379"/>
      <c r="AM2900" s="379"/>
      <c r="AN2900" s="379"/>
      <c r="AO2900" s="379"/>
      <c r="AP2900" s="379"/>
      <c r="AQ2900" s="379"/>
      <c r="AR2900" s="379"/>
      <c r="AS2900" s="379"/>
      <c r="AT2900" s="379"/>
      <c r="AU2900" s="379"/>
      <c r="AV2900" s="379"/>
      <c r="AW2900" s="379"/>
      <c r="AX2900" s="379"/>
      <c r="AY2900" s="379"/>
      <c r="AZ2900" s="379"/>
      <c r="BA2900" s="379"/>
      <c r="BB2900" s="379"/>
      <c r="BC2900" s="379"/>
      <c r="BD2900" s="379"/>
      <c r="BE2900" s="379"/>
      <c r="BF2900" s="379"/>
      <c r="BG2900" s="379"/>
      <c r="BH2900" s="379"/>
      <c r="BI2900" s="379"/>
      <c r="BJ2900" s="379"/>
      <c r="BK2900" s="379"/>
      <c r="BL2900" s="379"/>
      <c r="BM2900" s="379"/>
      <c r="BN2900" s="379"/>
      <c r="BO2900" s="379"/>
      <c r="BP2900" s="379"/>
      <c r="BQ2900" s="379"/>
      <c r="BR2900" s="379"/>
      <c r="BS2900" s="379"/>
      <c r="BT2900" s="379"/>
      <c r="BU2900" s="379"/>
      <c r="BV2900" s="379"/>
      <c r="BW2900" s="379"/>
      <c r="BX2900" s="379"/>
      <c r="BY2900" s="379"/>
      <c r="BZ2900" s="379"/>
      <c r="CA2900" s="281"/>
      <c r="CB2900" s="3" t="str">
        <f t="shared" si="521"/>
        <v>Riadok bude skrytý.</v>
      </c>
      <c r="CC2900" s="271" t="s">
        <v>832</v>
      </c>
      <c r="CW2900" s="30">
        <f t="shared" si="527"/>
        <v>1</v>
      </c>
      <c r="CX2900" s="30">
        <f t="shared" si="528"/>
        <v>0</v>
      </c>
      <c r="CZ2900" s="30">
        <f t="shared" si="523"/>
        <v>1</v>
      </c>
      <c r="DA2900" s="52">
        <f t="shared" si="529"/>
        <v>0</v>
      </c>
      <c r="DB2900" s="2">
        <f t="shared" si="524"/>
        <v>0</v>
      </c>
      <c r="DS2900" s="130">
        <f>SI!BY2900</f>
        <v>208</v>
      </c>
      <c r="DZ2900" s="131">
        <f>SI!BZ2900</f>
        <v>0</v>
      </c>
    </row>
    <row r="2901" spans="1:130" hidden="1" x14ac:dyDescent="0.25">
      <c r="A2901" s="141"/>
      <c r="B2901" s="379"/>
      <c r="C2901" s="379"/>
      <c r="D2901" s="379"/>
      <c r="E2901" s="379"/>
      <c r="F2901" s="379"/>
      <c r="G2901" s="379"/>
      <c r="H2901" s="379"/>
      <c r="I2901" s="379"/>
      <c r="J2901" s="379"/>
      <c r="K2901" s="379"/>
      <c r="L2901" s="379"/>
      <c r="M2901" s="379"/>
      <c r="N2901" s="379"/>
      <c r="O2901" s="379"/>
      <c r="P2901" s="379"/>
      <c r="Q2901" s="379"/>
      <c r="R2901" s="379"/>
      <c r="S2901" s="379"/>
      <c r="T2901" s="379"/>
      <c r="U2901" s="379"/>
      <c r="V2901" s="379"/>
      <c r="W2901" s="379"/>
      <c r="X2901" s="379"/>
      <c r="Y2901" s="379"/>
      <c r="Z2901" s="379"/>
      <c r="AA2901" s="379"/>
      <c r="AB2901" s="379"/>
      <c r="AC2901" s="379"/>
      <c r="AD2901" s="379"/>
      <c r="AE2901" s="379"/>
      <c r="AF2901" s="379"/>
      <c r="AG2901" s="379"/>
      <c r="AH2901" s="379"/>
      <c r="AI2901" s="379"/>
      <c r="AJ2901" s="379"/>
      <c r="AK2901" s="379"/>
      <c r="AL2901" s="379"/>
      <c r="AM2901" s="379"/>
      <c r="AN2901" s="379"/>
      <c r="AO2901" s="379"/>
      <c r="AP2901" s="379"/>
      <c r="AQ2901" s="379"/>
      <c r="AR2901" s="379"/>
      <c r="AS2901" s="379"/>
      <c r="AT2901" s="379"/>
      <c r="AU2901" s="379"/>
      <c r="AV2901" s="379"/>
      <c r="AW2901" s="379"/>
      <c r="AX2901" s="379"/>
      <c r="AY2901" s="379"/>
      <c r="AZ2901" s="379"/>
      <c r="BA2901" s="379"/>
      <c r="BB2901" s="379"/>
      <c r="BC2901" s="379"/>
      <c r="BD2901" s="379"/>
      <c r="BE2901" s="379"/>
      <c r="BF2901" s="379"/>
      <c r="BG2901" s="379"/>
      <c r="BH2901" s="379"/>
      <c r="BI2901" s="379"/>
      <c r="BJ2901" s="379"/>
      <c r="BK2901" s="379"/>
      <c r="BL2901" s="379"/>
      <c r="BM2901" s="379"/>
      <c r="BN2901" s="379"/>
      <c r="BO2901" s="379"/>
      <c r="BP2901" s="379"/>
      <c r="BQ2901" s="379"/>
      <c r="BR2901" s="379"/>
      <c r="BS2901" s="379"/>
      <c r="BT2901" s="379"/>
      <c r="BU2901" s="379"/>
      <c r="BV2901" s="379"/>
      <c r="BW2901" s="379"/>
      <c r="BX2901" s="379"/>
      <c r="BY2901" s="379"/>
      <c r="BZ2901" s="379"/>
      <c r="CA2901" s="281"/>
      <c r="CB2901" s="3" t="str">
        <f t="shared" si="521"/>
        <v>Riadok bude skrytý.</v>
      </c>
      <c r="CC2901" s="271" t="s">
        <v>832</v>
      </c>
      <c r="CW2901" s="30">
        <f t="shared" si="527"/>
        <v>1</v>
      </c>
      <c r="CX2901" s="30">
        <f t="shared" si="528"/>
        <v>0</v>
      </c>
      <c r="CZ2901" s="30">
        <f t="shared" si="523"/>
        <v>1</v>
      </c>
      <c r="DA2901" s="52">
        <f t="shared" si="529"/>
        <v>0</v>
      </c>
      <c r="DB2901" s="2">
        <f t="shared" si="524"/>
        <v>0</v>
      </c>
      <c r="DS2901" s="130">
        <f>SI!BY2901</f>
        <v>13</v>
      </c>
      <c r="DZ2901" s="131">
        <f>SI!BZ2901</f>
        <v>0</v>
      </c>
    </row>
    <row r="2902" spans="1:130" hidden="1" x14ac:dyDescent="0.25">
      <c r="A2902" s="141"/>
      <c r="B2902" s="379"/>
      <c r="C2902" s="379"/>
      <c r="D2902" s="379"/>
      <c r="E2902" s="379"/>
      <c r="F2902" s="379"/>
      <c r="G2902" s="379"/>
      <c r="H2902" s="379"/>
      <c r="I2902" s="379"/>
      <c r="J2902" s="379"/>
      <c r="K2902" s="379"/>
      <c r="L2902" s="379"/>
      <c r="M2902" s="379"/>
      <c r="N2902" s="379"/>
      <c r="O2902" s="379"/>
      <c r="P2902" s="379"/>
      <c r="Q2902" s="379"/>
      <c r="R2902" s="379"/>
      <c r="S2902" s="379"/>
      <c r="T2902" s="379"/>
      <c r="U2902" s="379"/>
      <c r="V2902" s="379"/>
      <c r="W2902" s="379"/>
      <c r="X2902" s="379"/>
      <c r="Y2902" s="379"/>
      <c r="Z2902" s="379"/>
      <c r="AA2902" s="379"/>
      <c r="AB2902" s="379"/>
      <c r="AC2902" s="379"/>
      <c r="AD2902" s="379"/>
      <c r="AE2902" s="379"/>
      <c r="AF2902" s="379"/>
      <c r="AG2902" s="379"/>
      <c r="AH2902" s="379"/>
      <c r="AI2902" s="379"/>
      <c r="AJ2902" s="379"/>
      <c r="AK2902" s="379"/>
      <c r="AL2902" s="379"/>
      <c r="AM2902" s="379"/>
      <c r="AN2902" s="379"/>
      <c r="AO2902" s="379"/>
      <c r="AP2902" s="379"/>
      <c r="AQ2902" s="379"/>
      <c r="AR2902" s="379"/>
      <c r="AS2902" s="379"/>
      <c r="AT2902" s="379"/>
      <c r="AU2902" s="379"/>
      <c r="AV2902" s="379"/>
      <c r="AW2902" s="379"/>
      <c r="AX2902" s="379"/>
      <c r="AY2902" s="379"/>
      <c r="AZ2902" s="379"/>
      <c r="BA2902" s="379"/>
      <c r="BB2902" s="379"/>
      <c r="BC2902" s="379"/>
      <c r="BD2902" s="379"/>
      <c r="BE2902" s="379"/>
      <c r="BF2902" s="379"/>
      <c r="BG2902" s="379"/>
      <c r="BH2902" s="379"/>
      <c r="BI2902" s="379"/>
      <c r="BJ2902" s="379"/>
      <c r="BK2902" s="379"/>
      <c r="BL2902" s="379"/>
      <c r="BM2902" s="379"/>
      <c r="BN2902" s="379"/>
      <c r="BO2902" s="379"/>
      <c r="BP2902" s="379"/>
      <c r="BQ2902" s="379"/>
      <c r="BR2902" s="379"/>
      <c r="BS2902" s="379"/>
      <c r="BT2902" s="379"/>
      <c r="BU2902" s="379"/>
      <c r="BV2902" s="379"/>
      <c r="BW2902" s="379"/>
      <c r="BX2902" s="379"/>
      <c r="BY2902" s="379"/>
      <c r="BZ2902" s="379"/>
      <c r="CA2902" s="281"/>
      <c r="CB2902" s="3" t="str">
        <f t="shared" si="521"/>
        <v>Riadok bude skrytý.</v>
      </c>
      <c r="CC2902" s="271" t="s">
        <v>832</v>
      </c>
      <c r="CW2902" s="30">
        <f t="shared" si="527"/>
        <v>1</v>
      </c>
      <c r="CX2902" s="30">
        <f t="shared" si="528"/>
        <v>0</v>
      </c>
      <c r="CZ2902" s="30">
        <f t="shared" si="523"/>
        <v>1</v>
      </c>
      <c r="DA2902" s="52">
        <f t="shared" si="529"/>
        <v>0</v>
      </c>
      <c r="DB2902" s="2">
        <f t="shared" si="524"/>
        <v>0</v>
      </c>
      <c r="DS2902" s="130">
        <f>SI!BY2902</f>
        <v>179</v>
      </c>
      <c r="DZ2902" s="131">
        <f>SI!BZ2902</f>
        <v>0</v>
      </c>
    </row>
    <row r="2903" spans="1:130" hidden="1" x14ac:dyDescent="0.25">
      <c r="A2903" s="141"/>
      <c r="B2903" s="379"/>
      <c r="C2903" s="379"/>
      <c r="D2903" s="379"/>
      <c r="E2903" s="379"/>
      <c r="F2903" s="379"/>
      <c r="G2903" s="379"/>
      <c r="H2903" s="379"/>
      <c r="I2903" s="379"/>
      <c r="J2903" s="379"/>
      <c r="K2903" s="379"/>
      <c r="L2903" s="379"/>
      <c r="M2903" s="379"/>
      <c r="N2903" s="379"/>
      <c r="O2903" s="379"/>
      <c r="P2903" s="379"/>
      <c r="Q2903" s="379"/>
      <c r="R2903" s="379"/>
      <c r="S2903" s="379"/>
      <c r="T2903" s="379"/>
      <c r="U2903" s="379"/>
      <c r="V2903" s="379"/>
      <c r="W2903" s="379"/>
      <c r="X2903" s="379"/>
      <c r="Y2903" s="379"/>
      <c r="Z2903" s="379"/>
      <c r="AA2903" s="379"/>
      <c r="AB2903" s="379"/>
      <c r="AC2903" s="379"/>
      <c r="AD2903" s="379"/>
      <c r="AE2903" s="379"/>
      <c r="AF2903" s="379"/>
      <c r="AG2903" s="379"/>
      <c r="AH2903" s="379"/>
      <c r="AI2903" s="379"/>
      <c r="AJ2903" s="379"/>
      <c r="AK2903" s="379"/>
      <c r="AL2903" s="379"/>
      <c r="AM2903" s="379"/>
      <c r="AN2903" s="379"/>
      <c r="AO2903" s="379"/>
      <c r="AP2903" s="379"/>
      <c r="AQ2903" s="379"/>
      <c r="AR2903" s="379"/>
      <c r="AS2903" s="379"/>
      <c r="AT2903" s="379"/>
      <c r="AU2903" s="379"/>
      <c r="AV2903" s="379"/>
      <c r="AW2903" s="379"/>
      <c r="AX2903" s="379"/>
      <c r="AY2903" s="379"/>
      <c r="AZ2903" s="379"/>
      <c r="BA2903" s="379"/>
      <c r="BB2903" s="379"/>
      <c r="BC2903" s="379"/>
      <c r="BD2903" s="379"/>
      <c r="BE2903" s="379"/>
      <c r="BF2903" s="379"/>
      <c r="BG2903" s="379"/>
      <c r="BH2903" s="379"/>
      <c r="BI2903" s="379"/>
      <c r="BJ2903" s="379"/>
      <c r="BK2903" s="379"/>
      <c r="BL2903" s="379"/>
      <c r="BM2903" s="379"/>
      <c r="BN2903" s="379"/>
      <c r="BO2903" s="379"/>
      <c r="BP2903" s="379"/>
      <c r="BQ2903" s="379"/>
      <c r="BR2903" s="379"/>
      <c r="BS2903" s="379"/>
      <c r="BT2903" s="379"/>
      <c r="BU2903" s="379"/>
      <c r="BV2903" s="379"/>
      <c r="BW2903" s="379"/>
      <c r="BX2903" s="379"/>
      <c r="BY2903" s="379"/>
      <c r="BZ2903" s="379"/>
      <c r="CA2903" s="281"/>
      <c r="CB2903" s="3" t="str">
        <f t="shared" si="521"/>
        <v>Riadok bude skrytý.</v>
      </c>
      <c r="CC2903" s="271" t="s">
        <v>832</v>
      </c>
      <c r="CW2903" s="30">
        <f t="shared" si="527"/>
        <v>1</v>
      </c>
      <c r="CX2903" s="30">
        <f t="shared" si="528"/>
        <v>0</v>
      </c>
      <c r="CZ2903" s="30">
        <f t="shared" si="523"/>
        <v>1</v>
      </c>
      <c r="DA2903" s="52">
        <f t="shared" si="529"/>
        <v>0</v>
      </c>
      <c r="DB2903" s="2">
        <f t="shared" si="524"/>
        <v>0</v>
      </c>
      <c r="DS2903" s="130">
        <f>SI!BY2903</f>
        <v>171</v>
      </c>
      <c r="DZ2903" s="131">
        <f>SI!BZ2903</f>
        <v>0</v>
      </c>
    </row>
    <row r="2904" spans="1:130" hidden="1" x14ac:dyDescent="0.25">
      <c r="A2904" s="141"/>
      <c r="B2904" s="379"/>
      <c r="C2904" s="379"/>
      <c r="D2904" s="379"/>
      <c r="E2904" s="379"/>
      <c r="F2904" s="379"/>
      <c r="G2904" s="379"/>
      <c r="H2904" s="379"/>
      <c r="I2904" s="379"/>
      <c r="J2904" s="379"/>
      <c r="K2904" s="379"/>
      <c r="L2904" s="379"/>
      <c r="M2904" s="379"/>
      <c r="N2904" s="379"/>
      <c r="O2904" s="379"/>
      <c r="P2904" s="379"/>
      <c r="Q2904" s="379"/>
      <c r="R2904" s="379"/>
      <c r="S2904" s="379"/>
      <c r="T2904" s="379"/>
      <c r="U2904" s="379"/>
      <c r="V2904" s="379"/>
      <c r="W2904" s="379"/>
      <c r="X2904" s="379"/>
      <c r="Y2904" s="379"/>
      <c r="Z2904" s="379"/>
      <c r="AA2904" s="379"/>
      <c r="AB2904" s="379"/>
      <c r="AC2904" s="379"/>
      <c r="AD2904" s="379"/>
      <c r="AE2904" s="379"/>
      <c r="AF2904" s="379"/>
      <c r="AG2904" s="379"/>
      <c r="AH2904" s="379"/>
      <c r="AI2904" s="379"/>
      <c r="AJ2904" s="379"/>
      <c r="AK2904" s="379"/>
      <c r="AL2904" s="379"/>
      <c r="AM2904" s="379"/>
      <c r="AN2904" s="379"/>
      <c r="AO2904" s="379"/>
      <c r="AP2904" s="379"/>
      <c r="AQ2904" s="379"/>
      <c r="AR2904" s="379"/>
      <c r="AS2904" s="379"/>
      <c r="AT2904" s="379"/>
      <c r="AU2904" s="379"/>
      <c r="AV2904" s="379"/>
      <c r="AW2904" s="379"/>
      <c r="AX2904" s="379"/>
      <c r="AY2904" s="379"/>
      <c r="AZ2904" s="379"/>
      <c r="BA2904" s="379"/>
      <c r="BB2904" s="379"/>
      <c r="BC2904" s="379"/>
      <c r="BD2904" s="379"/>
      <c r="BE2904" s="379"/>
      <c r="BF2904" s="379"/>
      <c r="BG2904" s="379"/>
      <c r="BH2904" s="379"/>
      <c r="BI2904" s="379"/>
      <c r="BJ2904" s="379"/>
      <c r="BK2904" s="379"/>
      <c r="BL2904" s="379"/>
      <c r="BM2904" s="379"/>
      <c r="BN2904" s="379"/>
      <c r="BO2904" s="379"/>
      <c r="BP2904" s="379"/>
      <c r="BQ2904" s="379"/>
      <c r="BR2904" s="379"/>
      <c r="BS2904" s="379"/>
      <c r="BT2904" s="379"/>
      <c r="BU2904" s="379"/>
      <c r="BV2904" s="379"/>
      <c r="BW2904" s="379"/>
      <c r="BX2904" s="379"/>
      <c r="BY2904" s="379"/>
      <c r="BZ2904" s="379"/>
      <c r="CA2904" s="281"/>
      <c r="CB2904" s="3" t="str">
        <f t="shared" si="521"/>
        <v>Riadok bude skrytý.</v>
      </c>
      <c r="CC2904" s="271" t="s">
        <v>832</v>
      </c>
      <c r="CW2904" s="30">
        <f t="shared" si="527"/>
        <v>1</v>
      </c>
      <c r="CX2904" s="30">
        <f t="shared" si="528"/>
        <v>0</v>
      </c>
      <c r="CZ2904" s="30">
        <f t="shared" si="523"/>
        <v>1</v>
      </c>
      <c r="DA2904" s="52">
        <f t="shared" si="529"/>
        <v>0</v>
      </c>
      <c r="DB2904" s="2">
        <f t="shared" si="524"/>
        <v>0</v>
      </c>
      <c r="DS2904" s="130">
        <f>SI!BY2904</f>
        <v>200</v>
      </c>
      <c r="DZ2904" s="131">
        <f>SI!BZ2904</f>
        <v>0</v>
      </c>
    </row>
    <row r="2905" spans="1:130" hidden="1" x14ac:dyDescent="0.25">
      <c r="A2905" s="141"/>
      <c r="B2905" s="379"/>
      <c r="C2905" s="379"/>
      <c r="D2905" s="379"/>
      <c r="E2905" s="379"/>
      <c r="F2905" s="379"/>
      <c r="G2905" s="379"/>
      <c r="H2905" s="379"/>
      <c r="I2905" s="379"/>
      <c r="J2905" s="379"/>
      <c r="K2905" s="379"/>
      <c r="L2905" s="379"/>
      <c r="M2905" s="379"/>
      <c r="N2905" s="379"/>
      <c r="O2905" s="379"/>
      <c r="P2905" s="379"/>
      <c r="Q2905" s="379"/>
      <c r="R2905" s="379"/>
      <c r="S2905" s="379"/>
      <c r="T2905" s="379"/>
      <c r="U2905" s="379"/>
      <c r="V2905" s="379"/>
      <c r="W2905" s="379"/>
      <c r="X2905" s="379"/>
      <c r="Y2905" s="379"/>
      <c r="Z2905" s="379"/>
      <c r="AA2905" s="379"/>
      <c r="AB2905" s="379"/>
      <c r="AC2905" s="379"/>
      <c r="AD2905" s="379"/>
      <c r="AE2905" s="379"/>
      <c r="AF2905" s="379"/>
      <c r="AG2905" s="379"/>
      <c r="AH2905" s="379"/>
      <c r="AI2905" s="379"/>
      <c r="AJ2905" s="379"/>
      <c r="AK2905" s="379"/>
      <c r="AL2905" s="379"/>
      <c r="AM2905" s="379"/>
      <c r="AN2905" s="379"/>
      <c r="AO2905" s="379"/>
      <c r="AP2905" s="379"/>
      <c r="AQ2905" s="379"/>
      <c r="AR2905" s="379"/>
      <c r="AS2905" s="379"/>
      <c r="AT2905" s="379"/>
      <c r="AU2905" s="379"/>
      <c r="AV2905" s="379"/>
      <c r="AW2905" s="379"/>
      <c r="AX2905" s="379"/>
      <c r="AY2905" s="379"/>
      <c r="AZ2905" s="379"/>
      <c r="BA2905" s="379"/>
      <c r="BB2905" s="379"/>
      <c r="BC2905" s="379"/>
      <c r="BD2905" s="379"/>
      <c r="BE2905" s="379"/>
      <c r="BF2905" s="379"/>
      <c r="BG2905" s="379"/>
      <c r="BH2905" s="379"/>
      <c r="BI2905" s="379"/>
      <c r="BJ2905" s="379"/>
      <c r="BK2905" s="379"/>
      <c r="BL2905" s="379"/>
      <c r="BM2905" s="379"/>
      <c r="BN2905" s="379"/>
      <c r="BO2905" s="379"/>
      <c r="BP2905" s="379"/>
      <c r="BQ2905" s="379"/>
      <c r="BR2905" s="379"/>
      <c r="BS2905" s="379"/>
      <c r="BT2905" s="379"/>
      <c r="BU2905" s="379"/>
      <c r="BV2905" s="379"/>
      <c r="BW2905" s="379"/>
      <c r="BX2905" s="379"/>
      <c r="BY2905" s="379"/>
      <c r="BZ2905" s="379"/>
      <c r="CA2905" s="281"/>
      <c r="CB2905" s="3" t="str">
        <f t="shared" si="521"/>
        <v>Riadok bude skrytý.</v>
      </c>
      <c r="CC2905" s="271" t="s">
        <v>832</v>
      </c>
      <c r="CW2905" s="30">
        <f t="shared" si="527"/>
        <v>1</v>
      </c>
      <c r="CX2905" s="30">
        <f t="shared" si="528"/>
        <v>0</v>
      </c>
      <c r="CZ2905" s="30">
        <f t="shared" si="523"/>
        <v>1</v>
      </c>
      <c r="DA2905" s="52">
        <f t="shared" si="529"/>
        <v>0</v>
      </c>
      <c r="DB2905" s="2">
        <f t="shared" si="524"/>
        <v>0</v>
      </c>
      <c r="DS2905" s="130">
        <f>SI!BY2905</f>
        <v>196</v>
      </c>
      <c r="DZ2905" s="131">
        <f>SI!BZ2905</f>
        <v>0</v>
      </c>
    </row>
    <row r="2906" spans="1:130" hidden="1" x14ac:dyDescent="0.25">
      <c r="A2906" s="141"/>
      <c r="B2906" s="379"/>
      <c r="C2906" s="379"/>
      <c r="D2906" s="379"/>
      <c r="E2906" s="379"/>
      <c r="F2906" s="379"/>
      <c r="G2906" s="379"/>
      <c r="H2906" s="379"/>
      <c r="I2906" s="379"/>
      <c r="J2906" s="379"/>
      <c r="K2906" s="379"/>
      <c r="L2906" s="379"/>
      <c r="M2906" s="379"/>
      <c r="N2906" s="379"/>
      <c r="O2906" s="379"/>
      <c r="P2906" s="379"/>
      <c r="Q2906" s="379"/>
      <c r="R2906" s="379"/>
      <c r="S2906" s="379"/>
      <c r="T2906" s="379"/>
      <c r="U2906" s="379"/>
      <c r="V2906" s="379"/>
      <c r="W2906" s="379"/>
      <c r="X2906" s="379"/>
      <c r="Y2906" s="379"/>
      <c r="Z2906" s="379"/>
      <c r="AA2906" s="379"/>
      <c r="AB2906" s="379"/>
      <c r="AC2906" s="379"/>
      <c r="AD2906" s="379"/>
      <c r="AE2906" s="379"/>
      <c r="AF2906" s="379"/>
      <c r="AG2906" s="379"/>
      <c r="AH2906" s="379"/>
      <c r="AI2906" s="379"/>
      <c r="AJ2906" s="379"/>
      <c r="AK2906" s="379"/>
      <c r="AL2906" s="379"/>
      <c r="AM2906" s="379"/>
      <c r="AN2906" s="379"/>
      <c r="AO2906" s="379"/>
      <c r="AP2906" s="379"/>
      <c r="AQ2906" s="379"/>
      <c r="AR2906" s="379"/>
      <c r="AS2906" s="379"/>
      <c r="AT2906" s="379"/>
      <c r="AU2906" s="379"/>
      <c r="AV2906" s="379"/>
      <c r="AW2906" s="379"/>
      <c r="AX2906" s="379"/>
      <c r="AY2906" s="379"/>
      <c r="AZ2906" s="379"/>
      <c r="BA2906" s="379"/>
      <c r="BB2906" s="379"/>
      <c r="BC2906" s="379"/>
      <c r="BD2906" s="379"/>
      <c r="BE2906" s="379"/>
      <c r="BF2906" s="379"/>
      <c r="BG2906" s="379"/>
      <c r="BH2906" s="379"/>
      <c r="BI2906" s="379"/>
      <c r="BJ2906" s="379"/>
      <c r="BK2906" s="379"/>
      <c r="BL2906" s="379"/>
      <c r="BM2906" s="379"/>
      <c r="BN2906" s="379"/>
      <c r="BO2906" s="379"/>
      <c r="BP2906" s="379"/>
      <c r="BQ2906" s="379"/>
      <c r="BR2906" s="379"/>
      <c r="BS2906" s="379"/>
      <c r="BT2906" s="379"/>
      <c r="BU2906" s="379"/>
      <c r="BV2906" s="379"/>
      <c r="BW2906" s="379"/>
      <c r="BX2906" s="379"/>
      <c r="BY2906" s="379"/>
      <c r="BZ2906" s="379"/>
      <c r="CA2906" s="281"/>
      <c r="CB2906" s="3" t="str">
        <f t="shared" si="521"/>
        <v>Riadok bude skrytý.</v>
      </c>
      <c r="CC2906" s="271" t="s">
        <v>832</v>
      </c>
      <c r="CW2906" s="30">
        <f t="shared" si="527"/>
        <v>1</v>
      </c>
      <c r="CX2906" s="30">
        <f t="shared" si="528"/>
        <v>0</v>
      </c>
      <c r="CZ2906" s="30">
        <f t="shared" si="523"/>
        <v>1</v>
      </c>
      <c r="DA2906" s="52">
        <f t="shared" si="529"/>
        <v>0</v>
      </c>
      <c r="DB2906" s="2">
        <f t="shared" si="524"/>
        <v>0</v>
      </c>
      <c r="DS2906" s="130">
        <f>SI!BY2906</f>
        <v>133</v>
      </c>
      <c r="DZ2906" s="131">
        <f>SI!BZ2906</f>
        <v>0</v>
      </c>
    </row>
    <row r="2907" spans="1:130" hidden="1" x14ac:dyDescent="0.25">
      <c r="A2907" s="141"/>
      <c r="B2907" s="379"/>
      <c r="C2907" s="379"/>
      <c r="D2907" s="379"/>
      <c r="E2907" s="379"/>
      <c r="F2907" s="379"/>
      <c r="G2907" s="379"/>
      <c r="H2907" s="379"/>
      <c r="I2907" s="379"/>
      <c r="J2907" s="379"/>
      <c r="K2907" s="379"/>
      <c r="L2907" s="379"/>
      <c r="M2907" s="379"/>
      <c r="N2907" s="379"/>
      <c r="O2907" s="379"/>
      <c r="P2907" s="379"/>
      <c r="Q2907" s="379"/>
      <c r="R2907" s="379"/>
      <c r="S2907" s="379"/>
      <c r="T2907" s="379"/>
      <c r="U2907" s="379"/>
      <c r="V2907" s="379"/>
      <c r="W2907" s="379"/>
      <c r="X2907" s="379"/>
      <c r="Y2907" s="379"/>
      <c r="Z2907" s="379"/>
      <c r="AA2907" s="379"/>
      <c r="AB2907" s="379"/>
      <c r="AC2907" s="379"/>
      <c r="AD2907" s="379"/>
      <c r="AE2907" s="379"/>
      <c r="AF2907" s="379"/>
      <c r="AG2907" s="379"/>
      <c r="AH2907" s="379"/>
      <c r="AI2907" s="379"/>
      <c r="AJ2907" s="379"/>
      <c r="AK2907" s="379"/>
      <c r="AL2907" s="379"/>
      <c r="AM2907" s="379"/>
      <c r="AN2907" s="379"/>
      <c r="AO2907" s="379"/>
      <c r="AP2907" s="379"/>
      <c r="AQ2907" s="379"/>
      <c r="AR2907" s="379"/>
      <c r="AS2907" s="379"/>
      <c r="AT2907" s="379"/>
      <c r="AU2907" s="379"/>
      <c r="AV2907" s="379"/>
      <c r="AW2907" s="379"/>
      <c r="AX2907" s="379"/>
      <c r="AY2907" s="379"/>
      <c r="AZ2907" s="379"/>
      <c r="BA2907" s="379"/>
      <c r="BB2907" s="379"/>
      <c r="BC2907" s="379"/>
      <c r="BD2907" s="379"/>
      <c r="BE2907" s="379"/>
      <c r="BF2907" s="379"/>
      <c r="BG2907" s="379"/>
      <c r="BH2907" s="379"/>
      <c r="BI2907" s="379"/>
      <c r="BJ2907" s="379"/>
      <c r="BK2907" s="379"/>
      <c r="BL2907" s="379"/>
      <c r="BM2907" s="379"/>
      <c r="BN2907" s="379"/>
      <c r="BO2907" s="379"/>
      <c r="BP2907" s="379"/>
      <c r="BQ2907" s="379"/>
      <c r="BR2907" s="379"/>
      <c r="BS2907" s="379"/>
      <c r="BT2907" s="379"/>
      <c r="BU2907" s="379"/>
      <c r="BV2907" s="379"/>
      <c r="BW2907" s="379"/>
      <c r="BX2907" s="379"/>
      <c r="BY2907" s="379"/>
      <c r="BZ2907" s="379"/>
      <c r="CA2907" s="281"/>
      <c r="CB2907" s="3" t="str">
        <f t="shared" si="521"/>
        <v>Riadok bude skrytý.</v>
      </c>
      <c r="CC2907" s="271" t="s">
        <v>832</v>
      </c>
      <c r="CW2907" s="30">
        <f t="shared" si="527"/>
        <v>1</v>
      </c>
      <c r="CX2907" s="30">
        <f t="shared" si="528"/>
        <v>0</v>
      </c>
      <c r="CZ2907" s="30">
        <f t="shared" si="523"/>
        <v>1</v>
      </c>
      <c r="DA2907" s="52">
        <f t="shared" si="529"/>
        <v>0</v>
      </c>
      <c r="DB2907" s="2">
        <f t="shared" si="524"/>
        <v>0</v>
      </c>
      <c r="DS2907" s="130">
        <f>SI!BY2907</f>
        <v>148</v>
      </c>
      <c r="DZ2907" s="131">
        <f>SI!BZ2907</f>
        <v>0</v>
      </c>
    </row>
    <row r="2908" spans="1:130" hidden="1" x14ac:dyDescent="0.25">
      <c r="A2908" s="141"/>
      <c r="B2908" s="379"/>
      <c r="C2908" s="379"/>
      <c r="D2908" s="379"/>
      <c r="E2908" s="379"/>
      <c r="F2908" s="379"/>
      <c r="G2908" s="379"/>
      <c r="H2908" s="379"/>
      <c r="I2908" s="379"/>
      <c r="J2908" s="379"/>
      <c r="K2908" s="379"/>
      <c r="L2908" s="379"/>
      <c r="M2908" s="379"/>
      <c r="N2908" s="379"/>
      <c r="O2908" s="379"/>
      <c r="P2908" s="379"/>
      <c r="Q2908" s="379"/>
      <c r="R2908" s="379"/>
      <c r="S2908" s="379"/>
      <c r="T2908" s="379"/>
      <c r="U2908" s="379"/>
      <c r="V2908" s="379"/>
      <c r="W2908" s="379"/>
      <c r="X2908" s="379"/>
      <c r="Y2908" s="379"/>
      <c r="Z2908" s="379"/>
      <c r="AA2908" s="379"/>
      <c r="AB2908" s="379"/>
      <c r="AC2908" s="379"/>
      <c r="AD2908" s="379"/>
      <c r="AE2908" s="379"/>
      <c r="AF2908" s="379"/>
      <c r="AG2908" s="379"/>
      <c r="AH2908" s="379"/>
      <c r="AI2908" s="379"/>
      <c r="AJ2908" s="379"/>
      <c r="AK2908" s="379"/>
      <c r="AL2908" s="379"/>
      <c r="AM2908" s="379"/>
      <c r="AN2908" s="379"/>
      <c r="AO2908" s="379"/>
      <c r="AP2908" s="379"/>
      <c r="AQ2908" s="379"/>
      <c r="AR2908" s="379"/>
      <c r="AS2908" s="379"/>
      <c r="AT2908" s="379"/>
      <c r="AU2908" s="379"/>
      <c r="AV2908" s="379"/>
      <c r="AW2908" s="379"/>
      <c r="AX2908" s="379"/>
      <c r="AY2908" s="379"/>
      <c r="AZ2908" s="379"/>
      <c r="BA2908" s="379"/>
      <c r="BB2908" s="379"/>
      <c r="BC2908" s="379"/>
      <c r="BD2908" s="379"/>
      <c r="BE2908" s="379"/>
      <c r="BF2908" s="379"/>
      <c r="BG2908" s="379"/>
      <c r="BH2908" s="379"/>
      <c r="BI2908" s="379"/>
      <c r="BJ2908" s="379"/>
      <c r="BK2908" s="379"/>
      <c r="BL2908" s="379"/>
      <c r="BM2908" s="379"/>
      <c r="BN2908" s="379"/>
      <c r="BO2908" s="379"/>
      <c r="BP2908" s="379"/>
      <c r="BQ2908" s="379"/>
      <c r="BR2908" s="379"/>
      <c r="BS2908" s="379"/>
      <c r="BT2908" s="379"/>
      <c r="BU2908" s="379"/>
      <c r="BV2908" s="379"/>
      <c r="BW2908" s="379"/>
      <c r="BX2908" s="379"/>
      <c r="BY2908" s="379"/>
      <c r="BZ2908" s="379"/>
      <c r="CA2908" s="281"/>
      <c r="CB2908" s="3" t="str">
        <f t="shared" si="521"/>
        <v>Riadok bude skrytý.</v>
      </c>
      <c r="CC2908" s="271" t="s">
        <v>832</v>
      </c>
      <c r="CW2908" s="30">
        <f t="shared" si="527"/>
        <v>1</v>
      </c>
      <c r="CX2908" s="30">
        <f t="shared" si="528"/>
        <v>0</v>
      </c>
      <c r="CZ2908" s="30">
        <f t="shared" si="523"/>
        <v>1</v>
      </c>
      <c r="DA2908" s="52">
        <f t="shared" si="529"/>
        <v>0</v>
      </c>
      <c r="DB2908" s="2">
        <f t="shared" si="524"/>
        <v>0</v>
      </c>
      <c r="DS2908" s="130">
        <f>SI!BY2908</f>
        <v>184</v>
      </c>
      <c r="DZ2908" s="131">
        <f>SI!BZ2908</f>
        <v>0</v>
      </c>
    </row>
    <row r="2909" spans="1:130" hidden="1" x14ac:dyDescent="0.25">
      <c r="A2909" s="141"/>
      <c r="B2909" s="379"/>
      <c r="C2909" s="379"/>
      <c r="D2909" s="379"/>
      <c r="E2909" s="379"/>
      <c r="F2909" s="379"/>
      <c r="G2909" s="379"/>
      <c r="H2909" s="379"/>
      <c r="I2909" s="379"/>
      <c r="J2909" s="379"/>
      <c r="K2909" s="379"/>
      <c r="L2909" s="379"/>
      <c r="M2909" s="379"/>
      <c r="N2909" s="379"/>
      <c r="O2909" s="379"/>
      <c r="P2909" s="379"/>
      <c r="Q2909" s="379"/>
      <c r="R2909" s="379"/>
      <c r="S2909" s="379"/>
      <c r="T2909" s="379"/>
      <c r="U2909" s="379"/>
      <c r="V2909" s="379"/>
      <c r="W2909" s="379"/>
      <c r="X2909" s="379"/>
      <c r="Y2909" s="379"/>
      <c r="Z2909" s="379"/>
      <c r="AA2909" s="379"/>
      <c r="AB2909" s="379"/>
      <c r="AC2909" s="379"/>
      <c r="AD2909" s="379"/>
      <c r="AE2909" s="379"/>
      <c r="AF2909" s="379"/>
      <c r="AG2909" s="379"/>
      <c r="AH2909" s="379"/>
      <c r="AI2909" s="379"/>
      <c r="AJ2909" s="379"/>
      <c r="AK2909" s="379"/>
      <c r="AL2909" s="379"/>
      <c r="AM2909" s="379"/>
      <c r="AN2909" s="379"/>
      <c r="AO2909" s="379"/>
      <c r="AP2909" s="379"/>
      <c r="AQ2909" s="379"/>
      <c r="AR2909" s="379"/>
      <c r="AS2909" s="379"/>
      <c r="AT2909" s="379"/>
      <c r="AU2909" s="379"/>
      <c r="AV2909" s="379"/>
      <c r="AW2909" s="379"/>
      <c r="AX2909" s="379"/>
      <c r="AY2909" s="379"/>
      <c r="AZ2909" s="379"/>
      <c r="BA2909" s="379"/>
      <c r="BB2909" s="379"/>
      <c r="BC2909" s="379"/>
      <c r="BD2909" s="379"/>
      <c r="BE2909" s="379"/>
      <c r="BF2909" s="379"/>
      <c r="BG2909" s="379"/>
      <c r="BH2909" s="379"/>
      <c r="BI2909" s="379"/>
      <c r="BJ2909" s="379"/>
      <c r="BK2909" s="379"/>
      <c r="BL2909" s="379"/>
      <c r="BM2909" s="379"/>
      <c r="BN2909" s="379"/>
      <c r="BO2909" s="379"/>
      <c r="BP2909" s="379"/>
      <c r="BQ2909" s="379"/>
      <c r="BR2909" s="379"/>
      <c r="BS2909" s="379"/>
      <c r="BT2909" s="379"/>
      <c r="BU2909" s="379"/>
      <c r="BV2909" s="379"/>
      <c r="BW2909" s="379"/>
      <c r="BX2909" s="379"/>
      <c r="BY2909" s="379"/>
      <c r="BZ2909" s="379"/>
      <c r="CA2909" s="281"/>
      <c r="CB2909" s="3" t="str">
        <f t="shared" si="521"/>
        <v>Riadok bude skrytý.</v>
      </c>
      <c r="CC2909" s="271" t="s">
        <v>832</v>
      </c>
      <c r="CW2909" s="30">
        <f t="shared" si="527"/>
        <v>1</v>
      </c>
      <c r="CX2909" s="30">
        <f t="shared" si="528"/>
        <v>0</v>
      </c>
      <c r="CZ2909" s="30">
        <f t="shared" si="523"/>
        <v>1</v>
      </c>
      <c r="DA2909" s="52">
        <f t="shared" si="529"/>
        <v>0</v>
      </c>
      <c r="DB2909" s="2">
        <f t="shared" si="524"/>
        <v>0</v>
      </c>
      <c r="DS2909" s="130">
        <f>SI!BY2909</f>
        <v>164</v>
      </c>
      <c r="DZ2909" s="131">
        <f>SI!BZ2909</f>
        <v>0</v>
      </c>
    </row>
    <row r="2910" spans="1:130" hidden="1" x14ac:dyDescent="0.25">
      <c r="A2910" s="141"/>
      <c r="B2910" s="379"/>
      <c r="C2910" s="379"/>
      <c r="D2910" s="379"/>
      <c r="E2910" s="379"/>
      <c r="F2910" s="379"/>
      <c r="G2910" s="379"/>
      <c r="H2910" s="379"/>
      <c r="I2910" s="379"/>
      <c r="J2910" s="379"/>
      <c r="K2910" s="379"/>
      <c r="L2910" s="379"/>
      <c r="M2910" s="379"/>
      <c r="N2910" s="379"/>
      <c r="O2910" s="379"/>
      <c r="P2910" s="379"/>
      <c r="Q2910" s="379"/>
      <c r="R2910" s="379"/>
      <c r="S2910" s="379"/>
      <c r="T2910" s="379"/>
      <c r="U2910" s="379"/>
      <c r="V2910" s="379"/>
      <c r="W2910" s="379"/>
      <c r="X2910" s="379"/>
      <c r="Y2910" s="379"/>
      <c r="Z2910" s="379"/>
      <c r="AA2910" s="379"/>
      <c r="AB2910" s="379"/>
      <c r="AC2910" s="379"/>
      <c r="AD2910" s="379"/>
      <c r="AE2910" s="379"/>
      <c r="AF2910" s="379"/>
      <c r="AG2910" s="379"/>
      <c r="AH2910" s="379"/>
      <c r="AI2910" s="379"/>
      <c r="AJ2910" s="379"/>
      <c r="AK2910" s="379"/>
      <c r="AL2910" s="379"/>
      <c r="AM2910" s="379"/>
      <c r="AN2910" s="379"/>
      <c r="AO2910" s="379"/>
      <c r="AP2910" s="379"/>
      <c r="AQ2910" s="379"/>
      <c r="AR2910" s="379"/>
      <c r="AS2910" s="379"/>
      <c r="AT2910" s="379"/>
      <c r="AU2910" s="379"/>
      <c r="AV2910" s="379"/>
      <c r="AW2910" s="379"/>
      <c r="AX2910" s="379"/>
      <c r="AY2910" s="379"/>
      <c r="AZ2910" s="379"/>
      <c r="BA2910" s="379"/>
      <c r="BB2910" s="379"/>
      <c r="BC2910" s="379"/>
      <c r="BD2910" s="379"/>
      <c r="BE2910" s="379"/>
      <c r="BF2910" s="379"/>
      <c r="BG2910" s="379"/>
      <c r="BH2910" s="379"/>
      <c r="BI2910" s="379"/>
      <c r="BJ2910" s="379"/>
      <c r="BK2910" s="379"/>
      <c r="BL2910" s="379"/>
      <c r="BM2910" s="379"/>
      <c r="BN2910" s="379"/>
      <c r="BO2910" s="379"/>
      <c r="BP2910" s="379"/>
      <c r="BQ2910" s="379"/>
      <c r="BR2910" s="379"/>
      <c r="BS2910" s="379"/>
      <c r="BT2910" s="379"/>
      <c r="BU2910" s="379"/>
      <c r="BV2910" s="379"/>
      <c r="BW2910" s="379"/>
      <c r="BX2910" s="379"/>
      <c r="BY2910" s="379"/>
      <c r="BZ2910" s="379"/>
      <c r="CA2910" s="281"/>
      <c r="CB2910" s="3" t="str">
        <f t="shared" si="521"/>
        <v>Riadok bude skrytý.</v>
      </c>
      <c r="CC2910" s="271" t="s">
        <v>832</v>
      </c>
      <c r="CW2910" s="30">
        <f t="shared" si="527"/>
        <v>1</v>
      </c>
      <c r="CX2910" s="30">
        <f t="shared" si="528"/>
        <v>0</v>
      </c>
      <c r="CZ2910" s="30">
        <f t="shared" si="523"/>
        <v>1</v>
      </c>
      <c r="DA2910" s="52">
        <f t="shared" si="529"/>
        <v>0</v>
      </c>
      <c r="DB2910" s="2">
        <f t="shared" si="524"/>
        <v>0</v>
      </c>
      <c r="DS2910" s="130">
        <f>SI!BY2910</f>
        <v>158</v>
      </c>
      <c r="DZ2910" s="131">
        <f>SI!BZ2910</f>
        <v>0</v>
      </c>
    </row>
    <row r="2911" spans="1:130" hidden="1" x14ac:dyDescent="0.25">
      <c r="A2911" s="141"/>
      <c r="B2911" s="379"/>
      <c r="C2911" s="379"/>
      <c r="D2911" s="379"/>
      <c r="E2911" s="379"/>
      <c r="F2911" s="379"/>
      <c r="G2911" s="379"/>
      <c r="H2911" s="379"/>
      <c r="I2911" s="379"/>
      <c r="J2911" s="379"/>
      <c r="K2911" s="379"/>
      <c r="L2911" s="379"/>
      <c r="M2911" s="379"/>
      <c r="N2911" s="379"/>
      <c r="O2911" s="379"/>
      <c r="P2911" s="379"/>
      <c r="Q2911" s="379"/>
      <c r="R2911" s="379"/>
      <c r="S2911" s="379"/>
      <c r="T2911" s="379"/>
      <c r="U2911" s="379"/>
      <c r="V2911" s="379"/>
      <c r="W2911" s="379"/>
      <c r="X2911" s="379"/>
      <c r="Y2911" s="379"/>
      <c r="Z2911" s="379"/>
      <c r="AA2911" s="379"/>
      <c r="AB2911" s="379"/>
      <c r="AC2911" s="379"/>
      <c r="AD2911" s="379"/>
      <c r="AE2911" s="379"/>
      <c r="AF2911" s="379"/>
      <c r="AG2911" s="379"/>
      <c r="AH2911" s="379"/>
      <c r="AI2911" s="379"/>
      <c r="AJ2911" s="379"/>
      <c r="AK2911" s="379"/>
      <c r="AL2911" s="379"/>
      <c r="AM2911" s="379"/>
      <c r="AN2911" s="379"/>
      <c r="AO2911" s="379"/>
      <c r="AP2911" s="379"/>
      <c r="AQ2911" s="379"/>
      <c r="AR2911" s="379"/>
      <c r="AS2911" s="379"/>
      <c r="AT2911" s="379"/>
      <c r="AU2911" s="379"/>
      <c r="AV2911" s="379"/>
      <c r="AW2911" s="379"/>
      <c r="AX2911" s="379"/>
      <c r="AY2911" s="379"/>
      <c r="AZ2911" s="379"/>
      <c r="BA2911" s="379"/>
      <c r="BB2911" s="379"/>
      <c r="BC2911" s="379"/>
      <c r="BD2911" s="379"/>
      <c r="BE2911" s="379"/>
      <c r="BF2911" s="379"/>
      <c r="BG2911" s="379"/>
      <c r="BH2911" s="379"/>
      <c r="BI2911" s="379"/>
      <c r="BJ2911" s="379"/>
      <c r="BK2911" s="379"/>
      <c r="BL2911" s="379"/>
      <c r="BM2911" s="379"/>
      <c r="BN2911" s="379"/>
      <c r="BO2911" s="379"/>
      <c r="BP2911" s="379"/>
      <c r="BQ2911" s="379"/>
      <c r="BR2911" s="379"/>
      <c r="BS2911" s="379"/>
      <c r="BT2911" s="379"/>
      <c r="BU2911" s="379"/>
      <c r="BV2911" s="379"/>
      <c r="BW2911" s="379"/>
      <c r="BX2911" s="379"/>
      <c r="BY2911" s="379"/>
      <c r="BZ2911" s="379"/>
      <c r="CA2911" s="281"/>
      <c r="CB2911" s="3" t="str">
        <f t="shared" si="521"/>
        <v>Riadok bude skrytý.</v>
      </c>
      <c r="CC2911" s="271" t="s">
        <v>832</v>
      </c>
      <c r="CW2911" s="30">
        <f t="shared" si="527"/>
        <v>1</v>
      </c>
      <c r="CX2911" s="30">
        <f t="shared" si="528"/>
        <v>0</v>
      </c>
      <c r="CZ2911" s="30">
        <f t="shared" si="523"/>
        <v>1</v>
      </c>
      <c r="DA2911" s="52">
        <f t="shared" si="529"/>
        <v>0</v>
      </c>
      <c r="DB2911" s="2">
        <f t="shared" si="524"/>
        <v>0</v>
      </c>
      <c r="DS2911" s="130">
        <f>SI!BY2911</f>
        <v>180</v>
      </c>
      <c r="DZ2911" s="131">
        <f>SI!BZ2911</f>
        <v>0</v>
      </c>
    </row>
    <row r="2912" spans="1:130" hidden="1" x14ac:dyDescent="0.25">
      <c r="A2912" s="141"/>
      <c r="B2912" s="379"/>
      <c r="C2912" s="379"/>
      <c r="D2912" s="379"/>
      <c r="E2912" s="379"/>
      <c r="F2912" s="379"/>
      <c r="G2912" s="379"/>
      <c r="H2912" s="379"/>
      <c r="I2912" s="379"/>
      <c r="J2912" s="379"/>
      <c r="K2912" s="379"/>
      <c r="L2912" s="379"/>
      <c r="M2912" s="379"/>
      <c r="N2912" s="379"/>
      <c r="O2912" s="379"/>
      <c r="P2912" s="379"/>
      <c r="Q2912" s="379"/>
      <c r="R2912" s="379"/>
      <c r="S2912" s="379"/>
      <c r="T2912" s="379"/>
      <c r="U2912" s="379"/>
      <c r="V2912" s="379"/>
      <c r="W2912" s="379"/>
      <c r="X2912" s="379"/>
      <c r="Y2912" s="379"/>
      <c r="Z2912" s="379"/>
      <c r="AA2912" s="379"/>
      <c r="AB2912" s="379"/>
      <c r="AC2912" s="379"/>
      <c r="AD2912" s="379"/>
      <c r="AE2912" s="379"/>
      <c r="AF2912" s="379"/>
      <c r="AG2912" s="379"/>
      <c r="AH2912" s="379"/>
      <c r="AI2912" s="379"/>
      <c r="AJ2912" s="379"/>
      <c r="AK2912" s="379"/>
      <c r="AL2912" s="379"/>
      <c r="AM2912" s="379"/>
      <c r="AN2912" s="379"/>
      <c r="AO2912" s="379"/>
      <c r="AP2912" s="379"/>
      <c r="AQ2912" s="379"/>
      <c r="AR2912" s="379"/>
      <c r="AS2912" s="379"/>
      <c r="AT2912" s="379"/>
      <c r="AU2912" s="379"/>
      <c r="AV2912" s="379"/>
      <c r="AW2912" s="379"/>
      <c r="AX2912" s="379"/>
      <c r="AY2912" s="379"/>
      <c r="AZ2912" s="379"/>
      <c r="BA2912" s="379"/>
      <c r="BB2912" s="379"/>
      <c r="BC2912" s="379"/>
      <c r="BD2912" s="379"/>
      <c r="BE2912" s="379"/>
      <c r="BF2912" s="379"/>
      <c r="BG2912" s="379"/>
      <c r="BH2912" s="379"/>
      <c r="BI2912" s="379"/>
      <c r="BJ2912" s="379"/>
      <c r="BK2912" s="379"/>
      <c r="BL2912" s="379"/>
      <c r="BM2912" s="379"/>
      <c r="BN2912" s="379"/>
      <c r="BO2912" s="379"/>
      <c r="BP2912" s="379"/>
      <c r="BQ2912" s="379"/>
      <c r="BR2912" s="379"/>
      <c r="BS2912" s="379"/>
      <c r="BT2912" s="379"/>
      <c r="BU2912" s="379"/>
      <c r="BV2912" s="379"/>
      <c r="BW2912" s="379"/>
      <c r="BX2912" s="379"/>
      <c r="BY2912" s="379"/>
      <c r="BZ2912" s="379"/>
      <c r="CA2912" s="281"/>
      <c r="CB2912" s="3" t="str">
        <f t="shared" si="521"/>
        <v>Riadok bude skrytý.</v>
      </c>
      <c r="CC2912" s="271" t="s">
        <v>832</v>
      </c>
      <c r="CW2912" s="30">
        <f t="shared" si="527"/>
        <v>1</v>
      </c>
      <c r="CX2912" s="30">
        <f t="shared" si="528"/>
        <v>0</v>
      </c>
      <c r="CZ2912" s="30">
        <f t="shared" si="523"/>
        <v>1</v>
      </c>
      <c r="DA2912" s="52">
        <f t="shared" si="529"/>
        <v>0</v>
      </c>
      <c r="DB2912" s="2">
        <f t="shared" si="524"/>
        <v>0</v>
      </c>
      <c r="DS2912" s="130">
        <f>SI!BY2912</f>
        <v>196</v>
      </c>
      <c r="DZ2912" s="131">
        <f>SI!BZ2912</f>
        <v>0</v>
      </c>
    </row>
    <row r="2913" spans="1:130" hidden="1" x14ac:dyDescent="0.25">
      <c r="A2913" s="141"/>
      <c r="B2913" s="379"/>
      <c r="C2913" s="379"/>
      <c r="D2913" s="379"/>
      <c r="E2913" s="379"/>
      <c r="F2913" s="379"/>
      <c r="G2913" s="379"/>
      <c r="H2913" s="379"/>
      <c r="I2913" s="379"/>
      <c r="J2913" s="379"/>
      <c r="K2913" s="379"/>
      <c r="L2913" s="379"/>
      <c r="M2913" s="379"/>
      <c r="N2913" s="379"/>
      <c r="O2913" s="379"/>
      <c r="P2913" s="379"/>
      <c r="Q2913" s="379"/>
      <c r="R2913" s="379"/>
      <c r="S2913" s="379"/>
      <c r="T2913" s="379"/>
      <c r="U2913" s="379"/>
      <c r="V2913" s="379"/>
      <c r="W2913" s="379"/>
      <c r="X2913" s="379"/>
      <c r="Y2913" s="379"/>
      <c r="Z2913" s="379"/>
      <c r="AA2913" s="379"/>
      <c r="AB2913" s="379"/>
      <c r="AC2913" s="379"/>
      <c r="AD2913" s="379"/>
      <c r="AE2913" s="379"/>
      <c r="AF2913" s="379"/>
      <c r="AG2913" s="379"/>
      <c r="AH2913" s="379"/>
      <c r="AI2913" s="379"/>
      <c r="AJ2913" s="379"/>
      <c r="AK2913" s="379"/>
      <c r="AL2913" s="379"/>
      <c r="AM2913" s="379"/>
      <c r="AN2913" s="379"/>
      <c r="AO2913" s="379"/>
      <c r="AP2913" s="379"/>
      <c r="AQ2913" s="379"/>
      <c r="AR2913" s="379"/>
      <c r="AS2913" s="379"/>
      <c r="AT2913" s="379"/>
      <c r="AU2913" s="379"/>
      <c r="AV2913" s="379"/>
      <c r="AW2913" s="379"/>
      <c r="AX2913" s="379"/>
      <c r="AY2913" s="379"/>
      <c r="AZ2913" s="379"/>
      <c r="BA2913" s="379"/>
      <c r="BB2913" s="379"/>
      <c r="BC2913" s="379"/>
      <c r="BD2913" s="379"/>
      <c r="BE2913" s="379"/>
      <c r="BF2913" s="379"/>
      <c r="BG2913" s="379"/>
      <c r="BH2913" s="379"/>
      <c r="BI2913" s="379"/>
      <c r="BJ2913" s="379"/>
      <c r="BK2913" s="379"/>
      <c r="BL2913" s="379"/>
      <c r="BM2913" s="379"/>
      <c r="BN2913" s="379"/>
      <c r="BO2913" s="379"/>
      <c r="BP2913" s="379"/>
      <c r="BQ2913" s="379"/>
      <c r="BR2913" s="379"/>
      <c r="BS2913" s="379"/>
      <c r="BT2913" s="379"/>
      <c r="BU2913" s="379"/>
      <c r="BV2913" s="379"/>
      <c r="BW2913" s="379"/>
      <c r="BX2913" s="379"/>
      <c r="BY2913" s="379"/>
      <c r="BZ2913" s="379"/>
      <c r="CA2913" s="281"/>
      <c r="CB2913" s="3" t="str">
        <f t="shared" si="521"/>
        <v>Riadok bude skrytý.</v>
      </c>
      <c r="CC2913" s="271" t="s">
        <v>832</v>
      </c>
      <c r="CW2913" s="30">
        <f t="shared" si="527"/>
        <v>1</v>
      </c>
      <c r="CX2913" s="30">
        <f t="shared" si="528"/>
        <v>0</v>
      </c>
      <c r="CZ2913" s="30">
        <f t="shared" si="523"/>
        <v>1</v>
      </c>
      <c r="DA2913" s="52">
        <f t="shared" si="529"/>
        <v>0</v>
      </c>
      <c r="DB2913" s="2">
        <f t="shared" si="524"/>
        <v>0</v>
      </c>
      <c r="DS2913" s="130">
        <f>SI!BY2913</f>
        <v>149</v>
      </c>
      <c r="DZ2913" s="131">
        <f>SI!BZ2913</f>
        <v>0</v>
      </c>
    </row>
    <row r="2914" spans="1:130" hidden="1" x14ac:dyDescent="0.25">
      <c r="A2914" s="141"/>
      <c r="CA2914" s="270"/>
      <c r="CB2914" s="3" t="str">
        <f t="shared" si="521"/>
        <v>Riadok bude skrytý.</v>
      </c>
      <c r="CC2914" s="271" t="s">
        <v>832</v>
      </c>
      <c r="CW2914" s="30">
        <f t="shared" si="527"/>
        <v>1</v>
      </c>
      <c r="CZ2914" s="30">
        <f t="shared" si="523"/>
        <v>1</v>
      </c>
      <c r="DA2914" s="30">
        <f t="shared" ref="DA2914:DA2978" si="530">+IF(CW2914+CX2914+CY2914=0,0,IF(CZ2914=0,0,1))</f>
        <v>1</v>
      </c>
      <c r="DB2914" s="2">
        <f t="shared" si="524"/>
        <v>0</v>
      </c>
      <c r="DS2914" s="130">
        <f>SI!BY2914</f>
        <v>121</v>
      </c>
      <c r="DZ2914" s="131">
        <f>SI!BZ2914</f>
        <v>0</v>
      </c>
    </row>
    <row r="2915" spans="1:130" hidden="1" x14ac:dyDescent="0.25">
      <c r="A2915" s="141"/>
      <c r="B2915" s="137" t="str">
        <f>+IF($G$52&lt;&gt;"",IF(ROUNDDOWN(CODE(MID($G$52,1,1))*2,0)*(IF(SI!EE2915="",1,SI!EE2915-2-1))+(LEN(SI!J2)+LEN(SI!J3))=DS2915,"Výpočet odloženej dane z príjmu je uvedený v nasledujúcej  tabuľke.","NEPOVOLENÉ POUŽITIE!"),"NEPOVOLENÉ POUŽITIE!")</f>
        <v>Výpočet odloženej dane z príjmu je uvedený v nasledujúcej  tabuľke.</v>
      </c>
      <c r="CA2915" s="265" t="s">
        <v>773</v>
      </c>
      <c r="CB2915" s="3" t="str">
        <f t="shared" si="521"/>
        <v>Riadok bude skrytý.</v>
      </c>
      <c r="CC2915" s="271" t="s">
        <v>832</v>
      </c>
      <c r="CW2915" s="30">
        <f t="shared" si="527"/>
        <v>1</v>
      </c>
      <c r="CZ2915" s="30">
        <f t="shared" si="523"/>
        <v>1</v>
      </c>
      <c r="DA2915" s="30">
        <f t="shared" si="530"/>
        <v>1</v>
      </c>
      <c r="DB2915" s="2">
        <f t="shared" si="524"/>
        <v>0</v>
      </c>
      <c r="DS2915" s="130">
        <f>SI!BY2915</f>
        <v>18</v>
      </c>
      <c r="DZ2915" s="131">
        <f>SI!BZ2915</f>
        <v>0</v>
      </c>
    </row>
    <row r="2916" spans="1:130" hidden="1" x14ac:dyDescent="0.25">
      <c r="A2916" s="141"/>
      <c r="CA2916" s="270"/>
      <c r="CB2916" s="3" t="str">
        <f t="shared" si="521"/>
        <v>Riadok bude skrytý.</v>
      </c>
      <c r="CC2916" s="271" t="s">
        <v>832</v>
      </c>
      <c r="CW2916" s="30">
        <f t="shared" si="527"/>
        <v>1</v>
      </c>
      <c r="CZ2916" s="30">
        <f t="shared" si="523"/>
        <v>1</v>
      </c>
      <c r="DA2916" s="30">
        <f t="shared" si="530"/>
        <v>1</v>
      </c>
      <c r="DB2916" s="2">
        <f t="shared" si="524"/>
        <v>0</v>
      </c>
      <c r="DS2916" s="130">
        <f>SI!BY2916</f>
        <v>13</v>
      </c>
      <c r="DZ2916" s="131">
        <f>SI!BZ2916</f>
        <v>0</v>
      </c>
    </row>
    <row r="2917" spans="1:130" ht="14.95" hidden="1" customHeight="1" x14ac:dyDescent="0.25">
      <c r="A2917" s="141"/>
      <c r="B2917" s="439" t="s">
        <v>171</v>
      </c>
      <c r="C2917" s="440"/>
      <c r="D2917" s="440"/>
      <c r="E2917" s="440"/>
      <c r="F2917" s="440"/>
      <c r="G2917" s="440"/>
      <c r="H2917" s="440"/>
      <c r="I2917" s="440"/>
      <c r="J2917" s="440"/>
      <c r="K2917" s="440"/>
      <c r="L2917" s="440"/>
      <c r="M2917" s="440"/>
      <c r="N2917" s="440"/>
      <c r="O2917" s="440"/>
      <c r="P2917" s="440"/>
      <c r="Q2917" s="440"/>
      <c r="R2917" s="440"/>
      <c r="S2917" s="440"/>
      <c r="T2917" s="440"/>
      <c r="U2917" s="440"/>
      <c r="V2917" s="440"/>
      <c r="W2917" s="440"/>
      <c r="X2917" s="440"/>
      <c r="Y2917" s="440"/>
      <c r="Z2917" s="440"/>
      <c r="AA2917" s="441"/>
      <c r="AB2917" s="636" t="s">
        <v>948</v>
      </c>
      <c r="AC2917" s="637"/>
      <c r="AD2917" s="637"/>
      <c r="AE2917" s="637"/>
      <c r="AF2917" s="637"/>
      <c r="AG2917" s="637"/>
      <c r="AH2917" s="637"/>
      <c r="AI2917" s="637"/>
      <c r="AJ2917" s="637"/>
      <c r="AK2917" s="637"/>
      <c r="AL2917" s="637"/>
      <c r="AM2917" s="637"/>
      <c r="AN2917" s="637"/>
      <c r="AO2917" s="637"/>
      <c r="AP2917" s="637"/>
      <c r="AQ2917" s="637"/>
      <c r="AR2917" s="637"/>
      <c r="AS2917" s="637"/>
      <c r="AT2917" s="637"/>
      <c r="AU2917" s="637"/>
      <c r="AV2917" s="637"/>
      <c r="AW2917" s="637"/>
      <c r="AX2917" s="637"/>
      <c r="AY2917" s="637"/>
      <c r="AZ2917" s="637"/>
      <c r="BA2917" s="638"/>
      <c r="BB2917" s="636" t="s">
        <v>949</v>
      </c>
      <c r="BC2917" s="637"/>
      <c r="BD2917" s="637"/>
      <c r="BE2917" s="637"/>
      <c r="BF2917" s="637"/>
      <c r="BG2917" s="637"/>
      <c r="BH2917" s="637"/>
      <c r="BI2917" s="637"/>
      <c r="BJ2917" s="637"/>
      <c r="BK2917" s="637"/>
      <c r="BL2917" s="637"/>
      <c r="BM2917" s="637"/>
      <c r="BN2917" s="637"/>
      <c r="BO2917" s="637"/>
      <c r="BP2917" s="637"/>
      <c r="BQ2917" s="637"/>
      <c r="BR2917" s="637"/>
      <c r="BS2917" s="637"/>
      <c r="BT2917" s="637"/>
      <c r="BU2917" s="637"/>
      <c r="BV2917" s="637"/>
      <c r="BW2917" s="637"/>
      <c r="BX2917" s="637"/>
      <c r="BY2917" s="637"/>
      <c r="BZ2917" s="638"/>
      <c r="CA2917" s="265" t="s">
        <v>773</v>
      </c>
      <c r="CB2917" s="3" t="str">
        <f t="shared" si="521"/>
        <v>Riadok bude skrytý.</v>
      </c>
      <c r="CC2917" s="271" t="s">
        <v>832</v>
      </c>
      <c r="CD2917" s="4"/>
      <c r="CW2917" s="30">
        <f t="shared" si="527"/>
        <v>1</v>
      </c>
      <c r="CZ2917" s="30">
        <f t="shared" si="523"/>
        <v>1</v>
      </c>
      <c r="DA2917" s="30">
        <f t="shared" si="530"/>
        <v>1</v>
      </c>
      <c r="DB2917" s="2">
        <f t="shared" si="524"/>
        <v>0</v>
      </c>
      <c r="DS2917" s="130">
        <f>SI!BY2917</f>
        <v>189</v>
      </c>
      <c r="DZ2917" s="131">
        <f>SI!BZ2917</f>
        <v>0</v>
      </c>
    </row>
    <row r="2918" spans="1:130" hidden="1" x14ac:dyDescent="0.25">
      <c r="A2918" s="141"/>
      <c r="B2918" s="442"/>
      <c r="C2918" s="443"/>
      <c r="D2918" s="443"/>
      <c r="E2918" s="443"/>
      <c r="F2918" s="443"/>
      <c r="G2918" s="443"/>
      <c r="H2918" s="443"/>
      <c r="I2918" s="443"/>
      <c r="J2918" s="443"/>
      <c r="K2918" s="443"/>
      <c r="L2918" s="443"/>
      <c r="M2918" s="443"/>
      <c r="N2918" s="443"/>
      <c r="O2918" s="443"/>
      <c r="P2918" s="443"/>
      <c r="Q2918" s="443"/>
      <c r="R2918" s="443"/>
      <c r="S2918" s="443"/>
      <c r="T2918" s="443"/>
      <c r="U2918" s="443"/>
      <c r="V2918" s="443"/>
      <c r="W2918" s="443"/>
      <c r="X2918" s="443"/>
      <c r="Y2918" s="443"/>
      <c r="Z2918" s="443"/>
      <c r="AA2918" s="444"/>
      <c r="AB2918" s="639">
        <f>+AJ141</f>
        <v>2021</v>
      </c>
      <c r="AC2918" s="640"/>
      <c r="AD2918" s="640"/>
      <c r="AE2918" s="640"/>
      <c r="AF2918" s="640"/>
      <c r="AG2918" s="640"/>
      <c r="AH2918" s="640"/>
      <c r="AI2918" s="640"/>
      <c r="AJ2918" s="640"/>
      <c r="AK2918" s="640"/>
      <c r="AL2918" s="640"/>
      <c r="AM2918" s="640"/>
      <c r="AN2918" s="640"/>
      <c r="AO2918" s="640"/>
      <c r="AP2918" s="640"/>
      <c r="AQ2918" s="640"/>
      <c r="AR2918" s="640"/>
      <c r="AS2918" s="640"/>
      <c r="AT2918" s="640"/>
      <c r="AU2918" s="640"/>
      <c r="AV2918" s="640"/>
      <c r="AW2918" s="640"/>
      <c r="AX2918" s="640"/>
      <c r="AY2918" s="640"/>
      <c r="AZ2918" s="640"/>
      <c r="BA2918" s="641"/>
      <c r="BB2918" s="495">
        <f>+BE141</f>
        <v>2020</v>
      </c>
      <c r="BC2918" s="496"/>
      <c r="BD2918" s="496"/>
      <c r="BE2918" s="496"/>
      <c r="BF2918" s="496"/>
      <c r="BG2918" s="496"/>
      <c r="BH2918" s="496"/>
      <c r="BI2918" s="496"/>
      <c r="BJ2918" s="496"/>
      <c r="BK2918" s="496"/>
      <c r="BL2918" s="496"/>
      <c r="BM2918" s="496"/>
      <c r="BN2918" s="496"/>
      <c r="BO2918" s="496"/>
      <c r="BP2918" s="496"/>
      <c r="BQ2918" s="496"/>
      <c r="BR2918" s="496"/>
      <c r="BS2918" s="496"/>
      <c r="BT2918" s="496"/>
      <c r="BU2918" s="496"/>
      <c r="BV2918" s="496"/>
      <c r="BW2918" s="496"/>
      <c r="BX2918" s="496"/>
      <c r="BY2918" s="496"/>
      <c r="BZ2918" s="497"/>
      <c r="CA2918" s="270"/>
      <c r="CB2918" s="3" t="str">
        <f t="shared" si="521"/>
        <v>Riadok bude skrytý.</v>
      </c>
      <c r="CC2918" s="271" t="s">
        <v>832</v>
      </c>
      <c r="CW2918" s="30">
        <f t="shared" si="527"/>
        <v>1</v>
      </c>
      <c r="CZ2918" s="30">
        <f t="shared" si="523"/>
        <v>1</v>
      </c>
      <c r="DA2918" s="30">
        <f t="shared" si="530"/>
        <v>1</v>
      </c>
      <c r="DB2918" s="2">
        <f t="shared" si="524"/>
        <v>0</v>
      </c>
      <c r="DS2918" s="130">
        <f>SI!BY2918</f>
        <v>173</v>
      </c>
      <c r="DZ2918" s="131">
        <f>SI!BZ2918</f>
        <v>0</v>
      </c>
    </row>
    <row r="2919" spans="1:130" ht="26.35" hidden="1" customHeight="1" x14ac:dyDescent="0.25">
      <c r="A2919" s="141"/>
      <c r="B2919" s="2020" t="s">
        <v>273</v>
      </c>
      <c r="C2919" s="2021"/>
      <c r="D2919" s="2021"/>
      <c r="E2919" s="2021"/>
      <c r="F2919" s="2021"/>
      <c r="G2919" s="2021"/>
      <c r="H2919" s="2021"/>
      <c r="I2919" s="2021"/>
      <c r="J2919" s="2021"/>
      <c r="K2919" s="2021"/>
      <c r="L2919" s="2021"/>
      <c r="M2919" s="2021"/>
      <c r="N2919" s="2021"/>
      <c r="O2919" s="2021"/>
      <c r="P2919" s="2021"/>
      <c r="Q2919" s="2021"/>
      <c r="R2919" s="2021"/>
      <c r="S2919" s="2021"/>
      <c r="T2919" s="2021"/>
      <c r="U2919" s="2021"/>
      <c r="V2919" s="2021"/>
      <c r="W2919" s="2021"/>
      <c r="X2919" s="2021"/>
      <c r="Y2919" s="2021"/>
      <c r="Z2919" s="2021"/>
      <c r="AA2919" s="2022"/>
      <c r="AB2919" s="411">
        <f>+SUM(AB2920:BA2921)</f>
        <v>0</v>
      </c>
      <c r="AC2919" s="412"/>
      <c r="AD2919" s="412"/>
      <c r="AE2919" s="412"/>
      <c r="AF2919" s="412"/>
      <c r="AG2919" s="412"/>
      <c r="AH2919" s="412"/>
      <c r="AI2919" s="412"/>
      <c r="AJ2919" s="412"/>
      <c r="AK2919" s="412"/>
      <c r="AL2919" s="412"/>
      <c r="AM2919" s="412"/>
      <c r="AN2919" s="412"/>
      <c r="AO2919" s="412"/>
      <c r="AP2919" s="412"/>
      <c r="AQ2919" s="412"/>
      <c r="AR2919" s="412"/>
      <c r="AS2919" s="412"/>
      <c r="AT2919" s="412"/>
      <c r="AU2919" s="412"/>
      <c r="AV2919" s="412"/>
      <c r="AW2919" s="412"/>
      <c r="AX2919" s="412"/>
      <c r="AY2919" s="412"/>
      <c r="AZ2919" s="412"/>
      <c r="BA2919" s="477"/>
      <c r="BB2919" s="411">
        <f>+SUM(BB2920:BZ2921)</f>
        <v>0</v>
      </c>
      <c r="BC2919" s="412"/>
      <c r="BD2919" s="412"/>
      <c r="BE2919" s="412"/>
      <c r="BF2919" s="412"/>
      <c r="BG2919" s="412"/>
      <c r="BH2919" s="412"/>
      <c r="BI2919" s="412"/>
      <c r="BJ2919" s="412"/>
      <c r="BK2919" s="412"/>
      <c r="BL2919" s="412"/>
      <c r="BM2919" s="412"/>
      <c r="BN2919" s="412"/>
      <c r="BO2919" s="412"/>
      <c r="BP2919" s="412"/>
      <c r="BQ2919" s="412"/>
      <c r="BR2919" s="412"/>
      <c r="BS2919" s="412"/>
      <c r="BT2919" s="412"/>
      <c r="BU2919" s="412"/>
      <c r="BV2919" s="412"/>
      <c r="BW2919" s="412"/>
      <c r="BX2919" s="412"/>
      <c r="BY2919" s="412"/>
      <c r="BZ2919" s="413"/>
      <c r="CA2919" s="270"/>
      <c r="CB2919" s="3" t="str">
        <f t="shared" si="521"/>
        <v>Riadok bude skrytý.</v>
      </c>
      <c r="CC2919" s="271" t="s">
        <v>832</v>
      </c>
      <c r="CW2919" s="30">
        <f t="shared" si="527"/>
        <v>1</v>
      </c>
      <c r="CZ2919" s="30">
        <f t="shared" si="523"/>
        <v>1</v>
      </c>
      <c r="DA2919" s="30">
        <f t="shared" si="530"/>
        <v>1</v>
      </c>
      <c r="DB2919" s="2">
        <f t="shared" si="524"/>
        <v>0</v>
      </c>
      <c r="DS2919" s="130">
        <f>SI!BY2919</f>
        <v>177</v>
      </c>
      <c r="DZ2919" s="131">
        <f>SI!BZ2919</f>
        <v>0</v>
      </c>
    </row>
    <row r="2920" spans="1:130" ht="16.5" hidden="1" customHeight="1" x14ac:dyDescent="0.25">
      <c r="A2920" s="141"/>
      <c r="B2920" s="451" t="s">
        <v>274</v>
      </c>
      <c r="C2920" s="452"/>
      <c r="D2920" s="452"/>
      <c r="E2920" s="452"/>
      <c r="F2920" s="452"/>
      <c r="G2920" s="452"/>
      <c r="H2920" s="452"/>
      <c r="I2920" s="452"/>
      <c r="J2920" s="452"/>
      <c r="K2920" s="452"/>
      <c r="L2920" s="452"/>
      <c r="M2920" s="452"/>
      <c r="N2920" s="452"/>
      <c r="O2920" s="452"/>
      <c r="P2920" s="452"/>
      <c r="Q2920" s="452"/>
      <c r="R2920" s="452"/>
      <c r="S2920" s="452"/>
      <c r="T2920" s="452"/>
      <c r="U2920" s="452"/>
      <c r="V2920" s="452"/>
      <c r="W2920" s="452"/>
      <c r="X2920" s="452"/>
      <c r="Y2920" s="452"/>
      <c r="Z2920" s="452"/>
      <c r="AA2920" s="452"/>
      <c r="AB2920" s="535"/>
      <c r="AC2920" s="536"/>
      <c r="AD2920" s="536"/>
      <c r="AE2920" s="536"/>
      <c r="AF2920" s="536"/>
      <c r="AG2920" s="536"/>
      <c r="AH2920" s="536"/>
      <c r="AI2920" s="536"/>
      <c r="AJ2920" s="536"/>
      <c r="AK2920" s="536"/>
      <c r="AL2920" s="536"/>
      <c r="AM2920" s="536"/>
      <c r="AN2920" s="536"/>
      <c r="AO2920" s="536"/>
      <c r="AP2920" s="536"/>
      <c r="AQ2920" s="536"/>
      <c r="AR2920" s="536"/>
      <c r="AS2920" s="536"/>
      <c r="AT2920" s="536"/>
      <c r="AU2920" s="536"/>
      <c r="AV2920" s="536"/>
      <c r="AW2920" s="536"/>
      <c r="AX2920" s="536"/>
      <c r="AY2920" s="536"/>
      <c r="AZ2920" s="536"/>
      <c r="BA2920" s="713"/>
      <c r="BB2920" s="535"/>
      <c r="BC2920" s="536"/>
      <c r="BD2920" s="536"/>
      <c r="BE2920" s="536"/>
      <c r="BF2920" s="536"/>
      <c r="BG2920" s="536"/>
      <c r="BH2920" s="536"/>
      <c r="BI2920" s="536"/>
      <c r="BJ2920" s="536"/>
      <c r="BK2920" s="536"/>
      <c r="BL2920" s="536"/>
      <c r="BM2920" s="536"/>
      <c r="BN2920" s="536"/>
      <c r="BO2920" s="536"/>
      <c r="BP2920" s="536"/>
      <c r="BQ2920" s="536"/>
      <c r="BR2920" s="536"/>
      <c r="BS2920" s="536"/>
      <c r="BT2920" s="536"/>
      <c r="BU2920" s="536"/>
      <c r="BV2920" s="536"/>
      <c r="BW2920" s="536"/>
      <c r="BX2920" s="536"/>
      <c r="BY2920" s="536"/>
      <c r="BZ2920" s="537"/>
      <c r="CA2920" s="270"/>
      <c r="CB2920" s="3" t="str">
        <f t="shared" si="521"/>
        <v>Riadok bude skrytý.</v>
      </c>
      <c r="CC2920" s="271" t="s">
        <v>832</v>
      </c>
      <c r="CD2920" s="4" t="s">
        <v>764</v>
      </c>
      <c r="CW2920" s="30">
        <f t="shared" si="527"/>
        <v>1</v>
      </c>
      <c r="CZ2920" s="30">
        <f t="shared" si="523"/>
        <v>1</v>
      </c>
      <c r="DA2920" s="30">
        <f t="shared" si="530"/>
        <v>1</v>
      </c>
      <c r="DB2920" s="2">
        <f t="shared" si="524"/>
        <v>0</v>
      </c>
      <c r="DS2920" s="130">
        <f>SI!BY2920</f>
        <v>130</v>
      </c>
      <c r="DZ2920" s="131">
        <f>SI!BZ2920</f>
        <v>0</v>
      </c>
    </row>
    <row r="2921" spans="1:130" ht="16.5" hidden="1" customHeight="1" x14ac:dyDescent="0.25">
      <c r="A2921" s="141"/>
      <c r="B2921" s="1090" t="s">
        <v>275</v>
      </c>
      <c r="C2921" s="1091"/>
      <c r="D2921" s="1091"/>
      <c r="E2921" s="1091"/>
      <c r="F2921" s="1091"/>
      <c r="G2921" s="1091"/>
      <c r="H2921" s="1091"/>
      <c r="I2921" s="1091"/>
      <c r="J2921" s="1091"/>
      <c r="K2921" s="1091"/>
      <c r="L2921" s="1091"/>
      <c r="M2921" s="1091"/>
      <c r="N2921" s="1091"/>
      <c r="O2921" s="1091"/>
      <c r="P2921" s="1091"/>
      <c r="Q2921" s="1091"/>
      <c r="R2921" s="1091"/>
      <c r="S2921" s="1091"/>
      <c r="T2921" s="1091"/>
      <c r="U2921" s="1091"/>
      <c r="V2921" s="1091"/>
      <c r="W2921" s="1091"/>
      <c r="X2921" s="1091"/>
      <c r="Y2921" s="1091"/>
      <c r="Z2921" s="1091"/>
      <c r="AA2921" s="1092"/>
      <c r="AB2921" s="367"/>
      <c r="AC2921" s="368"/>
      <c r="AD2921" s="368"/>
      <c r="AE2921" s="368"/>
      <c r="AF2921" s="368"/>
      <c r="AG2921" s="368"/>
      <c r="AH2921" s="368"/>
      <c r="AI2921" s="368"/>
      <c r="AJ2921" s="368"/>
      <c r="AK2921" s="368"/>
      <c r="AL2921" s="368"/>
      <c r="AM2921" s="368"/>
      <c r="AN2921" s="368"/>
      <c r="AO2921" s="368"/>
      <c r="AP2921" s="368"/>
      <c r="AQ2921" s="368"/>
      <c r="AR2921" s="368"/>
      <c r="AS2921" s="368"/>
      <c r="AT2921" s="368"/>
      <c r="AU2921" s="368"/>
      <c r="AV2921" s="368"/>
      <c r="AW2921" s="368"/>
      <c r="AX2921" s="368"/>
      <c r="AY2921" s="368"/>
      <c r="AZ2921" s="368"/>
      <c r="BA2921" s="458"/>
      <c r="BB2921" s="367"/>
      <c r="BC2921" s="368"/>
      <c r="BD2921" s="368"/>
      <c r="BE2921" s="368"/>
      <c r="BF2921" s="368"/>
      <c r="BG2921" s="368"/>
      <c r="BH2921" s="368"/>
      <c r="BI2921" s="368"/>
      <c r="BJ2921" s="368"/>
      <c r="BK2921" s="368"/>
      <c r="BL2921" s="368"/>
      <c r="BM2921" s="368"/>
      <c r="BN2921" s="368"/>
      <c r="BO2921" s="368"/>
      <c r="BP2921" s="368"/>
      <c r="BQ2921" s="368"/>
      <c r="BR2921" s="368"/>
      <c r="BS2921" s="368"/>
      <c r="BT2921" s="368"/>
      <c r="BU2921" s="368"/>
      <c r="BV2921" s="368"/>
      <c r="BW2921" s="368"/>
      <c r="BX2921" s="368"/>
      <c r="BY2921" s="368"/>
      <c r="BZ2921" s="438"/>
      <c r="CA2921" s="270"/>
      <c r="CB2921" s="3" t="str">
        <f t="shared" si="521"/>
        <v>Riadok bude skrytý.</v>
      </c>
      <c r="CC2921" s="271" t="s">
        <v>832</v>
      </c>
      <c r="CW2921" s="30">
        <f t="shared" si="527"/>
        <v>1</v>
      </c>
      <c r="CZ2921" s="30">
        <f t="shared" si="523"/>
        <v>1</v>
      </c>
      <c r="DA2921" s="30">
        <f t="shared" si="530"/>
        <v>1</v>
      </c>
      <c r="DB2921" s="2">
        <f t="shared" si="524"/>
        <v>0</v>
      </c>
      <c r="DS2921" s="130">
        <f>SI!BY2921</f>
        <v>143</v>
      </c>
      <c r="DZ2921" s="131">
        <f>SI!BZ2921</f>
        <v>0</v>
      </c>
    </row>
    <row r="2922" spans="1:130" ht="26.35" hidden="1" customHeight="1" x14ac:dyDescent="0.25">
      <c r="A2922" s="141"/>
      <c r="B2922" s="2020" t="s">
        <v>276</v>
      </c>
      <c r="C2922" s="2021"/>
      <c r="D2922" s="2021"/>
      <c r="E2922" s="2021"/>
      <c r="F2922" s="2021"/>
      <c r="G2922" s="2021"/>
      <c r="H2922" s="2021"/>
      <c r="I2922" s="2021"/>
      <c r="J2922" s="2021"/>
      <c r="K2922" s="2021"/>
      <c r="L2922" s="2021"/>
      <c r="M2922" s="2021"/>
      <c r="N2922" s="2021"/>
      <c r="O2922" s="2021"/>
      <c r="P2922" s="2021"/>
      <c r="Q2922" s="2021"/>
      <c r="R2922" s="2021"/>
      <c r="S2922" s="2021"/>
      <c r="T2922" s="2021"/>
      <c r="U2922" s="2021"/>
      <c r="V2922" s="2021"/>
      <c r="W2922" s="2021"/>
      <c r="X2922" s="2021"/>
      <c r="Y2922" s="2021"/>
      <c r="Z2922" s="2021"/>
      <c r="AA2922" s="2022"/>
      <c r="AB2922" s="411">
        <f>+SUM(AB2923:BA2924)</f>
        <v>0</v>
      </c>
      <c r="AC2922" s="412"/>
      <c r="AD2922" s="412"/>
      <c r="AE2922" s="412"/>
      <c r="AF2922" s="412"/>
      <c r="AG2922" s="412"/>
      <c r="AH2922" s="412"/>
      <c r="AI2922" s="412"/>
      <c r="AJ2922" s="412"/>
      <c r="AK2922" s="412"/>
      <c r="AL2922" s="412"/>
      <c r="AM2922" s="412"/>
      <c r="AN2922" s="412"/>
      <c r="AO2922" s="412"/>
      <c r="AP2922" s="412"/>
      <c r="AQ2922" s="412"/>
      <c r="AR2922" s="412"/>
      <c r="AS2922" s="412"/>
      <c r="AT2922" s="412"/>
      <c r="AU2922" s="412"/>
      <c r="AV2922" s="412"/>
      <c r="AW2922" s="412"/>
      <c r="AX2922" s="412"/>
      <c r="AY2922" s="412"/>
      <c r="AZ2922" s="412"/>
      <c r="BA2922" s="477"/>
      <c r="BB2922" s="411">
        <f>+SUM(BB2923:BZ2924)</f>
        <v>0</v>
      </c>
      <c r="BC2922" s="412"/>
      <c r="BD2922" s="412"/>
      <c r="BE2922" s="412"/>
      <c r="BF2922" s="412"/>
      <c r="BG2922" s="412"/>
      <c r="BH2922" s="412"/>
      <c r="BI2922" s="412"/>
      <c r="BJ2922" s="412"/>
      <c r="BK2922" s="412"/>
      <c r="BL2922" s="412"/>
      <c r="BM2922" s="412"/>
      <c r="BN2922" s="412"/>
      <c r="BO2922" s="412"/>
      <c r="BP2922" s="412"/>
      <c r="BQ2922" s="412"/>
      <c r="BR2922" s="412"/>
      <c r="BS2922" s="412"/>
      <c r="BT2922" s="412"/>
      <c r="BU2922" s="412"/>
      <c r="BV2922" s="412"/>
      <c r="BW2922" s="412"/>
      <c r="BX2922" s="412"/>
      <c r="BY2922" s="412"/>
      <c r="BZ2922" s="413"/>
      <c r="CA2922" s="270"/>
      <c r="CB2922" s="3" t="str">
        <f t="shared" si="521"/>
        <v>Riadok bude skrytý.</v>
      </c>
      <c r="CC2922" s="271" t="s">
        <v>832</v>
      </c>
      <c r="CW2922" s="30">
        <f t="shared" si="527"/>
        <v>1</v>
      </c>
      <c r="CZ2922" s="30">
        <f t="shared" si="523"/>
        <v>1</v>
      </c>
      <c r="DA2922" s="30">
        <f t="shared" si="530"/>
        <v>1</v>
      </c>
      <c r="DB2922" s="2">
        <f t="shared" si="524"/>
        <v>0</v>
      </c>
      <c r="DS2922" s="130">
        <f>SI!BY2922</f>
        <v>100</v>
      </c>
      <c r="DZ2922" s="131">
        <f>SI!BZ2922</f>
        <v>0</v>
      </c>
    </row>
    <row r="2923" spans="1:130" ht="14.95" hidden="1" customHeight="1" x14ac:dyDescent="0.25">
      <c r="A2923" s="141"/>
      <c r="B2923" s="451" t="s">
        <v>274</v>
      </c>
      <c r="C2923" s="452"/>
      <c r="D2923" s="452"/>
      <c r="E2923" s="452"/>
      <c r="F2923" s="452"/>
      <c r="G2923" s="452"/>
      <c r="H2923" s="452"/>
      <c r="I2923" s="452"/>
      <c r="J2923" s="452"/>
      <c r="K2923" s="452"/>
      <c r="L2923" s="452"/>
      <c r="M2923" s="452"/>
      <c r="N2923" s="452"/>
      <c r="O2923" s="452"/>
      <c r="P2923" s="452"/>
      <c r="Q2923" s="452"/>
      <c r="R2923" s="452"/>
      <c r="S2923" s="452"/>
      <c r="T2923" s="452"/>
      <c r="U2923" s="452"/>
      <c r="V2923" s="452"/>
      <c r="W2923" s="452"/>
      <c r="X2923" s="452"/>
      <c r="Y2923" s="452"/>
      <c r="Z2923" s="452"/>
      <c r="AA2923" s="453"/>
      <c r="AB2923" s="535"/>
      <c r="AC2923" s="536"/>
      <c r="AD2923" s="536"/>
      <c r="AE2923" s="536"/>
      <c r="AF2923" s="536"/>
      <c r="AG2923" s="536"/>
      <c r="AH2923" s="536"/>
      <c r="AI2923" s="536"/>
      <c r="AJ2923" s="536"/>
      <c r="AK2923" s="536"/>
      <c r="AL2923" s="536"/>
      <c r="AM2923" s="536"/>
      <c r="AN2923" s="536"/>
      <c r="AO2923" s="536"/>
      <c r="AP2923" s="536"/>
      <c r="AQ2923" s="536"/>
      <c r="AR2923" s="536"/>
      <c r="AS2923" s="536"/>
      <c r="AT2923" s="536"/>
      <c r="AU2923" s="536"/>
      <c r="AV2923" s="536"/>
      <c r="AW2923" s="536"/>
      <c r="AX2923" s="536"/>
      <c r="AY2923" s="536"/>
      <c r="AZ2923" s="536"/>
      <c r="BA2923" s="713"/>
      <c r="BB2923" s="535"/>
      <c r="BC2923" s="536"/>
      <c r="BD2923" s="536"/>
      <c r="BE2923" s="536"/>
      <c r="BF2923" s="536"/>
      <c r="BG2923" s="536"/>
      <c r="BH2923" s="536"/>
      <c r="BI2923" s="536"/>
      <c r="BJ2923" s="536"/>
      <c r="BK2923" s="536"/>
      <c r="BL2923" s="536"/>
      <c r="BM2923" s="536"/>
      <c r="BN2923" s="536"/>
      <c r="BO2923" s="536"/>
      <c r="BP2923" s="536"/>
      <c r="BQ2923" s="536"/>
      <c r="BR2923" s="536"/>
      <c r="BS2923" s="536"/>
      <c r="BT2923" s="536"/>
      <c r="BU2923" s="536"/>
      <c r="BV2923" s="536"/>
      <c r="BW2923" s="536"/>
      <c r="BX2923" s="536"/>
      <c r="BY2923" s="536"/>
      <c r="BZ2923" s="537"/>
      <c r="CA2923" s="270"/>
      <c r="CB2923" s="3" t="str">
        <f t="shared" si="521"/>
        <v>Riadok bude skrytý.</v>
      </c>
      <c r="CC2923" s="271" t="s">
        <v>832</v>
      </c>
      <c r="CW2923" s="30">
        <f t="shared" si="527"/>
        <v>1</v>
      </c>
      <c r="CZ2923" s="30">
        <f t="shared" si="523"/>
        <v>1</v>
      </c>
      <c r="DA2923" s="30">
        <f t="shared" si="530"/>
        <v>1</v>
      </c>
      <c r="DB2923" s="2">
        <f t="shared" si="524"/>
        <v>0</v>
      </c>
      <c r="DS2923" s="130">
        <f>SI!BY2923</f>
        <v>151</v>
      </c>
      <c r="DZ2923" s="131">
        <f>SI!BZ2923</f>
        <v>0</v>
      </c>
    </row>
    <row r="2924" spans="1:130" ht="14.95" hidden="1" customHeight="1" x14ac:dyDescent="0.25">
      <c r="A2924" s="141"/>
      <c r="B2924" s="1090" t="s">
        <v>275</v>
      </c>
      <c r="C2924" s="1091"/>
      <c r="D2924" s="1091"/>
      <c r="E2924" s="1091"/>
      <c r="F2924" s="1091"/>
      <c r="G2924" s="1091"/>
      <c r="H2924" s="1091"/>
      <c r="I2924" s="1091"/>
      <c r="J2924" s="1091"/>
      <c r="K2924" s="1091"/>
      <c r="L2924" s="1091"/>
      <c r="M2924" s="1091"/>
      <c r="N2924" s="1091"/>
      <c r="O2924" s="1091"/>
      <c r="P2924" s="1091"/>
      <c r="Q2924" s="1091"/>
      <c r="R2924" s="1091"/>
      <c r="S2924" s="1091"/>
      <c r="T2924" s="1091"/>
      <c r="U2924" s="1091"/>
      <c r="V2924" s="1091"/>
      <c r="W2924" s="1091"/>
      <c r="X2924" s="1091"/>
      <c r="Y2924" s="1091"/>
      <c r="Z2924" s="1091"/>
      <c r="AA2924" s="1092"/>
      <c r="AB2924" s="367"/>
      <c r="AC2924" s="368"/>
      <c r="AD2924" s="368"/>
      <c r="AE2924" s="368"/>
      <c r="AF2924" s="368"/>
      <c r="AG2924" s="368"/>
      <c r="AH2924" s="368"/>
      <c r="AI2924" s="368"/>
      <c r="AJ2924" s="368"/>
      <c r="AK2924" s="368"/>
      <c r="AL2924" s="368"/>
      <c r="AM2924" s="368"/>
      <c r="AN2924" s="368"/>
      <c r="AO2924" s="368"/>
      <c r="AP2924" s="368"/>
      <c r="AQ2924" s="368"/>
      <c r="AR2924" s="368"/>
      <c r="AS2924" s="368"/>
      <c r="AT2924" s="368"/>
      <c r="AU2924" s="368"/>
      <c r="AV2924" s="368"/>
      <c r="AW2924" s="368"/>
      <c r="AX2924" s="368"/>
      <c r="AY2924" s="368"/>
      <c r="AZ2924" s="368"/>
      <c r="BA2924" s="458"/>
      <c r="BB2924" s="367"/>
      <c r="BC2924" s="368"/>
      <c r="BD2924" s="368"/>
      <c r="BE2924" s="368"/>
      <c r="BF2924" s="368"/>
      <c r="BG2924" s="368"/>
      <c r="BH2924" s="368"/>
      <c r="BI2924" s="368"/>
      <c r="BJ2924" s="368"/>
      <c r="BK2924" s="368"/>
      <c r="BL2924" s="368"/>
      <c r="BM2924" s="368"/>
      <c r="BN2924" s="368"/>
      <c r="BO2924" s="368"/>
      <c r="BP2924" s="368"/>
      <c r="BQ2924" s="368"/>
      <c r="BR2924" s="368"/>
      <c r="BS2924" s="368"/>
      <c r="BT2924" s="368"/>
      <c r="BU2924" s="368"/>
      <c r="BV2924" s="368"/>
      <c r="BW2924" s="368"/>
      <c r="BX2924" s="368"/>
      <c r="BY2924" s="368"/>
      <c r="BZ2924" s="438"/>
      <c r="CA2924" s="270"/>
      <c r="CB2924" s="3" t="str">
        <f t="shared" si="521"/>
        <v>Riadok bude skrytý.</v>
      </c>
      <c r="CC2924" s="271" t="s">
        <v>832</v>
      </c>
      <c r="CW2924" s="30">
        <f t="shared" si="527"/>
        <v>1</v>
      </c>
      <c r="CZ2924" s="30">
        <f t="shared" si="523"/>
        <v>1</v>
      </c>
      <c r="DA2924" s="30">
        <f t="shared" si="530"/>
        <v>1</v>
      </c>
      <c r="DB2924" s="2">
        <f t="shared" si="524"/>
        <v>0</v>
      </c>
      <c r="DS2924" s="130">
        <f>SI!BY2924</f>
        <v>166</v>
      </c>
      <c r="DZ2924" s="131">
        <f>SI!BZ2924</f>
        <v>0</v>
      </c>
    </row>
    <row r="2925" spans="1:130" ht="26.35" hidden="1" customHeight="1" x14ac:dyDescent="0.25">
      <c r="A2925" s="141"/>
      <c r="B2925" s="614" t="s">
        <v>277</v>
      </c>
      <c r="C2925" s="615"/>
      <c r="D2925" s="615"/>
      <c r="E2925" s="615"/>
      <c r="F2925" s="615"/>
      <c r="G2925" s="615"/>
      <c r="H2925" s="615"/>
      <c r="I2925" s="615"/>
      <c r="J2925" s="615"/>
      <c r="K2925" s="615"/>
      <c r="L2925" s="615"/>
      <c r="M2925" s="615"/>
      <c r="N2925" s="615"/>
      <c r="O2925" s="615"/>
      <c r="P2925" s="615"/>
      <c r="Q2925" s="615"/>
      <c r="R2925" s="615"/>
      <c r="S2925" s="615"/>
      <c r="T2925" s="615"/>
      <c r="U2925" s="615"/>
      <c r="V2925" s="615"/>
      <c r="W2925" s="615"/>
      <c r="X2925" s="615"/>
      <c r="Y2925" s="615"/>
      <c r="Z2925" s="615"/>
      <c r="AA2925" s="616"/>
      <c r="AB2925" s="1089"/>
      <c r="AC2925" s="540"/>
      <c r="AD2925" s="540"/>
      <c r="AE2925" s="540"/>
      <c r="AF2925" s="540"/>
      <c r="AG2925" s="540"/>
      <c r="AH2925" s="540"/>
      <c r="AI2925" s="540"/>
      <c r="AJ2925" s="540"/>
      <c r="AK2925" s="540"/>
      <c r="AL2925" s="540"/>
      <c r="AM2925" s="540"/>
      <c r="AN2925" s="540"/>
      <c r="AO2925" s="540"/>
      <c r="AP2925" s="540"/>
      <c r="AQ2925" s="540"/>
      <c r="AR2925" s="540"/>
      <c r="AS2925" s="540"/>
      <c r="AT2925" s="540"/>
      <c r="AU2925" s="540"/>
      <c r="AV2925" s="540"/>
      <c r="AW2925" s="540"/>
      <c r="AX2925" s="540"/>
      <c r="AY2925" s="540"/>
      <c r="AZ2925" s="540"/>
      <c r="BA2925" s="481"/>
      <c r="BB2925" s="1089"/>
      <c r="BC2925" s="540"/>
      <c r="BD2925" s="540"/>
      <c r="BE2925" s="540"/>
      <c r="BF2925" s="540"/>
      <c r="BG2925" s="540"/>
      <c r="BH2925" s="540"/>
      <c r="BI2925" s="540"/>
      <c r="BJ2925" s="540"/>
      <c r="BK2925" s="540"/>
      <c r="BL2925" s="540"/>
      <c r="BM2925" s="540"/>
      <c r="BN2925" s="540"/>
      <c r="BO2925" s="540"/>
      <c r="BP2925" s="540"/>
      <c r="BQ2925" s="540"/>
      <c r="BR2925" s="540"/>
      <c r="BS2925" s="540"/>
      <c r="BT2925" s="540"/>
      <c r="BU2925" s="540"/>
      <c r="BV2925" s="540"/>
      <c r="BW2925" s="540"/>
      <c r="BX2925" s="540"/>
      <c r="BY2925" s="540"/>
      <c r="BZ2925" s="1100"/>
      <c r="CA2925" s="270"/>
      <c r="CB2925" s="3" t="str">
        <f t="shared" si="521"/>
        <v>Riadok bude skrytý.</v>
      </c>
      <c r="CC2925" s="271" t="s">
        <v>832</v>
      </c>
      <c r="CW2925" s="30">
        <f t="shared" si="527"/>
        <v>1</v>
      </c>
      <c r="CZ2925" s="30">
        <f t="shared" si="523"/>
        <v>1</v>
      </c>
      <c r="DA2925" s="30">
        <f t="shared" si="530"/>
        <v>1</v>
      </c>
      <c r="DB2925" s="2">
        <f t="shared" si="524"/>
        <v>0</v>
      </c>
      <c r="DS2925" s="130">
        <f>SI!BY2925</f>
        <v>159</v>
      </c>
      <c r="DZ2925" s="131">
        <f>SI!BZ2925</f>
        <v>0</v>
      </c>
    </row>
    <row r="2926" spans="1:130" ht="27.7" hidden="1" customHeight="1" x14ac:dyDescent="0.25">
      <c r="A2926" s="141"/>
      <c r="B2926" s="614" t="s">
        <v>278</v>
      </c>
      <c r="C2926" s="615"/>
      <c r="D2926" s="615"/>
      <c r="E2926" s="615"/>
      <c r="F2926" s="615"/>
      <c r="G2926" s="615"/>
      <c r="H2926" s="615"/>
      <c r="I2926" s="615"/>
      <c r="J2926" s="615"/>
      <c r="K2926" s="615"/>
      <c r="L2926" s="615"/>
      <c r="M2926" s="615"/>
      <c r="N2926" s="615"/>
      <c r="O2926" s="615"/>
      <c r="P2926" s="615"/>
      <c r="Q2926" s="615"/>
      <c r="R2926" s="615"/>
      <c r="S2926" s="615"/>
      <c r="T2926" s="615"/>
      <c r="U2926" s="615"/>
      <c r="V2926" s="615"/>
      <c r="W2926" s="615"/>
      <c r="X2926" s="615"/>
      <c r="Y2926" s="615"/>
      <c r="Z2926" s="615"/>
      <c r="AA2926" s="616"/>
      <c r="AB2926" s="1089"/>
      <c r="AC2926" s="540"/>
      <c r="AD2926" s="540"/>
      <c r="AE2926" s="540"/>
      <c r="AF2926" s="540"/>
      <c r="AG2926" s="540"/>
      <c r="AH2926" s="540"/>
      <c r="AI2926" s="540"/>
      <c r="AJ2926" s="540"/>
      <c r="AK2926" s="540"/>
      <c r="AL2926" s="540"/>
      <c r="AM2926" s="540"/>
      <c r="AN2926" s="540"/>
      <c r="AO2926" s="540"/>
      <c r="AP2926" s="540"/>
      <c r="AQ2926" s="540"/>
      <c r="AR2926" s="540"/>
      <c r="AS2926" s="540"/>
      <c r="AT2926" s="540"/>
      <c r="AU2926" s="540"/>
      <c r="AV2926" s="540"/>
      <c r="AW2926" s="540"/>
      <c r="AX2926" s="540"/>
      <c r="AY2926" s="540"/>
      <c r="AZ2926" s="540"/>
      <c r="BA2926" s="481"/>
      <c r="BB2926" s="1089"/>
      <c r="BC2926" s="540"/>
      <c r="BD2926" s="540"/>
      <c r="BE2926" s="540"/>
      <c r="BF2926" s="540"/>
      <c r="BG2926" s="540"/>
      <c r="BH2926" s="540"/>
      <c r="BI2926" s="540"/>
      <c r="BJ2926" s="540"/>
      <c r="BK2926" s="540"/>
      <c r="BL2926" s="540"/>
      <c r="BM2926" s="540"/>
      <c r="BN2926" s="540"/>
      <c r="BO2926" s="540"/>
      <c r="BP2926" s="540"/>
      <c r="BQ2926" s="540"/>
      <c r="BR2926" s="540"/>
      <c r="BS2926" s="540"/>
      <c r="BT2926" s="540"/>
      <c r="BU2926" s="540"/>
      <c r="BV2926" s="540"/>
      <c r="BW2926" s="540"/>
      <c r="BX2926" s="540"/>
      <c r="BY2926" s="540"/>
      <c r="BZ2926" s="1100"/>
      <c r="CA2926" s="270"/>
      <c r="CB2926" s="3" t="str">
        <f t="shared" si="521"/>
        <v>Riadok bude skrytý.</v>
      </c>
      <c r="CC2926" s="271" t="s">
        <v>832</v>
      </c>
      <c r="CW2926" s="30">
        <f t="shared" ref="CW2926:CW2947" si="531">+IF($J$2892="neúčtuje",0,1)</f>
        <v>1</v>
      </c>
      <c r="CZ2926" s="30">
        <f t="shared" si="523"/>
        <v>1</v>
      </c>
      <c r="DA2926" s="30">
        <f t="shared" si="530"/>
        <v>1</v>
      </c>
      <c r="DB2926" s="2">
        <f t="shared" si="524"/>
        <v>0</v>
      </c>
      <c r="DS2926" s="130">
        <f>SI!BY2926</f>
        <v>119</v>
      </c>
      <c r="DZ2926" s="131">
        <f>SI!BZ2926</f>
        <v>0</v>
      </c>
    </row>
    <row r="2927" spans="1:130" ht="14.95" hidden="1" customHeight="1" x14ac:dyDescent="0.25">
      <c r="A2927" s="141"/>
      <c r="B2927" s="614" t="s">
        <v>279</v>
      </c>
      <c r="C2927" s="615"/>
      <c r="D2927" s="615"/>
      <c r="E2927" s="615"/>
      <c r="F2927" s="615"/>
      <c r="G2927" s="615"/>
      <c r="H2927" s="615"/>
      <c r="I2927" s="615"/>
      <c r="J2927" s="615"/>
      <c r="K2927" s="615"/>
      <c r="L2927" s="615"/>
      <c r="M2927" s="615"/>
      <c r="N2927" s="615"/>
      <c r="O2927" s="615"/>
      <c r="P2927" s="615"/>
      <c r="Q2927" s="615"/>
      <c r="R2927" s="615"/>
      <c r="S2927" s="615"/>
      <c r="T2927" s="615"/>
      <c r="U2927" s="615"/>
      <c r="V2927" s="615"/>
      <c r="W2927" s="615"/>
      <c r="X2927" s="615"/>
      <c r="Y2927" s="615"/>
      <c r="Z2927" s="615"/>
      <c r="AA2927" s="616"/>
      <c r="AB2927" s="1122">
        <v>0.22</v>
      </c>
      <c r="AC2927" s="1123"/>
      <c r="AD2927" s="1123"/>
      <c r="AE2927" s="1123"/>
      <c r="AF2927" s="1123"/>
      <c r="AG2927" s="1123"/>
      <c r="AH2927" s="1123"/>
      <c r="AI2927" s="1123"/>
      <c r="AJ2927" s="1123"/>
      <c r="AK2927" s="1123"/>
      <c r="AL2927" s="1123"/>
      <c r="AM2927" s="1123"/>
      <c r="AN2927" s="1123"/>
      <c r="AO2927" s="1123"/>
      <c r="AP2927" s="1123"/>
      <c r="AQ2927" s="1123"/>
      <c r="AR2927" s="1123"/>
      <c r="AS2927" s="1123"/>
      <c r="AT2927" s="1123"/>
      <c r="AU2927" s="1123"/>
      <c r="AV2927" s="1123"/>
      <c r="AW2927" s="1123"/>
      <c r="AX2927" s="1123"/>
      <c r="AY2927" s="1123"/>
      <c r="AZ2927" s="1123"/>
      <c r="BA2927" s="2122"/>
      <c r="BB2927" s="1122">
        <v>0.23</v>
      </c>
      <c r="BC2927" s="1123"/>
      <c r="BD2927" s="1123"/>
      <c r="BE2927" s="1123"/>
      <c r="BF2927" s="1123"/>
      <c r="BG2927" s="1123"/>
      <c r="BH2927" s="1123"/>
      <c r="BI2927" s="1123"/>
      <c r="BJ2927" s="1123"/>
      <c r="BK2927" s="1123"/>
      <c r="BL2927" s="1123"/>
      <c r="BM2927" s="1123"/>
      <c r="BN2927" s="1123"/>
      <c r="BO2927" s="1123"/>
      <c r="BP2927" s="1123"/>
      <c r="BQ2927" s="1123"/>
      <c r="BR2927" s="1123"/>
      <c r="BS2927" s="1123"/>
      <c r="BT2927" s="1123"/>
      <c r="BU2927" s="1123"/>
      <c r="BV2927" s="1123"/>
      <c r="BW2927" s="1123"/>
      <c r="BX2927" s="1123"/>
      <c r="BY2927" s="1123"/>
      <c r="BZ2927" s="1124"/>
      <c r="CA2927" s="270"/>
      <c r="CB2927" s="3" t="str">
        <f t="shared" si="521"/>
        <v>Riadok bude skrytý.</v>
      </c>
      <c r="CC2927" s="271" t="s">
        <v>832</v>
      </c>
      <c r="CW2927" s="30">
        <f t="shared" si="531"/>
        <v>1</v>
      </c>
      <c r="CZ2927" s="30">
        <f t="shared" si="523"/>
        <v>1</v>
      </c>
      <c r="DA2927" s="30">
        <f t="shared" si="530"/>
        <v>1</v>
      </c>
      <c r="DB2927" s="2">
        <f t="shared" si="524"/>
        <v>0</v>
      </c>
      <c r="DS2927" s="130">
        <f>SI!BY2927</f>
        <v>102</v>
      </c>
      <c r="DZ2927" s="131">
        <f>SI!BZ2927</f>
        <v>0</v>
      </c>
    </row>
    <row r="2928" spans="1:130" ht="14.95" hidden="1" customHeight="1" x14ac:dyDescent="0.25">
      <c r="A2928" s="141"/>
      <c r="B2928" s="614" t="s">
        <v>280</v>
      </c>
      <c r="C2928" s="615"/>
      <c r="D2928" s="615"/>
      <c r="E2928" s="615"/>
      <c r="F2928" s="615"/>
      <c r="G2928" s="615"/>
      <c r="H2928" s="615"/>
      <c r="I2928" s="615"/>
      <c r="J2928" s="615"/>
      <c r="K2928" s="615"/>
      <c r="L2928" s="615"/>
      <c r="M2928" s="615"/>
      <c r="N2928" s="615"/>
      <c r="O2928" s="615"/>
      <c r="P2928" s="615"/>
      <c r="Q2928" s="615"/>
      <c r="R2928" s="615"/>
      <c r="S2928" s="615"/>
      <c r="T2928" s="615"/>
      <c r="U2928" s="615"/>
      <c r="V2928" s="615"/>
      <c r="W2928" s="615"/>
      <c r="X2928" s="615"/>
      <c r="Y2928" s="615"/>
      <c r="Z2928" s="615"/>
      <c r="AA2928" s="616"/>
      <c r="AB2928" s="411">
        <f>IF((AB2919+AB2922+AB2925+AB2926)&lt;0,-(AB2919+AB2922+AB2925+AB2926)*AB2927,0)</f>
        <v>0</v>
      </c>
      <c r="AC2928" s="412"/>
      <c r="AD2928" s="412"/>
      <c r="AE2928" s="412"/>
      <c r="AF2928" s="412"/>
      <c r="AG2928" s="412"/>
      <c r="AH2928" s="412"/>
      <c r="AI2928" s="412"/>
      <c r="AJ2928" s="412"/>
      <c r="AK2928" s="412"/>
      <c r="AL2928" s="412"/>
      <c r="AM2928" s="412"/>
      <c r="AN2928" s="412"/>
      <c r="AO2928" s="412"/>
      <c r="AP2928" s="412"/>
      <c r="AQ2928" s="412"/>
      <c r="AR2928" s="412"/>
      <c r="AS2928" s="412"/>
      <c r="AT2928" s="412"/>
      <c r="AU2928" s="412"/>
      <c r="AV2928" s="412"/>
      <c r="AW2928" s="412"/>
      <c r="AX2928" s="412"/>
      <c r="AY2928" s="412"/>
      <c r="AZ2928" s="412"/>
      <c r="BA2928" s="477"/>
      <c r="BB2928" s="411">
        <f>IF((BB2919+BB2922+BB2925+BB2926)&lt;0,-(BB2919+BB2922+BB2925+BB2926)*BB2927,0)</f>
        <v>0</v>
      </c>
      <c r="BC2928" s="412"/>
      <c r="BD2928" s="412"/>
      <c r="BE2928" s="412"/>
      <c r="BF2928" s="412"/>
      <c r="BG2928" s="412"/>
      <c r="BH2928" s="412"/>
      <c r="BI2928" s="412"/>
      <c r="BJ2928" s="412"/>
      <c r="BK2928" s="412"/>
      <c r="BL2928" s="412"/>
      <c r="BM2928" s="412"/>
      <c r="BN2928" s="412"/>
      <c r="BO2928" s="412"/>
      <c r="BP2928" s="412"/>
      <c r="BQ2928" s="412"/>
      <c r="BR2928" s="412"/>
      <c r="BS2928" s="412"/>
      <c r="BT2928" s="412"/>
      <c r="BU2928" s="412"/>
      <c r="BV2928" s="412"/>
      <c r="BW2928" s="412"/>
      <c r="BX2928" s="412"/>
      <c r="BY2928" s="412"/>
      <c r="BZ2928" s="413"/>
      <c r="CA2928" s="270"/>
      <c r="CB2928" s="3" t="str">
        <f t="shared" si="521"/>
        <v>Riadok bude skrytý.</v>
      </c>
      <c r="CC2928" s="271" t="s">
        <v>832</v>
      </c>
      <c r="CW2928" s="30">
        <f t="shared" si="531"/>
        <v>1</v>
      </c>
      <c r="CZ2928" s="30">
        <f t="shared" si="523"/>
        <v>1</v>
      </c>
      <c r="DA2928" s="30">
        <f t="shared" si="530"/>
        <v>1</v>
      </c>
      <c r="DB2928" s="2">
        <f t="shared" si="524"/>
        <v>0</v>
      </c>
      <c r="DS2928" s="130">
        <f>SI!BY2928</f>
        <v>164</v>
      </c>
      <c r="DZ2928" s="131">
        <f>SI!BZ2928</f>
        <v>0</v>
      </c>
    </row>
    <row r="2929" spans="1:130" ht="14.3" hidden="1" customHeight="1" x14ac:dyDescent="0.25">
      <c r="A2929" s="141"/>
      <c r="B2929" s="614" t="s">
        <v>281</v>
      </c>
      <c r="C2929" s="615"/>
      <c r="D2929" s="615"/>
      <c r="E2929" s="615"/>
      <c r="F2929" s="615"/>
      <c r="G2929" s="615"/>
      <c r="H2929" s="615"/>
      <c r="I2929" s="615"/>
      <c r="J2929" s="615"/>
      <c r="K2929" s="615"/>
      <c r="L2929" s="615"/>
      <c r="M2929" s="615"/>
      <c r="N2929" s="615"/>
      <c r="O2929" s="615"/>
      <c r="P2929" s="615"/>
      <c r="Q2929" s="615"/>
      <c r="R2929" s="615"/>
      <c r="S2929" s="615"/>
      <c r="T2929" s="615"/>
      <c r="U2929" s="615"/>
      <c r="V2929" s="615"/>
      <c r="W2929" s="615"/>
      <c r="X2929" s="615"/>
      <c r="Y2929" s="615"/>
      <c r="Z2929" s="615"/>
      <c r="AA2929" s="616"/>
      <c r="AB2929" s="1125">
        <f>+SUM(AB2930:BA2931)</f>
        <v>0</v>
      </c>
      <c r="AC2929" s="1126"/>
      <c r="AD2929" s="1126"/>
      <c r="AE2929" s="1126"/>
      <c r="AF2929" s="1126"/>
      <c r="AG2929" s="1126"/>
      <c r="AH2929" s="1126"/>
      <c r="AI2929" s="1126"/>
      <c r="AJ2929" s="1126"/>
      <c r="AK2929" s="1126"/>
      <c r="AL2929" s="1126"/>
      <c r="AM2929" s="1126"/>
      <c r="AN2929" s="1126"/>
      <c r="AO2929" s="1126"/>
      <c r="AP2929" s="1126"/>
      <c r="AQ2929" s="1126"/>
      <c r="AR2929" s="1126"/>
      <c r="AS2929" s="1126"/>
      <c r="AT2929" s="1126"/>
      <c r="AU2929" s="1126"/>
      <c r="AV2929" s="1126"/>
      <c r="AW2929" s="1126"/>
      <c r="AX2929" s="1126"/>
      <c r="AY2929" s="1126"/>
      <c r="AZ2929" s="1126"/>
      <c r="BA2929" s="1127"/>
      <c r="BB2929" s="1125">
        <f>+SUM(BB2930:BZ2931)</f>
        <v>0</v>
      </c>
      <c r="BC2929" s="1126"/>
      <c r="BD2929" s="1126"/>
      <c r="BE2929" s="1126"/>
      <c r="BF2929" s="1126"/>
      <c r="BG2929" s="1126"/>
      <c r="BH2929" s="1126"/>
      <c r="BI2929" s="1126"/>
      <c r="BJ2929" s="1126"/>
      <c r="BK2929" s="1126"/>
      <c r="BL2929" s="1126"/>
      <c r="BM2929" s="1126"/>
      <c r="BN2929" s="1126"/>
      <c r="BO2929" s="1126"/>
      <c r="BP2929" s="1126"/>
      <c r="BQ2929" s="1126"/>
      <c r="BR2929" s="1126"/>
      <c r="BS2929" s="1126"/>
      <c r="BT2929" s="1126"/>
      <c r="BU2929" s="1126"/>
      <c r="BV2929" s="1126"/>
      <c r="BW2929" s="1126"/>
      <c r="BX2929" s="1126"/>
      <c r="BY2929" s="1126"/>
      <c r="BZ2929" s="1190"/>
      <c r="CA2929" s="270"/>
      <c r="CB2929" s="3" t="str">
        <f t="shared" si="521"/>
        <v>Riadok bude skrytý.</v>
      </c>
      <c r="CC2929" s="271" t="s">
        <v>832</v>
      </c>
      <c r="CW2929" s="30">
        <f t="shared" si="531"/>
        <v>1</v>
      </c>
      <c r="CZ2929" s="30">
        <f t="shared" si="523"/>
        <v>1</v>
      </c>
      <c r="DA2929" s="30">
        <f t="shared" si="530"/>
        <v>1</v>
      </c>
      <c r="DB2929" s="2">
        <f t="shared" si="524"/>
        <v>0</v>
      </c>
      <c r="DS2929" s="130">
        <f>SI!BY2929</f>
        <v>110</v>
      </c>
      <c r="DZ2929" s="131">
        <f>SI!BZ2929</f>
        <v>0</v>
      </c>
    </row>
    <row r="2930" spans="1:130" ht="14.95" hidden="1" customHeight="1" x14ac:dyDescent="0.25">
      <c r="A2930" s="141"/>
      <c r="B2930" s="1086" t="s">
        <v>284</v>
      </c>
      <c r="C2930" s="1087"/>
      <c r="D2930" s="1087"/>
      <c r="E2930" s="1087"/>
      <c r="F2930" s="1087"/>
      <c r="G2930" s="1087"/>
      <c r="H2930" s="1087"/>
      <c r="I2930" s="1087"/>
      <c r="J2930" s="1087"/>
      <c r="K2930" s="1087"/>
      <c r="L2930" s="1087"/>
      <c r="M2930" s="1087"/>
      <c r="N2930" s="1087"/>
      <c r="O2930" s="1087"/>
      <c r="P2930" s="1087"/>
      <c r="Q2930" s="1087"/>
      <c r="R2930" s="1087"/>
      <c r="S2930" s="1087"/>
      <c r="T2930" s="1087"/>
      <c r="U2930" s="1087"/>
      <c r="V2930" s="1087"/>
      <c r="W2930" s="1087"/>
      <c r="X2930" s="1087"/>
      <c r="Y2930" s="1087"/>
      <c r="Z2930" s="1087"/>
      <c r="AA2930" s="1088"/>
      <c r="AB2930" s="1089"/>
      <c r="AC2930" s="540"/>
      <c r="AD2930" s="540"/>
      <c r="AE2930" s="540"/>
      <c r="AF2930" s="540"/>
      <c r="AG2930" s="540"/>
      <c r="AH2930" s="540"/>
      <c r="AI2930" s="540"/>
      <c r="AJ2930" s="540"/>
      <c r="AK2930" s="540"/>
      <c r="AL2930" s="540"/>
      <c r="AM2930" s="540"/>
      <c r="AN2930" s="540"/>
      <c r="AO2930" s="540"/>
      <c r="AP2930" s="540"/>
      <c r="AQ2930" s="540"/>
      <c r="AR2930" s="540"/>
      <c r="AS2930" s="540"/>
      <c r="AT2930" s="540"/>
      <c r="AU2930" s="540"/>
      <c r="AV2930" s="540"/>
      <c r="AW2930" s="540"/>
      <c r="AX2930" s="540"/>
      <c r="AY2930" s="540"/>
      <c r="AZ2930" s="540"/>
      <c r="BA2930" s="481"/>
      <c r="BB2930" s="1089"/>
      <c r="BC2930" s="540"/>
      <c r="BD2930" s="540"/>
      <c r="BE2930" s="540"/>
      <c r="BF2930" s="540"/>
      <c r="BG2930" s="540"/>
      <c r="BH2930" s="540"/>
      <c r="BI2930" s="540"/>
      <c r="BJ2930" s="540"/>
      <c r="BK2930" s="540"/>
      <c r="BL2930" s="540"/>
      <c r="BM2930" s="540"/>
      <c r="BN2930" s="540"/>
      <c r="BO2930" s="540"/>
      <c r="BP2930" s="540"/>
      <c r="BQ2930" s="540"/>
      <c r="BR2930" s="540"/>
      <c r="BS2930" s="540"/>
      <c r="BT2930" s="540"/>
      <c r="BU2930" s="540"/>
      <c r="BV2930" s="540"/>
      <c r="BW2930" s="540"/>
      <c r="BX2930" s="540"/>
      <c r="BY2930" s="540"/>
      <c r="BZ2930" s="1100"/>
      <c r="CA2930" s="270"/>
      <c r="CB2930" s="3" t="str">
        <f t="shared" si="521"/>
        <v>Riadok bude skrytý.</v>
      </c>
      <c r="CC2930" s="271" t="s">
        <v>832</v>
      </c>
      <c r="CW2930" s="30">
        <f t="shared" si="531"/>
        <v>1</v>
      </c>
      <c r="CZ2930" s="30">
        <f t="shared" si="523"/>
        <v>1</v>
      </c>
      <c r="DA2930" s="30">
        <f t="shared" si="530"/>
        <v>1</v>
      </c>
      <c r="DB2930" s="2">
        <f t="shared" si="524"/>
        <v>0</v>
      </c>
      <c r="DS2930" s="130">
        <f>SI!BY2930</f>
        <v>169</v>
      </c>
      <c r="DZ2930" s="131">
        <f>SI!BZ2930</f>
        <v>0</v>
      </c>
    </row>
    <row r="2931" spans="1:130" ht="14.95" hidden="1" customHeight="1" x14ac:dyDescent="0.25">
      <c r="A2931" s="141"/>
      <c r="B2931" s="1086" t="s">
        <v>282</v>
      </c>
      <c r="C2931" s="1087"/>
      <c r="D2931" s="1087"/>
      <c r="E2931" s="1087"/>
      <c r="F2931" s="1087"/>
      <c r="G2931" s="1087"/>
      <c r="H2931" s="1087"/>
      <c r="I2931" s="1087"/>
      <c r="J2931" s="1087"/>
      <c r="K2931" s="1087"/>
      <c r="L2931" s="1087"/>
      <c r="M2931" s="1087"/>
      <c r="N2931" s="1087"/>
      <c r="O2931" s="1087"/>
      <c r="P2931" s="1087"/>
      <c r="Q2931" s="1087"/>
      <c r="R2931" s="1087"/>
      <c r="S2931" s="1087"/>
      <c r="T2931" s="1087"/>
      <c r="U2931" s="1087"/>
      <c r="V2931" s="1087"/>
      <c r="W2931" s="1087"/>
      <c r="X2931" s="1087"/>
      <c r="Y2931" s="1087"/>
      <c r="Z2931" s="1087"/>
      <c r="AA2931" s="1088"/>
      <c r="AB2931" s="1089"/>
      <c r="AC2931" s="540"/>
      <c r="AD2931" s="540"/>
      <c r="AE2931" s="540"/>
      <c r="AF2931" s="540"/>
      <c r="AG2931" s="540"/>
      <c r="AH2931" s="540"/>
      <c r="AI2931" s="540"/>
      <c r="AJ2931" s="540"/>
      <c r="AK2931" s="540"/>
      <c r="AL2931" s="540"/>
      <c r="AM2931" s="540"/>
      <c r="AN2931" s="540"/>
      <c r="AO2931" s="540"/>
      <c r="AP2931" s="540"/>
      <c r="AQ2931" s="540"/>
      <c r="AR2931" s="540"/>
      <c r="AS2931" s="540"/>
      <c r="AT2931" s="540"/>
      <c r="AU2931" s="540"/>
      <c r="AV2931" s="540"/>
      <c r="AW2931" s="540"/>
      <c r="AX2931" s="540"/>
      <c r="AY2931" s="540"/>
      <c r="AZ2931" s="540"/>
      <c r="BA2931" s="481"/>
      <c r="BB2931" s="1089"/>
      <c r="BC2931" s="540"/>
      <c r="BD2931" s="540"/>
      <c r="BE2931" s="540"/>
      <c r="BF2931" s="540"/>
      <c r="BG2931" s="540"/>
      <c r="BH2931" s="540"/>
      <c r="BI2931" s="540"/>
      <c r="BJ2931" s="540"/>
      <c r="BK2931" s="540"/>
      <c r="BL2931" s="540"/>
      <c r="BM2931" s="540"/>
      <c r="BN2931" s="540"/>
      <c r="BO2931" s="540"/>
      <c r="BP2931" s="540"/>
      <c r="BQ2931" s="540"/>
      <c r="BR2931" s="540"/>
      <c r="BS2931" s="540"/>
      <c r="BT2931" s="540"/>
      <c r="BU2931" s="540"/>
      <c r="BV2931" s="540"/>
      <c r="BW2931" s="540"/>
      <c r="BX2931" s="540"/>
      <c r="BY2931" s="540"/>
      <c r="BZ2931" s="1100"/>
      <c r="CA2931" s="270"/>
      <c r="CB2931" s="3" t="str">
        <f t="shared" ref="CB2931:CB2994" si="532">+IF(DB2931=0,"Riadok bude skrytý.","Riadok bude vidieť.")</f>
        <v>Riadok bude skrytý.</v>
      </c>
      <c r="CC2931" s="271" t="s">
        <v>832</v>
      </c>
      <c r="CW2931" s="30">
        <f t="shared" si="531"/>
        <v>1</v>
      </c>
      <c r="CZ2931" s="30">
        <f t="shared" ref="CZ2931:CZ2998" si="533">IF(CC2931="",1,IF(CC2931="Chcem skryť riadok.",0,1))</f>
        <v>1</v>
      </c>
      <c r="DA2931" s="30">
        <f t="shared" si="530"/>
        <v>1</v>
      </c>
      <c r="DB2931" s="2">
        <f t="shared" si="524"/>
        <v>0</v>
      </c>
      <c r="DS2931" s="130">
        <f>SI!BY2931</f>
        <v>147</v>
      </c>
      <c r="DZ2931" s="131">
        <f>SI!BZ2931</f>
        <v>0</v>
      </c>
    </row>
    <row r="2932" spans="1:130" ht="14.95" hidden="1" customHeight="1" x14ac:dyDescent="0.25">
      <c r="A2932" s="141"/>
      <c r="B2932" s="614" t="s">
        <v>272</v>
      </c>
      <c r="C2932" s="615"/>
      <c r="D2932" s="615"/>
      <c r="E2932" s="615"/>
      <c r="F2932" s="615"/>
      <c r="G2932" s="615"/>
      <c r="H2932" s="615"/>
      <c r="I2932" s="615"/>
      <c r="J2932" s="615"/>
      <c r="K2932" s="615"/>
      <c r="L2932" s="615"/>
      <c r="M2932" s="615"/>
      <c r="N2932" s="615"/>
      <c r="O2932" s="615"/>
      <c r="P2932" s="615"/>
      <c r="Q2932" s="615"/>
      <c r="R2932" s="615"/>
      <c r="S2932" s="615"/>
      <c r="T2932" s="615"/>
      <c r="U2932" s="615"/>
      <c r="V2932" s="615"/>
      <c r="W2932" s="615"/>
      <c r="X2932" s="615"/>
      <c r="Y2932" s="615"/>
      <c r="Z2932" s="615"/>
      <c r="AA2932" s="616"/>
      <c r="AB2932" s="411">
        <f>IF((AB2919+AB2922+AB2925+AB2926)&gt;0,(AB2919+AB2922+AB2925+AB2926)*AB2927,0)</f>
        <v>0</v>
      </c>
      <c r="AC2932" s="412"/>
      <c r="AD2932" s="412"/>
      <c r="AE2932" s="412"/>
      <c r="AF2932" s="412"/>
      <c r="AG2932" s="412"/>
      <c r="AH2932" s="412"/>
      <c r="AI2932" s="412"/>
      <c r="AJ2932" s="412"/>
      <c r="AK2932" s="412"/>
      <c r="AL2932" s="412"/>
      <c r="AM2932" s="412"/>
      <c r="AN2932" s="412"/>
      <c r="AO2932" s="412"/>
      <c r="AP2932" s="412"/>
      <c r="AQ2932" s="412"/>
      <c r="AR2932" s="412"/>
      <c r="AS2932" s="412"/>
      <c r="AT2932" s="412"/>
      <c r="AU2932" s="412"/>
      <c r="AV2932" s="412"/>
      <c r="AW2932" s="412"/>
      <c r="AX2932" s="412"/>
      <c r="AY2932" s="412"/>
      <c r="AZ2932" s="412"/>
      <c r="BA2932" s="477"/>
      <c r="BB2932" s="411">
        <f>IF((BB2919+BB2922+BB2925+BB2926)&gt;0,(BB2919+BB2922+BB2925+BB2926)*BB2927,0)</f>
        <v>0</v>
      </c>
      <c r="BC2932" s="412"/>
      <c r="BD2932" s="412"/>
      <c r="BE2932" s="412"/>
      <c r="BF2932" s="412"/>
      <c r="BG2932" s="412"/>
      <c r="BH2932" s="412"/>
      <c r="BI2932" s="412"/>
      <c r="BJ2932" s="412"/>
      <c r="BK2932" s="412"/>
      <c r="BL2932" s="412"/>
      <c r="BM2932" s="412"/>
      <c r="BN2932" s="412"/>
      <c r="BO2932" s="412"/>
      <c r="BP2932" s="412"/>
      <c r="BQ2932" s="412"/>
      <c r="BR2932" s="412"/>
      <c r="BS2932" s="412"/>
      <c r="BT2932" s="412"/>
      <c r="BU2932" s="412"/>
      <c r="BV2932" s="412"/>
      <c r="BW2932" s="412"/>
      <c r="BX2932" s="412"/>
      <c r="BY2932" s="412"/>
      <c r="BZ2932" s="413"/>
      <c r="CA2932" s="270"/>
      <c r="CB2932" s="3" t="str">
        <f t="shared" si="532"/>
        <v>Riadok bude skrytý.</v>
      </c>
      <c r="CC2932" s="271" t="s">
        <v>832</v>
      </c>
      <c r="CW2932" s="30">
        <f t="shared" si="531"/>
        <v>1</v>
      </c>
      <c r="CZ2932" s="30">
        <f t="shared" si="533"/>
        <v>1</v>
      </c>
      <c r="DA2932" s="30">
        <f t="shared" si="530"/>
        <v>1</v>
      </c>
      <c r="DB2932" s="2">
        <f t="shared" si="524"/>
        <v>0</v>
      </c>
      <c r="DS2932" s="130">
        <f>SI!BY2932</f>
        <v>179</v>
      </c>
      <c r="DZ2932" s="131">
        <f>SI!BZ2932</f>
        <v>0</v>
      </c>
    </row>
    <row r="2933" spans="1:130" ht="14.95" hidden="1" customHeight="1" x14ac:dyDescent="0.25">
      <c r="A2933" s="141"/>
      <c r="B2933" s="614" t="s">
        <v>283</v>
      </c>
      <c r="C2933" s="615"/>
      <c r="D2933" s="615"/>
      <c r="E2933" s="615"/>
      <c r="F2933" s="615"/>
      <c r="G2933" s="615"/>
      <c r="H2933" s="615"/>
      <c r="I2933" s="615"/>
      <c r="J2933" s="615"/>
      <c r="K2933" s="615"/>
      <c r="L2933" s="615"/>
      <c r="M2933" s="615"/>
      <c r="N2933" s="615"/>
      <c r="O2933" s="615"/>
      <c r="P2933" s="615"/>
      <c r="Q2933" s="615"/>
      <c r="R2933" s="615"/>
      <c r="S2933" s="615"/>
      <c r="T2933" s="615"/>
      <c r="U2933" s="615"/>
      <c r="V2933" s="615"/>
      <c r="W2933" s="615"/>
      <c r="X2933" s="615"/>
      <c r="Y2933" s="615"/>
      <c r="Z2933" s="615"/>
      <c r="AA2933" s="616"/>
      <c r="AB2933" s="411">
        <f>AB2932-BB2932</f>
        <v>0</v>
      </c>
      <c r="AC2933" s="412"/>
      <c r="AD2933" s="412"/>
      <c r="AE2933" s="412"/>
      <c r="AF2933" s="412"/>
      <c r="AG2933" s="412"/>
      <c r="AH2933" s="412"/>
      <c r="AI2933" s="412"/>
      <c r="AJ2933" s="412"/>
      <c r="AK2933" s="412"/>
      <c r="AL2933" s="412"/>
      <c r="AM2933" s="412"/>
      <c r="AN2933" s="412"/>
      <c r="AO2933" s="412"/>
      <c r="AP2933" s="412"/>
      <c r="AQ2933" s="412"/>
      <c r="AR2933" s="412"/>
      <c r="AS2933" s="412"/>
      <c r="AT2933" s="412"/>
      <c r="AU2933" s="412"/>
      <c r="AV2933" s="412"/>
      <c r="AW2933" s="412"/>
      <c r="AX2933" s="412"/>
      <c r="AY2933" s="412"/>
      <c r="AZ2933" s="412"/>
      <c r="BA2933" s="477"/>
      <c r="BB2933" s="411">
        <f>+SUM(BB2934:BZ2936)</f>
        <v>0</v>
      </c>
      <c r="BC2933" s="412"/>
      <c r="BD2933" s="412"/>
      <c r="BE2933" s="412"/>
      <c r="BF2933" s="412"/>
      <c r="BG2933" s="412"/>
      <c r="BH2933" s="412"/>
      <c r="BI2933" s="412"/>
      <c r="BJ2933" s="412"/>
      <c r="BK2933" s="412"/>
      <c r="BL2933" s="412"/>
      <c r="BM2933" s="412"/>
      <c r="BN2933" s="412"/>
      <c r="BO2933" s="412"/>
      <c r="BP2933" s="412"/>
      <c r="BQ2933" s="412"/>
      <c r="BR2933" s="412"/>
      <c r="BS2933" s="412"/>
      <c r="BT2933" s="412"/>
      <c r="BU2933" s="412"/>
      <c r="BV2933" s="412"/>
      <c r="BW2933" s="412"/>
      <c r="BX2933" s="412"/>
      <c r="BY2933" s="412"/>
      <c r="BZ2933" s="413"/>
      <c r="CA2933" s="270"/>
      <c r="CB2933" s="3" t="str">
        <f t="shared" si="532"/>
        <v>Riadok bude skrytý.</v>
      </c>
      <c r="CC2933" s="271" t="s">
        <v>832</v>
      </c>
      <c r="CD2933" s="4" t="s">
        <v>837</v>
      </c>
      <c r="CW2933" s="30">
        <f t="shared" si="531"/>
        <v>1</v>
      </c>
      <c r="CZ2933" s="30">
        <f t="shared" si="533"/>
        <v>1</v>
      </c>
      <c r="DA2933" s="30">
        <f t="shared" si="530"/>
        <v>1</v>
      </c>
      <c r="DB2933" s="2">
        <f t="shared" si="524"/>
        <v>0</v>
      </c>
      <c r="DS2933" s="130">
        <f>SI!BY2933</f>
        <v>172</v>
      </c>
      <c r="DZ2933" s="131">
        <f>SI!BZ2933</f>
        <v>0</v>
      </c>
    </row>
    <row r="2934" spans="1:130" ht="14.95" hidden="1" customHeight="1" x14ac:dyDescent="0.25">
      <c r="A2934" s="141"/>
      <c r="B2934" s="1086" t="s">
        <v>284</v>
      </c>
      <c r="C2934" s="1087"/>
      <c r="D2934" s="1087"/>
      <c r="E2934" s="1087"/>
      <c r="F2934" s="1087"/>
      <c r="G2934" s="1087"/>
      <c r="H2934" s="1087"/>
      <c r="I2934" s="1087"/>
      <c r="J2934" s="1087"/>
      <c r="K2934" s="1087"/>
      <c r="L2934" s="1087"/>
      <c r="M2934" s="1087"/>
      <c r="N2934" s="1087"/>
      <c r="O2934" s="1087"/>
      <c r="P2934" s="1087"/>
      <c r="Q2934" s="1087"/>
      <c r="R2934" s="1087"/>
      <c r="S2934" s="1087"/>
      <c r="T2934" s="1087"/>
      <c r="U2934" s="1087"/>
      <c r="V2934" s="1087"/>
      <c r="W2934" s="1087"/>
      <c r="X2934" s="1087"/>
      <c r="Y2934" s="1087"/>
      <c r="Z2934" s="1087"/>
      <c r="AA2934" s="1088"/>
      <c r="AB2934" s="1089"/>
      <c r="AC2934" s="540"/>
      <c r="AD2934" s="540"/>
      <c r="AE2934" s="540"/>
      <c r="AF2934" s="540"/>
      <c r="AG2934" s="540"/>
      <c r="AH2934" s="540"/>
      <c r="AI2934" s="540"/>
      <c r="AJ2934" s="540"/>
      <c r="AK2934" s="540"/>
      <c r="AL2934" s="540"/>
      <c r="AM2934" s="540"/>
      <c r="AN2934" s="540"/>
      <c r="AO2934" s="540"/>
      <c r="AP2934" s="540"/>
      <c r="AQ2934" s="540"/>
      <c r="AR2934" s="540"/>
      <c r="AS2934" s="540"/>
      <c r="AT2934" s="540"/>
      <c r="AU2934" s="540"/>
      <c r="AV2934" s="540"/>
      <c r="AW2934" s="540"/>
      <c r="AX2934" s="540"/>
      <c r="AY2934" s="540"/>
      <c r="AZ2934" s="540"/>
      <c r="BA2934" s="481"/>
      <c r="BB2934" s="1089"/>
      <c r="BC2934" s="540"/>
      <c r="BD2934" s="540"/>
      <c r="BE2934" s="540"/>
      <c r="BF2934" s="540"/>
      <c r="BG2934" s="540"/>
      <c r="BH2934" s="540"/>
      <c r="BI2934" s="540"/>
      <c r="BJ2934" s="540"/>
      <c r="BK2934" s="540"/>
      <c r="BL2934" s="540"/>
      <c r="BM2934" s="540"/>
      <c r="BN2934" s="540"/>
      <c r="BO2934" s="540"/>
      <c r="BP2934" s="540"/>
      <c r="BQ2934" s="540"/>
      <c r="BR2934" s="540"/>
      <c r="BS2934" s="540"/>
      <c r="BT2934" s="540"/>
      <c r="BU2934" s="540"/>
      <c r="BV2934" s="540"/>
      <c r="BW2934" s="540"/>
      <c r="BX2934" s="540"/>
      <c r="BY2934" s="540"/>
      <c r="BZ2934" s="1100"/>
      <c r="CA2934" s="270"/>
      <c r="CB2934" s="3" t="str">
        <f t="shared" si="532"/>
        <v>Riadok bude skrytý.</v>
      </c>
      <c r="CC2934" s="271" t="s">
        <v>832</v>
      </c>
      <c r="CW2934" s="30">
        <f t="shared" si="531"/>
        <v>1</v>
      </c>
      <c r="CZ2934" s="30">
        <f t="shared" si="533"/>
        <v>1</v>
      </c>
      <c r="DA2934" s="30">
        <f t="shared" si="530"/>
        <v>1</v>
      </c>
      <c r="DB2934" s="2">
        <f t="shared" ref="DB2934:DB2997" si="534">+IF($CD$1="malé",0,DA2934)</f>
        <v>0</v>
      </c>
      <c r="DS2934" s="130">
        <f>SI!BY2934</f>
        <v>113</v>
      </c>
      <c r="DZ2934" s="131">
        <f>SI!BZ2934</f>
        <v>0</v>
      </c>
    </row>
    <row r="2935" spans="1:130" ht="14.95" hidden="1" customHeight="1" x14ac:dyDescent="0.25">
      <c r="A2935" s="141"/>
      <c r="B2935" s="1097" t="s">
        <v>282</v>
      </c>
      <c r="C2935" s="1098"/>
      <c r="D2935" s="1098"/>
      <c r="E2935" s="1098"/>
      <c r="F2935" s="1098"/>
      <c r="G2935" s="1098"/>
      <c r="H2935" s="1098"/>
      <c r="I2935" s="1098"/>
      <c r="J2935" s="1098"/>
      <c r="K2935" s="1098"/>
      <c r="L2935" s="1098"/>
      <c r="M2935" s="1098"/>
      <c r="N2935" s="1098"/>
      <c r="O2935" s="1098"/>
      <c r="P2935" s="1098"/>
      <c r="Q2935" s="1098"/>
      <c r="R2935" s="1098"/>
      <c r="S2935" s="1098"/>
      <c r="T2935" s="1098"/>
      <c r="U2935" s="1098"/>
      <c r="V2935" s="1098"/>
      <c r="W2935" s="1098"/>
      <c r="X2935" s="1098"/>
      <c r="Y2935" s="1098"/>
      <c r="Z2935" s="1098"/>
      <c r="AA2935" s="1099"/>
      <c r="AB2935" s="1089"/>
      <c r="AC2935" s="540"/>
      <c r="AD2935" s="540"/>
      <c r="AE2935" s="540"/>
      <c r="AF2935" s="540"/>
      <c r="AG2935" s="540"/>
      <c r="AH2935" s="540"/>
      <c r="AI2935" s="540"/>
      <c r="AJ2935" s="540"/>
      <c r="AK2935" s="540"/>
      <c r="AL2935" s="540"/>
      <c r="AM2935" s="540"/>
      <c r="AN2935" s="540"/>
      <c r="AO2935" s="540"/>
      <c r="AP2935" s="540"/>
      <c r="AQ2935" s="540"/>
      <c r="AR2935" s="540"/>
      <c r="AS2935" s="540"/>
      <c r="AT2935" s="540"/>
      <c r="AU2935" s="540"/>
      <c r="AV2935" s="540"/>
      <c r="AW2935" s="540"/>
      <c r="AX2935" s="540"/>
      <c r="AY2935" s="540"/>
      <c r="AZ2935" s="540"/>
      <c r="BA2935" s="481"/>
      <c r="BB2935" s="1089"/>
      <c r="BC2935" s="540"/>
      <c r="BD2935" s="540"/>
      <c r="BE2935" s="540"/>
      <c r="BF2935" s="540"/>
      <c r="BG2935" s="540"/>
      <c r="BH2935" s="540"/>
      <c r="BI2935" s="540"/>
      <c r="BJ2935" s="540"/>
      <c r="BK2935" s="540"/>
      <c r="BL2935" s="540"/>
      <c r="BM2935" s="540"/>
      <c r="BN2935" s="540"/>
      <c r="BO2935" s="540"/>
      <c r="BP2935" s="540"/>
      <c r="BQ2935" s="540"/>
      <c r="BR2935" s="540"/>
      <c r="BS2935" s="540"/>
      <c r="BT2935" s="540"/>
      <c r="BU2935" s="540"/>
      <c r="BV2935" s="540"/>
      <c r="BW2935" s="540"/>
      <c r="BX2935" s="540"/>
      <c r="BY2935" s="540"/>
      <c r="BZ2935" s="1100"/>
      <c r="CA2935" s="270"/>
      <c r="CB2935" s="3" t="str">
        <f t="shared" si="532"/>
        <v>Riadok bude skrytý.</v>
      </c>
      <c r="CC2935" s="271" t="s">
        <v>832</v>
      </c>
      <c r="CW2935" s="30">
        <f t="shared" si="531"/>
        <v>1</v>
      </c>
      <c r="CZ2935" s="30">
        <f t="shared" si="533"/>
        <v>1</v>
      </c>
      <c r="DA2935" s="30">
        <f t="shared" si="530"/>
        <v>1</v>
      </c>
      <c r="DB2935" s="2">
        <f t="shared" si="534"/>
        <v>0</v>
      </c>
      <c r="DS2935" s="130">
        <f>SI!BY2935</f>
        <v>156</v>
      </c>
      <c r="DZ2935" s="131">
        <f>SI!BZ2935</f>
        <v>0</v>
      </c>
    </row>
    <row r="2936" spans="1:130" ht="14.95" hidden="1" customHeight="1" x14ac:dyDescent="0.25">
      <c r="A2936" s="141"/>
      <c r="B2936" s="1097" t="s">
        <v>254</v>
      </c>
      <c r="C2936" s="1098"/>
      <c r="D2936" s="1098"/>
      <c r="E2936" s="1098"/>
      <c r="F2936" s="1098"/>
      <c r="G2936" s="1098"/>
      <c r="H2936" s="1098"/>
      <c r="I2936" s="1098"/>
      <c r="J2936" s="1098"/>
      <c r="K2936" s="1098"/>
      <c r="L2936" s="1098"/>
      <c r="M2936" s="1098"/>
      <c r="N2936" s="1098"/>
      <c r="O2936" s="1098"/>
      <c r="P2936" s="1098"/>
      <c r="Q2936" s="1098"/>
      <c r="R2936" s="1098"/>
      <c r="S2936" s="1098"/>
      <c r="T2936" s="1098"/>
      <c r="U2936" s="1098"/>
      <c r="V2936" s="1098"/>
      <c r="W2936" s="1098"/>
      <c r="X2936" s="1098"/>
      <c r="Y2936" s="1098"/>
      <c r="Z2936" s="1098"/>
      <c r="AA2936" s="1099"/>
      <c r="AB2936" s="1089"/>
      <c r="AC2936" s="540"/>
      <c r="AD2936" s="540"/>
      <c r="AE2936" s="540"/>
      <c r="AF2936" s="540"/>
      <c r="AG2936" s="540"/>
      <c r="AH2936" s="540"/>
      <c r="AI2936" s="540"/>
      <c r="AJ2936" s="540"/>
      <c r="AK2936" s="540"/>
      <c r="AL2936" s="540"/>
      <c r="AM2936" s="540"/>
      <c r="AN2936" s="540"/>
      <c r="AO2936" s="540"/>
      <c r="AP2936" s="540"/>
      <c r="AQ2936" s="540"/>
      <c r="AR2936" s="540"/>
      <c r="AS2936" s="540"/>
      <c r="AT2936" s="540"/>
      <c r="AU2936" s="540"/>
      <c r="AV2936" s="540"/>
      <c r="AW2936" s="540"/>
      <c r="AX2936" s="540"/>
      <c r="AY2936" s="540"/>
      <c r="AZ2936" s="540"/>
      <c r="BA2936" s="481"/>
      <c r="BB2936" s="1089"/>
      <c r="BC2936" s="540"/>
      <c r="BD2936" s="540"/>
      <c r="BE2936" s="540"/>
      <c r="BF2936" s="540"/>
      <c r="BG2936" s="540"/>
      <c r="BH2936" s="540"/>
      <c r="BI2936" s="540"/>
      <c r="BJ2936" s="540"/>
      <c r="BK2936" s="540"/>
      <c r="BL2936" s="540"/>
      <c r="BM2936" s="540"/>
      <c r="BN2936" s="540"/>
      <c r="BO2936" s="540"/>
      <c r="BP2936" s="540"/>
      <c r="BQ2936" s="540"/>
      <c r="BR2936" s="540"/>
      <c r="BS2936" s="540"/>
      <c r="BT2936" s="540"/>
      <c r="BU2936" s="540"/>
      <c r="BV2936" s="540"/>
      <c r="BW2936" s="540"/>
      <c r="BX2936" s="540"/>
      <c r="BY2936" s="540"/>
      <c r="BZ2936" s="1100"/>
      <c r="CA2936" s="270"/>
      <c r="CB2936" s="3" t="str">
        <f t="shared" si="532"/>
        <v>Riadok bude skrytý.</v>
      </c>
      <c r="CC2936" s="271" t="s">
        <v>832</v>
      </c>
      <c r="CD2936" s="137"/>
      <c r="CE2936" s="137"/>
      <c r="CW2936" s="30">
        <f t="shared" si="531"/>
        <v>1</v>
      </c>
      <c r="CZ2936" s="30">
        <f>IF(CC2936="",1,IF(CC2936="Chcem skryť riadok.",0,1))</f>
        <v>1</v>
      </c>
      <c r="DA2936" s="30">
        <f>+IF(CW2936+CX2936+CY2936=0,0,IF(CZ2936=0,0,1))</f>
        <v>1</v>
      </c>
      <c r="DB2936" s="2">
        <f t="shared" si="534"/>
        <v>0</v>
      </c>
      <c r="DS2936" s="130">
        <f>SI!BY2936</f>
        <v>167</v>
      </c>
      <c r="DZ2936" s="131">
        <f>SI!BZ2936</f>
        <v>0</v>
      </c>
    </row>
    <row r="2937" spans="1:130" ht="16.3" hidden="1" x14ac:dyDescent="0.3">
      <c r="A2937" s="141"/>
      <c r="B2937" s="16"/>
      <c r="G2937" s="16"/>
      <c r="H2937" s="16"/>
      <c r="CA2937" s="270"/>
      <c r="CB2937" s="3" t="str">
        <f t="shared" si="532"/>
        <v>Riadok bude skrytý.</v>
      </c>
      <c r="CC2937" s="271" t="s">
        <v>832</v>
      </c>
      <c r="CW2937" s="30">
        <f t="shared" si="531"/>
        <v>1</v>
      </c>
      <c r="CZ2937" s="30">
        <f t="shared" si="533"/>
        <v>1</v>
      </c>
      <c r="DA2937" s="30">
        <f t="shared" si="530"/>
        <v>1</v>
      </c>
      <c r="DB2937" s="2">
        <f t="shared" si="534"/>
        <v>0</v>
      </c>
      <c r="DS2937" s="130">
        <f>SI!BY2937</f>
        <v>194</v>
      </c>
      <c r="DZ2937" s="131">
        <f>SI!BZ2937</f>
        <v>0</v>
      </c>
    </row>
    <row r="2938" spans="1:130" ht="16.3" hidden="1" x14ac:dyDescent="0.3">
      <c r="A2938" s="141"/>
      <c r="B2938" s="137" t="str">
        <f>+IF($M$52&lt;&gt;"",IF(SQRT(INT(FACT(DAY(24324))*FACT(DAY(24385))/576))=DS2938,"Spoločnosť k odloženým daniam uvádza nasledujúce údaje:","NEPOVOLENÉ POUŽITIE!"),"NEPOVOLENÉ POUŽITIE!")</f>
        <v>Spoločnosť k odloženým daniam uvádza nasledujúce údaje:</v>
      </c>
      <c r="G2938" s="16"/>
      <c r="H2938" s="16"/>
      <c r="CA2938" s="265" t="s">
        <v>773</v>
      </c>
      <c r="CB2938" s="3" t="str">
        <f t="shared" si="532"/>
        <v>Riadok bude skrytý.</v>
      </c>
      <c r="CC2938" s="271" t="s">
        <v>832</v>
      </c>
      <c r="CW2938" s="30">
        <f t="shared" si="531"/>
        <v>1</v>
      </c>
      <c r="CZ2938" s="30">
        <f t="shared" si="533"/>
        <v>1</v>
      </c>
      <c r="DA2938" s="30">
        <f t="shared" si="530"/>
        <v>1</v>
      </c>
      <c r="DB2938" s="2">
        <f t="shared" si="534"/>
        <v>0</v>
      </c>
      <c r="DS2938" s="130">
        <f>SI!BY2938</f>
        <v>5</v>
      </c>
      <c r="DZ2938" s="131">
        <f>SI!BZ2938</f>
        <v>0</v>
      </c>
    </row>
    <row r="2939" spans="1:130" hidden="1" x14ac:dyDescent="0.25">
      <c r="A2939" s="141"/>
      <c r="CA2939" s="281"/>
      <c r="CB2939" s="3" t="str">
        <f t="shared" si="532"/>
        <v>Riadok bude skrytý.</v>
      </c>
      <c r="CC2939" s="271" t="s">
        <v>832</v>
      </c>
      <c r="CW2939" s="30">
        <f t="shared" si="531"/>
        <v>1</v>
      </c>
      <c r="CZ2939" s="30">
        <f t="shared" si="533"/>
        <v>1</v>
      </c>
      <c r="DA2939" s="30">
        <f t="shared" si="530"/>
        <v>1</v>
      </c>
      <c r="DB2939" s="2">
        <f t="shared" si="534"/>
        <v>0</v>
      </c>
      <c r="DS2939" s="130">
        <f>SI!BY2939</f>
        <v>118</v>
      </c>
      <c r="DZ2939" s="131">
        <f>SI!BZ2939</f>
        <v>0</v>
      </c>
    </row>
    <row r="2940" spans="1:130" ht="14.95" hidden="1" customHeight="1" x14ac:dyDescent="0.25">
      <c r="A2940" s="141"/>
      <c r="B2940" s="439" t="s">
        <v>171</v>
      </c>
      <c r="C2940" s="440"/>
      <c r="D2940" s="440"/>
      <c r="E2940" s="440"/>
      <c r="F2940" s="440"/>
      <c r="G2940" s="440"/>
      <c r="H2940" s="440"/>
      <c r="I2940" s="440"/>
      <c r="J2940" s="440"/>
      <c r="K2940" s="440"/>
      <c r="L2940" s="440"/>
      <c r="M2940" s="440"/>
      <c r="N2940" s="440"/>
      <c r="O2940" s="440"/>
      <c r="P2940" s="440"/>
      <c r="Q2940" s="440"/>
      <c r="R2940" s="440"/>
      <c r="S2940" s="440"/>
      <c r="T2940" s="440"/>
      <c r="U2940" s="440"/>
      <c r="V2940" s="440"/>
      <c r="W2940" s="440"/>
      <c r="X2940" s="440"/>
      <c r="Y2940" s="440"/>
      <c r="Z2940" s="440"/>
      <c r="AA2940" s="440"/>
      <c r="AB2940" s="440"/>
      <c r="AC2940" s="440"/>
      <c r="AD2940" s="440"/>
      <c r="AE2940" s="440"/>
      <c r="AF2940" s="440"/>
      <c r="AG2940" s="440"/>
      <c r="AH2940" s="440"/>
      <c r="AI2940" s="440"/>
      <c r="AJ2940" s="440"/>
      <c r="AK2940" s="440"/>
      <c r="AL2940" s="440"/>
      <c r="AM2940" s="440"/>
      <c r="AN2940" s="440"/>
      <c r="AO2940" s="440"/>
      <c r="AP2940" s="440"/>
      <c r="AQ2940" s="440"/>
      <c r="AR2940" s="440"/>
      <c r="AS2940" s="440"/>
      <c r="AT2940" s="440"/>
      <c r="AU2940" s="440"/>
      <c r="AV2940" s="441"/>
      <c r="AW2940" s="636" t="s">
        <v>959</v>
      </c>
      <c r="AX2940" s="637"/>
      <c r="AY2940" s="637"/>
      <c r="AZ2940" s="637"/>
      <c r="BA2940" s="637"/>
      <c r="BB2940" s="637"/>
      <c r="BC2940" s="637"/>
      <c r="BD2940" s="637"/>
      <c r="BE2940" s="637"/>
      <c r="BF2940" s="637"/>
      <c r="BG2940" s="637"/>
      <c r="BH2940" s="637"/>
      <c r="BI2940" s="637"/>
      <c r="BJ2940" s="637"/>
      <c r="BK2940" s="637"/>
      <c r="BL2940" s="638"/>
      <c r="BM2940" s="636" t="s">
        <v>960</v>
      </c>
      <c r="BN2940" s="637"/>
      <c r="BO2940" s="637"/>
      <c r="BP2940" s="637"/>
      <c r="BQ2940" s="637"/>
      <c r="BR2940" s="637"/>
      <c r="BS2940" s="637"/>
      <c r="BT2940" s="637"/>
      <c r="BU2940" s="637"/>
      <c r="BV2940" s="637"/>
      <c r="BW2940" s="637"/>
      <c r="BX2940" s="637"/>
      <c r="BY2940" s="637"/>
      <c r="BZ2940" s="638"/>
      <c r="CA2940" s="265" t="s">
        <v>773</v>
      </c>
      <c r="CB2940" s="3" t="str">
        <f t="shared" si="532"/>
        <v>Riadok bude skrytý.</v>
      </c>
      <c r="CC2940" s="271" t="s">
        <v>832</v>
      </c>
      <c r="CD2940" s="137"/>
      <c r="CW2940" s="30">
        <f t="shared" si="531"/>
        <v>1</v>
      </c>
      <c r="CZ2940" s="30">
        <f t="shared" si="533"/>
        <v>1</v>
      </c>
      <c r="DA2940" s="30">
        <f t="shared" si="530"/>
        <v>1</v>
      </c>
      <c r="DB2940" s="2">
        <f t="shared" si="534"/>
        <v>0</v>
      </c>
      <c r="DS2940" s="130">
        <f>SI!BY2940</f>
        <v>113</v>
      </c>
      <c r="DZ2940" s="131">
        <f>SI!BZ2940</f>
        <v>0</v>
      </c>
    </row>
    <row r="2941" spans="1:130" hidden="1" x14ac:dyDescent="0.25">
      <c r="A2941" s="141"/>
      <c r="B2941" s="442"/>
      <c r="C2941" s="443"/>
      <c r="D2941" s="443"/>
      <c r="E2941" s="443"/>
      <c r="F2941" s="443"/>
      <c r="G2941" s="443"/>
      <c r="H2941" s="443"/>
      <c r="I2941" s="443"/>
      <c r="J2941" s="443"/>
      <c r="K2941" s="443"/>
      <c r="L2941" s="443"/>
      <c r="M2941" s="443"/>
      <c r="N2941" s="443"/>
      <c r="O2941" s="443"/>
      <c r="P2941" s="443"/>
      <c r="Q2941" s="443"/>
      <c r="R2941" s="443"/>
      <c r="S2941" s="443"/>
      <c r="T2941" s="443"/>
      <c r="U2941" s="443"/>
      <c r="V2941" s="443"/>
      <c r="W2941" s="443"/>
      <c r="X2941" s="443"/>
      <c r="Y2941" s="443"/>
      <c r="Z2941" s="443"/>
      <c r="AA2941" s="443"/>
      <c r="AB2941" s="443"/>
      <c r="AC2941" s="443"/>
      <c r="AD2941" s="443"/>
      <c r="AE2941" s="443"/>
      <c r="AF2941" s="443"/>
      <c r="AG2941" s="443"/>
      <c r="AH2941" s="443"/>
      <c r="AI2941" s="443"/>
      <c r="AJ2941" s="443"/>
      <c r="AK2941" s="443"/>
      <c r="AL2941" s="443"/>
      <c r="AM2941" s="443"/>
      <c r="AN2941" s="443"/>
      <c r="AO2941" s="443"/>
      <c r="AP2941" s="443"/>
      <c r="AQ2941" s="443"/>
      <c r="AR2941" s="443"/>
      <c r="AS2941" s="443"/>
      <c r="AT2941" s="443"/>
      <c r="AU2941" s="443"/>
      <c r="AV2941" s="444"/>
      <c r="AW2941" s="1105">
        <f>+AJ141</f>
        <v>2021</v>
      </c>
      <c r="AX2941" s="1106"/>
      <c r="AY2941" s="1106"/>
      <c r="AZ2941" s="1106"/>
      <c r="BA2941" s="1106"/>
      <c r="BB2941" s="1106"/>
      <c r="BC2941" s="1106"/>
      <c r="BD2941" s="1106"/>
      <c r="BE2941" s="1106"/>
      <c r="BF2941" s="1106"/>
      <c r="BG2941" s="1106"/>
      <c r="BH2941" s="1106"/>
      <c r="BI2941" s="1106"/>
      <c r="BJ2941" s="1106"/>
      <c r="BK2941" s="1106"/>
      <c r="BL2941" s="1107"/>
      <c r="BM2941" s="1105">
        <f>+BE141</f>
        <v>2020</v>
      </c>
      <c r="BN2941" s="1106"/>
      <c r="BO2941" s="1106"/>
      <c r="BP2941" s="1106"/>
      <c r="BQ2941" s="1106"/>
      <c r="BR2941" s="1106"/>
      <c r="BS2941" s="1106"/>
      <c r="BT2941" s="1106"/>
      <c r="BU2941" s="1106"/>
      <c r="BV2941" s="1106"/>
      <c r="BW2941" s="1106"/>
      <c r="BX2941" s="1106"/>
      <c r="BY2941" s="1106"/>
      <c r="BZ2941" s="1107"/>
      <c r="CA2941" s="270"/>
      <c r="CB2941" s="3" t="str">
        <f t="shared" si="532"/>
        <v>Riadok bude skrytý.</v>
      </c>
      <c r="CC2941" s="271" t="s">
        <v>832</v>
      </c>
      <c r="CW2941" s="30">
        <f t="shared" si="531"/>
        <v>1</v>
      </c>
      <c r="CZ2941" s="30">
        <f t="shared" si="533"/>
        <v>1</v>
      </c>
      <c r="DA2941" s="30">
        <f t="shared" si="530"/>
        <v>1</v>
      </c>
      <c r="DB2941" s="2">
        <f t="shared" si="534"/>
        <v>0</v>
      </c>
      <c r="DS2941" s="130">
        <f>SI!BY2941</f>
        <v>175</v>
      </c>
      <c r="DZ2941" s="131">
        <f>SI!BZ2941</f>
        <v>0</v>
      </c>
    </row>
    <row r="2942" spans="1:130" ht="25.5" hidden="1" customHeight="1" x14ac:dyDescent="0.25">
      <c r="A2942" s="141"/>
      <c r="B2942" s="1925" t="s">
        <v>380</v>
      </c>
      <c r="C2942" s="1926"/>
      <c r="D2942" s="1926"/>
      <c r="E2942" s="1926"/>
      <c r="F2942" s="1926"/>
      <c r="G2942" s="1926"/>
      <c r="H2942" s="1926"/>
      <c r="I2942" s="1926"/>
      <c r="J2942" s="1926"/>
      <c r="K2942" s="1926"/>
      <c r="L2942" s="1926"/>
      <c r="M2942" s="1926"/>
      <c r="N2942" s="1926"/>
      <c r="O2942" s="1926"/>
      <c r="P2942" s="1926"/>
      <c r="Q2942" s="1926"/>
      <c r="R2942" s="1926"/>
      <c r="S2942" s="1926"/>
      <c r="T2942" s="1926"/>
      <c r="U2942" s="1926"/>
      <c r="V2942" s="1926"/>
      <c r="W2942" s="1926"/>
      <c r="X2942" s="1926"/>
      <c r="Y2942" s="1926"/>
      <c r="Z2942" s="1926"/>
      <c r="AA2942" s="1926"/>
      <c r="AB2942" s="1926"/>
      <c r="AC2942" s="1926"/>
      <c r="AD2942" s="1926"/>
      <c r="AE2942" s="1926"/>
      <c r="AF2942" s="1926"/>
      <c r="AG2942" s="1926"/>
      <c r="AH2942" s="1926"/>
      <c r="AI2942" s="1926"/>
      <c r="AJ2942" s="1926"/>
      <c r="AK2942" s="1926"/>
      <c r="AL2942" s="1926"/>
      <c r="AM2942" s="1926"/>
      <c r="AN2942" s="1926"/>
      <c r="AO2942" s="1926"/>
      <c r="AP2942" s="1926"/>
      <c r="AQ2942" s="1926"/>
      <c r="AR2942" s="1926"/>
      <c r="AS2942" s="1926"/>
      <c r="AT2942" s="1926"/>
      <c r="AU2942" s="1926"/>
      <c r="AV2942" s="2126"/>
      <c r="AW2942" s="617"/>
      <c r="AX2942" s="617"/>
      <c r="AY2942" s="617"/>
      <c r="AZ2942" s="617"/>
      <c r="BA2942" s="617"/>
      <c r="BB2942" s="617"/>
      <c r="BC2942" s="617"/>
      <c r="BD2942" s="617"/>
      <c r="BE2942" s="617"/>
      <c r="BF2942" s="617"/>
      <c r="BG2942" s="617"/>
      <c r="BH2942" s="617"/>
      <c r="BI2942" s="617"/>
      <c r="BJ2942" s="617"/>
      <c r="BK2942" s="617"/>
      <c r="BL2942" s="617"/>
      <c r="BM2942" s="617"/>
      <c r="BN2942" s="617"/>
      <c r="BO2942" s="617"/>
      <c r="BP2942" s="617"/>
      <c r="BQ2942" s="617"/>
      <c r="BR2942" s="617"/>
      <c r="BS2942" s="617"/>
      <c r="BT2942" s="617"/>
      <c r="BU2942" s="617"/>
      <c r="BV2942" s="617"/>
      <c r="BW2942" s="617"/>
      <c r="BX2942" s="617"/>
      <c r="BY2942" s="617"/>
      <c r="BZ2942" s="617"/>
      <c r="CA2942" s="270"/>
      <c r="CB2942" s="3" t="str">
        <f t="shared" si="532"/>
        <v>Riadok bude skrytý.</v>
      </c>
      <c r="CC2942" s="271" t="s">
        <v>832</v>
      </c>
      <c r="CW2942" s="30">
        <f t="shared" si="531"/>
        <v>1</v>
      </c>
      <c r="CZ2942" s="30">
        <f t="shared" si="533"/>
        <v>1</v>
      </c>
      <c r="DA2942" s="30">
        <f t="shared" si="530"/>
        <v>1</v>
      </c>
      <c r="DB2942" s="2">
        <f t="shared" si="534"/>
        <v>0</v>
      </c>
      <c r="DS2942" s="130">
        <f>SI!BY2942</f>
        <v>190</v>
      </c>
      <c r="DZ2942" s="131">
        <f>SI!BZ2942</f>
        <v>0</v>
      </c>
    </row>
    <row r="2943" spans="1:130" ht="27.7" hidden="1" customHeight="1" x14ac:dyDescent="0.25">
      <c r="A2943" s="141"/>
      <c r="B2943" s="717" t="s">
        <v>381</v>
      </c>
      <c r="C2943" s="718"/>
      <c r="D2943" s="718"/>
      <c r="E2943" s="718"/>
      <c r="F2943" s="718"/>
      <c r="G2943" s="718"/>
      <c r="H2943" s="718"/>
      <c r="I2943" s="718"/>
      <c r="J2943" s="718"/>
      <c r="K2943" s="718"/>
      <c r="L2943" s="718"/>
      <c r="M2943" s="718"/>
      <c r="N2943" s="718"/>
      <c r="O2943" s="718"/>
      <c r="P2943" s="718"/>
      <c r="Q2943" s="718"/>
      <c r="R2943" s="718"/>
      <c r="S2943" s="718"/>
      <c r="T2943" s="718"/>
      <c r="U2943" s="718"/>
      <c r="V2943" s="718"/>
      <c r="W2943" s="718"/>
      <c r="X2943" s="718"/>
      <c r="Y2943" s="718"/>
      <c r="Z2943" s="718"/>
      <c r="AA2943" s="718"/>
      <c r="AB2943" s="718"/>
      <c r="AC2943" s="718"/>
      <c r="AD2943" s="718"/>
      <c r="AE2943" s="718"/>
      <c r="AF2943" s="718"/>
      <c r="AG2943" s="718"/>
      <c r="AH2943" s="718"/>
      <c r="AI2943" s="718"/>
      <c r="AJ2943" s="718"/>
      <c r="AK2943" s="718"/>
      <c r="AL2943" s="718"/>
      <c r="AM2943" s="718"/>
      <c r="AN2943" s="718"/>
      <c r="AO2943" s="718"/>
      <c r="AP2943" s="718"/>
      <c r="AQ2943" s="718"/>
      <c r="AR2943" s="718"/>
      <c r="AS2943" s="718"/>
      <c r="AT2943" s="718"/>
      <c r="AU2943" s="718"/>
      <c r="AV2943" s="719"/>
      <c r="AW2943" s="1574"/>
      <c r="AX2943" s="1574"/>
      <c r="AY2943" s="1574"/>
      <c r="AZ2943" s="1574"/>
      <c r="BA2943" s="1574"/>
      <c r="BB2943" s="1574"/>
      <c r="BC2943" s="1574"/>
      <c r="BD2943" s="1574"/>
      <c r="BE2943" s="1574"/>
      <c r="BF2943" s="1574"/>
      <c r="BG2943" s="1574"/>
      <c r="BH2943" s="1574"/>
      <c r="BI2943" s="1574"/>
      <c r="BJ2943" s="1574"/>
      <c r="BK2943" s="1574"/>
      <c r="BL2943" s="1574"/>
      <c r="BM2943" s="1574"/>
      <c r="BN2943" s="1574"/>
      <c r="BO2943" s="1574"/>
      <c r="BP2943" s="1574"/>
      <c r="BQ2943" s="1574"/>
      <c r="BR2943" s="1574"/>
      <c r="BS2943" s="1574"/>
      <c r="BT2943" s="1574"/>
      <c r="BU2943" s="1574"/>
      <c r="BV2943" s="1574"/>
      <c r="BW2943" s="1574"/>
      <c r="BX2943" s="1574"/>
      <c r="BY2943" s="1574"/>
      <c r="BZ2943" s="1574"/>
      <c r="CA2943" s="270"/>
      <c r="CB2943" s="3" t="str">
        <f t="shared" si="532"/>
        <v>Riadok bude skrytý.</v>
      </c>
      <c r="CC2943" s="271" t="s">
        <v>832</v>
      </c>
      <c r="CW2943" s="30">
        <f t="shared" si="531"/>
        <v>1</v>
      </c>
      <c r="CZ2943" s="30">
        <f t="shared" si="533"/>
        <v>1</v>
      </c>
      <c r="DA2943" s="30">
        <f t="shared" si="530"/>
        <v>1</v>
      </c>
      <c r="DB2943" s="2">
        <f t="shared" si="534"/>
        <v>0</v>
      </c>
      <c r="DS2943" s="130">
        <f>SI!BY2943</f>
        <v>177</v>
      </c>
      <c r="DZ2943" s="131">
        <f>SI!BZ2943</f>
        <v>0</v>
      </c>
    </row>
    <row r="2944" spans="1:130" ht="60.8" hidden="1" customHeight="1" x14ac:dyDescent="0.25">
      <c r="A2944" s="141"/>
      <c r="B2944" s="717" t="s">
        <v>382</v>
      </c>
      <c r="C2944" s="718"/>
      <c r="D2944" s="718"/>
      <c r="E2944" s="718"/>
      <c r="F2944" s="718"/>
      <c r="G2944" s="718"/>
      <c r="H2944" s="718"/>
      <c r="I2944" s="718"/>
      <c r="J2944" s="718"/>
      <c r="K2944" s="718"/>
      <c r="L2944" s="718"/>
      <c r="M2944" s="718"/>
      <c r="N2944" s="718"/>
      <c r="O2944" s="718"/>
      <c r="P2944" s="718"/>
      <c r="Q2944" s="718"/>
      <c r="R2944" s="718"/>
      <c r="S2944" s="718"/>
      <c r="T2944" s="718"/>
      <c r="U2944" s="718"/>
      <c r="V2944" s="718"/>
      <c r="W2944" s="718"/>
      <c r="X2944" s="718"/>
      <c r="Y2944" s="718"/>
      <c r="Z2944" s="718"/>
      <c r="AA2944" s="718"/>
      <c r="AB2944" s="718"/>
      <c r="AC2944" s="718"/>
      <c r="AD2944" s="718"/>
      <c r="AE2944" s="718"/>
      <c r="AF2944" s="718"/>
      <c r="AG2944" s="718"/>
      <c r="AH2944" s="718"/>
      <c r="AI2944" s="718"/>
      <c r="AJ2944" s="718"/>
      <c r="AK2944" s="718"/>
      <c r="AL2944" s="718"/>
      <c r="AM2944" s="718"/>
      <c r="AN2944" s="718"/>
      <c r="AO2944" s="718"/>
      <c r="AP2944" s="718"/>
      <c r="AQ2944" s="718"/>
      <c r="AR2944" s="718"/>
      <c r="AS2944" s="718"/>
      <c r="AT2944" s="718"/>
      <c r="AU2944" s="718"/>
      <c r="AV2944" s="719"/>
      <c r="AW2944" s="1574"/>
      <c r="AX2944" s="1574"/>
      <c r="AY2944" s="1574"/>
      <c r="AZ2944" s="1574"/>
      <c r="BA2944" s="1574"/>
      <c r="BB2944" s="1574"/>
      <c r="BC2944" s="1574"/>
      <c r="BD2944" s="1574"/>
      <c r="BE2944" s="1574"/>
      <c r="BF2944" s="1574"/>
      <c r="BG2944" s="1574"/>
      <c r="BH2944" s="1574"/>
      <c r="BI2944" s="1574"/>
      <c r="BJ2944" s="1574"/>
      <c r="BK2944" s="1574"/>
      <c r="BL2944" s="1574"/>
      <c r="BM2944" s="1574"/>
      <c r="BN2944" s="1574"/>
      <c r="BO2944" s="1574"/>
      <c r="BP2944" s="1574"/>
      <c r="BQ2944" s="1574"/>
      <c r="BR2944" s="1574"/>
      <c r="BS2944" s="1574"/>
      <c r="BT2944" s="1574"/>
      <c r="BU2944" s="1574"/>
      <c r="BV2944" s="1574"/>
      <c r="BW2944" s="1574"/>
      <c r="BX2944" s="1574"/>
      <c r="BY2944" s="1574"/>
      <c r="BZ2944" s="1574"/>
      <c r="CA2944" s="270"/>
      <c r="CB2944" s="3" t="str">
        <f t="shared" si="532"/>
        <v>Riadok bude skrytý.</v>
      </c>
      <c r="CC2944" s="271" t="s">
        <v>832</v>
      </c>
      <c r="CW2944" s="30">
        <f t="shared" si="531"/>
        <v>1</v>
      </c>
      <c r="CZ2944" s="30">
        <f t="shared" si="533"/>
        <v>1</v>
      </c>
      <c r="DA2944" s="30">
        <f t="shared" si="530"/>
        <v>1</v>
      </c>
      <c r="DB2944" s="2">
        <f t="shared" si="534"/>
        <v>0</v>
      </c>
      <c r="DS2944" s="130">
        <f>SI!BY2944</f>
        <v>133</v>
      </c>
      <c r="DZ2944" s="131">
        <f>SI!BZ2944</f>
        <v>0</v>
      </c>
    </row>
    <row r="2945" spans="1:130" ht="43.5" hidden="1" customHeight="1" x14ac:dyDescent="0.25">
      <c r="A2945" s="141"/>
      <c r="B2945" s="717" t="s">
        <v>383</v>
      </c>
      <c r="C2945" s="718"/>
      <c r="D2945" s="718"/>
      <c r="E2945" s="718"/>
      <c r="F2945" s="718"/>
      <c r="G2945" s="718"/>
      <c r="H2945" s="718"/>
      <c r="I2945" s="718"/>
      <c r="J2945" s="718"/>
      <c r="K2945" s="718"/>
      <c r="L2945" s="718"/>
      <c r="M2945" s="718"/>
      <c r="N2945" s="718"/>
      <c r="O2945" s="718"/>
      <c r="P2945" s="718"/>
      <c r="Q2945" s="718"/>
      <c r="R2945" s="718"/>
      <c r="S2945" s="718"/>
      <c r="T2945" s="718"/>
      <c r="U2945" s="718"/>
      <c r="V2945" s="718"/>
      <c r="W2945" s="718"/>
      <c r="X2945" s="718"/>
      <c r="Y2945" s="718"/>
      <c r="Z2945" s="718"/>
      <c r="AA2945" s="718"/>
      <c r="AB2945" s="718"/>
      <c r="AC2945" s="718"/>
      <c r="AD2945" s="718"/>
      <c r="AE2945" s="718"/>
      <c r="AF2945" s="718"/>
      <c r="AG2945" s="718"/>
      <c r="AH2945" s="718"/>
      <c r="AI2945" s="718"/>
      <c r="AJ2945" s="718"/>
      <c r="AK2945" s="718"/>
      <c r="AL2945" s="718"/>
      <c r="AM2945" s="718"/>
      <c r="AN2945" s="718"/>
      <c r="AO2945" s="718"/>
      <c r="AP2945" s="718"/>
      <c r="AQ2945" s="718"/>
      <c r="AR2945" s="718"/>
      <c r="AS2945" s="718"/>
      <c r="AT2945" s="718"/>
      <c r="AU2945" s="718"/>
      <c r="AV2945" s="719"/>
      <c r="AW2945" s="1574"/>
      <c r="AX2945" s="1574"/>
      <c r="AY2945" s="1574"/>
      <c r="AZ2945" s="1574"/>
      <c r="BA2945" s="1574"/>
      <c r="BB2945" s="1574"/>
      <c r="BC2945" s="1574"/>
      <c r="BD2945" s="1574"/>
      <c r="BE2945" s="1574"/>
      <c r="BF2945" s="1574"/>
      <c r="BG2945" s="1574"/>
      <c r="BH2945" s="1574"/>
      <c r="BI2945" s="1574"/>
      <c r="BJ2945" s="1574"/>
      <c r="BK2945" s="1574"/>
      <c r="BL2945" s="1574"/>
      <c r="BM2945" s="1574"/>
      <c r="BN2945" s="1574"/>
      <c r="BO2945" s="1574"/>
      <c r="BP2945" s="1574"/>
      <c r="BQ2945" s="1574"/>
      <c r="BR2945" s="1574"/>
      <c r="BS2945" s="1574"/>
      <c r="BT2945" s="1574"/>
      <c r="BU2945" s="1574"/>
      <c r="BV2945" s="1574"/>
      <c r="BW2945" s="1574"/>
      <c r="BX2945" s="1574"/>
      <c r="BY2945" s="1574"/>
      <c r="BZ2945" s="1574"/>
      <c r="CA2945" s="270"/>
      <c r="CB2945" s="3" t="str">
        <f t="shared" si="532"/>
        <v>Riadok bude skrytý.</v>
      </c>
      <c r="CC2945" s="271" t="s">
        <v>832</v>
      </c>
      <c r="CW2945" s="30">
        <f t="shared" si="531"/>
        <v>1</v>
      </c>
      <c r="CZ2945" s="30">
        <f t="shared" si="533"/>
        <v>1</v>
      </c>
      <c r="DA2945" s="30">
        <f t="shared" si="530"/>
        <v>1</v>
      </c>
      <c r="DB2945" s="2">
        <f t="shared" si="534"/>
        <v>0</v>
      </c>
      <c r="DS2945" s="130">
        <f>SI!BY2945</f>
        <v>184</v>
      </c>
      <c r="DZ2945" s="131">
        <f>SI!BZ2945</f>
        <v>0</v>
      </c>
    </row>
    <row r="2946" spans="1:130" ht="39.1" hidden="1" customHeight="1" x14ac:dyDescent="0.25">
      <c r="A2946" s="141"/>
      <c r="B2946" s="717" t="s">
        <v>385</v>
      </c>
      <c r="C2946" s="718"/>
      <c r="D2946" s="718"/>
      <c r="E2946" s="718"/>
      <c r="F2946" s="718"/>
      <c r="G2946" s="718"/>
      <c r="H2946" s="718"/>
      <c r="I2946" s="718"/>
      <c r="J2946" s="718"/>
      <c r="K2946" s="718"/>
      <c r="L2946" s="718"/>
      <c r="M2946" s="718"/>
      <c r="N2946" s="718"/>
      <c r="O2946" s="718"/>
      <c r="P2946" s="718"/>
      <c r="Q2946" s="718"/>
      <c r="R2946" s="718"/>
      <c r="S2946" s="718"/>
      <c r="T2946" s="718"/>
      <c r="U2946" s="718"/>
      <c r="V2946" s="718"/>
      <c r="W2946" s="718"/>
      <c r="X2946" s="718"/>
      <c r="Y2946" s="718"/>
      <c r="Z2946" s="718"/>
      <c r="AA2946" s="718"/>
      <c r="AB2946" s="718"/>
      <c r="AC2946" s="718"/>
      <c r="AD2946" s="718"/>
      <c r="AE2946" s="718"/>
      <c r="AF2946" s="718"/>
      <c r="AG2946" s="718"/>
      <c r="AH2946" s="718"/>
      <c r="AI2946" s="718"/>
      <c r="AJ2946" s="718"/>
      <c r="AK2946" s="718"/>
      <c r="AL2946" s="718"/>
      <c r="AM2946" s="718"/>
      <c r="AN2946" s="718"/>
      <c r="AO2946" s="718"/>
      <c r="AP2946" s="718"/>
      <c r="AQ2946" s="718"/>
      <c r="AR2946" s="718"/>
      <c r="AS2946" s="718"/>
      <c r="AT2946" s="718"/>
      <c r="AU2946" s="718"/>
      <c r="AV2946" s="719"/>
      <c r="AW2946" s="1574"/>
      <c r="AX2946" s="1574"/>
      <c r="AY2946" s="1574"/>
      <c r="AZ2946" s="1574"/>
      <c r="BA2946" s="1574"/>
      <c r="BB2946" s="1574"/>
      <c r="BC2946" s="1574"/>
      <c r="BD2946" s="1574"/>
      <c r="BE2946" s="1574"/>
      <c r="BF2946" s="1574"/>
      <c r="BG2946" s="1574"/>
      <c r="BH2946" s="1574"/>
      <c r="BI2946" s="1574"/>
      <c r="BJ2946" s="1574"/>
      <c r="BK2946" s="1574"/>
      <c r="BL2946" s="1574"/>
      <c r="BM2946" s="1574"/>
      <c r="BN2946" s="1574"/>
      <c r="BO2946" s="1574"/>
      <c r="BP2946" s="1574"/>
      <c r="BQ2946" s="1574"/>
      <c r="BR2946" s="1574"/>
      <c r="BS2946" s="1574"/>
      <c r="BT2946" s="1574"/>
      <c r="BU2946" s="1574"/>
      <c r="BV2946" s="1574"/>
      <c r="BW2946" s="1574"/>
      <c r="BX2946" s="1574"/>
      <c r="BY2946" s="1574"/>
      <c r="BZ2946" s="1574"/>
      <c r="CA2946" s="270"/>
      <c r="CB2946" s="3" t="str">
        <f t="shared" si="532"/>
        <v>Riadok bude skrytý.</v>
      </c>
      <c r="CC2946" s="271" t="s">
        <v>832</v>
      </c>
      <c r="CW2946" s="30">
        <f t="shared" si="531"/>
        <v>1</v>
      </c>
      <c r="CZ2946" s="30">
        <f t="shared" si="533"/>
        <v>1</v>
      </c>
      <c r="DA2946" s="30">
        <f t="shared" si="530"/>
        <v>1</v>
      </c>
      <c r="DB2946" s="2">
        <f t="shared" si="534"/>
        <v>0</v>
      </c>
      <c r="DS2946" s="130">
        <f>SI!BY2946</f>
        <v>178</v>
      </c>
      <c r="DZ2946" s="131">
        <f>SI!BZ2946</f>
        <v>0</v>
      </c>
    </row>
    <row r="2947" spans="1:130" ht="39.1" hidden="1" customHeight="1" x14ac:dyDescent="0.25">
      <c r="A2947" s="141"/>
      <c r="B2947" s="2123" t="s">
        <v>384</v>
      </c>
      <c r="C2947" s="2124"/>
      <c r="D2947" s="2124"/>
      <c r="E2947" s="2124"/>
      <c r="F2947" s="2124"/>
      <c r="G2947" s="2124"/>
      <c r="H2947" s="2124"/>
      <c r="I2947" s="2124"/>
      <c r="J2947" s="2124"/>
      <c r="K2947" s="2124"/>
      <c r="L2947" s="2124"/>
      <c r="M2947" s="2124"/>
      <c r="N2947" s="2124"/>
      <c r="O2947" s="2124"/>
      <c r="P2947" s="2124"/>
      <c r="Q2947" s="2124"/>
      <c r="R2947" s="2124"/>
      <c r="S2947" s="2124"/>
      <c r="T2947" s="2124"/>
      <c r="U2947" s="2124"/>
      <c r="V2947" s="2124"/>
      <c r="W2947" s="2124"/>
      <c r="X2947" s="2124"/>
      <c r="Y2947" s="2124"/>
      <c r="Z2947" s="2124"/>
      <c r="AA2947" s="2124"/>
      <c r="AB2947" s="2124"/>
      <c r="AC2947" s="2124"/>
      <c r="AD2947" s="2124"/>
      <c r="AE2947" s="2124"/>
      <c r="AF2947" s="2124"/>
      <c r="AG2947" s="2124"/>
      <c r="AH2947" s="2124"/>
      <c r="AI2947" s="2124"/>
      <c r="AJ2947" s="2124"/>
      <c r="AK2947" s="2124"/>
      <c r="AL2947" s="2124"/>
      <c r="AM2947" s="2124"/>
      <c r="AN2947" s="2124"/>
      <c r="AO2947" s="2124"/>
      <c r="AP2947" s="2124"/>
      <c r="AQ2947" s="2124"/>
      <c r="AR2947" s="2124"/>
      <c r="AS2947" s="2124"/>
      <c r="AT2947" s="2124"/>
      <c r="AU2947" s="2124"/>
      <c r="AV2947" s="2125"/>
      <c r="AW2947" s="1870"/>
      <c r="AX2947" s="1870"/>
      <c r="AY2947" s="1870"/>
      <c r="AZ2947" s="1870"/>
      <c r="BA2947" s="1870"/>
      <c r="BB2947" s="1870"/>
      <c r="BC2947" s="1870"/>
      <c r="BD2947" s="1870"/>
      <c r="BE2947" s="1870"/>
      <c r="BF2947" s="1870"/>
      <c r="BG2947" s="1870"/>
      <c r="BH2947" s="1870"/>
      <c r="BI2947" s="1870"/>
      <c r="BJ2947" s="1870"/>
      <c r="BK2947" s="1870"/>
      <c r="BL2947" s="1870"/>
      <c r="BM2947" s="1870"/>
      <c r="BN2947" s="1870"/>
      <c r="BO2947" s="1870"/>
      <c r="BP2947" s="1870"/>
      <c r="BQ2947" s="1870"/>
      <c r="BR2947" s="1870"/>
      <c r="BS2947" s="1870"/>
      <c r="BT2947" s="1870"/>
      <c r="BU2947" s="1870"/>
      <c r="BV2947" s="1870"/>
      <c r="BW2947" s="1870"/>
      <c r="BX2947" s="1870"/>
      <c r="BY2947" s="1870"/>
      <c r="BZ2947" s="1870"/>
      <c r="CA2947" s="270"/>
      <c r="CB2947" s="3" t="str">
        <f t="shared" si="532"/>
        <v>Riadok bude skrytý.</v>
      </c>
      <c r="CC2947" s="271" t="s">
        <v>832</v>
      </c>
      <c r="CW2947" s="30">
        <f t="shared" si="531"/>
        <v>1</v>
      </c>
      <c r="CZ2947" s="30">
        <f t="shared" si="533"/>
        <v>1</v>
      </c>
      <c r="DA2947" s="30">
        <f t="shared" si="530"/>
        <v>1</v>
      </c>
      <c r="DB2947" s="2">
        <f t="shared" si="534"/>
        <v>0</v>
      </c>
      <c r="DS2947" s="130">
        <f>SI!BY2947</f>
        <v>115</v>
      </c>
      <c r="DZ2947" s="131">
        <f>SI!BZ2947</f>
        <v>0</v>
      </c>
    </row>
    <row r="2948" spans="1:130" ht="14.95" hidden="1" customHeight="1" x14ac:dyDescent="0.25">
      <c r="A2948" s="141"/>
      <c r="CA2948" s="142"/>
      <c r="CB2948" s="3" t="str">
        <f t="shared" si="532"/>
        <v>Riadok bude skrytý.</v>
      </c>
      <c r="CW2948" s="49">
        <v>1</v>
      </c>
      <c r="CZ2948" s="30">
        <f t="shared" si="533"/>
        <v>1</v>
      </c>
      <c r="DA2948" s="30">
        <f t="shared" si="530"/>
        <v>1</v>
      </c>
      <c r="DB2948" s="2">
        <f t="shared" si="534"/>
        <v>0</v>
      </c>
      <c r="DS2948" s="130">
        <f>SI!BY2948</f>
        <v>200</v>
      </c>
      <c r="DZ2948" s="131">
        <f>SI!BZ2948</f>
        <v>0</v>
      </c>
    </row>
    <row r="2949" spans="1:130" hidden="1" x14ac:dyDescent="0.25">
      <c r="A2949" s="141"/>
      <c r="B2949" s="289" t="s">
        <v>387</v>
      </c>
      <c r="C2949" s="288"/>
      <c r="D2949" s="288"/>
      <c r="E2949" s="288"/>
      <c r="F2949" s="288"/>
      <c r="G2949" s="289" t="str">
        <f>+IF($U$52&lt;&gt;"",IF((ROUNDDOWN(CODE(MID($U$52,1,1)),0)-(BIN2DEC(1010)/10))*0+(LEN(SI!J2)+LEN(SI!J5))=DS2949,"Transformácia účtovného hospodárskeho výsledku na základ dane","NEPOVOLENÉ POUŽITIE!"),"NEPOVOLENÉ POUŽITIE!")</f>
        <v>Transformácia účtovného hospodárskeho výsledku na základ dane</v>
      </c>
      <c r="H2949" s="289"/>
      <c r="I2949" s="288"/>
      <c r="J2949" s="288"/>
      <c r="K2949" s="288"/>
      <c r="L2949" s="288"/>
      <c r="M2949" s="288"/>
      <c r="N2949" s="288"/>
      <c r="O2949" s="288"/>
      <c r="P2949" s="288"/>
      <c r="Q2949" s="288"/>
      <c r="R2949" s="288"/>
      <c r="S2949" s="288"/>
      <c r="T2949" s="288"/>
      <c r="U2949" s="288"/>
      <c r="V2949" s="288"/>
      <c r="W2949" s="288"/>
      <c r="X2949" s="288"/>
      <c r="Y2949" s="288"/>
      <c r="Z2949" s="288"/>
      <c r="AA2949" s="288"/>
      <c r="AB2949" s="288"/>
      <c r="AC2949" s="288"/>
      <c r="AD2949" s="288"/>
      <c r="AE2949" s="288"/>
      <c r="AF2949" s="288"/>
      <c r="AG2949" s="288"/>
      <c r="AH2949" s="288"/>
      <c r="AI2949" s="288"/>
      <c r="AJ2949" s="288"/>
      <c r="AK2949" s="288"/>
      <c r="AL2949" s="288"/>
      <c r="AM2949" s="288"/>
      <c r="AN2949" s="288"/>
      <c r="AO2949" s="288"/>
      <c r="AP2949" s="288"/>
      <c r="AQ2949" s="288"/>
      <c r="AR2949" s="288"/>
      <c r="AS2949" s="288"/>
      <c r="AT2949" s="288"/>
      <c r="AU2949" s="288"/>
      <c r="AV2949" s="288"/>
      <c r="AW2949" s="288"/>
      <c r="AX2949" s="288"/>
      <c r="AY2949" s="288"/>
      <c r="AZ2949" s="288"/>
      <c r="BA2949" s="288"/>
      <c r="BB2949" s="288"/>
      <c r="BC2949" s="288"/>
      <c r="BD2949" s="288"/>
      <c r="BE2949" s="288"/>
      <c r="BF2949" s="288"/>
      <c r="BG2949" s="288"/>
      <c r="BH2949" s="288"/>
      <c r="BI2949" s="288"/>
      <c r="BJ2949" s="288"/>
      <c r="BK2949" s="288"/>
      <c r="BL2949" s="288"/>
      <c r="BM2949" s="288"/>
      <c r="BN2949" s="288"/>
      <c r="BO2949" s="288"/>
      <c r="BP2949" s="288"/>
      <c r="BQ2949" s="288"/>
      <c r="BR2949" s="288"/>
      <c r="BS2949" s="288"/>
      <c r="BT2949" s="288"/>
      <c r="BU2949" s="288"/>
      <c r="BV2949" s="288"/>
      <c r="BW2949" s="288"/>
      <c r="BX2949" s="288"/>
      <c r="BY2949" s="288"/>
      <c r="BZ2949" s="288"/>
      <c r="CA2949" s="270" t="s">
        <v>773</v>
      </c>
      <c r="CB2949" s="3" t="str">
        <f t="shared" si="532"/>
        <v>Riadok bude skrytý.</v>
      </c>
      <c r="CW2949" s="49">
        <v>1</v>
      </c>
      <c r="CZ2949" s="30">
        <f t="shared" si="533"/>
        <v>1</v>
      </c>
      <c r="DA2949" s="30">
        <f t="shared" si="530"/>
        <v>1</v>
      </c>
      <c r="DB2949" s="2">
        <f t="shared" si="534"/>
        <v>0</v>
      </c>
      <c r="DS2949" s="130">
        <f>SI!BY2949</f>
        <v>28</v>
      </c>
      <c r="DZ2949" s="131">
        <f>SI!BZ2949</f>
        <v>0</v>
      </c>
    </row>
    <row r="2950" spans="1:130" ht="14.95" hidden="1" customHeight="1" x14ac:dyDescent="0.25">
      <c r="A2950" s="141"/>
      <c r="CA2950" s="142"/>
      <c r="CB2950" s="3" t="str">
        <f t="shared" si="532"/>
        <v>Riadok bude skrytý.</v>
      </c>
      <c r="CW2950" s="49">
        <v>1</v>
      </c>
      <c r="CZ2950" s="30">
        <f t="shared" si="533"/>
        <v>1</v>
      </c>
      <c r="DA2950" s="30">
        <f t="shared" si="530"/>
        <v>1</v>
      </c>
      <c r="DB2950" s="2">
        <f t="shared" si="534"/>
        <v>0</v>
      </c>
      <c r="DS2950" s="130">
        <f>SI!BY2950</f>
        <v>182</v>
      </c>
      <c r="DZ2950" s="131">
        <f>SI!BZ2950</f>
        <v>0</v>
      </c>
    </row>
    <row r="2951" spans="1:130" hidden="1" x14ac:dyDescent="0.25">
      <c r="A2951" s="141"/>
      <c r="B2951" s="137" t="s">
        <v>208</v>
      </c>
      <c r="J2951" s="378" t="s">
        <v>843</v>
      </c>
      <c r="K2951" s="378"/>
      <c r="L2951" s="378"/>
      <c r="M2951" s="378"/>
      <c r="N2951" s="378"/>
      <c r="O2951" s="378"/>
      <c r="P2951" s="378"/>
      <c r="Q2951" s="378"/>
      <c r="R2951" s="378"/>
      <c r="S2951" s="137" t="str">
        <f>+IF($Q$52&lt;&gt;"",IF((CODE(MID($Q$52,1,1)))*(GCD(121,132))*0+(LEN(SI!J5)+LEN(SI!J6))=DS2951,IF(J2951="nevykázala","hospodársky výsledok, ktorý by transformovala na základ dane.","hospodársky výsledok, ktorý transformovala na základ dane."),"NEPOVOLENÉ POUŽITIE!"),"NEPOVOLENÉ POUŽITIE!")</f>
        <v>hospodársky výsledok, ktorý transformovala na základ dane.</v>
      </c>
      <c r="T2951" s="38"/>
      <c r="CA2951" s="142"/>
      <c r="CB2951" s="3" t="str">
        <f t="shared" si="532"/>
        <v>Riadok bude skrytý.</v>
      </c>
      <c r="CC2951" s="271" t="s">
        <v>832</v>
      </c>
      <c r="CF2951" s="13"/>
      <c r="CW2951" s="49">
        <v>1</v>
      </c>
      <c r="CZ2951" s="30">
        <f t="shared" si="533"/>
        <v>1</v>
      </c>
      <c r="DA2951" s="30">
        <f t="shared" si="530"/>
        <v>1</v>
      </c>
      <c r="DB2951" s="2">
        <f t="shared" si="534"/>
        <v>0</v>
      </c>
      <c r="DS2951" s="130">
        <f>SI!BY2951</f>
        <v>20</v>
      </c>
      <c r="DZ2951" s="131">
        <f>SI!BZ2951</f>
        <v>0</v>
      </c>
    </row>
    <row r="2952" spans="1:130" hidden="1" x14ac:dyDescent="0.25">
      <c r="A2952" s="141"/>
      <c r="B2952" s="137" t="str">
        <f>+IF($C$52&lt;&gt;"",IF(CODE(MID($C$52,1,1))*(IF(SI!EE2952="",1,SI!EE2952-1-1+1))+LEN(SI!J2)=DS2952,IF(J2951="vykázala","K transformácii účtovného hospodárskeho výsledku na základ dane Spoločnosť uvádza:","Spoločnosť nemá pre túto časť poznámok obsahovú náplň."),"NEPOVOLENÉ POUŽITIE!"),"NEPOVOLENÉ POUŽITIE!")</f>
        <v>K transformácii účtovného hospodárskeho výsledku na základ dane Spoločnosť uvádza:</v>
      </c>
      <c r="CA2952" s="142"/>
      <c r="CB2952" s="3" t="str">
        <f t="shared" si="532"/>
        <v>Riadok bude skrytý.</v>
      </c>
      <c r="CC2952" s="271" t="s">
        <v>832</v>
      </c>
      <c r="CW2952" s="30">
        <f>+IF($J$2951="nevykázala",1,1)</f>
        <v>1</v>
      </c>
      <c r="CZ2952" s="30">
        <f t="shared" si="533"/>
        <v>1</v>
      </c>
      <c r="DA2952" s="30">
        <f t="shared" si="530"/>
        <v>1</v>
      </c>
      <c r="DB2952" s="2">
        <f t="shared" si="534"/>
        <v>0</v>
      </c>
      <c r="DS2952" s="130">
        <f>SI!BY2952</f>
        <v>13</v>
      </c>
      <c r="DZ2952" s="131">
        <f>SI!BZ2952</f>
        <v>0</v>
      </c>
    </row>
    <row r="2953" spans="1:130" hidden="1" x14ac:dyDescent="0.25">
      <c r="A2953" s="141"/>
      <c r="B2953" s="379" t="s">
        <v>825</v>
      </c>
      <c r="C2953" s="379"/>
      <c r="D2953" s="379"/>
      <c r="E2953" s="379"/>
      <c r="F2953" s="379"/>
      <c r="G2953" s="379"/>
      <c r="H2953" s="379"/>
      <c r="I2953" s="379"/>
      <c r="J2953" s="379"/>
      <c r="K2953" s="379"/>
      <c r="L2953" s="379"/>
      <c r="M2953" s="379"/>
      <c r="N2953" s="379"/>
      <c r="O2953" s="379"/>
      <c r="P2953" s="379"/>
      <c r="Q2953" s="379"/>
      <c r="R2953" s="379"/>
      <c r="S2953" s="379"/>
      <c r="T2953" s="379"/>
      <c r="U2953" s="379"/>
      <c r="V2953" s="379"/>
      <c r="W2953" s="379"/>
      <c r="X2953" s="379"/>
      <c r="Y2953" s="379"/>
      <c r="Z2953" s="379"/>
      <c r="AA2953" s="379"/>
      <c r="AB2953" s="379"/>
      <c r="AC2953" s="379"/>
      <c r="AD2953" s="379"/>
      <c r="AE2953" s="379"/>
      <c r="AF2953" s="379"/>
      <c r="AG2953" s="379"/>
      <c r="AH2953" s="379"/>
      <c r="AI2953" s="379"/>
      <c r="AJ2953" s="379"/>
      <c r="AK2953" s="379"/>
      <c r="AL2953" s="379"/>
      <c r="AM2953" s="379"/>
      <c r="AN2953" s="379"/>
      <c r="AO2953" s="379"/>
      <c r="AP2953" s="379"/>
      <c r="AQ2953" s="379"/>
      <c r="AR2953" s="379"/>
      <c r="AS2953" s="379"/>
      <c r="AT2953" s="379"/>
      <c r="AU2953" s="379"/>
      <c r="AV2953" s="379"/>
      <c r="AW2953" s="379"/>
      <c r="AX2953" s="379"/>
      <c r="AY2953" s="379"/>
      <c r="AZ2953" s="379"/>
      <c r="BA2953" s="379"/>
      <c r="BB2953" s="379"/>
      <c r="BC2953" s="379"/>
      <c r="BD2953" s="379"/>
      <c r="BE2953" s="379"/>
      <c r="BF2953" s="379"/>
      <c r="BG2953" s="379"/>
      <c r="BH2953" s="379"/>
      <c r="BI2953" s="379"/>
      <c r="BJ2953" s="379"/>
      <c r="BK2953" s="379"/>
      <c r="BL2953" s="379"/>
      <c r="BM2953" s="379"/>
      <c r="BN2953" s="379"/>
      <c r="BO2953" s="379"/>
      <c r="BP2953" s="379"/>
      <c r="BQ2953" s="379"/>
      <c r="BR2953" s="379"/>
      <c r="BS2953" s="379"/>
      <c r="BT2953" s="379"/>
      <c r="BU2953" s="379"/>
      <c r="BV2953" s="379"/>
      <c r="BW2953" s="379"/>
      <c r="BX2953" s="379"/>
      <c r="BY2953" s="379"/>
      <c r="BZ2953" s="379"/>
      <c r="CA2953" s="281"/>
      <c r="CB2953" s="3" t="str">
        <f t="shared" si="532"/>
        <v>Riadok bude skrytý.</v>
      </c>
      <c r="CC2953" s="271" t="s">
        <v>832</v>
      </c>
      <c r="CW2953" s="30">
        <f t="shared" ref="CW2953:CW2987" si="535">+IF($J$2951="nevykázala",0,1)</f>
        <v>1</v>
      </c>
      <c r="CX2953" s="30">
        <f t="shared" ref="CX2953:CX2972" si="536">+IF(B2953="",0,1)</f>
        <v>1</v>
      </c>
      <c r="CZ2953" s="30">
        <f t="shared" si="533"/>
        <v>1</v>
      </c>
      <c r="DA2953" s="52">
        <f t="shared" ref="DA2953:DA2972" si="537">+IF(CW2953*CX2953=0,0,IF(CZ2953=0,0,1))</f>
        <v>1</v>
      </c>
      <c r="DB2953" s="2">
        <f t="shared" si="534"/>
        <v>0</v>
      </c>
      <c r="DS2953" s="130">
        <f>SI!BY2953</f>
        <v>196</v>
      </c>
      <c r="DZ2953" s="131">
        <f>SI!BZ2953</f>
        <v>0</v>
      </c>
    </row>
    <row r="2954" spans="1:130" hidden="1" x14ac:dyDescent="0.25">
      <c r="A2954" s="141"/>
      <c r="B2954" s="379" t="s">
        <v>826</v>
      </c>
      <c r="C2954" s="379"/>
      <c r="D2954" s="379"/>
      <c r="E2954" s="379"/>
      <c r="F2954" s="379"/>
      <c r="G2954" s="379"/>
      <c r="H2954" s="379"/>
      <c r="I2954" s="379"/>
      <c r="J2954" s="379"/>
      <c r="K2954" s="379"/>
      <c r="L2954" s="379"/>
      <c r="M2954" s="379"/>
      <c r="N2954" s="379"/>
      <c r="O2954" s="379"/>
      <c r="P2954" s="379"/>
      <c r="Q2954" s="379"/>
      <c r="R2954" s="379"/>
      <c r="S2954" s="379"/>
      <c r="T2954" s="379"/>
      <c r="U2954" s="379"/>
      <c r="V2954" s="379"/>
      <c r="W2954" s="379"/>
      <c r="X2954" s="379"/>
      <c r="Y2954" s="379"/>
      <c r="Z2954" s="379"/>
      <c r="AA2954" s="379"/>
      <c r="AB2954" s="379"/>
      <c r="AC2954" s="379"/>
      <c r="AD2954" s="379"/>
      <c r="AE2954" s="379"/>
      <c r="AF2954" s="379"/>
      <c r="AG2954" s="379"/>
      <c r="AH2954" s="379"/>
      <c r="AI2954" s="379"/>
      <c r="AJ2954" s="379"/>
      <c r="AK2954" s="379"/>
      <c r="AL2954" s="379"/>
      <c r="AM2954" s="379"/>
      <c r="AN2954" s="379"/>
      <c r="AO2954" s="379"/>
      <c r="AP2954" s="379"/>
      <c r="AQ2954" s="379"/>
      <c r="AR2954" s="379"/>
      <c r="AS2954" s="379"/>
      <c r="AT2954" s="379"/>
      <c r="AU2954" s="379"/>
      <c r="AV2954" s="379"/>
      <c r="AW2954" s="379"/>
      <c r="AX2954" s="379"/>
      <c r="AY2954" s="379"/>
      <c r="AZ2954" s="379"/>
      <c r="BA2954" s="379"/>
      <c r="BB2954" s="379"/>
      <c r="BC2954" s="379"/>
      <c r="BD2954" s="379"/>
      <c r="BE2954" s="379"/>
      <c r="BF2954" s="379"/>
      <c r="BG2954" s="379"/>
      <c r="BH2954" s="379"/>
      <c r="BI2954" s="379"/>
      <c r="BJ2954" s="379"/>
      <c r="BK2954" s="379"/>
      <c r="BL2954" s="379"/>
      <c r="BM2954" s="379"/>
      <c r="BN2954" s="379"/>
      <c r="BO2954" s="379"/>
      <c r="BP2954" s="379"/>
      <c r="BQ2954" s="379"/>
      <c r="BR2954" s="379"/>
      <c r="BS2954" s="379"/>
      <c r="BT2954" s="379"/>
      <c r="BU2954" s="379"/>
      <c r="BV2954" s="379"/>
      <c r="BW2954" s="379"/>
      <c r="BX2954" s="379"/>
      <c r="BY2954" s="379"/>
      <c r="BZ2954" s="379"/>
      <c r="CA2954" s="281"/>
      <c r="CB2954" s="3" t="str">
        <f t="shared" si="532"/>
        <v>Riadok bude skrytý.</v>
      </c>
      <c r="CC2954" s="271" t="s">
        <v>832</v>
      </c>
      <c r="CW2954" s="30">
        <f t="shared" si="535"/>
        <v>1</v>
      </c>
      <c r="CX2954" s="30">
        <f t="shared" si="536"/>
        <v>1</v>
      </c>
      <c r="CZ2954" s="30">
        <f t="shared" si="533"/>
        <v>1</v>
      </c>
      <c r="DA2954" s="52">
        <f t="shared" si="537"/>
        <v>1</v>
      </c>
      <c r="DB2954" s="2">
        <f t="shared" si="534"/>
        <v>0</v>
      </c>
      <c r="DS2954" s="130">
        <f>SI!BY2954</f>
        <v>98</v>
      </c>
      <c r="DZ2954" s="131">
        <f>SI!BZ2954</f>
        <v>0</v>
      </c>
    </row>
    <row r="2955" spans="1:130" hidden="1" x14ac:dyDescent="0.25">
      <c r="A2955" s="141"/>
      <c r="B2955" s="379"/>
      <c r="C2955" s="379"/>
      <c r="D2955" s="379"/>
      <c r="E2955" s="379"/>
      <c r="F2955" s="379"/>
      <c r="G2955" s="379"/>
      <c r="H2955" s="379"/>
      <c r="I2955" s="379"/>
      <c r="J2955" s="379"/>
      <c r="K2955" s="379"/>
      <c r="L2955" s="379"/>
      <c r="M2955" s="379"/>
      <c r="N2955" s="379"/>
      <c r="O2955" s="379"/>
      <c r="P2955" s="379"/>
      <c r="Q2955" s="379"/>
      <c r="R2955" s="379"/>
      <c r="S2955" s="379"/>
      <c r="T2955" s="379"/>
      <c r="U2955" s="379"/>
      <c r="V2955" s="379"/>
      <c r="W2955" s="379"/>
      <c r="X2955" s="379"/>
      <c r="Y2955" s="379"/>
      <c r="Z2955" s="379"/>
      <c r="AA2955" s="379"/>
      <c r="AB2955" s="379"/>
      <c r="AC2955" s="379"/>
      <c r="AD2955" s="379"/>
      <c r="AE2955" s="379"/>
      <c r="AF2955" s="379"/>
      <c r="AG2955" s="379"/>
      <c r="AH2955" s="379"/>
      <c r="AI2955" s="379"/>
      <c r="AJ2955" s="379"/>
      <c r="AK2955" s="379"/>
      <c r="AL2955" s="379"/>
      <c r="AM2955" s="379"/>
      <c r="AN2955" s="379"/>
      <c r="AO2955" s="379"/>
      <c r="AP2955" s="379"/>
      <c r="AQ2955" s="379"/>
      <c r="AR2955" s="379"/>
      <c r="AS2955" s="379"/>
      <c r="AT2955" s="379"/>
      <c r="AU2955" s="379"/>
      <c r="AV2955" s="379"/>
      <c r="AW2955" s="379"/>
      <c r="AX2955" s="379"/>
      <c r="AY2955" s="379"/>
      <c r="AZ2955" s="379"/>
      <c r="BA2955" s="379"/>
      <c r="BB2955" s="379"/>
      <c r="BC2955" s="379"/>
      <c r="BD2955" s="379"/>
      <c r="BE2955" s="379"/>
      <c r="BF2955" s="379"/>
      <c r="BG2955" s="379"/>
      <c r="BH2955" s="379"/>
      <c r="BI2955" s="379"/>
      <c r="BJ2955" s="379"/>
      <c r="BK2955" s="379"/>
      <c r="BL2955" s="379"/>
      <c r="BM2955" s="379"/>
      <c r="BN2955" s="379"/>
      <c r="BO2955" s="379"/>
      <c r="BP2955" s="379"/>
      <c r="BQ2955" s="379"/>
      <c r="BR2955" s="379"/>
      <c r="BS2955" s="379"/>
      <c r="BT2955" s="379"/>
      <c r="BU2955" s="379"/>
      <c r="BV2955" s="379"/>
      <c r="BW2955" s="379"/>
      <c r="BX2955" s="379"/>
      <c r="BY2955" s="379"/>
      <c r="BZ2955" s="379"/>
      <c r="CA2955" s="281"/>
      <c r="CB2955" s="3" t="str">
        <f t="shared" si="532"/>
        <v>Riadok bude skrytý.</v>
      </c>
      <c r="CC2955" s="271" t="s">
        <v>832</v>
      </c>
      <c r="CW2955" s="30">
        <f t="shared" si="535"/>
        <v>1</v>
      </c>
      <c r="CX2955" s="30">
        <f t="shared" si="536"/>
        <v>0</v>
      </c>
      <c r="CZ2955" s="30">
        <f t="shared" si="533"/>
        <v>1</v>
      </c>
      <c r="DA2955" s="52">
        <f t="shared" si="537"/>
        <v>0</v>
      </c>
      <c r="DB2955" s="2">
        <f t="shared" si="534"/>
        <v>0</v>
      </c>
      <c r="DS2955" s="130">
        <f>SI!BY2955</f>
        <v>137</v>
      </c>
      <c r="DZ2955" s="131">
        <f>SI!BZ2955</f>
        <v>0</v>
      </c>
    </row>
    <row r="2956" spans="1:130" hidden="1" x14ac:dyDescent="0.25">
      <c r="A2956" s="141"/>
      <c r="B2956" s="379"/>
      <c r="C2956" s="379"/>
      <c r="D2956" s="379"/>
      <c r="E2956" s="379"/>
      <c r="F2956" s="379"/>
      <c r="G2956" s="379"/>
      <c r="H2956" s="379"/>
      <c r="I2956" s="379"/>
      <c r="J2956" s="379"/>
      <c r="K2956" s="379"/>
      <c r="L2956" s="379"/>
      <c r="M2956" s="379"/>
      <c r="N2956" s="379"/>
      <c r="O2956" s="379"/>
      <c r="P2956" s="379"/>
      <c r="Q2956" s="379"/>
      <c r="R2956" s="379"/>
      <c r="S2956" s="379"/>
      <c r="T2956" s="379"/>
      <c r="U2956" s="379"/>
      <c r="V2956" s="379"/>
      <c r="W2956" s="379"/>
      <c r="X2956" s="379"/>
      <c r="Y2956" s="379"/>
      <c r="Z2956" s="379"/>
      <c r="AA2956" s="379"/>
      <c r="AB2956" s="379"/>
      <c r="AC2956" s="379"/>
      <c r="AD2956" s="379"/>
      <c r="AE2956" s="379"/>
      <c r="AF2956" s="379"/>
      <c r="AG2956" s="379"/>
      <c r="AH2956" s="379"/>
      <c r="AI2956" s="379"/>
      <c r="AJ2956" s="379"/>
      <c r="AK2956" s="379"/>
      <c r="AL2956" s="379"/>
      <c r="AM2956" s="379"/>
      <c r="AN2956" s="379"/>
      <c r="AO2956" s="379"/>
      <c r="AP2956" s="379"/>
      <c r="AQ2956" s="379"/>
      <c r="AR2956" s="379"/>
      <c r="AS2956" s="379"/>
      <c r="AT2956" s="379"/>
      <c r="AU2956" s="379"/>
      <c r="AV2956" s="379"/>
      <c r="AW2956" s="379"/>
      <c r="AX2956" s="379"/>
      <c r="AY2956" s="379"/>
      <c r="AZ2956" s="379"/>
      <c r="BA2956" s="379"/>
      <c r="BB2956" s="379"/>
      <c r="BC2956" s="379"/>
      <c r="BD2956" s="379"/>
      <c r="BE2956" s="379"/>
      <c r="BF2956" s="379"/>
      <c r="BG2956" s="379"/>
      <c r="BH2956" s="379"/>
      <c r="BI2956" s="379"/>
      <c r="BJ2956" s="379"/>
      <c r="BK2956" s="379"/>
      <c r="BL2956" s="379"/>
      <c r="BM2956" s="379"/>
      <c r="BN2956" s="379"/>
      <c r="BO2956" s="379"/>
      <c r="BP2956" s="379"/>
      <c r="BQ2956" s="379"/>
      <c r="BR2956" s="379"/>
      <c r="BS2956" s="379"/>
      <c r="BT2956" s="379"/>
      <c r="BU2956" s="379"/>
      <c r="BV2956" s="379"/>
      <c r="BW2956" s="379"/>
      <c r="BX2956" s="379"/>
      <c r="BY2956" s="379"/>
      <c r="BZ2956" s="379"/>
      <c r="CA2956" s="281"/>
      <c r="CB2956" s="3" t="str">
        <f t="shared" si="532"/>
        <v>Riadok bude skrytý.</v>
      </c>
      <c r="CC2956" s="271" t="s">
        <v>832</v>
      </c>
      <c r="CW2956" s="30">
        <f t="shared" si="535"/>
        <v>1</v>
      </c>
      <c r="CX2956" s="30">
        <f t="shared" si="536"/>
        <v>0</v>
      </c>
      <c r="CZ2956" s="30">
        <f t="shared" si="533"/>
        <v>1</v>
      </c>
      <c r="DA2956" s="52">
        <f t="shared" si="537"/>
        <v>0</v>
      </c>
      <c r="DB2956" s="2">
        <f t="shared" si="534"/>
        <v>0</v>
      </c>
      <c r="DS2956" s="130">
        <f>SI!BY2956</f>
        <v>158</v>
      </c>
      <c r="DZ2956" s="131">
        <f>SI!BZ2956</f>
        <v>0</v>
      </c>
    </row>
    <row r="2957" spans="1:130" hidden="1" x14ac:dyDescent="0.25">
      <c r="A2957" s="141"/>
      <c r="B2957" s="379"/>
      <c r="C2957" s="379"/>
      <c r="D2957" s="379"/>
      <c r="E2957" s="379"/>
      <c r="F2957" s="379"/>
      <c r="G2957" s="379"/>
      <c r="H2957" s="379"/>
      <c r="I2957" s="379"/>
      <c r="J2957" s="379"/>
      <c r="K2957" s="379"/>
      <c r="L2957" s="379"/>
      <c r="M2957" s="379"/>
      <c r="N2957" s="379"/>
      <c r="O2957" s="379"/>
      <c r="P2957" s="379"/>
      <c r="Q2957" s="379"/>
      <c r="R2957" s="379"/>
      <c r="S2957" s="379"/>
      <c r="T2957" s="379"/>
      <c r="U2957" s="379"/>
      <c r="V2957" s="379"/>
      <c r="W2957" s="379"/>
      <c r="X2957" s="379"/>
      <c r="Y2957" s="379"/>
      <c r="Z2957" s="379"/>
      <c r="AA2957" s="379"/>
      <c r="AB2957" s="379"/>
      <c r="AC2957" s="379"/>
      <c r="AD2957" s="379"/>
      <c r="AE2957" s="379"/>
      <c r="AF2957" s="379"/>
      <c r="AG2957" s="379"/>
      <c r="AH2957" s="379"/>
      <c r="AI2957" s="379"/>
      <c r="AJ2957" s="379"/>
      <c r="AK2957" s="379"/>
      <c r="AL2957" s="379"/>
      <c r="AM2957" s="379"/>
      <c r="AN2957" s="379"/>
      <c r="AO2957" s="379"/>
      <c r="AP2957" s="379"/>
      <c r="AQ2957" s="379"/>
      <c r="AR2957" s="379"/>
      <c r="AS2957" s="379"/>
      <c r="AT2957" s="379"/>
      <c r="AU2957" s="379"/>
      <c r="AV2957" s="379"/>
      <c r="AW2957" s="379"/>
      <c r="AX2957" s="379"/>
      <c r="AY2957" s="379"/>
      <c r="AZ2957" s="379"/>
      <c r="BA2957" s="379"/>
      <c r="BB2957" s="379"/>
      <c r="BC2957" s="379"/>
      <c r="BD2957" s="379"/>
      <c r="BE2957" s="379"/>
      <c r="BF2957" s="379"/>
      <c r="BG2957" s="379"/>
      <c r="BH2957" s="379"/>
      <c r="BI2957" s="379"/>
      <c r="BJ2957" s="379"/>
      <c r="BK2957" s="379"/>
      <c r="BL2957" s="379"/>
      <c r="BM2957" s="379"/>
      <c r="BN2957" s="379"/>
      <c r="BO2957" s="379"/>
      <c r="BP2957" s="379"/>
      <c r="BQ2957" s="379"/>
      <c r="BR2957" s="379"/>
      <c r="BS2957" s="379"/>
      <c r="BT2957" s="379"/>
      <c r="BU2957" s="379"/>
      <c r="BV2957" s="379"/>
      <c r="BW2957" s="379"/>
      <c r="BX2957" s="379"/>
      <c r="BY2957" s="379"/>
      <c r="BZ2957" s="379"/>
      <c r="CA2957" s="281"/>
      <c r="CB2957" s="3" t="str">
        <f t="shared" si="532"/>
        <v>Riadok bude skrytý.</v>
      </c>
      <c r="CC2957" s="271" t="s">
        <v>832</v>
      </c>
      <c r="CW2957" s="30">
        <f t="shared" si="535"/>
        <v>1</v>
      </c>
      <c r="CX2957" s="30">
        <f t="shared" si="536"/>
        <v>0</v>
      </c>
      <c r="CZ2957" s="30">
        <f t="shared" si="533"/>
        <v>1</v>
      </c>
      <c r="DA2957" s="52">
        <f t="shared" si="537"/>
        <v>0</v>
      </c>
      <c r="DB2957" s="2">
        <f t="shared" si="534"/>
        <v>0</v>
      </c>
      <c r="DS2957" s="130">
        <f>SI!BY2957</f>
        <v>114</v>
      </c>
      <c r="DZ2957" s="131">
        <f>SI!BZ2957</f>
        <v>0</v>
      </c>
    </row>
    <row r="2958" spans="1:130" hidden="1" x14ac:dyDescent="0.25">
      <c r="A2958" s="141"/>
      <c r="B2958" s="379"/>
      <c r="C2958" s="379"/>
      <c r="D2958" s="379"/>
      <c r="E2958" s="379"/>
      <c r="F2958" s="379"/>
      <c r="G2958" s="379"/>
      <c r="H2958" s="379"/>
      <c r="I2958" s="379"/>
      <c r="J2958" s="379"/>
      <c r="K2958" s="379"/>
      <c r="L2958" s="379"/>
      <c r="M2958" s="379"/>
      <c r="N2958" s="379"/>
      <c r="O2958" s="379"/>
      <c r="P2958" s="379"/>
      <c r="Q2958" s="379"/>
      <c r="R2958" s="379"/>
      <c r="S2958" s="379"/>
      <c r="T2958" s="379"/>
      <c r="U2958" s="379"/>
      <c r="V2958" s="379"/>
      <c r="W2958" s="379"/>
      <c r="X2958" s="379"/>
      <c r="Y2958" s="379"/>
      <c r="Z2958" s="379"/>
      <c r="AA2958" s="379"/>
      <c r="AB2958" s="379"/>
      <c r="AC2958" s="379"/>
      <c r="AD2958" s="379"/>
      <c r="AE2958" s="379"/>
      <c r="AF2958" s="379"/>
      <c r="AG2958" s="379"/>
      <c r="AH2958" s="379"/>
      <c r="AI2958" s="379"/>
      <c r="AJ2958" s="379"/>
      <c r="AK2958" s="379"/>
      <c r="AL2958" s="379"/>
      <c r="AM2958" s="379"/>
      <c r="AN2958" s="379"/>
      <c r="AO2958" s="379"/>
      <c r="AP2958" s="379"/>
      <c r="AQ2958" s="379"/>
      <c r="AR2958" s="379"/>
      <c r="AS2958" s="379"/>
      <c r="AT2958" s="379"/>
      <c r="AU2958" s="379"/>
      <c r="AV2958" s="379"/>
      <c r="AW2958" s="379"/>
      <c r="AX2958" s="379"/>
      <c r="AY2958" s="379"/>
      <c r="AZ2958" s="379"/>
      <c r="BA2958" s="379"/>
      <c r="BB2958" s="379"/>
      <c r="BC2958" s="379"/>
      <c r="BD2958" s="379"/>
      <c r="BE2958" s="379"/>
      <c r="BF2958" s="379"/>
      <c r="BG2958" s="379"/>
      <c r="BH2958" s="379"/>
      <c r="BI2958" s="379"/>
      <c r="BJ2958" s="379"/>
      <c r="BK2958" s="379"/>
      <c r="BL2958" s="379"/>
      <c r="BM2958" s="379"/>
      <c r="BN2958" s="379"/>
      <c r="BO2958" s="379"/>
      <c r="BP2958" s="379"/>
      <c r="BQ2958" s="379"/>
      <c r="BR2958" s="379"/>
      <c r="BS2958" s="379"/>
      <c r="BT2958" s="379"/>
      <c r="BU2958" s="379"/>
      <c r="BV2958" s="379"/>
      <c r="BW2958" s="379"/>
      <c r="BX2958" s="379"/>
      <c r="BY2958" s="379"/>
      <c r="BZ2958" s="379"/>
      <c r="CA2958" s="281"/>
      <c r="CB2958" s="3" t="str">
        <f t="shared" si="532"/>
        <v>Riadok bude skrytý.</v>
      </c>
      <c r="CC2958" s="271" t="s">
        <v>832</v>
      </c>
      <c r="CW2958" s="30">
        <f t="shared" si="535"/>
        <v>1</v>
      </c>
      <c r="CX2958" s="30">
        <f t="shared" si="536"/>
        <v>0</v>
      </c>
      <c r="CZ2958" s="30">
        <f t="shared" si="533"/>
        <v>1</v>
      </c>
      <c r="DA2958" s="52">
        <f t="shared" si="537"/>
        <v>0</v>
      </c>
      <c r="DB2958" s="2">
        <f t="shared" si="534"/>
        <v>0</v>
      </c>
      <c r="DS2958" s="130">
        <f>SI!BY2958</f>
        <v>856</v>
      </c>
      <c r="DZ2958" s="131">
        <f>SI!BZ2958</f>
        <v>0</v>
      </c>
    </row>
    <row r="2959" spans="1:130" hidden="1" x14ac:dyDescent="0.25">
      <c r="A2959" s="141"/>
      <c r="B2959" s="379"/>
      <c r="C2959" s="379"/>
      <c r="D2959" s="379"/>
      <c r="E2959" s="379"/>
      <c r="F2959" s="379"/>
      <c r="G2959" s="379"/>
      <c r="H2959" s="379"/>
      <c r="I2959" s="379"/>
      <c r="J2959" s="379"/>
      <c r="K2959" s="379"/>
      <c r="L2959" s="379"/>
      <c r="M2959" s="379"/>
      <c r="N2959" s="379"/>
      <c r="O2959" s="379"/>
      <c r="P2959" s="379"/>
      <c r="Q2959" s="379"/>
      <c r="R2959" s="379"/>
      <c r="S2959" s="379"/>
      <c r="T2959" s="379"/>
      <c r="U2959" s="379"/>
      <c r="V2959" s="379"/>
      <c r="W2959" s="379"/>
      <c r="X2959" s="379"/>
      <c r="Y2959" s="379"/>
      <c r="Z2959" s="379"/>
      <c r="AA2959" s="379"/>
      <c r="AB2959" s="379"/>
      <c r="AC2959" s="379"/>
      <c r="AD2959" s="379"/>
      <c r="AE2959" s="379"/>
      <c r="AF2959" s="379"/>
      <c r="AG2959" s="379"/>
      <c r="AH2959" s="379"/>
      <c r="AI2959" s="379"/>
      <c r="AJ2959" s="379"/>
      <c r="AK2959" s="379"/>
      <c r="AL2959" s="379"/>
      <c r="AM2959" s="379"/>
      <c r="AN2959" s="379"/>
      <c r="AO2959" s="379"/>
      <c r="AP2959" s="379"/>
      <c r="AQ2959" s="379"/>
      <c r="AR2959" s="379"/>
      <c r="AS2959" s="379"/>
      <c r="AT2959" s="379"/>
      <c r="AU2959" s="379"/>
      <c r="AV2959" s="379"/>
      <c r="AW2959" s="379"/>
      <c r="AX2959" s="379"/>
      <c r="AY2959" s="379"/>
      <c r="AZ2959" s="379"/>
      <c r="BA2959" s="379"/>
      <c r="BB2959" s="379"/>
      <c r="BC2959" s="379"/>
      <c r="BD2959" s="379"/>
      <c r="BE2959" s="379"/>
      <c r="BF2959" s="379"/>
      <c r="BG2959" s="379"/>
      <c r="BH2959" s="379"/>
      <c r="BI2959" s="379"/>
      <c r="BJ2959" s="379"/>
      <c r="BK2959" s="379"/>
      <c r="BL2959" s="379"/>
      <c r="BM2959" s="379"/>
      <c r="BN2959" s="379"/>
      <c r="BO2959" s="379"/>
      <c r="BP2959" s="379"/>
      <c r="BQ2959" s="379"/>
      <c r="BR2959" s="379"/>
      <c r="BS2959" s="379"/>
      <c r="BT2959" s="379"/>
      <c r="BU2959" s="379"/>
      <c r="BV2959" s="379"/>
      <c r="BW2959" s="379"/>
      <c r="BX2959" s="379"/>
      <c r="BY2959" s="379"/>
      <c r="BZ2959" s="379"/>
      <c r="CA2959" s="281"/>
      <c r="CB2959" s="3" t="str">
        <f t="shared" si="532"/>
        <v>Riadok bude skrytý.</v>
      </c>
      <c r="CC2959" s="271" t="s">
        <v>832</v>
      </c>
      <c r="CW2959" s="30">
        <f t="shared" si="535"/>
        <v>1</v>
      </c>
      <c r="CX2959" s="30">
        <f t="shared" si="536"/>
        <v>0</v>
      </c>
      <c r="CZ2959" s="30">
        <f t="shared" si="533"/>
        <v>1</v>
      </c>
      <c r="DA2959" s="52">
        <f t="shared" si="537"/>
        <v>0</v>
      </c>
      <c r="DB2959" s="2">
        <f t="shared" si="534"/>
        <v>0</v>
      </c>
      <c r="DS2959" s="130">
        <f>SI!BY2959</f>
        <v>113</v>
      </c>
      <c r="DZ2959" s="131">
        <f>SI!BZ2959</f>
        <v>0</v>
      </c>
    </row>
    <row r="2960" spans="1:130" hidden="1" x14ac:dyDescent="0.25">
      <c r="A2960" s="141"/>
      <c r="B2960" s="379"/>
      <c r="C2960" s="379"/>
      <c r="D2960" s="379"/>
      <c r="E2960" s="379"/>
      <c r="F2960" s="379"/>
      <c r="G2960" s="379"/>
      <c r="H2960" s="379"/>
      <c r="I2960" s="379"/>
      <c r="J2960" s="379"/>
      <c r="K2960" s="379"/>
      <c r="L2960" s="379"/>
      <c r="M2960" s="379"/>
      <c r="N2960" s="379"/>
      <c r="O2960" s="379"/>
      <c r="P2960" s="379"/>
      <c r="Q2960" s="379"/>
      <c r="R2960" s="379"/>
      <c r="S2960" s="379"/>
      <c r="T2960" s="379"/>
      <c r="U2960" s="379"/>
      <c r="V2960" s="379"/>
      <c r="W2960" s="379"/>
      <c r="X2960" s="379"/>
      <c r="Y2960" s="379"/>
      <c r="Z2960" s="379"/>
      <c r="AA2960" s="379"/>
      <c r="AB2960" s="379"/>
      <c r="AC2960" s="379"/>
      <c r="AD2960" s="379"/>
      <c r="AE2960" s="379"/>
      <c r="AF2960" s="379"/>
      <c r="AG2960" s="379"/>
      <c r="AH2960" s="379"/>
      <c r="AI2960" s="379"/>
      <c r="AJ2960" s="379"/>
      <c r="AK2960" s="379"/>
      <c r="AL2960" s="379"/>
      <c r="AM2960" s="379"/>
      <c r="AN2960" s="379"/>
      <c r="AO2960" s="379"/>
      <c r="AP2960" s="379"/>
      <c r="AQ2960" s="379"/>
      <c r="AR2960" s="379"/>
      <c r="AS2960" s="379"/>
      <c r="AT2960" s="379"/>
      <c r="AU2960" s="379"/>
      <c r="AV2960" s="379"/>
      <c r="AW2960" s="379"/>
      <c r="AX2960" s="379"/>
      <c r="AY2960" s="379"/>
      <c r="AZ2960" s="379"/>
      <c r="BA2960" s="379"/>
      <c r="BB2960" s="379"/>
      <c r="BC2960" s="379"/>
      <c r="BD2960" s="379"/>
      <c r="BE2960" s="379"/>
      <c r="BF2960" s="379"/>
      <c r="BG2960" s="379"/>
      <c r="BH2960" s="379"/>
      <c r="BI2960" s="379"/>
      <c r="BJ2960" s="379"/>
      <c r="BK2960" s="379"/>
      <c r="BL2960" s="379"/>
      <c r="BM2960" s="379"/>
      <c r="BN2960" s="379"/>
      <c r="BO2960" s="379"/>
      <c r="BP2960" s="379"/>
      <c r="BQ2960" s="379"/>
      <c r="BR2960" s="379"/>
      <c r="BS2960" s="379"/>
      <c r="BT2960" s="379"/>
      <c r="BU2960" s="379"/>
      <c r="BV2960" s="379"/>
      <c r="BW2960" s="379"/>
      <c r="BX2960" s="379"/>
      <c r="BY2960" s="379"/>
      <c r="BZ2960" s="379"/>
      <c r="CA2960" s="281"/>
      <c r="CB2960" s="3" t="str">
        <f t="shared" si="532"/>
        <v>Riadok bude skrytý.</v>
      </c>
      <c r="CC2960" s="271" t="s">
        <v>832</v>
      </c>
      <c r="CW2960" s="30">
        <f t="shared" si="535"/>
        <v>1</v>
      </c>
      <c r="CX2960" s="30">
        <f t="shared" si="536"/>
        <v>0</v>
      </c>
      <c r="CZ2960" s="30">
        <f t="shared" si="533"/>
        <v>1</v>
      </c>
      <c r="DA2960" s="52">
        <f t="shared" si="537"/>
        <v>0</v>
      </c>
      <c r="DB2960" s="2">
        <f t="shared" si="534"/>
        <v>0</v>
      </c>
      <c r="DS2960" s="130">
        <f>SI!BY2960</f>
        <v>523</v>
      </c>
      <c r="DZ2960" s="131">
        <f>SI!BZ2960</f>
        <v>0</v>
      </c>
    </row>
    <row r="2961" spans="1:130" hidden="1" x14ac:dyDescent="0.25">
      <c r="A2961" s="141"/>
      <c r="B2961" s="379"/>
      <c r="C2961" s="379"/>
      <c r="D2961" s="379"/>
      <c r="E2961" s="379"/>
      <c r="F2961" s="379"/>
      <c r="G2961" s="379"/>
      <c r="H2961" s="379"/>
      <c r="I2961" s="379"/>
      <c r="J2961" s="379"/>
      <c r="K2961" s="379"/>
      <c r="L2961" s="379"/>
      <c r="M2961" s="379"/>
      <c r="N2961" s="379"/>
      <c r="O2961" s="379"/>
      <c r="P2961" s="379"/>
      <c r="Q2961" s="379"/>
      <c r="R2961" s="379"/>
      <c r="S2961" s="379"/>
      <c r="T2961" s="379"/>
      <c r="U2961" s="379"/>
      <c r="V2961" s="379"/>
      <c r="W2961" s="379"/>
      <c r="X2961" s="379"/>
      <c r="Y2961" s="379"/>
      <c r="Z2961" s="379"/>
      <c r="AA2961" s="379"/>
      <c r="AB2961" s="379"/>
      <c r="AC2961" s="379"/>
      <c r="AD2961" s="379"/>
      <c r="AE2961" s="379"/>
      <c r="AF2961" s="379"/>
      <c r="AG2961" s="379"/>
      <c r="AH2961" s="379"/>
      <c r="AI2961" s="379"/>
      <c r="AJ2961" s="379"/>
      <c r="AK2961" s="379"/>
      <c r="AL2961" s="379"/>
      <c r="AM2961" s="379"/>
      <c r="AN2961" s="379"/>
      <c r="AO2961" s="379"/>
      <c r="AP2961" s="379"/>
      <c r="AQ2961" s="379"/>
      <c r="AR2961" s="379"/>
      <c r="AS2961" s="379"/>
      <c r="AT2961" s="379"/>
      <c r="AU2961" s="379"/>
      <c r="AV2961" s="379"/>
      <c r="AW2961" s="379"/>
      <c r="AX2961" s="379"/>
      <c r="AY2961" s="379"/>
      <c r="AZ2961" s="379"/>
      <c r="BA2961" s="379"/>
      <c r="BB2961" s="379"/>
      <c r="BC2961" s="379"/>
      <c r="BD2961" s="379"/>
      <c r="BE2961" s="379"/>
      <c r="BF2961" s="379"/>
      <c r="BG2961" s="379"/>
      <c r="BH2961" s="379"/>
      <c r="BI2961" s="379"/>
      <c r="BJ2961" s="379"/>
      <c r="BK2961" s="379"/>
      <c r="BL2961" s="379"/>
      <c r="BM2961" s="379"/>
      <c r="BN2961" s="379"/>
      <c r="BO2961" s="379"/>
      <c r="BP2961" s="379"/>
      <c r="BQ2961" s="379"/>
      <c r="BR2961" s="379"/>
      <c r="BS2961" s="379"/>
      <c r="BT2961" s="379"/>
      <c r="BU2961" s="379"/>
      <c r="BV2961" s="379"/>
      <c r="BW2961" s="379"/>
      <c r="BX2961" s="379"/>
      <c r="BY2961" s="379"/>
      <c r="BZ2961" s="379"/>
      <c r="CA2961" s="281"/>
      <c r="CB2961" s="3" t="str">
        <f t="shared" si="532"/>
        <v>Riadok bude skrytý.</v>
      </c>
      <c r="CC2961" s="271" t="s">
        <v>832</v>
      </c>
      <c r="CW2961" s="30">
        <f t="shared" si="535"/>
        <v>1</v>
      </c>
      <c r="CX2961" s="30">
        <f t="shared" si="536"/>
        <v>0</v>
      </c>
      <c r="CZ2961" s="30">
        <f t="shared" si="533"/>
        <v>1</v>
      </c>
      <c r="DA2961" s="52">
        <f t="shared" si="537"/>
        <v>0</v>
      </c>
      <c r="DB2961" s="2">
        <f t="shared" si="534"/>
        <v>0</v>
      </c>
      <c r="DS2961" s="130">
        <f>SI!BY2961</f>
        <v>118</v>
      </c>
      <c r="DZ2961" s="131">
        <f>SI!BZ2961</f>
        <v>0</v>
      </c>
    </row>
    <row r="2962" spans="1:130" hidden="1" x14ac:dyDescent="0.25">
      <c r="A2962" s="141"/>
      <c r="B2962" s="379"/>
      <c r="C2962" s="379"/>
      <c r="D2962" s="379"/>
      <c r="E2962" s="379"/>
      <c r="F2962" s="379"/>
      <c r="G2962" s="379"/>
      <c r="H2962" s="379"/>
      <c r="I2962" s="379"/>
      <c r="J2962" s="379"/>
      <c r="K2962" s="379"/>
      <c r="L2962" s="379"/>
      <c r="M2962" s="379"/>
      <c r="N2962" s="379"/>
      <c r="O2962" s="379"/>
      <c r="P2962" s="379"/>
      <c r="Q2962" s="379"/>
      <c r="R2962" s="379"/>
      <c r="S2962" s="379"/>
      <c r="T2962" s="379"/>
      <c r="U2962" s="379"/>
      <c r="V2962" s="379"/>
      <c r="W2962" s="379"/>
      <c r="X2962" s="379"/>
      <c r="Y2962" s="379"/>
      <c r="Z2962" s="379"/>
      <c r="AA2962" s="379"/>
      <c r="AB2962" s="379"/>
      <c r="AC2962" s="379"/>
      <c r="AD2962" s="379"/>
      <c r="AE2962" s="379"/>
      <c r="AF2962" s="379"/>
      <c r="AG2962" s="379"/>
      <c r="AH2962" s="379"/>
      <c r="AI2962" s="379"/>
      <c r="AJ2962" s="379"/>
      <c r="AK2962" s="379"/>
      <c r="AL2962" s="379"/>
      <c r="AM2962" s="379"/>
      <c r="AN2962" s="379"/>
      <c r="AO2962" s="379"/>
      <c r="AP2962" s="379"/>
      <c r="AQ2962" s="379"/>
      <c r="AR2962" s="379"/>
      <c r="AS2962" s="379"/>
      <c r="AT2962" s="379"/>
      <c r="AU2962" s="379"/>
      <c r="AV2962" s="379"/>
      <c r="AW2962" s="379"/>
      <c r="AX2962" s="379"/>
      <c r="AY2962" s="379"/>
      <c r="AZ2962" s="379"/>
      <c r="BA2962" s="379"/>
      <c r="BB2962" s="379"/>
      <c r="BC2962" s="379"/>
      <c r="BD2962" s="379"/>
      <c r="BE2962" s="379"/>
      <c r="BF2962" s="379"/>
      <c r="BG2962" s="379"/>
      <c r="BH2962" s="379"/>
      <c r="BI2962" s="379"/>
      <c r="BJ2962" s="379"/>
      <c r="BK2962" s="379"/>
      <c r="BL2962" s="379"/>
      <c r="BM2962" s="379"/>
      <c r="BN2962" s="379"/>
      <c r="BO2962" s="379"/>
      <c r="BP2962" s="379"/>
      <c r="BQ2962" s="379"/>
      <c r="BR2962" s="379"/>
      <c r="BS2962" s="379"/>
      <c r="BT2962" s="379"/>
      <c r="BU2962" s="379"/>
      <c r="BV2962" s="379"/>
      <c r="BW2962" s="379"/>
      <c r="BX2962" s="379"/>
      <c r="BY2962" s="379"/>
      <c r="BZ2962" s="379"/>
      <c r="CA2962" s="281"/>
      <c r="CB2962" s="3" t="str">
        <f t="shared" si="532"/>
        <v>Riadok bude skrytý.</v>
      </c>
      <c r="CC2962" s="271" t="s">
        <v>832</v>
      </c>
      <c r="CW2962" s="30">
        <f t="shared" si="535"/>
        <v>1</v>
      </c>
      <c r="CX2962" s="30">
        <f t="shared" si="536"/>
        <v>0</v>
      </c>
      <c r="CZ2962" s="30">
        <f t="shared" si="533"/>
        <v>1</v>
      </c>
      <c r="DA2962" s="52">
        <f t="shared" si="537"/>
        <v>0</v>
      </c>
      <c r="DB2962" s="2">
        <f t="shared" si="534"/>
        <v>0</v>
      </c>
      <c r="DS2962" s="130">
        <f>SI!BY2962</f>
        <v>737</v>
      </c>
      <c r="DZ2962" s="131">
        <f>SI!BZ2962</f>
        <v>0</v>
      </c>
    </row>
    <row r="2963" spans="1:130" hidden="1" x14ac:dyDescent="0.25">
      <c r="A2963" s="141"/>
      <c r="B2963" s="379"/>
      <c r="C2963" s="379"/>
      <c r="D2963" s="379"/>
      <c r="E2963" s="379"/>
      <c r="F2963" s="379"/>
      <c r="G2963" s="379"/>
      <c r="H2963" s="379"/>
      <c r="I2963" s="379"/>
      <c r="J2963" s="379"/>
      <c r="K2963" s="379"/>
      <c r="L2963" s="379"/>
      <c r="M2963" s="379"/>
      <c r="N2963" s="379"/>
      <c r="O2963" s="379"/>
      <c r="P2963" s="379"/>
      <c r="Q2963" s="379"/>
      <c r="R2963" s="379"/>
      <c r="S2963" s="379"/>
      <c r="T2963" s="379"/>
      <c r="U2963" s="379"/>
      <c r="V2963" s="379"/>
      <c r="W2963" s="379"/>
      <c r="X2963" s="379"/>
      <c r="Y2963" s="379"/>
      <c r="Z2963" s="379"/>
      <c r="AA2963" s="379"/>
      <c r="AB2963" s="379"/>
      <c r="AC2963" s="379"/>
      <c r="AD2963" s="379"/>
      <c r="AE2963" s="379"/>
      <c r="AF2963" s="379"/>
      <c r="AG2963" s="379"/>
      <c r="AH2963" s="379"/>
      <c r="AI2963" s="379"/>
      <c r="AJ2963" s="379"/>
      <c r="AK2963" s="379"/>
      <c r="AL2963" s="379"/>
      <c r="AM2963" s="379"/>
      <c r="AN2963" s="379"/>
      <c r="AO2963" s="379"/>
      <c r="AP2963" s="379"/>
      <c r="AQ2963" s="379"/>
      <c r="AR2963" s="379"/>
      <c r="AS2963" s="379"/>
      <c r="AT2963" s="379"/>
      <c r="AU2963" s="379"/>
      <c r="AV2963" s="379"/>
      <c r="AW2963" s="379"/>
      <c r="AX2963" s="379"/>
      <c r="AY2963" s="379"/>
      <c r="AZ2963" s="379"/>
      <c r="BA2963" s="379"/>
      <c r="BB2963" s="379"/>
      <c r="BC2963" s="379"/>
      <c r="BD2963" s="379"/>
      <c r="BE2963" s="379"/>
      <c r="BF2963" s="379"/>
      <c r="BG2963" s="379"/>
      <c r="BH2963" s="379"/>
      <c r="BI2963" s="379"/>
      <c r="BJ2963" s="379"/>
      <c r="BK2963" s="379"/>
      <c r="BL2963" s="379"/>
      <c r="BM2963" s="379"/>
      <c r="BN2963" s="379"/>
      <c r="BO2963" s="379"/>
      <c r="BP2963" s="379"/>
      <c r="BQ2963" s="379"/>
      <c r="BR2963" s="379"/>
      <c r="BS2963" s="379"/>
      <c r="BT2963" s="379"/>
      <c r="BU2963" s="379"/>
      <c r="BV2963" s="379"/>
      <c r="BW2963" s="379"/>
      <c r="BX2963" s="379"/>
      <c r="BY2963" s="379"/>
      <c r="BZ2963" s="379"/>
      <c r="CA2963" s="281"/>
      <c r="CB2963" s="3" t="str">
        <f t="shared" si="532"/>
        <v>Riadok bude skrytý.</v>
      </c>
      <c r="CC2963" s="271" t="s">
        <v>832</v>
      </c>
      <c r="CW2963" s="30">
        <f t="shared" si="535"/>
        <v>1</v>
      </c>
      <c r="CX2963" s="30">
        <f t="shared" si="536"/>
        <v>0</v>
      </c>
      <c r="CZ2963" s="30">
        <f t="shared" si="533"/>
        <v>1</v>
      </c>
      <c r="DA2963" s="52">
        <f t="shared" si="537"/>
        <v>0</v>
      </c>
      <c r="DB2963" s="2">
        <f t="shared" si="534"/>
        <v>0</v>
      </c>
      <c r="DS2963" s="130">
        <f>SI!BY2963</f>
        <v>180</v>
      </c>
      <c r="DZ2963" s="131">
        <f>SI!BZ2963</f>
        <v>0</v>
      </c>
    </row>
    <row r="2964" spans="1:130" hidden="1" x14ac:dyDescent="0.25">
      <c r="A2964" s="141"/>
      <c r="B2964" s="379"/>
      <c r="C2964" s="379"/>
      <c r="D2964" s="379"/>
      <c r="E2964" s="379"/>
      <c r="F2964" s="379"/>
      <c r="G2964" s="379"/>
      <c r="H2964" s="379"/>
      <c r="I2964" s="379"/>
      <c r="J2964" s="379"/>
      <c r="K2964" s="379"/>
      <c r="L2964" s="379"/>
      <c r="M2964" s="379"/>
      <c r="N2964" s="379"/>
      <c r="O2964" s="379"/>
      <c r="P2964" s="379"/>
      <c r="Q2964" s="379"/>
      <c r="R2964" s="379"/>
      <c r="S2964" s="379"/>
      <c r="T2964" s="379"/>
      <c r="U2964" s="379"/>
      <c r="V2964" s="379"/>
      <c r="W2964" s="379"/>
      <c r="X2964" s="379"/>
      <c r="Y2964" s="379"/>
      <c r="Z2964" s="379"/>
      <c r="AA2964" s="379"/>
      <c r="AB2964" s="379"/>
      <c r="AC2964" s="379"/>
      <c r="AD2964" s="379"/>
      <c r="AE2964" s="379"/>
      <c r="AF2964" s="379"/>
      <c r="AG2964" s="379"/>
      <c r="AH2964" s="379"/>
      <c r="AI2964" s="379"/>
      <c r="AJ2964" s="379"/>
      <c r="AK2964" s="379"/>
      <c r="AL2964" s="379"/>
      <c r="AM2964" s="379"/>
      <c r="AN2964" s="379"/>
      <c r="AO2964" s="379"/>
      <c r="AP2964" s="379"/>
      <c r="AQ2964" s="379"/>
      <c r="AR2964" s="379"/>
      <c r="AS2964" s="379"/>
      <c r="AT2964" s="379"/>
      <c r="AU2964" s="379"/>
      <c r="AV2964" s="379"/>
      <c r="AW2964" s="379"/>
      <c r="AX2964" s="379"/>
      <c r="AY2964" s="379"/>
      <c r="AZ2964" s="379"/>
      <c r="BA2964" s="379"/>
      <c r="BB2964" s="379"/>
      <c r="BC2964" s="379"/>
      <c r="BD2964" s="379"/>
      <c r="BE2964" s="379"/>
      <c r="BF2964" s="379"/>
      <c r="BG2964" s="379"/>
      <c r="BH2964" s="379"/>
      <c r="BI2964" s="379"/>
      <c r="BJ2964" s="379"/>
      <c r="BK2964" s="379"/>
      <c r="BL2964" s="379"/>
      <c r="BM2964" s="379"/>
      <c r="BN2964" s="379"/>
      <c r="BO2964" s="379"/>
      <c r="BP2964" s="379"/>
      <c r="BQ2964" s="379"/>
      <c r="BR2964" s="379"/>
      <c r="BS2964" s="379"/>
      <c r="BT2964" s="379"/>
      <c r="BU2964" s="379"/>
      <c r="BV2964" s="379"/>
      <c r="BW2964" s="379"/>
      <c r="BX2964" s="379"/>
      <c r="BY2964" s="379"/>
      <c r="BZ2964" s="379"/>
      <c r="CA2964" s="281"/>
      <c r="CB2964" s="3" t="str">
        <f t="shared" si="532"/>
        <v>Riadok bude skrytý.</v>
      </c>
      <c r="CC2964" s="271" t="s">
        <v>832</v>
      </c>
      <c r="CW2964" s="30">
        <f t="shared" si="535"/>
        <v>1</v>
      </c>
      <c r="CX2964" s="30">
        <f t="shared" si="536"/>
        <v>0</v>
      </c>
      <c r="CZ2964" s="30">
        <f t="shared" si="533"/>
        <v>1</v>
      </c>
      <c r="DA2964" s="52">
        <f t="shared" si="537"/>
        <v>0</v>
      </c>
      <c r="DB2964" s="2">
        <f t="shared" si="534"/>
        <v>0</v>
      </c>
      <c r="DS2964" s="130">
        <f>SI!BY2964</f>
        <v>912</v>
      </c>
      <c r="DZ2964" s="131">
        <f>SI!BZ2964</f>
        <v>0</v>
      </c>
    </row>
    <row r="2965" spans="1:130" hidden="1" x14ac:dyDescent="0.25">
      <c r="A2965" s="141"/>
      <c r="B2965" s="379"/>
      <c r="C2965" s="379"/>
      <c r="D2965" s="379"/>
      <c r="E2965" s="379"/>
      <c r="F2965" s="379"/>
      <c r="G2965" s="379"/>
      <c r="H2965" s="379"/>
      <c r="I2965" s="379"/>
      <c r="J2965" s="379"/>
      <c r="K2965" s="379"/>
      <c r="L2965" s="379"/>
      <c r="M2965" s="379"/>
      <c r="N2965" s="379"/>
      <c r="O2965" s="379"/>
      <c r="P2965" s="379"/>
      <c r="Q2965" s="379"/>
      <c r="R2965" s="379"/>
      <c r="S2965" s="379"/>
      <c r="T2965" s="379"/>
      <c r="U2965" s="379"/>
      <c r="V2965" s="379"/>
      <c r="W2965" s="379"/>
      <c r="X2965" s="379"/>
      <c r="Y2965" s="379"/>
      <c r="Z2965" s="379"/>
      <c r="AA2965" s="379"/>
      <c r="AB2965" s="379"/>
      <c r="AC2965" s="379"/>
      <c r="AD2965" s="379"/>
      <c r="AE2965" s="379"/>
      <c r="AF2965" s="379"/>
      <c r="AG2965" s="379"/>
      <c r="AH2965" s="379"/>
      <c r="AI2965" s="379"/>
      <c r="AJ2965" s="379"/>
      <c r="AK2965" s="379"/>
      <c r="AL2965" s="379"/>
      <c r="AM2965" s="379"/>
      <c r="AN2965" s="379"/>
      <c r="AO2965" s="379"/>
      <c r="AP2965" s="379"/>
      <c r="AQ2965" s="379"/>
      <c r="AR2965" s="379"/>
      <c r="AS2965" s="379"/>
      <c r="AT2965" s="379"/>
      <c r="AU2965" s="379"/>
      <c r="AV2965" s="379"/>
      <c r="AW2965" s="379"/>
      <c r="AX2965" s="379"/>
      <c r="AY2965" s="379"/>
      <c r="AZ2965" s="379"/>
      <c r="BA2965" s="379"/>
      <c r="BB2965" s="379"/>
      <c r="BC2965" s="379"/>
      <c r="BD2965" s="379"/>
      <c r="BE2965" s="379"/>
      <c r="BF2965" s="379"/>
      <c r="BG2965" s="379"/>
      <c r="BH2965" s="379"/>
      <c r="BI2965" s="379"/>
      <c r="BJ2965" s="379"/>
      <c r="BK2965" s="379"/>
      <c r="BL2965" s="379"/>
      <c r="BM2965" s="379"/>
      <c r="BN2965" s="379"/>
      <c r="BO2965" s="379"/>
      <c r="BP2965" s="379"/>
      <c r="BQ2965" s="379"/>
      <c r="BR2965" s="379"/>
      <c r="BS2965" s="379"/>
      <c r="BT2965" s="379"/>
      <c r="BU2965" s="379"/>
      <c r="BV2965" s="379"/>
      <c r="BW2965" s="379"/>
      <c r="BX2965" s="379"/>
      <c r="BY2965" s="379"/>
      <c r="BZ2965" s="379"/>
      <c r="CA2965" s="281"/>
      <c r="CB2965" s="3" t="str">
        <f t="shared" si="532"/>
        <v>Riadok bude skrytý.</v>
      </c>
      <c r="CC2965" s="271" t="s">
        <v>832</v>
      </c>
      <c r="CW2965" s="30">
        <f t="shared" si="535"/>
        <v>1</v>
      </c>
      <c r="CX2965" s="30">
        <f t="shared" si="536"/>
        <v>0</v>
      </c>
      <c r="CZ2965" s="30">
        <f t="shared" si="533"/>
        <v>1</v>
      </c>
      <c r="DA2965" s="52">
        <f t="shared" si="537"/>
        <v>0</v>
      </c>
      <c r="DB2965" s="2">
        <f t="shared" si="534"/>
        <v>0</v>
      </c>
      <c r="DS2965" s="130">
        <f>SI!BY2965</f>
        <v>187</v>
      </c>
      <c r="DZ2965" s="131">
        <f>SI!BZ2965</f>
        <v>0</v>
      </c>
    </row>
    <row r="2966" spans="1:130" hidden="1" x14ac:dyDescent="0.25">
      <c r="A2966" s="141"/>
      <c r="B2966" s="379"/>
      <c r="C2966" s="379"/>
      <c r="D2966" s="379"/>
      <c r="E2966" s="379"/>
      <c r="F2966" s="379"/>
      <c r="G2966" s="379"/>
      <c r="H2966" s="379"/>
      <c r="I2966" s="379"/>
      <c r="J2966" s="379"/>
      <c r="K2966" s="379"/>
      <c r="L2966" s="379"/>
      <c r="M2966" s="379"/>
      <c r="N2966" s="379"/>
      <c r="O2966" s="379"/>
      <c r="P2966" s="379"/>
      <c r="Q2966" s="379"/>
      <c r="R2966" s="379"/>
      <c r="S2966" s="379"/>
      <c r="T2966" s="379"/>
      <c r="U2966" s="379"/>
      <c r="V2966" s="379"/>
      <c r="W2966" s="379"/>
      <c r="X2966" s="379"/>
      <c r="Y2966" s="379"/>
      <c r="Z2966" s="379"/>
      <c r="AA2966" s="379"/>
      <c r="AB2966" s="379"/>
      <c r="AC2966" s="379"/>
      <c r="AD2966" s="379"/>
      <c r="AE2966" s="379"/>
      <c r="AF2966" s="379"/>
      <c r="AG2966" s="379"/>
      <c r="AH2966" s="379"/>
      <c r="AI2966" s="379"/>
      <c r="AJ2966" s="379"/>
      <c r="AK2966" s="379"/>
      <c r="AL2966" s="379"/>
      <c r="AM2966" s="379"/>
      <c r="AN2966" s="379"/>
      <c r="AO2966" s="379"/>
      <c r="AP2966" s="379"/>
      <c r="AQ2966" s="379"/>
      <c r="AR2966" s="379"/>
      <c r="AS2966" s="379"/>
      <c r="AT2966" s="379"/>
      <c r="AU2966" s="379"/>
      <c r="AV2966" s="379"/>
      <c r="AW2966" s="379"/>
      <c r="AX2966" s="379"/>
      <c r="AY2966" s="379"/>
      <c r="AZ2966" s="379"/>
      <c r="BA2966" s="379"/>
      <c r="BB2966" s="379"/>
      <c r="BC2966" s="379"/>
      <c r="BD2966" s="379"/>
      <c r="BE2966" s="379"/>
      <c r="BF2966" s="379"/>
      <c r="BG2966" s="379"/>
      <c r="BH2966" s="379"/>
      <c r="BI2966" s="379"/>
      <c r="BJ2966" s="379"/>
      <c r="BK2966" s="379"/>
      <c r="BL2966" s="379"/>
      <c r="BM2966" s="379"/>
      <c r="BN2966" s="379"/>
      <c r="BO2966" s="379"/>
      <c r="BP2966" s="379"/>
      <c r="BQ2966" s="379"/>
      <c r="BR2966" s="379"/>
      <c r="BS2966" s="379"/>
      <c r="BT2966" s="379"/>
      <c r="BU2966" s="379"/>
      <c r="BV2966" s="379"/>
      <c r="BW2966" s="379"/>
      <c r="BX2966" s="379"/>
      <c r="BY2966" s="379"/>
      <c r="BZ2966" s="379"/>
      <c r="CA2966" s="281"/>
      <c r="CB2966" s="3" t="str">
        <f t="shared" si="532"/>
        <v>Riadok bude skrytý.</v>
      </c>
      <c r="CC2966" s="271" t="s">
        <v>832</v>
      </c>
      <c r="CW2966" s="30">
        <f t="shared" si="535"/>
        <v>1</v>
      </c>
      <c r="CX2966" s="30">
        <f t="shared" si="536"/>
        <v>0</v>
      </c>
      <c r="CZ2966" s="30">
        <f t="shared" si="533"/>
        <v>1</v>
      </c>
      <c r="DA2966" s="52">
        <f t="shared" si="537"/>
        <v>0</v>
      </c>
      <c r="DB2966" s="2">
        <f t="shared" si="534"/>
        <v>0</v>
      </c>
      <c r="DS2966" s="130">
        <f>SI!BY2966</f>
        <v>915</v>
      </c>
      <c r="DZ2966" s="131">
        <f>SI!BZ2966</f>
        <v>0</v>
      </c>
    </row>
    <row r="2967" spans="1:130" hidden="1" x14ac:dyDescent="0.25">
      <c r="A2967" s="141"/>
      <c r="B2967" s="379"/>
      <c r="C2967" s="379"/>
      <c r="D2967" s="379"/>
      <c r="E2967" s="379"/>
      <c r="F2967" s="379"/>
      <c r="G2967" s="379"/>
      <c r="H2967" s="379"/>
      <c r="I2967" s="379"/>
      <c r="J2967" s="379"/>
      <c r="K2967" s="379"/>
      <c r="L2967" s="379"/>
      <c r="M2967" s="379"/>
      <c r="N2967" s="379"/>
      <c r="O2967" s="379"/>
      <c r="P2967" s="379"/>
      <c r="Q2967" s="379"/>
      <c r="R2967" s="379"/>
      <c r="S2967" s="379"/>
      <c r="T2967" s="379"/>
      <c r="U2967" s="379"/>
      <c r="V2967" s="379"/>
      <c r="W2967" s="379"/>
      <c r="X2967" s="379"/>
      <c r="Y2967" s="379"/>
      <c r="Z2967" s="379"/>
      <c r="AA2967" s="379"/>
      <c r="AB2967" s="379"/>
      <c r="AC2967" s="379"/>
      <c r="AD2967" s="379"/>
      <c r="AE2967" s="379"/>
      <c r="AF2967" s="379"/>
      <c r="AG2967" s="379"/>
      <c r="AH2967" s="379"/>
      <c r="AI2967" s="379"/>
      <c r="AJ2967" s="379"/>
      <c r="AK2967" s="379"/>
      <c r="AL2967" s="379"/>
      <c r="AM2967" s="379"/>
      <c r="AN2967" s="379"/>
      <c r="AO2967" s="379"/>
      <c r="AP2967" s="379"/>
      <c r="AQ2967" s="379"/>
      <c r="AR2967" s="379"/>
      <c r="AS2967" s="379"/>
      <c r="AT2967" s="379"/>
      <c r="AU2967" s="379"/>
      <c r="AV2967" s="379"/>
      <c r="AW2967" s="379"/>
      <c r="AX2967" s="379"/>
      <c r="AY2967" s="379"/>
      <c r="AZ2967" s="379"/>
      <c r="BA2967" s="379"/>
      <c r="BB2967" s="379"/>
      <c r="BC2967" s="379"/>
      <c r="BD2967" s="379"/>
      <c r="BE2967" s="379"/>
      <c r="BF2967" s="379"/>
      <c r="BG2967" s="379"/>
      <c r="BH2967" s="379"/>
      <c r="BI2967" s="379"/>
      <c r="BJ2967" s="379"/>
      <c r="BK2967" s="379"/>
      <c r="BL2967" s="379"/>
      <c r="BM2967" s="379"/>
      <c r="BN2967" s="379"/>
      <c r="BO2967" s="379"/>
      <c r="BP2967" s="379"/>
      <c r="BQ2967" s="379"/>
      <c r="BR2967" s="379"/>
      <c r="BS2967" s="379"/>
      <c r="BT2967" s="379"/>
      <c r="BU2967" s="379"/>
      <c r="BV2967" s="379"/>
      <c r="BW2967" s="379"/>
      <c r="BX2967" s="379"/>
      <c r="BY2967" s="379"/>
      <c r="BZ2967" s="379"/>
      <c r="CA2967" s="281"/>
      <c r="CB2967" s="3" t="str">
        <f t="shared" si="532"/>
        <v>Riadok bude skrytý.</v>
      </c>
      <c r="CC2967" s="271" t="s">
        <v>832</v>
      </c>
      <c r="CW2967" s="30">
        <f t="shared" si="535"/>
        <v>1</v>
      </c>
      <c r="CX2967" s="30">
        <f t="shared" si="536"/>
        <v>0</v>
      </c>
      <c r="CZ2967" s="30">
        <f t="shared" si="533"/>
        <v>1</v>
      </c>
      <c r="DA2967" s="52">
        <f t="shared" si="537"/>
        <v>0</v>
      </c>
      <c r="DB2967" s="2">
        <f t="shared" si="534"/>
        <v>0</v>
      </c>
      <c r="DS2967" s="130">
        <f>SI!BY2967</f>
        <v>110</v>
      </c>
      <c r="DZ2967" s="131">
        <f>SI!BZ2967</f>
        <v>0</v>
      </c>
    </row>
    <row r="2968" spans="1:130" hidden="1" x14ac:dyDescent="0.25">
      <c r="A2968" s="141"/>
      <c r="B2968" s="379"/>
      <c r="C2968" s="379"/>
      <c r="D2968" s="379"/>
      <c r="E2968" s="379"/>
      <c r="F2968" s="379"/>
      <c r="G2968" s="379"/>
      <c r="H2968" s="379"/>
      <c r="I2968" s="379"/>
      <c r="J2968" s="379"/>
      <c r="K2968" s="379"/>
      <c r="L2968" s="379"/>
      <c r="M2968" s="379"/>
      <c r="N2968" s="379"/>
      <c r="O2968" s="379"/>
      <c r="P2968" s="379"/>
      <c r="Q2968" s="379"/>
      <c r="R2968" s="379"/>
      <c r="S2968" s="379"/>
      <c r="T2968" s="379"/>
      <c r="U2968" s="379"/>
      <c r="V2968" s="379"/>
      <c r="W2968" s="379"/>
      <c r="X2968" s="379"/>
      <c r="Y2968" s="379"/>
      <c r="Z2968" s="379"/>
      <c r="AA2968" s="379"/>
      <c r="AB2968" s="379"/>
      <c r="AC2968" s="379"/>
      <c r="AD2968" s="379"/>
      <c r="AE2968" s="379"/>
      <c r="AF2968" s="379"/>
      <c r="AG2968" s="379"/>
      <c r="AH2968" s="379"/>
      <c r="AI2968" s="379"/>
      <c r="AJ2968" s="379"/>
      <c r="AK2968" s="379"/>
      <c r="AL2968" s="379"/>
      <c r="AM2968" s="379"/>
      <c r="AN2968" s="379"/>
      <c r="AO2968" s="379"/>
      <c r="AP2968" s="379"/>
      <c r="AQ2968" s="379"/>
      <c r="AR2968" s="379"/>
      <c r="AS2968" s="379"/>
      <c r="AT2968" s="379"/>
      <c r="AU2968" s="379"/>
      <c r="AV2968" s="379"/>
      <c r="AW2968" s="379"/>
      <c r="AX2968" s="379"/>
      <c r="AY2968" s="379"/>
      <c r="AZ2968" s="379"/>
      <c r="BA2968" s="379"/>
      <c r="BB2968" s="379"/>
      <c r="BC2968" s="379"/>
      <c r="BD2968" s="379"/>
      <c r="BE2968" s="379"/>
      <c r="BF2968" s="379"/>
      <c r="BG2968" s="379"/>
      <c r="BH2968" s="379"/>
      <c r="BI2968" s="379"/>
      <c r="BJ2968" s="379"/>
      <c r="BK2968" s="379"/>
      <c r="BL2968" s="379"/>
      <c r="BM2968" s="379"/>
      <c r="BN2968" s="379"/>
      <c r="BO2968" s="379"/>
      <c r="BP2968" s="379"/>
      <c r="BQ2968" s="379"/>
      <c r="BR2968" s="379"/>
      <c r="BS2968" s="379"/>
      <c r="BT2968" s="379"/>
      <c r="BU2968" s="379"/>
      <c r="BV2968" s="379"/>
      <c r="BW2968" s="379"/>
      <c r="BX2968" s="379"/>
      <c r="BY2968" s="379"/>
      <c r="BZ2968" s="379"/>
      <c r="CA2968" s="281"/>
      <c r="CB2968" s="3" t="str">
        <f t="shared" si="532"/>
        <v>Riadok bude skrytý.</v>
      </c>
      <c r="CC2968" s="271" t="s">
        <v>832</v>
      </c>
      <c r="CW2968" s="30">
        <f t="shared" si="535"/>
        <v>1</v>
      </c>
      <c r="CX2968" s="30">
        <f t="shared" si="536"/>
        <v>0</v>
      </c>
      <c r="CZ2968" s="30">
        <f t="shared" si="533"/>
        <v>1</v>
      </c>
      <c r="DA2968" s="52">
        <f t="shared" si="537"/>
        <v>0</v>
      </c>
      <c r="DB2968" s="2">
        <f t="shared" si="534"/>
        <v>0</v>
      </c>
      <c r="DS2968" s="130">
        <f>SI!BY2968</f>
        <v>652</v>
      </c>
      <c r="DZ2968" s="131">
        <f>SI!BZ2968</f>
        <v>0</v>
      </c>
    </row>
    <row r="2969" spans="1:130" hidden="1" x14ac:dyDescent="0.25">
      <c r="A2969" s="141"/>
      <c r="B2969" s="379"/>
      <c r="C2969" s="379"/>
      <c r="D2969" s="379"/>
      <c r="E2969" s="379"/>
      <c r="F2969" s="379"/>
      <c r="G2969" s="379"/>
      <c r="H2969" s="379"/>
      <c r="I2969" s="379"/>
      <c r="J2969" s="379"/>
      <c r="K2969" s="379"/>
      <c r="L2969" s="379"/>
      <c r="M2969" s="379"/>
      <c r="N2969" s="379"/>
      <c r="O2969" s="379"/>
      <c r="P2969" s="379"/>
      <c r="Q2969" s="379"/>
      <c r="R2969" s="379"/>
      <c r="S2969" s="379"/>
      <c r="T2969" s="379"/>
      <c r="U2969" s="379"/>
      <c r="V2969" s="379"/>
      <c r="W2969" s="379"/>
      <c r="X2969" s="379"/>
      <c r="Y2969" s="379"/>
      <c r="Z2969" s="379"/>
      <c r="AA2969" s="379"/>
      <c r="AB2969" s="379"/>
      <c r="AC2969" s="379"/>
      <c r="AD2969" s="379"/>
      <c r="AE2969" s="379"/>
      <c r="AF2969" s="379"/>
      <c r="AG2969" s="379"/>
      <c r="AH2969" s="379"/>
      <c r="AI2969" s="379"/>
      <c r="AJ2969" s="379"/>
      <c r="AK2969" s="379"/>
      <c r="AL2969" s="379"/>
      <c r="AM2969" s="379"/>
      <c r="AN2969" s="379"/>
      <c r="AO2969" s="379"/>
      <c r="AP2969" s="379"/>
      <c r="AQ2969" s="379"/>
      <c r="AR2969" s="379"/>
      <c r="AS2969" s="379"/>
      <c r="AT2969" s="379"/>
      <c r="AU2969" s="379"/>
      <c r="AV2969" s="379"/>
      <c r="AW2969" s="379"/>
      <c r="AX2969" s="379"/>
      <c r="AY2969" s="379"/>
      <c r="AZ2969" s="379"/>
      <c r="BA2969" s="379"/>
      <c r="BB2969" s="379"/>
      <c r="BC2969" s="379"/>
      <c r="BD2969" s="379"/>
      <c r="BE2969" s="379"/>
      <c r="BF2969" s="379"/>
      <c r="BG2969" s="379"/>
      <c r="BH2969" s="379"/>
      <c r="BI2969" s="379"/>
      <c r="BJ2969" s="379"/>
      <c r="BK2969" s="379"/>
      <c r="BL2969" s="379"/>
      <c r="BM2969" s="379"/>
      <c r="BN2969" s="379"/>
      <c r="BO2969" s="379"/>
      <c r="BP2969" s="379"/>
      <c r="BQ2969" s="379"/>
      <c r="BR2969" s="379"/>
      <c r="BS2969" s="379"/>
      <c r="BT2969" s="379"/>
      <c r="BU2969" s="379"/>
      <c r="BV2969" s="379"/>
      <c r="BW2969" s="379"/>
      <c r="BX2969" s="379"/>
      <c r="BY2969" s="379"/>
      <c r="BZ2969" s="379"/>
      <c r="CA2969" s="281"/>
      <c r="CB2969" s="3" t="str">
        <f t="shared" si="532"/>
        <v>Riadok bude skrytý.</v>
      </c>
      <c r="CC2969" s="271" t="s">
        <v>832</v>
      </c>
      <c r="CW2969" s="30">
        <f t="shared" si="535"/>
        <v>1</v>
      </c>
      <c r="CX2969" s="30">
        <f t="shared" si="536"/>
        <v>0</v>
      </c>
      <c r="CZ2969" s="30">
        <f t="shared" si="533"/>
        <v>1</v>
      </c>
      <c r="DA2969" s="52">
        <f t="shared" si="537"/>
        <v>0</v>
      </c>
      <c r="DB2969" s="2">
        <f t="shared" si="534"/>
        <v>0</v>
      </c>
      <c r="DS2969" s="130">
        <f>SI!BY2969</f>
        <v>321</v>
      </c>
      <c r="DZ2969" s="131">
        <f>SI!BZ2969</f>
        <v>0</v>
      </c>
    </row>
    <row r="2970" spans="1:130" hidden="1" x14ac:dyDescent="0.25">
      <c r="A2970" s="141"/>
      <c r="B2970" s="379"/>
      <c r="C2970" s="379"/>
      <c r="D2970" s="379"/>
      <c r="E2970" s="379"/>
      <c r="F2970" s="379"/>
      <c r="G2970" s="379"/>
      <c r="H2970" s="379"/>
      <c r="I2970" s="379"/>
      <c r="J2970" s="379"/>
      <c r="K2970" s="379"/>
      <c r="L2970" s="379"/>
      <c r="M2970" s="379"/>
      <c r="N2970" s="379"/>
      <c r="O2970" s="379"/>
      <c r="P2970" s="379"/>
      <c r="Q2970" s="379"/>
      <c r="R2970" s="379"/>
      <c r="S2970" s="379"/>
      <c r="T2970" s="379"/>
      <c r="U2970" s="379"/>
      <c r="V2970" s="379"/>
      <c r="W2970" s="379"/>
      <c r="X2970" s="379"/>
      <c r="Y2970" s="379"/>
      <c r="Z2970" s="379"/>
      <c r="AA2970" s="379"/>
      <c r="AB2970" s="379"/>
      <c r="AC2970" s="379"/>
      <c r="AD2970" s="379"/>
      <c r="AE2970" s="379"/>
      <c r="AF2970" s="379"/>
      <c r="AG2970" s="379"/>
      <c r="AH2970" s="379"/>
      <c r="AI2970" s="379"/>
      <c r="AJ2970" s="379"/>
      <c r="AK2970" s="379"/>
      <c r="AL2970" s="379"/>
      <c r="AM2970" s="379"/>
      <c r="AN2970" s="379"/>
      <c r="AO2970" s="379"/>
      <c r="AP2970" s="379"/>
      <c r="AQ2970" s="379"/>
      <c r="AR2970" s="379"/>
      <c r="AS2970" s="379"/>
      <c r="AT2970" s="379"/>
      <c r="AU2970" s="379"/>
      <c r="AV2970" s="379"/>
      <c r="AW2970" s="379"/>
      <c r="AX2970" s="379"/>
      <c r="AY2970" s="379"/>
      <c r="AZ2970" s="379"/>
      <c r="BA2970" s="379"/>
      <c r="BB2970" s="379"/>
      <c r="BC2970" s="379"/>
      <c r="BD2970" s="379"/>
      <c r="BE2970" s="379"/>
      <c r="BF2970" s="379"/>
      <c r="BG2970" s="379"/>
      <c r="BH2970" s="379"/>
      <c r="BI2970" s="379"/>
      <c r="BJ2970" s="379"/>
      <c r="BK2970" s="379"/>
      <c r="BL2970" s="379"/>
      <c r="BM2970" s="379"/>
      <c r="BN2970" s="379"/>
      <c r="BO2970" s="379"/>
      <c r="BP2970" s="379"/>
      <c r="BQ2970" s="379"/>
      <c r="BR2970" s="379"/>
      <c r="BS2970" s="379"/>
      <c r="BT2970" s="379"/>
      <c r="BU2970" s="379"/>
      <c r="BV2970" s="379"/>
      <c r="BW2970" s="379"/>
      <c r="BX2970" s="379"/>
      <c r="BY2970" s="379"/>
      <c r="BZ2970" s="379"/>
      <c r="CA2970" s="281"/>
      <c r="CB2970" s="3" t="str">
        <f t="shared" si="532"/>
        <v>Riadok bude skrytý.</v>
      </c>
      <c r="CC2970" s="271" t="s">
        <v>832</v>
      </c>
      <c r="CW2970" s="30">
        <f t="shared" si="535"/>
        <v>1</v>
      </c>
      <c r="CX2970" s="30">
        <f t="shared" si="536"/>
        <v>0</v>
      </c>
      <c r="CZ2970" s="30">
        <f t="shared" si="533"/>
        <v>1</v>
      </c>
      <c r="DA2970" s="52">
        <f t="shared" si="537"/>
        <v>0</v>
      </c>
      <c r="DB2970" s="2">
        <f t="shared" si="534"/>
        <v>0</v>
      </c>
      <c r="DS2970" s="130">
        <f>SI!BY2970</f>
        <v>108</v>
      </c>
      <c r="DZ2970" s="131">
        <f>SI!BZ2970</f>
        <v>0</v>
      </c>
    </row>
    <row r="2971" spans="1:130" hidden="1" x14ac:dyDescent="0.25">
      <c r="A2971" s="141"/>
      <c r="B2971" s="379"/>
      <c r="C2971" s="379"/>
      <c r="D2971" s="379"/>
      <c r="E2971" s="379"/>
      <c r="F2971" s="379"/>
      <c r="G2971" s="379"/>
      <c r="H2971" s="379"/>
      <c r="I2971" s="379"/>
      <c r="J2971" s="379"/>
      <c r="K2971" s="379"/>
      <c r="L2971" s="379"/>
      <c r="M2971" s="379"/>
      <c r="N2971" s="379"/>
      <c r="O2971" s="379"/>
      <c r="P2971" s="379"/>
      <c r="Q2971" s="379"/>
      <c r="R2971" s="379"/>
      <c r="S2971" s="379"/>
      <c r="T2971" s="379"/>
      <c r="U2971" s="379"/>
      <c r="V2971" s="379"/>
      <c r="W2971" s="379"/>
      <c r="X2971" s="379"/>
      <c r="Y2971" s="379"/>
      <c r="Z2971" s="379"/>
      <c r="AA2971" s="379"/>
      <c r="AB2971" s="379"/>
      <c r="AC2971" s="379"/>
      <c r="AD2971" s="379"/>
      <c r="AE2971" s="379"/>
      <c r="AF2971" s="379"/>
      <c r="AG2971" s="379"/>
      <c r="AH2971" s="379"/>
      <c r="AI2971" s="379"/>
      <c r="AJ2971" s="379"/>
      <c r="AK2971" s="379"/>
      <c r="AL2971" s="379"/>
      <c r="AM2971" s="379"/>
      <c r="AN2971" s="379"/>
      <c r="AO2971" s="379"/>
      <c r="AP2971" s="379"/>
      <c r="AQ2971" s="379"/>
      <c r="AR2971" s="379"/>
      <c r="AS2971" s="379"/>
      <c r="AT2971" s="379"/>
      <c r="AU2971" s="379"/>
      <c r="AV2971" s="379"/>
      <c r="AW2971" s="379"/>
      <c r="AX2971" s="379"/>
      <c r="AY2971" s="379"/>
      <c r="AZ2971" s="379"/>
      <c r="BA2971" s="379"/>
      <c r="BB2971" s="379"/>
      <c r="BC2971" s="379"/>
      <c r="BD2971" s="379"/>
      <c r="BE2971" s="379"/>
      <c r="BF2971" s="379"/>
      <c r="BG2971" s="379"/>
      <c r="BH2971" s="379"/>
      <c r="BI2971" s="379"/>
      <c r="BJ2971" s="379"/>
      <c r="BK2971" s="379"/>
      <c r="BL2971" s="379"/>
      <c r="BM2971" s="379"/>
      <c r="BN2971" s="379"/>
      <c r="BO2971" s="379"/>
      <c r="BP2971" s="379"/>
      <c r="BQ2971" s="379"/>
      <c r="BR2971" s="379"/>
      <c r="BS2971" s="379"/>
      <c r="BT2971" s="379"/>
      <c r="BU2971" s="379"/>
      <c r="BV2971" s="379"/>
      <c r="BW2971" s="379"/>
      <c r="BX2971" s="379"/>
      <c r="BY2971" s="379"/>
      <c r="BZ2971" s="379"/>
      <c r="CA2971" s="281"/>
      <c r="CB2971" s="3" t="str">
        <f t="shared" si="532"/>
        <v>Riadok bude skrytý.</v>
      </c>
      <c r="CC2971" s="271" t="s">
        <v>832</v>
      </c>
      <c r="CW2971" s="30">
        <f t="shared" si="535"/>
        <v>1</v>
      </c>
      <c r="CX2971" s="30">
        <f t="shared" si="536"/>
        <v>0</v>
      </c>
      <c r="CZ2971" s="30">
        <f t="shared" si="533"/>
        <v>1</v>
      </c>
      <c r="DA2971" s="52">
        <f t="shared" si="537"/>
        <v>0</v>
      </c>
      <c r="DB2971" s="2">
        <f t="shared" si="534"/>
        <v>0</v>
      </c>
      <c r="DS2971" s="130">
        <f>SI!BY2971</f>
        <v>154</v>
      </c>
      <c r="DZ2971" s="131">
        <f>SI!BZ2971</f>
        <v>0</v>
      </c>
    </row>
    <row r="2972" spans="1:130" hidden="1" x14ac:dyDescent="0.25">
      <c r="A2972" s="141"/>
      <c r="B2972" s="379"/>
      <c r="C2972" s="379"/>
      <c r="D2972" s="379"/>
      <c r="E2972" s="379"/>
      <c r="F2972" s="379"/>
      <c r="G2972" s="379"/>
      <c r="H2972" s="379"/>
      <c r="I2972" s="379"/>
      <c r="J2972" s="379"/>
      <c r="K2972" s="379"/>
      <c r="L2972" s="379"/>
      <c r="M2972" s="379"/>
      <c r="N2972" s="379"/>
      <c r="O2972" s="379"/>
      <c r="P2972" s="379"/>
      <c r="Q2972" s="379"/>
      <c r="R2972" s="379"/>
      <c r="S2972" s="379"/>
      <c r="T2972" s="379"/>
      <c r="U2972" s="379"/>
      <c r="V2972" s="379"/>
      <c r="W2972" s="379"/>
      <c r="X2972" s="379"/>
      <c r="Y2972" s="379"/>
      <c r="Z2972" s="379"/>
      <c r="AA2972" s="379"/>
      <c r="AB2972" s="379"/>
      <c r="AC2972" s="379"/>
      <c r="AD2972" s="379"/>
      <c r="AE2972" s="379"/>
      <c r="AF2972" s="379"/>
      <c r="AG2972" s="379"/>
      <c r="AH2972" s="379"/>
      <c r="AI2972" s="379"/>
      <c r="AJ2972" s="379"/>
      <c r="AK2972" s="379"/>
      <c r="AL2972" s="379"/>
      <c r="AM2972" s="379"/>
      <c r="AN2972" s="379"/>
      <c r="AO2972" s="379"/>
      <c r="AP2972" s="379"/>
      <c r="AQ2972" s="379"/>
      <c r="AR2972" s="379"/>
      <c r="AS2972" s="379"/>
      <c r="AT2972" s="379"/>
      <c r="AU2972" s="379"/>
      <c r="AV2972" s="379"/>
      <c r="AW2972" s="379"/>
      <c r="AX2972" s="379"/>
      <c r="AY2972" s="379"/>
      <c r="AZ2972" s="379"/>
      <c r="BA2972" s="379"/>
      <c r="BB2972" s="379"/>
      <c r="BC2972" s="379"/>
      <c r="BD2972" s="379"/>
      <c r="BE2972" s="379"/>
      <c r="BF2972" s="379"/>
      <c r="BG2972" s="379"/>
      <c r="BH2972" s="379"/>
      <c r="BI2972" s="379"/>
      <c r="BJ2972" s="379"/>
      <c r="BK2972" s="379"/>
      <c r="BL2972" s="379"/>
      <c r="BM2972" s="379"/>
      <c r="BN2972" s="379"/>
      <c r="BO2972" s="379"/>
      <c r="BP2972" s="379"/>
      <c r="BQ2972" s="379"/>
      <c r="BR2972" s="379"/>
      <c r="BS2972" s="379"/>
      <c r="BT2972" s="379"/>
      <c r="BU2972" s="379"/>
      <c r="BV2972" s="379"/>
      <c r="BW2972" s="379"/>
      <c r="BX2972" s="379"/>
      <c r="BY2972" s="379"/>
      <c r="BZ2972" s="379"/>
      <c r="CA2972" s="281"/>
      <c r="CB2972" s="3" t="str">
        <f t="shared" si="532"/>
        <v>Riadok bude skrytý.</v>
      </c>
      <c r="CC2972" s="271" t="s">
        <v>832</v>
      </c>
      <c r="CW2972" s="30">
        <f t="shared" si="535"/>
        <v>1</v>
      </c>
      <c r="CX2972" s="30">
        <f t="shared" si="536"/>
        <v>0</v>
      </c>
      <c r="CZ2972" s="30">
        <f t="shared" si="533"/>
        <v>1</v>
      </c>
      <c r="DA2972" s="52">
        <f t="shared" si="537"/>
        <v>0</v>
      </c>
      <c r="DB2972" s="2">
        <f t="shared" si="534"/>
        <v>0</v>
      </c>
      <c r="DS2972" s="130">
        <f>SI!BY2972</f>
        <v>170</v>
      </c>
      <c r="DZ2972" s="131">
        <f>SI!BZ2972</f>
        <v>0</v>
      </c>
    </row>
    <row r="2973" spans="1:130" hidden="1" x14ac:dyDescent="0.25">
      <c r="A2973" s="141"/>
      <c r="CA2973" s="270"/>
      <c r="CB2973" s="3" t="str">
        <f t="shared" si="532"/>
        <v>Riadok bude skrytý.</v>
      </c>
      <c r="CC2973" s="271" t="s">
        <v>832</v>
      </c>
      <c r="CW2973" s="30">
        <f t="shared" si="535"/>
        <v>1</v>
      </c>
      <c r="CZ2973" s="30">
        <f t="shared" si="533"/>
        <v>1</v>
      </c>
      <c r="DA2973" s="30">
        <f t="shared" si="530"/>
        <v>1</v>
      </c>
      <c r="DB2973" s="2">
        <f t="shared" si="534"/>
        <v>0</v>
      </c>
      <c r="DS2973" s="130">
        <f>SI!BY2973</f>
        <v>127</v>
      </c>
      <c r="DZ2973" s="131">
        <f>SI!BZ2973</f>
        <v>0</v>
      </c>
    </row>
    <row r="2974" spans="1:130" ht="16.3" hidden="1" x14ac:dyDescent="0.3">
      <c r="A2974" s="141"/>
      <c r="B2974" s="137" t="str">
        <f>+IF($O$52&lt;&gt;"",IF(CODE(MID($O$52,1,1))*0+ROUNDDOWN(LEN(SI!J5)/2,0)=DS2974,"Prevod od teoretickej dane z príjmov k vykázanej dani z príjmov je uvedený v nasledujúcej tabuľke:","NEPOVOLENÉ POUŽITIE!"),"NEPOVOLENÉ POUŽITIE!")</f>
        <v>Prevod od teoretickej dane z príjmov k vykázanej dani z príjmov je uvedený v nasledujúcej tabuľke:</v>
      </c>
      <c r="G2974" s="16"/>
      <c r="H2974" s="16"/>
      <c r="CA2974" s="265" t="s">
        <v>773</v>
      </c>
      <c r="CB2974" s="3" t="str">
        <f t="shared" si="532"/>
        <v>Riadok bude skrytý.</v>
      </c>
      <c r="CC2974" s="271" t="s">
        <v>832</v>
      </c>
      <c r="CW2974" s="30">
        <f t="shared" si="535"/>
        <v>1</v>
      </c>
      <c r="CZ2974" s="30">
        <f t="shared" si="533"/>
        <v>1</v>
      </c>
      <c r="DA2974" s="30">
        <f t="shared" si="530"/>
        <v>1</v>
      </c>
      <c r="DB2974" s="2">
        <f t="shared" si="534"/>
        <v>0</v>
      </c>
      <c r="DS2974" s="130">
        <f>SI!BY2974</f>
        <v>7</v>
      </c>
      <c r="DZ2974" s="131">
        <f>SI!BZ2974</f>
        <v>0</v>
      </c>
    </row>
    <row r="2975" spans="1:130" hidden="1" x14ac:dyDescent="0.25">
      <c r="A2975" s="141"/>
      <c r="CA2975" s="281"/>
      <c r="CB2975" s="3" t="str">
        <f t="shared" si="532"/>
        <v>Riadok bude skrytý.</v>
      </c>
      <c r="CC2975" s="271" t="s">
        <v>832</v>
      </c>
      <c r="CW2975" s="30">
        <f t="shared" si="535"/>
        <v>1</v>
      </c>
      <c r="CZ2975" s="30">
        <f t="shared" si="533"/>
        <v>1</v>
      </c>
      <c r="DA2975" s="30">
        <f t="shared" si="530"/>
        <v>1</v>
      </c>
      <c r="DB2975" s="2">
        <f t="shared" si="534"/>
        <v>0</v>
      </c>
      <c r="DS2975" s="130">
        <f>SI!BY2975</f>
        <v>493</v>
      </c>
      <c r="DZ2975" s="131">
        <f>SI!BZ2975</f>
        <v>0</v>
      </c>
    </row>
    <row r="2976" spans="1:130" hidden="1" x14ac:dyDescent="0.25">
      <c r="A2976" s="141"/>
      <c r="B2976" s="1038" t="s">
        <v>171</v>
      </c>
      <c r="C2976" s="1039"/>
      <c r="D2976" s="1039"/>
      <c r="E2976" s="1039"/>
      <c r="F2976" s="1039"/>
      <c r="G2976" s="1039"/>
      <c r="H2976" s="1039"/>
      <c r="I2976" s="1039"/>
      <c r="J2976" s="1039"/>
      <c r="K2976" s="1039"/>
      <c r="L2976" s="1039"/>
      <c r="M2976" s="1039"/>
      <c r="N2976" s="1039"/>
      <c r="O2976" s="1039"/>
      <c r="P2976" s="1039"/>
      <c r="Q2976" s="1039"/>
      <c r="R2976" s="1039"/>
      <c r="S2976" s="1039"/>
      <c r="T2976" s="1039"/>
      <c r="U2976" s="1039"/>
      <c r="V2976" s="1039"/>
      <c r="W2976" s="1039"/>
      <c r="X2976" s="1039"/>
      <c r="Y2976" s="1039"/>
      <c r="Z2976" s="1039"/>
      <c r="AA2976" s="1039"/>
      <c r="AB2976" s="1039"/>
      <c r="AC2976" s="1039"/>
      <c r="AD2976" s="1039"/>
      <c r="AE2976" s="1040"/>
      <c r="AF2976" s="2143">
        <f>+AJ141</f>
        <v>2021</v>
      </c>
      <c r="AG2976" s="2012"/>
      <c r="AH2976" s="2012"/>
      <c r="AI2976" s="2012"/>
      <c r="AJ2976" s="2012"/>
      <c r="AK2976" s="2012"/>
      <c r="AL2976" s="2012"/>
      <c r="AM2976" s="2012"/>
      <c r="AN2976" s="2012"/>
      <c r="AO2976" s="2012"/>
      <c r="AP2976" s="2012"/>
      <c r="AQ2976" s="2012"/>
      <c r="AR2976" s="2012"/>
      <c r="AS2976" s="2012"/>
      <c r="AT2976" s="2012"/>
      <c r="AU2976" s="2012"/>
      <c r="AV2976" s="2012"/>
      <c r="AW2976" s="2012"/>
      <c r="AX2976" s="2012"/>
      <c r="AY2976" s="2012"/>
      <c r="AZ2976" s="2012"/>
      <c r="BA2976" s="2012"/>
      <c r="BB2976" s="2012"/>
      <c r="BC2976" s="2013"/>
      <c r="BD2976" s="2011">
        <f>+BE141</f>
        <v>2020</v>
      </c>
      <c r="BE2976" s="2012"/>
      <c r="BF2976" s="2012"/>
      <c r="BG2976" s="2012"/>
      <c r="BH2976" s="2012"/>
      <c r="BI2976" s="2012"/>
      <c r="BJ2976" s="2012"/>
      <c r="BK2976" s="2012"/>
      <c r="BL2976" s="2012"/>
      <c r="BM2976" s="2012"/>
      <c r="BN2976" s="2012"/>
      <c r="BO2976" s="2012"/>
      <c r="BP2976" s="2012"/>
      <c r="BQ2976" s="2012"/>
      <c r="BR2976" s="2012"/>
      <c r="BS2976" s="2012"/>
      <c r="BT2976" s="2012"/>
      <c r="BU2976" s="2012"/>
      <c r="BV2976" s="2012"/>
      <c r="BW2976" s="2012"/>
      <c r="BX2976" s="2012"/>
      <c r="BY2976" s="2012"/>
      <c r="BZ2976" s="2013"/>
      <c r="CA2976" s="265" t="s">
        <v>773</v>
      </c>
      <c r="CB2976" s="3" t="str">
        <f t="shared" si="532"/>
        <v>Riadok bude skrytý.</v>
      </c>
      <c r="CC2976" s="271" t="s">
        <v>832</v>
      </c>
      <c r="CD2976" s="137"/>
      <c r="CW2976" s="30">
        <f t="shared" si="535"/>
        <v>1</v>
      </c>
      <c r="CZ2976" s="30">
        <f t="shared" si="533"/>
        <v>1</v>
      </c>
      <c r="DA2976" s="30">
        <f t="shared" si="530"/>
        <v>1</v>
      </c>
      <c r="DB2976" s="2">
        <f t="shared" si="534"/>
        <v>0</v>
      </c>
      <c r="DS2976" s="130">
        <f>SI!BY2976</f>
        <v>169</v>
      </c>
      <c r="DZ2976" s="131">
        <f>SI!BZ2976</f>
        <v>0</v>
      </c>
    </row>
    <row r="2977" spans="1:132" hidden="1" x14ac:dyDescent="0.25">
      <c r="A2977" s="141"/>
      <c r="B2977" s="1041"/>
      <c r="C2977" s="1042"/>
      <c r="D2977" s="1042"/>
      <c r="E2977" s="1042"/>
      <c r="F2977" s="1042"/>
      <c r="G2977" s="1042"/>
      <c r="H2977" s="1042"/>
      <c r="I2977" s="1042"/>
      <c r="J2977" s="1042"/>
      <c r="K2977" s="1042"/>
      <c r="L2977" s="1042"/>
      <c r="M2977" s="1042"/>
      <c r="N2977" s="1042"/>
      <c r="O2977" s="1042"/>
      <c r="P2977" s="1042"/>
      <c r="Q2977" s="1042"/>
      <c r="R2977" s="1042"/>
      <c r="S2977" s="1042"/>
      <c r="T2977" s="1042"/>
      <c r="U2977" s="1042"/>
      <c r="V2977" s="1042"/>
      <c r="W2977" s="1042"/>
      <c r="X2977" s="1042"/>
      <c r="Y2977" s="1042"/>
      <c r="Z2977" s="1042"/>
      <c r="AA2977" s="1042"/>
      <c r="AB2977" s="1042"/>
      <c r="AC2977" s="1042"/>
      <c r="AD2977" s="1042"/>
      <c r="AE2977" s="1043"/>
      <c r="AF2977" s="1118" t="s">
        <v>369</v>
      </c>
      <c r="AG2977" s="1119"/>
      <c r="AH2977" s="1119"/>
      <c r="AI2977" s="1119"/>
      <c r="AJ2977" s="1119"/>
      <c r="AK2977" s="1119"/>
      <c r="AL2977" s="1119"/>
      <c r="AM2977" s="1119"/>
      <c r="AN2977" s="1119"/>
      <c r="AO2977" s="1119"/>
      <c r="AP2977" s="1119"/>
      <c r="AQ2977" s="1128"/>
      <c r="AR2977" s="1118" t="s">
        <v>370</v>
      </c>
      <c r="AS2977" s="1119"/>
      <c r="AT2977" s="1119"/>
      <c r="AU2977" s="1119"/>
      <c r="AV2977" s="1120"/>
      <c r="AW2977" s="1121" t="s">
        <v>371</v>
      </c>
      <c r="AX2977" s="1119"/>
      <c r="AY2977" s="1119"/>
      <c r="AZ2977" s="1119"/>
      <c r="BA2977" s="1119"/>
      <c r="BB2977" s="1119"/>
      <c r="BC2977" s="1120"/>
      <c r="BD2977" s="1121" t="s">
        <v>369</v>
      </c>
      <c r="BE2977" s="1119"/>
      <c r="BF2977" s="1119"/>
      <c r="BG2977" s="1119"/>
      <c r="BH2977" s="1119"/>
      <c r="BI2977" s="1119"/>
      <c r="BJ2977" s="1119"/>
      <c r="BK2977" s="1119"/>
      <c r="BL2977" s="1119"/>
      <c r="BM2977" s="1119"/>
      <c r="BN2977" s="1128"/>
      <c r="BO2977" s="1118" t="s">
        <v>370</v>
      </c>
      <c r="BP2977" s="1119"/>
      <c r="BQ2977" s="1119"/>
      <c r="BR2977" s="1119"/>
      <c r="BS2977" s="1120"/>
      <c r="BT2977" s="1121" t="s">
        <v>371</v>
      </c>
      <c r="BU2977" s="1119"/>
      <c r="BV2977" s="1119"/>
      <c r="BW2977" s="1119"/>
      <c r="BX2977" s="1119"/>
      <c r="BY2977" s="1119"/>
      <c r="BZ2977" s="1120"/>
      <c r="CA2977" s="142"/>
      <c r="CB2977" s="3" t="str">
        <f t="shared" si="532"/>
        <v>Riadok bude skrytý.</v>
      </c>
      <c r="CC2977" s="271" t="s">
        <v>832</v>
      </c>
      <c r="CW2977" s="30">
        <f t="shared" si="535"/>
        <v>1</v>
      </c>
      <c r="CZ2977" s="30">
        <f t="shared" si="533"/>
        <v>1</v>
      </c>
      <c r="DA2977" s="30">
        <f t="shared" si="530"/>
        <v>1</v>
      </c>
      <c r="DB2977" s="2">
        <f t="shared" si="534"/>
        <v>0</v>
      </c>
      <c r="DS2977" s="130">
        <f>SI!BY2977</f>
        <v>504</v>
      </c>
      <c r="DZ2977" s="131">
        <f>SI!BZ2977</f>
        <v>0</v>
      </c>
    </row>
    <row r="2978" spans="1:132" s="6" customFormat="1" hidden="1" x14ac:dyDescent="0.25">
      <c r="A2978" s="226"/>
      <c r="B2978" s="1114" t="s">
        <v>0</v>
      </c>
      <c r="C2978" s="1102"/>
      <c r="D2978" s="1102"/>
      <c r="E2978" s="1102"/>
      <c r="F2978" s="1102"/>
      <c r="G2978" s="1102"/>
      <c r="H2978" s="1102"/>
      <c r="I2978" s="1102"/>
      <c r="J2978" s="1102"/>
      <c r="K2978" s="1102"/>
      <c r="L2978" s="1102"/>
      <c r="M2978" s="1102"/>
      <c r="N2978" s="1102"/>
      <c r="O2978" s="1102"/>
      <c r="P2978" s="1102"/>
      <c r="Q2978" s="1102"/>
      <c r="R2978" s="1102"/>
      <c r="S2978" s="1102"/>
      <c r="T2978" s="1102"/>
      <c r="U2978" s="1102"/>
      <c r="V2978" s="1102"/>
      <c r="W2978" s="1102"/>
      <c r="X2978" s="1102"/>
      <c r="Y2978" s="1102"/>
      <c r="Z2978" s="1102"/>
      <c r="AA2978" s="1102"/>
      <c r="AB2978" s="1102"/>
      <c r="AC2978" s="1102"/>
      <c r="AD2978" s="1102"/>
      <c r="AE2978" s="1104"/>
      <c r="AF2978" s="1114" t="s">
        <v>317</v>
      </c>
      <c r="AG2978" s="1102"/>
      <c r="AH2978" s="1102"/>
      <c r="AI2978" s="1102"/>
      <c r="AJ2978" s="1102"/>
      <c r="AK2978" s="1102"/>
      <c r="AL2978" s="1102"/>
      <c r="AM2978" s="1102"/>
      <c r="AN2978" s="1102"/>
      <c r="AO2978" s="1102"/>
      <c r="AP2978" s="1102"/>
      <c r="AQ2978" s="1104"/>
      <c r="AR2978" s="1114" t="s">
        <v>2</v>
      </c>
      <c r="AS2978" s="1102"/>
      <c r="AT2978" s="1102"/>
      <c r="AU2978" s="1102"/>
      <c r="AV2978" s="1103"/>
      <c r="AW2978" s="1101" t="s">
        <v>372</v>
      </c>
      <c r="AX2978" s="1102"/>
      <c r="AY2978" s="1102"/>
      <c r="AZ2978" s="1102"/>
      <c r="BA2978" s="1102"/>
      <c r="BB2978" s="1102"/>
      <c r="BC2978" s="1103"/>
      <c r="BD2978" s="1101" t="s">
        <v>29</v>
      </c>
      <c r="BE2978" s="1102"/>
      <c r="BF2978" s="1102"/>
      <c r="BG2978" s="1102"/>
      <c r="BH2978" s="1102"/>
      <c r="BI2978" s="1102"/>
      <c r="BJ2978" s="1102"/>
      <c r="BK2978" s="1102"/>
      <c r="BL2978" s="1102"/>
      <c r="BM2978" s="1102"/>
      <c r="BN2978" s="1104"/>
      <c r="BO2978" s="1114" t="s">
        <v>103</v>
      </c>
      <c r="BP2978" s="1102"/>
      <c r="BQ2978" s="1102"/>
      <c r="BR2978" s="1102"/>
      <c r="BS2978" s="1103"/>
      <c r="BT2978" s="1101" t="s">
        <v>104</v>
      </c>
      <c r="BU2978" s="1102"/>
      <c r="BV2978" s="1102"/>
      <c r="BW2978" s="1102"/>
      <c r="BX2978" s="1102"/>
      <c r="BY2978" s="1102"/>
      <c r="BZ2978" s="1103"/>
      <c r="CA2978" s="142"/>
      <c r="CB2978" s="3" t="str">
        <f t="shared" si="532"/>
        <v>Riadok bude skrytý.</v>
      </c>
      <c r="CC2978" s="271" t="s">
        <v>832</v>
      </c>
      <c r="CW2978" s="30">
        <f t="shared" si="535"/>
        <v>1</v>
      </c>
      <c r="CZ2978" s="30">
        <f t="shared" si="533"/>
        <v>1</v>
      </c>
      <c r="DA2978" s="30">
        <f t="shared" si="530"/>
        <v>1</v>
      </c>
      <c r="DB2978" s="2">
        <f t="shared" si="534"/>
        <v>0</v>
      </c>
      <c r="DR2978" s="82"/>
      <c r="DS2978" s="130">
        <f>SI!BY2978</f>
        <v>140</v>
      </c>
      <c r="DT2978" s="130"/>
      <c r="DU2978" s="130"/>
      <c r="DV2978" s="130"/>
      <c r="DW2978" s="130"/>
      <c r="DX2978" s="130"/>
      <c r="DY2978" s="130"/>
      <c r="DZ2978" s="131">
        <f>SI!BZ2978</f>
        <v>0</v>
      </c>
      <c r="EA2978" s="82"/>
      <c r="EB2978" s="82"/>
    </row>
    <row r="2979" spans="1:132" hidden="1" x14ac:dyDescent="0.25">
      <c r="A2979" s="141"/>
      <c r="B2979" s="1129" t="s">
        <v>373</v>
      </c>
      <c r="C2979" s="1130"/>
      <c r="D2979" s="1130"/>
      <c r="E2979" s="1130"/>
      <c r="F2979" s="1130"/>
      <c r="G2979" s="1130"/>
      <c r="H2979" s="1130"/>
      <c r="I2979" s="1130"/>
      <c r="J2979" s="1130"/>
      <c r="K2979" s="1130"/>
      <c r="L2979" s="1130"/>
      <c r="M2979" s="1130"/>
      <c r="N2979" s="1130"/>
      <c r="O2979" s="1130"/>
      <c r="P2979" s="1130"/>
      <c r="Q2979" s="1130"/>
      <c r="R2979" s="1130"/>
      <c r="S2979" s="1130"/>
      <c r="T2979" s="1130"/>
      <c r="U2979" s="1130"/>
      <c r="V2979" s="1130"/>
      <c r="W2979" s="1130"/>
      <c r="X2979" s="1130"/>
      <c r="Y2979" s="1130"/>
      <c r="Z2979" s="1130"/>
      <c r="AA2979" s="1130"/>
      <c r="AB2979" s="1130"/>
      <c r="AC2979" s="1130"/>
      <c r="AD2979" s="1130"/>
      <c r="AE2979" s="1131"/>
      <c r="AF2979" s="1054"/>
      <c r="AG2979" s="1055"/>
      <c r="AH2979" s="1055"/>
      <c r="AI2979" s="1055"/>
      <c r="AJ2979" s="1055"/>
      <c r="AK2979" s="1055"/>
      <c r="AL2979" s="1055"/>
      <c r="AM2979" s="1055"/>
      <c r="AN2979" s="1055"/>
      <c r="AO2979" s="1055"/>
      <c r="AP2979" s="1055"/>
      <c r="AQ2979" s="502"/>
      <c r="AR2979" s="1133" t="s">
        <v>26</v>
      </c>
      <c r="AS2979" s="571"/>
      <c r="AT2979" s="571"/>
      <c r="AU2979" s="571"/>
      <c r="AV2979" s="572"/>
      <c r="AW2979" s="570" t="s">
        <v>26</v>
      </c>
      <c r="AX2979" s="571"/>
      <c r="AY2979" s="571"/>
      <c r="AZ2979" s="571"/>
      <c r="BA2979" s="571"/>
      <c r="BB2979" s="571"/>
      <c r="BC2979" s="572"/>
      <c r="BD2979" s="1132"/>
      <c r="BE2979" s="1055"/>
      <c r="BF2979" s="1055"/>
      <c r="BG2979" s="1055"/>
      <c r="BH2979" s="1055"/>
      <c r="BI2979" s="1055"/>
      <c r="BJ2979" s="1055"/>
      <c r="BK2979" s="1055"/>
      <c r="BL2979" s="1055"/>
      <c r="BM2979" s="1055"/>
      <c r="BN2979" s="502"/>
      <c r="BO2979" s="1133" t="s">
        <v>26</v>
      </c>
      <c r="BP2979" s="571"/>
      <c r="BQ2979" s="571"/>
      <c r="BR2979" s="571"/>
      <c r="BS2979" s="572"/>
      <c r="BT2979" s="570" t="s">
        <v>26</v>
      </c>
      <c r="BU2979" s="571"/>
      <c r="BV2979" s="571"/>
      <c r="BW2979" s="571"/>
      <c r="BX2979" s="571"/>
      <c r="BY2979" s="571"/>
      <c r="BZ2979" s="572"/>
      <c r="CA2979" s="142"/>
      <c r="CB2979" s="3" t="str">
        <f t="shared" si="532"/>
        <v>Riadok bude skrytý.</v>
      </c>
      <c r="CC2979" s="271" t="s">
        <v>832</v>
      </c>
      <c r="CW2979" s="30">
        <f t="shared" si="535"/>
        <v>1</v>
      </c>
      <c r="CZ2979" s="30">
        <f t="shared" si="533"/>
        <v>1</v>
      </c>
      <c r="DA2979" s="30">
        <f t="shared" ref="DA2979:DA2990" si="538">+IF(CW2979+CX2979+CY2979=0,0,IF(CZ2979=0,0,1))</f>
        <v>1</v>
      </c>
      <c r="DB2979" s="2">
        <f t="shared" si="534"/>
        <v>0</v>
      </c>
      <c r="DS2979" s="130">
        <f>SI!BY2979</f>
        <v>321</v>
      </c>
      <c r="DZ2979" s="131">
        <f>SI!BZ2979</f>
        <v>0</v>
      </c>
    </row>
    <row r="2980" spans="1:132" hidden="1" x14ac:dyDescent="0.25">
      <c r="A2980" s="141"/>
      <c r="B2980" s="1544" t="s">
        <v>374</v>
      </c>
      <c r="C2980" s="1545"/>
      <c r="D2980" s="1545"/>
      <c r="E2980" s="1545"/>
      <c r="F2980" s="1545"/>
      <c r="G2980" s="1545"/>
      <c r="H2980" s="1545"/>
      <c r="I2980" s="1545"/>
      <c r="J2980" s="1545"/>
      <c r="K2980" s="1545"/>
      <c r="L2980" s="1545"/>
      <c r="M2980" s="1545"/>
      <c r="N2980" s="1545"/>
      <c r="O2980" s="1545"/>
      <c r="P2980" s="1545"/>
      <c r="Q2980" s="1545"/>
      <c r="R2980" s="1545"/>
      <c r="S2980" s="1545"/>
      <c r="T2980" s="1545"/>
      <c r="U2980" s="1545"/>
      <c r="V2980" s="1545"/>
      <c r="W2980" s="1545"/>
      <c r="X2980" s="1545"/>
      <c r="Y2980" s="1545"/>
      <c r="Z2980" s="1545"/>
      <c r="AA2980" s="1545"/>
      <c r="AB2980" s="1545"/>
      <c r="AC2980" s="1545"/>
      <c r="AD2980" s="1545"/>
      <c r="AE2980" s="1546"/>
      <c r="AF2980" s="1547" t="s">
        <v>26</v>
      </c>
      <c r="AG2980" s="1112"/>
      <c r="AH2980" s="1112"/>
      <c r="AI2980" s="1112"/>
      <c r="AJ2980" s="1112"/>
      <c r="AK2980" s="1112"/>
      <c r="AL2980" s="1112"/>
      <c r="AM2980" s="1112"/>
      <c r="AN2980" s="1112"/>
      <c r="AO2980" s="1112"/>
      <c r="AP2980" s="1112"/>
      <c r="AQ2980" s="1113"/>
      <c r="AR2980" s="595">
        <f>+ROUND(AW2980*AF2979,0)</f>
        <v>0</v>
      </c>
      <c r="AS2980" s="527"/>
      <c r="AT2980" s="527"/>
      <c r="AU2980" s="527"/>
      <c r="AV2980" s="528"/>
      <c r="AW2980" s="1115">
        <v>0.23</v>
      </c>
      <c r="AX2980" s="1116"/>
      <c r="AY2980" s="1116"/>
      <c r="AZ2980" s="1116"/>
      <c r="BA2980" s="1116"/>
      <c r="BB2980" s="1116"/>
      <c r="BC2980" s="1117"/>
      <c r="BD2980" s="1111" t="s">
        <v>26</v>
      </c>
      <c r="BE2980" s="1112"/>
      <c r="BF2980" s="1112"/>
      <c r="BG2980" s="1112"/>
      <c r="BH2980" s="1112"/>
      <c r="BI2980" s="1112"/>
      <c r="BJ2980" s="1112"/>
      <c r="BK2980" s="1112"/>
      <c r="BL2980" s="1112"/>
      <c r="BM2980" s="1112"/>
      <c r="BN2980" s="1113"/>
      <c r="BO2980" s="595">
        <f>+ROUND(BT2980*BD2979,0)</f>
        <v>0</v>
      </c>
      <c r="BP2980" s="527"/>
      <c r="BQ2980" s="527"/>
      <c r="BR2980" s="527"/>
      <c r="BS2980" s="528"/>
      <c r="BT2980" s="1115">
        <v>0.19</v>
      </c>
      <c r="BU2980" s="1116"/>
      <c r="BV2980" s="1116"/>
      <c r="BW2980" s="1116"/>
      <c r="BX2980" s="1116"/>
      <c r="BY2980" s="1116"/>
      <c r="BZ2980" s="1117"/>
      <c r="CA2980" s="142"/>
      <c r="CB2980" s="3" t="str">
        <f t="shared" si="532"/>
        <v>Riadok bude skrytý.</v>
      </c>
      <c r="CC2980" s="271" t="s">
        <v>832</v>
      </c>
      <c r="CW2980" s="30">
        <f t="shared" si="535"/>
        <v>1</v>
      </c>
      <c r="CZ2980" s="30">
        <f t="shared" si="533"/>
        <v>1</v>
      </c>
      <c r="DA2980" s="30">
        <f t="shared" si="538"/>
        <v>1</v>
      </c>
      <c r="DB2980" s="2">
        <f t="shared" si="534"/>
        <v>0</v>
      </c>
      <c r="DS2980" s="130">
        <f>SI!BY2980</f>
        <v>184</v>
      </c>
      <c r="DZ2980" s="131">
        <f>SI!BZ2980</f>
        <v>0</v>
      </c>
    </row>
    <row r="2981" spans="1:132" hidden="1" x14ac:dyDescent="0.25">
      <c r="A2981" s="141"/>
      <c r="B2981" s="1544" t="s">
        <v>375</v>
      </c>
      <c r="C2981" s="1545"/>
      <c r="D2981" s="1545"/>
      <c r="E2981" s="1545"/>
      <c r="F2981" s="1545"/>
      <c r="G2981" s="1545"/>
      <c r="H2981" s="1545"/>
      <c r="I2981" s="1545"/>
      <c r="J2981" s="1545"/>
      <c r="K2981" s="1545"/>
      <c r="L2981" s="1545"/>
      <c r="M2981" s="1545"/>
      <c r="N2981" s="1545"/>
      <c r="O2981" s="1545"/>
      <c r="P2981" s="1545"/>
      <c r="Q2981" s="1545"/>
      <c r="R2981" s="1545"/>
      <c r="S2981" s="1545"/>
      <c r="T2981" s="1545"/>
      <c r="U2981" s="1545"/>
      <c r="V2981" s="1545"/>
      <c r="W2981" s="1545"/>
      <c r="X2981" s="1545"/>
      <c r="Y2981" s="1545"/>
      <c r="Z2981" s="1545"/>
      <c r="AA2981" s="1545"/>
      <c r="AB2981" s="1545"/>
      <c r="AC2981" s="1545"/>
      <c r="AD2981" s="1545"/>
      <c r="AE2981" s="1546"/>
      <c r="AF2981" s="363"/>
      <c r="AG2981" s="364"/>
      <c r="AH2981" s="364"/>
      <c r="AI2981" s="364"/>
      <c r="AJ2981" s="364"/>
      <c r="AK2981" s="364"/>
      <c r="AL2981" s="364"/>
      <c r="AM2981" s="364"/>
      <c r="AN2981" s="364"/>
      <c r="AO2981" s="364"/>
      <c r="AP2981" s="364"/>
      <c r="AQ2981" s="475"/>
      <c r="AR2981" s="595">
        <f>+ROUND(AW2980*AF2981,0)</f>
        <v>0</v>
      </c>
      <c r="AS2981" s="527"/>
      <c r="AT2981" s="527"/>
      <c r="AU2981" s="527"/>
      <c r="AV2981" s="528"/>
      <c r="AW2981" s="592" t="str">
        <f>+IF(AF2979=0,"",ROUND(AR2981/AF2979,4))</f>
        <v/>
      </c>
      <c r="AX2981" s="593"/>
      <c r="AY2981" s="593"/>
      <c r="AZ2981" s="593"/>
      <c r="BA2981" s="593"/>
      <c r="BB2981" s="593"/>
      <c r="BC2981" s="594"/>
      <c r="BD2981" s="386"/>
      <c r="BE2981" s="364"/>
      <c r="BF2981" s="364"/>
      <c r="BG2981" s="364"/>
      <c r="BH2981" s="364"/>
      <c r="BI2981" s="364"/>
      <c r="BJ2981" s="364"/>
      <c r="BK2981" s="364"/>
      <c r="BL2981" s="364"/>
      <c r="BM2981" s="364"/>
      <c r="BN2981" s="475"/>
      <c r="BO2981" s="595">
        <f>+ROUND(BT2980*BD2981,0)</f>
        <v>0</v>
      </c>
      <c r="BP2981" s="527"/>
      <c r="BQ2981" s="527"/>
      <c r="BR2981" s="527"/>
      <c r="BS2981" s="528"/>
      <c r="BT2981" s="592" t="str">
        <f>+IF(BD2979=0,"",ROUND(BO2981/BD2979,4))</f>
        <v/>
      </c>
      <c r="BU2981" s="593"/>
      <c r="BV2981" s="593"/>
      <c r="BW2981" s="593"/>
      <c r="BX2981" s="593"/>
      <c r="BY2981" s="593"/>
      <c r="BZ2981" s="594"/>
      <c r="CA2981" s="142"/>
      <c r="CB2981" s="3" t="str">
        <f t="shared" si="532"/>
        <v>Riadok bude skrytý.</v>
      </c>
      <c r="CC2981" s="271" t="s">
        <v>832</v>
      </c>
      <c r="CW2981" s="30">
        <f t="shared" si="535"/>
        <v>1</v>
      </c>
      <c r="CZ2981" s="30">
        <f t="shared" si="533"/>
        <v>1</v>
      </c>
      <c r="DA2981" s="30">
        <f t="shared" si="538"/>
        <v>1</v>
      </c>
      <c r="DB2981" s="2">
        <f t="shared" si="534"/>
        <v>0</v>
      </c>
      <c r="DS2981" s="130">
        <f>SI!BY2981</f>
        <v>128</v>
      </c>
      <c r="DZ2981" s="131">
        <f>SI!BZ2981</f>
        <v>0</v>
      </c>
    </row>
    <row r="2982" spans="1:132" hidden="1" x14ac:dyDescent="0.25">
      <c r="A2982" s="141"/>
      <c r="B2982" s="1544" t="s">
        <v>376</v>
      </c>
      <c r="C2982" s="1545"/>
      <c r="D2982" s="1545"/>
      <c r="E2982" s="1545"/>
      <c r="F2982" s="1545"/>
      <c r="G2982" s="1545"/>
      <c r="H2982" s="1545"/>
      <c r="I2982" s="1545"/>
      <c r="J2982" s="1545"/>
      <c r="K2982" s="1545"/>
      <c r="L2982" s="1545"/>
      <c r="M2982" s="1545"/>
      <c r="N2982" s="1545"/>
      <c r="O2982" s="1545"/>
      <c r="P2982" s="1545"/>
      <c r="Q2982" s="1545"/>
      <c r="R2982" s="1545"/>
      <c r="S2982" s="1545"/>
      <c r="T2982" s="1545"/>
      <c r="U2982" s="1545"/>
      <c r="V2982" s="1545"/>
      <c r="W2982" s="1545"/>
      <c r="X2982" s="1545"/>
      <c r="Y2982" s="1545"/>
      <c r="Z2982" s="1545"/>
      <c r="AA2982" s="1545"/>
      <c r="AB2982" s="1545"/>
      <c r="AC2982" s="1545"/>
      <c r="AD2982" s="1545"/>
      <c r="AE2982" s="1546"/>
      <c r="AF2982" s="363"/>
      <c r="AG2982" s="364"/>
      <c r="AH2982" s="364"/>
      <c r="AI2982" s="364"/>
      <c r="AJ2982" s="364"/>
      <c r="AK2982" s="364"/>
      <c r="AL2982" s="364"/>
      <c r="AM2982" s="364"/>
      <c r="AN2982" s="364"/>
      <c r="AO2982" s="364"/>
      <c r="AP2982" s="364"/>
      <c r="AQ2982" s="475"/>
      <c r="AR2982" s="595">
        <f>+ROUND(AW2980*AF2982,0)</f>
        <v>0</v>
      </c>
      <c r="AS2982" s="527"/>
      <c r="AT2982" s="527"/>
      <c r="AU2982" s="527"/>
      <c r="AV2982" s="528"/>
      <c r="AW2982" s="592" t="str">
        <f>IF(AF2979=0,"",+ROUND(AR2982/AF2979,4))</f>
        <v/>
      </c>
      <c r="AX2982" s="593"/>
      <c r="AY2982" s="593"/>
      <c r="AZ2982" s="593"/>
      <c r="BA2982" s="593"/>
      <c r="BB2982" s="593"/>
      <c r="BC2982" s="594"/>
      <c r="BD2982" s="386"/>
      <c r="BE2982" s="364"/>
      <c r="BF2982" s="364"/>
      <c r="BG2982" s="364"/>
      <c r="BH2982" s="364"/>
      <c r="BI2982" s="364"/>
      <c r="BJ2982" s="364"/>
      <c r="BK2982" s="364"/>
      <c r="BL2982" s="364"/>
      <c r="BM2982" s="364"/>
      <c r="BN2982" s="475"/>
      <c r="BO2982" s="595">
        <f>+ROUND(BT2980*BD2982,0)</f>
        <v>0</v>
      </c>
      <c r="BP2982" s="527"/>
      <c r="BQ2982" s="527"/>
      <c r="BR2982" s="527"/>
      <c r="BS2982" s="528"/>
      <c r="BT2982" s="592" t="str">
        <f>IF(BD2979=0,"",+ROUND(BO2982/BD2979,4))</f>
        <v/>
      </c>
      <c r="BU2982" s="593"/>
      <c r="BV2982" s="593"/>
      <c r="BW2982" s="593"/>
      <c r="BX2982" s="593"/>
      <c r="BY2982" s="593"/>
      <c r="BZ2982" s="594"/>
      <c r="CA2982" s="142"/>
      <c r="CB2982" s="3" t="str">
        <f t="shared" si="532"/>
        <v>Riadok bude skrytý.</v>
      </c>
      <c r="CC2982" s="271" t="s">
        <v>832</v>
      </c>
      <c r="CW2982" s="30">
        <f t="shared" si="535"/>
        <v>1</v>
      </c>
      <c r="CZ2982" s="30">
        <f t="shared" si="533"/>
        <v>1</v>
      </c>
      <c r="DA2982" s="30">
        <f t="shared" si="538"/>
        <v>1</v>
      </c>
      <c r="DB2982" s="2">
        <f t="shared" si="534"/>
        <v>0</v>
      </c>
      <c r="DS2982" s="130">
        <f>SI!BY2982</f>
        <v>171</v>
      </c>
      <c r="DZ2982" s="131">
        <f>SI!BZ2982</f>
        <v>0</v>
      </c>
    </row>
    <row r="2983" spans="1:132" ht="14.95" hidden="1" customHeight="1" x14ac:dyDescent="0.25">
      <c r="A2983" s="141"/>
      <c r="B2983" s="1108" t="s">
        <v>961</v>
      </c>
      <c r="C2983" s="1109"/>
      <c r="D2983" s="1109"/>
      <c r="E2983" s="1109"/>
      <c r="F2983" s="1109"/>
      <c r="G2983" s="1109"/>
      <c r="H2983" s="1109"/>
      <c r="I2983" s="1109"/>
      <c r="J2983" s="1109"/>
      <c r="K2983" s="1109"/>
      <c r="L2983" s="1109"/>
      <c r="M2983" s="1109"/>
      <c r="N2983" s="1109"/>
      <c r="O2983" s="1109"/>
      <c r="P2983" s="1109"/>
      <c r="Q2983" s="1109"/>
      <c r="R2983" s="1109"/>
      <c r="S2983" s="1109"/>
      <c r="T2983" s="1109"/>
      <c r="U2983" s="1109"/>
      <c r="V2983" s="1109"/>
      <c r="W2983" s="1109"/>
      <c r="X2983" s="1109"/>
      <c r="Y2983" s="1109"/>
      <c r="Z2983" s="1109"/>
      <c r="AA2983" s="1109"/>
      <c r="AB2983" s="1109"/>
      <c r="AC2983" s="1109"/>
      <c r="AD2983" s="1109"/>
      <c r="AE2983" s="1110"/>
      <c r="AF2983" s="363"/>
      <c r="AG2983" s="364"/>
      <c r="AH2983" s="364"/>
      <c r="AI2983" s="364"/>
      <c r="AJ2983" s="364"/>
      <c r="AK2983" s="364"/>
      <c r="AL2983" s="364"/>
      <c r="AM2983" s="364"/>
      <c r="AN2983" s="364"/>
      <c r="AO2983" s="364"/>
      <c r="AP2983" s="364"/>
      <c r="AQ2983" s="475"/>
      <c r="AR2983" s="595">
        <f>+ROUND(AW2980*AF2983,0)</f>
        <v>0</v>
      </c>
      <c r="AS2983" s="527"/>
      <c r="AT2983" s="527"/>
      <c r="AU2983" s="527"/>
      <c r="AV2983" s="528"/>
      <c r="AW2983" s="592" t="str">
        <f>IF(AF2979=0,"",+ROUND(AR2983/AF2979,4))</f>
        <v/>
      </c>
      <c r="AX2983" s="593"/>
      <c r="AY2983" s="593"/>
      <c r="AZ2983" s="593"/>
      <c r="BA2983" s="593"/>
      <c r="BB2983" s="593"/>
      <c r="BC2983" s="594"/>
      <c r="BD2983" s="386"/>
      <c r="BE2983" s="364"/>
      <c r="BF2983" s="364"/>
      <c r="BG2983" s="364"/>
      <c r="BH2983" s="364"/>
      <c r="BI2983" s="364"/>
      <c r="BJ2983" s="364"/>
      <c r="BK2983" s="364"/>
      <c r="BL2983" s="364"/>
      <c r="BM2983" s="364"/>
      <c r="BN2983" s="475"/>
      <c r="BO2983" s="595">
        <f>+ROUND(BT2980*BD2983,0)</f>
        <v>0</v>
      </c>
      <c r="BP2983" s="527"/>
      <c r="BQ2983" s="527"/>
      <c r="BR2983" s="527"/>
      <c r="BS2983" s="528"/>
      <c r="BT2983" s="592" t="str">
        <f>IF(BD2979=0,"",+ROUND(BO2983/BD2979,4))</f>
        <v/>
      </c>
      <c r="BU2983" s="593"/>
      <c r="BV2983" s="593"/>
      <c r="BW2983" s="593"/>
      <c r="BX2983" s="593"/>
      <c r="BY2983" s="593"/>
      <c r="BZ2983" s="594"/>
      <c r="CA2983" s="142"/>
      <c r="CB2983" s="3" t="str">
        <f t="shared" si="532"/>
        <v>Riadok bude skrytý.</v>
      </c>
      <c r="CC2983" s="271" t="s">
        <v>832</v>
      </c>
      <c r="CD2983" s="137"/>
      <c r="CE2983" s="137"/>
      <c r="CW2983" s="30">
        <f t="shared" si="535"/>
        <v>1</v>
      </c>
      <c r="CZ2983" s="30">
        <f>IF(CC2983="",1,IF(CC2983="Chcem skryť riadok.",0,1))</f>
        <v>1</v>
      </c>
      <c r="DA2983" s="30">
        <f>+IF(CW2983+CX2983+CY2983=0,0,IF(CZ2983=0,0,1))</f>
        <v>1</v>
      </c>
      <c r="DB2983" s="2">
        <f t="shared" si="534"/>
        <v>0</v>
      </c>
      <c r="DS2983" s="130">
        <f>SI!BY2983</f>
        <v>917</v>
      </c>
      <c r="DZ2983" s="131">
        <f>SI!BZ2983</f>
        <v>0</v>
      </c>
    </row>
    <row r="2984" spans="1:132" hidden="1" x14ac:dyDescent="0.25">
      <c r="A2984" s="141"/>
      <c r="B2984" s="1544" t="s">
        <v>933</v>
      </c>
      <c r="C2984" s="1545"/>
      <c r="D2984" s="1545"/>
      <c r="E2984" s="1545"/>
      <c r="F2984" s="1545"/>
      <c r="G2984" s="1545"/>
      <c r="H2984" s="1545"/>
      <c r="I2984" s="1545"/>
      <c r="J2984" s="1545"/>
      <c r="K2984" s="1545"/>
      <c r="L2984" s="1545"/>
      <c r="M2984" s="1545"/>
      <c r="N2984" s="1545"/>
      <c r="O2984" s="1545"/>
      <c r="P2984" s="1545"/>
      <c r="Q2984" s="1545"/>
      <c r="R2984" s="1545"/>
      <c r="S2984" s="1545"/>
      <c r="T2984" s="1545"/>
      <c r="U2984" s="1545"/>
      <c r="V2984" s="1545"/>
      <c r="W2984" s="1545"/>
      <c r="X2984" s="1545"/>
      <c r="Y2984" s="1545"/>
      <c r="Z2984" s="1545"/>
      <c r="AA2984" s="1545"/>
      <c r="AB2984" s="1545"/>
      <c r="AC2984" s="1545"/>
      <c r="AD2984" s="1545"/>
      <c r="AE2984" s="1546"/>
      <c r="AF2984" s="363"/>
      <c r="AG2984" s="364"/>
      <c r="AH2984" s="364"/>
      <c r="AI2984" s="364"/>
      <c r="AJ2984" s="364"/>
      <c r="AK2984" s="364"/>
      <c r="AL2984" s="364"/>
      <c r="AM2984" s="364"/>
      <c r="AN2984" s="364"/>
      <c r="AO2984" s="364"/>
      <c r="AP2984" s="364"/>
      <c r="AQ2984" s="475"/>
      <c r="AR2984" s="595">
        <f>+ROUND(AW2980*AF2984,0)</f>
        <v>0</v>
      </c>
      <c r="AS2984" s="527"/>
      <c r="AT2984" s="527"/>
      <c r="AU2984" s="527"/>
      <c r="AV2984" s="528"/>
      <c r="AW2984" s="592" t="str">
        <f>IF(AF2979=0,"",ROUND(AR2984/AF2979,4))</f>
        <v/>
      </c>
      <c r="AX2984" s="593"/>
      <c r="AY2984" s="593"/>
      <c r="AZ2984" s="593"/>
      <c r="BA2984" s="593"/>
      <c r="BB2984" s="593"/>
      <c r="BC2984" s="594"/>
      <c r="BD2984" s="386"/>
      <c r="BE2984" s="364"/>
      <c r="BF2984" s="364"/>
      <c r="BG2984" s="364"/>
      <c r="BH2984" s="364"/>
      <c r="BI2984" s="364"/>
      <c r="BJ2984" s="364"/>
      <c r="BK2984" s="364"/>
      <c r="BL2984" s="364"/>
      <c r="BM2984" s="364"/>
      <c r="BN2984" s="475"/>
      <c r="BO2984" s="595">
        <f>+ROUND(BT2980*BD2984,0)</f>
        <v>0</v>
      </c>
      <c r="BP2984" s="527"/>
      <c r="BQ2984" s="527"/>
      <c r="BR2984" s="527"/>
      <c r="BS2984" s="528"/>
      <c r="BT2984" s="592" t="str">
        <f>IF(BD2979=0,"",ROUND(BO2984/BD2979,4))</f>
        <v/>
      </c>
      <c r="BU2984" s="593"/>
      <c r="BV2984" s="593"/>
      <c r="BW2984" s="593"/>
      <c r="BX2984" s="593"/>
      <c r="BY2984" s="593"/>
      <c r="BZ2984" s="594"/>
      <c r="CA2984" s="142"/>
      <c r="CB2984" s="3" t="str">
        <f t="shared" si="532"/>
        <v>Riadok bude skrytý.</v>
      </c>
      <c r="CC2984" s="271" t="s">
        <v>832</v>
      </c>
      <c r="CW2984" s="30">
        <f t="shared" si="535"/>
        <v>1</v>
      </c>
      <c r="CZ2984" s="30">
        <f t="shared" si="533"/>
        <v>1</v>
      </c>
      <c r="DA2984" s="30">
        <f t="shared" si="538"/>
        <v>1</v>
      </c>
      <c r="DB2984" s="2">
        <f t="shared" si="534"/>
        <v>0</v>
      </c>
      <c r="DS2984" s="130">
        <f>SI!BY2984</f>
        <v>186</v>
      </c>
      <c r="DZ2984" s="131">
        <f>SI!BZ2984</f>
        <v>0</v>
      </c>
    </row>
    <row r="2985" spans="1:132" hidden="1" x14ac:dyDescent="0.25">
      <c r="A2985" s="141"/>
      <c r="B2985" s="1544" t="s">
        <v>962</v>
      </c>
      <c r="C2985" s="1545"/>
      <c r="D2985" s="1545"/>
      <c r="E2985" s="1545"/>
      <c r="F2985" s="1545"/>
      <c r="G2985" s="1545"/>
      <c r="H2985" s="1545"/>
      <c r="I2985" s="1545"/>
      <c r="J2985" s="1545"/>
      <c r="K2985" s="1545"/>
      <c r="L2985" s="1545"/>
      <c r="M2985" s="1545"/>
      <c r="N2985" s="1545"/>
      <c r="O2985" s="1545"/>
      <c r="P2985" s="1545"/>
      <c r="Q2985" s="1545"/>
      <c r="R2985" s="1545"/>
      <c r="S2985" s="1545"/>
      <c r="T2985" s="1545"/>
      <c r="U2985" s="1545"/>
      <c r="V2985" s="1545"/>
      <c r="W2985" s="1545"/>
      <c r="X2985" s="1545"/>
      <c r="Y2985" s="1545"/>
      <c r="Z2985" s="1545"/>
      <c r="AA2985" s="1545"/>
      <c r="AB2985" s="1545"/>
      <c r="AC2985" s="1545"/>
      <c r="AD2985" s="1545"/>
      <c r="AE2985" s="1546"/>
      <c r="AF2985" s="363"/>
      <c r="AG2985" s="364"/>
      <c r="AH2985" s="364"/>
      <c r="AI2985" s="364"/>
      <c r="AJ2985" s="364"/>
      <c r="AK2985" s="364"/>
      <c r="AL2985" s="364"/>
      <c r="AM2985" s="364"/>
      <c r="AN2985" s="364"/>
      <c r="AO2985" s="364"/>
      <c r="AP2985" s="364"/>
      <c r="AQ2985" s="475"/>
      <c r="AR2985" s="595">
        <f>+ROUND(AW2980*AF2985,0)</f>
        <v>0</v>
      </c>
      <c r="AS2985" s="527"/>
      <c r="AT2985" s="527"/>
      <c r="AU2985" s="527"/>
      <c r="AV2985" s="528"/>
      <c r="AW2985" s="592" t="str">
        <f>IF(AF2979=0,"",ROUND(AR2985/AF2979,4))</f>
        <v/>
      </c>
      <c r="AX2985" s="593"/>
      <c r="AY2985" s="593"/>
      <c r="AZ2985" s="593"/>
      <c r="BA2985" s="593"/>
      <c r="BB2985" s="593"/>
      <c r="BC2985" s="594"/>
      <c r="BD2985" s="386"/>
      <c r="BE2985" s="364"/>
      <c r="BF2985" s="364"/>
      <c r="BG2985" s="364"/>
      <c r="BH2985" s="364"/>
      <c r="BI2985" s="364"/>
      <c r="BJ2985" s="364"/>
      <c r="BK2985" s="364"/>
      <c r="BL2985" s="364"/>
      <c r="BM2985" s="364"/>
      <c r="BN2985" s="475"/>
      <c r="BO2985" s="595">
        <f>+ROUND(BT2980*BD2985,0)</f>
        <v>0</v>
      </c>
      <c r="BP2985" s="527"/>
      <c r="BQ2985" s="527"/>
      <c r="BR2985" s="527"/>
      <c r="BS2985" s="528"/>
      <c r="BT2985" s="592" t="str">
        <f>IF(BD2979=0,"",ROUND(BO2985/BD2979,4))</f>
        <v/>
      </c>
      <c r="BU2985" s="593"/>
      <c r="BV2985" s="593"/>
      <c r="BW2985" s="593"/>
      <c r="BX2985" s="593"/>
      <c r="BY2985" s="593"/>
      <c r="BZ2985" s="594"/>
      <c r="CA2985" s="142"/>
      <c r="CB2985" s="3" t="str">
        <f t="shared" si="532"/>
        <v>Riadok bude skrytý.</v>
      </c>
      <c r="CC2985" s="271" t="s">
        <v>832</v>
      </c>
      <c r="CD2985" s="137"/>
      <c r="CE2985" s="137"/>
      <c r="CW2985" s="30">
        <f t="shared" si="535"/>
        <v>1</v>
      </c>
      <c r="CZ2985" s="30">
        <f>IF(CC2985="",1,IF(CC2985="Chcem skryť riadok.",0,1))</f>
        <v>1</v>
      </c>
      <c r="DA2985" s="30">
        <f>+IF(CW2985+CX2985+CY2985=0,0,IF(CZ2985=0,0,1))</f>
        <v>1</v>
      </c>
      <c r="DB2985" s="2">
        <f t="shared" si="534"/>
        <v>0</v>
      </c>
      <c r="DS2985" s="130">
        <f>SI!BY2985</f>
        <v>307</v>
      </c>
      <c r="DZ2985" s="131">
        <f>SI!BZ2985</f>
        <v>0</v>
      </c>
    </row>
    <row r="2986" spans="1:132" hidden="1" x14ac:dyDescent="0.25">
      <c r="A2986" s="141"/>
      <c r="B2986" s="1544" t="s">
        <v>254</v>
      </c>
      <c r="C2986" s="1545"/>
      <c r="D2986" s="1545"/>
      <c r="E2986" s="1545"/>
      <c r="F2986" s="1545"/>
      <c r="G2986" s="1545"/>
      <c r="H2986" s="1545"/>
      <c r="I2986" s="1545"/>
      <c r="J2986" s="1545"/>
      <c r="K2986" s="1545"/>
      <c r="L2986" s="1545"/>
      <c r="M2986" s="1545"/>
      <c r="N2986" s="1545"/>
      <c r="O2986" s="1545"/>
      <c r="P2986" s="1545"/>
      <c r="Q2986" s="1545"/>
      <c r="R2986" s="1545"/>
      <c r="S2986" s="1545"/>
      <c r="T2986" s="1545"/>
      <c r="U2986" s="1545"/>
      <c r="V2986" s="1545"/>
      <c r="W2986" s="1545"/>
      <c r="X2986" s="1545"/>
      <c r="Y2986" s="1545"/>
      <c r="Z2986" s="1545"/>
      <c r="AA2986" s="1545"/>
      <c r="AB2986" s="1545"/>
      <c r="AC2986" s="1545"/>
      <c r="AD2986" s="1545"/>
      <c r="AE2986" s="1546"/>
      <c r="AF2986" s="363"/>
      <c r="AG2986" s="364"/>
      <c r="AH2986" s="364"/>
      <c r="AI2986" s="364"/>
      <c r="AJ2986" s="364"/>
      <c r="AK2986" s="364"/>
      <c r="AL2986" s="364"/>
      <c r="AM2986" s="364"/>
      <c r="AN2986" s="364"/>
      <c r="AO2986" s="364"/>
      <c r="AP2986" s="364"/>
      <c r="AQ2986" s="475"/>
      <c r="AR2986" s="595">
        <f>+ROUND(AW2980*AF2986,0)</f>
        <v>0</v>
      </c>
      <c r="AS2986" s="527"/>
      <c r="AT2986" s="527"/>
      <c r="AU2986" s="527"/>
      <c r="AV2986" s="528"/>
      <c r="AW2986" s="592" t="str">
        <f>IF(AF2979=0,"",ROUND(AR2986/AF2979,4))</f>
        <v/>
      </c>
      <c r="AX2986" s="593"/>
      <c r="AY2986" s="593"/>
      <c r="AZ2986" s="593"/>
      <c r="BA2986" s="593"/>
      <c r="BB2986" s="593"/>
      <c r="BC2986" s="594"/>
      <c r="BD2986" s="386"/>
      <c r="BE2986" s="364"/>
      <c r="BF2986" s="364"/>
      <c r="BG2986" s="364"/>
      <c r="BH2986" s="364"/>
      <c r="BI2986" s="364"/>
      <c r="BJ2986" s="364"/>
      <c r="BK2986" s="364"/>
      <c r="BL2986" s="364"/>
      <c r="BM2986" s="364"/>
      <c r="BN2986" s="475"/>
      <c r="BO2986" s="595">
        <f>+ROUND(BT2980*BD2986,0)</f>
        <v>0</v>
      </c>
      <c r="BP2986" s="527"/>
      <c r="BQ2986" s="527"/>
      <c r="BR2986" s="527"/>
      <c r="BS2986" s="528"/>
      <c r="BT2986" s="592" t="str">
        <f>IF(BD2979=0,"",ROUND(BO2986/BD2979,4))</f>
        <v/>
      </c>
      <c r="BU2986" s="593"/>
      <c r="BV2986" s="593"/>
      <c r="BW2986" s="593"/>
      <c r="BX2986" s="593"/>
      <c r="BY2986" s="593"/>
      <c r="BZ2986" s="594"/>
      <c r="CA2986" s="142"/>
      <c r="CB2986" s="3" t="str">
        <f t="shared" si="532"/>
        <v>Riadok bude skrytý.</v>
      </c>
      <c r="CC2986" s="271" t="s">
        <v>832</v>
      </c>
      <c r="CD2986" s="137"/>
      <c r="CE2986" s="137"/>
      <c r="CW2986" s="30">
        <f t="shared" si="535"/>
        <v>1</v>
      </c>
      <c r="CZ2986" s="30">
        <f>IF(CC2986="",1,IF(CC2986="Chcem skryť riadok.",0,1))</f>
        <v>1</v>
      </c>
      <c r="DA2986" s="30">
        <f>+IF(CW2986+CX2986+CY2986=0,0,IF(CZ2986=0,0,1))</f>
        <v>1</v>
      </c>
      <c r="DB2986" s="2">
        <f t="shared" si="534"/>
        <v>0</v>
      </c>
      <c r="DS2986" s="130">
        <f>SI!BY2986</f>
        <v>593</v>
      </c>
      <c r="DZ2986" s="131">
        <f>SI!BZ2986</f>
        <v>0</v>
      </c>
    </row>
    <row r="2987" spans="1:132" hidden="1" x14ac:dyDescent="0.25">
      <c r="A2987" s="141"/>
      <c r="B2987" s="1544" t="s">
        <v>45</v>
      </c>
      <c r="C2987" s="1545"/>
      <c r="D2987" s="1545"/>
      <c r="E2987" s="1545"/>
      <c r="F2987" s="1545"/>
      <c r="G2987" s="1545"/>
      <c r="H2987" s="1545"/>
      <c r="I2987" s="1545"/>
      <c r="J2987" s="1545"/>
      <c r="K2987" s="1545"/>
      <c r="L2987" s="1545"/>
      <c r="M2987" s="1545"/>
      <c r="N2987" s="1545"/>
      <c r="O2987" s="1545"/>
      <c r="P2987" s="1545"/>
      <c r="Q2987" s="1545"/>
      <c r="R2987" s="1545"/>
      <c r="S2987" s="1545"/>
      <c r="T2987" s="1545"/>
      <c r="U2987" s="1545"/>
      <c r="V2987" s="1545"/>
      <c r="W2987" s="1545"/>
      <c r="X2987" s="1545"/>
      <c r="Y2987" s="1545"/>
      <c r="Z2987" s="1545"/>
      <c r="AA2987" s="1545"/>
      <c r="AB2987" s="1545"/>
      <c r="AC2987" s="1545"/>
      <c r="AD2987" s="1545"/>
      <c r="AE2987" s="1546"/>
      <c r="AF2987" s="595">
        <f>+SUM(AF2979:AM2984)</f>
        <v>0</v>
      </c>
      <c r="AG2987" s="527"/>
      <c r="AH2987" s="527"/>
      <c r="AI2987" s="527"/>
      <c r="AJ2987" s="527"/>
      <c r="AK2987" s="527"/>
      <c r="AL2987" s="527"/>
      <c r="AM2987" s="527"/>
      <c r="AN2987" s="527"/>
      <c r="AO2987" s="527"/>
      <c r="AP2987" s="527"/>
      <c r="AQ2987" s="1567"/>
      <c r="AR2987" s="595">
        <f>+SUM(AR2979:AV2984)</f>
        <v>0</v>
      </c>
      <c r="AS2987" s="527"/>
      <c r="AT2987" s="527"/>
      <c r="AU2987" s="527"/>
      <c r="AV2987" s="528"/>
      <c r="AW2987" s="592">
        <f>+SUM(AW2979:BC2984)</f>
        <v>0.23</v>
      </c>
      <c r="AX2987" s="593"/>
      <c r="AY2987" s="593"/>
      <c r="AZ2987" s="593"/>
      <c r="BA2987" s="593"/>
      <c r="BB2987" s="593"/>
      <c r="BC2987" s="594"/>
      <c r="BD2987" s="2014">
        <f>+SUM(BD2979:BJ2984)</f>
        <v>0</v>
      </c>
      <c r="BE2987" s="2015"/>
      <c r="BF2987" s="2015"/>
      <c r="BG2987" s="2015"/>
      <c r="BH2987" s="2015"/>
      <c r="BI2987" s="2015"/>
      <c r="BJ2987" s="2015"/>
      <c r="BK2987" s="2015"/>
      <c r="BL2987" s="2015"/>
      <c r="BM2987" s="2015"/>
      <c r="BN2987" s="2016"/>
      <c r="BO2987" s="595">
        <f>+SUM(BO2979:BS2984)</f>
        <v>0</v>
      </c>
      <c r="BP2987" s="527"/>
      <c r="BQ2987" s="527"/>
      <c r="BR2987" s="527"/>
      <c r="BS2987" s="528"/>
      <c r="BT2987" s="592">
        <f>+SUM(BT2979:BZ2984)</f>
        <v>0.19</v>
      </c>
      <c r="BU2987" s="593"/>
      <c r="BV2987" s="593"/>
      <c r="BW2987" s="593"/>
      <c r="BX2987" s="593"/>
      <c r="BY2987" s="593"/>
      <c r="BZ2987" s="594"/>
      <c r="CA2987" s="142"/>
      <c r="CB2987" s="3" t="str">
        <f t="shared" si="532"/>
        <v>Riadok bude skrytý.</v>
      </c>
      <c r="CC2987" s="271" t="s">
        <v>832</v>
      </c>
      <c r="CW2987" s="30">
        <f t="shared" si="535"/>
        <v>1</v>
      </c>
      <c r="CZ2987" s="30">
        <f t="shared" si="533"/>
        <v>1</v>
      </c>
      <c r="DA2987" s="30">
        <f t="shared" si="538"/>
        <v>1</v>
      </c>
      <c r="DB2987" s="2">
        <f t="shared" si="534"/>
        <v>0</v>
      </c>
      <c r="DS2987" s="130">
        <f>SI!BY2987</f>
        <v>168</v>
      </c>
      <c r="DZ2987" s="131">
        <f>SI!BZ2987</f>
        <v>0</v>
      </c>
    </row>
    <row r="2988" spans="1:132" hidden="1" x14ac:dyDescent="0.25">
      <c r="A2988" s="141"/>
      <c r="B2988" s="1544" t="s">
        <v>377</v>
      </c>
      <c r="C2988" s="1545"/>
      <c r="D2988" s="1545"/>
      <c r="E2988" s="1545"/>
      <c r="F2988" s="1545"/>
      <c r="G2988" s="1545"/>
      <c r="H2988" s="1545"/>
      <c r="I2988" s="1545"/>
      <c r="J2988" s="1545"/>
      <c r="K2988" s="1545"/>
      <c r="L2988" s="1545"/>
      <c r="M2988" s="1545"/>
      <c r="N2988" s="1545"/>
      <c r="O2988" s="1545"/>
      <c r="P2988" s="1545"/>
      <c r="Q2988" s="1545"/>
      <c r="R2988" s="1545"/>
      <c r="S2988" s="1545"/>
      <c r="T2988" s="1545"/>
      <c r="U2988" s="1545"/>
      <c r="V2988" s="1545"/>
      <c r="W2988" s="1545"/>
      <c r="X2988" s="1545"/>
      <c r="Y2988" s="1545"/>
      <c r="Z2988" s="1545"/>
      <c r="AA2988" s="1545"/>
      <c r="AB2988" s="1545"/>
      <c r="AC2988" s="1545"/>
      <c r="AD2988" s="1545"/>
      <c r="AE2988" s="1546"/>
      <c r="AF2988" s="1547" t="s">
        <v>26</v>
      </c>
      <c r="AG2988" s="1112"/>
      <c r="AH2988" s="1112"/>
      <c r="AI2988" s="1112"/>
      <c r="AJ2988" s="1112"/>
      <c r="AK2988" s="1112"/>
      <c r="AL2988" s="1112"/>
      <c r="AM2988" s="1112"/>
      <c r="AN2988" s="1112"/>
      <c r="AO2988" s="1112"/>
      <c r="AP2988" s="1112"/>
      <c r="AQ2988" s="1113"/>
      <c r="AR2988" s="595">
        <f>+AR2987</f>
        <v>0</v>
      </c>
      <c r="AS2988" s="527"/>
      <c r="AT2988" s="527"/>
      <c r="AU2988" s="527"/>
      <c r="AV2988" s="528"/>
      <c r="AW2988" s="592">
        <f>+AW2987</f>
        <v>0.23</v>
      </c>
      <c r="AX2988" s="593"/>
      <c r="AY2988" s="593"/>
      <c r="AZ2988" s="593"/>
      <c r="BA2988" s="593"/>
      <c r="BB2988" s="593"/>
      <c r="BC2988" s="594"/>
      <c r="BD2988" s="1111" t="s">
        <v>26</v>
      </c>
      <c r="BE2988" s="1112"/>
      <c r="BF2988" s="1112"/>
      <c r="BG2988" s="1112"/>
      <c r="BH2988" s="1112"/>
      <c r="BI2988" s="1112"/>
      <c r="BJ2988" s="1112"/>
      <c r="BK2988" s="1112"/>
      <c r="BL2988" s="1112"/>
      <c r="BM2988" s="1112"/>
      <c r="BN2988" s="1113"/>
      <c r="BO2988" s="595">
        <f>+BO2987</f>
        <v>0</v>
      </c>
      <c r="BP2988" s="527"/>
      <c r="BQ2988" s="527"/>
      <c r="BR2988" s="527"/>
      <c r="BS2988" s="528"/>
      <c r="BT2988" s="592">
        <f>+BT2987</f>
        <v>0.19</v>
      </c>
      <c r="BU2988" s="593"/>
      <c r="BV2988" s="593"/>
      <c r="BW2988" s="593"/>
      <c r="BX2988" s="593"/>
      <c r="BY2988" s="593"/>
      <c r="BZ2988" s="594"/>
      <c r="CA2988" s="142"/>
      <c r="CB2988" s="3" t="str">
        <f t="shared" si="532"/>
        <v>Riadok bude skrytý.</v>
      </c>
      <c r="CC2988" s="271" t="s">
        <v>832</v>
      </c>
      <c r="CW2988" s="30">
        <f t="shared" ref="CW2988:CW3012" si="539">+IF($J$2951="nevykázala",0,1)</f>
        <v>1</v>
      </c>
      <c r="CZ2988" s="30">
        <f t="shared" si="533"/>
        <v>1</v>
      </c>
      <c r="DA2988" s="30">
        <f t="shared" si="538"/>
        <v>1</v>
      </c>
      <c r="DB2988" s="2">
        <f t="shared" si="534"/>
        <v>0</v>
      </c>
      <c r="DS2988" s="130">
        <f>SI!BY2988</f>
        <v>725</v>
      </c>
      <c r="DZ2988" s="131">
        <f>SI!BZ2988</f>
        <v>0</v>
      </c>
    </row>
    <row r="2989" spans="1:132" ht="15.8" hidden="1" customHeight="1" x14ac:dyDescent="0.25">
      <c r="A2989" s="141"/>
      <c r="B2989" s="1544" t="s">
        <v>378</v>
      </c>
      <c r="C2989" s="1545"/>
      <c r="D2989" s="1545"/>
      <c r="E2989" s="1545"/>
      <c r="F2989" s="1545"/>
      <c r="G2989" s="1545"/>
      <c r="H2989" s="1545"/>
      <c r="I2989" s="1545"/>
      <c r="J2989" s="1545"/>
      <c r="K2989" s="1545"/>
      <c r="L2989" s="1545"/>
      <c r="M2989" s="1545"/>
      <c r="N2989" s="1545"/>
      <c r="O2989" s="1545"/>
      <c r="P2989" s="1545"/>
      <c r="Q2989" s="1545"/>
      <c r="R2989" s="1545"/>
      <c r="S2989" s="1545"/>
      <c r="T2989" s="1545"/>
      <c r="U2989" s="1545"/>
      <c r="V2989" s="1545"/>
      <c r="W2989" s="1545"/>
      <c r="X2989" s="1545"/>
      <c r="Y2989" s="1545"/>
      <c r="Z2989" s="1545"/>
      <c r="AA2989" s="1545"/>
      <c r="AB2989" s="1545"/>
      <c r="AC2989" s="1545"/>
      <c r="AD2989" s="1545"/>
      <c r="AE2989" s="1546"/>
      <c r="AF2989" s="1547" t="s">
        <v>26</v>
      </c>
      <c r="AG2989" s="1112"/>
      <c r="AH2989" s="1112"/>
      <c r="AI2989" s="1112"/>
      <c r="AJ2989" s="1112"/>
      <c r="AK2989" s="1112"/>
      <c r="AL2989" s="1112"/>
      <c r="AM2989" s="1112"/>
      <c r="AN2989" s="1112"/>
      <c r="AO2989" s="1112"/>
      <c r="AP2989" s="1112"/>
      <c r="AQ2989" s="1113"/>
      <c r="AR2989" s="363"/>
      <c r="AS2989" s="364"/>
      <c r="AT2989" s="364"/>
      <c r="AU2989" s="364"/>
      <c r="AV2989" s="387"/>
      <c r="AW2989" s="592" t="str">
        <f>IF(AF2979=0,"",ROUND(AR2989/AF2979,4))</f>
        <v/>
      </c>
      <c r="AX2989" s="593"/>
      <c r="AY2989" s="593"/>
      <c r="AZ2989" s="593"/>
      <c r="BA2989" s="593"/>
      <c r="BB2989" s="593"/>
      <c r="BC2989" s="594"/>
      <c r="BD2989" s="1111" t="s">
        <v>26</v>
      </c>
      <c r="BE2989" s="1112"/>
      <c r="BF2989" s="1112"/>
      <c r="BG2989" s="1112"/>
      <c r="BH2989" s="1112"/>
      <c r="BI2989" s="1112"/>
      <c r="BJ2989" s="1112"/>
      <c r="BK2989" s="1112"/>
      <c r="BL2989" s="1112"/>
      <c r="BM2989" s="1112"/>
      <c r="BN2989" s="1113"/>
      <c r="BO2989" s="363"/>
      <c r="BP2989" s="364"/>
      <c r="BQ2989" s="364"/>
      <c r="BR2989" s="364"/>
      <c r="BS2989" s="387"/>
      <c r="BT2989" s="592" t="str">
        <f>IF(BD2979=0,"",ROUND(BO2989/BD2979,4))</f>
        <v/>
      </c>
      <c r="BU2989" s="593"/>
      <c r="BV2989" s="593"/>
      <c r="BW2989" s="593"/>
      <c r="BX2989" s="593"/>
      <c r="BY2989" s="593"/>
      <c r="BZ2989" s="594"/>
      <c r="CA2989" s="142"/>
      <c r="CB2989" s="3" t="str">
        <f t="shared" si="532"/>
        <v>Riadok bude skrytý.</v>
      </c>
      <c r="CC2989" s="271" t="s">
        <v>832</v>
      </c>
      <c r="CW2989" s="30">
        <f t="shared" si="539"/>
        <v>1</v>
      </c>
      <c r="CZ2989" s="30">
        <f t="shared" si="533"/>
        <v>1</v>
      </c>
      <c r="DA2989" s="30">
        <f t="shared" si="538"/>
        <v>1</v>
      </c>
      <c r="DB2989" s="2">
        <f t="shared" si="534"/>
        <v>0</v>
      </c>
      <c r="DS2989" s="130">
        <f>SI!BY2989</f>
        <v>135</v>
      </c>
      <c r="DZ2989" s="131">
        <f>SI!BZ2989</f>
        <v>0</v>
      </c>
    </row>
    <row r="2990" spans="1:132" hidden="1" x14ac:dyDescent="0.25">
      <c r="A2990" s="141"/>
      <c r="B2990" s="1540" t="s">
        <v>379</v>
      </c>
      <c r="C2990" s="1541"/>
      <c r="D2990" s="1541"/>
      <c r="E2990" s="1541"/>
      <c r="F2990" s="1541"/>
      <c r="G2990" s="1541"/>
      <c r="H2990" s="1541"/>
      <c r="I2990" s="1541"/>
      <c r="J2990" s="1541"/>
      <c r="K2990" s="1541"/>
      <c r="L2990" s="1541"/>
      <c r="M2990" s="1541"/>
      <c r="N2990" s="1541"/>
      <c r="O2990" s="1541"/>
      <c r="P2990" s="1541"/>
      <c r="Q2990" s="1541"/>
      <c r="R2990" s="1541"/>
      <c r="S2990" s="1541"/>
      <c r="T2990" s="1541"/>
      <c r="U2990" s="1541"/>
      <c r="V2990" s="1541"/>
      <c r="W2990" s="1541"/>
      <c r="X2990" s="1541"/>
      <c r="Y2990" s="1541"/>
      <c r="Z2990" s="1541"/>
      <c r="AA2990" s="1541"/>
      <c r="AB2990" s="1541"/>
      <c r="AC2990" s="1541"/>
      <c r="AD2990" s="1541"/>
      <c r="AE2990" s="1542"/>
      <c r="AF2990" s="1551" t="s">
        <v>26</v>
      </c>
      <c r="AG2990" s="1552"/>
      <c r="AH2990" s="1552"/>
      <c r="AI2990" s="1552"/>
      <c r="AJ2990" s="1552"/>
      <c r="AK2990" s="1552"/>
      <c r="AL2990" s="1552"/>
      <c r="AM2990" s="1552"/>
      <c r="AN2990" s="1552"/>
      <c r="AO2990" s="1552"/>
      <c r="AP2990" s="1552"/>
      <c r="AQ2990" s="1553"/>
      <c r="AR2990" s="1543">
        <f>+AR2988+AR2989</f>
        <v>0</v>
      </c>
      <c r="AS2990" s="1185"/>
      <c r="AT2990" s="1185"/>
      <c r="AU2990" s="1185"/>
      <c r="AV2990" s="1186"/>
      <c r="AW2990" s="1548" t="str">
        <f>+IF(AW2989="","",AW2988+AW2989)</f>
        <v/>
      </c>
      <c r="AX2990" s="1549"/>
      <c r="AY2990" s="1549"/>
      <c r="AZ2990" s="1549"/>
      <c r="BA2990" s="1549"/>
      <c r="BB2990" s="1549"/>
      <c r="BC2990" s="1550"/>
      <c r="BD2990" s="1562" t="s">
        <v>26</v>
      </c>
      <c r="BE2990" s="1552"/>
      <c r="BF2990" s="1552"/>
      <c r="BG2990" s="1552"/>
      <c r="BH2990" s="1552"/>
      <c r="BI2990" s="1552"/>
      <c r="BJ2990" s="1552"/>
      <c r="BK2990" s="1552"/>
      <c r="BL2990" s="1552"/>
      <c r="BM2990" s="1552"/>
      <c r="BN2990" s="1553"/>
      <c r="BO2990" s="1543">
        <f>+BO2988+BO2989</f>
        <v>0</v>
      </c>
      <c r="BP2990" s="1185"/>
      <c r="BQ2990" s="1185"/>
      <c r="BR2990" s="1185"/>
      <c r="BS2990" s="1186"/>
      <c r="BT2990" s="1548" t="str">
        <f>+IF(BT2989="","",BT2988+BT2989)</f>
        <v/>
      </c>
      <c r="BU2990" s="1549"/>
      <c r="BV2990" s="1549"/>
      <c r="BW2990" s="1549"/>
      <c r="BX2990" s="1549"/>
      <c r="BY2990" s="1549"/>
      <c r="BZ2990" s="1550"/>
      <c r="CA2990" s="142"/>
      <c r="CB2990" s="3" t="str">
        <f t="shared" si="532"/>
        <v>Riadok bude skrytý.</v>
      </c>
      <c r="CC2990" s="271" t="s">
        <v>832</v>
      </c>
      <c r="CW2990" s="30">
        <f t="shared" si="539"/>
        <v>1</v>
      </c>
      <c r="CZ2990" s="30">
        <f t="shared" si="533"/>
        <v>1</v>
      </c>
      <c r="DA2990" s="30">
        <f t="shared" si="538"/>
        <v>1</v>
      </c>
      <c r="DB2990" s="2">
        <f t="shared" si="534"/>
        <v>0</v>
      </c>
      <c r="DS2990" s="130">
        <f>SI!BY2990</f>
        <v>119</v>
      </c>
      <c r="DZ2990" s="131">
        <f>SI!BZ2990</f>
        <v>0</v>
      </c>
    </row>
    <row r="2991" spans="1:132" hidden="1" x14ac:dyDescent="0.25">
      <c r="A2991" s="141"/>
      <c r="CA2991" s="142"/>
      <c r="CB2991" s="3" t="str">
        <f t="shared" si="532"/>
        <v>Riadok bude skrytý.</v>
      </c>
      <c r="CC2991" s="271" t="s">
        <v>832</v>
      </c>
      <c r="CW2991" s="30">
        <f t="shared" si="539"/>
        <v>1</v>
      </c>
      <c r="CX2991" s="30">
        <f>+IF(B2993="",0,1)</f>
        <v>0</v>
      </c>
      <c r="CZ2991" s="30">
        <f t="shared" si="533"/>
        <v>1</v>
      </c>
      <c r="DA2991" s="52">
        <f t="shared" ref="DA2991:DA3012" si="540">+IF(CW2991*CX2991=0,0,IF(CZ2991=0,0,1))</f>
        <v>0</v>
      </c>
      <c r="DB2991" s="2">
        <f t="shared" si="534"/>
        <v>0</v>
      </c>
      <c r="DS2991" s="130">
        <f>SI!BY2991</f>
        <v>130</v>
      </c>
      <c r="DZ2991" s="131">
        <f>SI!BZ2991</f>
        <v>0</v>
      </c>
    </row>
    <row r="2992" spans="1:132" ht="14.95" hidden="1" customHeight="1" x14ac:dyDescent="0.25">
      <c r="A2992" s="141"/>
      <c r="B2992" s="137" t="s">
        <v>746</v>
      </c>
      <c r="C2992" s="7"/>
      <c r="D2992" s="7"/>
      <c r="E2992" s="7"/>
      <c r="F2992" s="7"/>
      <c r="CA2992" s="265" t="s">
        <v>773</v>
      </c>
      <c r="CB2992" s="3" t="str">
        <f t="shared" si="532"/>
        <v>Riadok bude skrytý.</v>
      </c>
      <c r="CC2992" s="271" t="s">
        <v>832</v>
      </c>
      <c r="CW2992" s="30">
        <f t="shared" si="539"/>
        <v>1</v>
      </c>
      <c r="CX2992" s="30">
        <f>+IF(B2993="",0,1)</f>
        <v>0</v>
      </c>
      <c r="CZ2992" s="30">
        <f t="shared" si="533"/>
        <v>1</v>
      </c>
      <c r="DA2992" s="52">
        <f t="shared" si="540"/>
        <v>0</v>
      </c>
      <c r="DB2992" s="2">
        <f t="shared" si="534"/>
        <v>0</v>
      </c>
      <c r="DS2992" s="130">
        <f>SI!BY2992</f>
        <v>143</v>
      </c>
      <c r="DZ2992" s="131">
        <f>SI!BZ2992</f>
        <v>0</v>
      </c>
    </row>
    <row r="2993" spans="1:130" ht="14.95" hidden="1" customHeight="1" x14ac:dyDescent="0.25">
      <c r="A2993" s="141"/>
      <c r="B2993" s="379"/>
      <c r="C2993" s="379"/>
      <c r="D2993" s="379"/>
      <c r="E2993" s="379"/>
      <c r="F2993" s="379"/>
      <c r="G2993" s="379"/>
      <c r="H2993" s="379"/>
      <c r="I2993" s="379"/>
      <c r="J2993" s="379"/>
      <c r="K2993" s="379"/>
      <c r="L2993" s="379"/>
      <c r="M2993" s="379"/>
      <c r="N2993" s="379"/>
      <c r="O2993" s="379"/>
      <c r="P2993" s="379"/>
      <c r="Q2993" s="379"/>
      <c r="R2993" s="379"/>
      <c r="S2993" s="379"/>
      <c r="T2993" s="379"/>
      <c r="U2993" s="379"/>
      <c r="V2993" s="379"/>
      <c r="W2993" s="379"/>
      <c r="X2993" s="379"/>
      <c r="Y2993" s="379"/>
      <c r="Z2993" s="379"/>
      <c r="AA2993" s="379"/>
      <c r="AB2993" s="379"/>
      <c r="AC2993" s="379"/>
      <c r="AD2993" s="379"/>
      <c r="AE2993" s="379"/>
      <c r="AF2993" s="379"/>
      <c r="AG2993" s="379"/>
      <c r="AH2993" s="379"/>
      <c r="AI2993" s="379"/>
      <c r="AJ2993" s="379"/>
      <c r="AK2993" s="379"/>
      <c r="AL2993" s="379"/>
      <c r="AM2993" s="379"/>
      <c r="AN2993" s="379"/>
      <c r="AO2993" s="379"/>
      <c r="AP2993" s="379"/>
      <c r="AQ2993" s="379"/>
      <c r="AR2993" s="379"/>
      <c r="AS2993" s="379"/>
      <c r="AT2993" s="379"/>
      <c r="AU2993" s="379"/>
      <c r="AV2993" s="379"/>
      <c r="AW2993" s="379"/>
      <c r="AX2993" s="379"/>
      <c r="AY2993" s="379"/>
      <c r="AZ2993" s="379"/>
      <c r="BA2993" s="379"/>
      <c r="BB2993" s="379"/>
      <c r="BC2993" s="379"/>
      <c r="BD2993" s="379"/>
      <c r="BE2993" s="379"/>
      <c r="BF2993" s="379"/>
      <c r="BG2993" s="379"/>
      <c r="BH2993" s="379"/>
      <c r="BI2993" s="379"/>
      <c r="BJ2993" s="379"/>
      <c r="BK2993" s="379"/>
      <c r="BL2993" s="379"/>
      <c r="BM2993" s="379"/>
      <c r="BN2993" s="379"/>
      <c r="BO2993" s="379"/>
      <c r="BP2993" s="379"/>
      <c r="BQ2993" s="379"/>
      <c r="BR2993" s="379"/>
      <c r="BS2993" s="379"/>
      <c r="BT2993" s="379"/>
      <c r="BU2993" s="379"/>
      <c r="BV2993" s="379"/>
      <c r="BW2993" s="379"/>
      <c r="BX2993" s="379"/>
      <c r="BY2993" s="379"/>
      <c r="BZ2993" s="379"/>
      <c r="CA2993" s="270"/>
      <c r="CB2993" s="3" t="str">
        <f t="shared" si="532"/>
        <v>Riadok bude skrytý.</v>
      </c>
      <c r="CC2993" s="271" t="s">
        <v>832</v>
      </c>
      <c r="CW2993" s="30">
        <f t="shared" si="539"/>
        <v>1</v>
      </c>
      <c r="CX2993" s="30">
        <f t="shared" ref="CX2993:CX3012" si="541">+IF(B2993="",0,1)</f>
        <v>0</v>
      </c>
      <c r="CZ2993" s="30">
        <f t="shared" si="533"/>
        <v>1</v>
      </c>
      <c r="DA2993" s="52">
        <f t="shared" si="540"/>
        <v>0</v>
      </c>
      <c r="DB2993" s="2">
        <f t="shared" si="534"/>
        <v>0</v>
      </c>
      <c r="DS2993" s="130">
        <f>SI!BY2993</f>
        <v>1</v>
      </c>
      <c r="DZ2993" s="131">
        <f>SI!BZ2993</f>
        <v>0</v>
      </c>
    </row>
    <row r="2994" spans="1:130" ht="14.95" hidden="1" customHeight="1" x14ac:dyDescent="0.25">
      <c r="A2994" s="141"/>
      <c r="B2994" s="379"/>
      <c r="C2994" s="379"/>
      <c r="D2994" s="379"/>
      <c r="E2994" s="379"/>
      <c r="F2994" s="379"/>
      <c r="G2994" s="379"/>
      <c r="H2994" s="379"/>
      <c r="I2994" s="379"/>
      <c r="J2994" s="379"/>
      <c r="K2994" s="379"/>
      <c r="L2994" s="379"/>
      <c r="M2994" s="379"/>
      <c r="N2994" s="379"/>
      <c r="O2994" s="379"/>
      <c r="P2994" s="379"/>
      <c r="Q2994" s="379"/>
      <c r="R2994" s="379"/>
      <c r="S2994" s="379"/>
      <c r="T2994" s="379"/>
      <c r="U2994" s="379"/>
      <c r="V2994" s="379"/>
      <c r="W2994" s="379"/>
      <c r="X2994" s="379"/>
      <c r="Y2994" s="379"/>
      <c r="Z2994" s="379"/>
      <c r="AA2994" s="379"/>
      <c r="AB2994" s="379"/>
      <c r="AC2994" s="379"/>
      <c r="AD2994" s="379"/>
      <c r="AE2994" s="379"/>
      <c r="AF2994" s="379"/>
      <c r="AG2994" s="379"/>
      <c r="AH2994" s="379"/>
      <c r="AI2994" s="379"/>
      <c r="AJ2994" s="379"/>
      <c r="AK2994" s="379"/>
      <c r="AL2994" s="379"/>
      <c r="AM2994" s="379"/>
      <c r="AN2994" s="379"/>
      <c r="AO2994" s="379"/>
      <c r="AP2994" s="379"/>
      <c r="AQ2994" s="379"/>
      <c r="AR2994" s="379"/>
      <c r="AS2994" s="379"/>
      <c r="AT2994" s="379"/>
      <c r="AU2994" s="379"/>
      <c r="AV2994" s="379"/>
      <c r="AW2994" s="379"/>
      <c r="AX2994" s="379"/>
      <c r="AY2994" s="379"/>
      <c r="AZ2994" s="379"/>
      <c r="BA2994" s="379"/>
      <c r="BB2994" s="379"/>
      <c r="BC2994" s="379"/>
      <c r="BD2994" s="379"/>
      <c r="BE2994" s="379"/>
      <c r="BF2994" s="379"/>
      <c r="BG2994" s="379"/>
      <c r="BH2994" s="379"/>
      <c r="BI2994" s="379"/>
      <c r="BJ2994" s="379"/>
      <c r="BK2994" s="379"/>
      <c r="BL2994" s="379"/>
      <c r="BM2994" s="379"/>
      <c r="BN2994" s="379"/>
      <c r="BO2994" s="379"/>
      <c r="BP2994" s="379"/>
      <c r="BQ2994" s="379"/>
      <c r="BR2994" s="379"/>
      <c r="BS2994" s="379"/>
      <c r="BT2994" s="379"/>
      <c r="BU2994" s="379"/>
      <c r="BV2994" s="379"/>
      <c r="BW2994" s="379"/>
      <c r="BX2994" s="379"/>
      <c r="BY2994" s="379"/>
      <c r="BZ2994" s="379"/>
      <c r="CA2994" s="270"/>
      <c r="CB2994" s="3" t="str">
        <f t="shared" si="532"/>
        <v>Riadok bude skrytý.</v>
      </c>
      <c r="CC2994" s="271" t="s">
        <v>832</v>
      </c>
      <c r="CW2994" s="30">
        <f t="shared" si="539"/>
        <v>1</v>
      </c>
      <c r="CX2994" s="30">
        <f t="shared" si="541"/>
        <v>0</v>
      </c>
      <c r="CZ2994" s="30">
        <f t="shared" si="533"/>
        <v>1</v>
      </c>
      <c r="DA2994" s="52">
        <f t="shared" si="540"/>
        <v>0</v>
      </c>
      <c r="DB2994" s="2">
        <f t="shared" si="534"/>
        <v>0</v>
      </c>
      <c r="DS2994" s="130">
        <f>SI!BY2994</f>
        <v>713</v>
      </c>
      <c r="DZ2994" s="131">
        <f>SI!BZ2994</f>
        <v>0</v>
      </c>
    </row>
    <row r="2995" spans="1:130" ht="14.95" hidden="1" customHeight="1" x14ac:dyDescent="0.25">
      <c r="A2995" s="141"/>
      <c r="B2995" s="379"/>
      <c r="C2995" s="379"/>
      <c r="D2995" s="379"/>
      <c r="E2995" s="379"/>
      <c r="F2995" s="379"/>
      <c r="G2995" s="379"/>
      <c r="H2995" s="379"/>
      <c r="I2995" s="379"/>
      <c r="J2995" s="379"/>
      <c r="K2995" s="379"/>
      <c r="L2995" s="379"/>
      <c r="M2995" s="379"/>
      <c r="N2995" s="379"/>
      <c r="O2995" s="379"/>
      <c r="P2995" s="379"/>
      <c r="Q2995" s="379"/>
      <c r="R2995" s="379"/>
      <c r="S2995" s="379"/>
      <c r="T2995" s="379"/>
      <c r="U2995" s="379"/>
      <c r="V2995" s="379"/>
      <c r="W2995" s="379"/>
      <c r="X2995" s="379"/>
      <c r="Y2995" s="379"/>
      <c r="Z2995" s="379"/>
      <c r="AA2995" s="379"/>
      <c r="AB2995" s="379"/>
      <c r="AC2995" s="379"/>
      <c r="AD2995" s="379"/>
      <c r="AE2995" s="379"/>
      <c r="AF2995" s="379"/>
      <c r="AG2995" s="379"/>
      <c r="AH2995" s="379"/>
      <c r="AI2995" s="379"/>
      <c r="AJ2995" s="379"/>
      <c r="AK2995" s="379"/>
      <c r="AL2995" s="379"/>
      <c r="AM2995" s="379"/>
      <c r="AN2995" s="379"/>
      <c r="AO2995" s="379"/>
      <c r="AP2995" s="379"/>
      <c r="AQ2995" s="379"/>
      <c r="AR2995" s="379"/>
      <c r="AS2995" s="379"/>
      <c r="AT2995" s="379"/>
      <c r="AU2995" s="379"/>
      <c r="AV2995" s="379"/>
      <c r="AW2995" s="379"/>
      <c r="AX2995" s="379"/>
      <c r="AY2995" s="379"/>
      <c r="AZ2995" s="379"/>
      <c r="BA2995" s="379"/>
      <c r="BB2995" s="379"/>
      <c r="BC2995" s="379"/>
      <c r="BD2995" s="379"/>
      <c r="BE2995" s="379"/>
      <c r="BF2995" s="379"/>
      <c r="BG2995" s="379"/>
      <c r="BH2995" s="379"/>
      <c r="BI2995" s="379"/>
      <c r="BJ2995" s="379"/>
      <c r="BK2995" s="379"/>
      <c r="BL2995" s="379"/>
      <c r="BM2995" s="379"/>
      <c r="BN2995" s="379"/>
      <c r="BO2995" s="379"/>
      <c r="BP2995" s="379"/>
      <c r="BQ2995" s="379"/>
      <c r="BR2995" s="379"/>
      <c r="BS2995" s="379"/>
      <c r="BT2995" s="379"/>
      <c r="BU2995" s="379"/>
      <c r="BV2995" s="379"/>
      <c r="BW2995" s="379"/>
      <c r="BX2995" s="379"/>
      <c r="BY2995" s="379"/>
      <c r="BZ2995" s="379"/>
      <c r="CA2995" s="270"/>
      <c r="CB2995" s="3" t="str">
        <f t="shared" ref="CB2995:CB3058" si="542">+IF(DB2995=0,"Riadok bude skrytý.","Riadok bude vidieť.")</f>
        <v>Riadok bude skrytý.</v>
      </c>
      <c r="CC2995" s="271" t="s">
        <v>832</v>
      </c>
      <c r="CW2995" s="30">
        <f t="shared" si="539"/>
        <v>1</v>
      </c>
      <c r="CX2995" s="30">
        <f t="shared" si="541"/>
        <v>0</v>
      </c>
      <c r="CZ2995" s="30">
        <f t="shared" si="533"/>
        <v>1</v>
      </c>
      <c r="DA2995" s="52">
        <f t="shared" si="540"/>
        <v>0</v>
      </c>
      <c r="DB2995" s="2">
        <f t="shared" si="534"/>
        <v>0</v>
      </c>
      <c r="DS2995" s="130">
        <f>SI!BY2995</f>
        <v>182</v>
      </c>
      <c r="DZ2995" s="131">
        <f>SI!BZ2995</f>
        <v>0</v>
      </c>
    </row>
    <row r="2996" spans="1:130" ht="14.95" hidden="1" customHeight="1" x14ac:dyDescent="0.25">
      <c r="A2996" s="141"/>
      <c r="B2996" s="379"/>
      <c r="C2996" s="379"/>
      <c r="D2996" s="379"/>
      <c r="E2996" s="379"/>
      <c r="F2996" s="379"/>
      <c r="G2996" s="379"/>
      <c r="H2996" s="379"/>
      <c r="I2996" s="379"/>
      <c r="J2996" s="379"/>
      <c r="K2996" s="379"/>
      <c r="L2996" s="379"/>
      <c r="M2996" s="379"/>
      <c r="N2996" s="379"/>
      <c r="O2996" s="379"/>
      <c r="P2996" s="379"/>
      <c r="Q2996" s="379"/>
      <c r="R2996" s="379"/>
      <c r="S2996" s="379"/>
      <c r="T2996" s="379"/>
      <c r="U2996" s="379"/>
      <c r="V2996" s="379"/>
      <c r="W2996" s="379"/>
      <c r="X2996" s="379"/>
      <c r="Y2996" s="379"/>
      <c r="Z2996" s="379"/>
      <c r="AA2996" s="379"/>
      <c r="AB2996" s="379"/>
      <c r="AC2996" s="379"/>
      <c r="AD2996" s="379"/>
      <c r="AE2996" s="379"/>
      <c r="AF2996" s="379"/>
      <c r="AG2996" s="379"/>
      <c r="AH2996" s="379"/>
      <c r="AI2996" s="379"/>
      <c r="AJ2996" s="379"/>
      <c r="AK2996" s="379"/>
      <c r="AL2996" s="379"/>
      <c r="AM2996" s="379"/>
      <c r="AN2996" s="379"/>
      <c r="AO2996" s="379"/>
      <c r="AP2996" s="379"/>
      <c r="AQ2996" s="379"/>
      <c r="AR2996" s="379"/>
      <c r="AS2996" s="379"/>
      <c r="AT2996" s="379"/>
      <c r="AU2996" s="379"/>
      <c r="AV2996" s="379"/>
      <c r="AW2996" s="379"/>
      <c r="AX2996" s="379"/>
      <c r="AY2996" s="379"/>
      <c r="AZ2996" s="379"/>
      <c r="BA2996" s="379"/>
      <c r="BB2996" s="379"/>
      <c r="BC2996" s="379"/>
      <c r="BD2996" s="379"/>
      <c r="BE2996" s="379"/>
      <c r="BF2996" s="379"/>
      <c r="BG2996" s="379"/>
      <c r="BH2996" s="379"/>
      <c r="BI2996" s="379"/>
      <c r="BJ2996" s="379"/>
      <c r="BK2996" s="379"/>
      <c r="BL2996" s="379"/>
      <c r="BM2996" s="379"/>
      <c r="BN2996" s="379"/>
      <c r="BO2996" s="379"/>
      <c r="BP2996" s="379"/>
      <c r="BQ2996" s="379"/>
      <c r="BR2996" s="379"/>
      <c r="BS2996" s="379"/>
      <c r="BT2996" s="379"/>
      <c r="BU2996" s="379"/>
      <c r="BV2996" s="379"/>
      <c r="BW2996" s="379"/>
      <c r="BX2996" s="379"/>
      <c r="BY2996" s="379"/>
      <c r="BZ2996" s="379"/>
      <c r="CA2996" s="270"/>
      <c r="CB2996" s="3" t="str">
        <f t="shared" si="542"/>
        <v>Riadok bude skrytý.</v>
      </c>
      <c r="CC2996" s="271" t="s">
        <v>832</v>
      </c>
      <c r="CW2996" s="30">
        <f t="shared" si="539"/>
        <v>1</v>
      </c>
      <c r="CX2996" s="30">
        <f t="shared" si="541"/>
        <v>0</v>
      </c>
      <c r="CZ2996" s="30">
        <f t="shared" si="533"/>
        <v>1</v>
      </c>
      <c r="DA2996" s="52">
        <f t="shared" si="540"/>
        <v>0</v>
      </c>
      <c r="DB2996" s="2">
        <f t="shared" si="534"/>
        <v>0</v>
      </c>
      <c r="DS2996" s="130">
        <f>SI!BY2996</f>
        <v>592</v>
      </c>
      <c r="DZ2996" s="131">
        <f>SI!BZ2996</f>
        <v>0</v>
      </c>
    </row>
    <row r="2997" spans="1:130" ht="14.95" hidden="1" customHeight="1" x14ac:dyDescent="0.25">
      <c r="A2997" s="141"/>
      <c r="B2997" s="379"/>
      <c r="C2997" s="379"/>
      <c r="D2997" s="379"/>
      <c r="E2997" s="379"/>
      <c r="F2997" s="379"/>
      <c r="G2997" s="379"/>
      <c r="H2997" s="379"/>
      <c r="I2997" s="379"/>
      <c r="J2997" s="379"/>
      <c r="K2997" s="379"/>
      <c r="L2997" s="379"/>
      <c r="M2997" s="379"/>
      <c r="N2997" s="379"/>
      <c r="O2997" s="379"/>
      <c r="P2997" s="379"/>
      <c r="Q2997" s="379"/>
      <c r="R2997" s="379"/>
      <c r="S2997" s="379"/>
      <c r="T2997" s="379"/>
      <c r="U2997" s="379"/>
      <c r="V2997" s="379"/>
      <c r="W2997" s="379"/>
      <c r="X2997" s="379"/>
      <c r="Y2997" s="379"/>
      <c r="Z2997" s="379"/>
      <c r="AA2997" s="379"/>
      <c r="AB2997" s="379"/>
      <c r="AC2997" s="379"/>
      <c r="AD2997" s="379"/>
      <c r="AE2997" s="379"/>
      <c r="AF2997" s="379"/>
      <c r="AG2997" s="379"/>
      <c r="AH2997" s="379"/>
      <c r="AI2997" s="379"/>
      <c r="AJ2997" s="379"/>
      <c r="AK2997" s="379"/>
      <c r="AL2997" s="379"/>
      <c r="AM2997" s="379"/>
      <c r="AN2997" s="379"/>
      <c r="AO2997" s="379"/>
      <c r="AP2997" s="379"/>
      <c r="AQ2997" s="379"/>
      <c r="AR2997" s="379"/>
      <c r="AS2997" s="379"/>
      <c r="AT2997" s="379"/>
      <c r="AU2997" s="379"/>
      <c r="AV2997" s="379"/>
      <c r="AW2997" s="379"/>
      <c r="AX2997" s="379"/>
      <c r="AY2997" s="379"/>
      <c r="AZ2997" s="379"/>
      <c r="BA2997" s="379"/>
      <c r="BB2997" s="379"/>
      <c r="BC2997" s="379"/>
      <c r="BD2997" s="379"/>
      <c r="BE2997" s="379"/>
      <c r="BF2997" s="379"/>
      <c r="BG2997" s="379"/>
      <c r="BH2997" s="379"/>
      <c r="BI2997" s="379"/>
      <c r="BJ2997" s="379"/>
      <c r="BK2997" s="379"/>
      <c r="BL2997" s="379"/>
      <c r="BM2997" s="379"/>
      <c r="BN2997" s="379"/>
      <c r="BO2997" s="379"/>
      <c r="BP2997" s="379"/>
      <c r="BQ2997" s="379"/>
      <c r="BR2997" s="379"/>
      <c r="BS2997" s="379"/>
      <c r="BT2997" s="379"/>
      <c r="BU2997" s="379"/>
      <c r="BV2997" s="379"/>
      <c r="BW2997" s="379"/>
      <c r="BX2997" s="379"/>
      <c r="BY2997" s="379"/>
      <c r="BZ2997" s="379"/>
      <c r="CA2997" s="270"/>
      <c r="CB2997" s="3" t="str">
        <f t="shared" si="542"/>
        <v>Riadok bude skrytý.</v>
      </c>
      <c r="CC2997" s="271" t="s">
        <v>832</v>
      </c>
      <c r="CW2997" s="30">
        <f t="shared" si="539"/>
        <v>1</v>
      </c>
      <c r="CX2997" s="30">
        <f t="shared" si="541"/>
        <v>0</v>
      </c>
      <c r="CZ2997" s="30">
        <f t="shared" si="533"/>
        <v>1</v>
      </c>
      <c r="DA2997" s="52">
        <f t="shared" si="540"/>
        <v>0</v>
      </c>
      <c r="DB2997" s="2">
        <f t="shared" si="534"/>
        <v>0</v>
      </c>
      <c r="DS2997" s="130">
        <f>SI!BY2997</f>
        <v>160</v>
      </c>
      <c r="DZ2997" s="131">
        <f>SI!BZ2997</f>
        <v>0</v>
      </c>
    </row>
    <row r="2998" spans="1:130" ht="14.95" hidden="1" customHeight="1" x14ac:dyDescent="0.25">
      <c r="A2998" s="141"/>
      <c r="B2998" s="379"/>
      <c r="C2998" s="379"/>
      <c r="D2998" s="379"/>
      <c r="E2998" s="379"/>
      <c r="F2998" s="379"/>
      <c r="G2998" s="379"/>
      <c r="H2998" s="379"/>
      <c r="I2998" s="379"/>
      <c r="J2998" s="379"/>
      <c r="K2998" s="379"/>
      <c r="L2998" s="379"/>
      <c r="M2998" s="379"/>
      <c r="N2998" s="379"/>
      <c r="O2998" s="379"/>
      <c r="P2998" s="379"/>
      <c r="Q2998" s="379"/>
      <c r="R2998" s="379"/>
      <c r="S2998" s="379"/>
      <c r="T2998" s="379"/>
      <c r="U2998" s="379"/>
      <c r="V2998" s="379"/>
      <c r="W2998" s="379"/>
      <c r="X2998" s="379"/>
      <c r="Y2998" s="379"/>
      <c r="Z2998" s="379"/>
      <c r="AA2998" s="379"/>
      <c r="AB2998" s="379"/>
      <c r="AC2998" s="379"/>
      <c r="AD2998" s="379"/>
      <c r="AE2998" s="379"/>
      <c r="AF2998" s="379"/>
      <c r="AG2998" s="379"/>
      <c r="AH2998" s="379"/>
      <c r="AI2998" s="379"/>
      <c r="AJ2998" s="379"/>
      <c r="AK2998" s="379"/>
      <c r="AL2998" s="379"/>
      <c r="AM2998" s="379"/>
      <c r="AN2998" s="379"/>
      <c r="AO2998" s="379"/>
      <c r="AP2998" s="379"/>
      <c r="AQ2998" s="379"/>
      <c r="AR2998" s="379"/>
      <c r="AS2998" s="379"/>
      <c r="AT2998" s="379"/>
      <c r="AU2998" s="379"/>
      <c r="AV2998" s="379"/>
      <c r="AW2998" s="379"/>
      <c r="AX2998" s="379"/>
      <c r="AY2998" s="379"/>
      <c r="AZ2998" s="379"/>
      <c r="BA2998" s="379"/>
      <c r="BB2998" s="379"/>
      <c r="BC2998" s="379"/>
      <c r="BD2998" s="379"/>
      <c r="BE2998" s="379"/>
      <c r="BF2998" s="379"/>
      <c r="BG2998" s="379"/>
      <c r="BH2998" s="379"/>
      <c r="BI2998" s="379"/>
      <c r="BJ2998" s="379"/>
      <c r="BK2998" s="379"/>
      <c r="BL2998" s="379"/>
      <c r="BM2998" s="379"/>
      <c r="BN2998" s="379"/>
      <c r="BO2998" s="379"/>
      <c r="BP2998" s="379"/>
      <c r="BQ2998" s="379"/>
      <c r="BR2998" s="379"/>
      <c r="BS2998" s="379"/>
      <c r="BT2998" s="379"/>
      <c r="BU2998" s="379"/>
      <c r="BV2998" s="379"/>
      <c r="BW2998" s="379"/>
      <c r="BX2998" s="379"/>
      <c r="BY2998" s="379"/>
      <c r="BZ2998" s="379"/>
      <c r="CA2998" s="270"/>
      <c r="CB2998" s="3" t="str">
        <f t="shared" si="542"/>
        <v>Riadok bude skrytý.</v>
      </c>
      <c r="CC2998" s="271" t="s">
        <v>832</v>
      </c>
      <c r="CW2998" s="30">
        <f t="shared" si="539"/>
        <v>1</v>
      </c>
      <c r="CX2998" s="30">
        <f t="shared" si="541"/>
        <v>0</v>
      </c>
      <c r="CZ2998" s="30">
        <f t="shared" si="533"/>
        <v>1</v>
      </c>
      <c r="DA2998" s="52">
        <f t="shared" si="540"/>
        <v>0</v>
      </c>
      <c r="DB2998" s="2">
        <f t="shared" ref="DB2998:DB3015" si="543">+IF($CD$1="malé",0,DA2998)</f>
        <v>0</v>
      </c>
      <c r="DS2998" s="130">
        <f>SI!BY2998</f>
        <v>130</v>
      </c>
      <c r="DZ2998" s="131">
        <f>SI!BZ2998</f>
        <v>0</v>
      </c>
    </row>
    <row r="2999" spans="1:130" ht="14.95" hidden="1" customHeight="1" x14ac:dyDescent="0.25">
      <c r="A2999" s="141"/>
      <c r="B2999" s="379"/>
      <c r="C2999" s="379"/>
      <c r="D2999" s="379"/>
      <c r="E2999" s="379"/>
      <c r="F2999" s="379"/>
      <c r="G2999" s="379"/>
      <c r="H2999" s="379"/>
      <c r="I2999" s="379"/>
      <c r="J2999" s="379"/>
      <c r="K2999" s="379"/>
      <c r="L2999" s="379"/>
      <c r="M2999" s="379"/>
      <c r="N2999" s="379"/>
      <c r="O2999" s="379"/>
      <c r="P2999" s="379"/>
      <c r="Q2999" s="379"/>
      <c r="R2999" s="379"/>
      <c r="S2999" s="379"/>
      <c r="T2999" s="379"/>
      <c r="U2999" s="379"/>
      <c r="V2999" s="379"/>
      <c r="W2999" s="379"/>
      <c r="X2999" s="379"/>
      <c r="Y2999" s="379"/>
      <c r="Z2999" s="379"/>
      <c r="AA2999" s="379"/>
      <c r="AB2999" s="379"/>
      <c r="AC2999" s="379"/>
      <c r="AD2999" s="379"/>
      <c r="AE2999" s="379"/>
      <c r="AF2999" s="379"/>
      <c r="AG2999" s="379"/>
      <c r="AH2999" s="379"/>
      <c r="AI2999" s="379"/>
      <c r="AJ2999" s="379"/>
      <c r="AK2999" s="379"/>
      <c r="AL2999" s="379"/>
      <c r="AM2999" s="379"/>
      <c r="AN2999" s="379"/>
      <c r="AO2999" s="379"/>
      <c r="AP2999" s="379"/>
      <c r="AQ2999" s="379"/>
      <c r="AR2999" s="379"/>
      <c r="AS2999" s="379"/>
      <c r="AT2999" s="379"/>
      <c r="AU2999" s="379"/>
      <c r="AV2999" s="379"/>
      <c r="AW2999" s="379"/>
      <c r="AX2999" s="379"/>
      <c r="AY2999" s="379"/>
      <c r="AZ2999" s="379"/>
      <c r="BA2999" s="379"/>
      <c r="BB2999" s="379"/>
      <c r="BC2999" s="379"/>
      <c r="BD2999" s="379"/>
      <c r="BE2999" s="379"/>
      <c r="BF2999" s="379"/>
      <c r="BG2999" s="379"/>
      <c r="BH2999" s="379"/>
      <c r="BI2999" s="379"/>
      <c r="BJ2999" s="379"/>
      <c r="BK2999" s="379"/>
      <c r="BL2999" s="379"/>
      <c r="BM2999" s="379"/>
      <c r="BN2999" s="379"/>
      <c r="BO2999" s="379"/>
      <c r="BP2999" s="379"/>
      <c r="BQ2999" s="379"/>
      <c r="BR2999" s="379"/>
      <c r="BS2999" s="379"/>
      <c r="BT2999" s="379"/>
      <c r="BU2999" s="379"/>
      <c r="BV2999" s="379"/>
      <c r="BW2999" s="379"/>
      <c r="BX2999" s="379"/>
      <c r="BY2999" s="379"/>
      <c r="BZ2999" s="379"/>
      <c r="CA2999" s="270"/>
      <c r="CB2999" s="3" t="str">
        <f t="shared" si="542"/>
        <v>Riadok bude skrytý.</v>
      </c>
      <c r="CC2999" s="271" t="s">
        <v>832</v>
      </c>
      <c r="CW2999" s="30">
        <f t="shared" si="539"/>
        <v>1</v>
      </c>
      <c r="CX2999" s="30">
        <f t="shared" si="541"/>
        <v>0</v>
      </c>
      <c r="CZ2999" s="30">
        <f t="shared" ref="CZ2999:CZ3062" si="544">IF(CC2999="",1,IF(CC2999="Chcem skryť riadok.",0,1))</f>
        <v>1</v>
      </c>
      <c r="DA2999" s="52">
        <f t="shared" si="540"/>
        <v>0</v>
      </c>
      <c r="DB2999" s="2">
        <f t="shared" si="543"/>
        <v>0</v>
      </c>
      <c r="DS2999" s="130">
        <f>SI!BY2999</f>
        <v>735</v>
      </c>
      <c r="DZ2999" s="131">
        <f>SI!BZ2999</f>
        <v>0</v>
      </c>
    </row>
    <row r="3000" spans="1:130" ht="14.95" hidden="1" customHeight="1" x14ac:dyDescent="0.25">
      <c r="A3000" s="141"/>
      <c r="B3000" s="379"/>
      <c r="C3000" s="379"/>
      <c r="D3000" s="379"/>
      <c r="E3000" s="379"/>
      <c r="F3000" s="379"/>
      <c r="G3000" s="379"/>
      <c r="H3000" s="379"/>
      <c r="I3000" s="379"/>
      <c r="J3000" s="379"/>
      <c r="K3000" s="379"/>
      <c r="L3000" s="379"/>
      <c r="M3000" s="379"/>
      <c r="N3000" s="379"/>
      <c r="O3000" s="379"/>
      <c r="P3000" s="379"/>
      <c r="Q3000" s="379"/>
      <c r="R3000" s="379"/>
      <c r="S3000" s="379"/>
      <c r="T3000" s="379"/>
      <c r="U3000" s="379"/>
      <c r="V3000" s="379"/>
      <c r="W3000" s="379"/>
      <c r="X3000" s="379"/>
      <c r="Y3000" s="379"/>
      <c r="Z3000" s="379"/>
      <c r="AA3000" s="379"/>
      <c r="AB3000" s="379"/>
      <c r="AC3000" s="379"/>
      <c r="AD3000" s="379"/>
      <c r="AE3000" s="379"/>
      <c r="AF3000" s="379"/>
      <c r="AG3000" s="379"/>
      <c r="AH3000" s="379"/>
      <c r="AI3000" s="379"/>
      <c r="AJ3000" s="379"/>
      <c r="AK3000" s="379"/>
      <c r="AL3000" s="379"/>
      <c r="AM3000" s="379"/>
      <c r="AN3000" s="379"/>
      <c r="AO3000" s="379"/>
      <c r="AP3000" s="379"/>
      <c r="AQ3000" s="379"/>
      <c r="AR3000" s="379"/>
      <c r="AS3000" s="379"/>
      <c r="AT3000" s="379"/>
      <c r="AU3000" s="379"/>
      <c r="AV3000" s="379"/>
      <c r="AW3000" s="379"/>
      <c r="AX3000" s="379"/>
      <c r="AY3000" s="379"/>
      <c r="AZ3000" s="379"/>
      <c r="BA3000" s="379"/>
      <c r="BB3000" s="379"/>
      <c r="BC3000" s="379"/>
      <c r="BD3000" s="379"/>
      <c r="BE3000" s="379"/>
      <c r="BF3000" s="379"/>
      <c r="BG3000" s="379"/>
      <c r="BH3000" s="379"/>
      <c r="BI3000" s="379"/>
      <c r="BJ3000" s="379"/>
      <c r="BK3000" s="379"/>
      <c r="BL3000" s="379"/>
      <c r="BM3000" s="379"/>
      <c r="BN3000" s="379"/>
      <c r="BO3000" s="379"/>
      <c r="BP3000" s="379"/>
      <c r="BQ3000" s="379"/>
      <c r="BR3000" s="379"/>
      <c r="BS3000" s="379"/>
      <c r="BT3000" s="379"/>
      <c r="BU3000" s="379"/>
      <c r="BV3000" s="379"/>
      <c r="BW3000" s="379"/>
      <c r="BX3000" s="379"/>
      <c r="BY3000" s="379"/>
      <c r="BZ3000" s="379"/>
      <c r="CA3000" s="270"/>
      <c r="CB3000" s="3" t="str">
        <f t="shared" si="542"/>
        <v>Riadok bude skrytý.</v>
      </c>
      <c r="CC3000" s="271" t="s">
        <v>832</v>
      </c>
      <c r="CW3000" s="30">
        <f t="shared" si="539"/>
        <v>1</v>
      </c>
      <c r="CX3000" s="30">
        <f t="shared" si="541"/>
        <v>0</v>
      </c>
      <c r="CZ3000" s="30">
        <f t="shared" si="544"/>
        <v>1</v>
      </c>
      <c r="DA3000" s="52">
        <f t="shared" si="540"/>
        <v>0</v>
      </c>
      <c r="DB3000" s="2">
        <f t="shared" si="543"/>
        <v>0</v>
      </c>
      <c r="DS3000" s="130">
        <f>SI!BY3000</f>
        <v>199</v>
      </c>
      <c r="DZ3000" s="131">
        <f>SI!BZ3000</f>
        <v>0</v>
      </c>
    </row>
    <row r="3001" spans="1:130" ht="14.95" hidden="1" customHeight="1" x14ac:dyDescent="0.25">
      <c r="A3001" s="141"/>
      <c r="B3001" s="379"/>
      <c r="C3001" s="379"/>
      <c r="D3001" s="379"/>
      <c r="E3001" s="379"/>
      <c r="F3001" s="379"/>
      <c r="G3001" s="379"/>
      <c r="H3001" s="379"/>
      <c r="I3001" s="379"/>
      <c r="J3001" s="379"/>
      <c r="K3001" s="379"/>
      <c r="L3001" s="379"/>
      <c r="M3001" s="379"/>
      <c r="N3001" s="379"/>
      <c r="O3001" s="379"/>
      <c r="P3001" s="379"/>
      <c r="Q3001" s="379"/>
      <c r="R3001" s="379"/>
      <c r="S3001" s="379"/>
      <c r="T3001" s="379"/>
      <c r="U3001" s="379"/>
      <c r="V3001" s="379"/>
      <c r="W3001" s="379"/>
      <c r="X3001" s="379"/>
      <c r="Y3001" s="379"/>
      <c r="Z3001" s="379"/>
      <c r="AA3001" s="379"/>
      <c r="AB3001" s="379"/>
      <c r="AC3001" s="379"/>
      <c r="AD3001" s="379"/>
      <c r="AE3001" s="379"/>
      <c r="AF3001" s="379"/>
      <c r="AG3001" s="379"/>
      <c r="AH3001" s="379"/>
      <c r="AI3001" s="379"/>
      <c r="AJ3001" s="379"/>
      <c r="AK3001" s="379"/>
      <c r="AL3001" s="379"/>
      <c r="AM3001" s="379"/>
      <c r="AN3001" s="379"/>
      <c r="AO3001" s="379"/>
      <c r="AP3001" s="379"/>
      <c r="AQ3001" s="379"/>
      <c r="AR3001" s="379"/>
      <c r="AS3001" s="379"/>
      <c r="AT3001" s="379"/>
      <c r="AU3001" s="379"/>
      <c r="AV3001" s="379"/>
      <c r="AW3001" s="379"/>
      <c r="AX3001" s="379"/>
      <c r="AY3001" s="379"/>
      <c r="AZ3001" s="379"/>
      <c r="BA3001" s="379"/>
      <c r="BB3001" s="379"/>
      <c r="BC3001" s="379"/>
      <c r="BD3001" s="379"/>
      <c r="BE3001" s="379"/>
      <c r="BF3001" s="379"/>
      <c r="BG3001" s="379"/>
      <c r="BH3001" s="379"/>
      <c r="BI3001" s="379"/>
      <c r="BJ3001" s="379"/>
      <c r="BK3001" s="379"/>
      <c r="BL3001" s="379"/>
      <c r="BM3001" s="379"/>
      <c r="BN3001" s="379"/>
      <c r="BO3001" s="379"/>
      <c r="BP3001" s="379"/>
      <c r="BQ3001" s="379"/>
      <c r="BR3001" s="379"/>
      <c r="BS3001" s="379"/>
      <c r="BT3001" s="379"/>
      <c r="BU3001" s="379"/>
      <c r="BV3001" s="379"/>
      <c r="BW3001" s="379"/>
      <c r="BX3001" s="379"/>
      <c r="BY3001" s="379"/>
      <c r="BZ3001" s="379"/>
      <c r="CA3001" s="270"/>
      <c r="CB3001" s="3" t="str">
        <f t="shared" si="542"/>
        <v>Riadok bude skrytý.</v>
      </c>
      <c r="CC3001" s="271" t="s">
        <v>832</v>
      </c>
      <c r="CW3001" s="30">
        <f t="shared" si="539"/>
        <v>1</v>
      </c>
      <c r="CX3001" s="30">
        <f t="shared" si="541"/>
        <v>0</v>
      </c>
      <c r="CZ3001" s="30">
        <f t="shared" si="544"/>
        <v>1</v>
      </c>
      <c r="DA3001" s="52">
        <f t="shared" si="540"/>
        <v>0</v>
      </c>
      <c r="DB3001" s="2">
        <f t="shared" si="543"/>
        <v>0</v>
      </c>
      <c r="DS3001" s="130">
        <f>SI!BY3001</f>
        <v>531</v>
      </c>
      <c r="DZ3001" s="131">
        <f>SI!BZ3001</f>
        <v>0</v>
      </c>
    </row>
    <row r="3002" spans="1:130" ht="14.95" hidden="1" customHeight="1" x14ac:dyDescent="0.25">
      <c r="A3002" s="141"/>
      <c r="B3002" s="379"/>
      <c r="C3002" s="379"/>
      <c r="D3002" s="379"/>
      <c r="E3002" s="379"/>
      <c r="F3002" s="379"/>
      <c r="G3002" s="379"/>
      <c r="H3002" s="379"/>
      <c r="I3002" s="379"/>
      <c r="J3002" s="379"/>
      <c r="K3002" s="379"/>
      <c r="L3002" s="379"/>
      <c r="M3002" s="379"/>
      <c r="N3002" s="379"/>
      <c r="O3002" s="379"/>
      <c r="P3002" s="379"/>
      <c r="Q3002" s="379"/>
      <c r="R3002" s="379"/>
      <c r="S3002" s="379"/>
      <c r="T3002" s="379"/>
      <c r="U3002" s="379"/>
      <c r="V3002" s="379"/>
      <c r="W3002" s="379"/>
      <c r="X3002" s="379"/>
      <c r="Y3002" s="379"/>
      <c r="Z3002" s="379"/>
      <c r="AA3002" s="379"/>
      <c r="AB3002" s="379"/>
      <c r="AC3002" s="379"/>
      <c r="AD3002" s="379"/>
      <c r="AE3002" s="379"/>
      <c r="AF3002" s="379"/>
      <c r="AG3002" s="379"/>
      <c r="AH3002" s="379"/>
      <c r="AI3002" s="379"/>
      <c r="AJ3002" s="379"/>
      <c r="AK3002" s="379"/>
      <c r="AL3002" s="379"/>
      <c r="AM3002" s="379"/>
      <c r="AN3002" s="379"/>
      <c r="AO3002" s="379"/>
      <c r="AP3002" s="379"/>
      <c r="AQ3002" s="379"/>
      <c r="AR3002" s="379"/>
      <c r="AS3002" s="379"/>
      <c r="AT3002" s="379"/>
      <c r="AU3002" s="379"/>
      <c r="AV3002" s="379"/>
      <c r="AW3002" s="379"/>
      <c r="AX3002" s="379"/>
      <c r="AY3002" s="379"/>
      <c r="AZ3002" s="379"/>
      <c r="BA3002" s="379"/>
      <c r="BB3002" s="379"/>
      <c r="BC3002" s="379"/>
      <c r="BD3002" s="379"/>
      <c r="BE3002" s="379"/>
      <c r="BF3002" s="379"/>
      <c r="BG3002" s="379"/>
      <c r="BH3002" s="379"/>
      <c r="BI3002" s="379"/>
      <c r="BJ3002" s="379"/>
      <c r="BK3002" s="379"/>
      <c r="BL3002" s="379"/>
      <c r="BM3002" s="379"/>
      <c r="BN3002" s="379"/>
      <c r="BO3002" s="379"/>
      <c r="BP3002" s="379"/>
      <c r="BQ3002" s="379"/>
      <c r="BR3002" s="379"/>
      <c r="BS3002" s="379"/>
      <c r="BT3002" s="379"/>
      <c r="BU3002" s="379"/>
      <c r="BV3002" s="379"/>
      <c r="BW3002" s="379"/>
      <c r="BX3002" s="379"/>
      <c r="BY3002" s="379"/>
      <c r="BZ3002" s="379"/>
      <c r="CA3002" s="270"/>
      <c r="CB3002" s="3" t="str">
        <f t="shared" si="542"/>
        <v>Riadok bude skrytý.</v>
      </c>
      <c r="CC3002" s="271" t="s">
        <v>832</v>
      </c>
      <c r="CW3002" s="30">
        <f t="shared" si="539"/>
        <v>1</v>
      </c>
      <c r="CX3002" s="30">
        <f t="shared" si="541"/>
        <v>0</v>
      </c>
      <c r="CZ3002" s="30">
        <f t="shared" si="544"/>
        <v>1</v>
      </c>
      <c r="DA3002" s="52">
        <f t="shared" si="540"/>
        <v>0</v>
      </c>
      <c r="DB3002" s="2">
        <f t="shared" si="543"/>
        <v>0</v>
      </c>
      <c r="DS3002" s="130">
        <f>SI!BY3002</f>
        <v>105</v>
      </c>
      <c r="DZ3002" s="131">
        <f>SI!BZ3002</f>
        <v>0</v>
      </c>
    </row>
    <row r="3003" spans="1:130" ht="14.95" hidden="1" customHeight="1" x14ac:dyDescent="0.25">
      <c r="A3003" s="141"/>
      <c r="B3003" s="379"/>
      <c r="C3003" s="379"/>
      <c r="D3003" s="379"/>
      <c r="E3003" s="379"/>
      <c r="F3003" s="379"/>
      <c r="G3003" s="379"/>
      <c r="H3003" s="379"/>
      <c r="I3003" s="379"/>
      <c r="J3003" s="379"/>
      <c r="K3003" s="379"/>
      <c r="L3003" s="379"/>
      <c r="M3003" s="379"/>
      <c r="N3003" s="379"/>
      <c r="O3003" s="379"/>
      <c r="P3003" s="379"/>
      <c r="Q3003" s="379"/>
      <c r="R3003" s="379"/>
      <c r="S3003" s="379"/>
      <c r="T3003" s="379"/>
      <c r="U3003" s="379"/>
      <c r="V3003" s="379"/>
      <c r="W3003" s="379"/>
      <c r="X3003" s="379"/>
      <c r="Y3003" s="379"/>
      <c r="Z3003" s="379"/>
      <c r="AA3003" s="379"/>
      <c r="AB3003" s="379"/>
      <c r="AC3003" s="379"/>
      <c r="AD3003" s="379"/>
      <c r="AE3003" s="379"/>
      <c r="AF3003" s="379"/>
      <c r="AG3003" s="379"/>
      <c r="AH3003" s="379"/>
      <c r="AI3003" s="379"/>
      <c r="AJ3003" s="379"/>
      <c r="AK3003" s="379"/>
      <c r="AL3003" s="379"/>
      <c r="AM3003" s="379"/>
      <c r="AN3003" s="379"/>
      <c r="AO3003" s="379"/>
      <c r="AP3003" s="379"/>
      <c r="AQ3003" s="379"/>
      <c r="AR3003" s="379"/>
      <c r="AS3003" s="379"/>
      <c r="AT3003" s="379"/>
      <c r="AU3003" s="379"/>
      <c r="AV3003" s="379"/>
      <c r="AW3003" s="379"/>
      <c r="AX3003" s="379"/>
      <c r="AY3003" s="379"/>
      <c r="AZ3003" s="379"/>
      <c r="BA3003" s="379"/>
      <c r="BB3003" s="379"/>
      <c r="BC3003" s="379"/>
      <c r="BD3003" s="379"/>
      <c r="BE3003" s="379"/>
      <c r="BF3003" s="379"/>
      <c r="BG3003" s="379"/>
      <c r="BH3003" s="379"/>
      <c r="BI3003" s="379"/>
      <c r="BJ3003" s="379"/>
      <c r="BK3003" s="379"/>
      <c r="BL3003" s="379"/>
      <c r="BM3003" s="379"/>
      <c r="BN3003" s="379"/>
      <c r="BO3003" s="379"/>
      <c r="BP3003" s="379"/>
      <c r="BQ3003" s="379"/>
      <c r="BR3003" s="379"/>
      <c r="BS3003" s="379"/>
      <c r="BT3003" s="379"/>
      <c r="BU3003" s="379"/>
      <c r="BV3003" s="379"/>
      <c r="BW3003" s="379"/>
      <c r="BX3003" s="379"/>
      <c r="BY3003" s="379"/>
      <c r="BZ3003" s="379"/>
      <c r="CA3003" s="270"/>
      <c r="CB3003" s="3" t="str">
        <f t="shared" si="542"/>
        <v>Riadok bude skrytý.</v>
      </c>
      <c r="CC3003" s="271" t="s">
        <v>832</v>
      </c>
      <c r="CW3003" s="30">
        <f t="shared" si="539"/>
        <v>1</v>
      </c>
      <c r="CX3003" s="30">
        <f t="shared" si="541"/>
        <v>0</v>
      </c>
      <c r="CZ3003" s="30">
        <f t="shared" si="544"/>
        <v>1</v>
      </c>
      <c r="DA3003" s="52">
        <f t="shared" si="540"/>
        <v>0</v>
      </c>
      <c r="DB3003" s="2">
        <f t="shared" si="543"/>
        <v>0</v>
      </c>
      <c r="DS3003" s="130">
        <f>SI!BY3003</f>
        <v>1068</v>
      </c>
      <c r="DZ3003" s="131">
        <f>SI!BZ3003</f>
        <v>0</v>
      </c>
    </row>
    <row r="3004" spans="1:130" ht="14.95" hidden="1" customHeight="1" x14ac:dyDescent="0.25">
      <c r="A3004" s="141"/>
      <c r="B3004" s="379"/>
      <c r="C3004" s="379"/>
      <c r="D3004" s="379"/>
      <c r="E3004" s="379"/>
      <c r="F3004" s="379"/>
      <c r="G3004" s="379"/>
      <c r="H3004" s="379"/>
      <c r="I3004" s="379"/>
      <c r="J3004" s="379"/>
      <c r="K3004" s="379"/>
      <c r="L3004" s="379"/>
      <c r="M3004" s="379"/>
      <c r="N3004" s="379"/>
      <c r="O3004" s="379"/>
      <c r="P3004" s="379"/>
      <c r="Q3004" s="379"/>
      <c r="R3004" s="379"/>
      <c r="S3004" s="379"/>
      <c r="T3004" s="379"/>
      <c r="U3004" s="379"/>
      <c r="V3004" s="379"/>
      <c r="W3004" s="379"/>
      <c r="X3004" s="379"/>
      <c r="Y3004" s="379"/>
      <c r="Z3004" s="379"/>
      <c r="AA3004" s="379"/>
      <c r="AB3004" s="379"/>
      <c r="AC3004" s="379"/>
      <c r="AD3004" s="379"/>
      <c r="AE3004" s="379"/>
      <c r="AF3004" s="379"/>
      <c r="AG3004" s="379"/>
      <c r="AH3004" s="379"/>
      <c r="AI3004" s="379"/>
      <c r="AJ3004" s="379"/>
      <c r="AK3004" s="379"/>
      <c r="AL3004" s="379"/>
      <c r="AM3004" s="379"/>
      <c r="AN3004" s="379"/>
      <c r="AO3004" s="379"/>
      <c r="AP3004" s="379"/>
      <c r="AQ3004" s="379"/>
      <c r="AR3004" s="379"/>
      <c r="AS3004" s="379"/>
      <c r="AT3004" s="379"/>
      <c r="AU3004" s="379"/>
      <c r="AV3004" s="379"/>
      <c r="AW3004" s="379"/>
      <c r="AX3004" s="379"/>
      <c r="AY3004" s="379"/>
      <c r="AZ3004" s="379"/>
      <c r="BA3004" s="379"/>
      <c r="BB3004" s="379"/>
      <c r="BC3004" s="379"/>
      <c r="BD3004" s="379"/>
      <c r="BE3004" s="379"/>
      <c r="BF3004" s="379"/>
      <c r="BG3004" s="379"/>
      <c r="BH3004" s="379"/>
      <c r="BI3004" s="379"/>
      <c r="BJ3004" s="379"/>
      <c r="BK3004" s="379"/>
      <c r="BL3004" s="379"/>
      <c r="BM3004" s="379"/>
      <c r="BN3004" s="379"/>
      <c r="BO3004" s="379"/>
      <c r="BP3004" s="379"/>
      <c r="BQ3004" s="379"/>
      <c r="BR3004" s="379"/>
      <c r="BS3004" s="379"/>
      <c r="BT3004" s="379"/>
      <c r="BU3004" s="379"/>
      <c r="BV3004" s="379"/>
      <c r="BW3004" s="379"/>
      <c r="BX3004" s="379"/>
      <c r="BY3004" s="379"/>
      <c r="BZ3004" s="379"/>
      <c r="CA3004" s="270"/>
      <c r="CB3004" s="3" t="str">
        <f t="shared" si="542"/>
        <v>Riadok bude skrytý.</v>
      </c>
      <c r="CC3004" s="271" t="s">
        <v>832</v>
      </c>
      <c r="CW3004" s="30">
        <f t="shared" si="539"/>
        <v>1</v>
      </c>
      <c r="CX3004" s="30">
        <f t="shared" si="541"/>
        <v>0</v>
      </c>
      <c r="CZ3004" s="30">
        <f t="shared" si="544"/>
        <v>1</v>
      </c>
      <c r="DA3004" s="52">
        <f t="shared" si="540"/>
        <v>0</v>
      </c>
      <c r="DB3004" s="2">
        <f t="shared" si="543"/>
        <v>0</v>
      </c>
      <c r="DS3004" s="130">
        <f>SI!BY3004</f>
        <v>161</v>
      </c>
      <c r="DZ3004" s="131">
        <f>SI!BZ3004</f>
        <v>0</v>
      </c>
    </row>
    <row r="3005" spans="1:130" ht="14.95" hidden="1" customHeight="1" x14ac:dyDescent="0.25">
      <c r="A3005" s="141"/>
      <c r="B3005" s="379"/>
      <c r="C3005" s="379"/>
      <c r="D3005" s="379"/>
      <c r="E3005" s="379"/>
      <c r="F3005" s="379"/>
      <c r="G3005" s="379"/>
      <c r="H3005" s="379"/>
      <c r="I3005" s="379"/>
      <c r="J3005" s="379"/>
      <c r="K3005" s="379"/>
      <c r="L3005" s="379"/>
      <c r="M3005" s="379"/>
      <c r="N3005" s="379"/>
      <c r="O3005" s="379"/>
      <c r="P3005" s="379"/>
      <c r="Q3005" s="379"/>
      <c r="R3005" s="379"/>
      <c r="S3005" s="379"/>
      <c r="T3005" s="379"/>
      <c r="U3005" s="379"/>
      <c r="V3005" s="379"/>
      <c r="W3005" s="379"/>
      <c r="X3005" s="379"/>
      <c r="Y3005" s="379"/>
      <c r="Z3005" s="379"/>
      <c r="AA3005" s="379"/>
      <c r="AB3005" s="379"/>
      <c r="AC3005" s="379"/>
      <c r="AD3005" s="379"/>
      <c r="AE3005" s="379"/>
      <c r="AF3005" s="379"/>
      <c r="AG3005" s="379"/>
      <c r="AH3005" s="379"/>
      <c r="AI3005" s="379"/>
      <c r="AJ3005" s="379"/>
      <c r="AK3005" s="379"/>
      <c r="AL3005" s="379"/>
      <c r="AM3005" s="379"/>
      <c r="AN3005" s="379"/>
      <c r="AO3005" s="379"/>
      <c r="AP3005" s="379"/>
      <c r="AQ3005" s="379"/>
      <c r="AR3005" s="379"/>
      <c r="AS3005" s="379"/>
      <c r="AT3005" s="379"/>
      <c r="AU3005" s="379"/>
      <c r="AV3005" s="379"/>
      <c r="AW3005" s="379"/>
      <c r="AX3005" s="379"/>
      <c r="AY3005" s="379"/>
      <c r="AZ3005" s="379"/>
      <c r="BA3005" s="379"/>
      <c r="BB3005" s="379"/>
      <c r="BC3005" s="379"/>
      <c r="BD3005" s="379"/>
      <c r="BE3005" s="379"/>
      <c r="BF3005" s="379"/>
      <c r="BG3005" s="379"/>
      <c r="BH3005" s="379"/>
      <c r="BI3005" s="379"/>
      <c r="BJ3005" s="379"/>
      <c r="BK3005" s="379"/>
      <c r="BL3005" s="379"/>
      <c r="BM3005" s="379"/>
      <c r="BN3005" s="379"/>
      <c r="BO3005" s="379"/>
      <c r="BP3005" s="379"/>
      <c r="BQ3005" s="379"/>
      <c r="BR3005" s="379"/>
      <c r="BS3005" s="379"/>
      <c r="BT3005" s="379"/>
      <c r="BU3005" s="379"/>
      <c r="BV3005" s="379"/>
      <c r="BW3005" s="379"/>
      <c r="BX3005" s="379"/>
      <c r="BY3005" s="379"/>
      <c r="BZ3005" s="379"/>
      <c r="CA3005" s="270"/>
      <c r="CB3005" s="3" t="str">
        <f t="shared" si="542"/>
        <v>Riadok bude skrytý.</v>
      </c>
      <c r="CC3005" s="271" t="s">
        <v>832</v>
      </c>
      <c r="CW3005" s="30">
        <f t="shared" si="539"/>
        <v>1</v>
      </c>
      <c r="CX3005" s="30">
        <f t="shared" si="541"/>
        <v>0</v>
      </c>
      <c r="CZ3005" s="30">
        <f t="shared" si="544"/>
        <v>1</v>
      </c>
      <c r="DA3005" s="52">
        <f t="shared" si="540"/>
        <v>0</v>
      </c>
      <c r="DB3005" s="2">
        <f t="shared" si="543"/>
        <v>0</v>
      </c>
      <c r="DS3005" s="130">
        <f>SI!BY3005</f>
        <v>638</v>
      </c>
      <c r="DZ3005" s="131">
        <f>SI!BZ3005</f>
        <v>0</v>
      </c>
    </row>
    <row r="3006" spans="1:130" ht="14.95" hidden="1" customHeight="1" x14ac:dyDescent="0.25">
      <c r="A3006" s="141"/>
      <c r="B3006" s="379"/>
      <c r="C3006" s="379"/>
      <c r="D3006" s="379"/>
      <c r="E3006" s="379"/>
      <c r="F3006" s="379"/>
      <c r="G3006" s="379"/>
      <c r="H3006" s="379"/>
      <c r="I3006" s="379"/>
      <c r="J3006" s="379"/>
      <c r="K3006" s="379"/>
      <c r="L3006" s="379"/>
      <c r="M3006" s="379"/>
      <c r="N3006" s="379"/>
      <c r="O3006" s="379"/>
      <c r="P3006" s="379"/>
      <c r="Q3006" s="379"/>
      <c r="R3006" s="379"/>
      <c r="S3006" s="379"/>
      <c r="T3006" s="379"/>
      <c r="U3006" s="379"/>
      <c r="V3006" s="379"/>
      <c r="W3006" s="379"/>
      <c r="X3006" s="379"/>
      <c r="Y3006" s="379"/>
      <c r="Z3006" s="379"/>
      <c r="AA3006" s="379"/>
      <c r="AB3006" s="379"/>
      <c r="AC3006" s="379"/>
      <c r="AD3006" s="379"/>
      <c r="AE3006" s="379"/>
      <c r="AF3006" s="379"/>
      <c r="AG3006" s="379"/>
      <c r="AH3006" s="379"/>
      <c r="AI3006" s="379"/>
      <c r="AJ3006" s="379"/>
      <c r="AK3006" s="379"/>
      <c r="AL3006" s="379"/>
      <c r="AM3006" s="379"/>
      <c r="AN3006" s="379"/>
      <c r="AO3006" s="379"/>
      <c r="AP3006" s="379"/>
      <c r="AQ3006" s="379"/>
      <c r="AR3006" s="379"/>
      <c r="AS3006" s="379"/>
      <c r="AT3006" s="379"/>
      <c r="AU3006" s="379"/>
      <c r="AV3006" s="379"/>
      <c r="AW3006" s="379"/>
      <c r="AX3006" s="379"/>
      <c r="AY3006" s="379"/>
      <c r="AZ3006" s="379"/>
      <c r="BA3006" s="379"/>
      <c r="BB3006" s="379"/>
      <c r="BC3006" s="379"/>
      <c r="BD3006" s="379"/>
      <c r="BE3006" s="379"/>
      <c r="BF3006" s="379"/>
      <c r="BG3006" s="379"/>
      <c r="BH3006" s="379"/>
      <c r="BI3006" s="379"/>
      <c r="BJ3006" s="379"/>
      <c r="BK3006" s="379"/>
      <c r="BL3006" s="379"/>
      <c r="BM3006" s="379"/>
      <c r="BN3006" s="379"/>
      <c r="BO3006" s="379"/>
      <c r="BP3006" s="379"/>
      <c r="BQ3006" s="379"/>
      <c r="BR3006" s="379"/>
      <c r="BS3006" s="379"/>
      <c r="BT3006" s="379"/>
      <c r="BU3006" s="379"/>
      <c r="BV3006" s="379"/>
      <c r="BW3006" s="379"/>
      <c r="BX3006" s="379"/>
      <c r="BY3006" s="379"/>
      <c r="BZ3006" s="379"/>
      <c r="CA3006" s="270"/>
      <c r="CB3006" s="3" t="str">
        <f t="shared" si="542"/>
        <v>Riadok bude skrytý.</v>
      </c>
      <c r="CC3006" s="271" t="s">
        <v>832</v>
      </c>
      <c r="CW3006" s="30">
        <f t="shared" si="539"/>
        <v>1</v>
      </c>
      <c r="CX3006" s="30">
        <f t="shared" si="541"/>
        <v>0</v>
      </c>
      <c r="CZ3006" s="30">
        <f t="shared" si="544"/>
        <v>1</v>
      </c>
      <c r="DA3006" s="52">
        <f t="shared" si="540"/>
        <v>0</v>
      </c>
      <c r="DB3006" s="2">
        <f t="shared" si="543"/>
        <v>0</v>
      </c>
      <c r="DS3006" s="130">
        <f>SI!BY3006</f>
        <v>109</v>
      </c>
      <c r="DZ3006" s="131">
        <f>SI!BZ3006</f>
        <v>0</v>
      </c>
    </row>
    <row r="3007" spans="1:130" ht="14.95" hidden="1" customHeight="1" x14ac:dyDescent="0.25">
      <c r="A3007" s="141"/>
      <c r="B3007" s="379"/>
      <c r="C3007" s="379"/>
      <c r="D3007" s="379"/>
      <c r="E3007" s="379"/>
      <c r="F3007" s="379"/>
      <c r="G3007" s="379"/>
      <c r="H3007" s="379"/>
      <c r="I3007" s="379"/>
      <c r="J3007" s="379"/>
      <c r="K3007" s="379"/>
      <c r="L3007" s="379"/>
      <c r="M3007" s="379"/>
      <c r="N3007" s="379"/>
      <c r="O3007" s="379"/>
      <c r="P3007" s="379"/>
      <c r="Q3007" s="379"/>
      <c r="R3007" s="379"/>
      <c r="S3007" s="379"/>
      <c r="T3007" s="379"/>
      <c r="U3007" s="379"/>
      <c r="V3007" s="379"/>
      <c r="W3007" s="379"/>
      <c r="X3007" s="379"/>
      <c r="Y3007" s="379"/>
      <c r="Z3007" s="379"/>
      <c r="AA3007" s="379"/>
      <c r="AB3007" s="379"/>
      <c r="AC3007" s="379"/>
      <c r="AD3007" s="379"/>
      <c r="AE3007" s="379"/>
      <c r="AF3007" s="379"/>
      <c r="AG3007" s="379"/>
      <c r="AH3007" s="379"/>
      <c r="AI3007" s="379"/>
      <c r="AJ3007" s="379"/>
      <c r="AK3007" s="379"/>
      <c r="AL3007" s="379"/>
      <c r="AM3007" s="379"/>
      <c r="AN3007" s="379"/>
      <c r="AO3007" s="379"/>
      <c r="AP3007" s="379"/>
      <c r="AQ3007" s="379"/>
      <c r="AR3007" s="379"/>
      <c r="AS3007" s="379"/>
      <c r="AT3007" s="379"/>
      <c r="AU3007" s="379"/>
      <c r="AV3007" s="379"/>
      <c r="AW3007" s="379"/>
      <c r="AX3007" s="379"/>
      <c r="AY3007" s="379"/>
      <c r="AZ3007" s="379"/>
      <c r="BA3007" s="379"/>
      <c r="BB3007" s="379"/>
      <c r="BC3007" s="379"/>
      <c r="BD3007" s="379"/>
      <c r="BE3007" s="379"/>
      <c r="BF3007" s="379"/>
      <c r="BG3007" s="379"/>
      <c r="BH3007" s="379"/>
      <c r="BI3007" s="379"/>
      <c r="BJ3007" s="379"/>
      <c r="BK3007" s="379"/>
      <c r="BL3007" s="379"/>
      <c r="BM3007" s="379"/>
      <c r="BN3007" s="379"/>
      <c r="BO3007" s="379"/>
      <c r="BP3007" s="379"/>
      <c r="BQ3007" s="379"/>
      <c r="BR3007" s="379"/>
      <c r="BS3007" s="379"/>
      <c r="BT3007" s="379"/>
      <c r="BU3007" s="379"/>
      <c r="BV3007" s="379"/>
      <c r="BW3007" s="379"/>
      <c r="BX3007" s="379"/>
      <c r="BY3007" s="379"/>
      <c r="BZ3007" s="379"/>
      <c r="CA3007" s="270"/>
      <c r="CB3007" s="3" t="str">
        <f t="shared" si="542"/>
        <v>Riadok bude skrytý.</v>
      </c>
      <c r="CC3007" s="271" t="s">
        <v>832</v>
      </c>
      <c r="CW3007" s="30">
        <f t="shared" si="539"/>
        <v>1</v>
      </c>
      <c r="CX3007" s="30">
        <f t="shared" si="541"/>
        <v>0</v>
      </c>
      <c r="CZ3007" s="30">
        <f t="shared" si="544"/>
        <v>1</v>
      </c>
      <c r="DA3007" s="52">
        <f t="shared" si="540"/>
        <v>0</v>
      </c>
      <c r="DB3007" s="2">
        <f t="shared" si="543"/>
        <v>0</v>
      </c>
      <c r="DS3007" s="130">
        <f>SI!BY3007</f>
        <v>381</v>
      </c>
      <c r="DZ3007" s="131">
        <f>SI!BZ3007</f>
        <v>0</v>
      </c>
    </row>
    <row r="3008" spans="1:130" ht="14.95" hidden="1" customHeight="1" x14ac:dyDescent="0.25">
      <c r="A3008" s="141"/>
      <c r="B3008" s="379"/>
      <c r="C3008" s="379"/>
      <c r="D3008" s="379"/>
      <c r="E3008" s="379"/>
      <c r="F3008" s="379"/>
      <c r="G3008" s="379"/>
      <c r="H3008" s="379"/>
      <c r="I3008" s="379"/>
      <c r="J3008" s="379"/>
      <c r="K3008" s="379"/>
      <c r="L3008" s="379"/>
      <c r="M3008" s="379"/>
      <c r="N3008" s="379"/>
      <c r="O3008" s="379"/>
      <c r="P3008" s="379"/>
      <c r="Q3008" s="379"/>
      <c r="R3008" s="379"/>
      <c r="S3008" s="379"/>
      <c r="T3008" s="379"/>
      <c r="U3008" s="379"/>
      <c r="V3008" s="379"/>
      <c r="W3008" s="379"/>
      <c r="X3008" s="379"/>
      <c r="Y3008" s="379"/>
      <c r="Z3008" s="379"/>
      <c r="AA3008" s="379"/>
      <c r="AB3008" s="379"/>
      <c r="AC3008" s="379"/>
      <c r="AD3008" s="379"/>
      <c r="AE3008" s="379"/>
      <c r="AF3008" s="379"/>
      <c r="AG3008" s="379"/>
      <c r="AH3008" s="379"/>
      <c r="AI3008" s="379"/>
      <c r="AJ3008" s="379"/>
      <c r="AK3008" s="379"/>
      <c r="AL3008" s="379"/>
      <c r="AM3008" s="379"/>
      <c r="AN3008" s="379"/>
      <c r="AO3008" s="379"/>
      <c r="AP3008" s="379"/>
      <c r="AQ3008" s="379"/>
      <c r="AR3008" s="379"/>
      <c r="AS3008" s="379"/>
      <c r="AT3008" s="379"/>
      <c r="AU3008" s="379"/>
      <c r="AV3008" s="379"/>
      <c r="AW3008" s="379"/>
      <c r="AX3008" s="379"/>
      <c r="AY3008" s="379"/>
      <c r="AZ3008" s="379"/>
      <c r="BA3008" s="379"/>
      <c r="BB3008" s="379"/>
      <c r="BC3008" s="379"/>
      <c r="BD3008" s="379"/>
      <c r="BE3008" s="379"/>
      <c r="BF3008" s="379"/>
      <c r="BG3008" s="379"/>
      <c r="BH3008" s="379"/>
      <c r="BI3008" s="379"/>
      <c r="BJ3008" s="379"/>
      <c r="BK3008" s="379"/>
      <c r="BL3008" s="379"/>
      <c r="BM3008" s="379"/>
      <c r="BN3008" s="379"/>
      <c r="BO3008" s="379"/>
      <c r="BP3008" s="379"/>
      <c r="BQ3008" s="379"/>
      <c r="BR3008" s="379"/>
      <c r="BS3008" s="379"/>
      <c r="BT3008" s="379"/>
      <c r="BU3008" s="379"/>
      <c r="BV3008" s="379"/>
      <c r="BW3008" s="379"/>
      <c r="BX3008" s="379"/>
      <c r="BY3008" s="379"/>
      <c r="BZ3008" s="379"/>
      <c r="CA3008" s="270"/>
      <c r="CB3008" s="3" t="str">
        <f t="shared" si="542"/>
        <v>Riadok bude skrytý.</v>
      </c>
      <c r="CC3008" s="271" t="s">
        <v>832</v>
      </c>
      <c r="CW3008" s="30">
        <f t="shared" si="539"/>
        <v>1</v>
      </c>
      <c r="CX3008" s="30">
        <f t="shared" si="541"/>
        <v>0</v>
      </c>
      <c r="CZ3008" s="30">
        <f t="shared" si="544"/>
        <v>1</v>
      </c>
      <c r="DA3008" s="52">
        <f t="shared" si="540"/>
        <v>0</v>
      </c>
      <c r="DB3008" s="2">
        <f t="shared" si="543"/>
        <v>0</v>
      </c>
      <c r="DS3008" s="130">
        <f>SI!BY3008</f>
        <v>187</v>
      </c>
      <c r="DZ3008" s="131">
        <f>SI!BZ3008</f>
        <v>0</v>
      </c>
    </row>
    <row r="3009" spans="1:130" ht="14.95" hidden="1" customHeight="1" x14ac:dyDescent="0.25">
      <c r="A3009" s="141"/>
      <c r="B3009" s="379"/>
      <c r="C3009" s="379"/>
      <c r="D3009" s="379"/>
      <c r="E3009" s="379"/>
      <c r="F3009" s="379"/>
      <c r="G3009" s="379"/>
      <c r="H3009" s="379"/>
      <c r="I3009" s="379"/>
      <c r="J3009" s="379"/>
      <c r="K3009" s="379"/>
      <c r="L3009" s="379"/>
      <c r="M3009" s="379"/>
      <c r="N3009" s="379"/>
      <c r="O3009" s="379"/>
      <c r="P3009" s="379"/>
      <c r="Q3009" s="379"/>
      <c r="R3009" s="379"/>
      <c r="S3009" s="379"/>
      <c r="T3009" s="379"/>
      <c r="U3009" s="379"/>
      <c r="V3009" s="379"/>
      <c r="W3009" s="379"/>
      <c r="X3009" s="379"/>
      <c r="Y3009" s="379"/>
      <c r="Z3009" s="379"/>
      <c r="AA3009" s="379"/>
      <c r="AB3009" s="379"/>
      <c r="AC3009" s="379"/>
      <c r="AD3009" s="379"/>
      <c r="AE3009" s="379"/>
      <c r="AF3009" s="379"/>
      <c r="AG3009" s="379"/>
      <c r="AH3009" s="379"/>
      <c r="AI3009" s="379"/>
      <c r="AJ3009" s="379"/>
      <c r="AK3009" s="379"/>
      <c r="AL3009" s="379"/>
      <c r="AM3009" s="379"/>
      <c r="AN3009" s="379"/>
      <c r="AO3009" s="379"/>
      <c r="AP3009" s="379"/>
      <c r="AQ3009" s="379"/>
      <c r="AR3009" s="379"/>
      <c r="AS3009" s="379"/>
      <c r="AT3009" s="379"/>
      <c r="AU3009" s="379"/>
      <c r="AV3009" s="379"/>
      <c r="AW3009" s="379"/>
      <c r="AX3009" s="379"/>
      <c r="AY3009" s="379"/>
      <c r="AZ3009" s="379"/>
      <c r="BA3009" s="379"/>
      <c r="BB3009" s="379"/>
      <c r="BC3009" s="379"/>
      <c r="BD3009" s="379"/>
      <c r="BE3009" s="379"/>
      <c r="BF3009" s="379"/>
      <c r="BG3009" s="379"/>
      <c r="BH3009" s="379"/>
      <c r="BI3009" s="379"/>
      <c r="BJ3009" s="379"/>
      <c r="BK3009" s="379"/>
      <c r="BL3009" s="379"/>
      <c r="BM3009" s="379"/>
      <c r="BN3009" s="379"/>
      <c r="BO3009" s="379"/>
      <c r="BP3009" s="379"/>
      <c r="BQ3009" s="379"/>
      <c r="BR3009" s="379"/>
      <c r="BS3009" s="379"/>
      <c r="BT3009" s="379"/>
      <c r="BU3009" s="379"/>
      <c r="BV3009" s="379"/>
      <c r="BW3009" s="379"/>
      <c r="BX3009" s="379"/>
      <c r="BY3009" s="379"/>
      <c r="BZ3009" s="379"/>
      <c r="CA3009" s="270"/>
      <c r="CB3009" s="3" t="str">
        <f t="shared" si="542"/>
        <v>Riadok bude skrytý.</v>
      </c>
      <c r="CC3009" s="271" t="s">
        <v>832</v>
      </c>
      <c r="CW3009" s="30">
        <f t="shared" si="539"/>
        <v>1</v>
      </c>
      <c r="CX3009" s="30">
        <f t="shared" si="541"/>
        <v>0</v>
      </c>
      <c r="CZ3009" s="30">
        <f t="shared" si="544"/>
        <v>1</v>
      </c>
      <c r="DA3009" s="52">
        <f t="shared" si="540"/>
        <v>0</v>
      </c>
      <c r="DB3009" s="2">
        <f t="shared" si="543"/>
        <v>0</v>
      </c>
      <c r="DS3009" s="130">
        <f>SI!BY3009</f>
        <v>707</v>
      </c>
      <c r="DZ3009" s="131">
        <f>SI!BZ3009</f>
        <v>0</v>
      </c>
    </row>
    <row r="3010" spans="1:130" ht="14.95" hidden="1" customHeight="1" x14ac:dyDescent="0.25">
      <c r="A3010" s="141"/>
      <c r="B3010" s="379"/>
      <c r="C3010" s="379"/>
      <c r="D3010" s="379"/>
      <c r="E3010" s="379"/>
      <c r="F3010" s="379"/>
      <c r="G3010" s="379"/>
      <c r="H3010" s="379"/>
      <c r="I3010" s="379"/>
      <c r="J3010" s="379"/>
      <c r="K3010" s="379"/>
      <c r="L3010" s="379"/>
      <c r="M3010" s="379"/>
      <c r="N3010" s="379"/>
      <c r="O3010" s="379"/>
      <c r="P3010" s="379"/>
      <c r="Q3010" s="379"/>
      <c r="R3010" s="379"/>
      <c r="S3010" s="379"/>
      <c r="T3010" s="379"/>
      <c r="U3010" s="379"/>
      <c r="V3010" s="379"/>
      <c r="W3010" s="379"/>
      <c r="X3010" s="379"/>
      <c r="Y3010" s="379"/>
      <c r="Z3010" s="379"/>
      <c r="AA3010" s="379"/>
      <c r="AB3010" s="379"/>
      <c r="AC3010" s="379"/>
      <c r="AD3010" s="379"/>
      <c r="AE3010" s="379"/>
      <c r="AF3010" s="379"/>
      <c r="AG3010" s="379"/>
      <c r="AH3010" s="379"/>
      <c r="AI3010" s="379"/>
      <c r="AJ3010" s="379"/>
      <c r="AK3010" s="379"/>
      <c r="AL3010" s="379"/>
      <c r="AM3010" s="379"/>
      <c r="AN3010" s="379"/>
      <c r="AO3010" s="379"/>
      <c r="AP3010" s="379"/>
      <c r="AQ3010" s="379"/>
      <c r="AR3010" s="379"/>
      <c r="AS3010" s="379"/>
      <c r="AT3010" s="379"/>
      <c r="AU3010" s="379"/>
      <c r="AV3010" s="379"/>
      <c r="AW3010" s="379"/>
      <c r="AX3010" s="379"/>
      <c r="AY3010" s="379"/>
      <c r="AZ3010" s="379"/>
      <c r="BA3010" s="379"/>
      <c r="BB3010" s="379"/>
      <c r="BC3010" s="379"/>
      <c r="BD3010" s="379"/>
      <c r="BE3010" s="379"/>
      <c r="BF3010" s="379"/>
      <c r="BG3010" s="379"/>
      <c r="BH3010" s="379"/>
      <c r="BI3010" s="379"/>
      <c r="BJ3010" s="379"/>
      <c r="BK3010" s="379"/>
      <c r="BL3010" s="379"/>
      <c r="BM3010" s="379"/>
      <c r="BN3010" s="379"/>
      <c r="BO3010" s="379"/>
      <c r="BP3010" s="379"/>
      <c r="BQ3010" s="379"/>
      <c r="BR3010" s="379"/>
      <c r="BS3010" s="379"/>
      <c r="BT3010" s="379"/>
      <c r="BU3010" s="379"/>
      <c r="BV3010" s="379"/>
      <c r="BW3010" s="379"/>
      <c r="BX3010" s="379"/>
      <c r="BY3010" s="379"/>
      <c r="BZ3010" s="379"/>
      <c r="CA3010" s="270"/>
      <c r="CB3010" s="3" t="str">
        <f t="shared" si="542"/>
        <v>Riadok bude skrytý.</v>
      </c>
      <c r="CC3010" s="271" t="s">
        <v>832</v>
      </c>
      <c r="CW3010" s="30">
        <f t="shared" si="539"/>
        <v>1</v>
      </c>
      <c r="CX3010" s="30">
        <f t="shared" si="541"/>
        <v>0</v>
      </c>
      <c r="CZ3010" s="30">
        <f t="shared" si="544"/>
        <v>1</v>
      </c>
      <c r="DA3010" s="52">
        <f t="shared" si="540"/>
        <v>0</v>
      </c>
      <c r="DB3010" s="2">
        <f t="shared" si="543"/>
        <v>0</v>
      </c>
      <c r="DS3010" s="130">
        <f>SI!BY3010</f>
        <v>167</v>
      </c>
      <c r="DZ3010" s="131">
        <f>SI!BZ3010</f>
        <v>0</v>
      </c>
    </row>
    <row r="3011" spans="1:130" ht="14.95" hidden="1" customHeight="1" x14ac:dyDescent="0.25">
      <c r="A3011" s="141"/>
      <c r="B3011" s="379"/>
      <c r="C3011" s="379"/>
      <c r="D3011" s="379"/>
      <c r="E3011" s="379"/>
      <c r="F3011" s="379"/>
      <c r="G3011" s="379"/>
      <c r="H3011" s="379"/>
      <c r="I3011" s="379"/>
      <c r="J3011" s="379"/>
      <c r="K3011" s="379"/>
      <c r="L3011" s="379"/>
      <c r="M3011" s="379"/>
      <c r="N3011" s="379"/>
      <c r="O3011" s="379"/>
      <c r="P3011" s="379"/>
      <c r="Q3011" s="379"/>
      <c r="R3011" s="379"/>
      <c r="S3011" s="379"/>
      <c r="T3011" s="379"/>
      <c r="U3011" s="379"/>
      <c r="V3011" s="379"/>
      <c r="W3011" s="379"/>
      <c r="X3011" s="379"/>
      <c r="Y3011" s="379"/>
      <c r="Z3011" s="379"/>
      <c r="AA3011" s="379"/>
      <c r="AB3011" s="379"/>
      <c r="AC3011" s="379"/>
      <c r="AD3011" s="379"/>
      <c r="AE3011" s="379"/>
      <c r="AF3011" s="379"/>
      <c r="AG3011" s="379"/>
      <c r="AH3011" s="379"/>
      <c r="AI3011" s="379"/>
      <c r="AJ3011" s="379"/>
      <c r="AK3011" s="379"/>
      <c r="AL3011" s="379"/>
      <c r="AM3011" s="379"/>
      <c r="AN3011" s="379"/>
      <c r="AO3011" s="379"/>
      <c r="AP3011" s="379"/>
      <c r="AQ3011" s="379"/>
      <c r="AR3011" s="379"/>
      <c r="AS3011" s="379"/>
      <c r="AT3011" s="379"/>
      <c r="AU3011" s="379"/>
      <c r="AV3011" s="379"/>
      <c r="AW3011" s="379"/>
      <c r="AX3011" s="379"/>
      <c r="AY3011" s="379"/>
      <c r="AZ3011" s="379"/>
      <c r="BA3011" s="379"/>
      <c r="BB3011" s="379"/>
      <c r="BC3011" s="379"/>
      <c r="BD3011" s="379"/>
      <c r="BE3011" s="379"/>
      <c r="BF3011" s="379"/>
      <c r="BG3011" s="379"/>
      <c r="BH3011" s="379"/>
      <c r="BI3011" s="379"/>
      <c r="BJ3011" s="379"/>
      <c r="BK3011" s="379"/>
      <c r="BL3011" s="379"/>
      <c r="BM3011" s="379"/>
      <c r="BN3011" s="379"/>
      <c r="BO3011" s="379"/>
      <c r="BP3011" s="379"/>
      <c r="BQ3011" s="379"/>
      <c r="BR3011" s="379"/>
      <c r="BS3011" s="379"/>
      <c r="BT3011" s="379"/>
      <c r="BU3011" s="379"/>
      <c r="BV3011" s="379"/>
      <c r="BW3011" s="379"/>
      <c r="BX3011" s="379"/>
      <c r="BY3011" s="379"/>
      <c r="BZ3011" s="379"/>
      <c r="CA3011" s="270"/>
      <c r="CB3011" s="3" t="str">
        <f t="shared" si="542"/>
        <v>Riadok bude skrytý.</v>
      </c>
      <c r="CC3011" s="271" t="s">
        <v>832</v>
      </c>
      <c r="CW3011" s="30">
        <f t="shared" si="539"/>
        <v>1</v>
      </c>
      <c r="CX3011" s="30">
        <f t="shared" si="541"/>
        <v>0</v>
      </c>
      <c r="CZ3011" s="30">
        <f t="shared" si="544"/>
        <v>1</v>
      </c>
      <c r="DA3011" s="52">
        <f t="shared" si="540"/>
        <v>0</v>
      </c>
      <c r="DB3011" s="2">
        <f t="shared" si="543"/>
        <v>0</v>
      </c>
      <c r="DS3011" s="130">
        <f>SI!BY3011</f>
        <v>915</v>
      </c>
      <c r="DZ3011" s="131">
        <f>SI!BZ3011</f>
        <v>0</v>
      </c>
    </row>
    <row r="3012" spans="1:130" ht="14.95" hidden="1" customHeight="1" x14ac:dyDescent="0.25">
      <c r="A3012" s="141"/>
      <c r="B3012" s="379"/>
      <c r="C3012" s="379"/>
      <c r="D3012" s="379"/>
      <c r="E3012" s="379"/>
      <c r="F3012" s="379"/>
      <c r="G3012" s="379"/>
      <c r="H3012" s="379"/>
      <c r="I3012" s="379"/>
      <c r="J3012" s="379"/>
      <c r="K3012" s="379"/>
      <c r="L3012" s="379"/>
      <c r="M3012" s="379"/>
      <c r="N3012" s="379"/>
      <c r="O3012" s="379"/>
      <c r="P3012" s="379"/>
      <c r="Q3012" s="379"/>
      <c r="R3012" s="379"/>
      <c r="S3012" s="379"/>
      <c r="T3012" s="379"/>
      <c r="U3012" s="379"/>
      <c r="V3012" s="379"/>
      <c r="W3012" s="379"/>
      <c r="X3012" s="379"/>
      <c r="Y3012" s="379"/>
      <c r="Z3012" s="379"/>
      <c r="AA3012" s="379"/>
      <c r="AB3012" s="379"/>
      <c r="AC3012" s="379"/>
      <c r="AD3012" s="379"/>
      <c r="AE3012" s="379"/>
      <c r="AF3012" s="379"/>
      <c r="AG3012" s="379"/>
      <c r="AH3012" s="379"/>
      <c r="AI3012" s="379"/>
      <c r="AJ3012" s="379"/>
      <c r="AK3012" s="379"/>
      <c r="AL3012" s="379"/>
      <c r="AM3012" s="379"/>
      <c r="AN3012" s="379"/>
      <c r="AO3012" s="379"/>
      <c r="AP3012" s="379"/>
      <c r="AQ3012" s="379"/>
      <c r="AR3012" s="379"/>
      <c r="AS3012" s="379"/>
      <c r="AT3012" s="379"/>
      <c r="AU3012" s="379"/>
      <c r="AV3012" s="379"/>
      <c r="AW3012" s="379"/>
      <c r="AX3012" s="379"/>
      <c r="AY3012" s="379"/>
      <c r="AZ3012" s="379"/>
      <c r="BA3012" s="379"/>
      <c r="BB3012" s="379"/>
      <c r="BC3012" s="379"/>
      <c r="BD3012" s="379"/>
      <c r="BE3012" s="379"/>
      <c r="BF3012" s="379"/>
      <c r="BG3012" s="379"/>
      <c r="BH3012" s="379"/>
      <c r="BI3012" s="379"/>
      <c r="BJ3012" s="379"/>
      <c r="BK3012" s="379"/>
      <c r="BL3012" s="379"/>
      <c r="BM3012" s="379"/>
      <c r="BN3012" s="379"/>
      <c r="BO3012" s="379"/>
      <c r="BP3012" s="379"/>
      <c r="BQ3012" s="379"/>
      <c r="BR3012" s="379"/>
      <c r="BS3012" s="379"/>
      <c r="BT3012" s="379"/>
      <c r="BU3012" s="379"/>
      <c r="BV3012" s="379"/>
      <c r="BW3012" s="379"/>
      <c r="BX3012" s="379"/>
      <c r="BY3012" s="379"/>
      <c r="BZ3012" s="379"/>
      <c r="CA3012" s="270"/>
      <c r="CB3012" s="3" t="str">
        <f t="shared" si="542"/>
        <v>Riadok bude skrytý.</v>
      </c>
      <c r="CC3012" s="271" t="s">
        <v>832</v>
      </c>
      <c r="CW3012" s="30">
        <f t="shared" si="539"/>
        <v>1</v>
      </c>
      <c r="CX3012" s="30">
        <f t="shared" si="541"/>
        <v>0</v>
      </c>
      <c r="CZ3012" s="30">
        <f t="shared" si="544"/>
        <v>1</v>
      </c>
      <c r="DA3012" s="52">
        <f t="shared" si="540"/>
        <v>0</v>
      </c>
      <c r="DB3012" s="2">
        <f t="shared" si="543"/>
        <v>0</v>
      </c>
      <c r="DS3012" s="130">
        <f>SI!BY3012</f>
        <v>727</v>
      </c>
      <c r="DZ3012" s="131">
        <f>SI!BZ3012</f>
        <v>0</v>
      </c>
    </row>
    <row r="3013" spans="1:130" hidden="1" x14ac:dyDescent="0.25">
      <c r="A3013" s="141"/>
      <c r="CA3013" s="270"/>
      <c r="CB3013" s="3" t="str">
        <f t="shared" si="542"/>
        <v>Riadok bude skrytý.</v>
      </c>
      <c r="CC3013" s="271" t="s">
        <v>832</v>
      </c>
      <c r="CW3013" s="49">
        <v>1</v>
      </c>
      <c r="CZ3013" s="30">
        <f>IF(CC3013="",1,IF(CC3013="Chcem skryť riadok.",0,1))</f>
        <v>1</v>
      </c>
      <c r="DA3013" s="30">
        <f>+IF(CW3013+CX3013+CY3013=0,0,IF(CZ3013=0,0,1))</f>
        <v>1</v>
      </c>
      <c r="DB3013" s="2">
        <f t="shared" si="543"/>
        <v>0</v>
      </c>
      <c r="DS3013" s="130">
        <f>SI!BY3013</f>
        <v>195</v>
      </c>
      <c r="DZ3013" s="131">
        <f>SI!BZ3013</f>
        <v>0</v>
      </c>
    </row>
    <row r="3014" spans="1:130" ht="17" hidden="1" thickBot="1" x14ac:dyDescent="0.35">
      <c r="A3014" s="141"/>
      <c r="B3014" s="21"/>
      <c r="C3014" s="268"/>
      <c r="D3014" s="268"/>
      <c r="E3014" s="22" t="s">
        <v>386</v>
      </c>
      <c r="F3014" s="268"/>
      <c r="G3014" s="125"/>
      <c r="H3014" s="22"/>
      <c r="I3014" s="268"/>
      <c r="J3014" s="268"/>
      <c r="K3014" s="268"/>
      <c r="L3014" s="268"/>
      <c r="M3014" s="268"/>
      <c r="N3014" s="268"/>
      <c r="O3014" s="268"/>
      <c r="P3014" s="268"/>
      <c r="Q3014" s="268"/>
      <c r="R3014" s="268"/>
      <c r="S3014" s="268"/>
      <c r="T3014" s="268"/>
      <c r="U3014" s="268"/>
      <c r="V3014" s="268"/>
      <c r="W3014" s="268"/>
      <c r="X3014" s="268"/>
      <c r="Y3014" s="268"/>
      <c r="Z3014" s="268"/>
      <c r="AA3014" s="268"/>
      <c r="AB3014" s="268"/>
      <c r="AC3014" s="268"/>
      <c r="AD3014" s="268"/>
      <c r="AE3014" s="268"/>
      <c r="AF3014" s="268"/>
      <c r="AG3014" s="268"/>
      <c r="AH3014" s="268"/>
      <c r="AI3014" s="268"/>
      <c r="AJ3014" s="268"/>
      <c r="AK3014" s="276"/>
      <c r="AL3014" s="276"/>
      <c r="AM3014" s="276"/>
      <c r="AN3014" s="276"/>
      <c r="AO3014" s="276"/>
      <c r="AP3014" s="276"/>
      <c r="AQ3014" s="276"/>
      <c r="AR3014" s="276"/>
      <c r="AS3014" s="276"/>
      <c r="AT3014" s="276"/>
      <c r="AU3014" s="276"/>
      <c r="AV3014" s="276"/>
      <c r="AW3014" s="276"/>
      <c r="AX3014" s="276"/>
      <c r="AY3014" s="276"/>
      <c r="AZ3014" s="276"/>
      <c r="BA3014" s="276"/>
      <c r="BB3014" s="276"/>
      <c r="BC3014" s="276"/>
      <c r="BD3014" s="932" t="str">
        <f>+SI!J2</f>
        <v>Resumo s.r.o.</v>
      </c>
      <c r="BE3014" s="932"/>
      <c r="BF3014" s="932"/>
      <c r="BG3014" s="932"/>
      <c r="BH3014" s="932"/>
      <c r="BI3014" s="932"/>
      <c r="BJ3014" s="932"/>
      <c r="BK3014" s="932"/>
      <c r="BL3014" s="932"/>
      <c r="BM3014" s="932"/>
      <c r="BN3014" s="932"/>
      <c r="BO3014" s="932"/>
      <c r="BP3014" s="932"/>
      <c r="BQ3014" s="932"/>
      <c r="BR3014" s="932"/>
      <c r="BS3014" s="932"/>
      <c r="BT3014" s="932"/>
      <c r="BU3014" s="932"/>
      <c r="BV3014" s="932"/>
      <c r="BW3014" s="932"/>
      <c r="BX3014" s="932"/>
      <c r="BY3014" s="932"/>
      <c r="BZ3014" s="933"/>
      <c r="CA3014" s="265" t="s">
        <v>773</v>
      </c>
      <c r="CB3014" s="3" t="str">
        <f t="shared" si="542"/>
        <v>Riadok bude skrytý.</v>
      </c>
      <c r="CW3014" s="49">
        <v>1</v>
      </c>
      <c r="CZ3014" s="30">
        <f t="shared" si="544"/>
        <v>1</v>
      </c>
      <c r="DA3014" s="30">
        <f>+IF(CW3014+CX3014+CY3014=0,0,IF(CZ3014=0,0,1))</f>
        <v>1</v>
      </c>
      <c r="DB3014" s="2">
        <f t="shared" si="543"/>
        <v>0</v>
      </c>
      <c r="DS3014" s="130">
        <f>SI!BY3014</f>
        <v>471</v>
      </c>
      <c r="DZ3014" s="131">
        <f>SI!BZ3014</f>
        <v>0</v>
      </c>
    </row>
    <row r="3015" spans="1:130" hidden="1" x14ac:dyDescent="0.25">
      <c r="A3015" s="141"/>
      <c r="CA3015" s="142"/>
      <c r="CB3015" s="3" t="str">
        <f t="shared" si="542"/>
        <v>Riadok bude skrytý.</v>
      </c>
      <c r="CW3015" s="49">
        <v>1</v>
      </c>
      <c r="CZ3015" s="30">
        <f t="shared" si="544"/>
        <v>1</v>
      </c>
      <c r="DA3015" s="30">
        <f>+IF(CW3015+CX3015+CY3015=0,0,IF(CZ3015=0,0,1))</f>
        <v>1</v>
      </c>
      <c r="DB3015" s="2">
        <f t="shared" si="543"/>
        <v>0</v>
      </c>
      <c r="DS3015" s="130">
        <f>SI!BY3015</f>
        <v>128</v>
      </c>
      <c r="DZ3015" s="131">
        <f>SI!BZ3015</f>
        <v>0</v>
      </c>
    </row>
    <row r="3016" spans="1:130" x14ac:dyDescent="0.25">
      <c r="A3016" s="141"/>
      <c r="B3016" s="137" t="s">
        <v>208</v>
      </c>
      <c r="J3016" s="378" t="s">
        <v>1063</v>
      </c>
      <c r="K3016" s="378"/>
      <c r="L3016" s="378"/>
      <c r="M3016" s="378"/>
      <c r="N3016" s="378"/>
      <c r="O3016" s="378"/>
      <c r="P3016" s="378"/>
      <c r="Q3016" s="378"/>
      <c r="R3016" s="378"/>
      <c r="S3016" s="137" t="s">
        <v>833</v>
      </c>
      <c r="T3016" s="38"/>
      <c r="CA3016" s="142"/>
      <c r="CB3016" s="3" t="str">
        <f t="shared" si="542"/>
        <v>Riadok bude vidieť.</v>
      </c>
      <c r="CC3016" s="271" t="s">
        <v>832</v>
      </c>
      <c r="CF3016" s="13"/>
      <c r="CW3016" s="49">
        <v>1</v>
      </c>
      <c r="CZ3016" s="30">
        <f t="shared" si="544"/>
        <v>1</v>
      </c>
      <c r="DA3016" s="30">
        <f>+IF(CW3016+CX3016+CY3016=0,0,IF(CZ3016=0,0,1))</f>
        <v>1</v>
      </c>
      <c r="DB3016" s="140">
        <f t="shared" ref="DB3016:DB3038" si="545">+DA3016</f>
        <v>1</v>
      </c>
      <c r="DS3016" s="130">
        <f>SI!BY3016</f>
        <v>128</v>
      </c>
      <c r="DZ3016" s="131">
        <f>SI!BZ3016</f>
        <v>0</v>
      </c>
    </row>
    <row r="3017" spans="1:130" x14ac:dyDescent="0.25">
      <c r="A3017" s="141"/>
      <c r="B3017" s="137" t="str">
        <f>+IF($E$52&lt;&gt;"",IF(ROUNDDOWN(CODE(MID($E$52,1,1))/10,0)*(IF(SI!EE3017="",1,SI!EE3017-1-1))+(LEN(SI!J2)+2)=DS3017,IF(J3016="eviduje","K údajom na podsúvahových účtoch Spoločnosť uvádza:","Spoločnosť nemá pre túto časť poznámok obsahovú náplň."),"NEPOVOLENÉ POUŽITIE!"),"NEPOVOLENÉ POUŽITIE!")</f>
        <v>Spoločnosť nemá pre túto časť poznámok obsahovú náplň.</v>
      </c>
      <c r="CA3017" s="270"/>
      <c r="CB3017" s="3" t="str">
        <f t="shared" si="542"/>
        <v>Riadok bude vidieť.</v>
      </c>
      <c r="CC3017" s="271" t="s">
        <v>832</v>
      </c>
      <c r="CW3017" s="30">
        <f>+IF($J$3016="neeviduje",1,1)</f>
        <v>1</v>
      </c>
      <c r="CZ3017" s="30">
        <f t="shared" si="544"/>
        <v>1</v>
      </c>
      <c r="DA3017" s="30">
        <f>+IF(CW3017+CX3017+CY3017=0,0,IF(CZ3017=0,0,1))</f>
        <v>1</v>
      </c>
      <c r="DB3017" s="140">
        <f t="shared" si="545"/>
        <v>1</v>
      </c>
      <c r="DS3017" s="130">
        <f>SI!BY3017</f>
        <v>15</v>
      </c>
      <c r="DZ3017" s="131">
        <f>SI!BZ3017</f>
        <v>0</v>
      </c>
    </row>
    <row r="3018" spans="1:130" hidden="1" x14ac:dyDescent="0.25">
      <c r="A3018" s="141"/>
      <c r="B3018" s="379"/>
      <c r="C3018" s="379"/>
      <c r="D3018" s="379"/>
      <c r="E3018" s="379"/>
      <c r="F3018" s="379"/>
      <c r="G3018" s="379"/>
      <c r="H3018" s="379"/>
      <c r="I3018" s="379"/>
      <c r="J3018" s="379"/>
      <c r="K3018" s="379"/>
      <c r="L3018" s="379"/>
      <c r="M3018" s="379"/>
      <c r="N3018" s="379"/>
      <c r="O3018" s="379"/>
      <c r="P3018" s="379"/>
      <c r="Q3018" s="379"/>
      <c r="R3018" s="379"/>
      <c r="S3018" s="379"/>
      <c r="T3018" s="379"/>
      <c r="U3018" s="379"/>
      <c r="V3018" s="379"/>
      <c r="W3018" s="379"/>
      <c r="X3018" s="379"/>
      <c r="Y3018" s="379"/>
      <c r="Z3018" s="379"/>
      <c r="AA3018" s="379"/>
      <c r="AB3018" s="379"/>
      <c r="AC3018" s="379"/>
      <c r="AD3018" s="379"/>
      <c r="AE3018" s="379"/>
      <c r="AF3018" s="379"/>
      <c r="AG3018" s="379"/>
      <c r="AH3018" s="379"/>
      <c r="AI3018" s="379"/>
      <c r="AJ3018" s="379"/>
      <c r="AK3018" s="379"/>
      <c r="AL3018" s="379"/>
      <c r="AM3018" s="379"/>
      <c r="AN3018" s="379"/>
      <c r="AO3018" s="379"/>
      <c r="AP3018" s="379"/>
      <c r="AQ3018" s="379"/>
      <c r="AR3018" s="379"/>
      <c r="AS3018" s="379"/>
      <c r="AT3018" s="379"/>
      <c r="AU3018" s="379"/>
      <c r="AV3018" s="379"/>
      <c r="AW3018" s="379"/>
      <c r="AX3018" s="379"/>
      <c r="AY3018" s="379"/>
      <c r="AZ3018" s="379"/>
      <c r="BA3018" s="379"/>
      <c r="BB3018" s="379"/>
      <c r="BC3018" s="379"/>
      <c r="BD3018" s="379"/>
      <c r="BE3018" s="379"/>
      <c r="BF3018" s="379"/>
      <c r="BG3018" s="379"/>
      <c r="BH3018" s="379"/>
      <c r="BI3018" s="379"/>
      <c r="BJ3018" s="379"/>
      <c r="BK3018" s="379"/>
      <c r="BL3018" s="379"/>
      <c r="BM3018" s="379"/>
      <c r="BN3018" s="379"/>
      <c r="BO3018" s="379"/>
      <c r="BP3018" s="379"/>
      <c r="BQ3018" s="379"/>
      <c r="BR3018" s="379"/>
      <c r="BS3018" s="379"/>
      <c r="BT3018" s="379"/>
      <c r="BU3018" s="379"/>
      <c r="BV3018" s="379"/>
      <c r="BW3018" s="379"/>
      <c r="BX3018" s="379"/>
      <c r="BY3018" s="379"/>
      <c r="BZ3018" s="379"/>
      <c r="CA3018" s="281"/>
      <c r="CB3018" s="3" t="str">
        <f t="shared" si="542"/>
        <v>Riadok bude skrytý.</v>
      </c>
      <c r="CC3018" s="271" t="s">
        <v>832</v>
      </c>
      <c r="CW3018" s="30">
        <f t="shared" ref="CW3018:CW3049" si="546">+IF($J$3016="neeviduje",0,1)</f>
        <v>0</v>
      </c>
      <c r="CX3018" s="30">
        <f t="shared" ref="CX3018:CX3037" si="547">+IF(B3018="",0,1)</f>
        <v>0</v>
      </c>
      <c r="CZ3018" s="30">
        <f t="shared" si="544"/>
        <v>1</v>
      </c>
      <c r="DA3018" s="52">
        <f t="shared" ref="DA3018:DA3037" si="548">+IF(CW3018*CX3018=0,0,IF(CZ3018=0,0,1))</f>
        <v>0</v>
      </c>
      <c r="DB3018" s="140">
        <f t="shared" si="545"/>
        <v>0</v>
      </c>
      <c r="DS3018" s="130">
        <f>SI!BY3018</f>
        <v>127</v>
      </c>
      <c r="DZ3018" s="131">
        <f>SI!BZ3018</f>
        <v>0</v>
      </c>
    </row>
    <row r="3019" spans="1:130" hidden="1" x14ac:dyDescent="0.25">
      <c r="A3019" s="141"/>
      <c r="B3019" s="379"/>
      <c r="C3019" s="379"/>
      <c r="D3019" s="379"/>
      <c r="E3019" s="379"/>
      <c r="F3019" s="379"/>
      <c r="G3019" s="379"/>
      <c r="H3019" s="379"/>
      <c r="I3019" s="379"/>
      <c r="J3019" s="379"/>
      <c r="K3019" s="379"/>
      <c r="L3019" s="379"/>
      <c r="M3019" s="379"/>
      <c r="N3019" s="379"/>
      <c r="O3019" s="379"/>
      <c r="P3019" s="379"/>
      <c r="Q3019" s="379"/>
      <c r="R3019" s="379"/>
      <c r="S3019" s="379"/>
      <c r="T3019" s="379"/>
      <c r="U3019" s="379"/>
      <c r="V3019" s="379"/>
      <c r="W3019" s="379"/>
      <c r="X3019" s="379"/>
      <c r="Y3019" s="379"/>
      <c r="Z3019" s="379"/>
      <c r="AA3019" s="379"/>
      <c r="AB3019" s="379"/>
      <c r="AC3019" s="379"/>
      <c r="AD3019" s="379"/>
      <c r="AE3019" s="379"/>
      <c r="AF3019" s="379"/>
      <c r="AG3019" s="379"/>
      <c r="AH3019" s="379"/>
      <c r="AI3019" s="379"/>
      <c r="AJ3019" s="379"/>
      <c r="AK3019" s="379"/>
      <c r="AL3019" s="379"/>
      <c r="AM3019" s="379"/>
      <c r="AN3019" s="379"/>
      <c r="AO3019" s="379"/>
      <c r="AP3019" s="379"/>
      <c r="AQ3019" s="379"/>
      <c r="AR3019" s="379"/>
      <c r="AS3019" s="379"/>
      <c r="AT3019" s="379"/>
      <c r="AU3019" s="379"/>
      <c r="AV3019" s="379"/>
      <c r="AW3019" s="379"/>
      <c r="AX3019" s="379"/>
      <c r="AY3019" s="379"/>
      <c r="AZ3019" s="379"/>
      <c r="BA3019" s="379"/>
      <c r="BB3019" s="379"/>
      <c r="BC3019" s="379"/>
      <c r="BD3019" s="379"/>
      <c r="BE3019" s="379"/>
      <c r="BF3019" s="379"/>
      <c r="BG3019" s="379"/>
      <c r="BH3019" s="379"/>
      <c r="BI3019" s="379"/>
      <c r="BJ3019" s="379"/>
      <c r="BK3019" s="379"/>
      <c r="BL3019" s="379"/>
      <c r="BM3019" s="379"/>
      <c r="BN3019" s="379"/>
      <c r="BO3019" s="379"/>
      <c r="BP3019" s="379"/>
      <c r="BQ3019" s="379"/>
      <c r="BR3019" s="379"/>
      <c r="BS3019" s="379"/>
      <c r="BT3019" s="379"/>
      <c r="BU3019" s="379"/>
      <c r="BV3019" s="379"/>
      <c r="BW3019" s="379"/>
      <c r="BX3019" s="379"/>
      <c r="BY3019" s="379"/>
      <c r="BZ3019" s="379"/>
      <c r="CA3019" s="281"/>
      <c r="CB3019" s="3" t="str">
        <f t="shared" si="542"/>
        <v>Riadok bude skrytý.</v>
      </c>
      <c r="CC3019" s="271" t="s">
        <v>832</v>
      </c>
      <c r="CW3019" s="30">
        <f t="shared" si="546"/>
        <v>0</v>
      </c>
      <c r="CX3019" s="30">
        <f t="shared" si="547"/>
        <v>0</v>
      </c>
      <c r="CZ3019" s="30">
        <f t="shared" si="544"/>
        <v>1</v>
      </c>
      <c r="DA3019" s="52">
        <f t="shared" si="548"/>
        <v>0</v>
      </c>
      <c r="DB3019" s="140">
        <f t="shared" si="545"/>
        <v>0</v>
      </c>
      <c r="DS3019" s="130">
        <f>SI!BY3019</f>
        <v>164</v>
      </c>
      <c r="DZ3019" s="131">
        <f>SI!BZ3019</f>
        <v>0</v>
      </c>
    </row>
    <row r="3020" spans="1:130" hidden="1" x14ac:dyDescent="0.25">
      <c r="A3020" s="141"/>
      <c r="B3020" s="379"/>
      <c r="C3020" s="379"/>
      <c r="D3020" s="379"/>
      <c r="E3020" s="379"/>
      <c r="F3020" s="379"/>
      <c r="G3020" s="379"/>
      <c r="H3020" s="379"/>
      <c r="I3020" s="379"/>
      <c r="J3020" s="379"/>
      <c r="K3020" s="379"/>
      <c r="L3020" s="379"/>
      <c r="M3020" s="379"/>
      <c r="N3020" s="379"/>
      <c r="O3020" s="379"/>
      <c r="P3020" s="379"/>
      <c r="Q3020" s="379"/>
      <c r="R3020" s="379"/>
      <c r="S3020" s="379"/>
      <c r="T3020" s="379"/>
      <c r="U3020" s="379"/>
      <c r="V3020" s="379"/>
      <c r="W3020" s="379"/>
      <c r="X3020" s="379"/>
      <c r="Y3020" s="379"/>
      <c r="Z3020" s="379"/>
      <c r="AA3020" s="379"/>
      <c r="AB3020" s="379"/>
      <c r="AC3020" s="379"/>
      <c r="AD3020" s="379"/>
      <c r="AE3020" s="379"/>
      <c r="AF3020" s="379"/>
      <c r="AG3020" s="379"/>
      <c r="AH3020" s="379"/>
      <c r="AI3020" s="379"/>
      <c r="AJ3020" s="379"/>
      <c r="AK3020" s="379"/>
      <c r="AL3020" s="379"/>
      <c r="AM3020" s="379"/>
      <c r="AN3020" s="379"/>
      <c r="AO3020" s="379"/>
      <c r="AP3020" s="379"/>
      <c r="AQ3020" s="379"/>
      <c r="AR3020" s="379"/>
      <c r="AS3020" s="379"/>
      <c r="AT3020" s="379"/>
      <c r="AU3020" s="379"/>
      <c r="AV3020" s="379"/>
      <c r="AW3020" s="379"/>
      <c r="AX3020" s="379"/>
      <c r="AY3020" s="379"/>
      <c r="AZ3020" s="379"/>
      <c r="BA3020" s="379"/>
      <c r="BB3020" s="379"/>
      <c r="BC3020" s="379"/>
      <c r="BD3020" s="379"/>
      <c r="BE3020" s="379"/>
      <c r="BF3020" s="379"/>
      <c r="BG3020" s="379"/>
      <c r="BH3020" s="379"/>
      <c r="BI3020" s="379"/>
      <c r="BJ3020" s="379"/>
      <c r="BK3020" s="379"/>
      <c r="BL3020" s="379"/>
      <c r="BM3020" s="379"/>
      <c r="BN3020" s="379"/>
      <c r="BO3020" s="379"/>
      <c r="BP3020" s="379"/>
      <c r="BQ3020" s="379"/>
      <c r="BR3020" s="379"/>
      <c r="BS3020" s="379"/>
      <c r="BT3020" s="379"/>
      <c r="BU3020" s="379"/>
      <c r="BV3020" s="379"/>
      <c r="BW3020" s="379"/>
      <c r="BX3020" s="379"/>
      <c r="BY3020" s="379"/>
      <c r="BZ3020" s="379"/>
      <c r="CA3020" s="281"/>
      <c r="CB3020" s="3" t="str">
        <f t="shared" si="542"/>
        <v>Riadok bude skrytý.</v>
      </c>
      <c r="CC3020" s="271" t="s">
        <v>832</v>
      </c>
      <c r="CW3020" s="30">
        <f t="shared" si="546"/>
        <v>0</v>
      </c>
      <c r="CX3020" s="30">
        <f t="shared" si="547"/>
        <v>0</v>
      </c>
      <c r="CZ3020" s="30">
        <f t="shared" si="544"/>
        <v>1</v>
      </c>
      <c r="DA3020" s="52">
        <f t="shared" si="548"/>
        <v>0</v>
      </c>
      <c r="DB3020" s="140">
        <f t="shared" si="545"/>
        <v>0</v>
      </c>
      <c r="DS3020" s="130">
        <f>SI!BY3020</f>
        <v>1148</v>
      </c>
      <c r="DZ3020" s="131">
        <f>SI!BZ3020</f>
        <v>0</v>
      </c>
    </row>
    <row r="3021" spans="1:130" hidden="1" x14ac:dyDescent="0.25">
      <c r="A3021" s="141"/>
      <c r="B3021" s="379"/>
      <c r="C3021" s="379"/>
      <c r="D3021" s="379"/>
      <c r="E3021" s="379"/>
      <c r="F3021" s="379"/>
      <c r="G3021" s="379"/>
      <c r="H3021" s="379"/>
      <c r="I3021" s="379"/>
      <c r="J3021" s="379"/>
      <c r="K3021" s="379"/>
      <c r="L3021" s="379"/>
      <c r="M3021" s="379"/>
      <c r="N3021" s="379"/>
      <c r="O3021" s="379"/>
      <c r="P3021" s="379"/>
      <c r="Q3021" s="379"/>
      <c r="R3021" s="379"/>
      <c r="S3021" s="379"/>
      <c r="T3021" s="379"/>
      <c r="U3021" s="379"/>
      <c r="V3021" s="379"/>
      <c r="W3021" s="379"/>
      <c r="X3021" s="379"/>
      <c r="Y3021" s="379"/>
      <c r="Z3021" s="379"/>
      <c r="AA3021" s="379"/>
      <c r="AB3021" s="379"/>
      <c r="AC3021" s="379"/>
      <c r="AD3021" s="379"/>
      <c r="AE3021" s="379"/>
      <c r="AF3021" s="379"/>
      <c r="AG3021" s="379"/>
      <c r="AH3021" s="379"/>
      <c r="AI3021" s="379"/>
      <c r="AJ3021" s="379"/>
      <c r="AK3021" s="379"/>
      <c r="AL3021" s="379"/>
      <c r="AM3021" s="379"/>
      <c r="AN3021" s="379"/>
      <c r="AO3021" s="379"/>
      <c r="AP3021" s="379"/>
      <c r="AQ3021" s="379"/>
      <c r="AR3021" s="379"/>
      <c r="AS3021" s="379"/>
      <c r="AT3021" s="379"/>
      <c r="AU3021" s="379"/>
      <c r="AV3021" s="379"/>
      <c r="AW3021" s="379"/>
      <c r="AX3021" s="379"/>
      <c r="AY3021" s="379"/>
      <c r="AZ3021" s="379"/>
      <c r="BA3021" s="379"/>
      <c r="BB3021" s="379"/>
      <c r="BC3021" s="379"/>
      <c r="BD3021" s="379"/>
      <c r="BE3021" s="379"/>
      <c r="BF3021" s="379"/>
      <c r="BG3021" s="379"/>
      <c r="BH3021" s="379"/>
      <c r="BI3021" s="379"/>
      <c r="BJ3021" s="379"/>
      <c r="BK3021" s="379"/>
      <c r="BL3021" s="379"/>
      <c r="BM3021" s="379"/>
      <c r="BN3021" s="379"/>
      <c r="BO3021" s="379"/>
      <c r="BP3021" s="379"/>
      <c r="BQ3021" s="379"/>
      <c r="BR3021" s="379"/>
      <c r="BS3021" s="379"/>
      <c r="BT3021" s="379"/>
      <c r="BU3021" s="379"/>
      <c r="BV3021" s="379"/>
      <c r="BW3021" s="379"/>
      <c r="BX3021" s="379"/>
      <c r="BY3021" s="379"/>
      <c r="BZ3021" s="379"/>
      <c r="CA3021" s="281"/>
      <c r="CB3021" s="3" t="str">
        <f t="shared" si="542"/>
        <v>Riadok bude skrytý.</v>
      </c>
      <c r="CC3021" s="271" t="s">
        <v>832</v>
      </c>
      <c r="CW3021" s="30">
        <f t="shared" si="546"/>
        <v>0</v>
      </c>
      <c r="CX3021" s="30">
        <f t="shared" si="547"/>
        <v>0</v>
      </c>
      <c r="CZ3021" s="30">
        <f t="shared" si="544"/>
        <v>1</v>
      </c>
      <c r="DA3021" s="52">
        <f t="shared" si="548"/>
        <v>0</v>
      </c>
      <c r="DB3021" s="140">
        <f t="shared" si="545"/>
        <v>0</v>
      </c>
      <c r="DS3021" s="130">
        <f>SI!BY3021</f>
        <v>114</v>
      </c>
      <c r="DZ3021" s="131">
        <f>SI!BZ3021</f>
        <v>0</v>
      </c>
    </row>
    <row r="3022" spans="1:130" hidden="1" x14ac:dyDescent="0.25">
      <c r="A3022" s="141"/>
      <c r="B3022" s="379"/>
      <c r="C3022" s="379"/>
      <c r="D3022" s="379"/>
      <c r="E3022" s="379"/>
      <c r="F3022" s="379"/>
      <c r="G3022" s="379"/>
      <c r="H3022" s="379"/>
      <c r="I3022" s="379"/>
      <c r="J3022" s="379"/>
      <c r="K3022" s="379"/>
      <c r="L3022" s="379"/>
      <c r="M3022" s="379"/>
      <c r="N3022" s="379"/>
      <c r="O3022" s="379"/>
      <c r="P3022" s="379"/>
      <c r="Q3022" s="379"/>
      <c r="R3022" s="379"/>
      <c r="S3022" s="379"/>
      <c r="T3022" s="379"/>
      <c r="U3022" s="379"/>
      <c r="V3022" s="379"/>
      <c r="W3022" s="379"/>
      <c r="X3022" s="379"/>
      <c r="Y3022" s="379"/>
      <c r="Z3022" s="379"/>
      <c r="AA3022" s="379"/>
      <c r="AB3022" s="379"/>
      <c r="AC3022" s="379"/>
      <c r="AD3022" s="379"/>
      <c r="AE3022" s="379"/>
      <c r="AF3022" s="379"/>
      <c r="AG3022" s="379"/>
      <c r="AH3022" s="379"/>
      <c r="AI3022" s="379"/>
      <c r="AJ3022" s="379"/>
      <c r="AK3022" s="379"/>
      <c r="AL3022" s="379"/>
      <c r="AM3022" s="379"/>
      <c r="AN3022" s="379"/>
      <c r="AO3022" s="379"/>
      <c r="AP3022" s="379"/>
      <c r="AQ3022" s="379"/>
      <c r="AR3022" s="379"/>
      <c r="AS3022" s="379"/>
      <c r="AT3022" s="379"/>
      <c r="AU3022" s="379"/>
      <c r="AV3022" s="379"/>
      <c r="AW3022" s="379"/>
      <c r="AX3022" s="379"/>
      <c r="AY3022" s="379"/>
      <c r="AZ3022" s="379"/>
      <c r="BA3022" s="379"/>
      <c r="BB3022" s="379"/>
      <c r="BC3022" s="379"/>
      <c r="BD3022" s="379"/>
      <c r="BE3022" s="379"/>
      <c r="BF3022" s="379"/>
      <c r="BG3022" s="379"/>
      <c r="BH3022" s="379"/>
      <c r="BI3022" s="379"/>
      <c r="BJ3022" s="379"/>
      <c r="BK3022" s="379"/>
      <c r="BL3022" s="379"/>
      <c r="BM3022" s="379"/>
      <c r="BN3022" s="379"/>
      <c r="BO3022" s="379"/>
      <c r="BP3022" s="379"/>
      <c r="BQ3022" s="379"/>
      <c r="BR3022" s="379"/>
      <c r="BS3022" s="379"/>
      <c r="BT3022" s="379"/>
      <c r="BU3022" s="379"/>
      <c r="BV3022" s="379"/>
      <c r="BW3022" s="379"/>
      <c r="BX3022" s="379"/>
      <c r="BY3022" s="379"/>
      <c r="BZ3022" s="379"/>
      <c r="CA3022" s="281"/>
      <c r="CB3022" s="3" t="str">
        <f t="shared" si="542"/>
        <v>Riadok bude skrytý.</v>
      </c>
      <c r="CC3022" s="271" t="s">
        <v>832</v>
      </c>
      <c r="CW3022" s="30">
        <f t="shared" si="546"/>
        <v>0</v>
      </c>
      <c r="CX3022" s="30">
        <f t="shared" si="547"/>
        <v>0</v>
      </c>
      <c r="CZ3022" s="30">
        <f t="shared" si="544"/>
        <v>1</v>
      </c>
      <c r="DA3022" s="52">
        <f t="shared" si="548"/>
        <v>0</v>
      </c>
      <c r="DB3022" s="140">
        <f t="shared" si="545"/>
        <v>0</v>
      </c>
      <c r="DS3022" s="130">
        <f>SI!BY3022</f>
        <v>839</v>
      </c>
      <c r="DZ3022" s="131">
        <f>SI!BZ3022</f>
        <v>0</v>
      </c>
    </row>
    <row r="3023" spans="1:130" hidden="1" x14ac:dyDescent="0.25">
      <c r="A3023" s="141"/>
      <c r="B3023" s="379"/>
      <c r="C3023" s="379"/>
      <c r="D3023" s="379"/>
      <c r="E3023" s="379"/>
      <c r="F3023" s="379"/>
      <c r="G3023" s="379"/>
      <c r="H3023" s="379"/>
      <c r="I3023" s="379"/>
      <c r="J3023" s="379"/>
      <c r="K3023" s="379"/>
      <c r="L3023" s="379"/>
      <c r="M3023" s="379"/>
      <c r="N3023" s="379"/>
      <c r="O3023" s="379"/>
      <c r="P3023" s="379"/>
      <c r="Q3023" s="379"/>
      <c r="R3023" s="379"/>
      <c r="S3023" s="379"/>
      <c r="T3023" s="379"/>
      <c r="U3023" s="379"/>
      <c r="V3023" s="379"/>
      <c r="W3023" s="379"/>
      <c r="X3023" s="379"/>
      <c r="Y3023" s="379"/>
      <c r="Z3023" s="379"/>
      <c r="AA3023" s="379"/>
      <c r="AB3023" s="379"/>
      <c r="AC3023" s="379"/>
      <c r="AD3023" s="379"/>
      <c r="AE3023" s="379"/>
      <c r="AF3023" s="379"/>
      <c r="AG3023" s="379"/>
      <c r="AH3023" s="379"/>
      <c r="AI3023" s="379"/>
      <c r="AJ3023" s="379"/>
      <c r="AK3023" s="379"/>
      <c r="AL3023" s="379"/>
      <c r="AM3023" s="379"/>
      <c r="AN3023" s="379"/>
      <c r="AO3023" s="379"/>
      <c r="AP3023" s="379"/>
      <c r="AQ3023" s="379"/>
      <c r="AR3023" s="379"/>
      <c r="AS3023" s="379"/>
      <c r="AT3023" s="379"/>
      <c r="AU3023" s="379"/>
      <c r="AV3023" s="379"/>
      <c r="AW3023" s="379"/>
      <c r="AX3023" s="379"/>
      <c r="AY3023" s="379"/>
      <c r="AZ3023" s="379"/>
      <c r="BA3023" s="379"/>
      <c r="BB3023" s="379"/>
      <c r="BC3023" s="379"/>
      <c r="BD3023" s="379"/>
      <c r="BE3023" s="379"/>
      <c r="BF3023" s="379"/>
      <c r="BG3023" s="379"/>
      <c r="BH3023" s="379"/>
      <c r="BI3023" s="379"/>
      <c r="BJ3023" s="379"/>
      <c r="BK3023" s="379"/>
      <c r="BL3023" s="379"/>
      <c r="BM3023" s="379"/>
      <c r="BN3023" s="379"/>
      <c r="BO3023" s="379"/>
      <c r="BP3023" s="379"/>
      <c r="BQ3023" s="379"/>
      <c r="BR3023" s="379"/>
      <c r="BS3023" s="379"/>
      <c r="BT3023" s="379"/>
      <c r="BU3023" s="379"/>
      <c r="BV3023" s="379"/>
      <c r="BW3023" s="379"/>
      <c r="BX3023" s="379"/>
      <c r="BY3023" s="379"/>
      <c r="BZ3023" s="379"/>
      <c r="CA3023" s="281"/>
      <c r="CB3023" s="3" t="str">
        <f t="shared" si="542"/>
        <v>Riadok bude skrytý.</v>
      </c>
      <c r="CC3023" s="271" t="s">
        <v>832</v>
      </c>
      <c r="CW3023" s="30">
        <f t="shared" si="546"/>
        <v>0</v>
      </c>
      <c r="CX3023" s="30">
        <f t="shared" si="547"/>
        <v>0</v>
      </c>
      <c r="CZ3023" s="30">
        <f t="shared" si="544"/>
        <v>1</v>
      </c>
      <c r="DA3023" s="52">
        <f t="shared" si="548"/>
        <v>0</v>
      </c>
      <c r="DB3023" s="140">
        <f t="shared" si="545"/>
        <v>0</v>
      </c>
      <c r="DS3023" s="130">
        <f>SI!BY3023</f>
        <v>111</v>
      </c>
      <c r="DZ3023" s="131">
        <f>SI!BZ3023</f>
        <v>0</v>
      </c>
    </row>
    <row r="3024" spans="1:130" hidden="1" x14ac:dyDescent="0.25">
      <c r="A3024" s="141"/>
      <c r="B3024" s="379"/>
      <c r="C3024" s="379"/>
      <c r="D3024" s="379"/>
      <c r="E3024" s="379"/>
      <c r="F3024" s="379"/>
      <c r="G3024" s="379"/>
      <c r="H3024" s="379"/>
      <c r="I3024" s="379"/>
      <c r="J3024" s="379"/>
      <c r="K3024" s="379"/>
      <c r="L3024" s="379"/>
      <c r="M3024" s="379"/>
      <c r="N3024" s="379"/>
      <c r="O3024" s="379"/>
      <c r="P3024" s="379"/>
      <c r="Q3024" s="379"/>
      <c r="R3024" s="379"/>
      <c r="S3024" s="379"/>
      <c r="T3024" s="379"/>
      <c r="U3024" s="379"/>
      <c r="V3024" s="379"/>
      <c r="W3024" s="379"/>
      <c r="X3024" s="379"/>
      <c r="Y3024" s="379"/>
      <c r="Z3024" s="379"/>
      <c r="AA3024" s="379"/>
      <c r="AB3024" s="379"/>
      <c r="AC3024" s="379"/>
      <c r="AD3024" s="379"/>
      <c r="AE3024" s="379"/>
      <c r="AF3024" s="379"/>
      <c r="AG3024" s="379"/>
      <c r="AH3024" s="379"/>
      <c r="AI3024" s="379"/>
      <c r="AJ3024" s="379"/>
      <c r="AK3024" s="379"/>
      <c r="AL3024" s="379"/>
      <c r="AM3024" s="379"/>
      <c r="AN3024" s="379"/>
      <c r="AO3024" s="379"/>
      <c r="AP3024" s="379"/>
      <c r="AQ3024" s="379"/>
      <c r="AR3024" s="379"/>
      <c r="AS3024" s="379"/>
      <c r="AT3024" s="379"/>
      <c r="AU3024" s="379"/>
      <c r="AV3024" s="379"/>
      <c r="AW3024" s="379"/>
      <c r="AX3024" s="379"/>
      <c r="AY3024" s="379"/>
      <c r="AZ3024" s="379"/>
      <c r="BA3024" s="379"/>
      <c r="BB3024" s="379"/>
      <c r="BC3024" s="379"/>
      <c r="BD3024" s="379"/>
      <c r="BE3024" s="379"/>
      <c r="BF3024" s="379"/>
      <c r="BG3024" s="379"/>
      <c r="BH3024" s="379"/>
      <c r="BI3024" s="379"/>
      <c r="BJ3024" s="379"/>
      <c r="BK3024" s="379"/>
      <c r="BL3024" s="379"/>
      <c r="BM3024" s="379"/>
      <c r="BN3024" s="379"/>
      <c r="BO3024" s="379"/>
      <c r="BP3024" s="379"/>
      <c r="BQ3024" s="379"/>
      <c r="BR3024" s="379"/>
      <c r="BS3024" s="379"/>
      <c r="BT3024" s="379"/>
      <c r="BU3024" s="379"/>
      <c r="BV3024" s="379"/>
      <c r="BW3024" s="379"/>
      <c r="BX3024" s="379"/>
      <c r="BY3024" s="379"/>
      <c r="BZ3024" s="379"/>
      <c r="CA3024" s="281"/>
      <c r="CB3024" s="3" t="str">
        <f t="shared" si="542"/>
        <v>Riadok bude skrytý.</v>
      </c>
      <c r="CC3024" s="271" t="s">
        <v>832</v>
      </c>
      <c r="CW3024" s="30">
        <f t="shared" si="546"/>
        <v>0</v>
      </c>
      <c r="CX3024" s="30">
        <f t="shared" si="547"/>
        <v>0</v>
      </c>
      <c r="CZ3024" s="30">
        <f t="shared" si="544"/>
        <v>1</v>
      </c>
      <c r="DA3024" s="52">
        <f t="shared" si="548"/>
        <v>0</v>
      </c>
      <c r="DB3024" s="140">
        <f t="shared" si="545"/>
        <v>0</v>
      </c>
      <c r="DS3024" s="130">
        <f>SI!BY3024</f>
        <v>114</v>
      </c>
      <c r="DZ3024" s="131">
        <f>SI!BZ3024</f>
        <v>0</v>
      </c>
    </row>
    <row r="3025" spans="1:130" hidden="1" x14ac:dyDescent="0.25">
      <c r="A3025" s="141"/>
      <c r="B3025" s="379"/>
      <c r="C3025" s="379"/>
      <c r="D3025" s="379"/>
      <c r="E3025" s="379"/>
      <c r="F3025" s="379"/>
      <c r="G3025" s="379"/>
      <c r="H3025" s="379"/>
      <c r="I3025" s="379"/>
      <c r="J3025" s="379"/>
      <c r="K3025" s="379"/>
      <c r="L3025" s="379"/>
      <c r="M3025" s="379"/>
      <c r="N3025" s="379"/>
      <c r="O3025" s="379"/>
      <c r="P3025" s="379"/>
      <c r="Q3025" s="379"/>
      <c r="R3025" s="379"/>
      <c r="S3025" s="379"/>
      <c r="T3025" s="379"/>
      <c r="U3025" s="379"/>
      <c r="V3025" s="379"/>
      <c r="W3025" s="379"/>
      <c r="X3025" s="379"/>
      <c r="Y3025" s="379"/>
      <c r="Z3025" s="379"/>
      <c r="AA3025" s="379"/>
      <c r="AB3025" s="379"/>
      <c r="AC3025" s="379"/>
      <c r="AD3025" s="379"/>
      <c r="AE3025" s="379"/>
      <c r="AF3025" s="379"/>
      <c r="AG3025" s="379"/>
      <c r="AH3025" s="379"/>
      <c r="AI3025" s="379"/>
      <c r="AJ3025" s="379"/>
      <c r="AK3025" s="379"/>
      <c r="AL3025" s="379"/>
      <c r="AM3025" s="379"/>
      <c r="AN3025" s="379"/>
      <c r="AO3025" s="379"/>
      <c r="AP3025" s="379"/>
      <c r="AQ3025" s="379"/>
      <c r="AR3025" s="379"/>
      <c r="AS3025" s="379"/>
      <c r="AT3025" s="379"/>
      <c r="AU3025" s="379"/>
      <c r="AV3025" s="379"/>
      <c r="AW3025" s="379"/>
      <c r="AX3025" s="379"/>
      <c r="AY3025" s="379"/>
      <c r="AZ3025" s="379"/>
      <c r="BA3025" s="379"/>
      <c r="BB3025" s="379"/>
      <c r="BC3025" s="379"/>
      <c r="BD3025" s="379"/>
      <c r="BE3025" s="379"/>
      <c r="BF3025" s="379"/>
      <c r="BG3025" s="379"/>
      <c r="BH3025" s="379"/>
      <c r="BI3025" s="379"/>
      <c r="BJ3025" s="379"/>
      <c r="BK3025" s="379"/>
      <c r="BL3025" s="379"/>
      <c r="BM3025" s="379"/>
      <c r="BN3025" s="379"/>
      <c r="BO3025" s="379"/>
      <c r="BP3025" s="379"/>
      <c r="BQ3025" s="379"/>
      <c r="BR3025" s="379"/>
      <c r="BS3025" s="379"/>
      <c r="BT3025" s="379"/>
      <c r="BU3025" s="379"/>
      <c r="BV3025" s="379"/>
      <c r="BW3025" s="379"/>
      <c r="BX3025" s="379"/>
      <c r="BY3025" s="379"/>
      <c r="BZ3025" s="379"/>
      <c r="CA3025" s="281"/>
      <c r="CB3025" s="3" t="str">
        <f t="shared" si="542"/>
        <v>Riadok bude skrytý.</v>
      </c>
      <c r="CC3025" s="271" t="s">
        <v>832</v>
      </c>
      <c r="CW3025" s="30">
        <f t="shared" si="546"/>
        <v>0</v>
      </c>
      <c r="CX3025" s="30">
        <f t="shared" si="547"/>
        <v>0</v>
      </c>
      <c r="CZ3025" s="30">
        <f t="shared" si="544"/>
        <v>1</v>
      </c>
      <c r="DA3025" s="52">
        <f t="shared" si="548"/>
        <v>0</v>
      </c>
      <c r="DB3025" s="140">
        <f t="shared" si="545"/>
        <v>0</v>
      </c>
      <c r="DS3025" s="130">
        <f>SI!BY3025</f>
        <v>164</v>
      </c>
      <c r="DZ3025" s="131">
        <f>SI!BZ3025</f>
        <v>0</v>
      </c>
    </row>
    <row r="3026" spans="1:130" hidden="1" x14ac:dyDescent="0.25">
      <c r="A3026" s="141"/>
      <c r="B3026" s="379"/>
      <c r="C3026" s="379"/>
      <c r="D3026" s="379"/>
      <c r="E3026" s="379"/>
      <c r="F3026" s="379"/>
      <c r="G3026" s="379"/>
      <c r="H3026" s="379"/>
      <c r="I3026" s="379"/>
      <c r="J3026" s="379"/>
      <c r="K3026" s="379"/>
      <c r="L3026" s="379"/>
      <c r="M3026" s="379"/>
      <c r="N3026" s="379"/>
      <c r="O3026" s="379"/>
      <c r="P3026" s="379"/>
      <c r="Q3026" s="379"/>
      <c r="R3026" s="379"/>
      <c r="S3026" s="379"/>
      <c r="T3026" s="379"/>
      <c r="U3026" s="379"/>
      <c r="V3026" s="379"/>
      <c r="W3026" s="379"/>
      <c r="X3026" s="379"/>
      <c r="Y3026" s="379"/>
      <c r="Z3026" s="379"/>
      <c r="AA3026" s="379"/>
      <c r="AB3026" s="379"/>
      <c r="AC3026" s="379"/>
      <c r="AD3026" s="379"/>
      <c r="AE3026" s="379"/>
      <c r="AF3026" s="379"/>
      <c r="AG3026" s="379"/>
      <c r="AH3026" s="379"/>
      <c r="AI3026" s="379"/>
      <c r="AJ3026" s="379"/>
      <c r="AK3026" s="379"/>
      <c r="AL3026" s="379"/>
      <c r="AM3026" s="379"/>
      <c r="AN3026" s="379"/>
      <c r="AO3026" s="379"/>
      <c r="AP3026" s="379"/>
      <c r="AQ3026" s="379"/>
      <c r="AR3026" s="379"/>
      <c r="AS3026" s="379"/>
      <c r="AT3026" s="379"/>
      <c r="AU3026" s="379"/>
      <c r="AV3026" s="379"/>
      <c r="AW3026" s="379"/>
      <c r="AX3026" s="379"/>
      <c r="AY3026" s="379"/>
      <c r="AZ3026" s="379"/>
      <c r="BA3026" s="379"/>
      <c r="BB3026" s="379"/>
      <c r="BC3026" s="379"/>
      <c r="BD3026" s="379"/>
      <c r="BE3026" s="379"/>
      <c r="BF3026" s="379"/>
      <c r="BG3026" s="379"/>
      <c r="BH3026" s="379"/>
      <c r="BI3026" s="379"/>
      <c r="BJ3026" s="379"/>
      <c r="BK3026" s="379"/>
      <c r="BL3026" s="379"/>
      <c r="BM3026" s="379"/>
      <c r="BN3026" s="379"/>
      <c r="BO3026" s="379"/>
      <c r="BP3026" s="379"/>
      <c r="BQ3026" s="379"/>
      <c r="BR3026" s="379"/>
      <c r="BS3026" s="379"/>
      <c r="BT3026" s="379"/>
      <c r="BU3026" s="379"/>
      <c r="BV3026" s="379"/>
      <c r="BW3026" s="379"/>
      <c r="BX3026" s="379"/>
      <c r="BY3026" s="379"/>
      <c r="BZ3026" s="379"/>
      <c r="CA3026" s="281"/>
      <c r="CB3026" s="3" t="str">
        <f t="shared" si="542"/>
        <v>Riadok bude skrytý.</v>
      </c>
      <c r="CC3026" s="271" t="s">
        <v>832</v>
      </c>
      <c r="CW3026" s="30">
        <f t="shared" si="546"/>
        <v>0</v>
      </c>
      <c r="CX3026" s="30">
        <f t="shared" si="547"/>
        <v>0</v>
      </c>
      <c r="CZ3026" s="30">
        <f t="shared" si="544"/>
        <v>1</v>
      </c>
      <c r="DA3026" s="52">
        <f t="shared" si="548"/>
        <v>0</v>
      </c>
      <c r="DB3026" s="140">
        <f t="shared" si="545"/>
        <v>0</v>
      </c>
      <c r="DS3026" s="130">
        <f>SI!BY3026</f>
        <v>715</v>
      </c>
      <c r="DZ3026" s="131">
        <f>SI!BZ3026</f>
        <v>0</v>
      </c>
    </row>
    <row r="3027" spans="1:130" hidden="1" x14ac:dyDescent="0.25">
      <c r="A3027" s="141"/>
      <c r="B3027" s="379"/>
      <c r="C3027" s="379"/>
      <c r="D3027" s="379"/>
      <c r="E3027" s="379"/>
      <c r="F3027" s="379"/>
      <c r="G3027" s="379"/>
      <c r="H3027" s="379"/>
      <c r="I3027" s="379"/>
      <c r="J3027" s="379"/>
      <c r="K3027" s="379"/>
      <c r="L3027" s="379"/>
      <c r="M3027" s="379"/>
      <c r="N3027" s="379"/>
      <c r="O3027" s="379"/>
      <c r="P3027" s="379"/>
      <c r="Q3027" s="379"/>
      <c r="R3027" s="379"/>
      <c r="S3027" s="379"/>
      <c r="T3027" s="379"/>
      <c r="U3027" s="379"/>
      <c r="V3027" s="379"/>
      <c r="W3027" s="379"/>
      <c r="X3027" s="379"/>
      <c r="Y3027" s="379"/>
      <c r="Z3027" s="379"/>
      <c r="AA3027" s="379"/>
      <c r="AB3027" s="379"/>
      <c r="AC3027" s="379"/>
      <c r="AD3027" s="379"/>
      <c r="AE3027" s="379"/>
      <c r="AF3027" s="379"/>
      <c r="AG3027" s="379"/>
      <c r="AH3027" s="379"/>
      <c r="AI3027" s="379"/>
      <c r="AJ3027" s="379"/>
      <c r="AK3027" s="379"/>
      <c r="AL3027" s="379"/>
      <c r="AM3027" s="379"/>
      <c r="AN3027" s="379"/>
      <c r="AO3027" s="379"/>
      <c r="AP3027" s="379"/>
      <c r="AQ3027" s="379"/>
      <c r="AR3027" s="379"/>
      <c r="AS3027" s="379"/>
      <c r="AT3027" s="379"/>
      <c r="AU3027" s="379"/>
      <c r="AV3027" s="379"/>
      <c r="AW3027" s="379"/>
      <c r="AX3027" s="379"/>
      <c r="AY3027" s="379"/>
      <c r="AZ3027" s="379"/>
      <c r="BA3027" s="379"/>
      <c r="BB3027" s="379"/>
      <c r="BC3027" s="379"/>
      <c r="BD3027" s="379"/>
      <c r="BE3027" s="379"/>
      <c r="BF3027" s="379"/>
      <c r="BG3027" s="379"/>
      <c r="BH3027" s="379"/>
      <c r="BI3027" s="379"/>
      <c r="BJ3027" s="379"/>
      <c r="BK3027" s="379"/>
      <c r="BL3027" s="379"/>
      <c r="BM3027" s="379"/>
      <c r="BN3027" s="379"/>
      <c r="BO3027" s="379"/>
      <c r="BP3027" s="379"/>
      <c r="BQ3027" s="379"/>
      <c r="BR3027" s="379"/>
      <c r="BS3027" s="379"/>
      <c r="BT3027" s="379"/>
      <c r="BU3027" s="379"/>
      <c r="BV3027" s="379"/>
      <c r="BW3027" s="379"/>
      <c r="BX3027" s="379"/>
      <c r="BY3027" s="379"/>
      <c r="BZ3027" s="379"/>
      <c r="CA3027" s="281"/>
      <c r="CB3027" s="3" t="str">
        <f t="shared" si="542"/>
        <v>Riadok bude skrytý.</v>
      </c>
      <c r="CC3027" s="271" t="s">
        <v>832</v>
      </c>
      <c r="CW3027" s="30">
        <f t="shared" si="546"/>
        <v>0</v>
      </c>
      <c r="CX3027" s="30">
        <f t="shared" si="547"/>
        <v>0</v>
      </c>
      <c r="CZ3027" s="30">
        <f t="shared" si="544"/>
        <v>1</v>
      </c>
      <c r="DA3027" s="52">
        <f t="shared" si="548"/>
        <v>0</v>
      </c>
      <c r="DB3027" s="140">
        <f t="shared" si="545"/>
        <v>0</v>
      </c>
      <c r="DS3027" s="130">
        <f>SI!BY3027</f>
        <v>118</v>
      </c>
      <c r="DZ3027" s="131">
        <f>SI!BZ3027</f>
        <v>0</v>
      </c>
    </row>
    <row r="3028" spans="1:130" hidden="1" x14ac:dyDescent="0.25">
      <c r="A3028" s="141"/>
      <c r="B3028" s="379"/>
      <c r="C3028" s="379"/>
      <c r="D3028" s="379"/>
      <c r="E3028" s="379"/>
      <c r="F3028" s="379"/>
      <c r="G3028" s="379"/>
      <c r="H3028" s="379"/>
      <c r="I3028" s="379"/>
      <c r="J3028" s="379"/>
      <c r="K3028" s="379"/>
      <c r="L3028" s="379"/>
      <c r="M3028" s="379"/>
      <c r="N3028" s="379"/>
      <c r="O3028" s="379"/>
      <c r="P3028" s="379"/>
      <c r="Q3028" s="379"/>
      <c r="R3028" s="379"/>
      <c r="S3028" s="379"/>
      <c r="T3028" s="379"/>
      <c r="U3028" s="379"/>
      <c r="V3028" s="379"/>
      <c r="W3028" s="379"/>
      <c r="X3028" s="379"/>
      <c r="Y3028" s="379"/>
      <c r="Z3028" s="379"/>
      <c r="AA3028" s="379"/>
      <c r="AB3028" s="379"/>
      <c r="AC3028" s="379"/>
      <c r="AD3028" s="379"/>
      <c r="AE3028" s="379"/>
      <c r="AF3028" s="379"/>
      <c r="AG3028" s="379"/>
      <c r="AH3028" s="379"/>
      <c r="AI3028" s="379"/>
      <c r="AJ3028" s="379"/>
      <c r="AK3028" s="379"/>
      <c r="AL3028" s="379"/>
      <c r="AM3028" s="379"/>
      <c r="AN3028" s="379"/>
      <c r="AO3028" s="379"/>
      <c r="AP3028" s="379"/>
      <c r="AQ3028" s="379"/>
      <c r="AR3028" s="379"/>
      <c r="AS3028" s="379"/>
      <c r="AT3028" s="379"/>
      <c r="AU3028" s="379"/>
      <c r="AV3028" s="379"/>
      <c r="AW3028" s="379"/>
      <c r="AX3028" s="379"/>
      <c r="AY3028" s="379"/>
      <c r="AZ3028" s="379"/>
      <c r="BA3028" s="379"/>
      <c r="BB3028" s="379"/>
      <c r="BC3028" s="379"/>
      <c r="BD3028" s="379"/>
      <c r="BE3028" s="379"/>
      <c r="BF3028" s="379"/>
      <c r="BG3028" s="379"/>
      <c r="BH3028" s="379"/>
      <c r="BI3028" s="379"/>
      <c r="BJ3028" s="379"/>
      <c r="BK3028" s="379"/>
      <c r="BL3028" s="379"/>
      <c r="BM3028" s="379"/>
      <c r="BN3028" s="379"/>
      <c r="BO3028" s="379"/>
      <c r="BP3028" s="379"/>
      <c r="BQ3028" s="379"/>
      <c r="BR3028" s="379"/>
      <c r="BS3028" s="379"/>
      <c r="BT3028" s="379"/>
      <c r="BU3028" s="379"/>
      <c r="BV3028" s="379"/>
      <c r="BW3028" s="379"/>
      <c r="BX3028" s="379"/>
      <c r="BY3028" s="379"/>
      <c r="BZ3028" s="379"/>
      <c r="CA3028" s="281"/>
      <c r="CB3028" s="3" t="str">
        <f t="shared" si="542"/>
        <v>Riadok bude skrytý.</v>
      </c>
      <c r="CC3028" s="271" t="s">
        <v>832</v>
      </c>
      <c r="CW3028" s="30">
        <f t="shared" si="546"/>
        <v>0</v>
      </c>
      <c r="CX3028" s="30">
        <f t="shared" si="547"/>
        <v>0</v>
      </c>
      <c r="CZ3028" s="30">
        <f t="shared" si="544"/>
        <v>1</v>
      </c>
      <c r="DA3028" s="52">
        <f t="shared" si="548"/>
        <v>0</v>
      </c>
      <c r="DB3028" s="140">
        <f t="shared" si="545"/>
        <v>0</v>
      </c>
      <c r="DS3028" s="130">
        <f>SI!BY3028</f>
        <v>1083</v>
      </c>
      <c r="DZ3028" s="131">
        <f>SI!BZ3028</f>
        <v>0</v>
      </c>
    </row>
    <row r="3029" spans="1:130" hidden="1" x14ac:dyDescent="0.25">
      <c r="A3029" s="141"/>
      <c r="B3029" s="379"/>
      <c r="C3029" s="379"/>
      <c r="D3029" s="379"/>
      <c r="E3029" s="379"/>
      <c r="F3029" s="379"/>
      <c r="G3029" s="379"/>
      <c r="H3029" s="379"/>
      <c r="I3029" s="379"/>
      <c r="J3029" s="379"/>
      <c r="K3029" s="379"/>
      <c r="L3029" s="379"/>
      <c r="M3029" s="379"/>
      <c r="N3029" s="379"/>
      <c r="O3029" s="379"/>
      <c r="P3029" s="379"/>
      <c r="Q3029" s="379"/>
      <c r="R3029" s="379"/>
      <c r="S3029" s="379"/>
      <c r="T3029" s="379"/>
      <c r="U3029" s="379"/>
      <c r="V3029" s="379"/>
      <c r="W3029" s="379"/>
      <c r="X3029" s="379"/>
      <c r="Y3029" s="379"/>
      <c r="Z3029" s="379"/>
      <c r="AA3029" s="379"/>
      <c r="AB3029" s="379"/>
      <c r="AC3029" s="379"/>
      <c r="AD3029" s="379"/>
      <c r="AE3029" s="379"/>
      <c r="AF3029" s="379"/>
      <c r="AG3029" s="379"/>
      <c r="AH3029" s="379"/>
      <c r="AI3029" s="379"/>
      <c r="AJ3029" s="379"/>
      <c r="AK3029" s="379"/>
      <c r="AL3029" s="379"/>
      <c r="AM3029" s="379"/>
      <c r="AN3029" s="379"/>
      <c r="AO3029" s="379"/>
      <c r="AP3029" s="379"/>
      <c r="AQ3029" s="379"/>
      <c r="AR3029" s="379"/>
      <c r="AS3029" s="379"/>
      <c r="AT3029" s="379"/>
      <c r="AU3029" s="379"/>
      <c r="AV3029" s="379"/>
      <c r="AW3029" s="379"/>
      <c r="AX3029" s="379"/>
      <c r="AY3029" s="379"/>
      <c r="AZ3029" s="379"/>
      <c r="BA3029" s="379"/>
      <c r="BB3029" s="379"/>
      <c r="BC3029" s="379"/>
      <c r="BD3029" s="379"/>
      <c r="BE3029" s="379"/>
      <c r="BF3029" s="379"/>
      <c r="BG3029" s="379"/>
      <c r="BH3029" s="379"/>
      <c r="BI3029" s="379"/>
      <c r="BJ3029" s="379"/>
      <c r="BK3029" s="379"/>
      <c r="BL3029" s="379"/>
      <c r="BM3029" s="379"/>
      <c r="BN3029" s="379"/>
      <c r="BO3029" s="379"/>
      <c r="BP3029" s="379"/>
      <c r="BQ3029" s="379"/>
      <c r="BR3029" s="379"/>
      <c r="BS3029" s="379"/>
      <c r="BT3029" s="379"/>
      <c r="BU3029" s="379"/>
      <c r="BV3029" s="379"/>
      <c r="BW3029" s="379"/>
      <c r="BX3029" s="379"/>
      <c r="BY3029" s="379"/>
      <c r="BZ3029" s="379"/>
      <c r="CA3029" s="281"/>
      <c r="CB3029" s="3" t="str">
        <f t="shared" si="542"/>
        <v>Riadok bude skrytý.</v>
      </c>
      <c r="CC3029" s="271" t="s">
        <v>832</v>
      </c>
      <c r="CW3029" s="30">
        <f t="shared" si="546"/>
        <v>0</v>
      </c>
      <c r="CX3029" s="30">
        <f t="shared" si="547"/>
        <v>0</v>
      </c>
      <c r="CZ3029" s="30">
        <f t="shared" si="544"/>
        <v>1</v>
      </c>
      <c r="DA3029" s="52">
        <f t="shared" si="548"/>
        <v>0</v>
      </c>
      <c r="DB3029" s="140">
        <f t="shared" si="545"/>
        <v>0</v>
      </c>
      <c r="DS3029" s="130">
        <f>SI!BY3029</f>
        <v>195</v>
      </c>
      <c r="DZ3029" s="131">
        <f>SI!BZ3029</f>
        <v>0</v>
      </c>
    </row>
    <row r="3030" spans="1:130" hidden="1" x14ac:dyDescent="0.25">
      <c r="A3030" s="141"/>
      <c r="B3030" s="379"/>
      <c r="C3030" s="379"/>
      <c r="D3030" s="379"/>
      <c r="E3030" s="379"/>
      <c r="F3030" s="379"/>
      <c r="G3030" s="379"/>
      <c r="H3030" s="379"/>
      <c r="I3030" s="379"/>
      <c r="J3030" s="379"/>
      <c r="K3030" s="379"/>
      <c r="L3030" s="379"/>
      <c r="M3030" s="379"/>
      <c r="N3030" s="379"/>
      <c r="O3030" s="379"/>
      <c r="P3030" s="379"/>
      <c r="Q3030" s="379"/>
      <c r="R3030" s="379"/>
      <c r="S3030" s="379"/>
      <c r="T3030" s="379"/>
      <c r="U3030" s="379"/>
      <c r="V3030" s="379"/>
      <c r="W3030" s="379"/>
      <c r="X3030" s="379"/>
      <c r="Y3030" s="379"/>
      <c r="Z3030" s="379"/>
      <c r="AA3030" s="379"/>
      <c r="AB3030" s="379"/>
      <c r="AC3030" s="379"/>
      <c r="AD3030" s="379"/>
      <c r="AE3030" s="379"/>
      <c r="AF3030" s="379"/>
      <c r="AG3030" s="379"/>
      <c r="AH3030" s="379"/>
      <c r="AI3030" s="379"/>
      <c r="AJ3030" s="379"/>
      <c r="AK3030" s="379"/>
      <c r="AL3030" s="379"/>
      <c r="AM3030" s="379"/>
      <c r="AN3030" s="379"/>
      <c r="AO3030" s="379"/>
      <c r="AP3030" s="379"/>
      <c r="AQ3030" s="379"/>
      <c r="AR3030" s="379"/>
      <c r="AS3030" s="379"/>
      <c r="AT3030" s="379"/>
      <c r="AU3030" s="379"/>
      <c r="AV3030" s="379"/>
      <c r="AW3030" s="379"/>
      <c r="AX3030" s="379"/>
      <c r="AY3030" s="379"/>
      <c r="AZ3030" s="379"/>
      <c r="BA3030" s="379"/>
      <c r="BB3030" s="379"/>
      <c r="BC3030" s="379"/>
      <c r="BD3030" s="379"/>
      <c r="BE3030" s="379"/>
      <c r="BF3030" s="379"/>
      <c r="BG3030" s="379"/>
      <c r="BH3030" s="379"/>
      <c r="BI3030" s="379"/>
      <c r="BJ3030" s="379"/>
      <c r="BK3030" s="379"/>
      <c r="BL3030" s="379"/>
      <c r="BM3030" s="379"/>
      <c r="BN3030" s="379"/>
      <c r="BO3030" s="379"/>
      <c r="BP3030" s="379"/>
      <c r="BQ3030" s="379"/>
      <c r="BR3030" s="379"/>
      <c r="BS3030" s="379"/>
      <c r="BT3030" s="379"/>
      <c r="BU3030" s="379"/>
      <c r="BV3030" s="379"/>
      <c r="BW3030" s="379"/>
      <c r="BX3030" s="379"/>
      <c r="BY3030" s="379"/>
      <c r="BZ3030" s="379"/>
      <c r="CA3030" s="281"/>
      <c r="CB3030" s="3" t="str">
        <f t="shared" si="542"/>
        <v>Riadok bude skrytý.</v>
      </c>
      <c r="CC3030" s="271" t="s">
        <v>832</v>
      </c>
      <c r="CW3030" s="30">
        <f t="shared" si="546"/>
        <v>0</v>
      </c>
      <c r="CX3030" s="30">
        <f t="shared" si="547"/>
        <v>0</v>
      </c>
      <c r="CZ3030" s="30">
        <f t="shared" si="544"/>
        <v>1</v>
      </c>
      <c r="DA3030" s="52">
        <f t="shared" si="548"/>
        <v>0</v>
      </c>
      <c r="DB3030" s="140">
        <f t="shared" si="545"/>
        <v>0</v>
      </c>
      <c r="DS3030" s="130">
        <f>SI!BY3030</f>
        <v>336</v>
      </c>
      <c r="DZ3030" s="131">
        <f>SI!BZ3030</f>
        <v>0</v>
      </c>
    </row>
    <row r="3031" spans="1:130" hidden="1" x14ac:dyDescent="0.25">
      <c r="A3031" s="141"/>
      <c r="B3031" s="379"/>
      <c r="C3031" s="379"/>
      <c r="D3031" s="379"/>
      <c r="E3031" s="379"/>
      <c r="F3031" s="379"/>
      <c r="G3031" s="379"/>
      <c r="H3031" s="379"/>
      <c r="I3031" s="379"/>
      <c r="J3031" s="379"/>
      <c r="K3031" s="379"/>
      <c r="L3031" s="379"/>
      <c r="M3031" s="379"/>
      <c r="N3031" s="379"/>
      <c r="O3031" s="379"/>
      <c r="P3031" s="379"/>
      <c r="Q3031" s="379"/>
      <c r="R3031" s="379"/>
      <c r="S3031" s="379"/>
      <c r="T3031" s="379"/>
      <c r="U3031" s="379"/>
      <c r="V3031" s="379"/>
      <c r="W3031" s="379"/>
      <c r="X3031" s="379"/>
      <c r="Y3031" s="379"/>
      <c r="Z3031" s="379"/>
      <c r="AA3031" s="379"/>
      <c r="AB3031" s="379"/>
      <c r="AC3031" s="379"/>
      <c r="AD3031" s="379"/>
      <c r="AE3031" s="379"/>
      <c r="AF3031" s="379"/>
      <c r="AG3031" s="379"/>
      <c r="AH3031" s="379"/>
      <c r="AI3031" s="379"/>
      <c r="AJ3031" s="379"/>
      <c r="AK3031" s="379"/>
      <c r="AL3031" s="379"/>
      <c r="AM3031" s="379"/>
      <c r="AN3031" s="379"/>
      <c r="AO3031" s="379"/>
      <c r="AP3031" s="379"/>
      <c r="AQ3031" s="379"/>
      <c r="AR3031" s="379"/>
      <c r="AS3031" s="379"/>
      <c r="AT3031" s="379"/>
      <c r="AU3031" s="379"/>
      <c r="AV3031" s="379"/>
      <c r="AW3031" s="379"/>
      <c r="AX3031" s="379"/>
      <c r="AY3031" s="379"/>
      <c r="AZ3031" s="379"/>
      <c r="BA3031" s="379"/>
      <c r="BB3031" s="379"/>
      <c r="BC3031" s="379"/>
      <c r="BD3031" s="379"/>
      <c r="BE3031" s="379"/>
      <c r="BF3031" s="379"/>
      <c r="BG3031" s="379"/>
      <c r="BH3031" s="379"/>
      <c r="BI3031" s="379"/>
      <c r="BJ3031" s="379"/>
      <c r="BK3031" s="379"/>
      <c r="BL3031" s="379"/>
      <c r="BM3031" s="379"/>
      <c r="BN3031" s="379"/>
      <c r="BO3031" s="379"/>
      <c r="BP3031" s="379"/>
      <c r="BQ3031" s="379"/>
      <c r="BR3031" s="379"/>
      <c r="BS3031" s="379"/>
      <c r="BT3031" s="379"/>
      <c r="BU3031" s="379"/>
      <c r="BV3031" s="379"/>
      <c r="BW3031" s="379"/>
      <c r="BX3031" s="379"/>
      <c r="BY3031" s="379"/>
      <c r="BZ3031" s="379"/>
      <c r="CA3031" s="281"/>
      <c r="CB3031" s="3" t="str">
        <f t="shared" si="542"/>
        <v>Riadok bude skrytý.</v>
      </c>
      <c r="CC3031" s="271" t="s">
        <v>832</v>
      </c>
      <c r="CW3031" s="30">
        <f t="shared" si="546"/>
        <v>0</v>
      </c>
      <c r="CX3031" s="30">
        <f t="shared" si="547"/>
        <v>0</v>
      </c>
      <c r="CZ3031" s="30">
        <f t="shared" si="544"/>
        <v>1</v>
      </c>
      <c r="DA3031" s="52">
        <f t="shared" si="548"/>
        <v>0</v>
      </c>
      <c r="DB3031" s="140">
        <f t="shared" si="545"/>
        <v>0</v>
      </c>
      <c r="DS3031" s="130">
        <f>SI!BY3031</f>
        <v>205</v>
      </c>
      <c r="DZ3031" s="131">
        <f>SI!BZ3031</f>
        <v>0</v>
      </c>
    </row>
    <row r="3032" spans="1:130" hidden="1" x14ac:dyDescent="0.25">
      <c r="A3032" s="141"/>
      <c r="B3032" s="379"/>
      <c r="C3032" s="379"/>
      <c r="D3032" s="379"/>
      <c r="E3032" s="379"/>
      <c r="F3032" s="379"/>
      <c r="G3032" s="379"/>
      <c r="H3032" s="379"/>
      <c r="I3032" s="379"/>
      <c r="J3032" s="379"/>
      <c r="K3032" s="379"/>
      <c r="L3032" s="379"/>
      <c r="M3032" s="379"/>
      <c r="N3032" s="379"/>
      <c r="O3032" s="379"/>
      <c r="P3032" s="379"/>
      <c r="Q3032" s="379"/>
      <c r="R3032" s="379"/>
      <c r="S3032" s="379"/>
      <c r="T3032" s="379"/>
      <c r="U3032" s="379"/>
      <c r="V3032" s="379"/>
      <c r="W3032" s="379"/>
      <c r="X3032" s="379"/>
      <c r="Y3032" s="379"/>
      <c r="Z3032" s="379"/>
      <c r="AA3032" s="379"/>
      <c r="AB3032" s="379"/>
      <c r="AC3032" s="379"/>
      <c r="AD3032" s="379"/>
      <c r="AE3032" s="379"/>
      <c r="AF3032" s="379"/>
      <c r="AG3032" s="379"/>
      <c r="AH3032" s="379"/>
      <c r="AI3032" s="379"/>
      <c r="AJ3032" s="379"/>
      <c r="AK3032" s="379"/>
      <c r="AL3032" s="379"/>
      <c r="AM3032" s="379"/>
      <c r="AN3032" s="379"/>
      <c r="AO3032" s="379"/>
      <c r="AP3032" s="379"/>
      <c r="AQ3032" s="379"/>
      <c r="AR3032" s="379"/>
      <c r="AS3032" s="379"/>
      <c r="AT3032" s="379"/>
      <c r="AU3032" s="379"/>
      <c r="AV3032" s="379"/>
      <c r="AW3032" s="379"/>
      <c r="AX3032" s="379"/>
      <c r="AY3032" s="379"/>
      <c r="AZ3032" s="379"/>
      <c r="BA3032" s="379"/>
      <c r="BB3032" s="379"/>
      <c r="BC3032" s="379"/>
      <c r="BD3032" s="379"/>
      <c r="BE3032" s="379"/>
      <c r="BF3032" s="379"/>
      <c r="BG3032" s="379"/>
      <c r="BH3032" s="379"/>
      <c r="BI3032" s="379"/>
      <c r="BJ3032" s="379"/>
      <c r="BK3032" s="379"/>
      <c r="BL3032" s="379"/>
      <c r="BM3032" s="379"/>
      <c r="BN3032" s="379"/>
      <c r="BO3032" s="379"/>
      <c r="BP3032" s="379"/>
      <c r="BQ3032" s="379"/>
      <c r="BR3032" s="379"/>
      <c r="BS3032" s="379"/>
      <c r="BT3032" s="379"/>
      <c r="BU3032" s="379"/>
      <c r="BV3032" s="379"/>
      <c r="BW3032" s="379"/>
      <c r="BX3032" s="379"/>
      <c r="BY3032" s="379"/>
      <c r="BZ3032" s="379"/>
      <c r="CA3032" s="281"/>
      <c r="CB3032" s="3" t="str">
        <f t="shared" si="542"/>
        <v>Riadok bude skrytý.</v>
      </c>
      <c r="CC3032" s="271" t="s">
        <v>832</v>
      </c>
      <c r="CW3032" s="30">
        <f t="shared" si="546"/>
        <v>0</v>
      </c>
      <c r="CX3032" s="30">
        <f t="shared" si="547"/>
        <v>0</v>
      </c>
      <c r="CZ3032" s="30">
        <f t="shared" si="544"/>
        <v>1</v>
      </c>
      <c r="DA3032" s="52">
        <f t="shared" si="548"/>
        <v>0</v>
      </c>
      <c r="DB3032" s="140">
        <f t="shared" si="545"/>
        <v>0</v>
      </c>
      <c r="DS3032" s="130">
        <f>SI!BY3032</f>
        <v>219</v>
      </c>
      <c r="DZ3032" s="131">
        <f>SI!BZ3032</f>
        <v>0</v>
      </c>
    </row>
    <row r="3033" spans="1:130" hidden="1" x14ac:dyDescent="0.25">
      <c r="A3033" s="141"/>
      <c r="B3033" s="379"/>
      <c r="C3033" s="379"/>
      <c r="D3033" s="379"/>
      <c r="E3033" s="379"/>
      <c r="F3033" s="379"/>
      <c r="G3033" s="379"/>
      <c r="H3033" s="379"/>
      <c r="I3033" s="379"/>
      <c r="J3033" s="379"/>
      <c r="K3033" s="379"/>
      <c r="L3033" s="379"/>
      <c r="M3033" s="379"/>
      <c r="N3033" s="379"/>
      <c r="O3033" s="379"/>
      <c r="P3033" s="379"/>
      <c r="Q3033" s="379"/>
      <c r="R3033" s="379"/>
      <c r="S3033" s="379"/>
      <c r="T3033" s="379"/>
      <c r="U3033" s="379"/>
      <c r="V3033" s="379"/>
      <c r="W3033" s="379"/>
      <c r="X3033" s="379"/>
      <c r="Y3033" s="379"/>
      <c r="Z3033" s="379"/>
      <c r="AA3033" s="379"/>
      <c r="AB3033" s="379"/>
      <c r="AC3033" s="379"/>
      <c r="AD3033" s="379"/>
      <c r="AE3033" s="379"/>
      <c r="AF3033" s="379"/>
      <c r="AG3033" s="379"/>
      <c r="AH3033" s="379"/>
      <c r="AI3033" s="379"/>
      <c r="AJ3033" s="379"/>
      <c r="AK3033" s="379"/>
      <c r="AL3033" s="379"/>
      <c r="AM3033" s="379"/>
      <c r="AN3033" s="379"/>
      <c r="AO3033" s="379"/>
      <c r="AP3033" s="379"/>
      <c r="AQ3033" s="379"/>
      <c r="AR3033" s="379"/>
      <c r="AS3033" s="379"/>
      <c r="AT3033" s="379"/>
      <c r="AU3033" s="379"/>
      <c r="AV3033" s="379"/>
      <c r="AW3033" s="379"/>
      <c r="AX3033" s="379"/>
      <c r="AY3033" s="379"/>
      <c r="AZ3033" s="379"/>
      <c r="BA3033" s="379"/>
      <c r="BB3033" s="379"/>
      <c r="BC3033" s="379"/>
      <c r="BD3033" s="379"/>
      <c r="BE3033" s="379"/>
      <c r="BF3033" s="379"/>
      <c r="BG3033" s="379"/>
      <c r="BH3033" s="379"/>
      <c r="BI3033" s="379"/>
      <c r="BJ3033" s="379"/>
      <c r="BK3033" s="379"/>
      <c r="BL3033" s="379"/>
      <c r="BM3033" s="379"/>
      <c r="BN3033" s="379"/>
      <c r="BO3033" s="379"/>
      <c r="BP3033" s="379"/>
      <c r="BQ3033" s="379"/>
      <c r="BR3033" s="379"/>
      <c r="BS3033" s="379"/>
      <c r="BT3033" s="379"/>
      <c r="BU3033" s="379"/>
      <c r="BV3033" s="379"/>
      <c r="BW3033" s="379"/>
      <c r="BX3033" s="379"/>
      <c r="BY3033" s="379"/>
      <c r="BZ3033" s="379"/>
      <c r="CA3033" s="281"/>
      <c r="CB3033" s="3" t="str">
        <f t="shared" si="542"/>
        <v>Riadok bude skrytý.</v>
      </c>
      <c r="CC3033" s="271" t="s">
        <v>832</v>
      </c>
      <c r="CW3033" s="30">
        <f t="shared" si="546"/>
        <v>0</v>
      </c>
      <c r="CX3033" s="30">
        <f t="shared" si="547"/>
        <v>0</v>
      </c>
      <c r="CZ3033" s="30">
        <f t="shared" si="544"/>
        <v>1</v>
      </c>
      <c r="DA3033" s="52">
        <f t="shared" si="548"/>
        <v>0</v>
      </c>
      <c r="DB3033" s="140">
        <f t="shared" si="545"/>
        <v>0</v>
      </c>
      <c r="DS3033" s="130">
        <f>SI!BY3033</f>
        <v>206</v>
      </c>
      <c r="DZ3033" s="131">
        <f>SI!BZ3033</f>
        <v>0</v>
      </c>
    </row>
    <row r="3034" spans="1:130" hidden="1" x14ac:dyDescent="0.25">
      <c r="A3034" s="141"/>
      <c r="B3034" s="379"/>
      <c r="C3034" s="379"/>
      <c r="D3034" s="379"/>
      <c r="E3034" s="379"/>
      <c r="F3034" s="379"/>
      <c r="G3034" s="379"/>
      <c r="H3034" s="379"/>
      <c r="I3034" s="379"/>
      <c r="J3034" s="379"/>
      <c r="K3034" s="379"/>
      <c r="L3034" s="379"/>
      <c r="M3034" s="379"/>
      <c r="N3034" s="379"/>
      <c r="O3034" s="379"/>
      <c r="P3034" s="379"/>
      <c r="Q3034" s="379"/>
      <c r="R3034" s="379"/>
      <c r="S3034" s="379"/>
      <c r="T3034" s="379"/>
      <c r="U3034" s="379"/>
      <c r="V3034" s="379"/>
      <c r="W3034" s="379"/>
      <c r="X3034" s="379"/>
      <c r="Y3034" s="379"/>
      <c r="Z3034" s="379"/>
      <c r="AA3034" s="379"/>
      <c r="AB3034" s="379"/>
      <c r="AC3034" s="379"/>
      <c r="AD3034" s="379"/>
      <c r="AE3034" s="379"/>
      <c r="AF3034" s="379"/>
      <c r="AG3034" s="379"/>
      <c r="AH3034" s="379"/>
      <c r="AI3034" s="379"/>
      <c r="AJ3034" s="379"/>
      <c r="AK3034" s="379"/>
      <c r="AL3034" s="379"/>
      <c r="AM3034" s="379"/>
      <c r="AN3034" s="379"/>
      <c r="AO3034" s="379"/>
      <c r="AP3034" s="379"/>
      <c r="AQ3034" s="379"/>
      <c r="AR3034" s="379"/>
      <c r="AS3034" s="379"/>
      <c r="AT3034" s="379"/>
      <c r="AU3034" s="379"/>
      <c r="AV3034" s="379"/>
      <c r="AW3034" s="379"/>
      <c r="AX3034" s="379"/>
      <c r="AY3034" s="379"/>
      <c r="AZ3034" s="379"/>
      <c r="BA3034" s="379"/>
      <c r="BB3034" s="379"/>
      <c r="BC3034" s="379"/>
      <c r="BD3034" s="379"/>
      <c r="BE3034" s="379"/>
      <c r="BF3034" s="379"/>
      <c r="BG3034" s="379"/>
      <c r="BH3034" s="379"/>
      <c r="BI3034" s="379"/>
      <c r="BJ3034" s="379"/>
      <c r="BK3034" s="379"/>
      <c r="BL3034" s="379"/>
      <c r="BM3034" s="379"/>
      <c r="BN3034" s="379"/>
      <c r="BO3034" s="379"/>
      <c r="BP3034" s="379"/>
      <c r="BQ3034" s="379"/>
      <c r="BR3034" s="379"/>
      <c r="BS3034" s="379"/>
      <c r="BT3034" s="379"/>
      <c r="BU3034" s="379"/>
      <c r="BV3034" s="379"/>
      <c r="BW3034" s="379"/>
      <c r="BX3034" s="379"/>
      <c r="BY3034" s="379"/>
      <c r="BZ3034" s="379"/>
      <c r="CA3034" s="281"/>
      <c r="CB3034" s="3" t="str">
        <f t="shared" si="542"/>
        <v>Riadok bude skrytý.</v>
      </c>
      <c r="CC3034" s="271" t="s">
        <v>832</v>
      </c>
      <c r="CW3034" s="30">
        <f t="shared" si="546"/>
        <v>0</v>
      </c>
      <c r="CX3034" s="30">
        <f t="shared" si="547"/>
        <v>0</v>
      </c>
      <c r="CZ3034" s="30">
        <f t="shared" si="544"/>
        <v>1</v>
      </c>
      <c r="DA3034" s="52">
        <f t="shared" si="548"/>
        <v>0</v>
      </c>
      <c r="DB3034" s="140">
        <f t="shared" si="545"/>
        <v>0</v>
      </c>
      <c r="DS3034" s="130">
        <f>SI!BY3034</f>
        <v>132</v>
      </c>
      <c r="DZ3034" s="131">
        <f>SI!BZ3034</f>
        <v>0</v>
      </c>
    </row>
    <row r="3035" spans="1:130" hidden="1" x14ac:dyDescent="0.25">
      <c r="A3035" s="141"/>
      <c r="B3035" s="379"/>
      <c r="C3035" s="379"/>
      <c r="D3035" s="379"/>
      <c r="E3035" s="379"/>
      <c r="F3035" s="379"/>
      <c r="G3035" s="379"/>
      <c r="H3035" s="379"/>
      <c r="I3035" s="379"/>
      <c r="J3035" s="379"/>
      <c r="K3035" s="379"/>
      <c r="L3035" s="379"/>
      <c r="M3035" s="379"/>
      <c r="N3035" s="379"/>
      <c r="O3035" s="379"/>
      <c r="P3035" s="379"/>
      <c r="Q3035" s="379"/>
      <c r="R3035" s="379"/>
      <c r="S3035" s="379"/>
      <c r="T3035" s="379"/>
      <c r="U3035" s="379"/>
      <c r="V3035" s="379"/>
      <c r="W3035" s="379"/>
      <c r="X3035" s="379"/>
      <c r="Y3035" s="379"/>
      <c r="Z3035" s="379"/>
      <c r="AA3035" s="379"/>
      <c r="AB3035" s="379"/>
      <c r="AC3035" s="379"/>
      <c r="AD3035" s="379"/>
      <c r="AE3035" s="379"/>
      <c r="AF3035" s="379"/>
      <c r="AG3035" s="379"/>
      <c r="AH3035" s="379"/>
      <c r="AI3035" s="379"/>
      <c r="AJ3035" s="379"/>
      <c r="AK3035" s="379"/>
      <c r="AL3035" s="379"/>
      <c r="AM3035" s="379"/>
      <c r="AN3035" s="379"/>
      <c r="AO3035" s="379"/>
      <c r="AP3035" s="379"/>
      <c r="AQ3035" s="379"/>
      <c r="AR3035" s="379"/>
      <c r="AS3035" s="379"/>
      <c r="AT3035" s="379"/>
      <c r="AU3035" s="379"/>
      <c r="AV3035" s="379"/>
      <c r="AW3035" s="379"/>
      <c r="AX3035" s="379"/>
      <c r="AY3035" s="379"/>
      <c r="AZ3035" s="379"/>
      <c r="BA3035" s="379"/>
      <c r="BB3035" s="379"/>
      <c r="BC3035" s="379"/>
      <c r="BD3035" s="379"/>
      <c r="BE3035" s="379"/>
      <c r="BF3035" s="379"/>
      <c r="BG3035" s="379"/>
      <c r="BH3035" s="379"/>
      <c r="BI3035" s="379"/>
      <c r="BJ3035" s="379"/>
      <c r="BK3035" s="379"/>
      <c r="BL3035" s="379"/>
      <c r="BM3035" s="379"/>
      <c r="BN3035" s="379"/>
      <c r="BO3035" s="379"/>
      <c r="BP3035" s="379"/>
      <c r="BQ3035" s="379"/>
      <c r="BR3035" s="379"/>
      <c r="BS3035" s="379"/>
      <c r="BT3035" s="379"/>
      <c r="BU3035" s="379"/>
      <c r="BV3035" s="379"/>
      <c r="BW3035" s="379"/>
      <c r="BX3035" s="379"/>
      <c r="BY3035" s="379"/>
      <c r="BZ3035" s="379"/>
      <c r="CA3035" s="281"/>
      <c r="CB3035" s="3" t="str">
        <f t="shared" si="542"/>
        <v>Riadok bude skrytý.</v>
      </c>
      <c r="CC3035" s="271" t="s">
        <v>832</v>
      </c>
      <c r="CW3035" s="30">
        <f t="shared" si="546"/>
        <v>0</v>
      </c>
      <c r="CX3035" s="30">
        <f t="shared" si="547"/>
        <v>0</v>
      </c>
      <c r="CZ3035" s="30">
        <f t="shared" si="544"/>
        <v>1</v>
      </c>
      <c r="DA3035" s="52">
        <f t="shared" si="548"/>
        <v>0</v>
      </c>
      <c r="DB3035" s="140">
        <f t="shared" si="545"/>
        <v>0</v>
      </c>
      <c r="DS3035" s="130">
        <f>SI!BY3035</f>
        <v>146</v>
      </c>
      <c r="DZ3035" s="131">
        <f>SI!BZ3035</f>
        <v>0</v>
      </c>
    </row>
    <row r="3036" spans="1:130" hidden="1" x14ac:dyDescent="0.25">
      <c r="A3036" s="141"/>
      <c r="B3036" s="379"/>
      <c r="C3036" s="379"/>
      <c r="D3036" s="379"/>
      <c r="E3036" s="379"/>
      <c r="F3036" s="379"/>
      <c r="G3036" s="379"/>
      <c r="H3036" s="379"/>
      <c r="I3036" s="379"/>
      <c r="J3036" s="379"/>
      <c r="K3036" s="379"/>
      <c r="L3036" s="379"/>
      <c r="M3036" s="379"/>
      <c r="N3036" s="379"/>
      <c r="O3036" s="379"/>
      <c r="P3036" s="379"/>
      <c r="Q3036" s="379"/>
      <c r="R3036" s="379"/>
      <c r="S3036" s="379"/>
      <c r="T3036" s="379"/>
      <c r="U3036" s="379"/>
      <c r="V3036" s="379"/>
      <c r="W3036" s="379"/>
      <c r="X3036" s="379"/>
      <c r="Y3036" s="379"/>
      <c r="Z3036" s="379"/>
      <c r="AA3036" s="379"/>
      <c r="AB3036" s="379"/>
      <c r="AC3036" s="379"/>
      <c r="AD3036" s="379"/>
      <c r="AE3036" s="379"/>
      <c r="AF3036" s="379"/>
      <c r="AG3036" s="379"/>
      <c r="AH3036" s="379"/>
      <c r="AI3036" s="379"/>
      <c r="AJ3036" s="379"/>
      <c r="AK3036" s="379"/>
      <c r="AL3036" s="379"/>
      <c r="AM3036" s="379"/>
      <c r="AN3036" s="379"/>
      <c r="AO3036" s="379"/>
      <c r="AP3036" s="379"/>
      <c r="AQ3036" s="379"/>
      <c r="AR3036" s="379"/>
      <c r="AS3036" s="379"/>
      <c r="AT3036" s="379"/>
      <c r="AU3036" s="379"/>
      <c r="AV3036" s="379"/>
      <c r="AW3036" s="379"/>
      <c r="AX3036" s="379"/>
      <c r="AY3036" s="379"/>
      <c r="AZ3036" s="379"/>
      <c r="BA3036" s="379"/>
      <c r="BB3036" s="379"/>
      <c r="BC3036" s="379"/>
      <c r="BD3036" s="379"/>
      <c r="BE3036" s="379"/>
      <c r="BF3036" s="379"/>
      <c r="BG3036" s="379"/>
      <c r="BH3036" s="379"/>
      <c r="BI3036" s="379"/>
      <c r="BJ3036" s="379"/>
      <c r="BK3036" s="379"/>
      <c r="BL3036" s="379"/>
      <c r="BM3036" s="379"/>
      <c r="BN3036" s="379"/>
      <c r="BO3036" s="379"/>
      <c r="BP3036" s="379"/>
      <c r="BQ3036" s="379"/>
      <c r="BR3036" s="379"/>
      <c r="BS3036" s="379"/>
      <c r="BT3036" s="379"/>
      <c r="BU3036" s="379"/>
      <c r="BV3036" s="379"/>
      <c r="BW3036" s="379"/>
      <c r="BX3036" s="379"/>
      <c r="BY3036" s="379"/>
      <c r="BZ3036" s="379"/>
      <c r="CA3036" s="281"/>
      <c r="CB3036" s="3" t="str">
        <f t="shared" si="542"/>
        <v>Riadok bude skrytý.</v>
      </c>
      <c r="CC3036" s="271" t="s">
        <v>832</v>
      </c>
      <c r="CW3036" s="30">
        <f t="shared" si="546"/>
        <v>0</v>
      </c>
      <c r="CX3036" s="30">
        <f t="shared" si="547"/>
        <v>0</v>
      </c>
      <c r="CZ3036" s="30">
        <f t="shared" si="544"/>
        <v>1</v>
      </c>
      <c r="DA3036" s="52">
        <f t="shared" si="548"/>
        <v>0</v>
      </c>
      <c r="DB3036" s="140">
        <f t="shared" si="545"/>
        <v>0</v>
      </c>
      <c r="DS3036" s="130">
        <f>SI!BY3036</f>
        <v>134</v>
      </c>
      <c r="DZ3036" s="131">
        <f>SI!BZ3036</f>
        <v>0</v>
      </c>
    </row>
    <row r="3037" spans="1:130" hidden="1" x14ac:dyDescent="0.25">
      <c r="A3037" s="141"/>
      <c r="B3037" s="379"/>
      <c r="C3037" s="379"/>
      <c r="D3037" s="379"/>
      <c r="E3037" s="379"/>
      <c r="F3037" s="379"/>
      <c r="G3037" s="379"/>
      <c r="H3037" s="379"/>
      <c r="I3037" s="379"/>
      <c r="J3037" s="379"/>
      <c r="K3037" s="379"/>
      <c r="L3037" s="379"/>
      <c r="M3037" s="379"/>
      <c r="N3037" s="379"/>
      <c r="O3037" s="379"/>
      <c r="P3037" s="379"/>
      <c r="Q3037" s="379"/>
      <c r="R3037" s="379"/>
      <c r="S3037" s="379"/>
      <c r="T3037" s="379"/>
      <c r="U3037" s="379"/>
      <c r="V3037" s="379"/>
      <c r="W3037" s="379"/>
      <c r="X3037" s="379"/>
      <c r="Y3037" s="379"/>
      <c r="Z3037" s="379"/>
      <c r="AA3037" s="379"/>
      <c r="AB3037" s="379"/>
      <c r="AC3037" s="379"/>
      <c r="AD3037" s="379"/>
      <c r="AE3037" s="379"/>
      <c r="AF3037" s="379"/>
      <c r="AG3037" s="379"/>
      <c r="AH3037" s="379"/>
      <c r="AI3037" s="379"/>
      <c r="AJ3037" s="379"/>
      <c r="AK3037" s="379"/>
      <c r="AL3037" s="379"/>
      <c r="AM3037" s="379"/>
      <c r="AN3037" s="379"/>
      <c r="AO3037" s="379"/>
      <c r="AP3037" s="379"/>
      <c r="AQ3037" s="379"/>
      <c r="AR3037" s="379"/>
      <c r="AS3037" s="379"/>
      <c r="AT3037" s="379"/>
      <c r="AU3037" s="379"/>
      <c r="AV3037" s="379"/>
      <c r="AW3037" s="379"/>
      <c r="AX3037" s="379"/>
      <c r="AY3037" s="379"/>
      <c r="AZ3037" s="379"/>
      <c r="BA3037" s="379"/>
      <c r="BB3037" s="379"/>
      <c r="BC3037" s="379"/>
      <c r="BD3037" s="379"/>
      <c r="BE3037" s="379"/>
      <c r="BF3037" s="379"/>
      <c r="BG3037" s="379"/>
      <c r="BH3037" s="379"/>
      <c r="BI3037" s="379"/>
      <c r="BJ3037" s="379"/>
      <c r="BK3037" s="379"/>
      <c r="BL3037" s="379"/>
      <c r="BM3037" s="379"/>
      <c r="BN3037" s="379"/>
      <c r="BO3037" s="379"/>
      <c r="BP3037" s="379"/>
      <c r="BQ3037" s="379"/>
      <c r="BR3037" s="379"/>
      <c r="BS3037" s="379"/>
      <c r="BT3037" s="379"/>
      <c r="BU3037" s="379"/>
      <c r="BV3037" s="379"/>
      <c r="BW3037" s="379"/>
      <c r="BX3037" s="379"/>
      <c r="BY3037" s="379"/>
      <c r="BZ3037" s="379"/>
      <c r="CA3037" s="281"/>
      <c r="CB3037" s="3" t="str">
        <f t="shared" si="542"/>
        <v>Riadok bude skrytý.</v>
      </c>
      <c r="CC3037" s="271" t="s">
        <v>832</v>
      </c>
      <c r="CW3037" s="30">
        <f t="shared" si="546"/>
        <v>0</v>
      </c>
      <c r="CX3037" s="30">
        <f t="shared" si="547"/>
        <v>0</v>
      </c>
      <c r="CZ3037" s="30">
        <f t="shared" si="544"/>
        <v>1</v>
      </c>
      <c r="DA3037" s="52">
        <f t="shared" si="548"/>
        <v>0</v>
      </c>
      <c r="DB3037" s="140">
        <f t="shared" si="545"/>
        <v>0</v>
      </c>
      <c r="DS3037" s="130">
        <f>SI!BY3037</f>
        <v>169</v>
      </c>
      <c r="DZ3037" s="131">
        <f>SI!BZ3037</f>
        <v>0</v>
      </c>
    </row>
    <row r="3038" spans="1:130" hidden="1" x14ac:dyDescent="0.25">
      <c r="A3038" s="141"/>
      <c r="CA3038" s="142"/>
      <c r="CB3038" s="3" t="str">
        <f t="shared" si="542"/>
        <v>Riadok bude skrytý.</v>
      </c>
      <c r="CC3038" s="271" t="s">
        <v>832</v>
      </c>
      <c r="CW3038" s="30">
        <f t="shared" si="546"/>
        <v>0</v>
      </c>
      <c r="CZ3038" s="30">
        <f t="shared" si="544"/>
        <v>1</v>
      </c>
      <c r="DA3038" s="30">
        <f>+IF(CW3038+CX3038+CY3038=0,0,IF(CZ3038=0,0,1))</f>
        <v>0</v>
      </c>
      <c r="DB3038" s="140">
        <f t="shared" si="545"/>
        <v>0</v>
      </c>
      <c r="DS3038" s="130">
        <f>SI!BY3038</f>
        <v>144</v>
      </c>
      <c r="DZ3038" s="131">
        <f>SI!BZ3038</f>
        <v>0</v>
      </c>
    </row>
    <row r="3039" spans="1:130" ht="16.3" hidden="1" x14ac:dyDescent="0.3">
      <c r="A3039" s="141"/>
      <c r="B3039" s="300" t="s">
        <v>355</v>
      </c>
      <c r="C3039" s="288"/>
      <c r="D3039" s="288"/>
      <c r="E3039" s="288"/>
      <c r="F3039" s="288"/>
      <c r="G3039" s="300" t="str">
        <f>+IF($S$52&lt;&gt;"",IF((CODE(MID($S$52,1,1))/100)&lt;10,IF(COMBIN(LEN(SI!J3),2)=DS3039,"Najatý majetok","NEPOVOLENÉ POUŽITIE !"),"NEPOVOLENÉ POUŽITIE!"),"NEPOVOLENÉ POUŽITIE !")</f>
        <v>Najatý majetok</v>
      </c>
      <c r="H3039" s="300"/>
      <c r="I3039" s="288"/>
      <c r="J3039" s="288"/>
      <c r="K3039" s="288"/>
      <c r="L3039" s="288"/>
      <c r="M3039" s="288"/>
      <c r="N3039" s="288"/>
      <c r="O3039" s="288"/>
      <c r="P3039" s="288"/>
      <c r="Q3039" s="288"/>
      <c r="R3039" s="288"/>
      <c r="S3039" s="288"/>
      <c r="T3039" s="288"/>
      <c r="U3039" s="288"/>
      <c r="V3039" s="288"/>
      <c r="W3039" s="288"/>
      <c r="X3039" s="288"/>
      <c r="Y3039" s="288"/>
      <c r="Z3039" s="288"/>
      <c r="AA3039" s="288"/>
      <c r="AB3039" s="288"/>
      <c r="AC3039" s="288"/>
      <c r="AD3039" s="288"/>
      <c r="AE3039" s="288"/>
      <c r="AF3039" s="288"/>
      <c r="AG3039" s="288"/>
      <c r="AH3039" s="288"/>
      <c r="AI3039" s="288"/>
      <c r="AJ3039" s="288"/>
      <c r="AK3039" s="288"/>
      <c r="AL3039" s="288"/>
      <c r="AM3039" s="288"/>
      <c r="AN3039" s="288"/>
      <c r="AO3039" s="288"/>
      <c r="AP3039" s="288"/>
      <c r="AQ3039" s="288"/>
      <c r="AR3039" s="288"/>
      <c r="AS3039" s="288"/>
      <c r="AT3039" s="288"/>
      <c r="AU3039" s="288"/>
      <c r="AV3039" s="288"/>
      <c r="AW3039" s="288"/>
      <c r="AX3039" s="288"/>
      <c r="AY3039" s="288"/>
      <c r="AZ3039" s="288"/>
      <c r="BA3039" s="288"/>
      <c r="BB3039" s="288"/>
      <c r="BC3039" s="288"/>
      <c r="BD3039" s="288"/>
      <c r="BE3039" s="288"/>
      <c r="BF3039" s="288"/>
      <c r="BG3039" s="288"/>
      <c r="BH3039" s="288"/>
      <c r="BI3039" s="288"/>
      <c r="BJ3039" s="288"/>
      <c r="BK3039" s="288"/>
      <c r="BL3039" s="288"/>
      <c r="BM3039" s="288"/>
      <c r="BN3039" s="288"/>
      <c r="BO3039" s="288"/>
      <c r="BP3039" s="288"/>
      <c r="BQ3039" s="288"/>
      <c r="BR3039" s="288"/>
      <c r="BS3039" s="288"/>
      <c r="BT3039" s="288"/>
      <c r="BU3039" s="288"/>
      <c r="BV3039" s="288"/>
      <c r="BW3039" s="288"/>
      <c r="BX3039" s="288"/>
      <c r="BY3039" s="288"/>
      <c r="BZ3039" s="288"/>
      <c r="CA3039" s="270" t="s">
        <v>773</v>
      </c>
      <c r="CB3039" s="3" t="str">
        <f t="shared" si="542"/>
        <v>Riadok bude skrytý.</v>
      </c>
      <c r="CC3039" s="271" t="s">
        <v>832</v>
      </c>
      <c r="CW3039" s="30">
        <f t="shared" si="546"/>
        <v>0</v>
      </c>
      <c r="CZ3039" s="30">
        <f t="shared" si="544"/>
        <v>1</v>
      </c>
      <c r="DA3039" s="30">
        <f>+IF(CW3039+CX3039+CY3039=0,0,IF(CZ3039=0,0,1))</f>
        <v>0</v>
      </c>
      <c r="DB3039" s="2">
        <f>+IF($CD$1="malé",0,DA3039)</f>
        <v>0</v>
      </c>
      <c r="DS3039" s="130">
        <f>SI!BY3039</f>
        <v>10</v>
      </c>
      <c r="DZ3039" s="131">
        <f>SI!BZ3039</f>
        <v>0</v>
      </c>
    </row>
    <row r="3040" spans="1:130" hidden="1" x14ac:dyDescent="0.25">
      <c r="A3040" s="141"/>
      <c r="CA3040" s="142"/>
      <c r="CB3040" s="3" t="str">
        <f t="shared" si="542"/>
        <v>Riadok bude skrytý.</v>
      </c>
      <c r="CC3040" s="271" t="s">
        <v>832</v>
      </c>
      <c r="CW3040" s="30">
        <f t="shared" si="546"/>
        <v>0</v>
      </c>
      <c r="CZ3040" s="30">
        <f t="shared" si="544"/>
        <v>1</v>
      </c>
      <c r="DA3040" s="30">
        <f>+IF(CW3040+CX3040+CY3040=0,0,IF(CZ3040=0,0,1))</f>
        <v>0</v>
      </c>
      <c r="DB3040" s="2">
        <f>+IF($CD$1="malé",0,DA3040)</f>
        <v>0</v>
      </c>
      <c r="DS3040" s="130">
        <f>SI!BY3040</f>
        <v>144</v>
      </c>
      <c r="DZ3040" s="131">
        <f>SI!BZ3040</f>
        <v>0</v>
      </c>
    </row>
    <row r="3041" spans="1:130" hidden="1" x14ac:dyDescent="0.25">
      <c r="A3041" s="141"/>
      <c r="B3041" s="1" t="s">
        <v>96</v>
      </c>
      <c r="C3041" s="1"/>
      <c r="D3041" s="1"/>
      <c r="E3041" s="1"/>
      <c r="F3041" s="1"/>
      <c r="G3041" s="1"/>
      <c r="H3041" s="1"/>
      <c r="I3041" s="1"/>
      <c r="J3041" s="378" t="s">
        <v>97</v>
      </c>
      <c r="K3041" s="378"/>
      <c r="L3041" s="378"/>
      <c r="M3041" s="378"/>
      <c r="N3041" s="378"/>
      <c r="O3041" s="137" t="str">
        <f>+IF($Q$52&lt;&gt;"",IF((CODE(MID($Q$52,1,1)))*(INT((PI()-3.1415)*10^5))*0+(LEN(SI!J5)-LEN(SI!J6))=DS3041,"v nájme hnuteľný majetok formou operatívneho prenájmu.","NEPOVOLENÉ POUŽITIE!"),"NEPOVOLENÉ POUŽITIE!")</f>
        <v>v nájme hnuteľný majetok formou operatívneho prenájmu.</v>
      </c>
      <c r="P3041" s="38"/>
      <c r="T3041" s="1"/>
      <c r="U3041" s="1"/>
      <c r="V3041" s="1"/>
      <c r="W3041" s="1"/>
      <c r="X3041" s="1"/>
      <c r="Y3041" s="1"/>
      <c r="Z3041" s="1"/>
      <c r="AA3041" s="1"/>
      <c r="AB3041" s="1"/>
      <c r="AC3041" s="1"/>
      <c r="AD3041" s="1"/>
      <c r="AE3041" s="1"/>
      <c r="AF3041" s="1"/>
      <c r="AG3041" s="1"/>
      <c r="AH3041" s="1"/>
      <c r="CA3041" s="270"/>
      <c r="CB3041" s="3" t="str">
        <f t="shared" si="542"/>
        <v>Riadok bude skrytý.</v>
      </c>
      <c r="CC3041" s="271" t="s">
        <v>832</v>
      </c>
      <c r="CF3041" s="13"/>
      <c r="CW3041" s="30">
        <f t="shared" si="546"/>
        <v>0</v>
      </c>
      <c r="CZ3041" s="30">
        <f t="shared" si="544"/>
        <v>1</v>
      </c>
      <c r="DA3041" s="30">
        <f>+IF(CW3041+CX3041+CY3041=0,0,IF(CZ3041=0,0,1))</f>
        <v>0</v>
      </c>
      <c r="DB3041" s="140">
        <f t="shared" ref="DB3041:DB3082" si="549">+DA3041</f>
        <v>0</v>
      </c>
      <c r="DS3041" s="130">
        <f>SI!BY3041</f>
        <v>10</v>
      </c>
      <c r="DZ3041" s="131">
        <f>SI!BZ3041</f>
        <v>0</v>
      </c>
    </row>
    <row r="3042" spans="1:130" hidden="1" x14ac:dyDescent="0.25">
      <c r="A3042" s="141"/>
      <c r="CA3042" s="270"/>
      <c r="CB3042" s="3" t="str">
        <f t="shared" si="542"/>
        <v>Riadok bude skrytý.</v>
      </c>
      <c r="CC3042" s="271" t="s">
        <v>832</v>
      </c>
      <c r="CW3042" s="30">
        <f t="shared" si="546"/>
        <v>0</v>
      </c>
      <c r="CX3042" s="30">
        <f t="shared" ref="CX3042:CX3053" si="550">+IF($J$3041="nemá",0,1)</f>
        <v>1</v>
      </c>
      <c r="CZ3042" s="30">
        <f t="shared" si="544"/>
        <v>1</v>
      </c>
      <c r="DA3042" s="52">
        <f>+IF(CW3042*CX3042=0,0,IF(CZ3042=0,0,1))</f>
        <v>0</v>
      </c>
      <c r="DB3042" s="140">
        <f t="shared" si="549"/>
        <v>0</v>
      </c>
      <c r="DS3042" s="130">
        <f>SI!BY3042</f>
        <v>102</v>
      </c>
      <c r="DZ3042" s="131">
        <f>SI!BZ3042</f>
        <v>0</v>
      </c>
    </row>
    <row r="3043" spans="1:130" hidden="1" x14ac:dyDescent="0.25">
      <c r="A3043" s="141"/>
      <c r="B3043" s="381" t="str">
        <f>+IF($G$52&lt;&gt;"",IF(ROUNDDOWN(CODE(MID($G$52,1,1))*2,0)*(IF(SI!EE3043="",1,SI!EE3043-1-1))+(LEN(SI!J2)+LEN(SI!J3))=DS3043,"druh majetku v operatívnom nájme","NEPOVOLENÉ POUŽITIE!"),"NEPOVOLENÉ POUŽITIE!")</f>
        <v>druh majetku v operatívnom nájme</v>
      </c>
      <c r="C3043" s="383"/>
      <c r="D3043" s="383"/>
      <c r="E3043" s="383"/>
      <c r="F3043" s="383"/>
      <c r="G3043" s="383"/>
      <c r="H3043" s="383"/>
      <c r="I3043" s="383"/>
      <c r="J3043" s="383"/>
      <c r="K3043" s="383"/>
      <c r="L3043" s="383"/>
      <c r="M3043" s="383"/>
      <c r="N3043" s="383"/>
      <c r="O3043" s="383"/>
      <c r="P3043" s="383"/>
      <c r="Q3043" s="383"/>
      <c r="R3043" s="383"/>
      <c r="S3043" s="383"/>
      <c r="T3043" s="383"/>
      <c r="U3043" s="383"/>
      <c r="V3043" s="383"/>
      <c r="W3043" s="383"/>
      <c r="X3043" s="383"/>
      <c r="Y3043" s="383"/>
      <c r="Z3043" s="383"/>
      <c r="AA3043" s="383"/>
      <c r="AB3043" s="383"/>
      <c r="AC3043" s="383"/>
      <c r="AD3043" s="383"/>
      <c r="AE3043" s="383"/>
      <c r="AF3043" s="383"/>
      <c r="AG3043" s="383"/>
      <c r="AH3043" s="383"/>
      <c r="AI3043" s="383"/>
      <c r="AJ3043" s="383"/>
      <c r="AK3043" s="383"/>
      <c r="AL3043" s="383"/>
      <c r="AM3043" s="383"/>
      <c r="AN3043" s="383"/>
      <c r="AO3043" s="383"/>
      <c r="AP3043" s="383" t="s">
        <v>794</v>
      </c>
      <c r="AQ3043" s="383"/>
      <c r="AR3043" s="383"/>
      <c r="AS3043" s="383"/>
      <c r="AT3043" s="383"/>
      <c r="AU3043" s="382"/>
      <c r="AV3043" s="381" t="s">
        <v>794</v>
      </c>
      <c r="AW3043" s="383"/>
      <c r="AX3043" s="383"/>
      <c r="AY3043" s="383"/>
      <c r="AZ3043" s="383"/>
      <c r="BA3043" s="383"/>
      <c r="BB3043" s="383"/>
      <c r="BC3043" s="383"/>
      <c r="BD3043" s="383"/>
      <c r="BE3043" s="383"/>
      <c r="BF3043" s="383"/>
      <c r="BG3043" s="383"/>
      <c r="BH3043" s="383"/>
      <c r="BI3043" s="383"/>
      <c r="BJ3043" s="383"/>
      <c r="BK3043" s="383"/>
      <c r="BL3043" s="383"/>
      <c r="BM3043" s="383"/>
      <c r="BN3043" s="383"/>
      <c r="BO3043" s="383"/>
      <c r="BP3043" s="383"/>
      <c r="BQ3043" s="383"/>
      <c r="BR3043" s="383"/>
      <c r="BS3043" s="383"/>
      <c r="BT3043" s="383"/>
      <c r="BU3043" s="383"/>
      <c r="BV3043" s="383"/>
      <c r="BW3043" s="383"/>
      <c r="BX3043" s="383"/>
      <c r="BY3043" s="383"/>
      <c r="BZ3043" s="382"/>
      <c r="CA3043" s="270"/>
      <c r="CB3043" s="3" t="str">
        <f t="shared" si="542"/>
        <v>Riadok bude skrytý.</v>
      </c>
      <c r="CC3043" s="271" t="s">
        <v>832</v>
      </c>
      <c r="CW3043" s="30">
        <f t="shared" si="546"/>
        <v>0</v>
      </c>
      <c r="CX3043" s="30">
        <f t="shared" si="550"/>
        <v>1</v>
      </c>
      <c r="CZ3043" s="30">
        <f t="shared" si="544"/>
        <v>1</v>
      </c>
      <c r="DA3043" s="52">
        <f>+IF(CW3043*CX3043=0,0,IF(CZ3043=0,0,1))</f>
        <v>0</v>
      </c>
      <c r="DB3043" s="140">
        <f t="shared" si="549"/>
        <v>0</v>
      </c>
      <c r="DS3043" s="130">
        <f>SI!BY3043</f>
        <v>18</v>
      </c>
      <c r="DZ3043" s="131">
        <f>SI!BZ3043</f>
        <v>0</v>
      </c>
    </row>
    <row r="3044" spans="1:130" hidden="1" x14ac:dyDescent="0.25">
      <c r="A3044" s="141"/>
      <c r="B3044" s="1051"/>
      <c r="C3044" s="1052"/>
      <c r="D3044" s="1052"/>
      <c r="E3044" s="1052"/>
      <c r="F3044" s="1052"/>
      <c r="G3044" s="1052"/>
      <c r="H3044" s="1052"/>
      <c r="I3044" s="1052"/>
      <c r="J3044" s="1052"/>
      <c r="K3044" s="1052"/>
      <c r="L3044" s="1052"/>
      <c r="M3044" s="1052"/>
      <c r="N3044" s="1052"/>
      <c r="O3044" s="1052"/>
      <c r="P3044" s="1052"/>
      <c r="Q3044" s="1052"/>
      <c r="R3044" s="1052"/>
      <c r="S3044" s="1052"/>
      <c r="T3044" s="1052"/>
      <c r="U3044" s="1052"/>
      <c r="V3044" s="1052"/>
      <c r="W3044" s="1052"/>
      <c r="X3044" s="1052"/>
      <c r="Y3044" s="1052"/>
      <c r="Z3044" s="1052"/>
      <c r="AA3044" s="1052"/>
      <c r="AB3044" s="1052"/>
      <c r="AC3044" s="1052"/>
      <c r="AD3044" s="1052"/>
      <c r="AE3044" s="1052"/>
      <c r="AF3044" s="1052"/>
      <c r="AG3044" s="1052"/>
      <c r="AH3044" s="1052"/>
      <c r="AI3044" s="1052"/>
      <c r="AJ3044" s="1052"/>
      <c r="AK3044" s="1052"/>
      <c r="AL3044" s="1052"/>
      <c r="AM3044" s="1052"/>
      <c r="AN3044" s="1052"/>
      <c r="AO3044" s="1052"/>
      <c r="AP3044" s="1052"/>
      <c r="AQ3044" s="1052"/>
      <c r="AR3044" s="1052"/>
      <c r="AS3044" s="1052"/>
      <c r="AT3044" s="1052"/>
      <c r="AU3044" s="1053"/>
      <c r="AV3044" s="991"/>
      <c r="AW3044" s="992"/>
      <c r="AX3044" s="992"/>
      <c r="AY3044" s="992"/>
      <c r="AZ3044" s="992"/>
      <c r="BA3044" s="992"/>
      <c r="BB3044" s="992"/>
      <c r="BC3044" s="992"/>
      <c r="BD3044" s="992"/>
      <c r="BE3044" s="992"/>
      <c r="BF3044" s="992"/>
      <c r="BG3044" s="992"/>
      <c r="BH3044" s="992"/>
      <c r="BI3044" s="992"/>
      <c r="BJ3044" s="992"/>
      <c r="BK3044" s="992"/>
      <c r="BL3044" s="992"/>
      <c r="BM3044" s="992"/>
      <c r="BN3044" s="992"/>
      <c r="BO3044" s="992"/>
      <c r="BP3044" s="992"/>
      <c r="BQ3044" s="992"/>
      <c r="BR3044" s="992"/>
      <c r="BS3044" s="992"/>
      <c r="BT3044" s="992"/>
      <c r="BU3044" s="992"/>
      <c r="BV3044" s="992"/>
      <c r="BW3044" s="992"/>
      <c r="BX3044" s="992"/>
      <c r="BY3044" s="992"/>
      <c r="BZ3044" s="993"/>
      <c r="CA3044" s="270"/>
      <c r="CB3044" s="3" t="str">
        <f t="shared" si="542"/>
        <v>Riadok bude skrytý.</v>
      </c>
      <c r="CC3044" s="271" t="s">
        <v>832</v>
      </c>
      <c r="CW3044" s="30">
        <f t="shared" si="546"/>
        <v>0</v>
      </c>
      <c r="CX3044" s="30">
        <f t="shared" si="550"/>
        <v>1</v>
      </c>
      <c r="CZ3044" s="30">
        <f t="shared" si="544"/>
        <v>1</v>
      </c>
      <c r="DA3044" s="52">
        <f>+IF(CW3044*CX3044=0,0,IF(CZ3044=0,0,1))</f>
        <v>0</v>
      </c>
      <c r="DB3044" s="140">
        <f t="shared" si="549"/>
        <v>0</v>
      </c>
      <c r="DS3044" s="130">
        <f>SI!BY3044</f>
        <v>185</v>
      </c>
      <c r="DZ3044" s="131">
        <f>SI!BZ3044</f>
        <v>0</v>
      </c>
    </row>
    <row r="3045" spans="1:130" hidden="1" x14ac:dyDescent="0.25">
      <c r="A3045" s="141"/>
      <c r="B3045" s="1011"/>
      <c r="C3045" s="1012"/>
      <c r="D3045" s="1012"/>
      <c r="E3045" s="1012"/>
      <c r="F3045" s="1012"/>
      <c r="G3045" s="1012"/>
      <c r="H3045" s="1012"/>
      <c r="I3045" s="1012"/>
      <c r="J3045" s="1012"/>
      <c r="K3045" s="1012"/>
      <c r="L3045" s="1012"/>
      <c r="M3045" s="1012"/>
      <c r="N3045" s="1012"/>
      <c r="O3045" s="1012"/>
      <c r="P3045" s="1012"/>
      <c r="Q3045" s="1012"/>
      <c r="R3045" s="1012"/>
      <c r="S3045" s="1012"/>
      <c r="T3045" s="1012"/>
      <c r="U3045" s="1012"/>
      <c r="V3045" s="1012"/>
      <c r="W3045" s="1012"/>
      <c r="X3045" s="1012"/>
      <c r="Y3045" s="1012"/>
      <c r="Z3045" s="1012"/>
      <c r="AA3045" s="1012"/>
      <c r="AB3045" s="1012"/>
      <c r="AC3045" s="1012"/>
      <c r="AD3045" s="1012"/>
      <c r="AE3045" s="1012"/>
      <c r="AF3045" s="1012"/>
      <c r="AG3045" s="1012"/>
      <c r="AH3045" s="1012"/>
      <c r="AI3045" s="1012"/>
      <c r="AJ3045" s="1012"/>
      <c r="AK3045" s="1012"/>
      <c r="AL3045" s="1012"/>
      <c r="AM3045" s="1012"/>
      <c r="AN3045" s="1012"/>
      <c r="AO3045" s="1012"/>
      <c r="AP3045" s="1012"/>
      <c r="AQ3045" s="1012"/>
      <c r="AR3045" s="1012"/>
      <c r="AS3045" s="1012"/>
      <c r="AT3045" s="1012"/>
      <c r="AU3045" s="1013"/>
      <c r="AV3045" s="1021"/>
      <c r="AW3045" s="1022"/>
      <c r="AX3045" s="1022"/>
      <c r="AY3045" s="1022"/>
      <c r="AZ3045" s="1022"/>
      <c r="BA3045" s="1022"/>
      <c r="BB3045" s="1022"/>
      <c r="BC3045" s="1022"/>
      <c r="BD3045" s="1022"/>
      <c r="BE3045" s="1022"/>
      <c r="BF3045" s="1022"/>
      <c r="BG3045" s="1022"/>
      <c r="BH3045" s="1022"/>
      <c r="BI3045" s="1022"/>
      <c r="BJ3045" s="1022"/>
      <c r="BK3045" s="1022"/>
      <c r="BL3045" s="1022"/>
      <c r="BM3045" s="1022"/>
      <c r="BN3045" s="1022"/>
      <c r="BO3045" s="1022"/>
      <c r="BP3045" s="1022"/>
      <c r="BQ3045" s="1022"/>
      <c r="BR3045" s="1022"/>
      <c r="BS3045" s="1022"/>
      <c r="BT3045" s="1022"/>
      <c r="BU3045" s="1022"/>
      <c r="BV3045" s="1022"/>
      <c r="BW3045" s="1022"/>
      <c r="BX3045" s="1022"/>
      <c r="BY3045" s="1022"/>
      <c r="BZ3045" s="1023"/>
      <c r="CA3045" s="270"/>
      <c r="CB3045" s="3" t="str">
        <f t="shared" si="542"/>
        <v>Riadok bude skrytý.</v>
      </c>
      <c r="CC3045" s="271" t="s">
        <v>832</v>
      </c>
      <c r="CW3045" s="30">
        <f t="shared" si="546"/>
        <v>0</v>
      </c>
      <c r="CX3045" s="30">
        <f t="shared" si="550"/>
        <v>1</v>
      </c>
      <c r="CY3045" s="30">
        <f t="shared" ref="CY3045:CY3052" si="551">+IF(B3045="",0,1)</f>
        <v>0</v>
      </c>
      <c r="CZ3045" s="30">
        <f t="shared" si="544"/>
        <v>1</v>
      </c>
      <c r="DA3045" s="53">
        <f>+IF(CW3045*CX3045*CY3045=0,0,IF(CZ3045=0,0,1))</f>
        <v>0</v>
      </c>
      <c r="DB3045" s="140">
        <f t="shared" si="549"/>
        <v>0</v>
      </c>
      <c r="DS3045" s="130">
        <f>SI!BY3045</f>
        <v>129</v>
      </c>
      <c r="DZ3045" s="131">
        <f>SI!BZ3045</f>
        <v>0</v>
      </c>
    </row>
    <row r="3046" spans="1:130" hidden="1" x14ac:dyDescent="0.25">
      <c r="A3046" s="141"/>
      <c r="B3046" s="1011"/>
      <c r="C3046" s="1012"/>
      <c r="D3046" s="1012"/>
      <c r="E3046" s="1012"/>
      <c r="F3046" s="1012"/>
      <c r="G3046" s="1012"/>
      <c r="H3046" s="1012"/>
      <c r="I3046" s="1012"/>
      <c r="J3046" s="1012"/>
      <c r="K3046" s="1012"/>
      <c r="L3046" s="1012"/>
      <c r="M3046" s="1012"/>
      <c r="N3046" s="1012"/>
      <c r="O3046" s="1012"/>
      <c r="P3046" s="1012"/>
      <c r="Q3046" s="1012"/>
      <c r="R3046" s="1012"/>
      <c r="S3046" s="1012"/>
      <c r="T3046" s="1012"/>
      <c r="U3046" s="1012"/>
      <c r="V3046" s="1012"/>
      <c r="W3046" s="1012"/>
      <c r="X3046" s="1012"/>
      <c r="Y3046" s="1012"/>
      <c r="Z3046" s="1012"/>
      <c r="AA3046" s="1012"/>
      <c r="AB3046" s="1012"/>
      <c r="AC3046" s="1012"/>
      <c r="AD3046" s="1012"/>
      <c r="AE3046" s="1012"/>
      <c r="AF3046" s="1012"/>
      <c r="AG3046" s="1012"/>
      <c r="AH3046" s="1012"/>
      <c r="AI3046" s="1012"/>
      <c r="AJ3046" s="1012"/>
      <c r="AK3046" s="1012"/>
      <c r="AL3046" s="1012"/>
      <c r="AM3046" s="1012"/>
      <c r="AN3046" s="1012"/>
      <c r="AO3046" s="1012"/>
      <c r="AP3046" s="1012"/>
      <c r="AQ3046" s="1012"/>
      <c r="AR3046" s="1012"/>
      <c r="AS3046" s="1012"/>
      <c r="AT3046" s="1012"/>
      <c r="AU3046" s="1013"/>
      <c r="AV3046" s="1021"/>
      <c r="AW3046" s="1022"/>
      <c r="AX3046" s="1022"/>
      <c r="AY3046" s="1022"/>
      <c r="AZ3046" s="1022"/>
      <c r="BA3046" s="1022"/>
      <c r="BB3046" s="1022"/>
      <c r="BC3046" s="1022"/>
      <c r="BD3046" s="1022"/>
      <c r="BE3046" s="1022"/>
      <c r="BF3046" s="1022"/>
      <c r="BG3046" s="1022"/>
      <c r="BH3046" s="1022"/>
      <c r="BI3046" s="1022"/>
      <c r="BJ3046" s="1022"/>
      <c r="BK3046" s="1022"/>
      <c r="BL3046" s="1022"/>
      <c r="BM3046" s="1022"/>
      <c r="BN3046" s="1022"/>
      <c r="BO3046" s="1022"/>
      <c r="BP3046" s="1022"/>
      <c r="BQ3046" s="1022"/>
      <c r="BR3046" s="1022"/>
      <c r="BS3046" s="1022"/>
      <c r="BT3046" s="1022"/>
      <c r="BU3046" s="1022"/>
      <c r="BV3046" s="1022"/>
      <c r="BW3046" s="1022"/>
      <c r="BX3046" s="1022"/>
      <c r="BY3046" s="1022"/>
      <c r="BZ3046" s="1023"/>
      <c r="CA3046" s="270"/>
      <c r="CB3046" s="3" t="str">
        <f t="shared" si="542"/>
        <v>Riadok bude skrytý.</v>
      </c>
      <c r="CC3046" s="271" t="s">
        <v>832</v>
      </c>
      <c r="CW3046" s="30">
        <f t="shared" si="546"/>
        <v>0</v>
      </c>
      <c r="CX3046" s="30">
        <f t="shared" si="550"/>
        <v>1</v>
      </c>
      <c r="CY3046" s="30">
        <f t="shared" si="551"/>
        <v>0</v>
      </c>
      <c r="CZ3046" s="30">
        <f t="shared" si="544"/>
        <v>1</v>
      </c>
      <c r="DA3046" s="53">
        <f t="shared" ref="DA3046:DA3052" si="552">+IF(CW3046*CX3046*CY3046=0,0,IF(CZ3046=0,0,1))</f>
        <v>0</v>
      </c>
      <c r="DB3046" s="140">
        <f t="shared" si="549"/>
        <v>0</v>
      </c>
      <c r="DS3046" s="130">
        <f>SI!BY3046</f>
        <v>174</v>
      </c>
      <c r="DZ3046" s="131">
        <f>SI!BZ3046</f>
        <v>0</v>
      </c>
    </row>
    <row r="3047" spans="1:130" hidden="1" x14ac:dyDescent="0.25">
      <c r="A3047" s="141"/>
      <c r="B3047" s="1011"/>
      <c r="C3047" s="1012"/>
      <c r="D3047" s="1012"/>
      <c r="E3047" s="1012"/>
      <c r="F3047" s="1012"/>
      <c r="G3047" s="1012"/>
      <c r="H3047" s="1012"/>
      <c r="I3047" s="1012"/>
      <c r="J3047" s="1012"/>
      <c r="K3047" s="1012"/>
      <c r="L3047" s="1012"/>
      <c r="M3047" s="1012"/>
      <c r="N3047" s="1012"/>
      <c r="O3047" s="1012"/>
      <c r="P3047" s="1012"/>
      <c r="Q3047" s="1012"/>
      <c r="R3047" s="1012"/>
      <c r="S3047" s="1012"/>
      <c r="T3047" s="1012"/>
      <c r="U3047" s="1012"/>
      <c r="V3047" s="1012"/>
      <c r="W3047" s="1012"/>
      <c r="X3047" s="1012"/>
      <c r="Y3047" s="1012"/>
      <c r="Z3047" s="1012"/>
      <c r="AA3047" s="1012"/>
      <c r="AB3047" s="1012"/>
      <c r="AC3047" s="1012"/>
      <c r="AD3047" s="1012"/>
      <c r="AE3047" s="1012"/>
      <c r="AF3047" s="1012"/>
      <c r="AG3047" s="1012"/>
      <c r="AH3047" s="1012"/>
      <c r="AI3047" s="1012"/>
      <c r="AJ3047" s="1012"/>
      <c r="AK3047" s="1012"/>
      <c r="AL3047" s="1012"/>
      <c r="AM3047" s="1012"/>
      <c r="AN3047" s="1012"/>
      <c r="AO3047" s="1012"/>
      <c r="AP3047" s="1012"/>
      <c r="AQ3047" s="1012"/>
      <c r="AR3047" s="1012"/>
      <c r="AS3047" s="1012"/>
      <c r="AT3047" s="1012"/>
      <c r="AU3047" s="1013"/>
      <c r="AV3047" s="1021"/>
      <c r="AW3047" s="1022"/>
      <c r="AX3047" s="1022"/>
      <c r="AY3047" s="1022"/>
      <c r="AZ3047" s="1022"/>
      <c r="BA3047" s="1022"/>
      <c r="BB3047" s="1022"/>
      <c r="BC3047" s="1022"/>
      <c r="BD3047" s="1022"/>
      <c r="BE3047" s="1022"/>
      <c r="BF3047" s="1022"/>
      <c r="BG3047" s="1022"/>
      <c r="BH3047" s="1022"/>
      <c r="BI3047" s="1022"/>
      <c r="BJ3047" s="1022"/>
      <c r="BK3047" s="1022"/>
      <c r="BL3047" s="1022"/>
      <c r="BM3047" s="1022"/>
      <c r="BN3047" s="1022"/>
      <c r="BO3047" s="1022"/>
      <c r="BP3047" s="1022"/>
      <c r="BQ3047" s="1022"/>
      <c r="BR3047" s="1022"/>
      <c r="BS3047" s="1022"/>
      <c r="BT3047" s="1022"/>
      <c r="BU3047" s="1022"/>
      <c r="BV3047" s="1022"/>
      <c r="BW3047" s="1022"/>
      <c r="BX3047" s="1022"/>
      <c r="BY3047" s="1022"/>
      <c r="BZ3047" s="1023"/>
      <c r="CA3047" s="270"/>
      <c r="CB3047" s="3" t="str">
        <f t="shared" si="542"/>
        <v>Riadok bude skrytý.</v>
      </c>
      <c r="CC3047" s="271" t="s">
        <v>832</v>
      </c>
      <c r="CW3047" s="30">
        <f t="shared" si="546"/>
        <v>0</v>
      </c>
      <c r="CX3047" s="30">
        <f t="shared" si="550"/>
        <v>1</v>
      </c>
      <c r="CY3047" s="30">
        <f t="shared" si="551"/>
        <v>0</v>
      </c>
      <c r="CZ3047" s="30">
        <f t="shared" si="544"/>
        <v>1</v>
      </c>
      <c r="DA3047" s="53">
        <f t="shared" si="552"/>
        <v>0</v>
      </c>
      <c r="DB3047" s="140">
        <f t="shared" si="549"/>
        <v>0</v>
      </c>
      <c r="DS3047" s="130">
        <f>SI!BY3047</f>
        <v>137</v>
      </c>
      <c r="DZ3047" s="131">
        <f>SI!BZ3047</f>
        <v>0</v>
      </c>
    </row>
    <row r="3048" spans="1:130" hidden="1" x14ac:dyDescent="0.25">
      <c r="A3048" s="141"/>
      <c r="B3048" s="1011"/>
      <c r="C3048" s="1012"/>
      <c r="D3048" s="1012"/>
      <c r="E3048" s="1012"/>
      <c r="F3048" s="1012"/>
      <c r="G3048" s="1012"/>
      <c r="H3048" s="1012"/>
      <c r="I3048" s="1012"/>
      <c r="J3048" s="1012"/>
      <c r="K3048" s="1012"/>
      <c r="L3048" s="1012"/>
      <c r="M3048" s="1012"/>
      <c r="N3048" s="1012"/>
      <c r="O3048" s="1012"/>
      <c r="P3048" s="1012"/>
      <c r="Q3048" s="1012"/>
      <c r="R3048" s="1012"/>
      <c r="S3048" s="1012"/>
      <c r="T3048" s="1012"/>
      <c r="U3048" s="1012"/>
      <c r="V3048" s="1012"/>
      <c r="W3048" s="1012"/>
      <c r="X3048" s="1012"/>
      <c r="Y3048" s="1012"/>
      <c r="Z3048" s="1012"/>
      <c r="AA3048" s="1012"/>
      <c r="AB3048" s="1012"/>
      <c r="AC3048" s="1012"/>
      <c r="AD3048" s="1012"/>
      <c r="AE3048" s="1012"/>
      <c r="AF3048" s="1012"/>
      <c r="AG3048" s="1012"/>
      <c r="AH3048" s="1012"/>
      <c r="AI3048" s="1012"/>
      <c r="AJ3048" s="1012"/>
      <c r="AK3048" s="1012"/>
      <c r="AL3048" s="1012"/>
      <c r="AM3048" s="1012"/>
      <c r="AN3048" s="1012"/>
      <c r="AO3048" s="1012"/>
      <c r="AP3048" s="1012"/>
      <c r="AQ3048" s="1012"/>
      <c r="AR3048" s="1012"/>
      <c r="AS3048" s="1012"/>
      <c r="AT3048" s="1012"/>
      <c r="AU3048" s="1013"/>
      <c r="AV3048" s="1021"/>
      <c r="AW3048" s="1022"/>
      <c r="AX3048" s="1022"/>
      <c r="AY3048" s="1022"/>
      <c r="AZ3048" s="1022"/>
      <c r="BA3048" s="1022"/>
      <c r="BB3048" s="1022"/>
      <c r="BC3048" s="1022"/>
      <c r="BD3048" s="1022"/>
      <c r="BE3048" s="1022"/>
      <c r="BF3048" s="1022"/>
      <c r="BG3048" s="1022"/>
      <c r="BH3048" s="1022"/>
      <c r="BI3048" s="1022"/>
      <c r="BJ3048" s="1022"/>
      <c r="BK3048" s="1022"/>
      <c r="BL3048" s="1022"/>
      <c r="BM3048" s="1022"/>
      <c r="BN3048" s="1022"/>
      <c r="BO3048" s="1022"/>
      <c r="BP3048" s="1022"/>
      <c r="BQ3048" s="1022"/>
      <c r="BR3048" s="1022"/>
      <c r="BS3048" s="1022"/>
      <c r="BT3048" s="1022"/>
      <c r="BU3048" s="1022"/>
      <c r="BV3048" s="1022"/>
      <c r="BW3048" s="1022"/>
      <c r="BX3048" s="1022"/>
      <c r="BY3048" s="1022"/>
      <c r="BZ3048" s="1023"/>
      <c r="CA3048" s="270"/>
      <c r="CB3048" s="3" t="str">
        <f t="shared" si="542"/>
        <v>Riadok bude skrytý.</v>
      </c>
      <c r="CC3048" s="271" t="s">
        <v>832</v>
      </c>
      <c r="CW3048" s="30">
        <f t="shared" si="546"/>
        <v>0</v>
      </c>
      <c r="CX3048" s="30">
        <f t="shared" si="550"/>
        <v>1</v>
      </c>
      <c r="CY3048" s="30">
        <f t="shared" si="551"/>
        <v>0</v>
      </c>
      <c r="CZ3048" s="30">
        <f t="shared" si="544"/>
        <v>1</v>
      </c>
      <c r="DA3048" s="53">
        <f t="shared" si="552"/>
        <v>0</v>
      </c>
      <c r="DB3048" s="140">
        <f t="shared" si="549"/>
        <v>0</v>
      </c>
      <c r="DS3048" s="130">
        <f>SI!BY3048</f>
        <v>129</v>
      </c>
      <c r="DZ3048" s="131">
        <f>SI!BZ3048</f>
        <v>0</v>
      </c>
    </row>
    <row r="3049" spans="1:130" hidden="1" x14ac:dyDescent="0.25">
      <c r="A3049" s="141"/>
      <c r="B3049" s="1011"/>
      <c r="C3049" s="1012"/>
      <c r="D3049" s="1012"/>
      <c r="E3049" s="1012"/>
      <c r="F3049" s="1012"/>
      <c r="G3049" s="1012"/>
      <c r="H3049" s="1012"/>
      <c r="I3049" s="1012"/>
      <c r="J3049" s="1012"/>
      <c r="K3049" s="1012"/>
      <c r="L3049" s="1012"/>
      <c r="M3049" s="1012"/>
      <c r="N3049" s="1012"/>
      <c r="O3049" s="1012"/>
      <c r="P3049" s="1012"/>
      <c r="Q3049" s="1012"/>
      <c r="R3049" s="1012"/>
      <c r="S3049" s="1012"/>
      <c r="T3049" s="1012"/>
      <c r="U3049" s="1012"/>
      <c r="V3049" s="1012"/>
      <c r="W3049" s="1012"/>
      <c r="X3049" s="1012"/>
      <c r="Y3049" s="1012"/>
      <c r="Z3049" s="1012"/>
      <c r="AA3049" s="1012"/>
      <c r="AB3049" s="1012"/>
      <c r="AC3049" s="1012"/>
      <c r="AD3049" s="1012"/>
      <c r="AE3049" s="1012"/>
      <c r="AF3049" s="1012"/>
      <c r="AG3049" s="1012"/>
      <c r="AH3049" s="1012"/>
      <c r="AI3049" s="1012"/>
      <c r="AJ3049" s="1012"/>
      <c r="AK3049" s="1012"/>
      <c r="AL3049" s="1012"/>
      <c r="AM3049" s="1012"/>
      <c r="AN3049" s="1012"/>
      <c r="AO3049" s="1012"/>
      <c r="AP3049" s="1012"/>
      <c r="AQ3049" s="1012"/>
      <c r="AR3049" s="1012"/>
      <c r="AS3049" s="1012"/>
      <c r="AT3049" s="1012"/>
      <c r="AU3049" s="1013"/>
      <c r="AV3049" s="1021"/>
      <c r="AW3049" s="1022"/>
      <c r="AX3049" s="1022"/>
      <c r="AY3049" s="1022"/>
      <c r="AZ3049" s="1022"/>
      <c r="BA3049" s="1022"/>
      <c r="BB3049" s="1022"/>
      <c r="BC3049" s="1022"/>
      <c r="BD3049" s="1022"/>
      <c r="BE3049" s="1022"/>
      <c r="BF3049" s="1022"/>
      <c r="BG3049" s="1022"/>
      <c r="BH3049" s="1022"/>
      <c r="BI3049" s="1022"/>
      <c r="BJ3049" s="1022"/>
      <c r="BK3049" s="1022"/>
      <c r="BL3049" s="1022"/>
      <c r="BM3049" s="1022"/>
      <c r="BN3049" s="1022"/>
      <c r="BO3049" s="1022"/>
      <c r="BP3049" s="1022"/>
      <c r="BQ3049" s="1022"/>
      <c r="BR3049" s="1022"/>
      <c r="BS3049" s="1022"/>
      <c r="BT3049" s="1022"/>
      <c r="BU3049" s="1022"/>
      <c r="BV3049" s="1022"/>
      <c r="BW3049" s="1022"/>
      <c r="BX3049" s="1022"/>
      <c r="BY3049" s="1022"/>
      <c r="BZ3049" s="1023"/>
      <c r="CA3049" s="270"/>
      <c r="CB3049" s="3" t="str">
        <f t="shared" si="542"/>
        <v>Riadok bude skrytý.</v>
      </c>
      <c r="CC3049" s="271" t="s">
        <v>832</v>
      </c>
      <c r="CW3049" s="30">
        <f t="shared" si="546"/>
        <v>0</v>
      </c>
      <c r="CX3049" s="30">
        <f t="shared" si="550"/>
        <v>1</v>
      </c>
      <c r="CY3049" s="30">
        <f t="shared" si="551"/>
        <v>0</v>
      </c>
      <c r="CZ3049" s="30">
        <f t="shared" si="544"/>
        <v>1</v>
      </c>
      <c r="DA3049" s="53">
        <f t="shared" si="552"/>
        <v>0</v>
      </c>
      <c r="DB3049" s="140">
        <f t="shared" si="549"/>
        <v>0</v>
      </c>
      <c r="DS3049" s="130">
        <f>SI!BY3049</f>
        <v>156</v>
      </c>
      <c r="DZ3049" s="131">
        <f>SI!BZ3049</f>
        <v>0</v>
      </c>
    </row>
    <row r="3050" spans="1:130" hidden="1" x14ac:dyDescent="0.25">
      <c r="A3050" s="141"/>
      <c r="B3050" s="1011"/>
      <c r="C3050" s="1012"/>
      <c r="D3050" s="1012"/>
      <c r="E3050" s="1012"/>
      <c r="F3050" s="1012"/>
      <c r="G3050" s="1012"/>
      <c r="H3050" s="1012"/>
      <c r="I3050" s="1012"/>
      <c r="J3050" s="1012"/>
      <c r="K3050" s="1012"/>
      <c r="L3050" s="1012"/>
      <c r="M3050" s="1012"/>
      <c r="N3050" s="1012"/>
      <c r="O3050" s="1012"/>
      <c r="P3050" s="1012"/>
      <c r="Q3050" s="1012"/>
      <c r="R3050" s="1012"/>
      <c r="S3050" s="1012"/>
      <c r="T3050" s="1012"/>
      <c r="U3050" s="1012"/>
      <c r="V3050" s="1012"/>
      <c r="W3050" s="1012"/>
      <c r="X3050" s="1012"/>
      <c r="Y3050" s="1012"/>
      <c r="Z3050" s="1012"/>
      <c r="AA3050" s="1012"/>
      <c r="AB3050" s="1012"/>
      <c r="AC3050" s="1012"/>
      <c r="AD3050" s="1012"/>
      <c r="AE3050" s="1012"/>
      <c r="AF3050" s="1012"/>
      <c r="AG3050" s="1012"/>
      <c r="AH3050" s="1012"/>
      <c r="AI3050" s="1012"/>
      <c r="AJ3050" s="1012"/>
      <c r="AK3050" s="1012"/>
      <c r="AL3050" s="1012"/>
      <c r="AM3050" s="1012"/>
      <c r="AN3050" s="1012"/>
      <c r="AO3050" s="1012"/>
      <c r="AP3050" s="1012"/>
      <c r="AQ3050" s="1012"/>
      <c r="AR3050" s="1012"/>
      <c r="AS3050" s="1012"/>
      <c r="AT3050" s="1012"/>
      <c r="AU3050" s="1013"/>
      <c r="AV3050" s="1021"/>
      <c r="AW3050" s="1022"/>
      <c r="AX3050" s="1022"/>
      <c r="AY3050" s="1022"/>
      <c r="AZ3050" s="1022"/>
      <c r="BA3050" s="1022"/>
      <c r="BB3050" s="1022"/>
      <c r="BC3050" s="1022"/>
      <c r="BD3050" s="1022"/>
      <c r="BE3050" s="1022"/>
      <c r="BF3050" s="1022"/>
      <c r="BG3050" s="1022"/>
      <c r="BH3050" s="1022"/>
      <c r="BI3050" s="1022"/>
      <c r="BJ3050" s="1022"/>
      <c r="BK3050" s="1022"/>
      <c r="BL3050" s="1022"/>
      <c r="BM3050" s="1022"/>
      <c r="BN3050" s="1022"/>
      <c r="BO3050" s="1022"/>
      <c r="BP3050" s="1022"/>
      <c r="BQ3050" s="1022"/>
      <c r="BR3050" s="1022"/>
      <c r="BS3050" s="1022"/>
      <c r="BT3050" s="1022"/>
      <c r="BU3050" s="1022"/>
      <c r="BV3050" s="1022"/>
      <c r="BW3050" s="1022"/>
      <c r="BX3050" s="1022"/>
      <c r="BY3050" s="1022"/>
      <c r="BZ3050" s="1023"/>
      <c r="CA3050" s="270"/>
      <c r="CB3050" s="3" t="str">
        <f t="shared" si="542"/>
        <v>Riadok bude skrytý.</v>
      </c>
      <c r="CC3050" s="271" t="s">
        <v>832</v>
      </c>
      <c r="CW3050" s="30">
        <f t="shared" ref="CW3050:CW3081" si="553">+IF($J$3016="neeviduje",0,1)</f>
        <v>0</v>
      </c>
      <c r="CX3050" s="30">
        <f t="shared" si="550"/>
        <v>1</v>
      </c>
      <c r="CY3050" s="30">
        <f t="shared" si="551"/>
        <v>0</v>
      </c>
      <c r="CZ3050" s="30">
        <f t="shared" si="544"/>
        <v>1</v>
      </c>
      <c r="DA3050" s="53">
        <f t="shared" si="552"/>
        <v>0</v>
      </c>
      <c r="DB3050" s="140">
        <f t="shared" si="549"/>
        <v>0</v>
      </c>
      <c r="DS3050" s="130">
        <f>SI!BY3050</f>
        <v>189</v>
      </c>
      <c r="DZ3050" s="131">
        <f>SI!BZ3050</f>
        <v>0</v>
      </c>
    </row>
    <row r="3051" spans="1:130" hidden="1" x14ac:dyDescent="0.25">
      <c r="A3051" s="141"/>
      <c r="B3051" s="1011"/>
      <c r="C3051" s="1012"/>
      <c r="D3051" s="1012"/>
      <c r="E3051" s="1012"/>
      <c r="F3051" s="1012"/>
      <c r="G3051" s="1012"/>
      <c r="H3051" s="1012"/>
      <c r="I3051" s="1012"/>
      <c r="J3051" s="1012"/>
      <c r="K3051" s="1012"/>
      <c r="L3051" s="1012"/>
      <c r="M3051" s="1012"/>
      <c r="N3051" s="1012"/>
      <c r="O3051" s="1012"/>
      <c r="P3051" s="1012"/>
      <c r="Q3051" s="1012"/>
      <c r="R3051" s="1012"/>
      <c r="S3051" s="1012"/>
      <c r="T3051" s="1012"/>
      <c r="U3051" s="1012"/>
      <c r="V3051" s="1012"/>
      <c r="W3051" s="1012"/>
      <c r="X3051" s="1012"/>
      <c r="Y3051" s="1012"/>
      <c r="Z3051" s="1012"/>
      <c r="AA3051" s="1012"/>
      <c r="AB3051" s="1012"/>
      <c r="AC3051" s="1012"/>
      <c r="AD3051" s="1012"/>
      <c r="AE3051" s="1012"/>
      <c r="AF3051" s="1012"/>
      <c r="AG3051" s="1012"/>
      <c r="AH3051" s="1012"/>
      <c r="AI3051" s="1012"/>
      <c r="AJ3051" s="1012"/>
      <c r="AK3051" s="1012"/>
      <c r="AL3051" s="1012"/>
      <c r="AM3051" s="1012"/>
      <c r="AN3051" s="1012"/>
      <c r="AO3051" s="1012"/>
      <c r="AP3051" s="1012"/>
      <c r="AQ3051" s="1012"/>
      <c r="AR3051" s="1012"/>
      <c r="AS3051" s="1012"/>
      <c r="AT3051" s="1012"/>
      <c r="AU3051" s="1013"/>
      <c r="AV3051" s="1021"/>
      <c r="AW3051" s="1022"/>
      <c r="AX3051" s="1022"/>
      <c r="AY3051" s="1022"/>
      <c r="AZ3051" s="1022"/>
      <c r="BA3051" s="1022"/>
      <c r="BB3051" s="1022"/>
      <c r="BC3051" s="1022"/>
      <c r="BD3051" s="1022"/>
      <c r="BE3051" s="1022"/>
      <c r="BF3051" s="1022"/>
      <c r="BG3051" s="1022"/>
      <c r="BH3051" s="1022"/>
      <c r="BI3051" s="1022"/>
      <c r="BJ3051" s="1022"/>
      <c r="BK3051" s="1022"/>
      <c r="BL3051" s="1022"/>
      <c r="BM3051" s="1022"/>
      <c r="BN3051" s="1022"/>
      <c r="BO3051" s="1022"/>
      <c r="BP3051" s="1022"/>
      <c r="BQ3051" s="1022"/>
      <c r="BR3051" s="1022"/>
      <c r="BS3051" s="1022"/>
      <c r="BT3051" s="1022"/>
      <c r="BU3051" s="1022"/>
      <c r="BV3051" s="1022"/>
      <c r="BW3051" s="1022"/>
      <c r="BX3051" s="1022"/>
      <c r="BY3051" s="1022"/>
      <c r="BZ3051" s="1023"/>
      <c r="CA3051" s="270"/>
      <c r="CB3051" s="3" t="str">
        <f t="shared" si="542"/>
        <v>Riadok bude skrytý.</v>
      </c>
      <c r="CC3051" s="271" t="s">
        <v>832</v>
      </c>
      <c r="CW3051" s="30">
        <f t="shared" si="553"/>
        <v>0</v>
      </c>
      <c r="CX3051" s="30">
        <f t="shared" si="550"/>
        <v>1</v>
      </c>
      <c r="CY3051" s="30">
        <f t="shared" si="551"/>
        <v>0</v>
      </c>
      <c r="CZ3051" s="30">
        <f t="shared" si="544"/>
        <v>1</v>
      </c>
      <c r="DA3051" s="53">
        <f t="shared" si="552"/>
        <v>0</v>
      </c>
      <c r="DB3051" s="140">
        <f t="shared" si="549"/>
        <v>0</v>
      </c>
      <c r="DS3051" s="130">
        <f>SI!BY3051</f>
        <v>130</v>
      </c>
      <c r="DZ3051" s="131">
        <f>SI!BZ3051</f>
        <v>0</v>
      </c>
    </row>
    <row r="3052" spans="1:130" hidden="1" x14ac:dyDescent="0.25">
      <c r="A3052" s="141"/>
      <c r="B3052" s="1011"/>
      <c r="C3052" s="1012"/>
      <c r="D3052" s="1012"/>
      <c r="E3052" s="1012"/>
      <c r="F3052" s="1012"/>
      <c r="G3052" s="1012"/>
      <c r="H3052" s="1012"/>
      <c r="I3052" s="1012"/>
      <c r="J3052" s="1012"/>
      <c r="K3052" s="1012"/>
      <c r="L3052" s="1012"/>
      <c r="M3052" s="1012"/>
      <c r="N3052" s="1012"/>
      <c r="O3052" s="1012"/>
      <c r="P3052" s="1012"/>
      <c r="Q3052" s="1012"/>
      <c r="R3052" s="1012"/>
      <c r="S3052" s="1012"/>
      <c r="T3052" s="1012"/>
      <c r="U3052" s="1012"/>
      <c r="V3052" s="1012"/>
      <c r="W3052" s="1012"/>
      <c r="X3052" s="1012"/>
      <c r="Y3052" s="1012"/>
      <c r="Z3052" s="1012"/>
      <c r="AA3052" s="1012"/>
      <c r="AB3052" s="1012"/>
      <c r="AC3052" s="1012"/>
      <c r="AD3052" s="1012"/>
      <c r="AE3052" s="1012"/>
      <c r="AF3052" s="1012"/>
      <c r="AG3052" s="1012"/>
      <c r="AH3052" s="1012"/>
      <c r="AI3052" s="1012"/>
      <c r="AJ3052" s="1012"/>
      <c r="AK3052" s="1012"/>
      <c r="AL3052" s="1012"/>
      <c r="AM3052" s="1012"/>
      <c r="AN3052" s="1012"/>
      <c r="AO3052" s="1012"/>
      <c r="AP3052" s="1012"/>
      <c r="AQ3052" s="1012"/>
      <c r="AR3052" s="1012"/>
      <c r="AS3052" s="1012"/>
      <c r="AT3052" s="1012"/>
      <c r="AU3052" s="1013"/>
      <c r="AV3052" s="1021"/>
      <c r="AW3052" s="1022"/>
      <c r="AX3052" s="1022"/>
      <c r="AY3052" s="1022"/>
      <c r="AZ3052" s="1022"/>
      <c r="BA3052" s="1022"/>
      <c r="BB3052" s="1022"/>
      <c r="BC3052" s="1022"/>
      <c r="BD3052" s="1022"/>
      <c r="BE3052" s="1022"/>
      <c r="BF3052" s="1022"/>
      <c r="BG3052" s="1022"/>
      <c r="BH3052" s="1022"/>
      <c r="BI3052" s="1022"/>
      <c r="BJ3052" s="1022"/>
      <c r="BK3052" s="1022"/>
      <c r="BL3052" s="1022"/>
      <c r="BM3052" s="1022"/>
      <c r="BN3052" s="1022"/>
      <c r="BO3052" s="1022"/>
      <c r="BP3052" s="1022"/>
      <c r="BQ3052" s="1022"/>
      <c r="BR3052" s="1022"/>
      <c r="BS3052" s="1022"/>
      <c r="BT3052" s="1022"/>
      <c r="BU3052" s="1022"/>
      <c r="BV3052" s="1022"/>
      <c r="BW3052" s="1022"/>
      <c r="BX3052" s="1022"/>
      <c r="BY3052" s="1022"/>
      <c r="BZ3052" s="1023"/>
      <c r="CA3052" s="270"/>
      <c r="CB3052" s="3" t="str">
        <f t="shared" si="542"/>
        <v>Riadok bude skrytý.</v>
      </c>
      <c r="CC3052" s="271" t="s">
        <v>832</v>
      </c>
      <c r="CW3052" s="30">
        <f t="shared" si="553"/>
        <v>0</v>
      </c>
      <c r="CX3052" s="30">
        <f t="shared" si="550"/>
        <v>1</v>
      </c>
      <c r="CY3052" s="30">
        <f t="shared" si="551"/>
        <v>0</v>
      </c>
      <c r="CZ3052" s="30">
        <f t="shared" si="544"/>
        <v>1</v>
      </c>
      <c r="DA3052" s="53">
        <f t="shared" si="552"/>
        <v>0</v>
      </c>
      <c r="DB3052" s="140">
        <f t="shared" si="549"/>
        <v>0</v>
      </c>
      <c r="DS3052" s="130">
        <f>SI!BY3052</f>
        <v>139</v>
      </c>
      <c r="DZ3052" s="131">
        <f>SI!BZ3052</f>
        <v>0</v>
      </c>
    </row>
    <row r="3053" spans="1:130" hidden="1" x14ac:dyDescent="0.25">
      <c r="A3053" s="141"/>
      <c r="B3053" s="1093"/>
      <c r="C3053" s="1094"/>
      <c r="D3053" s="1094"/>
      <c r="E3053" s="1094"/>
      <c r="F3053" s="1094"/>
      <c r="G3053" s="1094"/>
      <c r="H3053" s="1094"/>
      <c r="I3053" s="1094"/>
      <c r="J3053" s="1094"/>
      <c r="K3053" s="1094"/>
      <c r="L3053" s="1094"/>
      <c r="M3053" s="1094"/>
      <c r="N3053" s="1094"/>
      <c r="O3053" s="1094"/>
      <c r="P3053" s="1094"/>
      <c r="Q3053" s="1094"/>
      <c r="R3053" s="1094"/>
      <c r="S3053" s="1094"/>
      <c r="T3053" s="1094"/>
      <c r="U3053" s="1094"/>
      <c r="V3053" s="1094"/>
      <c r="W3053" s="1094"/>
      <c r="X3053" s="1094"/>
      <c r="Y3053" s="1094"/>
      <c r="Z3053" s="1094"/>
      <c r="AA3053" s="1094"/>
      <c r="AB3053" s="1094"/>
      <c r="AC3053" s="1094"/>
      <c r="AD3053" s="1094"/>
      <c r="AE3053" s="1094"/>
      <c r="AF3053" s="1094"/>
      <c r="AG3053" s="1094"/>
      <c r="AH3053" s="1094"/>
      <c r="AI3053" s="1094"/>
      <c r="AJ3053" s="1094"/>
      <c r="AK3053" s="1094"/>
      <c r="AL3053" s="1094"/>
      <c r="AM3053" s="1094"/>
      <c r="AN3053" s="1094"/>
      <c r="AO3053" s="1094"/>
      <c r="AP3053" s="1094"/>
      <c r="AQ3053" s="1094"/>
      <c r="AR3053" s="1094"/>
      <c r="AS3053" s="1094"/>
      <c r="AT3053" s="1094"/>
      <c r="AU3053" s="1095"/>
      <c r="AV3053" s="1030"/>
      <c r="AW3053" s="1031"/>
      <c r="AX3053" s="1031"/>
      <c r="AY3053" s="1031"/>
      <c r="AZ3053" s="1031"/>
      <c r="BA3053" s="1031"/>
      <c r="BB3053" s="1031"/>
      <c r="BC3053" s="1031"/>
      <c r="BD3053" s="1031"/>
      <c r="BE3053" s="1031"/>
      <c r="BF3053" s="1031"/>
      <c r="BG3053" s="1031"/>
      <c r="BH3053" s="1031"/>
      <c r="BI3053" s="1031"/>
      <c r="BJ3053" s="1031"/>
      <c r="BK3053" s="1031"/>
      <c r="BL3053" s="1031"/>
      <c r="BM3053" s="1031"/>
      <c r="BN3053" s="1031"/>
      <c r="BO3053" s="1031"/>
      <c r="BP3053" s="1031"/>
      <c r="BQ3053" s="1031"/>
      <c r="BR3053" s="1031"/>
      <c r="BS3053" s="1031"/>
      <c r="BT3053" s="1031"/>
      <c r="BU3053" s="1031"/>
      <c r="BV3053" s="1031"/>
      <c r="BW3053" s="1031"/>
      <c r="BX3053" s="1031"/>
      <c r="BY3053" s="1031"/>
      <c r="BZ3053" s="1032"/>
      <c r="CA3053" s="270"/>
      <c r="CB3053" s="3" t="str">
        <f t="shared" si="542"/>
        <v>Riadok bude skrytý.</v>
      </c>
      <c r="CC3053" s="271" t="s">
        <v>832</v>
      </c>
      <c r="CW3053" s="30">
        <f t="shared" si="553"/>
        <v>0</v>
      </c>
      <c r="CX3053" s="30">
        <f t="shared" si="550"/>
        <v>1</v>
      </c>
      <c r="CZ3053" s="30">
        <f t="shared" si="544"/>
        <v>1</v>
      </c>
      <c r="DA3053" s="52">
        <f>+IF(CW3053*CX3053=0,0,IF(CZ3053=0,0,1))</f>
        <v>0</v>
      </c>
      <c r="DB3053" s="140">
        <f t="shared" si="549"/>
        <v>0</v>
      </c>
      <c r="DS3053" s="130">
        <f>SI!BY3053</f>
        <v>109</v>
      </c>
      <c r="DZ3053" s="131">
        <f>SI!BZ3053</f>
        <v>0</v>
      </c>
    </row>
    <row r="3054" spans="1:130" hidden="1" x14ac:dyDescent="0.25">
      <c r="A3054" s="141"/>
      <c r="CA3054" s="142"/>
      <c r="CB3054" s="3" t="str">
        <f t="shared" si="542"/>
        <v>Riadok bude skrytý.</v>
      </c>
      <c r="CC3054" s="271" t="s">
        <v>832</v>
      </c>
      <c r="CW3054" s="30">
        <f t="shared" si="553"/>
        <v>0</v>
      </c>
      <c r="CZ3054" s="30">
        <f t="shared" si="544"/>
        <v>1</v>
      </c>
      <c r="DA3054" s="30">
        <f>+IF(CW3054+CX3054+CY3054=0,0,IF(CZ3054=0,0,1))</f>
        <v>0</v>
      </c>
      <c r="DB3054" s="140">
        <f t="shared" si="549"/>
        <v>0</v>
      </c>
      <c r="DS3054" s="130">
        <f>SI!BY3054</f>
        <v>116</v>
      </c>
      <c r="DZ3054" s="131">
        <f>SI!BZ3054</f>
        <v>0</v>
      </c>
    </row>
    <row r="3055" spans="1:130" hidden="1" x14ac:dyDescent="0.25">
      <c r="A3055" s="141"/>
      <c r="B3055" s="137" t="s">
        <v>96</v>
      </c>
      <c r="J3055" s="378" t="s">
        <v>97</v>
      </c>
      <c r="K3055" s="378"/>
      <c r="L3055" s="378"/>
      <c r="M3055" s="378"/>
      <c r="N3055" s="378"/>
      <c r="O3055" s="137" t="str">
        <f>+IF($O$52&lt;&gt;"",IF(CODE(MID($O$52,1,1))*(IF(SI!EE3055="",1,SI!EE3055-2-1))+ROUNDDOWN(LEN(SI!J5)/2,0)=DS3055,"v nájme hnuteľný majetok formou finančného prenájmu.","NEPOVOLENÉ POUŽITIE!"),"NEPOVOLENÉ POUŽITIE!")</f>
        <v>v nájme hnuteľný majetok formou finančného prenájmu.</v>
      </c>
      <c r="P3055" s="38"/>
      <c r="CA3055" s="265" t="s">
        <v>773</v>
      </c>
      <c r="CB3055" s="3" t="str">
        <f t="shared" si="542"/>
        <v>Riadok bude skrytý.</v>
      </c>
      <c r="CC3055" s="271" t="s">
        <v>832</v>
      </c>
      <c r="CF3055" s="13"/>
      <c r="CW3055" s="30">
        <f t="shared" si="553"/>
        <v>0</v>
      </c>
      <c r="CZ3055" s="30">
        <f t="shared" si="544"/>
        <v>1</v>
      </c>
      <c r="DA3055" s="30">
        <f>+IF(CW3055+CX3055+CY3055=0,0,IF(CZ3055=0,0,1))</f>
        <v>0</v>
      </c>
      <c r="DB3055" s="140">
        <f t="shared" si="549"/>
        <v>0</v>
      </c>
      <c r="DS3055" s="130">
        <f>SI!BY3055</f>
        <v>7</v>
      </c>
      <c r="DZ3055" s="131">
        <f>SI!BZ3055</f>
        <v>0</v>
      </c>
    </row>
    <row r="3056" spans="1:130" hidden="1" x14ac:dyDescent="0.25">
      <c r="A3056" s="141"/>
      <c r="CA3056" s="270"/>
      <c r="CB3056" s="3" t="str">
        <f t="shared" si="542"/>
        <v>Riadok bude skrytý.</v>
      </c>
      <c r="CC3056" s="271" t="s">
        <v>832</v>
      </c>
      <c r="CW3056" s="30">
        <f t="shared" si="553"/>
        <v>0</v>
      </c>
      <c r="CX3056" s="30">
        <f t="shared" ref="CX3056:CX3067" si="554">+IF($J$3055="nemá",0,1)</f>
        <v>1</v>
      </c>
      <c r="CZ3056" s="30">
        <f t="shared" si="544"/>
        <v>1</v>
      </c>
      <c r="DA3056" s="52">
        <f>+IF(CW3056*CX3056=0,0,IF(CZ3056=0,0,1))</f>
        <v>0</v>
      </c>
      <c r="DB3056" s="140">
        <f t="shared" si="549"/>
        <v>0</v>
      </c>
      <c r="DS3056" s="130">
        <f>SI!BY3056</f>
        <v>168</v>
      </c>
      <c r="DZ3056" s="131">
        <f>SI!BZ3056</f>
        <v>0</v>
      </c>
    </row>
    <row r="3057" spans="1:130" hidden="1" x14ac:dyDescent="0.25">
      <c r="A3057" s="141"/>
      <c r="B3057" s="381" t="s">
        <v>795</v>
      </c>
      <c r="C3057" s="383"/>
      <c r="D3057" s="383"/>
      <c r="E3057" s="383"/>
      <c r="F3057" s="383"/>
      <c r="G3057" s="383"/>
      <c r="H3057" s="383"/>
      <c r="I3057" s="383"/>
      <c r="J3057" s="383"/>
      <c r="K3057" s="383"/>
      <c r="L3057" s="383"/>
      <c r="M3057" s="383"/>
      <c r="N3057" s="383"/>
      <c r="O3057" s="383"/>
      <c r="P3057" s="383"/>
      <c r="Q3057" s="383"/>
      <c r="R3057" s="383"/>
      <c r="S3057" s="383"/>
      <c r="T3057" s="383"/>
      <c r="U3057" s="383"/>
      <c r="V3057" s="383"/>
      <c r="W3057" s="383"/>
      <c r="X3057" s="383"/>
      <c r="Y3057" s="383"/>
      <c r="Z3057" s="383"/>
      <c r="AA3057" s="383"/>
      <c r="AB3057" s="383"/>
      <c r="AC3057" s="383"/>
      <c r="AD3057" s="383"/>
      <c r="AE3057" s="383"/>
      <c r="AF3057" s="383"/>
      <c r="AG3057" s="383"/>
      <c r="AH3057" s="383"/>
      <c r="AI3057" s="383"/>
      <c r="AJ3057" s="383"/>
      <c r="AK3057" s="383"/>
      <c r="AL3057" s="383"/>
      <c r="AM3057" s="383"/>
      <c r="AN3057" s="383"/>
      <c r="AO3057" s="383"/>
      <c r="AP3057" s="383"/>
      <c r="AQ3057" s="383"/>
      <c r="AR3057" s="383"/>
      <c r="AS3057" s="383"/>
      <c r="AT3057" s="383"/>
      <c r="AU3057" s="382"/>
      <c r="AV3057" s="381" t="s">
        <v>794</v>
      </c>
      <c r="AW3057" s="383"/>
      <c r="AX3057" s="383"/>
      <c r="AY3057" s="383"/>
      <c r="AZ3057" s="383"/>
      <c r="BA3057" s="383"/>
      <c r="BB3057" s="383"/>
      <c r="BC3057" s="383"/>
      <c r="BD3057" s="383"/>
      <c r="BE3057" s="383"/>
      <c r="BF3057" s="383"/>
      <c r="BG3057" s="383"/>
      <c r="BH3057" s="383"/>
      <c r="BI3057" s="383"/>
      <c r="BJ3057" s="383"/>
      <c r="BK3057" s="383"/>
      <c r="BL3057" s="383"/>
      <c r="BM3057" s="383"/>
      <c r="BN3057" s="383"/>
      <c r="BO3057" s="383"/>
      <c r="BP3057" s="383"/>
      <c r="BQ3057" s="383"/>
      <c r="BR3057" s="383"/>
      <c r="BS3057" s="383"/>
      <c r="BT3057" s="383"/>
      <c r="BU3057" s="383"/>
      <c r="BV3057" s="383"/>
      <c r="BW3057" s="383"/>
      <c r="BX3057" s="383"/>
      <c r="BY3057" s="383"/>
      <c r="BZ3057" s="382"/>
      <c r="CA3057" s="270"/>
      <c r="CB3057" s="3" t="str">
        <f t="shared" si="542"/>
        <v>Riadok bude skrytý.</v>
      </c>
      <c r="CC3057" s="271" t="s">
        <v>832</v>
      </c>
      <c r="CW3057" s="30">
        <f t="shared" si="553"/>
        <v>0</v>
      </c>
      <c r="CX3057" s="30">
        <f t="shared" si="554"/>
        <v>1</v>
      </c>
      <c r="CZ3057" s="30">
        <f t="shared" si="544"/>
        <v>1</v>
      </c>
      <c r="DA3057" s="52">
        <f>+IF(CW3057*CX3057=0,0,IF(CZ3057=0,0,1))</f>
        <v>0</v>
      </c>
      <c r="DB3057" s="140">
        <f t="shared" si="549"/>
        <v>0</v>
      </c>
      <c r="DS3057" s="130">
        <f>SI!BY3057</f>
        <v>127</v>
      </c>
      <c r="DZ3057" s="131">
        <f>SI!BZ3057</f>
        <v>0</v>
      </c>
    </row>
    <row r="3058" spans="1:130" hidden="1" x14ac:dyDescent="0.25">
      <c r="A3058" s="141"/>
      <c r="B3058" s="1051"/>
      <c r="C3058" s="1052"/>
      <c r="D3058" s="1052"/>
      <c r="E3058" s="1052"/>
      <c r="F3058" s="1052"/>
      <c r="G3058" s="1052"/>
      <c r="H3058" s="1052"/>
      <c r="I3058" s="1052"/>
      <c r="J3058" s="1052"/>
      <c r="K3058" s="1052"/>
      <c r="L3058" s="1052"/>
      <c r="M3058" s="1052"/>
      <c r="N3058" s="1052"/>
      <c r="O3058" s="1052"/>
      <c r="P3058" s="1052"/>
      <c r="Q3058" s="1052"/>
      <c r="R3058" s="1052"/>
      <c r="S3058" s="1052"/>
      <c r="T3058" s="1052"/>
      <c r="U3058" s="1052"/>
      <c r="V3058" s="1052"/>
      <c r="W3058" s="1052"/>
      <c r="X3058" s="1052"/>
      <c r="Y3058" s="1052"/>
      <c r="Z3058" s="1052"/>
      <c r="AA3058" s="1052"/>
      <c r="AB3058" s="1052"/>
      <c r="AC3058" s="1052"/>
      <c r="AD3058" s="1052"/>
      <c r="AE3058" s="1052"/>
      <c r="AF3058" s="1052"/>
      <c r="AG3058" s="1052"/>
      <c r="AH3058" s="1052"/>
      <c r="AI3058" s="1052"/>
      <c r="AJ3058" s="1052"/>
      <c r="AK3058" s="1052"/>
      <c r="AL3058" s="1052"/>
      <c r="AM3058" s="1052"/>
      <c r="AN3058" s="1052"/>
      <c r="AO3058" s="1052"/>
      <c r="AP3058" s="1052"/>
      <c r="AQ3058" s="1052"/>
      <c r="AR3058" s="1052"/>
      <c r="AS3058" s="1052"/>
      <c r="AT3058" s="1052"/>
      <c r="AU3058" s="1053"/>
      <c r="AV3058" s="991"/>
      <c r="AW3058" s="992"/>
      <c r="AX3058" s="992"/>
      <c r="AY3058" s="992"/>
      <c r="AZ3058" s="992"/>
      <c r="BA3058" s="992"/>
      <c r="BB3058" s="992"/>
      <c r="BC3058" s="992"/>
      <c r="BD3058" s="992"/>
      <c r="BE3058" s="992"/>
      <c r="BF3058" s="992"/>
      <c r="BG3058" s="992"/>
      <c r="BH3058" s="992"/>
      <c r="BI3058" s="992"/>
      <c r="BJ3058" s="992"/>
      <c r="BK3058" s="992"/>
      <c r="BL3058" s="992"/>
      <c r="BM3058" s="992"/>
      <c r="BN3058" s="992"/>
      <c r="BO3058" s="992"/>
      <c r="BP3058" s="992"/>
      <c r="BQ3058" s="992"/>
      <c r="BR3058" s="992"/>
      <c r="BS3058" s="992"/>
      <c r="BT3058" s="992"/>
      <c r="BU3058" s="992"/>
      <c r="BV3058" s="992"/>
      <c r="BW3058" s="992"/>
      <c r="BX3058" s="992"/>
      <c r="BY3058" s="992"/>
      <c r="BZ3058" s="993"/>
      <c r="CA3058" s="270"/>
      <c r="CB3058" s="3" t="str">
        <f t="shared" si="542"/>
        <v>Riadok bude skrytý.</v>
      </c>
      <c r="CC3058" s="271" t="s">
        <v>832</v>
      </c>
      <c r="CW3058" s="30">
        <f t="shared" si="553"/>
        <v>0</v>
      </c>
      <c r="CX3058" s="30">
        <f t="shared" si="554"/>
        <v>1</v>
      </c>
      <c r="CZ3058" s="30">
        <f t="shared" si="544"/>
        <v>1</v>
      </c>
      <c r="DA3058" s="52">
        <f>+IF(CW3058*CX3058=0,0,IF(CZ3058=0,0,1))</f>
        <v>0</v>
      </c>
      <c r="DB3058" s="140">
        <f t="shared" si="549"/>
        <v>0</v>
      </c>
      <c r="DS3058" s="130">
        <f>SI!BY3058</f>
        <v>186</v>
      </c>
      <c r="DZ3058" s="131">
        <f>SI!BZ3058</f>
        <v>0</v>
      </c>
    </row>
    <row r="3059" spans="1:130" hidden="1" x14ac:dyDescent="0.25">
      <c r="A3059" s="141"/>
      <c r="B3059" s="1011"/>
      <c r="C3059" s="1012"/>
      <c r="D3059" s="1012"/>
      <c r="E3059" s="1012"/>
      <c r="F3059" s="1012"/>
      <c r="G3059" s="1012"/>
      <c r="H3059" s="1012"/>
      <c r="I3059" s="1012"/>
      <c r="J3059" s="1012"/>
      <c r="K3059" s="1012"/>
      <c r="L3059" s="1012"/>
      <c r="M3059" s="1012"/>
      <c r="N3059" s="1012"/>
      <c r="O3059" s="1012"/>
      <c r="P3059" s="1012"/>
      <c r="Q3059" s="1012"/>
      <c r="R3059" s="1012"/>
      <c r="S3059" s="1012"/>
      <c r="T3059" s="1012"/>
      <c r="U3059" s="1012"/>
      <c r="V3059" s="1012"/>
      <c r="W3059" s="1012"/>
      <c r="X3059" s="1012"/>
      <c r="Y3059" s="1012"/>
      <c r="Z3059" s="1012"/>
      <c r="AA3059" s="1012"/>
      <c r="AB3059" s="1012"/>
      <c r="AC3059" s="1012"/>
      <c r="AD3059" s="1012"/>
      <c r="AE3059" s="1012"/>
      <c r="AF3059" s="1012"/>
      <c r="AG3059" s="1012"/>
      <c r="AH3059" s="1012"/>
      <c r="AI3059" s="1012"/>
      <c r="AJ3059" s="1012"/>
      <c r="AK3059" s="1012"/>
      <c r="AL3059" s="1012"/>
      <c r="AM3059" s="1012"/>
      <c r="AN3059" s="1012"/>
      <c r="AO3059" s="1012"/>
      <c r="AP3059" s="1012"/>
      <c r="AQ3059" s="1012"/>
      <c r="AR3059" s="1012"/>
      <c r="AS3059" s="1012"/>
      <c r="AT3059" s="1012"/>
      <c r="AU3059" s="1013"/>
      <c r="AV3059" s="1021"/>
      <c r="AW3059" s="1022"/>
      <c r="AX3059" s="1022"/>
      <c r="AY3059" s="1022"/>
      <c r="AZ3059" s="1022"/>
      <c r="BA3059" s="1022"/>
      <c r="BB3059" s="1022"/>
      <c r="BC3059" s="1022"/>
      <c r="BD3059" s="1022"/>
      <c r="BE3059" s="1022"/>
      <c r="BF3059" s="1022"/>
      <c r="BG3059" s="1022"/>
      <c r="BH3059" s="1022"/>
      <c r="BI3059" s="1022"/>
      <c r="BJ3059" s="1022"/>
      <c r="BK3059" s="1022"/>
      <c r="BL3059" s="1022"/>
      <c r="BM3059" s="1022"/>
      <c r="BN3059" s="1022"/>
      <c r="BO3059" s="1022"/>
      <c r="BP3059" s="1022"/>
      <c r="BQ3059" s="1022"/>
      <c r="BR3059" s="1022"/>
      <c r="BS3059" s="1022"/>
      <c r="BT3059" s="1022"/>
      <c r="BU3059" s="1022"/>
      <c r="BV3059" s="1022"/>
      <c r="BW3059" s="1022"/>
      <c r="BX3059" s="1022"/>
      <c r="BY3059" s="1022"/>
      <c r="BZ3059" s="1023"/>
      <c r="CA3059" s="270"/>
      <c r="CB3059" s="3" t="str">
        <f t="shared" ref="CB3059:CB3122" si="555">+IF(DB3059=0,"Riadok bude skrytý.","Riadok bude vidieť.")</f>
        <v>Riadok bude skrytý.</v>
      </c>
      <c r="CC3059" s="271" t="s">
        <v>832</v>
      </c>
      <c r="CW3059" s="30">
        <f t="shared" si="553"/>
        <v>0</v>
      </c>
      <c r="CX3059" s="30">
        <f t="shared" si="554"/>
        <v>1</v>
      </c>
      <c r="CY3059" s="30">
        <f t="shared" ref="CY3059:CY3066" si="556">+IF(B3059="",0,1)</f>
        <v>0</v>
      </c>
      <c r="CZ3059" s="30">
        <f t="shared" si="544"/>
        <v>1</v>
      </c>
      <c r="DA3059" s="53">
        <f t="shared" ref="DA3059:DA3066" si="557">+IF(CW3059*CX3059*CY3059=0,0,IF(CZ3059=0,0,1))</f>
        <v>0</v>
      </c>
      <c r="DB3059" s="140">
        <f t="shared" si="549"/>
        <v>0</v>
      </c>
      <c r="DS3059" s="130">
        <f>SI!BY3059</f>
        <v>122</v>
      </c>
      <c r="DZ3059" s="131">
        <f>SI!BZ3059</f>
        <v>0</v>
      </c>
    </row>
    <row r="3060" spans="1:130" hidden="1" x14ac:dyDescent="0.25">
      <c r="A3060" s="141"/>
      <c r="B3060" s="1011"/>
      <c r="C3060" s="1012"/>
      <c r="D3060" s="1012"/>
      <c r="E3060" s="1012"/>
      <c r="F3060" s="1012"/>
      <c r="G3060" s="1012"/>
      <c r="H3060" s="1012"/>
      <c r="I3060" s="1012"/>
      <c r="J3060" s="1012"/>
      <c r="K3060" s="1012"/>
      <c r="L3060" s="1012"/>
      <c r="M3060" s="1012"/>
      <c r="N3060" s="1012"/>
      <c r="O3060" s="1012"/>
      <c r="P3060" s="1012"/>
      <c r="Q3060" s="1012"/>
      <c r="R3060" s="1012"/>
      <c r="S3060" s="1012"/>
      <c r="T3060" s="1012"/>
      <c r="U3060" s="1012"/>
      <c r="V3060" s="1012"/>
      <c r="W3060" s="1012"/>
      <c r="X3060" s="1012"/>
      <c r="Y3060" s="1012"/>
      <c r="Z3060" s="1012"/>
      <c r="AA3060" s="1012"/>
      <c r="AB3060" s="1012"/>
      <c r="AC3060" s="1012"/>
      <c r="AD3060" s="1012"/>
      <c r="AE3060" s="1012"/>
      <c r="AF3060" s="1012"/>
      <c r="AG3060" s="1012"/>
      <c r="AH3060" s="1012"/>
      <c r="AI3060" s="1012"/>
      <c r="AJ3060" s="1012"/>
      <c r="AK3060" s="1012"/>
      <c r="AL3060" s="1012"/>
      <c r="AM3060" s="1012"/>
      <c r="AN3060" s="1012"/>
      <c r="AO3060" s="1012"/>
      <c r="AP3060" s="1012"/>
      <c r="AQ3060" s="1012"/>
      <c r="AR3060" s="1012"/>
      <c r="AS3060" s="1012"/>
      <c r="AT3060" s="1012"/>
      <c r="AU3060" s="1013"/>
      <c r="AV3060" s="1021"/>
      <c r="AW3060" s="1022"/>
      <c r="AX3060" s="1022"/>
      <c r="AY3060" s="1022"/>
      <c r="AZ3060" s="1022"/>
      <c r="BA3060" s="1022"/>
      <c r="BB3060" s="1022"/>
      <c r="BC3060" s="1022"/>
      <c r="BD3060" s="1022"/>
      <c r="BE3060" s="1022"/>
      <c r="BF3060" s="1022"/>
      <c r="BG3060" s="1022"/>
      <c r="BH3060" s="1022"/>
      <c r="BI3060" s="1022"/>
      <c r="BJ3060" s="1022"/>
      <c r="BK3060" s="1022"/>
      <c r="BL3060" s="1022"/>
      <c r="BM3060" s="1022"/>
      <c r="BN3060" s="1022"/>
      <c r="BO3060" s="1022"/>
      <c r="BP3060" s="1022"/>
      <c r="BQ3060" s="1022"/>
      <c r="BR3060" s="1022"/>
      <c r="BS3060" s="1022"/>
      <c r="BT3060" s="1022"/>
      <c r="BU3060" s="1022"/>
      <c r="BV3060" s="1022"/>
      <c r="BW3060" s="1022"/>
      <c r="BX3060" s="1022"/>
      <c r="BY3060" s="1022"/>
      <c r="BZ3060" s="1023"/>
      <c r="CA3060" s="270"/>
      <c r="CB3060" s="3" t="str">
        <f t="shared" si="555"/>
        <v>Riadok bude skrytý.</v>
      </c>
      <c r="CC3060" s="271" t="s">
        <v>832</v>
      </c>
      <c r="CW3060" s="30">
        <f t="shared" si="553"/>
        <v>0</v>
      </c>
      <c r="CX3060" s="30">
        <f t="shared" si="554"/>
        <v>1</v>
      </c>
      <c r="CY3060" s="30">
        <f t="shared" si="556"/>
        <v>0</v>
      </c>
      <c r="CZ3060" s="30">
        <f t="shared" si="544"/>
        <v>1</v>
      </c>
      <c r="DA3060" s="53">
        <f t="shared" si="557"/>
        <v>0</v>
      </c>
      <c r="DB3060" s="140">
        <f t="shared" si="549"/>
        <v>0</v>
      </c>
      <c r="DS3060" s="130">
        <f>SI!BY3060</f>
        <v>184</v>
      </c>
      <c r="DZ3060" s="131">
        <f>SI!BZ3060</f>
        <v>0</v>
      </c>
    </row>
    <row r="3061" spans="1:130" hidden="1" x14ac:dyDescent="0.25">
      <c r="A3061" s="141"/>
      <c r="B3061" s="1011"/>
      <c r="C3061" s="1012"/>
      <c r="D3061" s="1012"/>
      <c r="E3061" s="1012"/>
      <c r="F3061" s="1012"/>
      <c r="G3061" s="1012"/>
      <c r="H3061" s="1012"/>
      <c r="I3061" s="1012"/>
      <c r="J3061" s="1012"/>
      <c r="K3061" s="1012"/>
      <c r="L3061" s="1012"/>
      <c r="M3061" s="1012"/>
      <c r="N3061" s="1012"/>
      <c r="O3061" s="1012"/>
      <c r="P3061" s="1012"/>
      <c r="Q3061" s="1012"/>
      <c r="R3061" s="1012"/>
      <c r="S3061" s="1012"/>
      <c r="T3061" s="1012"/>
      <c r="U3061" s="1012"/>
      <c r="V3061" s="1012"/>
      <c r="W3061" s="1012"/>
      <c r="X3061" s="1012"/>
      <c r="Y3061" s="1012"/>
      <c r="Z3061" s="1012"/>
      <c r="AA3061" s="1012"/>
      <c r="AB3061" s="1012"/>
      <c r="AC3061" s="1012"/>
      <c r="AD3061" s="1012"/>
      <c r="AE3061" s="1012"/>
      <c r="AF3061" s="1012"/>
      <c r="AG3061" s="1012"/>
      <c r="AH3061" s="1012"/>
      <c r="AI3061" s="1012"/>
      <c r="AJ3061" s="1012"/>
      <c r="AK3061" s="1012"/>
      <c r="AL3061" s="1012"/>
      <c r="AM3061" s="1012"/>
      <c r="AN3061" s="1012"/>
      <c r="AO3061" s="1012"/>
      <c r="AP3061" s="1012"/>
      <c r="AQ3061" s="1012"/>
      <c r="AR3061" s="1012"/>
      <c r="AS3061" s="1012"/>
      <c r="AT3061" s="1012"/>
      <c r="AU3061" s="1013"/>
      <c r="AV3061" s="1021"/>
      <c r="AW3061" s="1022"/>
      <c r="AX3061" s="1022"/>
      <c r="AY3061" s="1022"/>
      <c r="AZ3061" s="1022"/>
      <c r="BA3061" s="1022"/>
      <c r="BB3061" s="1022"/>
      <c r="BC3061" s="1022"/>
      <c r="BD3061" s="1022"/>
      <c r="BE3061" s="1022"/>
      <c r="BF3061" s="1022"/>
      <c r="BG3061" s="1022"/>
      <c r="BH3061" s="1022"/>
      <c r="BI3061" s="1022"/>
      <c r="BJ3061" s="1022"/>
      <c r="BK3061" s="1022"/>
      <c r="BL3061" s="1022"/>
      <c r="BM3061" s="1022"/>
      <c r="BN3061" s="1022"/>
      <c r="BO3061" s="1022"/>
      <c r="BP3061" s="1022"/>
      <c r="BQ3061" s="1022"/>
      <c r="BR3061" s="1022"/>
      <c r="BS3061" s="1022"/>
      <c r="BT3061" s="1022"/>
      <c r="BU3061" s="1022"/>
      <c r="BV3061" s="1022"/>
      <c r="BW3061" s="1022"/>
      <c r="BX3061" s="1022"/>
      <c r="BY3061" s="1022"/>
      <c r="BZ3061" s="1023"/>
      <c r="CA3061" s="270"/>
      <c r="CB3061" s="3" t="str">
        <f t="shared" si="555"/>
        <v>Riadok bude skrytý.</v>
      </c>
      <c r="CC3061" s="271" t="s">
        <v>832</v>
      </c>
      <c r="CW3061" s="30">
        <f t="shared" si="553"/>
        <v>0</v>
      </c>
      <c r="CX3061" s="30">
        <f t="shared" si="554"/>
        <v>1</v>
      </c>
      <c r="CY3061" s="30">
        <f t="shared" si="556"/>
        <v>0</v>
      </c>
      <c r="CZ3061" s="30">
        <f t="shared" si="544"/>
        <v>1</v>
      </c>
      <c r="DA3061" s="53">
        <f t="shared" si="557"/>
        <v>0</v>
      </c>
      <c r="DB3061" s="140">
        <f t="shared" si="549"/>
        <v>0</v>
      </c>
      <c r="DS3061" s="130">
        <f>SI!BY3061</f>
        <v>187</v>
      </c>
      <c r="DZ3061" s="131">
        <f>SI!BZ3061</f>
        <v>0</v>
      </c>
    </row>
    <row r="3062" spans="1:130" hidden="1" x14ac:dyDescent="0.25">
      <c r="A3062" s="141"/>
      <c r="B3062" s="1011"/>
      <c r="C3062" s="1012"/>
      <c r="D3062" s="1012"/>
      <c r="E3062" s="1012"/>
      <c r="F3062" s="1012"/>
      <c r="G3062" s="1012"/>
      <c r="H3062" s="1012"/>
      <c r="I3062" s="1012"/>
      <c r="J3062" s="1012"/>
      <c r="K3062" s="1012"/>
      <c r="L3062" s="1012"/>
      <c r="M3062" s="1012"/>
      <c r="N3062" s="1012"/>
      <c r="O3062" s="1012"/>
      <c r="P3062" s="1012"/>
      <c r="Q3062" s="1012"/>
      <c r="R3062" s="1012"/>
      <c r="S3062" s="1012"/>
      <c r="T3062" s="1012"/>
      <c r="U3062" s="1012"/>
      <c r="V3062" s="1012"/>
      <c r="W3062" s="1012"/>
      <c r="X3062" s="1012"/>
      <c r="Y3062" s="1012"/>
      <c r="Z3062" s="1012"/>
      <c r="AA3062" s="1012"/>
      <c r="AB3062" s="1012"/>
      <c r="AC3062" s="1012"/>
      <c r="AD3062" s="1012"/>
      <c r="AE3062" s="1012"/>
      <c r="AF3062" s="1012"/>
      <c r="AG3062" s="1012"/>
      <c r="AH3062" s="1012"/>
      <c r="AI3062" s="1012"/>
      <c r="AJ3062" s="1012"/>
      <c r="AK3062" s="1012"/>
      <c r="AL3062" s="1012"/>
      <c r="AM3062" s="1012"/>
      <c r="AN3062" s="1012"/>
      <c r="AO3062" s="1012"/>
      <c r="AP3062" s="1012"/>
      <c r="AQ3062" s="1012"/>
      <c r="AR3062" s="1012"/>
      <c r="AS3062" s="1012"/>
      <c r="AT3062" s="1012"/>
      <c r="AU3062" s="1013"/>
      <c r="AV3062" s="1021"/>
      <c r="AW3062" s="1022"/>
      <c r="AX3062" s="1022"/>
      <c r="AY3062" s="1022"/>
      <c r="AZ3062" s="1022"/>
      <c r="BA3062" s="1022"/>
      <c r="BB3062" s="1022"/>
      <c r="BC3062" s="1022"/>
      <c r="BD3062" s="1022"/>
      <c r="BE3062" s="1022"/>
      <c r="BF3062" s="1022"/>
      <c r="BG3062" s="1022"/>
      <c r="BH3062" s="1022"/>
      <c r="BI3062" s="1022"/>
      <c r="BJ3062" s="1022"/>
      <c r="BK3062" s="1022"/>
      <c r="BL3062" s="1022"/>
      <c r="BM3062" s="1022"/>
      <c r="BN3062" s="1022"/>
      <c r="BO3062" s="1022"/>
      <c r="BP3062" s="1022"/>
      <c r="BQ3062" s="1022"/>
      <c r="BR3062" s="1022"/>
      <c r="BS3062" s="1022"/>
      <c r="BT3062" s="1022"/>
      <c r="BU3062" s="1022"/>
      <c r="BV3062" s="1022"/>
      <c r="BW3062" s="1022"/>
      <c r="BX3062" s="1022"/>
      <c r="BY3062" s="1022"/>
      <c r="BZ3062" s="1023"/>
      <c r="CA3062" s="270"/>
      <c r="CB3062" s="3" t="str">
        <f t="shared" si="555"/>
        <v>Riadok bude skrytý.</v>
      </c>
      <c r="CC3062" s="271" t="s">
        <v>832</v>
      </c>
      <c r="CW3062" s="30">
        <f t="shared" si="553"/>
        <v>0</v>
      </c>
      <c r="CX3062" s="30">
        <f t="shared" si="554"/>
        <v>1</v>
      </c>
      <c r="CY3062" s="30">
        <f t="shared" si="556"/>
        <v>0</v>
      </c>
      <c r="CZ3062" s="30">
        <f t="shared" si="544"/>
        <v>1</v>
      </c>
      <c r="DA3062" s="53">
        <f t="shared" si="557"/>
        <v>0</v>
      </c>
      <c r="DB3062" s="140">
        <f t="shared" si="549"/>
        <v>0</v>
      </c>
      <c r="DS3062" s="130">
        <f>SI!BY3062</f>
        <v>146</v>
      </c>
      <c r="DZ3062" s="131">
        <f>SI!BZ3062</f>
        <v>0</v>
      </c>
    </row>
    <row r="3063" spans="1:130" hidden="1" x14ac:dyDescent="0.25">
      <c r="A3063" s="141"/>
      <c r="B3063" s="1011"/>
      <c r="C3063" s="1012"/>
      <c r="D3063" s="1012"/>
      <c r="E3063" s="1012"/>
      <c r="F3063" s="1012"/>
      <c r="G3063" s="1012"/>
      <c r="H3063" s="1012"/>
      <c r="I3063" s="1012"/>
      <c r="J3063" s="1012"/>
      <c r="K3063" s="1012"/>
      <c r="L3063" s="1012"/>
      <c r="M3063" s="1012"/>
      <c r="N3063" s="1012"/>
      <c r="O3063" s="1012"/>
      <c r="P3063" s="1012"/>
      <c r="Q3063" s="1012"/>
      <c r="R3063" s="1012"/>
      <c r="S3063" s="1012"/>
      <c r="T3063" s="1012"/>
      <c r="U3063" s="1012"/>
      <c r="V3063" s="1012"/>
      <c r="W3063" s="1012"/>
      <c r="X3063" s="1012"/>
      <c r="Y3063" s="1012"/>
      <c r="Z3063" s="1012"/>
      <c r="AA3063" s="1012"/>
      <c r="AB3063" s="1012"/>
      <c r="AC3063" s="1012"/>
      <c r="AD3063" s="1012"/>
      <c r="AE3063" s="1012"/>
      <c r="AF3063" s="1012"/>
      <c r="AG3063" s="1012"/>
      <c r="AH3063" s="1012"/>
      <c r="AI3063" s="1012"/>
      <c r="AJ3063" s="1012"/>
      <c r="AK3063" s="1012"/>
      <c r="AL3063" s="1012"/>
      <c r="AM3063" s="1012"/>
      <c r="AN3063" s="1012"/>
      <c r="AO3063" s="1012"/>
      <c r="AP3063" s="1012"/>
      <c r="AQ3063" s="1012"/>
      <c r="AR3063" s="1012"/>
      <c r="AS3063" s="1012"/>
      <c r="AT3063" s="1012"/>
      <c r="AU3063" s="1013"/>
      <c r="AV3063" s="1021"/>
      <c r="AW3063" s="1022"/>
      <c r="AX3063" s="1022"/>
      <c r="AY3063" s="1022"/>
      <c r="AZ3063" s="1022"/>
      <c r="BA3063" s="1022"/>
      <c r="BB3063" s="1022"/>
      <c r="BC3063" s="1022"/>
      <c r="BD3063" s="1022"/>
      <c r="BE3063" s="1022"/>
      <c r="BF3063" s="1022"/>
      <c r="BG3063" s="1022"/>
      <c r="BH3063" s="1022"/>
      <c r="BI3063" s="1022"/>
      <c r="BJ3063" s="1022"/>
      <c r="BK3063" s="1022"/>
      <c r="BL3063" s="1022"/>
      <c r="BM3063" s="1022"/>
      <c r="BN3063" s="1022"/>
      <c r="BO3063" s="1022"/>
      <c r="BP3063" s="1022"/>
      <c r="BQ3063" s="1022"/>
      <c r="BR3063" s="1022"/>
      <c r="BS3063" s="1022"/>
      <c r="BT3063" s="1022"/>
      <c r="BU3063" s="1022"/>
      <c r="BV3063" s="1022"/>
      <c r="BW3063" s="1022"/>
      <c r="BX3063" s="1022"/>
      <c r="BY3063" s="1022"/>
      <c r="BZ3063" s="1023"/>
      <c r="CA3063" s="270"/>
      <c r="CB3063" s="3" t="str">
        <f t="shared" si="555"/>
        <v>Riadok bude skrytý.</v>
      </c>
      <c r="CC3063" s="271" t="s">
        <v>832</v>
      </c>
      <c r="CW3063" s="30">
        <f t="shared" si="553"/>
        <v>0</v>
      </c>
      <c r="CX3063" s="30">
        <f t="shared" si="554"/>
        <v>1</v>
      </c>
      <c r="CY3063" s="30">
        <f t="shared" si="556"/>
        <v>0</v>
      </c>
      <c r="CZ3063" s="30">
        <f t="shared" ref="CZ3063:CZ3126" si="558">IF(CC3063="",1,IF(CC3063="Chcem skryť riadok.",0,1))</f>
        <v>1</v>
      </c>
      <c r="DA3063" s="53">
        <f t="shared" si="557"/>
        <v>0</v>
      </c>
      <c r="DB3063" s="140">
        <f t="shared" si="549"/>
        <v>0</v>
      </c>
      <c r="DS3063" s="130">
        <f>SI!BY3063</f>
        <v>124</v>
      </c>
      <c r="DZ3063" s="131">
        <f>SI!BZ3063</f>
        <v>0</v>
      </c>
    </row>
    <row r="3064" spans="1:130" hidden="1" x14ac:dyDescent="0.25">
      <c r="A3064" s="141"/>
      <c r="B3064" s="1011"/>
      <c r="C3064" s="1012"/>
      <c r="D3064" s="1012"/>
      <c r="E3064" s="1012"/>
      <c r="F3064" s="1012"/>
      <c r="G3064" s="1012"/>
      <c r="H3064" s="1012"/>
      <c r="I3064" s="1012"/>
      <c r="J3064" s="1012"/>
      <c r="K3064" s="1012"/>
      <c r="L3064" s="1012"/>
      <c r="M3064" s="1012"/>
      <c r="N3064" s="1012"/>
      <c r="O3064" s="1012"/>
      <c r="P3064" s="1012"/>
      <c r="Q3064" s="1012"/>
      <c r="R3064" s="1012"/>
      <c r="S3064" s="1012"/>
      <c r="T3064" s="1012"/>
      <c r="U3064" s="1012"/>
      <c r="V3064" s="1012"/>
      <c r="W3064" s="1012"/>
      <c r="X3064" s="1012"/>
      <c r="Y3064" s="1012"/>
      <c r="Z3064" s="1012"/>
      <c r="AA3064" s="1012"/>
      <c r="AB3064" s="1012"/>
      <c r="AC3064" s="1012"/>
      <c r="AD3064" s="1012"/>
      <c r="AE3064" s="1012"/>
      <c r="AF3064" s="1012"/>
      <c r="AG3064" s="1012"/>
      <c r="AH3064" s="1012"/>
      <c r="AI3064" s="1012"/>
      <c r="AJ3064" s="1012"/>
      <c r="AK3064" s="1012"/>
      <c r="AL3064" s="1012"/>
      <c r="AM3064" s="1012"/>
      <c r="AN3064" s="1012"/>
      <c r="AO3064" s="1012"/>
      <c r="AP3064" s="1012"/>
      <c r="AQ3064" s="1012"/>
      <c r="AR3064" s="1012"/>
      <c r="AS3064" s="1012"/>
      <c r="AT3064" s="1012"/>
      <c r="AU3064" s="1013"/>
      <c r="AV3064" s="1021"/>
      <c r="AW3064" s="1022"/>
      <c r="AX3064" s="1022"/>
      <c r="AY3064" s="1022"/>
      <c r="AZ3064" s="1022"/>
      <c r="BA3064" s="1022"/>
      <c r="BB3064" s="1022"/>
      <c r="BC3064" s="1022"/>
      <c r="BD3064" s="1022"/>
      <c r="BE3064" s="1022"/>
      <c r="BF3064" s="1022"/>
      <c r="BG3064" s="1022"/>
      <c r="BH3064" s="1022"/>
      <c r="BI3064" s="1022"/>
      <c r="BJ3064" s="1022"/>
      <c r="BK3064" s="1022"/>
      <c r="BL3064" s="1022"/>
      <c r="BM3064" s="1022"/>
      <c r="BN3064" s="1022"/>
      <c r="BO3064" s="1022"/>
      <c r="BP3064" s="1022"/>
      <c r="BQ3064" s="1022"/>
      <c r="BR3064" s="1022"/>
      <c r="BS3064" s="1022"/>
      <c r="BT3064" s="1022"/>
      <c r="BU3064" s="1022"/>
      <c r="BV3064" s="1022"/>
      <c r="BW3064" s="1022"/>
      <c r="BX3064" s="1022"/>
      <c r="BY3064" s="1022"/>
      <c r="BZ3064" s="1023"/>
      <c r="CA3064" s="270"/>
      <c r="CB3064" s="3" t="str">
        <f t="shared" si="555"/>
        <v>Riadok bude skrytý.</v>
      </c>
      <c r="CC3064" s="271" t="s">
        <v>832</v>
      </c>
      <c r="CW3064" s="30">
        <f t="shared" si="553"/>
        <v>0</v>
      </c>
      <c r="CX3064" s="30">
        <f t="shared" si="554"/>
        <v>1</v>
      </c>
      <c r="CY3064" s="30">
        <f t="shared" si="556"/>
        <v>0</v>
      </c>
      <c r="CZ3064" s="30">
        <f t="shared" si="558"/>
        <v>1</v>
      </c>
      <c r="DA3064" s="53">
        <f t="shared" si="557"/>
        <v>0</v>
      </c>
      <c r="DB3064" s="140">
        <f t="shared" si="549"/>
        <v>0</v>
      </c>
      <c r="DS3064" s="130">
        <f>SI!BY3064</f>
        <v>136</v>
      </c>
      <c r="DZ3064" s="131">
        <f>SI!BZ3064</f>
        <v>0</v>
      </c>
    </row>
    <row r="3065" spans="1:130" hidden="1" x14ac:dyDescent="0.25">
      <c r="A3065" s="141"/>
      <c r="B3065" s="1011"/>
      <c r="C3065" s="1012"/>
      <c r="D3065" s="1012"/>
      <c r="E3065" s="1012"/>
      <c r="F3065" s="1012"/>
      <c r="G3065" s="1012"/>
      <c r="H3065" s="1012"/>
      <c r="I3065" s="1012"/>
      <c r="J3065" s="1012"/>
      <c r="K3065" s="1012"/>
      <c r="L3065" s="1012"/>
      <c r="M3065" s="1012"/>
      <c r="N3065" s="1012"/>
      <c r="O3065" s="1012"/>
      <c r="P3065" s="1012"/>
      <c r="Q3065" s="1012"/>
      <c r="R3065" s="1012"/>
      <c r="S3065" s="1012"/>
      <c r="T3065" s="1012"/>
      <c r="U3065" s="1012"/>
      <c r="V3065" s="1012"/>
      <c r="W3065" s="1012"/>
      <c r="X3065" s="1012"/>
      <c r="Y3065" s="1012"/>
      <c r="Z3065" s="1012"/>
      <c r="AA3065" s="1012"/>
      <c r="AB3065" s="1012"/>
      <c r="AC3065" s="1012"/>
      <c r="AD3065" s="1012"/>
      <c r="AE3065" s="1012"/>
      <c r="AF3065" s="1012"/>
      <c r="AG3065" s="1012"/>
      <c r="AH3065" s="1012"/>
      <c r="AI3065" s="1012"/>
      <c r="AJ3065" s="1012"/>
      <c r="AK3065" s="1012"/>
      <c r="AL3065" s="1012"/>
      <c r="AM3065" s="1012"/>
      <c r="AN3065" s="1012"/>
      <c r="AO3065" s="1012"/>
      <c r="AP3065" s="1012"/>
      <c r="AQ3065" s="1012"/>
      <c r="AR3065" s="1012"/>
      <c r="AS3065" s="1012"/>
      <c r="AT3065" s="1012"/>
      <c r="AU3065" s="1013"/>
      <c r="AV3065" s="1021"/>
      <c r="AW3065" s="1022"/>
      <c r="AX3065" s="1022"/>
      <c r="AY3065" s="1022"/>
      <c r="AZ3065" s="1022"/>
      <c r="BA3065" s="1022"/>
      <c r="BB3065" s="1022"/>
      <c r="BC3065" s="1022"/>
      <c r="BD3065" s="1022"/>
      <c r="BE3065" s="1022"/>
      <c r="BF3065" s="1022"/>
      <c r="BG3065" s="1022"/>
      <c r="BH3065" s="1022"/>
      <c r="BI3065" s="1022"/>
      <c r="BJ3065" s="1022"/>
      <c r="BK3065" s="1022"/>
      <c r="BL3065" s="1022"/>
      <c r="BM3065" s="1022"/>
      <c r="BN3065" s="1022"/>
      <c r="BO3065" s="1022"/>
      <c r="BP3065" s="1022"/>
      <c r="BQ3065" s="1022"/>
      <c r="BR3065" s="1022"/>
      <c r="BS3065" s="1022"/>
      <c r="BT3065" s="1022"/>
      <c r="BU3065" s="1022"/>
      <c r="BV3065" s="1022"/>
      <c r="BW3065" s="1022"/>
      <c r="BX3065" s="1022"/>
      <c r="BY3065" s="1022"/>
      <c r="BZ3065" s="1023"/>
      <c r="CA3065" s="270"/>
      <c r="CB3065" s="3" t="str">
        <f t="shared" si="555"/>
        <v>Riadok bude skrytý.</v>
      </c>
      <c r="CC3065" s="271" t="s">
        <v>832</v>
      </c>
      <c r="CW3065" s="30">
        <f t="shared" si="553"/>
        <v>0</v>
      </c>
      <c r="CX3065" s="30">
        <f t="shared" si="554"/>
        <v>1</v>
      </c>
      <c r="CY3065" s="30">
        <f t="shared" si="556"/>
        <v>0</v>
      </c>
      <c r="CZ3065" s="30">
        <f t="shared" si="558"/>
        <v>1</v>
      </c>
      <c r="DA3065" s="53">
        <f t="shared" si="557"/>
        <v>0</v>
      </c>
      <c r="DB3065" s="140">
        <f t="shared" si="549"/>
        <v>0</v>
      </c>
      <c r="DS3065" s="130">
        <f>SI!BY3065</f>
        <v>177</v>
      </c>
      <c r="DZ3065" s="131">
        <f>SI!BZ3065</f>
        <v>0</v>
      </c>
    </row>
    <row r="3066" spans="1:130" hidden="1" x14ac:dyDescent="0.25">
      <c r="A3066" s="141"/>
      <c r="B3066" s="1011"/>
      <c r="C3066" s="1012"/>
      <c r="D3066" s="1012"/>
      <c r="E3066" s="1012"/>
      <c r="F3066" s="1012"/>
      <c r="G3066" s="1012"/>
      <c r="H3066" s="1012"/>
      <c r="I3066" s="1012"/>
      <c r="J3066" s="1012"/>
      <c r="K3066" s="1012"/>
      <c r="L3066" s="1012"/>
      <c r="M3066" s="1012"/>
      <c r="N3066" s="1012"/>
      <c r="O3066" s="1012"/>
      <c r="P3066" s="1012"/>
      <c r="Q3066" s="1012"/>
      <c r="R3066" s="1012"/>
      <c r="S3066" s="1012"/>
      <c r="T3066" s="1012"/>
      <c r="U3066" s="1012"/>
      <c r="V3066" s="1012"/>
      <c r="W3066" s="1012"/>
      <c r="X3066" s="1012"/>
      <c r="Y3066" s="1012"/>
      <c r="Z3066" s="1012"/>
      <c r="AA3066" s="1012"/>
      <c r="AB3066" s="1012"/>
      <c r="AC3066" s="1012"/>
      <c r="AD3066" s="1012"/>
      <c r="AE3066" s="1012"/>
      <c r="AF3066" s="1012"/>
      <c r="AG3066" s="1012"/>
      <c r="AH3066" s="1012"/>
      <c r="AI3066" s="1012"/>
      <c r="AJ3066" s="1012"/>
      <c r="AK3066" s="1012"/>
      <c r="AL3066" s="1012"/>
      <c r="AM3066" s="1012"/>
      <c r="AN3066" s="1012"/>
      <c r="AO3066" s="1012"/>
      <c r="AP3066" s="1012"/>
      <c r="AQ3066" s="1012"/>
      <c r="AR3066" s="1012"/>
      <c r="AS3066" s="1012"/>
      <c r="AT3066" s="1012"/>
      <c r="AU3066" s="1013"/>
      <c r="AV3066" s="1021"/>
      <c r="AW3066" s="1022"/>
      <c r="AX3066" s="1022"/>
      <c r="AY3066" s="1022"/>
      <c r="AZ3066" s="1022"/>
      <c r="BA3066" s="1022"/>
      <c r="BB3066" s="1022"/>
      <c r="BC3066" s="1022"/>
      <c r="BD3066" s="1022"/>
      <c r="BE3066" s="1022"/>
      <c r="BF3066" s="1022"/>
      <c r="BG3066" s="1022"/>
      <c r="BH3066" s="1022"/>
      <c r="BI3066" s="1022"/>
      <c r="BJ3066" s="1022"/>
      <c r="BK3066" s="1022"/>
      <c r="BL3066" s="1022"/>
      <c r="BM3066" s="1022"/>
      <c r="BN3066" s="1022"/>
      <c r="BO3066" s="1022"/>
      <c r="BP3066" s="1022"/>
      <c r="BQ3066" s="1022"/>
      <c r="BR3066" s="1022"/>
      <c r="BS3066" s="1022"/>
      <c r="BT3066" s="1022"/>
      <c r="BU3066" s="1022"/>
      <c r="BV3066" s="1022"/>
      <c r="BW3066" s="1022"/>
      <c r="BX3066" s="1022"/>
      <c r="BY3066" s="1022"/>
      <c r="BZ3066" s="1023"/>
      <c r="CA3066" s="270"/>
      <c r="CB3066" s="3" t="str">
        <f t="shared" si="555"/>
        <v>Riadok bude skrytý.</v>
      </c>
      <c r="CC3066" s="271" t="s">
        <v>832</v>
      </c>
      <c r="CW3066" s="30">
        <f t="shared" si="553"/>
        <v>0</v>
      </c>
      <c r="CX3066" s="30">
        <f t="shared" si="554"/>
        <v>1</v>
      </c>
      <c r="CY3066" s="30">
        <f t="shared" si="556"/>
        <v>0</v>
      </c>
      <c r="CZ3066" s="30">
        <f t="shared" si="558"/>
        <v>1</v>
      </c>
      <c r="DA3066" s="53">
        <f t="shared" si="557"/>
        <v>0</v>
      </c>
      <c r="DB3066" s="140">
        <f t="shared" si="549"/>
        <v>0</v>
      </c>
      <c r="DS3066" s="130">
        <f>SI!BY3066</f>
        <v>188</v>
      </c>
      <c r="DZ3066" s="131">
        <f>SI!BZ3066</f>
        <v>0</v>
      </c>
    </row>
    <row r="3067" spans="1:130" hidden="1" x14ac:dyDescent="0.25">
      <c r="A3067" s="141"/>
      <c r="B3067" s="1093"/>
      <c r="C3067" s="1094"/>
      <c r="D3067" s="1094"/>
      <c r="E3067" s="1094"/>
      <c r="F3067" s="1094"/>
      <c r="G3067" s="1094"/>
      <c r="H3067" s="1094"/>
      <c r="I3067" s="1094"/>
      <c r="J3067" s="1094"/>
      <c r="K3067" s="1094"/>
      <c r="L3067" s="1094"/>
      <c r="M3067" s="1094"/>
      <c r="N3067" s="1094"/>
      <c r="O3067" s="1094"/>
      <c r="P3067" s="1094"/>
      <c r="Q3067" s="1094"/>
      <c r="R3067" s="1094"/>
      <c r="S3067" s="1094"/>
      <c r="T3067" s="1094"/>
      <c r="U3067" s="1094"/>
      <c r="V3067" s="1094"/>
      <c r="W3067" s="1094"/>
      <c r="X3067" s="1094"/>
      <c r="Y3067" s="1094"/>
      <c r="Z3067" s="1094"/>
      <c r="AA3067" s="1094"/>
      <c r="AB3067" s="1094"/>
      <c r="AC3067" s="1094"/>
      <c r="AD3067" s="1094"/>
      <c r="AE3067" s="1094"/>
      <c r="AF3067" s="1094"/>
      <c r="AG3067" s="1094"/>
      <c r="AH3067" s="1094"/>
      <c r="AI3067" s="1094"/>
      <c r="AJ3067" s="1094"/>
      <c r="AK3067" s="1094"/>
      <c r="AL3067" s="1094"/>
      <c r="AM3067" s="1094"/>
      <c r="AN3067" s="1094"/>
      <c r="AO3067" s="1094"/>
      <c r="AP3067" s="1094"/>
      <c r="AQ3067" s="1094"/>
      <c r="AR3067" s="1094"/>
      <c r="AS3067" s="1094"/>
      <c r="AT3067" s="1094"/>
      <c r="AU3067" s="1095"/>
      <c r="AV3067" s="1030"/>
      <c r="AW3067" s="1031"/>
      <c r="AX3067" s="1031"/>
      <c r="AY3067" s="1031"/>
      <c r="AZ3067" s="1031"/>
      <c r="BA3067" s="1031"/>
      <c r="BB3067" s="1031"/>
      <c r="BC3067" s="1031"/>
      <c r="BD3067" s="1031"/>
      <c r="BE3067" s="1031"/>
      <c r="BF3067" s="1031"/>
      <c r="BG3067" s="1031"/>
      <c r="BH3067" s="1031"/>
      <c r="BI3067" s="1031"/>
      <c r="BJ3067" s="1031"/>
      <c r="BK3067" s="1031"/>
      <c r="BL3067" s="1031"/>
      <c r="BM3067" s="1031"/>
      <c r="BN3067" s="1031"/>
      <c r="BO3067" s="1031"/>
      <c r="BP3067" s="1031"/>
      <c r="BQ3067" s="1031"/>
      <c r="BR3067" s="1031"/>
      <c r="BS3067" s="1031"/>
      <c r="BT3067" s="1031"/>
      <c r="BU3067" s="1031"/>
      <c r="BV3067" s="1031"/>
      <c r="BW3067" s="1031"/>
      <c r="BX3067" s="1031"/>
      <c r="BY3067" s="1031"/>
      <c r="BZ3067" s="1032"/>
      <c r="CA3067" s="270"/>
      <c r="CB3067" s="3" t="str">
        <f t="shared" si="555"/>
        <v>Riadok bude skrytý.</v>
      </c>
      <c r="CC3067" s="271" t="s">
        <v>832</v>
      </c>
      <c r="CW3067" s="30">
        <f t="shared" si="553"/>
        <v>0</v>
      </c>
      <c r="CX3067" s="30">
        <f t="shared" si="554"/>
        <v>1</v>
      </c>
      <c r="CZ3067" s="30">
        <f t="shared" si="558"/>
        <v>1</v>
      </c>
      <c r="DA3067" s="52">
        <f>+IF(CW3067*CX3067=0,0,IF(CZ3067=0,0,1))</f>
        <v>0</v>
      </c>
      <c r="DB3067" s="140">
        <f t="shared" si="549"/>
        <v>0</v>
      </c>
      <c r="DS3067" s="130">
        <f>SI!BY3067</f>
        <v>8</v>
      </c>
      <c r="DZ3067" s="131">
        <f>SI!BZ3067</f>
        <v>0</v>
      </c>
    </row>
    <row r="3068" spans="1:130" hidden="1" x14ac:dyDescent="0.25">
      <c r="A3068" s="141"/>
      <c r="CA3068" s="142"/>
      <c r="CB3068" s="3" t="str">
        <f t="shared" si="555"/>
        <v>Riadok bude skrytý.</v>
      </c>
      <c r="CC3068" s="271" t="s">
        <v>832</v>
      </c>
      <c r="CW3068" s="30">
        <f t="shared" si="553"/>
        <v>0</v>
      </c>
      <c r="CZ3068" s="30">
        <f t="shared" si="558"/>
        <v>1</v>
      </c>
      <c r="DA3068" s="30">
        <f>+IF(CW3068+CX3068+CY3068=0,0,IF(CZ3068=0,0,1))</f>
        <v>0</v>
      </c>
      <c r="DB3068" s="140">
        <f t="shared" si="549"/>
        <v>0</v>
      </c>
      <c r="DS3068" s="130">
        <f>SI!BY3068</f>
        <v>141</v>
      </c>
      <c r="DZ3068" s="131">
        <f>SI!BZ3068</f>
        <v>0</v>
      </c>
    </row>
    <row r="3069" spans="1:130" hidden="1" x14ac:dyDescent="0.25">
      <c r="A3069" s="141"/>
      <c r="B3069" s="137" t="s">
        <v>96</v>
      </c>
      <c r="J3069" s="378" t="s">
        <v>97</v>
      </c>
      <c r="K3069" s="378"/>
      <c r="L3069" s="378"/>
      <c r="M3069" s="378"/>
      <c r="N3069" s="378"/>
      <c r="O3069" s="137" t="str">
        <f>+IF($M$52&lt;&gt;"",IF(SQRT(INT(FACT(DAY(24324))*FACT(DAY(24385))/576))=DS3069,"v nájme nehnuteľný majetok.","NEPOVOLENÉ POUŽITIE!"),"NEPOVOLENÉ POUŽITIE!")</f>
        <v>v nájme nehnuteľný majetok.</v>
      </c>
      <c r="P3069" s="38"/>
      <c r="CA3069" s="265" t="s">
        <v>773</v>
      </c>
      <c r="CB3069" s="3" t="str">
        <f t="shared" si="555"/>
        <v>Riadok bude skrytý.</v>
      </c>
      <c r="CC3069" s="271" t="s">
        <v>832</v>
      </c>
      <c r="CF3069" s="13"/>
      <c r="CW3069" s="30">
        <f t="shared" si="553"/>
        <v>0</v>
      </c>
      <c r="CZ3069" s="30">
        <f t="shared" si="558"/>
        <v>1</v>
      </c>
      <c r="DA3069" s="30">
        <f>+IF(CW3069+CX3069+CY3069=0,0,IF(CZ3069=0,0,1))</f>
        <v>0</v>
      </c>
      <c r="DB3069" s="140">
        <f t="shared" si="549"/>
        <v>0</v>
      </c>
      <c r="DS3069" s="130">
        <f>SI!BY3069</f>
        <v>5</v>
      </c>
      <c r="DZ3069" s="131">
        <f>SI!BZ3069</f>
        <v>0</v>
      </c>
    </row>
    <row r="3070" spans="1:130" hidden="1" x14ac:dyDescent="0.25">
      <c r="A3070" s="141"/>
      <c r="CA3070" s="270"/>
      <c r="CB3070" s="3" t="str">
        <f t="shared" si="555"/>
        <v>Riadok bude skrytý.</v>
      </c>
      <c r="CC3070" s="271" t="s">
        <v>832</v>
      </c>
      <c r="CW3070" s="30">
        <f t="shared" si="553"/>
        <v>0</v>
      </c>
      <c r="CX3070" s="30">
        <f t="shared" ref="CX3070:CX3081" si="559">+IF($J$3069="nemá",0,1)</f>
        <v>1</v>
      </c>
      <c r="CZ3070" s="30">
        <f t="shared" si="558"/>
        <v>1</v>
      </c>
      <c r="DA3070" s="52">
        <f>+IF(CW3070*CX3070=0,0,IF(CZ3070=0,0,1))</f>
        <v>0</v>
      </c>
      <c r="DB3070" s="140">
        <f t="shared" si="549"/>
        <v>0</v>
      </c>
      <c r="DS3070" s="130">
        <f>SI!BY3070</f>
        <v>156</v>
      </c>
      <c r="DZ3070" s="131">
        <f>SI!BZ3070</f>
        <v>0</v>
      </c>
    </row>
    <row r="3071" spans="1:130" hidden="1" x14ac:dyDescent="0.25">
      <c r="A3071" s="141"/>
      <c r="B3071" s="381" t="s">
        <v>797</v>
      </c>
      <c r="C3071" s="383"/>
      <c r="D3071" s="383"/>
      <c r="E3071" s="383"/>
      <c r="F3071" s="383"/>
      <c r="G3071" s="383"/>
      <c r="H3071" s="383"/>
      <c r="I3071" s="383"/>
      <c r="J3071" s="383"/>
      <c r="K3071" s="383"/>
      <c r="L3071" s="383"/>
      <c r="M3071" s="383"/>
      <c r="N3071" s="383"/>
      <c r="O3071" s="383"/>
      <c r="P3071" s="383"/>
      <c r="Q3071" s="383"/>
      <c r="R3071" s="383"/>
      <c r="S3071" s="383"/>
      <c r="T3071" s="383"/>
      <c r="U3071" s="383"/>
      <c r="V3071" s="383"/>
      <c r="W3071" s="383"/>
      <c r="X3071" s="383"/>
      <c r="Y3071" s="383"/>
      <c r="Z3071" s="383"/>
      <c r="AA3071" s="383"/>
      <c r="AB3071" s="383"/>
      <c r="AC3071" s="383"/>
      <c r="AD3071" s="383"/>
      <c r="AE3071" s="383"/>
      <c r="AF3071" s="383"/>
      <c r="AG3071" s="383"/>
      <c r="AH3071" s="383"/>
      <c r="AI3071" s="383"/>
      <c r="AJ3071" s="383"/>
      <c r="AK3071" s="383"/>
      <c r="AL3071" s="383"/>
      <c r="AM3071" s="383"/>
      <c r="AN3071" s="383"/>
      <c r="AO3071" s="383"/>
      <c r="AP3071" s="383"/>
      <c r="AQ3071" s="383"/>
      <c r="AR3071" s="383"/>
      <c r="AS3071" s="383"/>
      <c r="AT3071" s="383"/>
      <c r="AU3071" s="382"/>
      <c r="AV3071" s="381" t="s">
        <v>794</v>
      </c>
      <c r="AW3071" s="383"/>
      <c r="AX3071" s="383"/>
      <c r="AY3071" s="383"/>
      <c r="AZ3071" s="383"/>
      <c r="BA3071" s="383"/>
      <c r="BB3071" s="383"/>
      <c r="BC3071" s="383"/>
      <c r="BD3071" s="383"/>
      <c r="BE3071" s="383"/>
      <c r="BF3071" s="383"/>
      <c r="BG3071" s="383"/>
      <c r="BH3071" s="383"/>
      <c r="BI3071" s="383"/>
      <c r="BJ3071" s="383"/>
      <c r="BK3071" s="383"/>
      <c r="BL3071" s="383"/>
      <c r="BM3071" s="383"/>
      <c r="BN3071" s="383"/>
      <c r="BO3071" s="383"/>
      <c r="BP3071" s="383"/>
      <c r="BQ3071" s="383"/>
      <c r="BR3071" s="383"/>
      <c r="BS3071" s="383"/>
      <c r="BT3071" s="383"/>
      <c r="BU3071" s="383"/>
      <c r="BV3071" s="383"/>
      <c r="BW3071" s="383"/>
      <c r="BX3071" s="383"/>
      <c r="BY3071" s="383"/>
      <c r="BZ3071" s="382"/>
      <c r="CA3071" s="270"/>
      <c r="CB3071" s="3" t="str">
        <f t="shared" si="555"/>
        <v>Riadok bude skrytý.</v>
      </c>
      <c r="CC3071" s="271" t="s">
        <v>832</v>
      </c>
      <c r="CW3071" s="30">
        <f t="shared" si="553"/>
        <v>0</v>
      </c>
      <c r="CX3071" s="30">
        <f t="shared" si="559"/>
        <v>1</v>
      </c>
      <c r="CZ3071" s="30">
        <f t="shared" si="558"/>
        <v>1</v>
      </c>
      <c r="DA3071" s="52">
        <f>+IF(CW3071*CX3071=0,0,IF(CZ3071=0,0,1))</f>
        <v>0</v>
      </c>
      <c r="DB3071" s="140">
        <f t="shared" si="549"/>
        <v>0</v>
      </c>
      <c r="DS3071" s="130">
        <f>SI!BY3071</f>
        <v>136</v>
      </c>
      <c r="DZ3071" s="131">
        <f>SI!BZ3071</f>
        <v>0</v>
      </c>
    </row>
    <row r="3072" spans="1:130" hidden="1" x14ac:dyDescent="0.25">
      <c r="A3072" s="141"/>
      <c r="B3072" s="1051"/>
      <c r="C3072" s="1052"/>
      <c r="D3072" s="1052"/>
      <c r="E3072" s="1052"/>
      <c r="F3072" s="1052"/>
      <c r="G3072" s="1052"/>
      <c r="H3072" s="1052"/>
      <c r="I3072" s="1052"/>
      <c r="J3072" s="1052"/>
      <c r="K3072" s="1052"/>
      <c r="L3072" s="1052"/>
      <c r="M3072" s="1052"/>
      <c r="N3072" s="1052"/>
      <c r="O3072" s="1052"/>
      <c r="P3072" s="1052"/>
      <c r="Q3072" s="1052"/>
      <c r="R3072" s="1052"/>
      <c r="S3072" s="1052"/>
      <c r="T3072" s="1052"/>
      <c r="U3072" s="1052"/>
      <c r="V3072" s="1052"/>
      <c r="W3072" s="1052"/>
      <c r="X3072" s="1052"/>
      <c r="Y3072" s="1052"/>
      <c r="Z3072" s="1052"/>
      <c r="AA3072" s="1052"/>
      <c r="AB3072" s="1052"/>
      <c r="AC3072" s="1052"/>
      <c r="AD3072" s="1052"/>
      <c r="AE3072" s="1052"/>
      <c r="AF3072" s="1052"/>
      <c r="AG3072" s="1052"/>
      <c r="AH3072" s="1052"/>
      <c r="AI3072" s="1052"/>
      <c r="AJ3072" s="1052"/>
      <c r="AK3072" s="1052"/>
      <c r="AL3072" s="1052"/>
      <c r="AM3072" s="1052"/>
      <c r="AN3072" s="1052"/>
      <c r="AO3072" s="1052"/>
      <c r="AP3072" s="1052"/>
      <c r="AQ3072" s="1052"/>
      <c r="AR3072" s="1052"/>
      <c r="AS3072" s="1052"/>
      <c r="AT3072" s="1052"/>
      <c r="AU3072" s="1053"/>
      <c r="AV3072" s="991"/>
      <c r="AW3072" s="992"/>
      <c r="AX3072" s="992"/>
      <c r="AY3072" s="992"/>
      <c r="AZ3072" s="992"/>
      <c r="BA3072" s="992"/>
      <c r="BB3072" s="992"/>
      <c r="BC3072" s="992"/>
      <c r="BD3072" s="992"/>
      <c r="BE3072" s="992"/>
      <c r="BF3072" s="992"/>
      <c r="BG3072" s="992"/>
      <c r="BH3072" s="992"/>
      <c r="BI3072" s="992"/>
      <c r="BJ3072" s="992"/>
      <c r="BK3072" s="992"/>
      <c r="BL3072" s="992"/>
      <c r="BM3072" s="992"/>
      <c r="BN3072" s="992"/>
      <c r="BO3072" s="992"/>
      <c r="BP3072" s="992"/>
      <c r="BQ3072" s="992"/>
      <c r="BR3072" s="992"/>
      <c r="BS3072" s="992"/>
      <c r="BT3072" s="992"/>
      <c r="BU3072" s="992"/>
      <c r="BV3072" s="992"/>
      <c r="BW3072" s="992"/>
      <c r="BX3072" s="992"/>
      <c r="BY3072" s="992"/>
      <c r="BZ3072" s="993"/>
      <c r="CA3072" s="270"/>
      <c r="CB3072" s="3" t="str">
        <f t="shared" si="555"/>
        <v>Riadok bude skrytý.</v>
      </c>
      <c r="CC3072" s="271" t="s">
        <v>832</v>
      </c>
      <c r="CW3072" s="30">
        <f t="shared" si="553"/>
        <v>0</v>
      </c>
      <c r="CX3072" s="30">
        <f t="shared" si="559"/>
        <v>1</v>
      </c>
      <c r="CZ3072" s="30">
        <f t="shared" si="558"/>
        <v>1</v>
      </c>
      <c r="DA3072" s="52">
        <f>+IF(CW3072*CX3072=0,0,IF(CZ3072=0,0,1))</f>
        <v>0</v>
      </c>
      <c r="DB3072" s="140">
        <f t="shared" si="549"/>
        <v>0</v>
      </c>
      <c r="DS3072" s="130">
        <f>SI!BY3072</f>
        <v>148</v>
      </c>
      <c r="DZ3072" s="131">
        <f>SI!BZ3072</f>
        <v>0</v>
      </c>
    </row>
    <row r="3073" spans="1:130" hidden="1" x14ac:dyDescent="0.25">
      <c r="A3073" s="141"/>
      <c r="B3073" s="1011"/>
      <c r="C3073" s="1012"/>
      <c r="D3073" s="1012"/>
      <c r="E3073" s="1012"/>
      <c r="F3073" s="1012"/>
      <c r="G3073" s="1012"/>
      <c r="H3073" s="1012"/>
      <c r="I3073" s="1012"/>
      <c r="J3073" s="1012"/>
      <c r="K3073" s="1012"/>
      <c r="L3073" s="1012"/>
      <c r="M3073" s="1012"/>
      <c r="N3073" s="1012"/>
      <c r="O3073" s="1012"/>
      <c r="P3073" s="1012"/>
      <c r="Q3073" s="1012"/>
      <c r="R3073" s="1012"/>
      <c r="S3073" s="1012"/>
      <c r="T3073" s="1012"/>
      <c r="U3073" s="1012"/>
      <c r="V3073" s="1012"/>
      <c r="W3073" s="1012"/>
      <c r="X3073" s="1012"/>
      <c r="Y3073" s="1012"/>
      <c r="Z3073" s="1012"/>
      <c r="AA3073" s="1012"/>
      <c r="AB3073" s="1012"/>
      <c r="AC3073" s="1012"/>
      <c r="AD3073" s="1012"/>
      <c r="AE3073" s="1012"/>
      <c r="AF3073" s="1012"/>
      <c r="AG3073" s="1012"/>
      <c r="AH3073" s="1012"/>
      <c r="AI3073" s="1012"/>
      <c r="AJ3073" s="1012"/>
      <c r="AK3073" s="1012"/>
      <c r="AL3073" s="1012"/>
      <c r="AM3073" s="1012"/>
      <c r="AN3073" s="1012"/>
      <c r="AO3073" s="1012"/>
      <c r="AP3073" s="1012"/>
      <c r="AQ3073" s="1012"/>
      <c r="AR3073" s="1012"/>
      <c r="AS3073" s="1012"/>
      <c r="AT3073" s="1012"/>
      <c r="AU3073" s="1013"/>
      <c r="AV3073" s="1021"/>
      <c r="AW3073" s="1022"/>
      <c r="AX3073" s="1022"/>
      <c r="AY3073" s="1022"/>
      <c r="AZ3073" s="1022"/>
      <c r="BA3073" s="1022"/>
      <c r="BB3073" s="1022"/>
      <c r="BC3073" s="1022"/>
      <c r="BD3073" s="1022"/>
      <c r="BE3073" s="1022"/>
      <c r="BF3073" s="1022"/>
      <c r="BG3073" s="1022"/>
      <c r="BH3073" s="1022"/>
      <c r="BI3073" s="1022"/>
      <c r="BJ3073" s="1022"/>
      <c r="BK3073" s="1022"/>
      <c r="BL3073" s="1022"/>
      <c r="BM3073" s="1022"/>
      <c r="BN3073" s="1022"/>
      <c r="BO3073" s="1022"/>
      <c r="BP3073" s="1022"/>
      <c r="BQ3073" s="1022"/>
      <c r="BR3073" s="1022"/>
      <c r="BS3073" s="1022"/>
      <c r="BT3073" s="1022"/>
      <c r="BU3073" s="1022"/>
      <c r="BV3073" s="1022"/>
      <c r="BW3073" s="1022"/>
      <c r="BX3073" s="1022"/>
      <c r="BY3073" s="1022"/>
      <c r="BZ3073" s="1023"/>
      <c r="CA3073" s="270"/>
      <c r="CB3073" s="3" t="str">
        <f t="shared" si="555"/>
        <v>Riadok bude skrytý.</v>
      </c>
      <c r="CC3073" s="271" t="s">
        <v>832</v>
      </c>
      <c r="CW3073" s="30">
        <f t="shared" si="553"/>
        <v>0</v>
      </c>
      <c r="CX3073" s="30">
        <f t="shared" si="559"/>
        <v>1</v>
      </c>
      <c r="CY3073" s="30">
        <f t="shared" ref="CY3073:CY3080" si="560">+IF(B3073="",0,1)</f>
        <v>0</v>
      </c>
      <c r="CZ3073" s="30">
        <f t="shared" si="558"/>
        <v>1</v>
      </c>
      <c r="DA3073" s="53">
        <f t="shared" ref="DA3073:DA3080" si="561">+IF(CW3073*CX3073*CY3073=0,0,IF(CZ3073=0,0,1))</f>
        <v>0</v>
      </c>
      <c r="DB3073" s="140">
        <f t="shared" si="549"/>
        <v>0</v>
      </c>
      <c r="DS3073" s="130">
        <f>SI!BY3073</f>
        <v>133</v>
      </c>
      <c r="DZ3073" s="131">
        <f>SI!BZ3073</f>
        <v>0</v>
      </c>
    </row>
    <row r="3074" spans="1:130" hidden="1" x14ac:dyDescent="0.25">
      <c r="A3074" s="141"/>
      <c r="B3074" s="1011"/>
      <c r="C3074" s="1012"/>
      <c r="D3074" s="1012"/>
      <c r="E3074" s="1012"/>
      <c r="F3074" s="1012"/>
      <c r="G3074" s="1012"/>
      <c r="H3074" s="1012"/>
      <c r="I3074" s="1012"/>
      <c r="J3074" s="1012"/>
      <c r="K3074" s="1012"/>
      <c r="L3074" s="1012"/>
      <c r="M3074" s="1012"/>
      <c r="N3074" s="1012"/>
      <c r="O3074" s="1012"/>
      <c r="P3074" s="1012"/>
      <c r="Q3074" s="1012"/>
      <c r="R3074" s="1012"/>
      <c r="S3074" s="1012"/>
      <c r="T3074" s="1012"/>
      <c r="U3074" s="1012"/>
      <c r="V3074" s="1012"/>
      <c r="W3074" s="1012"/>
      <c r="X3074" s="1012"/>
      <c r="Y3074" s="1012"/>
      <c r="Z3074" s="1012"/>
      <c r="AA3074" s="1012"/>
      <c r="AB3074" s="1012"/>
      <c r="AC3074" s="1012"/>
      <c r="AD3074" s="1012"/>
      <c r="AE3074" s="1012"/>
      <c r="AF3074" s="1012"/>
      <c r="AG3074" s="1012"/>
      <c r="AH3074" s="1012"/>
      <c r="AI3074" s="1012"/>
      <c r="AJ3074" s="1012"/>
      <c r="AK3074" s="1012"/>
      <c r="AL3074" s="1012"/>
      <c r="AM3074" s="1012"/>
      <c r="AN3074" s="1012"/>
      <c r="AO3074" s="1012"/>
      <c r="AP3074" s="1012"/>
      <c r="AQ3074" s="1012"/>
      <c r="AR3074" s="1012"/>
      <c r="AS3074" s="1012"/>
      <c r="AT3074" s="1012"/>
      <c r="AU3074" s="1013"/>
      <c r="AV3074" s="1021"/>
      <c r="AW3074" s="1022"/>
      <c r="AX3074" s="1022"/>
      <c r="AY3074" s="1022"/>
      <c r="AZ3074" s="1022"/>
      <c r="BA3074" s="1022"/>
      <c r="BB3074" s="1022"/>
      <c r="BC3074" s="1022"/>
      <c r="BD3074" s="1022"/>
      <c r="BE3074" s="1022"/>
      <c r="BF3074" s="1022"/>
      <c r="BG3074" s="1022"/>
      <c r="BH3074" s="1022"/>
      <c r="BI3074" s="1022"/>
      <c r="BJ3074" s="1022"/>
      <c r="BK3074" s="1022"/>
      <c r="BL3074" s="1022"/>
      <c r="BM3074" s="1022"/>
      <c r="BN3074" s="1022"/>
      <c r="BO3074" s="1022"/>
      <c r="BP3074" s="1022"/>
      <c r="BQ3074" s="1022"/>
      <c r="BR3074" s="1022"/>
      <c r="BS3074" s="1022"/>
      <c r="BT3074" s="1022"/>
      <c r="BU3074" s="1022"/>
      <c r="BV3074" s="1022"/>
      <c r="BW3074" s="1022"/>
      <c r="BX3074" s="1022"/>
      <c r="BY3074" s="1022"/>
      <c r="BZ3074" s="1023"/>
      <c r="CA3074" s="270"/>
      <c r="CB3074" s="3" t="str">
        <f t="shared" si="555"/>
        <v>Riadok bude skrytý.</v>
      </c>
      <c r="CC3074" s="271" t="s">
        <v>832</v>
      </c>
      <c r="CW3074" s="30">
        <f t="shared" si="553"/>
        <v>0</v>
      </c>
      <c r="CX3074" s="30">
        <f t="shared" si="559"/>
        <v>1</v>
      </c>
      <c r="CY3074" s="30">
        <f t="shared" si="560"/>
        <v>0</v>
      </c>
      <c r="CZ3074" s="30">
        <f t="shared" si="558"/>
        <v>1</v>
      </c>
      <c r="DA3074" s="53">
        <f t="shared" si="561"/>
        <v>0</v>
      </c>
      <c r="DB3074" s="140">
        <f t="shared" si="549"/>
        <v>0</v>
      </c>
      <c r="DS3074" s="130">
        <f>SI!BY3074</f>
        <v>193</v>
      </c>
      <c r="DZ3074" s="131">
        <f>SI!BZ3074</f>
        <v>0</v>
      </c>
    </row>
    <row r="3075" spans="1:130" hidden="1" x14ac:dyDescent="0.25">
      <c r="A3075" s="141"/>
      <c r="B3075" s="1011"/>
      <c r="C3075" s="1012"/>
      <c r="D3075" s="1012"/>
      <c r="E3075" s="1012"/>
      <c r="F3075" s="1012"/>
      <c r="G3075" s="1012"/>
      <c r="H3075" s="1012"/>
      <c r="I3075" s="1012"/>
      <c r="J3075" s="1012"/>
      <c r="K3075" s="1012"/>
      <c r="L3075" s="1012"/>
      <c r="M3075" s="1012"/>
      <c r="N3075" s="1012"/>
      <c r="O3075" s="1012"/>
      <c r="P3075" s="1012"/>
      <c r="Q3075" s="1012"/>
      <c r="R3075" s="1012"/>
      <c r="S3075" s="1012"/>
      <c r="T3075" s="1012"/>
      <c r="U3075" s="1012"/>
      <c r="V3075" s="1012"/>
      <c r="W3075" s="1012"/>
      <c r="X3075" s="1012"/>
      <c r="Y3075" s="1012"/>
      <c r="Z3075" s="1012"/>
      <c r="AA3075" s="1012"/>
      <c r="AB3075" s="1012"/>
      <c r="AC3075" s="1012"/>
      <c r="AD3075" s="1012"/>
      <c r="AE3075" s="1012"/>
      <c r="AF3075" s="1012"/>
      <c r="AG3075" s="1012"/>
      <c r="AH3075" s="1012"/>
      <c r="AI3075" s="1012"/>
      <c r="AJ3075" s="1012"/>
      <c r="AK3075" s="1012"/>
      <c r="AL3075" s="1012"/>
      <c r="AM3075" s="1012"/>
      <c r="AN3075" s="1012"/>
      <c r="AO3075" s="1012"/>
      <c r="AP3075" s="1012"/>
      <c r="AQ3075" s="1012"/>
      <c r="AR3075" s="1012"/>
      <c r="AS3075" s="1012"/>
      <c r="AT3075" s="1012"/>
      <c r="AU3075" s="1013"/>
      <c r="AV3075" s="1021"/>
      <c r="AW3075" s="1022"/>
      <c r="AX3075" s="1022"/>
      <c r="AY3075" s="1022"/>
      <c r="AZ3075" s="1022"/>
      <c r="BA3075" s="1022"/>
      <c r="BB3075" s="1022"/>
      <c r="BC3075" s="1022"/>
      <c r="BD3075" s="1022"/>
      <c r="BE3075" s="1022"/>
      <c r="BF3075" s="1022"/>
      <c r="BG3075" s="1022"/>
      <c r="BH3075" s="1022"/>
      <c r="BI3075" s="1022"/>
      <c r="BJ3075" s="1022"/>
      <c r="BK3075" s="1022"/>
      <c r="BL3075" s="1022"/>
      <c r="BM3075" s="1022"/>
      <c r="BN3075" s="1022"/>
      <c r="BO3075" s="1022"/>
      <c r="BP3075" s="1022"/>
      <c r="BQ3075" s="1022"/>
      <c r="BR3075" s="1022"/>
      <c r="BS3075" s="1022"/>
      <c r="BT3075" s="1022"/>
      <c r="BU3075" s="1022"/>
      <c r="BV3075" s="1022"/>
      <c r="BW3075" s="1022"/>
      <c r="BX3075" s="1022"/>
      <c r="BY3075" s="1022"/>
      <c r="BZ3075" s="1023"/>
      <c r="CA3075" s="270"/>
      <c r="CB3075" s="3" t="str">
        <f t="shared" si="555"/>
        <v>Riadok bude skrytý.</v>
      </c>
      <c r="CC3075" s="271" t="s">
        <v>832</v>
      </c>
      <c r="CW3075" s="30">
        <f t="shared" si="553"/>
        <v>0</v>
      </c>
      <c r="CX3075" s="30">
        <f t="shared" si="559"/>
        <v>1</v>
      </c>
      <c r="CY3075" s="30">
        <f t="shared" si="560"/>
        <v>0</v>
      </c>
      <c r="CZ3075" s="30">
        <f t="shared" si="558"/>
        <v>1</v>
      </c>
      <c r="DA3075" s="53">
        <f t="shared" si="561"/>
        <v>0</v>
      </c>
      <c r="DB3075" s="140">
        <f t="shared" si="549"/>
        <v>0</v>
      </c>
      <c r="DS3075" s="130">
        <f>SI!BY3075</f>
        <v>139</v>
      </c>
      <c r="DZ3075" s="131">
        <f>SI!BZ3075</f>
        <v>0</v>
      </c>
    </row>
    <row r="3076" spans="1:130" hidden="1" x14ac:dyDescent="0.25">
      <c r="A3076" s="141"/>
      <c r="B3076" s="1011"/>
      <c r="C3076" s="1012"/>
      <c r="D3076" s="1012"/>
      <c r="E3076" s="1012"/>
      <c r="F3076" s="1012"/>
      <c r="G3076" s="1012"/>
      <c r="H3076" s="1012"/>
      <c r="I3076" s="1012"/>
      <c r="J3076" s="1012"/>
      <c r="K3076" s="1012"/>
      <c r="L3076" s="1012"/>
      <c r="M3076" s="1012"/>
      <c r="N3076" s="1012"/>
      <c r="O3076" s="1012"/>
      <c r="P3076" s="1012"/>
      <c r="Q3076" s="1012"/>
      <c r="R3076" s="1012"/>
      <c r="S3076" s="1012"/>
      <c r="T3076" s="1012"/>
      <c r="U3076" s="1012"/>
      <c r="V3076" s="1012"/>
      <c r="W3076" s="1012"/>
      <c r="X3076" s="1012"/>
      <c r="Y3076" s="1012"/>
      <c r="Z3076" s="1012"/>
      <c r="AA3076" s="1012"/>
      <c r="AB3076" s="1012"/>
      <c r="AC3076" s="1012"/>
      <c r="AD3076" s="1012"/>
      <c r="AE3076" s="1012"/>
      <c r="AF3076" s="1012"/>
      <c r="AG3076" s="1012"/>
      <c r="AH3076" s="1012"/>
      <c r="AI3076" s="1012"/>
      <c r="AJ3076" s="1012"/>
      <c r="AK3076" s="1012"/>
      <c r="AL3076" s="1012"/>
      <c r="AM3076" s="1012"/>
      <c r="AN3076" s="1012"/>
      <c r="AO3076" s="1012"/>
      <c r="AP3076" s="1012"/>
      <c r="AQ3076" s="1012"/>
      <c r="AR3076" s="1012"/>
      <c r="AS3076" s="1012"/>
      <c r="AT3076" s="1012"/>
      <c r="AU3076" s="1013"/>
      <c r="AV3076" s="1021"/>
      <c r="AW3076" s="1022"/>
      <c r="AX3076" s="1022"/>
      <c r="AY3076" s="1022"/>
      <c r="AZ3076" s="1022"/>
      <c r="BA3076" s="1022"/>
      <c r="BB3076" s="1022"/>
      <c r="BC3076" s="1022"/>
      <c r="BD3076" s="1022"/>
      <c r="BE3076" s="1022"/>
      <c r="BF3076" s="1022"/>
      <c r="BG3076" s="1022"/>
      <c r="BH3076" s="1022"/>
      <c r="BI3076" s="1022"/>
      <c r="BJ3076" s="1022"/>
      <c r="BK3076" s="1022"/>
      <c r="BL3076" s="1022"/>
      <c r="BM3076" s="1022"/>
      <c r="BN3076" s="1022"/>
      <c r="BO3076" s="1022"/>
      <c r="BP3076" s="1022"/>
      <c r="BQ3076" s="1022"/>
      <c r="BR3076" s="1022"/>
      <c r="BS3076" s="1022"/>
      <c r="BT3076" s="1022"/>
      <c r="BU3076" s="1022"/>
      <c r="BV3076" s="1022"/>
      <c r="BW3076" s="1022"/>
      <c r="BX3076" s="1022"/>
      <c r="BY3076" s="1022"/>
      <c r="BZ3076" s="1023"/>
      <c r="CA3076" s="270"/>
      <c r="CB3076" s="3" t="str">
        <f t="shared" si="555"/>
        <v>Riadok bude skrytý.</v>
      </c>
      <c r="CC3076" s="271" t="s">
        <v>832</v>
      </c>
      <c r="CW3076" s="30">
        <f t="shared" si="553"/>
        <v>0</v>
      </c>
      <c r="CX3076" s="30">
        <f t="shared" si="559"/>
        <v>1</v>
      </c>
      <c r="CY3076" s="30">
        <f t="shared" si="560"/>
        <v>0</v>
      </c>
      <c r="CZ3076" s="30">
        <f t="shared" si="558"/>
        <v>1</v>
      </c>
      <c r="DA3076" s="53">
        <f t="shared" si="561"/>
        <v>0</v>
      </c>
      <c r="DB3076" s="140">
        <f t="shared" si="549"/>
        <v>0</v>
      </c>
      <c r="DS3076" s="130">
        <f>SI!BY3076</f>
        <v>142</v>
      </c>
      <c r="DZ3076" s="131">
        <f>SI!BZ3076</f>
        <v>0</v>
      </c>
    </row>
    <row r="3077" spans="1:130" hidden="1" x14ac:dyDescent="0.25">
      <c r="A3077" s="141"/>
      <c r="B3077" s="1011"/>
      <c r="C3077" s="1012"/>
      <c r="D3077" s="1012"/>
      <c r="E3077" s="1012"/>
      <c r="F3077" s="1012"/>
      <c r="G3077" s="1012"/>
      <c r="H3077" s="1012"/>
      <c r="I3077" s="1012"/>
      <c r="J3077" s="1012"/>
      <c r="K3077" s="1012"/>
      <c r="L3077" s="1012"/>
      <c r="M3077" s="1012"/>
      <c r="N3077" s="1012"/>
      <c r="O3077" s="1012"/>
      <c r="P3077" s="1012"/>
      <c r="Q3077" s="1012"/>
      <c r="R3077" s="1012"/>
      <c r="S3077" s="1012"/>
      <c r="T3077" s="1012"/>
      <c r="U3077" s="1012"/>
      <c r="V3077" s="1012"/>
      <c r="W3077" s="1012"/>
      <c r="X3077" s="1012"/>
      <c r="Y3077" s="1012"/>
      <c r="Z3077" s="1012"/>
      <c r="AA3077" s="1012"/>
      <c r="AB3077" s="1012"/>
      <c r="AC3077" s="1012"/>
      <c r="AD3077" s="1012"/>
      <c r="AE3077" s="1012"/>
      <c r="AF3077" s="1012"/>
      <c r="AG3077" s="1012"/>
      <c r="AH3077" s="1012"/>
      <c r="AI3077" s="1012"/>
      <c r="AJ3077" s="1012"/>
      <c r="AK3077" s="1012"/>
      <c r="AL3077" s="1012"/>
      <c r="AM3077" s="1012"/>
      <c r="AN3077" s="1012"/>
      <c r="AO3077" s="1012"/>
      <c r="AP3077" s="1012"/>
      <c r="AQ3077" s="1012"/>
      <c r="AR3077" s="1012"/>
      <c r="AS3077" s="1012"/>
      <c r="AT3077" s="1012"/>
      <c r="AU3077" s="1013"/>
      <c r="AV3077" s="1021"/>
      <c r="AW3077" s="1022"/>
      <c r="AX3077" s="1022"/>
      <c r="AY3077" s="1022"/>
      <c r="AZ3077" s="1022"/>
      <c r="BA3077" s="1022"/>
      <c r="BB3077" s="1022"/>
      <c r="BC3077" s="1022"/>
      <c r="BD3077" s="1022"/>
      <c r="BE3077" s="1022"/>
      <c r="BF3077" s="1022"/>
      <c r="BG3077" s="1022"/>
      <c r="BH3077" s="1022"/>
      <c r="BI3077" s="1022"/>
      <c r="BJ3077" s="1022"/>
      <c r="BK3077" s="1022"/>
      <c r="BL3077" s="1022"/>
      <c r="BM3077" s="1022"/>
      <c r="BN3077" s="1022"/>
      <c r="BO3077" s="1022"/>
      <c r="BP3077" s="1022"/>
      <c r="BQ3077" s="1022"/>
      <c r="BR3077" s="1022"/>
      <c r="BS3077" s="1022"/>
      <c r="BT3077" s="1022"/>
      <c r="BU3077" s="1022"/>
      <c r="BV3077" s="1022"/>
      <c r="BW3077" s="1022"/>
      <c r="BX3077" s="1022"/>
      <c r="BY3077" s="1022"/>
      <c r="BZ3077" s="1023"/>
      <c r="CA3077" s="270"/>
      <c r="CB3077" s="3" t="str">
        <f t="shared" si="555"/>
        <v>Riadok bude skrytý.</v>
      </c>
      <c r="CC3077" s="271" t="s">
        <v>832</v>
      </c>
      <c r="CW3077" s="30">
        <f t="shared" si="553"/>
        <v>0</v>
      </c>
      <c r="CX3077" s="30">
        <f t="shared" si="559"/>
        <v>1</v>
      </c>
      <c r="CY3077" s="30">
        <f t="shared" si="560"/>
        <v>0</v>
      </c>
      <c r="CZ3077" s="30">
        <f t="shared" si="558"/>
        <v>1</v>
      </c>
      <c r="DA3077" s="53">
        <f t="shared" si="561"/>
        <v>0</v>
      </c>
      <c r="DB3077" s="140">
        <f t="shared" si="549"/>
        <v>0</v>
      </c>
      <c r="DS3077" s="130">
        <f>SI!BY3077</f>
        <v>187</v>
      </c>
      <c r="DZ3077" s="131">
        <f>SI!BZ3077</f>
        <v>0</v>
      </c>
    </row>
    <row r="3078" spans="1:130" hidden="1" x14ac:dyDescent="0.25">
      <c r="A3078" s="141"/>
      <c r="B3078" s="1011"/>
      <c r="C3078" s="1012"/>
      <c r="D3078" s="1012"/>
      <c r="E3078" s="1012"/>
      <c r="F3078" s="1012"/>
      <c r="G3078" s="1012"/>
      <c r="H3078" s="1012"/>
      <c r="I3078" s="1012"/>
      <c r="J3078" s="1012"/>
      <c r="K3078" s="1012"/>
      <c r="L3078" s="1012"/>
      <c r="M3078" s="1012"/>
      <c r="N3078" s="1012"/>
      <c r="O3078" s="1012"/>
      <c r="P3078" s="1012"/>
      <c r="Q3078" s="1012"/>
      <c r="R3078" s="1012"/>
      <c r="S3078" s="1012"/>
      <c r="T3078" s="1012"/>
      <c r="U3078" s="1012"/>
      <c r="V3078" s="1012"/>
      <c r="W3078" s="1012"/>
      <c r="X3078" s="1012"/>
      <c r="Y3078" s="1012"/>
      <c r="Z3078" s="1012"/>
      <c r="AA3078" s="1012"/>
      <c r="AB3078" s="1012"/>
      <c r="AC3078" s="1012"/>
      <c r="AD3078" s="1012"/>
      <c r="AE3078" s="1012"/>
      <c r="AF3078" s="1012"/>
      <c r="AG3078" s="1012"/>
      <c r="AH3078" s="1012"/>
      <c r="AI3078" s="1012"/>
      <c r="AJ3078" s="1012"/>
      <c r="AK3078" s="1012"/>
      <c r="AL3078" s="1012"/>
      <c r="AM3078" s="1012"/>
      <c r="AN3078" s="1012"/>
      <c r="AO3078" s="1012"/>
      <c r="AP3078" s="1012"/>
      <c r="AQ3078" s="1012"/>
      <c r="AR3078" s="1012"/>
      <c r="AS3078" s="1012"/>
      <c r="AT3078" s="1012"/>
      <c r="AU3078" s="1013"/>
      <c r="AV3078" s="1021"/>
      <c r="AW3078" s="1022"/>
      <c r="AX3078" s="1022"/>
      <c r="AY3078" s="1022"/>
      <c r="AZ3078" s="1022"/>
      <c r="BA3078" s="1022"/>
      <c r="BB3078" s="1022"/>
      <c r="BC3078" s="1022"/>
      <c r="BD3078" s="1022"/>
      <c r="BE3078" s="1022"/>
      <c r="BF3078" s="1022"/>
      <c r="BG3078" s="1022"/>
      <c r="BH3078" s="1022"/>
      <c r="BI3078" s="1022"/>
      <c r="BJ3078" s="1022"/>
      <c r="BK3078" s="1022"/>
      <c r="BL3078" s="1022"/>
      <c r="BM3078" s="1022"/>
      <c r="BN3078" s="1022"/>
      <c r="BO3078" s="1022"/>
      <c r="BP3078" s="1022"/>
      <c r="BQ3078" s="1022"/>
      <c r="BR3078" s="1022"/>
      <c r="BS3078" s="1022"/>
      <c r="BT3078" s="1022"/>
      <c r="BU3078" s="1022"/>
      <c r="BV3078" s="1022"/>
      <c r="BW3078" s="1022"/>
      <c r="BX3078" s="1022"/>
      <c r="BY3078" s="1022"/>
      <c r="BZ3078" s="1023"/>
      <c r="CA3078" s="270"/>
      <c r="CB3078" s="3" t="str">
        <f t="shared" si="555"/>
        <v>Riadok bude skrytý.</v>
      </c>
      <c r="CC3078" s="271" t="s">
        <v>832</v>
      </c>
      <c r="CW3078" s="30">
        <f t="shared" si="553"/>
        <v>0</v>
      </c>
      <c r="CX3078" s="30">
        <f t="shared" si="559"/>
        <v>1</v>
      </c>
      <c r="CY3078" s="30">
        <f t="shared" si="560"/>
        <v>0</v>
      </c>
      <c r="CZ3078" s="30">
        <f t="shared" si="558"/>
        <v>1</v>
      </c>
      <c r="DA3078" s="53">
        <f t="shared" si="561"/>
        <v>0</v>
      </c>
      <c r="DB3078" s="140">
        <f t="shared" si="549"/>
        <v>0</v>
      </c>
      <c r="DS3078" s="130">
        <f>SI!BY3078</f>
        <v>139</v>
      </c>
      <c r="DZ3078" s="131">
        <f>SI!BZ3078</f>
        <v>0</v>
      </c>
    </row>
    <row r="3079" spans="1:130" hidden="1" x14ac:dyDescent="0.25">
      <c r="A3079" s="141"/>
      <c r="B3079" s="1011"/>
      <c r="C3079" s="1012"/>
      <c r="D3079" s="1012"/>
      <c r="E3079" s="1012"/>
      <c r="F3079" s="1012"/>
      <c r="G3079" s="1012"/>
      <c r="H3079" s="1012"/>
      <c r="I3079" s="1012"/>
      <c r="J3079" s="1012"/>
      <c r="K3079" s="1012"/>
      <c r="L3079" s="1012"/>
      <c r="M3079" s="1012"/>
      <c r="N3079" s="1012"/>
      <c r="O3079" s="1012"/>
      <c r="P3079" s="1012"/>
      <c r="Q3079" s="1012"/>
      <c r="R3079" s="1012"/>
      <c r="S3079" s="1012"/>
      <c r="T3079" s="1012"/>
      <c r="U3079" s="1012"/>
      <c r="V3079" s="1012"/>
      <c r="W3079" s="1012"/>
      <c r="X3079" s="1012"/>
      <c r="Y3079" s="1012"/>
      <c r="Z3079" s="1012"/>
      <c r="AA3079" s="1012"/>
      <c r="AB3079" s="1012"/>
      <c r="AC3079" s="1012"/>
      <c r="AD3079" s="1012"/>
      <c r="AE3079" s="1012"/>
      <c r="AF3079" s="1012"/>
      <c r="AG3079" s="1012"/>
      <c r="AH3079" s="1012"/>
      <c r="AI3079" s="1012"/>
      <c r="AJ3079" s="1012"/>
      <c r="AK3079" s="1012"/>
      <c r="AL3079" s="1012"/>
      <c r="AM3079" s="1012"/>
      <c r="AN3079" s="1012"/>
      <c r="AO3079" s="1012"/>
      <c r="AP3079" s="1012"/>
      <c r="AQ3079" s="1012"/>
      <c r="AR3079" s="1012"/>
      <c r="AS3079" s="1012"/>
      <c r="AT3079" s="1012"/>
      <c r="AU3079" s="1013"/>
      <c r="AV3079" s="1021"/>
      <c r="AW3079" s="1022"/>
      <c r="AX3079" s="1022"/>
      <c r="AY3079" s="1022"/>
      <c r="AZ3079" s="1022"/>
      <c r="BA3079" s="1022"/>
      <c r="BB3079" s="1022"/>
      <c r="BC3079" s="1022"/>
      <c r="BD3079" s="1022"/>
      <c r="BE3079" s="1022"/>
      <c r="BF3079" s="1022"/>
      <c r="BG3079" s="1022"/>
      <c r="BH3079" s="1022"/>
      <c r="BI3079" s="1022"/>
      <c r="BJ3079" s="1022"/>
      <c r="BK3079" s="1022"/>
      <c r="BL3079" s="1022"/>
      <c r="BM3079" s="1022"/>
      <c r="BN3079" s="1022"/>
      <c r="BO3079" s="1022"/>
      <c r="BP3079" s="1022"/>
      <c r="BQ3079" s="1022"/>
      <c r="BR3079" s="1022"/>
      <c r="BS3079" s="1022"/>
      <c r="BT3079" s="1022"/>
      <c r="BU3079" s="1022"/>
      <c r="BV3079" s="1022"/>
      <c r="BW3079" s="1022"/>
      <c r="BX3079" s="1022"/>
      <c r="BY3079" s="1022"/>
      <c r="BZ3079" s="1023"/>
      <c r="CA3079" s="270"/>
      <c r="CB3079" s="3" t="str">
        <f t="shared" si="555"/>
        <v>Riadok bude skrytý.</v>
      </c>
      <c r="CC3079" s="271" t="s">
        <v>832</v>
      </c>
      <c r="CW3079" s="30">
        <f t="shared" si="553"/>
        <v>0</v>
      </c>
      <c r="CX3079" s="30">
        <f t="shared" si="559"/>
        <v>1</v>
      </c>
      <c r="CY3079" s="30">
        <f t="shared" si="560"/>
        <v>0</v>
      </c>
      <c r="CZ3079" s="30">
        <f t="shared" si="558"/>
        <v>1</v>
      </c>
      <c r="DA3079" s="53">
        <f t="shared" si="561"/>
        <v>0</v>
      </c>
      <c r="DB3079" s="140">
        <f t="shared" si="549"/>
        <v>0</v>
      </c>
      <c r="DS3079" s="130">
        <f>SI!BY3079</f>
        <v>168</v>
      </c>
      <c r="DZ3079" s="131">
        <f>SI!BZ3079</f>
        <v>0</v>
      </c>
    </row>
    <row r="3080" spans="1:130" hidden="1" x14ac:dyDescent="0.25">
      <c r="A3080" s="141"/>
      <c r="B3080" s="1011"/>
      <c r="C3080" s="1012"/>
      <c r="D3080" s="1012"/>
      <c r="E3080" s="1012"/>
      <c r="F3080" s="1012"/>
      <c r="G3080" s="1012"/>
      <c r="H3080" s="1012"/>
      <c r="I3080" s="1012"/>
      <c r="J3080" s="1012"/>
      <c r="K3080" s="1012"/>
      <c r="L3080" s="1012"/>
      <c r="M3080" s="1012"/>
      <c r="N3080" s="1012"/>
      <c r="O3080" s="1012"/>
      <c r="P3080" s="1012"/>
      <c r="Q3080" s="1012"/>
      <c r="R3080" s="1012"/>
      <c r="S3080" s="1012"/>
      <c r="T3080" s="1012"/>
      <c r="U3080" s="1012"/>
      <c r="V3080" s="1012"/>
      <c r="W3080" s="1012"/>
      <c r="X3080" s="1012"/>
      <c r="Y3080" s="1012"/>
      <c r="Z3080" s="1012"/>
      <c r="AA3080" s="1012"/>
      <c r="AB3080" s="1012"/>
      <c r="AC3080" s="1012"/>
      <c r="AD3080" s="1012"/>
      <c r="AE3080" s="1012"/>
      <c r="AF3080" s="1012"/>
      <c r="AG3080" s="1012"/>
      <c r="AH3080" s="1012"/>
      <c r="AI3080" s="1012"/>
      <c r="AJ3080" s="1012"/>
      <c r="AK3080" s="1012"/>
      <c r="AL3080" s="1012"/>
      <c r="AM3080" s="1012"/>
      <c r="AN3080" s="1012"/>
      <c r="AO3080" s="1012"/>
      <c r="AP3080" s="1012"/>
      <c r="AQ3080" s="1012"/>
      <c r="AR3080" s="1012"/>
      <c r="AS3080" s="1012"/>
      <c r="AT3080" s="1012"/>
      <c r="AU3080" s="1013"/>
      <c r="AV3080" s="1021"/>
      <c r="AW3080" s="1022"/>
      <c r="AX3080" s="1022"/>
      <c r="AY3080" s="1022"/>
      <c r="AZ3080" s="1022"/>
      <c r="BA3080" s="1022"/>
      <c r="BB3080" s="1022"/>
      <c r="BC3080" s="1022"/>
      <c r="BD3080" s="1022"/>
      <c r="BE3080" s="1022"/>
      <c r="BF3080" s="1022"/>
      <c r="BG3080" s="1022"/>
      <c r="BH3080" s="1022"/>
      <c r="BI3080" s="1022"/>
      <c r="BJ3080" s="1022"/>
      <c r="BK3080" s="1022"/>
      <c r="BL3080" s="1022"/>
      <c r="BM3080" s="1022"/>
      <c r="BN3080" s="1022"/>
      <c r="BO3080" s="1022"/>
      <c r="BP3080" s="1022"/>
      <c r="BQ3080" s="1022"/>
      <c r="BR3080" s="1022"/>
      <c r="BS3080" s="1022"/>
      <c r="BT3080" s="1022"/>
      <c r="BU3080" s="1022"/>
      <c r="BV3080" s="1022"/>
      <c r="BW3080" s="1022"/>
      <c r="BX3080" s="1022"/>
      <c r="BY3080" s="1022"/>
      <c r="BZ3080" s="1023"/>
      <c r="CA3080" s="270"/>
      <c r="CB3080" s="3" t="str">
        <f t="shared" si="555"/>
        <v>Riadok bude skrytý.</v>
      </c>
      <c r="CC3080" s="271" t="s">
        <v>832</v>
      </c>
      <c r="CW3080" s="30">
        <f t="shared" si="553"/>
        <v>0</v>
      </c>
      <c r="CX3080" s="30">
        <f t="shared" si="559"/>
        <v>1</v>
      </c>
      <c r="CY3080" s="30">
        <f t="shared" si="560"/>
        <v>0</v>
      </c>
      <c r="CZ3080" s="30">
        <f t="shared" si="558"/>
        <v>1</v>
      </c>
      <c r="DA3080" s="53">
        <f t="shared" si="561"/>
        <v>0</v>
      </c>
      <c r="DB3080" s="140">
        <f t="shared" si="549"/>
        <v>0</v>
      </c>
      <c r="DS3080" s="130">
        <f>SI!BY3080</f>
        <v>94</v>
      </c>
      <c r="DZ3080" s="131">
        <f>SI!BZ3080</f>
        <v>0</v>
      </c>
    </row>
    <row r="3081" spans="1:130" hidden="1" x14ac:dyDescent="0.25">
      <c r="A3081" s="141"/>
      <c r="B3081" s="1093"/>
      <c r="C3081" s="1094"/>
      <c r="D3081" s="1094"/>
      <c r="E3081" s="1094"/>
      <c r="F3081" s="1094"/>
      <c r="G3081" s="1094"/>
      <c r="H3081" s="1094"/>
      <c r="I3081" s="1094"/>
      <c r="J3081" s="1094"/>
      <c r="K3081" s="1094"/>
      <c r="L3081" s="1094"/>
      <c r="M3081" s="1094"/>
      <c r="N3081" s="1094"/>
      <c r="O3081" s="1094"/>
      <c r="P3081" s="1094"/>
      <c r="Q3081" s="1094"/>
      <c r="R3081" s="1094"/>
      <c r="S3081" s="1094"/>
      <c r="T3081" s="1094"/>
      <c r="U3081" s="1094"/>
      <c r="V3081" s="1094"/>
      <c r="W3081" s="1094"/>
      <c r="X3081" s="1094"/>
      <c r="Y3081" s="1094"/>
      <c r="Z3081" s="1094"/>
      <c r="AA3081" s="1094"/>
      <c r="AB3081" s="1094"/>
      <c r="AC3081" s="1094"/>
      <c r="AD3081" s="1094"/>
      <c r="AE3081" s="1094"/>
      <c r="AF3081" s="1094"/>
      <c r="AG3081" s="1094"/>
      <c r="AH3081" s="1094"/>
      <c r="AI3081" s="1094"/>
      <c r="AJ3081" s="1094"/>
      <c r="AK3081" s="1094"/>
      <c r="AL3081" s="1094"/>
      <c r="AM3081" s="1094"/>
      <c r="AN3081" s="1094"/>
      <c r="AO3081" s="1094"/>
      <c r="AP3081" s="1094"/>
      <c r="AQ3081" s="1094"/>
      <c r="AR3081" s="1094"/>
      <c r="AS3081" s="1094"/>
      <c r="AT3081" s="1094"/>
      <c r="AU3081" s="1095"/>
      <c r="AV3081" s="1030"/>
      <c r="AW3081" s="1031"/>
      <c r="AX3081" s="1031"/>
      <c r="AY3081" s="1031"/>
      <c r="AZ3081" s="1031"/>
      <c r="BA3081" s="1031"/>
      <c r="BB3081" s="1031"/>
      <c r="BC3081" s="1031"/>
      <c r="BD3081" s="1031"/>
      <c r="BE3081" s="1031"/>
      <c r="BF3081" s="1031"/>
      <c r="BG3081" s="1031"/>
      <c r="BH3081" s="1031"/>
      <c r="BI3081" s="1031"/>
      <c r="BJ3081" s="1031"/>
      <c r="BK3081" s="1031"/>
      <c r="BL3081" s="1031"/>
      <c r="BM3081" s="1031"/>
      <c r="BN3081" s="1031"/>
      <c r="BO3081" s="1031"/>
      <c r="BP3081" s="1031"/>
      <c r="BQ3081" s="1031"/>
      <c r="BR3081" s="1031"/>
      <c r="BS3081" s="1031"/>
      <c r="BT3081" s="1031"/>
      <c r="BU3081" s="1031"/>
      <c r="BV3081" s="1031"/>
      <c r="BW3081" s="1031"/>
      <c r="BX3081" s="1031"/>
      <c r="BY3081" s="1031"/>
      <c r="BZ3081" s="1032"/>
      <c r="CA3081" s="270"/>
      <c r="CB3081" s="3" t="str">
        <f t="shared" si="555"/>
        <v>Riadok bude skrytý.</v>
      </c>
      <c r="CC3081" s="271" t="s">
        <v>832</v>
      </c>
      <c r="CW3081" s="30">
        <f t="shared" si="553"/>
        <v>0</v>
      </c>
      <c r="CX3081" s="30">
        <f t="shared" si="559"/>
        <v>1</v>
      </c>
      <c r="CZ3081" s="30">
        <f t="shared" si="558"/>
        <v>1</v>
      </c>
      <c r="DA3081" s="52">
        <f>+IF(CW3081*CX3081=0,0,IF(CZ3081=0,0,1))</f>
        <v>0</v>
      </c>
      <c r="DB3081" s="140">
        <f t="shared" si="549"/>
        <v>0</v>
      </c>
      <c r="DS3081" s="130">
        <f>SI!BY3081</f>
        <v>131</v>
      </c>
      <c r="DZ3081" s="131">
        <f>SI!BZ3081</f>
        <v>0</v>
      </c>
    </row>
    <row r="3082" spans="1:130" hidden="1" x14ac:dyDescent="0.25">
      <c r="A3082" s="141"/>
      <c r="CA3082" s="142"/>
      <c r="CB3082" s="3" t="str">
        <f t="shared" si="555"/>
        <v>Riadok bude skrytý.</v>
      </c>
      <c r="CC3082" s="271" t="s">
        <v>832</v>
      </c>
      <c r="CW3082" s="30">
        <f t="shared" ref="CW3082:CW3113" si="562">+IF($J$3016="neeviduje",0,1)</f>
        <v>0</v>
      </c>
      <c r="CZ3082" s="30">
        <f t="shared" si="558"/>
        <v>1</v>
      </c>
      <c r="DA3082" s="30">
        <f>+IF(CW3082+CX3082+CY3082=0,0,IF(CZ3082=0,0,1))</f>
        <v>0</v>
      </c>
      <c r="DB3082" s="140">
        <f t="shared" si="549"/>
        <v>0</v>
      </c>
      <c r="DS3082" s="130">
        <f>SI!BY3082</f>
        <v>188</v>
      </c>
      <c r="DZ3082" s="131">
        <f>SI!BZ3082</f>
        <v>0</v>
      </c>
    </row>
    <row r="3083" spans="1:130" ht="16.3" hidden="1" x14ac:dyDescent="0.3">
      <c r="A3083" s="141"/>
      <c r="B3083" s="300" t="s">
        <v>387</v>
      </c>
      <c r="C3083" s="288"/>
      <c r="D3083" s="288"/>
      <c r="E3083" s="288"/>
      <c r="F3083" s="288"/>
      <c r="G3083" s="300" t="s">
        <v>388</v>
      </c>
      <c r="H3083" s="300"/>
      <c r="I3083" s="288"/>
      <c r="J3083" s="288"/>
      <c r="K3083" s="288"/>
      <c r="L3083" s="288"/>
      <c r="M3083" s="288"/>
      <c r="N3083" s="288"/>
      <c r="O3083" s="288"/>
      <c r="P3083" s="288"/>
      <c r="Q3083" s="288"/>
      <c r="R3083" s="288"/>
      <c r="S3083" s="288"/>
      <c r="T3083" s="288"/>
      <c r="U3083" s="288"/>
      <c r="V3083" s="288"/>
      <c r="W3083" s="288"/>
      <c r="X3083" s="288"/>
      <c r="Y3083" s="288"/>
      <c r="Z3083" s="288"/>
      <c r="AA3083" s="288"/>
      <c r="AB3083" s="288"/>
      <c r="AC3083" s="288"/>
      <c r="AD3083" s="288"/>
      <c r="AE3083" s="288"/>
      <c r="AF3083" s="288"/>
      <c r="AG3083" s="288"/>
      <c r="AH3083" s="288"/>
      <c r="AI3083" s="288"/>
      <c r="AJ3083" s="288"/>
      <c r="AK3083" s="288"/>
      <c r="AL3083" s="288"/>
      <c r="AM3083" s="288"/>
      <c r="AN3083" s="288"/>
      <c r="AO3083" s="288"/>
      <c r="AP3083" s="288"/>
      <c r="AQ3083" s="288"/>
      <c r="AR3083" s="288"/>
      <c r="AS3083" s="288"/>
      <c r="AT3083" s="288"/>
      <c r="AU3083" s="288"/>
      <c r="AV3083" s="288"/>
      <c r="AW3083" s="288"/>
      <c r="AX3083" s="288"/>
      <c r="AY3083" s="288"/>
      <c r="AZ3083" s="288"/>
      <c r="BA3083" s="288"/>
      <c r="BB3083" s="288"/>
      <c r="BC3083" s="288"/>
      <c r="BD3083" s="288"/>
      <c r="BE3083" s="288"/>
      <c r="BF3083" s="288"/>
      <c r="BG3083" s="288"/>
      <c r="BH3083" s="288"/>
      <c r="BI3083" s="288"/>
      <c r="BJ3083" s="288"/>
      <c r="BK3083" s="288"/>
      <c r="BL3083" s="288"/>
      <c r="BM3083" s="288"/>
      <c r="BN3083" s="288"/>
      <c r="BO3083" s="288"/>
      <c r="BP3083" s="288"/>
      <c r="BQ3083" s="288"/>
      <c r="BR3083" s="288"/>
      <c r="BS3083" s="288"/>
      <c r="BT3083" s="288"/>
      <c r="BU3083" s="288"/>
      <c r="BV3083" s="288"/>
      <c r="BW3083" s="288"/>
      <c r="BX3083" s="288"/>
      <c r="BY3083" s="288"/>
      <c r="BZ3083" s="288"/>
      <c r="CA3083" s="265" t="s">
        <v>773</v>
      </c>
      <c r="CB3083" s="3" t="str">
        <f t="shared" si="555"/>
        <v>Riadok bude skrytý.</v>
      </c>
      <c r="CC3083" s="271" t="s">
        <v>832</v>
      </c>
      <c r="CW3083" s="30">
        <f t="shared" si="562"/>
        <v>0</v>
      </c>
      <c r="CZ3083" s="30">
        <f t="shared" si="558"/>
        <v>1</v>
      </c>
      <c r="DA3083" s="30">
        <f>+IF(CW3083+CX3083+CY3083=0,0,IF(CZ3083=0,0,1))</f>
        <v>0</v>
      </c>
      <c r="DB3083" s="2">
        <f>+IF($CD$1="malé",0,DA3083)</f>
        <v>0</v>
      </c>
      <c r="DS3083" s="130">
        <f>SI!BY3083</f>
        <v>122</v>
      </c>
      <c r="DZ3083" s="131">
        <f>SI!BZ3083</f>
        <v>0</v>
      </c>
    </row>
    <row r="3084" spans="1:130" hidden="1" x14ac:dyDescent="0.25">
      <c r="A3084" s="141"/>
      <c r="CA3084" s="142"/>
      <c r="CB3084" s="3" t="str">
        <f t="shared" si="555"/>
        <v>Riadok bude skrytý.</v>
      </c>
      <c r="CC3084" s="271" t="s">
        <v>832</v>
      </c>
      <c r="CW3084" s="30">
        <f t="shared" si="562"/>
        <v>0</v>
      </c>
      <c r="CZ3084" s="30">
        <f t="shared" si="558"/>
        <v>1</v>
      </c>
      <c r="DA3084" s="30">
        <f>+IF(CW3084+CX3084+CY3084=0,0,IF(CZ3084=0,0,1))</f>
        <v>0</v>
      </c>
      <c r="DB3084" s="2">
        <f>+IF($CD$1="malé",0,DA3084)</f>
        <v>0</v>
      </c>
      <c r="DS3084" s="130">
        <f>SI!BY3084</f>
        <v>145</v>
      </c>
      <c r="DZ3084" s="131">
        <f>SI!BZ3084</f>
        <v>0</v>
      </c>
    </row>
    <row r="3085" spans="1:130" ht="16.3" hidden="1" x14ac:dyDescent="0.3">
      <c r="A3085" s="141"/>
      <c r="B3085" s="137" t="s">
        <v>96</v>
      </c>
      <c r="J3085" s="378" t="s">
        <v>854</v>
      </c>
      <c r="K3085" s="378"/>
      <c r="L3085" s="378"/>
      <c r="M3085" s="378"/>
      <c r="N3085" s="378"/>
      <c r="O3085" s="378"/>
      <c r="P3085" s="378"/>
      <c r="Q3085" s="378"/>
      <c r="R3085" s="378"/>
      <c r="S3085" s="17" t="str">
        <f>+IF($Q$52&lt;&gt;"",IF((CODE(MID($Q$52,1,1)))*(GCD(121,132))*0+(LEN(SI!J5)+LEN(SI!J6))=DS3085,"majetok iným účtovným jednotkám, alebo tretím osobám.","NEPOVOLENÉ POUŽITIE!"),"NEPOVOLENÉ POUŽITIE!")</f>
        <v>majetok iným účtovným jednotkám, alebo tretím osobám.</v>
      </c>
      <c r="T3085" s="38"/>
      <c r="V3085" s="17"/>
      <c r="W3085" s="17"/>
      <c r="X3085" s="17"/>
      <c r="CA3085" s="142"/>
      <c r="CB3085" s="3" t="str">
        <f t="shared" si="555"/>
        <v>Riadok bude skrytý.</v>
      </c>
      <c r="CC3085" s="271" t="s">
        <v>832</v>
      </c>
      <c r="CF3085" s="13"/>
      <c r="CW3085" s="30">
        <f t="shared" si="562"/>
        <v>0</v>
      </c>
      <c r="CZ3085" s="30">
        <f t="shared" si="558"/>
        <v>1</v>
      </c>
      <c r="DA3085" s="30">
        <f>+IF(CW3085+CX3085+CY3085=0,0,IF(CZ3085=0,0,1))</f>
        <v>0</v>
      </c>
      <c r="DB3085" s="140">
        <f t="shared" ref="DB3085:DB3098" si="563">+DA3085</f>
        <v>0</v>
      </c>
      <c r="DS3085" s="130">
        <f>SI!BY3085</f>
        <v>20</v>
      </c>
      <c r="DZ3085" s="131">
        <f>SI!BZ3085</f>
        <v>0</v>
      </c>
    </row>
    <row r="3086" spans="1:130" hidden="1" x14ac:dyDescent="0.25">
      <c r="A3086" s="141"/>
      <c r="CA3086" s="270"/>
      <c r="CB3086" s="3" t="str">
        <f t="shared" si="555"/>
        <v>Riadok bude skrytý.</v>
      </c>
      <c r="CC3086" s="271" t="s">
        <v>832</v>
      </c>
      <c r="CW3086" s="30">
        <f t="shared" si="562"/>
        <v>0</v>
      </c>
      <c r="CX3086" s="30">
        <f t="shared" ref="CX3086:CX3097" si="564">+IF($J$3085="neprenajíma",0,1)</f>
        <v>1</v>
      </c>
      <c r="CZ3086" s="30">
        <f t="shared" si="558"/>
        <v>1</v>
      </c>
      <c r="DA3086" s="52">
        <f>+IF(CW3086*CX3086=0,0,IF(CZ3086=0,0,1))</f>
        <v>0</v>
      </c>
      <c r="DB3086" s="140">
        <f t="shared" si="563"/>
        <v>0</v>
      </c>
      <c r="DS3086" s="130">
        <f>SI!BY3086</f>
        <v>116</v>
      </c>
      <c r="DZ3086" s="131">
        <f>SI!BZ3086</f>
        <v>0</v>
      </c>
    </row>
    <row r="3087" spans="1:130" hidden="1" x14ac:dyDescent="0.25">
      <c r="A3087" s="141"/>
      <c r="B3087" s="2130" t="str">
        <f>+IF($M$52&lt;&gt;"",IF(SQRT(INT(FACT(DAY(24324))*FACT(DAY(24385))/576))=DS3087,"druh prenajatého majetku","NEPOVOLENÉ POUŽITIE!"),"NEPOVOLENÉ POUŽITIE!")</f>
        <v>druh prenajatého majetku</v>
      </c>
      <c r="C3087" s="2128"/>
      <c r="D3087" s="2128"/>
      <c r="E3087" s="2128"/>
      <c r="F3087" s="2128"/>
      <c r="G3087" s="2128"/>
      <c r="H3087" s="2128"/>
      <c r="I3087" s="2128"/>
      <c r="J3087" s="2128"/>
      <c r="K3087" s="2128"/>
      <c r="L3087" s="2128"/>
      <c r="M3087" s="2128"/>
      <c r="N3087" s="2128"/>
      <c r="O3087" s="2128"/>
      <c r="P3087" s="2128"/>
      <c r="Q3087" s="2128"/>
      <c r="R3087" s="2128"/>
      <c r="S3087" s="2128"/>
      <c r="T3087" s="2128"/>
      <c r="U3087" s="2128"/>
      <c r="V3087" s="2128"/>
      <c r="W3087" s="2128"/>
      <c r="X3087" s="2128"/>
      <c r="Y3087" s="2128"/>
      <c r="Z3087" s="2128"/>
      <c r="AA3087" s="2128"/>
      <c r="AB3087" s="2128"/>
      <c r="AC3087" s="2128"/>
      <c r="AD3087" s="2128"/>
      <c r="AE3087" s="2128"/>
      <c r="AF3087" s="2128"/>
      <c r="AG3087" s="2128"/>
      <c r="AH3087" s="2131"/>
      <c r="AI3087" s="1024" t="s">
        <v>798</v>
      </c>
      <c r="AJ3087" s="1025"/>
      <c r="AK3087" s="1025"/>
      <c r="AL3087" s="1025"/>
      <c r="AM3087" s="1025"/>
      <c r="AN3087" s="1025"/>
      <c r="AO3087" s="1025"/>
      <c r="AP3087" s="1025"/>
      <c r="AQ3087" s="1025"/>
      <c r="AR3087" s="1025"/>
      <c r="AS3087" s="1025"/>
      <c r="AT3087" s="1025"/>
      <c r="AU3087" s="1025"/>
      <c r="AV3087" s="1025"/>
      <c r="AW3087" s="1025"/>
      <c r="AX3087" s="1025"/>
      <c r="AY3087" s="1025"/>
      <c r="AZ3087" s="1025"/>
      <c r="BA3087" s="1025"/>
      <c r="BB3087" s="1025"/>
      <c r="BC3087" s="1025"/>
      <c r="BD3087" s="1025"/>
      <c r="BE3087" s="1025"/>
      <c r="BF3087" s="1026"/>
      <c r="BG3087" s="2127" t="s">
        <v>796</v>
      </c>
      <c r="BH3087" s="2128"/>
      <c r="BI3087" s="2128"/>
      <c r="BJ3087" s="2128"/>
      <c r="BK3087" s="2128"/>
      <c r="BL3087" s="2128"/>
      <c r="BM3087" s="2128"/>
      <c r="BN3087" s="2128"/>
      <c r="BO3087" s="2128"/>
      <c r="BP3087" s="2128"/>
      <c r="BQ3087" s="2128"/>
      <c r="BR3087" s="2128"/>
      <c r="BS3087" s="2128"/>
      <c r="BT3087" s="2128"/>
      <c r="BU3087" s="2128"/>
      <c r="BV3087" s="2128"/>
      <c r="BW3087" s="2128"/>
      <c r="BX3087" s="2128"/>
      <c r="BY3087" s="2128"/>
      <c r="BZ3087" s="2129"/>
      <c r="CA3087" s="270"/>
      <c r="CB3087" s="3" t="str">
        <f t="shared" si="555"/>
        <v>Riadok bude skrytý.</v>
      </c>
      <c r="CC3087" s="271" t="s">
        <v>832</v>
      </c>
      <c r="CW3087" s="30">
        <f t="shared" si="562"/>
        <v>0</v>
      </c>
      <c r="CX3087" s="30">
        <f t="shared" si="564"/>
        <v>1</v>
      </c>
      <c r="CZ3087" s="30">
        <f t="shared" si="558"/>
        <v>1</v>
      </c>
      <c r="DA3087" s="52">
        <f>+IF(CW3087*CX3087=0,0,IF(CZ3087=0,0,1))</f>
        <v>0</v>
      </c>
      <c r="DB3087" s="140">
        <f t="shared" si="563"/>
        <v>0</v>
      </c>
      <c r="DS3087" s="130">
        <f>SI!BY3087</f>
        <v>5</v>
      </c>
      <c r="DZ3087" s="131">
        <f>SI!BZ3087</f>
        <v>0</v>
      </c>
    </row>
    <row r="3088" spans="1:130" hidden="1" x14ac:dyDescent="0.25">
      <c r="A3088" s="141"/>
      <c r="B3088" s="1027"/>
      <c r="C3088" s="1028"/>
      <c r="D3088" s="1028"/>
      <c r="E3088" s="1028"/>
      <c r="F3088" s="1028"/>
      <c r="G3088" s="1028"/>
      <c r="H3088" s="1028"/>
      <c r="I3088" s="1028"/>
      <c r="J3088" s="1028"/>
      <c r="K3088" s="1028"/>
      <c r="L3088" s="1028"/>
      <c r="M3088" s="1028"/>
      <c r="N3088" s="1028"/>
      <c r="O3088" s="1028"/>
      <c r="P3088" s="1028"/>
      <c r="Q3088" s="1028"/>
      <c r="R3088" s="1028"/>
      <c r="S3088" s="1028"/>
      <c r="T3088" s="1028"/>
      <c r="U3088" s="1028"/>
      <c r="V3088" s="1028"/>
      <c r="W3088" s="1028"/>
      <c r="X3088" s="1028"/>
      <c r="Y3088" s="1028"/>
      <c r="Z3088" s="1028"/>
      <c r="AA3088" s="1028"/>
      <c r="AB3088" s="1028"/>
      <c r="AC3088" s="1028"/>
      <c r="AD3088" s="1028"/>
      <c r="AE3088" s="1028"/>
      <c r="AF3088" s="1028"/>
      <c r="AG3088" s="1028"/>
      <c r="AH3088" s="1071"/>
      <c r="AI3088" s="1027"/>
      <c r="AJ3088" s="1028"/>
      <c r="AK3088" s="1028"/>
      <c r="AL3088" s="1028"/>
      <c r="AM3088" s="1028"/>
      <c r="AN3088" s="1028"/>
      <c r="AO3088" s="1028"/>
      <c r="AP3088" s="1028"/>
      <c r="AQ3088" s="1028"/>
      <c r="AR3088" s="1028"/>
      <c r="AS3088" s="1028"/>
      <c r="AT3088" s="1028"/>
      <c r="AU3088" s="1028"/>
      <c r="AV3088" s="1028"/>
      <c r="AW3088" s="1028"/>
      <c r="AX3088" s="1028"/>
      <c r="AY3088" s="1028"/>
      <c r="AZ3088" s="1028"/>
      <c r="BA3088" s="1028"/>
      <c r="BB3088" s="1028"/>
      <c r="BC3088" s="1028"/>
      <c r="BD3088" s="1028"/>
      <c r="BE3088" s="1028"/>
      <c r="BF3088" s="1029"/>
      <c r="BG3088" s="1072"/>
      <c r="BH3088" s="1028"/>
      <c r="BI3088" s="1028"/>
      <c r="BJ3088" s="1028"/>
      <c r="BK3088" s="1028"/>
      <c r="BL3088" s="1028"/>
      <c r="BM3088" s="1028"/>
      <c r="BN3088" s="1028"/>
      <c r="BO3088" s="1028"/>
      <c r="BP3088" s="1028"/>
      <c r="BQ3088" s="1028"/>
      <c r="BR3088" s="1028"/>
      <c r="BS3088" s="1028"/>
      <c r="BT3088" s="1028"/>
      <c r="BU3088" s="1028"/>
      <c r="BV3088" s="1028"/>
      <c r="BW3088" s="1028"/>
      <c r="BX3088" s="1028"/>
      <c r="BY3088" s="1028"/>
      <c r="BZ3088" s="1029"/>
      <c r="CA3088" s="270"/>
      <c r="CB3088" s="3" t="str">
        <f t="shared" si="555"/>
        <v>Riadok bude skrytý.</v>
      </c>
      <c r="CC3088" s="271" t="s">
        <v>832</v>
      </c>
      <c r="CW3088" s="30">
        <f t="shared" si="562"/>
        <v>0</v>
      </c>
      <c r="CX3088" s="30">
        <f t="shared" si="564"/>
        <v>1</v>
      </c>
      <c r="CZ3088" s="30">
        <f t="shared" si="558"/>
        <v>1</v>
      </c>
      <c r="DA3088" s="52">
        <f>+IF(CW3088*CX3088=0,0,IF(CZ3088=0,0,1))</f>
        <v>0</v>
      </c>
      <c r="DB3088" s="140">
        <f t="shared" si="563"/>
        <v>0</v>
      </c>
      <c r="DS3088" s="130">
        <f>SI!BY3088</f>
        <v>143</v>
      </c>
      <c r="DZ3088" s="131">
        <f>SI!BZ3088</f>
        <v>0</v>
      </c>
    </row>
    <row r="3089" spans="1:130" hidden="1" x14ac:dyDescent="0.25">
      <c r="A3089" s="141"/>
      <c r="B3089" s="1027"/>
      <c r="C3089" s="1028"/>
      <c r="D3089" s="1028"/>
      <c r="E3089" s="1028"/>
      <c r="F3089" s="1028"/>
      <c r="G3089" s="1028"/>
      <c r="H3089" s="1028"/>
      <c r="I3089" s="1028"/>
      <c r="J3089" s="1028"/>
      <c r="K3089" s="1028"/>
      <c r="L3089" s="1028"/>
      <c r="M3089" s="1028"/>
      <c r="N3089" s="1028"/>
      <c r="O3089" s="1028"/>
      <c r="P3089" s="1028"/>
      <c r="Q3089" s="1028"/>
      <c r="R3089" s="1028"/>
      <c r="S3089" s="1028"/>
      <c r="T3089" s="1028"/>
      <c r="U3089" s="1028"/>
      <c r="V3089" s="1028"/>
      <c r="W3089" s="1028"/>
      <c r="X3089" s="1028"/>
      <c r="Y3089" s="1028"/>
      <c r="Z3089" s="1028"/>
      <c r="AA3089" s="1028"/>
      <c r="AB3089" s="1028"/>
      <c r="AC3089" s="1028"/>
      <c r="AD3089" s="1028"/>
      <c r="AE3089" s="1028"/>
      <c r="AF3089" s="1028"/>
      <c r="AG3089" s="1028"/>
      <c r="AH3089" s="1071"/>
      <c r="AI3089" s="1027"/>
      <c r="AJ3089" s="1028"/>
      <c r="AK3089" s="1028"/>
      <c r="AL3089" s="1028"/>
      <c r="AM3089" s="1028"/>
      <c r="AN3089" s="1028"/>
      <c r="AO3089" s="1028"/>
      <c r="AP3089" s="1028"/>
      <c r="AQ3089" s="1028"/>
      <c r="AR3089" s="1028"/>
      <c r="AS3089" s="1028"/>
      <c r="AT3089" s="1028"/>
      <c r="AU3089" s="1028"/>
      <c r="AV3089" s="1028"/>
      <c r="AW3089" s="1028"/>
      <c r="AX3089" s="1028"/>
      <c r="AY3089" s="1028"/>
      <c r="AZ3089" s="1028"/>
      <c r="BA3089" s="1028"/>
      <c r="BB3089" s="1028"/>
      <c r="BC3089" s="1028"/>
      <c r="BD3089" s="1028"/>
      <c r="BE3089" s="1028"/>
      <c r="BF3089" s="1029"/>
      <c r="BG3089" s="1072"/>
      <c r="BH3089" s="1028"/>
      <c r="BI3089" s="1028"/>
      <c r="BJ3089" s="1028"/>
      <c r="BK3089" s="1028"/>
      <c r="BL3089" s="1028"/>
      <c r="BM3089" s="1028"/>
      <c r="BN3089" s="1028"/>
      <c r="BO3089" s="1028"/>
      <c r="BP3089" s="1028"/>
      <c r="BQ3089" s="1028"/>
      <c r="BR3089" s="1028"/>
      <c r="BS3089" s="1028"/>
      <c r="BT3089" s="1028"/>
      <c r="BU3089" s="1028"/>
      <c r="BV3089" s="1028"/>
      <c r="BW3089" s="1028"/>
      <c r="BX3089" s="1028"/>
      <c r="BY3089" s="1028"/>
      <c r="BZ3089" s="1029"/>
      <c r="CA3089" s="270"/>
      <c r="CB3089" s="3" t="str">
        <f t="shared" si="555"/>
        <v>Riadok bude skrytý.</v>
      </c>
      <c r="CC3089" s="271" t="s">
        <v>832</v>
      </c>
      <c r="CW3089" s="30">
        <f t="shared" si="562"/>
        <v>0</v>
      </c>
      <c r="CX3089" s="30">
        <f t="shared" si="564"/>
        <v>1</v>
      </c>
      <c r="CY3089" s="30">
        <f t="shared" ref="CY3089:CY3096" si="565">+IF(B3089="",0,1)</f>
        <v>0</v>
      </c>
      <c r="CZ3089" s="30">
        <f t="shared" si="558"/>
        <v>1</v>
      </c>
      <c r="DA3089" s="53">
        <f t="shared" ref="DA3089:DA3096" si="566">+IF(CW3089*CX3089*CY3089=0,0,IF(CZ3089=0,0,1))</f>
        <v>0</v>
      </c>
      <c r="DB3089" s="140">
        <f t="shared" si="563"/>
        <v>0</v>
      </c>
      <c r="DS3089" s="130">
        <f>SI!BY3089</f>
        <v>192</v>
      </c>
      <c r="DZ3089" s="131">
        <f>SI!BZ3089</f>
        <v>0</v>
      </c>
    </row>
    <row r="3090" spans="1:130" hidden="1" x14ac:dyDescent="0.25">
      <c r="A3090" s="141"/>
      <c r="B3090" s="1027"/>
      <c r="C3090" s="1028"/>
      <c r="D3090" s="1028"/>
      <c r="E3090" s="1028"/>
      <c r="F3090" s="1028"/>
      <c r="G3090" s="1028"/>
      <c r="H3090" s="1028"/>
      <c r="I3090" s="1028"/>
      <c r="J3090" s="1028"/>
      <c r="K3090" s="1028"/>
      <c r="L3090" s="1028"/>
      <c r="M3090" s="1028"/>
      <c r="N3090" s="1028"/>
      <c r="O3090" s="1028"/>
      <c r="P3090" s="1028"/>
      <c r="Q3090" s="1028"/>
      <c r="R3090" s="1028"/>
      <c r="S3090" s="1028"/>
      <c r="T3090" s="1028"/>
      <c r="U3090" s="1028"/>
      <c r="V3090" s="1028"/>
      <c r="W3090" s="1028"/>
      <c r="X3090" s="1028"/>
      <c r="Y3090" s="1028"/>
      <c r="Z3090" s="1028"/>
      <c r="AA3090" s="1028"/>
      <c r="AB3090" s="1028"/>
      <c r="AC3090" s="1028"/>
      <c r="AD3090" s="1028"/>
      <c r="AE3090" s="1028"/>
      <c r="AF3090" s="1028"/>
      <c r="AG3090" s="1028"/>
      <c r="AH3090" s="1071"/>
      <c r="AI3090" s="1027"/>
      <c r="AJ3090" s="1028"/>
      <c r="AK3090" s="1028"/>
      <c r="AL3090" s="1028"/>
      <c r="AM3090" s="1028"/>
      <c r="AN3090" s="1028"/>
      <c r="AO3090" s="1028"/>
      <c r="AP3090" s="1028"/>
      <c r="AQ3090" s="1028"/>
      <c r="AR3090" s="1028"/>
      <c r="AS3090" s="1028"/>
      <c r="AT3090" s="1028"/>
      <c r="AU3090" s="1028"/>
      <c r="AV3090" s="1028"/>
      <c r="AW3090" s="1028"/>
      <c r="AX3090" s="1028"/>
      <c r="AY3090" s="1028"/>
      <c r="AZ3090" s="1028"/>
      <c r="BA3090" s="1028"/>
      <c r="BB3090" s="1028"/>
      <c r="BC3090" s="1028"/>
      <c r="BD3090" s="1028"/>
      <c r="BE3090" s="1028"/>
      <c r="BF3090" s="1029"/>
      <c r="BG3090" s="1072"/>
      <c r="BH3090" s="1028"/>
      <c r="BI3090" s="1028"/>
      <c r="BJ3090" s="1028"/>
      <c r="BK3090" s="1028"/>
      <c r="BL3090" s="1028"/>
      <c r="BM3090" s="1028"/>
      <c r="BN3090" s="1028"/>
      <c r="BO3090" s="1028"/>
      <c r="BP3090" s="1028"/>
      <c r="BQ3090" s="1028"/>
      <c r="BR3090" s="1028"/>
      <c r="BS3090" s="1028"/>
      <c r="BT3090" s="1028"/>
      <c r="BU3090" s="1028"/>
      <c r="BV3090" s="1028"/>
      <c r="BW3090" s="1028"/>
      <c r="BX3090" s="1028"/>
      <c r="BY3090" s="1028"/>
      <c r="BZ3090" s="1029"/>
      <c r="CA3090" s="270"/>
      <c r="CB3090" s="3" t="str">
        <f t="shared" si="555"/>
        <v>Riadok bude skrytý.</v>
      </c>
      <c r="CC3090" s="271" t="s">
        <v>832</v>
      </c>
      <c r="CW3090" s="30">
        <f t="shared" si="562"/>
        <v>0</v>
      </c>
      <c r="CX3090" s="30">
        <f t="shared" si="564"/>
        <v>1</v>
      </c>
      <c r="CY3090" s="30">
        <f t="shared" si="565"/>
        <v>0</v>
      </c>
      <c r="CZ3090" s="30">
        <f t="shared" si="558"/>
        <v>1</v>
      </c>
      <c r="DA3090" s="53">
        <f>+IF(CW3090*CX3090*CY3090=0,0,IF(CZ3090=0,0,1))</f>
        <v>0</v>
      </c>
      <c r="DB3090" s="140">
        <f t="shared" si="563"/>
        <v>0</v>
      </c>
      <c r="DS3090" s="130">
        <f>SI!BY3090</f>
        <v>150</v>
      </c>
      <c r="DZ3090" s="131">
        <f>SI!BZ3090</f>
        <v>0</v>
      </c>
    </row>
    <row r="3091" spans="1:130" hidden="1" x14ac:dyDescent="0.25">
      <c r="A3091" s="141"/>
      <c r="B3091" s="1027"/>
      <c r="C3091" s="1028"/>
      <c r="D3091" s="1028"/>
      <c r="E3091" s="1028"/>
      <c r="F3091" s="1028"/>
      <c r="G3091" s="1028"/>
      <c r="H3091" s="1028"/>
      <c r="I3091" s="1028"/>
      <c r="J3091" s="1028"/>
      <c r="K3091" s="1028"/>
      <c r="L3091" s="1028"/>
      <c r="M3091" s="1028"/>
      <c r="N3091" s="1028"/>
      <c r="O3091" s="1028"/>
      <c r="P3091" s="1028"/>
      <c r="Q3091" s="1028"/>
      <c r="R3091" s="1028"/>
      <c r="S3091" s="1028"/>
      <c r="T3091" s="1028"/>
      <c r="U3091" s="1028"/>
      <c r="V3091" s="1028"/>
      <c r="W3091" s="1028"/>
      <c r="X3091" s="1028"/>
      <c r="Y3091" s="1028"/>
      <c r="Z3091" s="1028"/>
      <c r="AA3091" s="1028"/>
      <c r="AB3091" s="1028"/>
      <c r="AC3091" s="1028"/>
      <c r="AD3091" s="1028"/>
      <c r="AE3091" s="1028"/>
      <c r="AF3091" s="1028"/>
      <c r="AG3091" s="1028"/>
      <c r="AH3091" s="1071"/>
      <c r="AI3091" s="1027"/>
      <c r="AJ3091" s="1028"/>
      <c r="AK3091" s="1028"/>
      <c r="AL3091" s="1028"/>
      <c r="AM3091" s="1028"/>
      <c r="AN3091" s="1028"/>
      <c r="AO3091" s="1028"/>
      <c r="AP3091" s="1028"/>
      <c r="AQ3091" s="1028"/>
      <c r="AR3091" s="1028"/>
      <c r="AS3091" s="1028"/>
      <c r="AT3091" s="1028"/>
      <c r="AU3091" s="1028"/>
      <c r="AV3091" s="1028"/>
      <c r="AW3091" s="1028"/>
      <c r="AX3091" s="1028"/>
      <c r="AY3091" s="1028"/>
      <c r="AZ3091" s="1028"/>
      <c r="BA3091" s="1028"/>
      <c r="BB3091" s="1028"/>
      <c r="BC3091" s="1028"/>
      <c r="BD3091" s="1028"/>
      <c r="BE3091" s="1028"/>
      <c r="BF3091" s="1029"/>
      <c r="BG3091" s="1072"/>
      <c r="BH3091" s="1028"/>
      <c r="BI3091" s="1028"/>
      <c r="BJ3091" s="1028"/>
      <c r="BK3091" s="1028"/>
      <c r="BL3091" s="1028"/>
      <c r="BM3091" s="1028"/>
      <c r="BN3091" s="1028"/>
      <c r="BO3091" s="1028"/>
      <c r="BP3091" s="1028"/>
      <c r="BQ3091" s="1028"/>
      <c r="BR3091" s="1028"/>
      <c r="BS3091" s="1028"/>
      <c r="BT3091" s="1028"/>
      <c r="BU3091" s="1028"/>
      <c r="BV3091" s="1028"/>
      <c r="BW3091" s="1028"/>
      <c r="BX3091" s="1028"/>
      <c r="BY3091" s="1028"/>
      <c r="BZ3091" s="1029"/>
      <c r="CA3091" s="270"/>
      <c r="CB3091" s="3" t="str">
        <f t="shared" si="555"/>
        <v>Riadok bude skrytý.</v>
      </c>
      <c r="CC3091" s="271" t="s">
        <v>832</v>
      </c>
      <c r="CW3091" s="30">
        <f t="shared" si="562"/>
        <v>0</v>
      </c>
      <c r="CX3091" s="30">
        <f t="shared" si="564"/>
        <v>1</v>
      </c>
      <c r="CY3091" s="30">
        <f t="shared" si="565"/>
        <v>0</v>
      </c>
      <c r="CZ3091" s="30">
        <f t="shared" si="558"/>
        <v>1</v>
      </c>
      <c r="DA3091" s="53">
        <f>+IF(CW3091*CX3091*CY3091=0,0,IF(CZ3091=0,0,1))</f>
        <v>0</v>
      </c>
      <c r="DB3091" s="140">
        <f t="shared" si="563"/>
        <v>0</v>
      </c>
      <c r="DS3091" s="130">
        <f>SI!BY3091</f>
        <v>147</v>
      </c>
      <c r="DZ3091" s="131">
        <f>SI!BZ3091</f>
        <v>0</v>
      </c>
    </row>
    <row r="3092" spans="1:130" hidden="1" x14ac:dyDescent="0.25">
      <c r="A3092" s="141"/>
      <c r="B3092" s="1027"/>
      <c r="C3092" s="1028"/>
      <c r="D3092" s="1028"/>
      <c r="E3092" s="1028"/>
      <c r="F3092" s="1028"/>
      <c r="G3092" s="1028"/>
      <c r="H3092" s="1028"/>
      <c r="I3092" s="1028"/>
      <c r="J3092" s="1028"/>
      <c r="K3092" s="1028"/>
      <c r="L3092" s="1028"/>
      <c r="M3092" s="1028"/>
      <c r="N3092" s="1028"/>
      <c r="O3092" s="1028"/>
      <c r="P3092" s="1028"/>
      <c r="Q3092" s="1028"/>
      <c r="R3092" s="1028"/>
      <c r="S3092" s="1028"/>
      <c r="T3092" s="1028"/>
      <c r="U3092" s="1028"/>
      <c r="V3092" s="1028"/>
      <c r="W3092" s="1028"/>
      <c r="X3092" s="1028"/>
      <c r="Y3092" s="1028"/>
      <c r="Z3092" s="1028"/>
      <c r="AA3092" s="1028"/>
      <c r="AB3092" s="1028"/>
      <c r="AC3092" s="1028"/>
      <c r="AD3092" s="1028"/>
      <c r="AE3092" s="1028"/>
      <c r="AF3092" s="1028"/>
      <c r="AG3092" s="1028"/>
      <c r="AH3092" s="1071"/>
      <c r="AI3092" s="1027"/>
      <c r="AJ3092" s="1028"/>
      <c r="AK3092" s="1028"/>
      <c r="AL3092" s="1028"/>
      <c r="AM3092" s="1028"/>
      <c r="AN3092" s="1028"/>
      <c r="AO3092" s="1028"/>
      <c r="AP3092" s="1028"/>
      <c r="AQ3092" s="1028"/>
      <c r="AR3092" s="1028"/>
      <c r="AS3092" s="1028"/>
      <c r="AT3092" s="1028"/>
      <c r="AU3092" s="1028"/>
      <c r="AV3092" s="1028"/>
      <c r="AW3092" s="1028"/>
      <c r="AX3092" s="1028"/>
      <c r="AY3092" s="1028"/>
      <c r="AZ3092" s="1028"/>
      <c r="BA3092" s="1028"/>
      <c r="BB3092" s="1028"/>
      <c r="BC3092" s="1028"/>
      <c r="BD3092" s="1028"/>
      <c r="BE3092" s="1028"/>
      <c r="BF3092" s="1029"/>
      <c r="BG3092" s="1072"/>
      <c r="BH3092" s="1028"/>
      <c r="BI3092" s="1028"/>
      <c r="BJ3092" s="1028"/>
      <c r="BK3092" s="1028"/>
      <c r="BL3092" s="1028"/>
      <c r="BM3092" s="1028"/>
      <c r="BN3092" s="1028"/>
      <c r="BO3092" s="1028"/>
      <c r="BP3092" s="1028"/>
      <c r="BQ3092" s="1028"/>
      <c r="BR3092" s="1028"/>
      <c r="BS3092" s="1028"/>
      <c r="BT3092" s="1028"/>
      <c r="BU3092" s="1028"/>
      <c r="BV3092" s="1028"/>
      <c r="BW3092" s="1028"/>
      <c r="BX3092" s="1028"/>
      <c r="BY3092" s="1028"/>
      <c r="BZ3092" s="1029"/>
      <c r="CA3092" s="270"/>
      <c r="CB3092" s="3" t="str">
        <f t="shared" si="555"/>
        <v>Riadok bude skrytý.</v>
      </c>
      <c r="CC3092" s="271" t="s">
        <v>832</v>
      </c>
      <c r="CW3092" s="30">
        <f t="shared" si="562"/>
        <v>0</v>
      </c>
      <c r="CX3092" s="30">
        <f t="shared" si="564"/>
        <v>1</v>
      </c>
      <c r="CY3092" s="30">
        <f t="shared" si="565"/>
        <v>0</v>
      </c>
      <c r="CZ3092" s="30">
        <f t="shared" si="558"/>
        <v>1</v>
      </c>
      <c r="DA3092" s="53">
        <f>+IF(CW3092*CX3092*CY3092=0,0,IF(CZ3092=0,0,1))</f>
        <v>0</v>
      </c>
      <c r="DB3092" s="140">
        <f t="shared" si="563"/>
        <v>0</v>
      </c>
      <c r="DS3092" s="130">
        <f>SI!BY3092</f>
        <v>115</v>
      </c>
      <c r="DZ3092" s="131">
        <f>SI!BZ3092</f>
        <v>0</v>
      </c>
    </row>
    <row r="3093" spans="1:130" hidden="1" x14ac:dyDescent="0.25">
      <c r="A3093" s="141"/>
      <c r="B3093" s="1027"/>
      <c r="C3093" s="1028"/>
      <c r="D3093" s="1028"/>
      <c r="E3093" s="1028"/>
      <c r="F3093" s="1028"/>
      <c r="G3093" s="1028"/>
      <c r="H3093" s="1028"/>
      <c r="I3093" s="1028"/>
      <c r="J3093" s="1028"/>
      <c r="K3093" s="1028"/>
      <c r="L3093" s="1028"/>
      <c r="M3093" s="1028"/>
      <c r="N3093" s="1028"/>
      <c r="O3093" s="1028"/>
      <c r="P3093" s="1028"/>
      <c r="Q3093" s="1028"/>
      <c r="R3093" s="1028"/>
      <c r="S3093" s="1028"/>
      <c r="T3093" s="1028"/>
      <c r="U3093" s="1028"/>
      <c r="V3093" s="1028"/>
      <c r="W3093" s="1028"/>
      <c r="X3093" s="1028"/>
      <c r="Y3093" s="1028"/>
      <c r="Z3093" s="1028"/>
      <c r="AA3093" s="1028"/>
      <c r="AB3093" s="1028"/>
      <c r="AC3093" s="1028"/>
      <c r="AD3093" s="1028"/>
      <c r="AE3093" s="1028"/>
      <c r="AF3093" s="1028"/>
      <c r="AG3093" s="1028"/>
      <c r="AH3093" s="1071"/>
      <c r="AI3093" s="1027"/>
      <c r="AJ3093" s="1028"/>
      <c r="AK3093" s="1028"/>
      <c r="AL3093" s="1028"/>
      <c r="AM3093" s="1028"/>
      <c r="AN3093" s="1028"/>
      <c r="AO3093" s="1028"/>
      <c r="AP3093" s="1028"/>
      <c r="AQ3093" s="1028"/>
      <c r="AR3093" s="1028"/>
      <c r="AS3093" s="1028"/>
      <c r="AT3093" s="1028"/>
      <c r="AU3093" s="1028"/>
      <c r="AV3093" s="1028"/>
      <c r="AW3093" s="1028"/>
      <c r="AX3093" s="1028"/>
      <c r="AY3093" s="1028"/>
      <c r="AZ3093" s="1028"/>
      <c r="BA3093" s="1028"/>
      <c r="BB3093" s="1028"/>
      <c r="BC3093" s="1028"/>
      <c r="BD3093" s="1028"/>
      <c r="BE3093" s="1028"/>
      <c r="BF3093" s="1029"/>
      <c r="BG3093" s="1072"/>
      <c r="BH3093" s="1028"/>
      <c r="BI3093" s="1028"/>
      <c r="BJ3093" s="1028"/>
      <c r="BK3093" s="1028"/>
      <c r="BL3093" s="1028"/>
      <c r="BM3093" s="1028"/>
      <c r="BN3093" s="1028"/>
      <c r="BO3093" s="1028"/>
      <c r="BP3093" s="1028"/>
      <c r="BQ3093" s="1028"/>
      <c r="BR3093" s="1028"/>
      <c r="BS3093" s="1028"/>
      <c r="BT3093" s="1028"/>
      <c r="BU3093" s="1028"/>
      <c r="BV3093" s="1028"/>
      <c r="BW3093" s="1028"/>
      <c r="BX3093" s="1028"/>
      <c r="BY3093" s="1028"/>
      <c r="BZ3093" s="1029"/>
      <c r="CA3093" s="270"/>
      <c r="CB3093" s="3" t="str">
        <f t="shared" si="555"/>
        <v>Riadok bude skrytý.</v>
      </c>
      <c r="CC3093" s="271" t="s">
        <v>832</v>
      </c>
      <c r="CW3093" s="30">
        <f t="shared" si="562"/>
        <v>0</v>
      </c>
      <c r="CX3093" s="30">
        <f t="shared" si="564"/>
        <v>1</v>
      </c>
      <c r="CY3093" s="30">
        <f t="shared" si="565"/>
        <v>0</v>
      </c>
      <c r="CZ3093" s="30">
        <f t="shared" si="558"/>
        <v>1</v>
      </c>
      <c r="DA3093" s="53">
        <f>+IF(CW3093*CX3093*CY3093=0,0,IF(CZ3093=0,0,1))</f>
        <v>0</v>
      </c>
      <c r="DB3093" s="140">
        <f t="shared" si="563"/>
        <v>0</v>
      </c>
      <c r="DS3093" s="130">
        <f>SI!BY3093</f>
        <v>137</v>
      </c>
      <c r="DZ3093" s="131">
        <f>SI!BZ3093</f>
        <v>0</v>
      </c>
    </row>
    <row r="3094" spans="1:130" hidden="1" x14ac:dyDescent="0.25">
      <c r="A3094" s="141"/>
      <c r="B3094" s="1027"/>
      <c r="C3094" s="1028"/>
      <c r="D3094" s="1028"/>
      <c r="E3094" s="1028"/>
      <c r="F3094" s="1028"/>
      <c r="G3094" s="1028"/>
      <c r="H3094" s="1028"/>
      <c r="I3094" s="1028"/>
      <c r="J3094" s="1028"/>
      <c r="K3094" s="1028"/>
      <c r="L3094" s="1028"/>
      <c r="M3094" s="1028"/>
      <c r="N3094" s="1028"/>
      <c r="O3094" s="1028"/>
      <c r="P3094" s="1028"/>
      <c r="Q3094" s="1028"/>
      <c r="R3094" s="1028"/>
      <c r="S3094" s="1028"/>
      <c r="T3094" s="1028"/>
      <c r="U3094" s="1028"/>
      <c r="V3094" s="1028"/>
      <c r="W3094" s="1028"/>
      <c r="X3094" s="1028"/>
      <c r="Y3094" s="1028"/>
      <c r="Z3094" s="1028"/>
      <c r="AA3094" s="1028"/>
      <c r="AB3094" s="1028"/>
      <c r="AC3094" s="1028"/>
      <c r="AD3094" s="1028"/>
      <c r="AE3094" s="1028"/>
      <c r="AF3094" s="1028"/>
      <c r="AG3094" s="1028"/>
      <c r="AH3094" s="1071"/>
      <c r="AI3094" s="1027"/>
      <c r="AJ3094" s="1028"/>
      <c r="AK3094" s="1028"/>
      <c r="AL3094" s="1028"/>
      <c r="AM3094" s="1028"/>
      <c r="AN3094" s="1028"/>
      <c r="AO3094" s="1028"/>
      <c r="AP3094" s="1028"/>
      <c r="AQ3094" s="1028"/>
      <c r="AR3094" s="1028"/>
      <c r="AS3094" s="1028"/>
      <c r="AT3094" s="1028"/>
      <c r="AU3094" s="1028"/>
      <c r="AV3094" s="1028"/>
      <c r="AW3094" s="1028"/>
      <c r="AX3094" s="1028"/>
      <c r="AY3094" s="1028"/>
      <c r="AZ3094" s="1028"/>
      <c r="BA3094" s="1028"/>
      <c r="BB3094" s="1028"/>
      <c r="BC3094" s="1028"/>
      <c r="BD3094" s="1028"/>
      <c r="BE3094" s="1028"/>
      <c r="BF3094" s="1029"/>
      <c r="BG3094" s="1072"/>
      <c r="BH3094" s="1028"/>
      <c r="BI3094" s="1028"/>
      <c r="BJ3094" s="1028"/>
      <c r="BK3094" s="1028"/>
      <c r="BL3094" s="1028"/>
      <c r="BM3094" s="1028"/>
      <c r="BN3094" s="1028"/>
      <c r="BO3094" s="1028"/>
      <c r="BP3094" s="1028"/>
      <c r="BQ3094" s="1028"/>
      <c r="BR3094" s="1028"/>
      <c r="BS3094" s="1028"/>
      <c r="BT3094" s="1028"/>
      <c r="BU3094" s="1028"/>
      <c r="BV3094" s="1028"/>
      <c r="BW3094" s="1028"/>
      <c r="BX3094" s="1028"/>
      <c r="BY3094" s="1028"/>
      <c r="BZ3094" s="1029"/>
      <c r="CA3094" s="270"/>
      <c r="CB3094" s="3" t="str">
        <f t="shared" si="555"/>
        <v>Riadok bude skrytý.</v>
      </c>
      <c r="CC3094" s="271" t="s">
        <v>832</v>
      </c>
      <c r="CW3094" s="30">
        <f t="shared" si="562"/>
        <v>0</v>
      </c>
      <c r="CX3094" s="30">
        <f t="shared" si="564"/>
        <v>1</v>
      </c>
      <c r="CY3094" s="30">
        <f t="shared" si="565"/>
        <v>0</v>
      </c>
      <c r="CZ3094" s="30">
        <f t="shared" si="558"/>
        <v>1</v>
      </c>
      <c r="DA3094" s="53">
        <f t="shared" si="566"/>
        <v>0</v>
      </c>
      <c r="DB3094" s="140">
        <f t="shared" si="563"/>
        <v>0</v>
      </c>
      <c r="DS3094" s="130">
        <f>SI!BY3094</f>
        <v>182</v>
      </c>
      <c r="DZ3094" s="131">
        <f>SI!BZ3094</f>
        <v>0</v>
      </c>
    </row>
    <row r="3095" spans="1:130" hidden="1" x14ac:dyDescent="0.25">
      <c r="A3095" s="141"/>
      <c r="B3095" s="1027"/>
      <c r="C3095" s="1028"/>
      <c r="D3095" s="1028"/>
      <c r="E3095" s="1028"/>
      <c r="F3095" s="1028"/>
      <c r="G3095" s="1028"/>
      <c r="H3095" s="1028"/>
      <c r="I3095" s="1028"/>
      <c r="J3095" s="1028"/>
      <c r="K3095" s="1028"/>
      <c r="L3095" s="1028"/>
      <c r="M3095" s="1028"/>
      <c r="N3095" s="1028"/>
      <c r="O3095" s="1028"/>
      <c r="P3095" s="1028"/>
      <c r="Q3095" s="1028"/>
      <c r="R3095" s="1028"/>
      <c r="S3095" s="1028"/>
      <c r="T3095" s="1028"/>
      <c r="U3095" s="1028"/>
      <c r="V3095" s="1028"/>
      <c r="W3095" s="1028"/>
      <c r="X3095" s="1028"/>
      <c r="Y3095" s="1028"/>
      <c r="Z3095" s="1028"/>
      <c r="AA3095" s="1028"/>
      <c r="AB3095" s="1028"/>
      <c r="AC3095" s="1028"/>
      <c r="AD3095" s="1028"/>
      <c r="AE3095" s="1028"/>
      <c r="AF3095" s="1028"/>
      <c r="AG3095" s="1028"/>
      <c r="AH3095" s="1071"/>
      <c r="AI3095" s="1027"/>
      <c r="AJ3095" s="1028"/>
      <c r="AK3095" s="1028"/>
      <c r="AL3095" s="1028"/>
      <c r="AM3095" s="1028"/>
      <c r="AN3095" s="1028"/>
      <c r="AO3095" s="1028"/>
      <c r="AP3095" s="1028"/>
      <c r="AQ3095" s="1028"/>
      <c r="AR3095" s="1028"/>
      <c r="AS3095" s="1028"/>
      <c r="AT3095" s="1028"/>
      <c r="AU3095" s="1028"/>
      <c r="AV3095" s="1028"/>
      <c r="AW3095" s="1028"/>
      <c r="AX3095" s="1028"/>
      <c r="AY3095" s="1028"/>
      <c r="AZ3095" s="1028"/>
      <c r="BA3095" s="1028"/>
      <c r="BB3095" s="1028"/>
      <c r="BC3095" s="1028"/>
      <c r="BD3095" s="1028"/>
      <c r="BE3095" s="1028"/>
      <c r="BF3095" s="1029"/>
      <c r="BG3095" s="1072"/>
      <c r="BH3095" s="1028"/>
      <c r="BI3095" s="1028"/>
      <c r="BJ3095" s="1028"/>
      <c r="BK3095" s="1028"/>
      <c r="BL3095" s="1028"/>
      <c r="BM3095" s="1028"/>
      <c r="BN3095" s="1028"/>
      <c r="BO3095" s="1028"/>
      <c r="BP3095" s="1028"/>
      <c r="BQ3095" s="1028"/>
      <c r="BR3095" s="1028"/>
      <c r="BS3095" s="1028"/>
      <c r="BT3095" s="1028"/>
      <c r="BU3095" s="1028"/>
      <c r="BV3095" s="1028"/>
      <c r="BW3095" s="1028"/>
      <c r="BX3095" s="1028"/>
      <c r="BY3095" s="1028"/>
      <c r="BZ3095" s="1029"/>
      <c r="CA3095" s="270"/>
      <c r="CB3095" s="3" t="str">
        <f t="shared" si="555"/>
        <v>Riadok bude skrytý.</v>
      </c>
      <c r="CC3095" s="271" t="s">
        <v>832</v>
      </c>
      <c r="CW3095" s="30">
        <f t="shared" si="562"/>
        <v>0</v>
      </c>
      <c r="CX3095" s="30">
        <f t="shared" si="564"/>
        <v>1</v>
      </c>
      <c r="CY3095" s="30">
        <f t="shared" si="565"/>
        <v>0</v>
      </c>
      <c r="CZ3095" s="30">
        <f t="shared" si="558"/>
        <v>1</v>
      </c>
      <c r="DA3095" s="53">
        <f t="shared" si="566"/>
        <v>0</v>
      </c>
      <c r="DB3095" s="140">
        <f t="shared" si="563"/>
        <v>0</v>
      </c>
      <c r="DS3095" s="130">
        <f>SI!BY3095</f>
        <v>114</v>
      </c>
      <c r="DZ3095" s="131">
        <f>SI!BZ3095</f>
        <v>0</v>
      </c>
    </row>
    <row r="3096" spans="1:130" hidden="1" x14ac:dyDescent="0.25">
      <c r="A3096" s="141"/>
      <c r="B3096" s="1027"/>
      <c r="C3096" s="1028"/>
      <c r="D3096" s="1028"/>
      <c r="E3096" s="1028"/>
      <c r="F3096" s="1028"/>
      <c r="G3096" s="1028"/>
      <c r="H3096" s="1028"/>
      <c r="I3096" s="1028"/>
      <c r="J3096" s="1028"/>
      <c r="K3096" s="1028"/>
      <c r="L3096" s="1028"/>
      <c r="M3096" s="1028"/>
      <c r="N3096" s="1028"/>
      <c r="O3096" s="1028"/>
      <c r="P3096" s="1028"/>
      <c r="Q3096" s="1028"/>
      <c r="R3096" s="1028"/>
      <c r="S3096" s="1028"/>
      <c r="T3096" s="1028"/>
      <c r="U3096" s="1028"/>
      <c r="V3096" s="1028"/>
      <c r="W3096" s="1028"/>
      <c r="X3096" s="1028"/>
      <c r="Y3096" s="1028"/>
      <c r="Z3096" s="1028"/>
      <c r="AA3096" s="1028"/>
      <c r="AB3096" s="1028"/>
      <c r="AC3096" s="1028"/>
      <c r="AD3096" s="1028"/>
      <c r="AE3096" s="1028"/>
      <c r="AF3096" s="1028"/>
      <c r="AG3096" s="1028"/>
      <c r="AH3096" s="1071"/>
      <c r="AI3096" s="1027"/>
      <c r="AJ3096" s="1028"/>
      <c r="AK3096" s="1028"/>
      <c r="AL3096" s="1028"/>
      <c r="AM3096" s="1028"/>
      <c r="AN3096" s="1028"/>
      <c r="AO3096" s="1028"/>
      <c r="AP3096" s="1028"/>
      <c r="AQ3096" s="1028"/>
      <c r="AR3096" s="1028"/>
      <c r="AS3096" s="1028"/>
      <c r="AT3096" s="1028"/>
      <c r="AU3096" s="1028"/>
      <c r="AV3096" s="1028"/>
      <c r="AW3096" s="1028"/>
      <c r="AX3096" s="1028"/>
      <c r="AY3096" s="1028"/>
      <c r="AZ3096" s="1028"/>
      <c r="BA3096" s="1028"/>
      <c r="BB3096" s="1028"/>
      <c r="BC3096" s="1028"/>
      <c r="BD3096" s="1028"/>
      <c r="BE3096" s="1028"/>
      <c r="BF3096" s="1029"/>
      <c r="BG3096" s="1072"/>
      <c r="BH3096" s="1028"/>
      <c r="BI3096" s="1028"/>
      <c r="BJ3096" s="1028"/>
      <c r="BK3096" s="1028"/>
      <c r="BL3096" s="1028"/>
      <c r="BM3096" s="1028"/>
      <c r="BN3096" s="1028"/>
      <c r="BO3096" s="1028"/>
      <c r="BP3096" s="1028"/>
      <c r="BQ3096" s="1028"/>
      <c r="BR3096" s="1028"/>
      <c r="BS3096" s="1028"/>
      <c r="BT3096" s="1028"/>
      <c r="BU3096" s="1028"/>
      <c r="BV3096" s="1028"/>
      <c r="BW3096" s="1028"/>
      <c r="BX3096" s="1028"/>
      <c r="BY3096" s="1028"/>
      <c r="BZ3096" s="1029"/>
      <c r="CA3096" s="270"/>
      <c r="CB3096" s="3" t="str">
        <f t="shared" si="555"/>
        <v>Riadok bude skrytý.</v>
      </c>
      <c r="CC3096" s="271" t="s">
        <v>832</v>
      </c>
      <c r="CW3096" s="30">
        <f t="shared" si="562"/>
        <v>0</v>
      </c>
      <c r="CX3096" s="30">
        <f t="shared" si="564"/>
        <v>1</v>
      </c>
      <c r="CY3096" s="30">
        <f t="shared" si="565"/>
        <v>0</v>
      </c>
      <c r="CZ3096" s="30">
        <f t="shared" si="558"/>
        <v>1</v>
      </c>
      <c r="DA3096" s="53">
        <f t="shared" si="566"/>
        <v>0</v>
      </c>
      <c r="DB3096" s="140">
        <f t="shared" si="563"/>
        <v>0</v>
      </c>
      <c r="DS3096" s="130">
        <f>SI!BY3096</f>
        <v>187</v>
      </c>
      <c r="DZ3096" s="131">
        <f>SI!BZ3096</f>
        <v>0</v>
      </c>
    </row>
    <row r="3097" spans="1:130" hidden="1" x14ac:dyDescent="0.25">
      <c r="A3097" s="141"/>
      <c r="B3097" s="2138"/>
      <c r="C3097" s="2136"/>
      <c r="D3097" s="2136"/>
      <c r="E3097" s="2136"/>
      <c r="F3097" s="2136"/>
      <c r="G3097" s="2136"/>
      <c r="H3097" s="2136"/>
      <c r="I3097" s="2136"/>
      <c r="J3097" s="2136"/>
      <c r="K3097" s="2136"/>
      <c r="L3097" s="2136"/>
      <c r="M3097" s="2136"/>
      <c r="N3097" s="2136"/>
      <c r="O3097" s="2136"/>
      <c r="P3097" s="2136"/>
      <c r="Q3097" s="2136"/>
      <c r="R3097" s="2136"/>
      <c r="S3097" s="2136"/>
      <c r="T3097" s="2136"/>
      <c r="U3097" s="2136"/>
      <c r="V3097" s="2136"/>
      <c r="W3097" s="2136"/>
      <c r="X3097" s="2136"/>
      <c r="Y3097" s="2136"/>
      <c r="Z3097" s="2136"/>
      <c r="AA3097" s="2136"/>
      <c r="AB3097" s="2136"/>
      <c r="AC3097" s="2136"/>
      <c r="AD3097" s="2136"/>
      <c r="AE3097" s="2136"/>
      <c r="AF3097" s="2136"/>
      <c r="AG3097" s="2136"/>
      <c r="AH3097" s="2139"/>
      <c r="AI3097" s="2138"/>
      <c r="AJ3097" s="2136"/>
      <c r="AK3097" s="2136"/>
      <c r="AL3097" s="2136"/>
      <c r="AM3097" s="2136"/>
      <c r="AN3097" s="2136"/>
      <c r="AO3097" s="2136"/>
      <c r="AP3097" s="2136"/>
      <c r="AQ3097" s="2136"/>
      <c r="AR3097" s="2136"/>
      <c r="AS3097" s="2136"/>
      <c r="AT3097" s="2136"/>
      <c r="AU3097" s="2136"/>
      <c r="AV3097" s="2136"/>
      <c r="AW3097" s="2136"/>
      <c r="AX3097" s="2136"/>
      <c r="AY3097" s="2136"/>
      <c r="AZ3097" s="2136"/>
      <c r="BA3097" s="2136"/>
      <c r="BB3097" s="2136"/>
      <c r="BC3097" s="2136"/>
      <c r="BD3097" s="2136"/>
      <c r="BE3097" s="2136"/>
      <c r="BF3097" s="2137"/>
      <c r="BG3097" s="2135"/>
      <c r="BH3097" s="2136"/>
      <c r="BI3097" s="2136"/>
      <c r="BJ3097" s="2136"/>
      <c r="BK3097" s="2136"/>
      <c r="BL3097" s="2136"/>
      <c r="BM3097" s="2136"/>
      <c r="BN3097" s="2136"/>
      <c r="BO3097" s="2136"/>
      <c r="BP3097" s="2136"/>
      <c r="BQ3097" s="2136"/>
      <c r="BR3097" s="2136"/>
      <c r="BS3097" s="2136"/>
      <c r="BT3097" s="2136"/>
      <c r="BU3097" s="2136"/>
      <c r="BV3097" s="2136"/>
      <c r="BW3097" s="2136"/>
      <c r="BX3097" s="2136"/>
      <c r="BY3097" s="2136"/>
      <c r="BZ3097" s="2137"/>
      <c r="CA3097" s="270"/>
      <c r="CB3097" s="3" t="str">
        <f t="shared" si="555"/>
        <v>Riadok bude skrytý.</v>
      </c>
      <c r="CC3097" s="271" t="s">
        <v>832</v>
      </c>
      <c r="CW3097" s="30">
        <f t="shared" si="562"/>
        <v>0</v>
      </c>
      <c r="CX3097" s="30">
        <f t="shared" si="564"/>
        <v>1</v>
      </c>
      <c r="CZ3097" s="30">
        <f t="shared" si="558"/>
        <v>1</v>
      </c>
      <c r="DA3097" s="52">
        <f>+IF(CW3097*CX3097=0,0,IF(CZ3097=0,0,1))</f>
        <v>0</v>
      </c>
      <c r="DB3097" s="140">
        <f t="shared" si="563"/>
        <v>0</v>
      </c>
      <c r="DS3097" s="130">
        <f>SI!BY3097</f>
        <v>149</v>
      </c>
      <c r="DZ3097" s="131">
        <f>SI!BZ3097</f>
        <v>0</v>
      </c>
    </row>
    <row r="3098" spans="1:130" hidden="1" x14ac:dyDescent="0.25">
      <c r="A3098" s="141"/>
      <c r="CA3098" s="142"/>
      <c r="CB3098" s="3" t="str">
        <f t="shared" si="555"/>
        <v>Riadok bude skrytý.</v>
      </c>
      <c r="CC3098" s="271" t="s">
        <v>832</v>
      </c>
      <c r="CW3098" s="30">
        <f t="shared" si="562"/>
        <v>0</v>
      </c>
      <c r="CZ3098" s="30">
        <f t="shared" si="558"/>
        <v>1</v>
      </c>
      <c r="DA3098" s="30">
        <f>+IF(CW3098+CX3098+CY3098=0,0,IF(CZ3098=0,0,1))</f>
        <v>0</v>
      </c>
      <c r="DB3098" s="140">
        <f t="shared" si="563"/>
        <v>0</v>
      </c>
      <c r="DS3098" s="130">
        <f>SI!BY3098</f>
        <v>141</v>
      </c>
      <c r="DZ3098" s="131">
        <f>SI!BZ3098</f>
        <v>0</v>
      </c>
    </row>
    <row r="3099" spans="1:130" ht="16.3" hidden="1" x14ac:dyDescent="0.3">
      <c r="A3099" s="141"/>
      <c r="B3099" s="300" t="s">
        <v>338</v>
      </c>
      <c r="C3099" s="288"/>
      <c r="D3099" s="288"/>
      <c r="E3099" s="288"/>
      <c r="F3099" s="288"/>
      <c r="G3099" s="300" t="str">
        <f>+IF($Q$52&lt;&gt;"",IF((CODE(MID($Q$52,1,1)))*(INT((PI()-3.1415)*10^5))*0+(LEN(SI!J5)-LEN(SI!J6))=DS3099,"Prehľad o podsúvahových položkách.","NEPOVOLENÉ POUŽITIE!"),"NEPOVOLENÉ POUŽITIE!")</f>
        <v>Prehľad o podsúvahových položkách.</v>
      </c>
      <c r="H3099" s="300"/>
      <c r="I3099" s="288"/>
      <c r="J3099" s="288"/>
      <c r="K3099" s="288"/>
      <c r="L3099" s="288"/>
      <c r="M3099" s="288"/>
      <c r="N3099" s="288"/>
      <c r="O3099" s="288"/>
      <c r="P3099" s="288"/>
      <c r="Q3099" s="288"/>
      <c r="R3099" s="288"/>
      <c r="S3099" s="288"/>
      <c r="T3099" s="288"/>
      <c r="U3099" s="288"/>
      <c r="V3099" s="288"/>
      <c r="W3099" s="288"/>
      <c r="X3099" s="288"/>
      <c r="Y3099" s="288"/>
      <c r="Z3099" s="288"/>
      <c r="AA3099" s="288"/>
      <c r="AB3099" s="288"/>
      <c r="AC3099" s="288"/>
      <c r="AD3099" s="288"/>
      <c r="AE3099" s="288"/>
      <c r="AF3099" s="288"/>
      <c r="AG3099" s="288"/>
      <c r="AH3099" s="288"/>
      <c r="AI3099" s="288"/>
      <c r="AJ3099" s="288"/>
      <c r="AK3099" s="288"/>
      <c r="AL3099" s="288"/>
      <c r="AM3099" s="288"/>
      <c r="AN3099" s="288"/>
      <c r="AO3099" s="288"/>
      <c r="AP3099" s="288"/>
      <c r="AQ3099" s="288"/>
      <c r="AR3099" s="288"/>
      <c r="AS3099" s="288"/>
      <c r="AT3099" s="288"/>
      <c r="AU3099" s="288"/>
      <c r="AV3099" s="288"/>
      <c r="AW3099" s="288"/>
      <c r="AX3099" s="288"/>
      <c r="AY3099" s="288"/>
      <c r="AZ3099" s="288"/>
      <c r="BA3099" s="288"/>
      <c r="BB3099" s="288"/>
      <c r="BC3099" s="288"/>
      <c r="BD3099" s="288"/>
      <c r="BE3099" s="288"/>
      <c r="BF3099" s="288"/>
      <c r="BG3099" s="288"/>
      <c r="BH3099" s="288"/>
      <c r="BI3099" s="288"/>
      <c r="BJ3099" s="288"/>
      <c r="BK3099" s="288"/>
      <c r="BL3099" s="288"/>
      <c r="BM3099" s="288"/>
      <c r="BN3099" s="288"/>
      <c r="BO3099" s="288"/>
      <c r="BP3099" s="288"/>
      <c r="BQ3099" s="288"/>
      <c r="BR3099" s="288"/>
      <c r="BS3099" s="288"/>
      <c r="BT3099" s="288"/>
      <c r="BU3099" s="288"/>
      <c r="BV3099" s="288"/>
      <c r="BW3099" s="288"/>
      <c r="BX3099" s="288"/>
      <c r="BY3099" s="288"/>
      <c r="BZ3099" s="288"/>
      <c r="CA3099" s="265" t="s">
        <v>773</v>
      </c>
      <c r="CB3099" s="3" t="str">
        <f t="shared" si="555"/>
        <v>Riadok bude skrytý.</v>
      </c>
      <c r="CC3099" s="271" t="s">
        <v>832</v>
      </c>
      <c r="CW3099" s="30">
        <f t="shared" si="562"/>
        <v>0</v>
      </c>
      <c r="CZ3099" s="30">
        <f t="shared" si="558"/>
        <v>1</v>
      </c>
      <c r="DA3099" s="30">
        <f>+IF(CW3099+CX3099+CY3099=0,0,IF(CZ3099=0,0,1))</f>
        <v>0</v>
      </c>
      <c r="DB3099" s="2">
        <f>+IF($CD$1="malé",0,DA3099)</f>
        <v>0</v>
      </c>
      <c r="DS3099" s="130">
        <f>SI!BY3099</f>
        <v>10</v>
      </c>
      <c r="DZ3099" s="131">
        <f>SI!BZ3099</f>
        <v>0</v>
      </c>
    </row>
    <row r="3100" spans="1:130" ht="16.3" hidden="1" x14ac:dyDescent="0.3">
      <c r="A3100" s="141"/>
      <c r="B3100" s="16"/>
      <c r="G3100" s="16"/>
      <c r="H3100" s="16"/>
      <c r="CA3100" s="142"/>
      <c r="CB3100" s="3" t="str">
        <f t="shared" si="555"/>
        <v>Riadok bude skrytý.</v>
      </c>
      <c r="CC3100" s="271" t="s">
        <v>832</v>
      </c>
      <c r="CW3100" s="30">
        <f t="shared" si="562"/>
        <v>0</v>
      </c>
      <c r="CZ3100" s="30">
        <f t="shared" si="558"/>
        <v>1</v>
      </c>
      <c r="DA3100" s="30">
        <f>+IF(CW3100+CX3100+CY3100=0,0,IF(CZ3100=0,0,1))</f>
        <v>0</v>
      </c>
      <c r="DB3100" s="2">
        <f>+IF($CD$1="malé",0,DA3100)</f>
        <v>0</v>
      </c>
      <c r="DS3100" s="130">
        <f>SI!BY3100</f>
        <v>125</v>
      </c>
      <c r="DZ3100" s="131">
        <f>SI!BZ3100</f>
        <v>0</v>
      </c>
    </row>
    <row r="3101" spans="1:130" hidden="1" x14ac:dyDescent="0.25">
      <c r="A3101" s="141"/>
      <c r="B3101" s="137" t="s">
        <v>96</v>
      </c>
      <c r="J3101" s="378" t="s">
        <v>152</v>
      </c>
      <c r="K3101" s="378"/>
      <c r="L3101" s="378"/>
      <c r="M3101" s="378"/>
      <c r="N3101" s="378"/>
      <c r="O3101" s="378"/>
      <c r="P3101" s="378"/>
      <c r="Q3101" s="378"/>
      <c r="R3101" s="378"/>
      <c r="S3101" s="137" t="str">
        <f>+IF($E$52&lt;&gt;"",IF(ROUNDDOWN(CODE(MID($E$52,1,1))/10,0)*(IF(SI!EE3101="",1,SI!EE3101-1-1))+(LEN(SI!J2)+2)=DS3101,"položky na podsúvahových účtoch.","NEPOVOLENÉ POUŽITIE!"),"NEPOVOLENÉ POUŽITIE!")</f>
        <v>položky na podsúvahových účtoch.</v>
      </c>
      <c r="T3101" s="38"/>
      <c r="CA3101" s="142"/>
      <c r="CB3101" s="3" t="str">
        <f t="shared" si="555"/>
        <v>Riadok bude skrytý.</v>
      </c>
      <c r="CC3101" s="271" t="s">
        <v>832</v>
      </c>
      <c r="CW3101" s="30">
        <f t="shared" si="562"/>
        <v>0</v>
      </c>
      <c r="CZ3101" s="30">
        <f t="shared" si="558"/>
        <v>1</v>
      </c>
      <c r="DA3101" s="30">
        <f>+IF(CW3101+CX3101+CY3101=0,0,IF(CZ3101=0,0,1))</f>
        <v>0</v>
      </c>
      <c r="DB3101" s="140">
        <f t="shared" ref="DB3101:DB3114" si="567">+DA3101</f>
        <v>0</v>
      </c>
      <c r="DS3101" s="130">
        <f>SI!BY3101</f>
        <v>15</v>
      </c>
      <c r="DZ3101" s="131">
        <f>SI!BZ3101</f>
        <v>0</v>
      </c>
    </row>
    <row r="3102" spans="1:130" hidden="1" x14ac:dyDescent="0.25">
      <c r="A3102" s="141"/>
      <c r="CA3102" s="270"/>
      <c r="CB3102" s="3" t="str">
        <f t="shared" si="555"/>
        <v>Riadok bude skrytý.</v>
      </c>
      <c r="CC3102" s="271" t="s">
        <v>832</v>
      </c>
      <c r="CW3102" s="30">
        <f t="shared" si="562"/>
        <v>0</v>
      </c>
      <c r="CX3102" s="30">
        <f t="shared" ref="CX3102:CX3113" si="568">+IF($J$3101="neeviduje",0,1)</f>
        <v>1</v>
      </c>
      <c r="CZ3102" s="30">
        <f t="shared" si="558"/>
        <v>1</v>
      </c>
      <c r="DA3102" s="52">
        <f t="shared" ref="DA3102:DA3113" si="569">+IF(CW3102*CX3102=0,0,IF(CZ3102=0,0,1))</f>
        <v>0</v>
      </c>
      <c r="DB3102" s="140">
        <f t="shared" si="567"/>
        <v>0</v>
      </c>
      <c r="DS3102" s="130">
        <f>SI!BY3102</f>
        <v>121</v>
      </c>
      <c r="DZ3102" s="131">
        <f>SI!BZ3102</f>
        <v>0</v>
      </c>
    </row>
    <row r="3103" spans="1:130" ht="19.55" hidden="1" customHeight="1" x14ac:dyDescent="0.25">
      <c r="A3103" s="141"/>
      <c r="B3103" s="1065" t="s">
        <v>171</v>
      </c>
      <c r="C3103" s="1066"/>
      <c r="D3103" s="1066"/>
      <c r="E3103" s="1066"/>
      <c r="F3103" s="1066"/>
      <c r="G3103" s="1066"/>
      <c r="H3103" s="1066"/>
      <c r="I3103" s="1066"/>
      <c r="J3103" s="1066"/>
      <c r="K3103" s="1066"/>
      <c r="L3103" s="1066"/>
      <c r="M3103" s="1066"/>
      <c r="N3103" s="1066"/>
      <c r="O3103" s="1066"/>
      <c r="P3103" s="1066"/>
      <c r="Q3103" s="1066"/>
      <c r="R3103" s="1066"/>
      <c r="S3103" s="1066"/>
      <c r="T3103" s="1066"/>
      <c r="U3103" s="1066"/>
      <c r="V3103" s="1066"/>
      <c r="W3103" s="1066"/>
      <c r="X3103" s="1066"/>
      <c r="Y3103" s="1066"/>
      <c r="Z3103" s="1066"/>
      <c r="AA3103" s="1066"/>
      <c r="AB3103" s="1066"/>
      <c r="AC3103" s="1066"/>
      <c r="AD3103" s="1066"/>
      <c r="AE3103" s="1066"/>
      <c r="AF3103" s="1066"/>
      <c r="AG3103" s="1066"/>
      <c r="AH3103" s="1066"/>
      <c r="AI3103" s="1066"/>
      <c r="AJ3103" s="1066"/>
      <c r="AK3103" s="1066"/>
      <c r="AL3103" s="1066"/>
      <c r="AM3103" s="1066"/>
      <c r="AN3103" s="1066"/>
      <c r="AO3103" s="1066"/>
      <c r="AP3103" s="1066"/>
      <c r="AQ3103" s="1067"/>
      <c r="AR3103" s="1063">
        <f>+AJ141</f>
        <v>2021</v>
      </c>
      <c r="AS3103" s="1058"/>
      <c r="AT3103" s="1058"/>
      <c r="AU3103" s="1058"/>
      <c r="AV3103" s="1058"/>
      <c r="AW3103" s="1058"/>
      <c r="AX3103" s="1058"/>
      <c r="AY3103" s="1058"/>
      <c r="AZ3103" s="1058"/>
      <c r="BA3103" s="1058"/>
      <c r="BB3103" s="1058"/>
      <c r="BC3103" s="1058"/>
      <c r="BD3103" s="1058"/>
      <c r="BE3103" s="1058"/>
      <c r="BF3103" s="1058"/>
      <c r="BG3103" s="1058"/>
      <c r="BH3103" s="1058"/>
      <c r="BI3103" s="1059"/>
      <c r="BJ3103" s="1057">
        <f>+BE141</f>
        <v>2020</v>
      </c>
      <c r="BK3103" s="1058"/>
      <c r="BL3103" s="1058"/>
      <c r="BM3103" s="1058"/>
      <c r="BN3103" s="1058"/>
      <c r="BO3103" s="1058"/>
      <c r="BP3103" s="1058"/>
      <c r="BQ3103" s="1058"/>
      <c r="BR3103" s="1058"/>
      <c r="BS3103" s="1058"/>
      <c r="BT3103" s="1058"/>
      <c r="BU3103" s="1058"/>
      <c r="BV3103" s="1058"/>
      <c r="BW3103" s="1058"/>
      <c r="BX3103" s="1058"/>
      <c r="BY3103" s="1058"/>
      <c r="BZ3103" s="1059"/>
      <c r="CA3103" s="270"/>
      <c r="CB3103" s="3" t="str">
        <f t="shared" si="555"/>
        <v>Riadok bude skrytý.</v>
      </c>
      <c r="CC3103" s="271" t="s">
        <v>832</v>
      </c>
      <c r="CD3103" s="137"/>
      <c r="CE3103" s="137"/>
      <c r="CF3103" s="137"/>
      <c r="CG3103" s="137"/>
      <c r="CH3103" s="137"/>
      <c r="CI3103" s="137"/>
      <c r="CJ3103" s="137"/>
      <c r="CK3103" s="137"/>
      <c r="CL3103" s="137"/>
      <c r="CM3103" s="137"/>
      <c r="CN3103" s="137"/>
      <c r="CO3103" s="137"/>
      <c r="CW3103" s="30">
        <f t="shared" si="562"/>
        <v>0</v>
      </c>
      <c r="CX3103" s="30">
        <f t="shared" si="568"/>
        <v>1</v>
      </c>
      <c r="CZ3103" s="30">
        <f t="shared" si="558"/>
        <v>1</v>
      </c>
      <c r="DA3103" s="52">
        <f t="shared" si="569"/>
        <v>0</v>
      </c>
      <c r="DB3103" s="140">
        <f t="shared" si="567"/>
        <v>0</v>
      </c>
      <c r="DS3103" s="130">
        <f>SI!BY3103</f>
        <v>146</v>
      </c>
      <c r="DZ3103" s="131">
        <f>SI!BZ3103</f>
        <v>0</v>
      </c>
    </row>
    <row r="3104" spans="1:130" ht="19.55" hidden="1" customHeight="1" x14ac:dyDescent="0.25">
      <c r="A3104" s="141"/>
      <c r="B3104" s="1068"/>
      <c r="C3104" s="1069"/>
      <c r="D3104" s="1069"/>
      <c r="E3104" s="1069"/>
      <c r="F3104" s="1069"/>
      <c r="G3104" s="1069"/>
      <c r="H3104" s="1069"/>
      <c r="I3104" s="1069"/>
      <c r="J3104" s="1069"/>
      <c r="K3104" s="1069"/>
      <c r="L3104" s="1069"/>
      <c r="M3104" s="1069"/>
      <c r="N3104" s="1069"/>
      <c r="O3104" s="1069"/>
      <c r="P3104" s="1069"/>
      <c r="Q3104" s="1069"/>
      <c r="R3104" s="1069"/>
      <c r="S3104" s="1069"/>
      <c r="T3104" s="1069"/>
      <c r="U3104" s="1069"/>
      <c r="V3104" s="1069"/>
      <c r="W3104" s="1069"/>
      <c r="X3104" s="1069"/>
      <c r="Y3104" s="1069"/>
      <c r="Z3104" s="1069"/>
      <c r="AA3104" s="1069"/>
      <c r="AB3104" s="1069"/>
      <c r="AC3104" s="1069"/>
      <c r="AD3104" s="1069"/>
      <c r="AE3104" s="1069"/>
      <c r="AF3104" s="1069"/>
      <c r="AG3104" s="1069"/>
      <c r="AH3104" s="1069"/>
      <c r="AI3104" s="1069"/>
      <c r="AJ3104" s="1069"/>
      <c r="AK3104" s="1069"/>
      <c r="AL3104" s="1069"/>
      <c r="AM3104" s="1069"/>
      <c r="AN3104" s="1069"/>
      <c r="AO3104" s="1069"/>
      <c r="AP3104" s="1069"/>
      <c r="AQ3104" s="1070"/>
      <c r="AR3104" s="1064"/>
      <c r="AS3104" s="1061"/>
      <c r="AT3104" s="1061"/>
      <c r="AU3104" s="1061"/>
      <c r="AV3104" s="1061"/>
      <c r="AW3104" s="1061"/>
      <c r="AX3104" s="1061"/>
      <c r="AY3104" s="1061"/>
      <c r="AZ3104" s="1061"/>
      <c r="BA3104" s="1061"/>
      <c r="BB3104" s="1061"/>
      <c r="BC3104" s="1061"/>
      <c r="BD3104" s="1061"/>
      <c r="BE3104" s="1061"/>
      <c r="BF3104" s="1061"/>
      <c r="BG3104" s="1061"/>
      <c r="BH3104" s="1061"/>
      <c r="BI3104" s="1062"/>
      <c r="BJ3104" s="1060"/>
      <c r="BK3104" s="1061"/>
      <c r="BL3104" s="1061"/>
      <c r="BM3104" s="1061"/>
      <c r="BN3104" s="1061"/>
      <c r="BO3104" s="1061"/>
      <c r="BP3104" s="1061"/>
      <c r="BQ3104" s="1061"/>
      <c r="BR3104" s="1061"/>
      <c r="BS3104" s="1061"/>
      <c r="BT3104" s="1061"/>
      <c r="BU3104" s="1061"/>
      <c r="BV3104" s="1061"/>
      <c r="BW3104" s="1061"/>
      <c r="BX3104" s="1061"/>
      <c r="BY3104" s="1061"/>
      <c r="BZ3104" s="1062"/>
      <c r="CA3104" s="270"/>
      <c r="CB3104" s="3" t="str">
        <f t="shared" si="555"/>
        <v>Riadok bude skrytý.</v>
      </c>
      <c r="CC3104" s="271" t="s">
        <v>832</v>
      </c>
      <c r="CD3104" s="33"/>
      <c r="CW3104" s="30">
        <f t="shared" si="562"/>
        <v>0</v>
      </c>
      <c r="CX3104" s="30">
        <f t="shared" si="568"/>
        <v>1</v>
      </c>
      <c r="CZ3104" s="30">
        <f t="shared" si="558"/>
        <v>1</v>
      </c>
      <c r="DA3104" s="52">
        <f t="shared" si="569"/>
        <v>0</v>
      </c>
      <c r="DB3104" s="140">
        <f t="shared" si="567"/>
        <v>0</v>
      </c>
      <c r="DS3104" s="130">
        <f>SI!BY3104</f>
        <v>3</v>
      </c>
      <c r="DZ3104" s="131">
        <f>SI!BZ3104</f>
        <v>0</v>
      </c>
    </row>
    <row r="3105" spans="1:130" ht="14.95" hidden="1" customHeight="1" x14ac:dyDescent="0.25">
      <c r="A3105" s="141"/>
      <c r="B3105" s="2140" t="s">
        <v>388</v>
      </c>
      <c r="C3105" s="2141"/>
      <c r="D3105" s="2141"/>
      <c r="E3105" s="2141"/>
      <c r="F3105" s="2141"/>
      <c r="G3105" s="2141"/>
      <c r="H3105" s="2141"/>
      <c r="I3105" s="2141"/>
      <c r="J3105" s="2141"/>
      <c r="K3105" s="2141"/>
      <c r="L3105" s="2141"/>
      <c r="M3105" s="2141"/>
      <c r="N3105" s="2141"/>
      <c r="O3105" s="2141"/>
      <c r="P3105" s="2141"/>
      <c r="Q3105" s="2141"/>
      <c r="R3105" s="2141"/>
      <c r="S3105" s="2141"/>
      <c r="T3105" s="2141"/>
      <c r="U3105" s="2141"/>
      <c r="V3105" s="2141"/>
      <c r="W3105" s="2141"/>
      <c r="X3105" s="2141"/>
      <c r="Y3105" s="2141"/>
      <c r="Z3105" s="2141"/>
      <c r="AA3105" s="2141"/>
      <c r="AB3105" s="2141"/>
      <c r="AC3105" s="2141"/>
      <c r="AD3105" s="2141"/>
      <c r="AE3105" s="2141"/>
      <c r="AF3105" s="2141"/>
      <c r="AG3105" s="2141"/>
      <c r="AH3105" s="2141"/>
      <c r="AI3105" s="2141"/>
      <c r="AJ3105" s="2141"/>
      <c r="AK3105" s="2141"/>
      <c r="AL3105" s="2141"/>
      <c r="AM3105" s="2141"/>
      <c r="AN3105" s="2141"/>
      <c r="AO3105" s="2141"/>
      <c r="AP3105" s="2141"/>
      <c r="AQ3105" s="2142"/>
      <c r="AR3105" s="1054"/>
      <c r="AS3105" s="1055"/>
      <c r="AT3105" s="1055"/>
      <c r="AU3105" s="1055"/>
      <c r="AV3105" s="1055"/>
      <c r="AW3105" s="1055"/>
      <c r="AX3105" s="1055"/>
      <c r="AY3105" s="1055"/>
      <c r="AZ3105" s="1055"/>
      <c r="BA3105" s="1055"/>
      <c r="BB3105" s="1055"/>
      <c r="BC3105" s="1055"/>
      <c r="BD3105" s="1055"/>
      <c r="BE3105" s="1055"/>
      <c r="BF3105" s="1055"/>
      <c r="BG3105" s="1055"/>
      <c r="BH3105" s="1055"/>
      <c r="BI3105" s="1056"/>
      <c r="BJ3105" s="1132"/>
      <c r="BK3105" s="1055"/>
      <c r="BL3105" s="1055"/>
      <c r="BM3105" s="1055"/>
      <c r="BN3105" s="1055"/>
      <c r="BO3105" s="1055"/>
      <c r="BP3105" s="1055"/>
      <c r="BQ3105" s="1055"/>
      <c r="BR3105" s="1055"/>
      <c r="BS3105" s="1055"/>
      <c r="BT3105" s="1055"/>
      <c r="BU3105" s="1055"/>
      <c r="BV3105" s="1055"/>
      <c r="BW3105" s="1055"/>
      <c r="BX3105" s="1055"/>
      <c r="BY3105" s="1055"/>
      <c r="BZ3105" s="1056"/>
      <c r="CA3105" s="270"/>
      <c r="CB3105" s="3" t="str">
        <f t="shared" si="555"/>
        <v>Riadok bude skrytý.</v>
      </c>
      <c r="CC3105" s="271" t="s">
        <v>832</v>
      </c>
      <c r="CW3105" s="30">
        <f t="shared" si="562"/>
        <v>0</v>
      </c>
      <c r="CX3105" s="30">
        <f t="shared" si="568"/>
        <v>1</v>
      </c>
      <c r="CZ3105" s="30">
        <f t="shared" si="558"/>
        <v>1</v>
      </c>
      <c r="DA3105" s="52">
        <f t="shared" si="569"/>
        <v>0</v>
      </c>
      <c r="DB3105" s="140">
        <f t="shared" si="567"/>
        <v>0</v>
      </c>
      <c r="DS3105" s="130">
        <f>SI!BY3105</f>
        <v>186</v>
      </c>
      <c r="DZ3105" s="131">
        <f>SI!BZ3105</f>
        <v>0</v>
      </c>
    </row>
    <row r="3106" spans="1:130" ht="14.95" hidden="1" customHeight="1" x14ac:dyDescent="0.25">
      <c r="A3106" s="141"/>
      <c r="B3106" s="2132" t="s">
        <v>389</v>
      </c>
      <c r="C3106" s="2133"/>
      <c r="D3106" s="2133"/>
      <c r="E3106" s="2133"/>
      <c r="F3106" s="2133"/>
      <c r="G3106" s="2133"/>
      <c r="H3106" s="2133"/>
      <c r="I3106" s="2133"/>
      <c r="J3106" s="2133"/>
      <c r="K3106" s="2133"/>
      <c r="L3106" s="2133"/>
      <c r="M3106" s="2133"/>
      <c r="N3106" s="2133"/>
      <c r="O3106" s="2133"/>
      <c r="P3106" s="2133"/>
      <c r="Q3106" s="2133"/>
      <c r="R3106" s="2133"/>
      <c r="S3106" s="2133"/>
      <c r="T3106" s="2133"/>
      <c r="U3106" s="2133"/>
      <c r="V3106" s="2133"/>
      <c r="W3106" s="2133"/>
      <c r="X3106" s="2133"/>
      <c r="Y3106" s="2133"/>
      <c r="Z3106" s="2133"/>
      <c r="AA3106" s="2133"/>
      <c r="AB3106" s="2133"/>
      <c r="AC3106" s="2133"/>
      <c r="AD3106" s="2133"/>
      <c r="AE3106" s="2133"/>
      <c r="AF3106" s="2133"/>
      <c r="AG3106" s="2133"/>
      <c r="AH3106" s="2133"/>
      <c r="AI3106" s="2133"/>
      <c r="AJ3106" s="2133"/>
      <c r="AK3106" s="2133"/>
      <c r="AL3106" s="2133"/>
      <c r="AM3106" s="2133"/>
      <c r="AN3106" s="2133"/>
      <c r="AO3106" s="2133"/>
      <c r="AP3106" s="2133"/>
      <c r="AQ3106" s="2134"/>
      <c r="AR3106" s="363"/>
      <c r="AS3106" s="364"/>
      <c r="AT3106" s="364"/>
      <c r="AU3106" s="364"/>
      <c r="AV3106" s="364"/>
      <c r="AW3106" s="364"/>
      <c r="AX3106" s="364"/>
      <c r="AY3106" s="364"/>
      <c r="AZ3106" s="364"/>
      <c r="BA3106" s="364"/>
      <c r="BB3106" s="364"/>
      <c r="BC3106" s="364"/>
      <c r="BD3106" s="364"/>
      <c r="BE3106" s="364"/>
      <c r="BF3106" s="364"/>
      <c r="BG3106" s="364"/>
      <c r="BH3106" s="364"/>
      <c r="BI3106" s="387"/>
      <c r="BJ3106" s="386"/>
      <c r="BK3106" s="364"/>
      <c r="BL3106" s="364"/>
      <c r="BM3106" s="364"/>
      <c r="BN3106" s="364"/>
      <c r="BO3106" s="364"/>
      <c r="BP3106" s="364"/>
      <c r="BQ3106" s="364"/>
      <c r="BR3106" s="364"/>
      <c r="BS3106" s="364"/>
      <c r="BT3106" s="364"/>
      <c r="BU3106" s="364"/>
      <c r="BV3106" s="364"/>
      <c r="BW3106" s="364"/>
      <c r="BX3106" s="364"/>
      <c r="BY3106" s="364"/>
      <c r="BZ3106" s="387"/>
      <c r="CA3106" s="270"/>
      <c r="CB3106" s="3" t="str">
        <f t="shared" si="555"/>
        <v>Riadok bude skrytý.</v>
      </c>
      <c r="CC3106" s="271" t="s">
        <v>832</v>
      </c>
      <c r="CW3106" s="30">
        <f t="shared" si="562"/>
        <v>0</v>
      </c>
      <c r="CX3106" s="30">
        <f t="shared" si="568"/>
        <v>1</v>
      </c>
      <c r="CZ3106" s="30">
        <f t="shared" si="558"/>
        <v>1</v>
      </c>
      <c r="DA3106" s="52">
        <f t="shared" si="569"/>
        <v>0</v>
      </c>
      <c r="DB3106" s="140">
        <f t="shared" si="567"/>
        <v>0</v>
      </c>
      <c r="DS3106" s="130">
        <f>SI!BY3106</f>
        <v>170</v>
      </c>
      <c r="DZ3106" s="131">
        <f>SI!BZ3106</f>
        <v>0</v>
      </c>
    </row>
    <row r="3107" spans="1:130" ht="14.95" hidden="1" customHeight="1" x14ac:dyDescent="0.25">
      <c r="A3107" s="141"/>
      <c r="B3107" s="2132" t="s">
        <v>390</v>
      </c>
      <c r="C3107" s="2133"/>
      <c r="D3107" s="2133"/>
      <c r="E3107" s="2133"/>
      <c r="F3107" s="2133"/>
      <c r="G3107" s="2133"/>
      <c r="H3107" s="2133"/>
      <c r="I3107" s="2133"/>
      <c r="J3107" s="2133"/>
      <c r="K3107" s="2133"/>
      <c r="L3107" s="2133"/>
      <c r="M3107" s="2133"/>
      <c r="N3107" s="2133"/>
      <c r="O3107" s="2133"/>
      <c r="P3107" s="2133"/>
      <c r="Q3107" s="2133"/>
      <c r="R3107" s="2133"/>
      <c r="S3107" s="2133"/>
      <c r="T3107" s="2133"/>
      <c r="U3107" s="2133"/>
      <c r="V3107" s="2133"/>
      <c r="W3107" s="2133"/>
      <c r="X3107" s="2133"/>
      <c r="Y3107" s="2133"/>
      <c r="Z3107" s="2133"/>
      <c r="AA3107" s="2133"/>
      <c r="AB3107" s="2133"/>
      <c r="AC3107" s="2133"/>
      <c r="AD3107" s="2133"/>
      <c r="AE3107" s="2133"/>
      <c r="AF3107" s="2133"/>
      <c r="AG3107" s="2133"/>
      <c r="AH3107" s="2133"/>
      <c r="AI3107" s="2133"/>
      <c r="AJ3107" s="2133"/>
      <c r="AK3107" s="2133"/>
      <c r="AL3107" s="2133"/>
      <c r="AM3107" s="2133"/>
      <c r="AN3107" s="2133"/>
      <c r="AO3107" s="2133"/>
      <c r="AP3107" s="2133"/>
      <c r="AQ3107" s="2134"/>
      <c r="AR3107" s="363"/>
      <c r="AS3107" s="364"/>
      <c r="AT3107" s="364"/>
      <c r="AU3107" s="364"/>
      <c r="AV3107" s="364"/>
      <c r="AW3107" s="364"/>
      <c r="AX3107" s="364"/>
      <c r="AY3107" s="364"/>
      <c r="AZ3107" s="364"/>
      <c r="BA3107" s="364"/>
      <c r="BB3107" s="364"/>
      <c r="BC3107" s="364"/>
      <c r="BD3107" s="364"/>
      <c r="BE3107" s="364"/>
      <c r="BF3107" s="364"/>
      <c r="BG3107" s="364"/>
      <c r="BH3107" s="364"/>
      <c r="BI3107" s="387"/>
      <c r="BJ3107" s="386"/>
      <c r="BK3107" s="364"/>
      <c r="BL3107" s="364"/>
      <c r="BM3107" s="364"/>
      <c r="BN3107" s="364"/>
      <c r="BO3107" s="364"/>
      <c r="BP3107" s="364"/>
      <c r="BQ3107" s="364"/>
      <c r="BR3107" s="364"/>
      <c r="BS3107" s="364"/>
      <c r="BT3107" s="364"/>
      <c r="BU3107" s="364"/>
      <c r="BV3107" s="364"/>
      <c r="BW3107" s="364"/>
      <c r="BX3107" s="364"/>
      <c r="BY3107" s="364"/>
      <c r="BZ3107" s="387"/>
      <c r="CA3107" s="270"/>
      <c r="CB3107" s="3" t="str">
        <f t="shared" si="555"/>
        <v>Riadok bude skrytý.</v>
      </c>
      <c r="CC3107" s="271" t="s">
        <v>832</v>
      </c>
      <c r="CW3107" s="30">
        <f t="shared" si="562"/>
        <v>0</v>
      </c>
      <c r="CX3107" s="30">
        <f t="shared" si="568"/>
        <v>1</v>
      </c>
      <c r="CZ3107" s="30">
        <f t="shared" si="558"/>
        <v>1</v>
      </c>
      <c r="DA3107" s="52">
        <f t="shared" si="569"/>
        <v>0</v>
      </c>
      <c r="DB3107" s="140">
        <f t="shared" si="567"/>
        <v>0</v>
      </c>
      <c r="DS3107" s="130">
        <f>SI!BY3107</f>
        <v>428</v>
      </c>
      <c r="DZ3107" s="131">
        <f>SI!BZ3107</f>
        <v>0</v>
      </c>
    </row>
    <row r="3108" spans="1:130" ht="14.95" hidden="1" customHeight="1" x14ac:dyDescent="0.25">
      <c r="A3108" s="141"/>
      <c r="B3108" s="2132" t="s">
        <v>391</v>
      </c>
      <c r="C3108" s="2133"/>
      <c r="D3108" s="2133"/>
      <c r="E3108" s="2133"/>
      <c r="F3108" s="2133"/>
      <c r="G3108" s="2133"/>
      <c r="H3108" s="2133"/>
      <c r="I3108" s="2133"/>
      <c r="J3108" s="2133"/>
      <c r="K3108" s="2133"/>
      <c r="L3108" s="2133"/>
      <c r="M3108" s="2133"/>
      <c r="N3108" s="2133"/>
      <c r="O3108" s="2133"/>
      <c r="P3108" s="2133"/>
      <c r="Q3108" s="2133"/>
      <c r="R3108" s="2133"/>
      <c r="S3108" s="2133"/>
      <c r="T3108" s="2133"/>
      <c r="U3108" s="2133"/>
      <c r="V3108" s="2133"/>
      <c r="W3108" s="2133"/>
      <c r="X3108" s="2133"/>
      <c r="Y3108" s="2133"/>
      <c r="Z3108" s="2133"/>
      <c r="AA3108" s="2133"/>
      <c r="AB3108" s="2133"/>
      <c r="AC3108" s="2133"/>
      <c r="AD3108" s="2133"/>
      <c r="AE3108" s="2133"/>
      <c r="AF3108" s="2133"/>
      <c r="AG3108" s="2133"/>
      <c r="AH3108" s="2133"/>
      <c r="AI3108" s="2133"/>
      <c r="AJ3108" s="2133"/>
      <c r="AK3108" s="2133"/>
      <c r="AL3108" s="2133"/>
      <c r="AM3108" s="2133"/>
      <c r="AN3108" s="2133"/>
      <c r="AO3108" s="2133"/>
      <c r="AP3108" s="2133"/>
      <c r="AQ3108" s="2134"/>
      <c r="AR3108" s="363"/>
      <c r="AS3108" s="364"/>
      <c r="AT3108" s="364"/>
      <c r="AU3108" s="364"/>
      <c r="AV3108" s="364"/>
      <c r="AW3108" s="364"/>
      <c r="AX3108" s="364"/>
      <c r="AY3108" s="364"/>
      <c r="AZ3108" s="364"/>
      <c r="BA3108" s="364"/>
      <c r="BB3108" s="364"/>
      <c r="BC3108" s="364"/>
      <c r="BD3108" s="364"/>
      <c r="BE3108" s="364"/>
      <c r="BF3108" s="364"/>
      <c r="BG3108" s="364"/>
      <c r="BH3108" s="364"/>
      <c r="BI3108" s="387"/>
      <c r="BJ3108" s="386"/>
      <c r="BK3108" s="364"/>
      <c r="BL3108" s="364"/>
      <c r="BM3108" s="364"/>
      <c r="BN3108" s="364"/>
      <c r="BO3108" s="364"/>
      <c r="BP3108" s="364"/>
      <c r="BQ3108" s="364"/>
      <c r="BR3108" s="364"/>
      <c r="BS3108" s="364"/>
      <c r="BT3108" s="364"/>
      <c r="BU3108" s="364"/>
      <c r="BV3108" s="364"/>
      <c r="BW3108" s="364"/>
      <c r="BX3108" s="364"/>
      <c r="BY3108" s="364"/>
      <c r="BZ3108" s="387"/>
      <c r="CA3108" s="270"/>
      <c r="CB3108" s="3" t="str">
        <f t="shared" si="555"/>
        <v>Riadok bude skrytý.</v>
      </c>
      <c r="CC3108" s="271" t="s">
        <v>832</v>
      </c>
      <c r="CW3108" s="30">
        <f t="shared" si="562"/>
        <v>0</v>
      </c>
      <c r="CX3108" s="30">
        <f t="shared" si="568"/>
        <v>1</v>
      </c>
      <c r="CZ3108" s="30">
        <f t="shared" si="558"/>
        <v>1</v>
      </c>
      <c r="DA3108" s="52">
        <f t="shared" si="569"/>
        <v>0</v>
      </c>
      <c r="DB3108" s="140">
        <f t="shared" si="567"/>
        <v>0</v>
      </c>
      <c r="DS3108" s="130">
        <f>SI!BY3108</f>
        <v>131</v>
      </c>
      <c r="DZ3108" s="131">
        <f>SI!BZ3108</f>
        <v>0</v>
      </c>
    </row>
    <row r="3109" spans="1:130" ht="14.95" hidden="1" customHeight="1" x14ac:dyDescent="0.25">
      <c r="A3109" s="141"/>
      <c r="B3109" s="2132" t="s">
        <v>392</v>
      </c>
      <c r="C3109" s="2133"/>
      <c r="D3109" s="2133"/>
      <c r="E3109" s="2133"/>
      <c r="F3109" s="2133"/>
      <c r="G3109" s="2133"/>
      <c r="H3109" s="2133"/>
      <c r="I3109" s="2133"/>
      <c r="J3109" s="2133"/>
      <c r="K3109" s="2133"/>
      <c r="L3109" s="2133"/>
      <c r="M3109" s="2133"/>
      <c r="N3109" s="2133"/>
      <c r="O3109" s="2133"/>
      <c r="P3109" s="2133"/>
      <c r="Q3109" s="2133"/>
      <c r="R3109" s="2133"/>
      <c r="S3109" s="2133"/>
      <c r="T3109" s="2133"/>
      <c r="U3109" s="2133"/>
      <c r="V3109" s="2133"/>
      <c r="W3109" s="2133"/>
      <c r="X3109" s="2133"/>
      <c r="Y3109" s="2133"/>
      <c r="Z3109" s="2133"/>
      <c r="AA3109" s="2133"/>
      <c r="AB3109" s="2133"/>
      <c r="AC3109" s="2133"/>
      <c r="AD3109" s="2133"/>
      <c r="AE3109" s="2133"/>
      <c r="AF3109" s="2133"/>
      <c r="AG3109" s="2133"/>
      <c r="AH3109" s="2133"/>
      <c r="AI3109" s="2133"/>
      <c r="AJ3109" s="2133"/>
      <c r="AK3109" s="2133"/>
      <c r="AL3109" s="2133"/>
      <c r="AM3109" s="2133"/>
      <c r="AN3109" s="2133"/>
      <c r="AO3109" s="2133"/>
      <c r="AP3109" s="2133"/>
      <c r="AQ3109" s="2134"/>
      <c r="AR3109" s="363"/>
      <c r="AS3109" s="364"/>
      <c r="AT3109" s="364"/>
      <c r="AU3109" s="364"/>
      <c r="AV3109" s="364"/>
      <c r="AW3109" s="364"/>
      <c r="AX3109" s="364"/>
      <c r="AY3109" s="364"/>
      <c r="AZ3109" s="364"/>
      <c r="BA3109" s="364"/>
      <c r="BB3109" s="364"/>
      <c r="BC3109" s="364"/>
      <c r="BD3109" s="364"/>
      <c r="BE3109" s="364"/>
      <c r="BF3109" s="364"/>
      <c r="BG3109" s="364"/>
      <c r="BH3109" s="364"/>
      <c r="BI3109" s="387"/>
      <c r="BJ3109" s="386"/>
      <c r="BK3109" s="364"/>
      <c r="BL3109" s="364"/>
      <c r="BM3109" s="364"/>
      <c r="BN3109" s="364"/>
      <c r="BO3109" s="364"/>
      <c r="BP3109" s="364"/>
      <c r="BQ3109" s="364"/>
      <c r="BR3109" s="364"/>
      <c r="BS3109" s="364"/>
      <c r="BT3109" s="364"/>
      <c r="BU3109" s="364"/>
      <c r="BV3109" s="364"/>
      <c r="BW3109" s="364"/>
      <c r="BX3109" s="364"/>
      <c r="BY3109" s="364"/>
      <c r="BZ3109" s="387"/>
      <c r="CA3109" s="270"/>
      <c r="CB3109" s="3" t="str">
        <f t="shared" si="555"/>
        <v>Riadok bude skrytý.</v>
      </c>
      <c r="CC3109" s="271" t="s">
        <v>832</v>
      </c>
      <c r="CW3109" s="30">
        <f t="shared" si="562"/>
        <v>0</v>
      </c>
      <c r="CX3109" s="30">
        <f t="shared" si="568"/>
        <v>1</v>
      </c>
      <c r="CZ3109" s="30">
        <f t="shared" si="558"/>
        <v>1</v>
      </c>
      <c r="DA3109" s="52">
        <f t="shared" si="569"/>
        <v>0</v>
      </c>
      <c r="DB3109" s="140">
        <f t="shared" si="567"/>
        <v>0</v>
      </c>
      <c r="DS3109" s="130">
        <f>SI!BY3109</f>
        <v>114</v>
      </c>
      <c r="DZ3109" s="131">
        <f>SI!BZ3109</f>
        <v>0</v>
      </c>
    </row>
    <row r="3110" spans="1:130" ht="14.95" hidden="1" customHeight="1" x14ac:dyDescent="0.25">
      <c r="A3110" s="141"/>
      <c r="B3110" s="2132" t="s">
        <v>393</v>
      </c>
      <c r="C3110" s="2133"/>
      <c r="D3110" s="2133"/>
      <c r="E3110" s="2133"/>
      <c r="F3110" s="2133"/>
      <c r="G3110" s="2133"/>
      <c r="H3110" s="2133"/>
      <c r="I3110" s="2133"/>
      <c r="J3110" s="2133"/>
      <c r="K3110" s="2133"/>
      <c r="L3110" s="2133"/>
      <c r="M3110" s="2133"/>
      <c r="N3110" s="2133"/>
      <c r="O3110" s="2133"/>
      <c r="P3110" s="2133"/>
      <c r="Q3110" s="2133"/>
      <c r="R3110" s="2133"/>
      <c r="S3110" s="2133"/>
      <c r="T3110" s="2133"/>
      <c r="U3110" s="2133"/>
      <c r="V3110" s="2133"/>
      <c r="W3110" s="2133"/>
      <c r="X3110" s="2133"/>
      <c r="Y3110" s="2133"/>
      <c r="Z3110" s="2133"/>
      <c r="AA3110" s="2133"/>
      <c r="AB3110" s="2133"/>
      <c r="AC3110" s="2133"/>
      <c r="AD3110" s="2133"/>
      <c r="AE3110" s="2133"/>
      <c r="AF3110" s="2133"/>
      <c r="AG3110" s="2133"/>
      <c r="AH3110" s="2133"/>
      <c r="AI3110" s="2133"/>
      <c r="AJ3110" s="2133"/>
      <c r="AK3110" s="2133"/>
      <c r="AL3110" s="2133"/>
      <c r="AM3110" s="2133"/>
      <c r="AN3110" s="2133"/>
      <c r="AO3110" s="2133"/>
      <c r="AP3110" s="2133"/>
      <c r="AQ3110" s="2134"/>
      <c r="AR3110" s="363"/>
      <c r="AS3110" s="364"/>
      <c r="AT3110" s="364"/>
      <c r="AU3110" s="364"/>
      <c r="AV3110" s="364"/>
      <c r="AW3110" s="364"/>
      <c r="AX3110" s="364"/>
      <c r="AY3110" s="364"/>
      <c r="AZ3110" s="364"/>
      <c r="BA3110" s="364"/>
      <c r="BB3110" s="364"/>
      <c r="BC3110" s="364"/>
      <c r="BD3110" s="364"/>
      <c r="BE3110" s="364"/>
      <c r="BF3110" s="364"/>
      <c r="BG3110" s="364"/>
      <c r="BH3110" s="364"/>
      <c r="BI3110" s="387"/>
      <c r="BJ3110" s="386"/>
      <c r="BK3110" s="364"/>
      <c r="BL3110" s="364"/>
      <c r="BM3110" s="364"/>
      <c r="BN3110" s="364"/>
      <c r="BO3110" s="364"/>
      <c r="BP3110" s="364"/>
      <c r="BQ3110" s="364"/>
      <c r="BR3110" s="364"/>
      <c r="BS3110" s="364"/>
      <c r="BT3110" s="364"/>
      <c r="BU3110" s="364"/>
      <c r="BV3110" s="364"/>
      <c r="BW3110" s="364"/>
      <c r="BX3110" s="364"/>
      <c r="BY3110" s="364"/>
      <c r="BZ3110" s="387"/>
      <c r="CA3110" s="270"/>
      <c r="CB3110" s="3" t="str">
        <f t="shared" si="555"/>
        <v>Riadok bude skrytý.</v>
      </c>
      <c r="CC3110" s="271" t="s">
        <v>832</v>
      </c>
      <c r="CW3110" s="30">
        <f t="shared" si="562"/>
        <v>0</v>
      </c>
      <c r="CX3110" s="30">
        <f t="shared" si="568"/>
        <v>1</v>
      </c>
      <c r="CZ3110" s="30">
        <f t="shared" si="558"/>
        <v>1</v>
      </c>
      <c r="DA3110" s="52">
        <f t="shared" si="569"/>
        <v>0</v>
      </c>
      <c r="DB3110" s="140">
        <f t="shared" si="567"/>
        <v>0</v>
      </c>
      <c r="DS3110" s="130">
        <f>SI!BY3110</f>
        <v>153</v>
      </c>
      <c r="DZ3110" s="131">
        <f>SI!BZ3110</f>
        <v>0</v>
      </c>
    </row>
    <row r="3111" spans="1:130" ht="14.95" hidden="1" customHeight="1" x14ac:dyDescent="0.25">
      <c r="A3111" s="141"/>
      <c r="B3111" s="2132" t="s">
        <v>394</v>
      </c>
      <c r="C3111" s="2133"/>
      <c r="D3111" s="2133"/>
      <c r="E3111" s="2133"/>
      <c r="F3111" s="2133"/>
      <c r="G3111" s="2133"/>
      <c r="H3111" s="2133"/>
      <c r="I3111" s="2133"/>
      <c r="J3111" s="2133"/>
      <c r="K3111" s="2133"/>
      <c r="L3111" s="2133"/>
      <c r="M3111" s="2133"/>
      <c r="N3111" s="2133"/>
      <c r="O3111" s="2133"/>
      <c r="P3111" s="2133"/>
      <c r="Q3111" s="2133"/>
      <c r="R3111" s="2133"/>
      <c r="S3111" s="2133"/>
      <c r="T3111" s="2133"/>
      <c r="U3111" s="2133"/>
      <c r="V3111" s="2133"/>
      <c r="W3111" s="2133"/>
      <c r="X3111" s="2133"/>
      <c r="Y3111" s="2133"/>
      <c r="Z3111" s="2133"/>
      <c r="AA3111" s="2133"/>
      <c r="AB3111" s="2133"/>
      <c r="AC3111" s="2133"/>
      <c r="AD3111" s="2133"/>
      <c r="AE3111" s="2133"/>
      <c r="AF3111" s="2133"/>
      <c r="AG3111" s="2133"/>
      <c r="AH3111" s="2133"/>
      <c r="AI3111" s="2133"/>
      <c r="AJ3111" s="2133"/>
      <c r="AK3111" s="2133"/>
      <c r="AL3111" s="2133"/>
      <c r="AM3111" s="2133"/>
      <c r="AN3111" s="2133"/>
      <c r="AO3111" s="2133"/>
      <c r="AP3111" s="2133"/>
      <c r="AQ3111" s="2134"/>
      <c r="AR3111" s="363"/>
      <c r="AS3111" s="364"/>
      <c r="AT3111" s="364"/>
      <c r="AU3111" s="364"/>
      <c r="AV3111" s="364"/>
      <c r="AW3111" s="364"/>
      <c r="AX3111" s="364"/>
      <c r="AY3111" s="364"/>
      <c r="AZ3111" s="364"/>
      <c r="BA3111" s="364"/>
      <c r="BB3111" s="364"/>
      <c r="BC3111" s="364"/>
      <c r="BD3111" s="364"/>
      <c r="BE3111" s="364"/>
      <c r="BF3111" s="364"/>
      <c r="BG3111" s="364"/>
      <c r="BH3111" s="364"/>
      <c r="BI3111" s="387"/>
      <c r="BJ3111" s="386"/>
      <c r="BK3111" s="364"/>
      <c r="BL3111" s="364"/>
      <c r="BM3111" s="364"/>
      <c r="BN3111" s="364"/>
      <c r="BO3111" s="364"/>
      <c r="BP3111" s="364"/>
      <c r="BQ3111" s="364"/>
      <c r="BR3111" s="364"/>
      <c r="BS3111" s="364"/>
      <c r="BT3111" s="364"/>
      <c r="BU3111" s="364"/>
      <c r="BV3111" s="364"/>
      <c r="BW3111" s="364"/>
      <c r="BX3111" s="364"/>
      <c r="BY3111" s="364"/>
      <c r="BZ3111" s="387"/>
      <c r="CA3111" s="270"/>
      <c r="CB3111" s="3" t="str">
        <f t="shared" si="555"/>
        <v>Riadok bude skrytý.</v>
      </c>
      <c r="CC3111" s="271" t="s">
        <v>832</v>
      </c>
      <c r="CW3111" s="30">
        <f t="shared" si="562"/>
        <v>0</v>
      </c>
      <c r="CX3111" s="30">
        <f t="shared" si="568"/>
        <v>1</v>
      </c>
      <c r="CZ3111" s="30">
        <f t="shared" si="558"/>
        <v>1</v>
      </c>
      <c r="DA3111" s="52">
        <f t="shared" si="569"/>
        <v>0</v>
      </c>
      <c r="DB3111" s="140">
        <f t="shared" si="567"/>
        <v>0</v>
      </c>
      <c r="DS3111" s="130">
        <f>SI!BY3111</f>
        <v>154</v>
      </c>
      <c r="DZ3111" s="131">
        <f>SI!BZ3111</f>
        <v>0</v>
      </c>
    </row>
    <row r="3112" spans="1:130" ht="14.95" hidden="1" customHeight="1" x14ac:dyDescent="0.25">
      <c r="A3112" s="141"/>
      <c r="B3112" s="2132" t="s">
        <v>395</v>
      </c>
      <c r="C3112" s="2133"/>
      <c r="D3112" s="2133"/>
      <c r="E3112" s="2133"/>
      <c r="F3112" s="2133"/>
      <c r="G3112" s="2133"/>
      <c r="H3112" s="2133"/>
      <c r="I3112" s="2133"/>
      <c r="J3112" s="2133"/>
      <c r="K3112" s="2133"/>
      <c r="L3112" s="2133"/>
      <c r="M3112" s="2133"/>
      <c r="N3112" s="2133"/>
      <c r="O3112" s="2133"/>
      <c r="P3112" s="2133"/>
      <c r="Q3112" s="2133"/>
      <c r="R3112" s="2133"/>
      <c r="S3112" s="2133"/>
      <c r="T3112" s="2133"/>
      <c r="U3112" s="2133"/>
      <c r="V3112" s="2133"/>
      <c r="W3112" s="2133"/>
      <c r="X3112" s="2133"/>
      <c r="Y3112" s="2133"/>
      <c r="Z3112" s="2133"/>
      <c r="AA3112" s="2133"/>
      <c r="AB3112" s="2133"/>
      <c r="AC3112" s="2133"/>
      <c r="AD3112" s="2133"/>
      <c r="AE3112" s="2133"/>
      <c r="AF3112" s="2133"/>
      <c r="AG3112" s="2133"/>
      <c r="AH3112" s="2133"/>
      <c r="AI3112" s="2133"/>
      <c r="AJ3112" s="2133"/>
      <c r="AK3112" s="2133"/>
      <c r="AL3112" s="2133"/>
      <c r="AM3112" s="2133"/>
      <c r="AN3112" s="2133"/>
      <c r="AO3112" s="2133"/>
      <c r="AP3112" s="2133"/>
      <c r="AQ3112" s="2134"/>
      <c r="AR3112" s="363"/>
      <c r="AS3112" s="364"/>
      <c r="AT3112" s="364"/>
      <c r="AU3112" s="364"/>
      <c r="AV3112" s="364"/>
      <c r="AW3112" s="364"/>
      <c r="AX3112" s="364"/>
      <c r="AY3112" s="364"/>
      <c r="AZ3112" s="364"/>
      <c r="BA3112" s="364"/>
      <c r="BB3112" s="364"/>
      <c r="BC3112" s="364"/>
      <c r="BD3112" s="364"/>
      <c r="BE3112" s="364"/>
      <c r="BF3112" s="364"/>
      <c r="BG3112" s="364"/>
      <c r="BH3112" s="364"/>
      <c r="BI3112" s="387"/>
      <c r="BJ3112" s="386"/>
      <c r="BK3112" s="364"/>
      <c r="BL3112" s="364"/>
      <c r="BM3112" s="364"/>
      <c r="BN3112" s="364"/>
      <c r="BO3112" s="364"/>
      <c r="BP3112" s="364"/>
      <c r="BQ3112" s="364"/>
      <c r="BR3112" s="364"/>
      <c r="BS3112" s="364"/>
      <c r="BT3112" s="364"/>
      <c r="BU3112" s="364"/>
      <c r="BV3112" s="364"/>
      <c r="BW3112" s="364"/>
      <c r="BX3112" s="364"/>
      <c r="BY3112" s="364"/>
      <c r="BZ3112" s="387"/>
      <c r="CA3112" s="270"/>
      <c r="CB3112" s="3" t="str">
        <f t="shared" si="555"/>
        <v>Riadok bude skrytý.</v>
      </c>
      <c r="CC3112" s="271" t="s">
        <v>832</v>
      </c>
      <c r="CW3112" s="30">
        <f t="shared" si="562"/>
        <v>0</v>
      </c>
      <c r="CX3112" s="30">
        <f t="shared" si="568"/>
        <v>1</v>
      </c>
      <c r="CZ3112" s="30">
        <f t="shared" si="558"/>
        <v>1</v>
      </c>
      <c r="DA3112" s="52">
        <f t="shared" si="569"/>
        <v>0</v>
      </c>
      <c r="DB3112" s="140">
        <f t="shared" si="567"/>
        <v>0</v>
      </c>
      <c r="DS3112" s="130">
        <f>SI!BY3112</f>
        <v>108</v>
      </c>
      <c r="DZ3112" s="131">
        <f>SI!BZ3112</f>
        <v>0</v>
      </c>
    </row>
    <row r="3113" spans="1:130" ht="14.95" hidden="1" customHeight="1" thickBot="1" x14ac:dyDescent="0.25">
      <c r="A3113" s="141"/>
      <c r="B3113" s="2173" t="s">
        <v>396</v>
      </c>
      <c r="C3113" s="2174"/>
      <c r="D3113" s="2174"/>
      <c r="E3113" s="2174"/>
      <c r="F3113" s="2174"/>
      <c r="G3113" s="2174"/>
      <c r="H3113" s="2174"/>
      <c r="I3113" s="2174"/>
      <c r="J3113" s="2174"/>
      <c r="K3113" s="2174"/>
      <c r="L3113" s="2174"/>
      <c r="M3113" s="2174"/>
      <c r="N3113" s="2174"/>
      <c r="O3113" s="2174"/>
      <c r="P3113" s="2174"/>
      <c r="Q3113" s="2174"/>
      <c r="R3113" s="2174"/>
      <c r="S3113" s="2174"/>
      <c r="T3113" s="2174"/>
      <c r="U3113" s="2174"/>
      <c r="V3113" s="2174"/>
      <c r="W3113" s="2174"/>
      <c r="X3113" s="2174"/>
      <c r="Y3113" s="2174"/>
      <c r="Z3113" s="2174"/>
      <c r="AA3113" s="2174"/>
      <c r="AB3113" s="2174"/>
      <c r="AC3113" s="2174"/>
      <c r="AD3113" s="2174"/>
      <c r="AE3113" s="2174"/>
      <c r="AF3113" s="2174"/>
      <c r="AG3113" s="2174"/>
      <c r="AH3113" s="2174"/>
      <c r="AI3113" s="2174"/>
      <c r="AJ3113" s="2174"/>
      <c r="AK3113" s="2174"/>
      <c r="AL3113" s="2174"/>
      <c r="AM3113" s="2174"/>
      <c r="AN3113" s="2174"/>
      <c r="AO3113" s="2174"/>
      <c r="AP3113" s="2174"/>
      <c r="AQ3113" s="2175"/>
      <c r="AR3113" s="367"/>
      <c r="AS3113" s="368"/>
      <c r="AT3113" s="368"/>
      <c r="AU3113" s="368"/>
      <c r="AV3113" s="368"/>
      <c r="AW3113" s="368"/>
      <c r="AX3113" s="368"/>
      <c r="AY3113" s="368"/>
      <c r="AZ3113" s="368"/>
      <c r="BA3113" s="368"/>
      <c r="BB3113" s="368"/>
      <c r="BC3113" s="368"/>
      <c r="BD3113" s="368"/>
      <c r="BE3113" s="368"/>
      <c r="BF3113" s="368"/>
      <c r="BG3113" s="368"/>
      <c r="BH3113" s="368"/>
      <c r="BI3113" s="438"/>
      <c r="BJ3113" s="457"/>
      <c r="BK3113" s="368"/>
      <c r="BL3113" s="368"/>
      <c r="BM3113" s="368"/>
      <c r="BN3113" s="368"/>
      <c r="BO3113" s="368"/>
      <c r="BP3113" s="368"/>
      <c r="BQ3113" s="368"/>
      <c r="BR3113" s="368"/>
      <c r="BS3113" s="368"/>
      <c r="BT3113" s="368"/>
      <c r="BU3113" s="368"/>
      <c r="BV3113" s="368"/>
      <c r="BW3113" s="368"/>
      <c r="BX3113" s="368"/>
      <c r="BY3113" s="368"/>
      <c r="BZ3113" s="438"/>
      <c r="CA3113" s="270"/>
      <c r="CB3113" s="3" t="str">
        <f t="shared" si="555"/>
        <v>Riadok bude skrytý.</v>
      </c>
      <c r="CC3113" s="271" t="s">
        <v>832</v>
      </c>
      <c r="CW3113" s="30">
        <f t="shared" si="562"/>
        <v>0</v>
      </c>
      <c r="CX3113" s="30">
        <f t="shared" si="568"/>
        <v>1</v>
      </c>
      <c r="CZ3113" s="30">
        <f t="shared" si="558"/>
        <v>1</v>
      </c>
      <c r="DA3113" s="52">
        <f t="shared" si="569"/>
        <v>0</v>
      </c>
      <c r="DB3113" s="140">
        <f t="shared" si="567"/>
        <v>0</v>
      </c>
      <c r="DS3113" s="130">
        <f>SI!BY3113</f>
        <v>101</v>
      </c>
      <c r="DZ3113" s="131">
        <f>SI!BZ3113</f>
        <v>0</v>
      </c>
    </row>
    <row r="3114" spans="1:130" x14ac:dyDescent="0.25">
      <c r="A3114" s="141"/>
      <c r="CA3114" s="142"/>
      <c r="CB3114" s="3" t="str">
        <f t="shared" si="555"/>
        <v>Riadok bude vidieť.</v>
      </c>
      <c r="CW3114" s="49">
        <v>1</v>
      </c>
      <c r="CZ3114" s="30">
        <f t="shared" si="558"/>
        <v>1</v>
      </c>
      <c r="DA3114" s="30">
        <f>+IF(CW3114+CX3114+CY3114=0,0,IF(CZ3114=0,0,1))</f>
        <v>1</v>
      </c>
      <c r="DB3114" s="140">
        <f t="shared" si="567"/>
        <v>1</v>
      </c>
      <c r="DS3114" s="130">
        <f>SI!BY3114</f>
        <v>105</v>
      </c>
      <c r="DZ3114" s="131">
        <f>SI!BZ3114</f>
        <v>0</v>
      </c>
    </row>
    <row r="3115" spans="1:130" ht="17" hidden="1" thickBot="1" x14ac:dyDescent="0.35">
      <c r="A3115" s="141"/>
      <c r="B3115" s="21"/>
      <c r="C3115" s="268"/>
      <c r="D3115" s="268"/>
      <c r="E3115" s="22" t="s">
        <v>397</v>
      </c>
      <c r="F3115" s="268"/>
      <c r="G3115" s="125"/>
      <c r="H3115" s="22"/>
      <c r="I3115" s="268"/>
      <c r="J3115" s="268"/>
      <c r="K3115" s="268"/>
      <c r="L3115" s="268"/>
      <c r="M3115" s="268"/>
      <c r="N3115" s="268"/>
      <c r="O3115" s="268"/>
      <c r="P3115" s="268"/>
      <c r="Q3115" s="268"/>
      <c r="R3115" s="268"/>
      <c r="S3115" s="268"/>
      <c r="T3115" s="268"/>
      <c r="U3115" s="268"/>
      <c r="V3115" s="268"/>
      <c r="W3115" s="268"/>
      <c r="X3115" s="268"/>
      <c r="Y3115" s="268"/>
      <c r="Z3115" s="268"/>
      <c r="AA3115" s="268"/>
      <c r="AB3115" s="268"/>
      <c r="AC3115" s="268"/>
      <c r="AD3115" s="268"/>
      <c r="AE3115" s="268"/>
      <c r="AF3115" s="268"/>
      <c r="AG3115" s="268"/>
      <c r="AH3115" s="268"/>
      <c r="AI3115" s="268"/>
      <c r="AJ3115" s="268"/>
      <c r="AK3115" s="276"/>
      <c r="AL3115" s="276"/>
      <c r="AM3115" s="276"/>
      <c r="AN3115" s="276"/>
      <c r="AO3115" s="276"/>
      <c r="AP3115" s="276"/>
      <c r="AQ3115" s="276"/>
      <c r="AR3115" s="276"/>
      <c r="AS3115" s="276"/>
      <c r="AT3115" s="276"/>
      <c r="AU3115" s="276"/>
      <c r="AV3115" s="276"/>
      <c r="AW3115" s="276"/>
      <c r="AX3115" s="276"/>
      <c r="AY3115" s="276"/>
      <c r="AZ3115" s="276"/>
      <c r="BA3115" s="276"/>
      <c r="BB3115" s="276"/>
      <c r="BC3115" s="276"/>
      <c r="BD3115" s="932" t="str">
        <f>+SI!J2</f>
        <v>Resumo s.r.o.</v>
      </c>
      <c r="BE3115" s="932"/>
      <c r="BF3115" s="932"/>
      <c r="BG3115" s="932"/>
      <c r="BH3115" s="932"/>
      <c r="BI3115" s="932"/>
      <c r="BJ3115" s="932"/>
      <c r="BK3115" s="932"/>
      <c r="BL3115" s="932"/>
      <c r="BM3115" s="932"/>
      <c r="BN3115" s="932"/>
      <c r="BO3115" s="932"/>
      <c r="BP3115" s="932"/>
      <c r="BQ3115" s="932"/>
      <c r="BR3115" s="932"/>
      <c r="BS3115" s="932"/>
      <c r="BT3115" s="932"/>
      <c r="BU3115" s="932"/>
      <c r="BV3115" s="932"/>
      <c r="BW3115" s="932"/>
      <c r="BX3115" s="932"/>
      <c r="BY3115" s="932"/>
      <c r="BZ3115" s="933"/>
      <c r="CA3115" s="265" t="s">
        <v>773</v>
      </c>
      <c r="CB3115" s="3" t="str">
        <f t="shared" si="555"/>
        <v>Riadok bude skrytý.</v>
      </c>
      <c r="CW3115" s="49">
        <v>1</v>
      </c>
      <c r="CZ3115" s="30">
        <f t="shared" si="558"/>
        <v>1</v>
      </c>
      <c r="DA3115" s="30">
        <f>+IF(CW3115+CX3115+CY3115=0,0,IF(CZ3115=0,0,1))</f>
        <v>1</v>
      </c>
      <c r="DB3115" s="2">
        <f>+IF($CD$1="malé",0,DA3115)</f>
        <v>0</v>
      </c>
      <c r="DS3115" s="130">
        <f>SI!BY3115</f>
        <v>856</v>
      </c>
      <c r="DZ3115" s="131">
        <f>SI!BZ3115</f>
        <v>0</v>
      </c>
    </row>
    <row r="3116" spans="1:130" hidden="1" x14ac:dyDescent="0.25">
      <c r="A3116" s="141"/>
      <c r="CA3116" s="142"/>
      <c r="CB3116" s="3" t="str">
        <f t="shared" si="555"/>
        <v>Riadok bude skrytý.</v>
      </c>
      <c r="CW3116" s="49">
        <v>1</v>
      </c>
      <c r="CZ3116" s="30">
        <f t="shared" si="558"/>
        <v>1</v>
      </c>
      <c r="DA3116" s="30">
        <f>+IF(CW3116+CX3116+CY3116=0,0,IF(CZ3116=0,0,1))</f>
        <v>1</v>
      </c>
      <c r="DB3116" s="2">
        <f>+IF($CD$1="malé",0,DA3116)</f>
        <v>0</v>
      </c>
      <c r="DS3116" s="130">
        <f>SI!BY3116</f>
        <v>113</v>
      </c>
      <c r="DZ3116" s="131">
        <f>SI!BZ3116</f>
        <v>0</v>
      </c>
    </row>
    <row r="3117" spans="1:130" x14ac:dyDescent="0.25">
      <c r="A3117" s="141"/>
      <c r="B3117" s="137" t="s">
        <v>208</v>
      </c>
      <c r="J3117" s="378" t="s">
        <v>1063</v>
      </c>
      <c r="K3117" s="378"/>
      <c r="L3117" s="378"/>
      <c r="M3117" s="378"/>
      <c r="N3117" s="378"/>
      <c r="O3117" s="378"/>
      <c r="P3117" s="378"/>
      <c r="Q3117" s="378"/>
      <c r="R3117" s="378"/>
      <c r="S3117" s="137" t="str">
        <f>+IF($U$52&lt;&gt;"",IF((ROUNDDOWN(CODE(MID($U$52,1,1)),0)-(BIN2DEC(1010)/10))*0+(LEN(SI!J2)+LEN(SI!J5))=DS3117,"iné aktíva a pasíva.","NEPOVOLENÉ POUŽITIE!"),"NEPOVOLENÉ POUŽITIE!")</f>
        <v>iné aktíva a pasíva.</v>
      </c>
      <c r="T3117" s="38"/>
      <c r="CA3117" s="142"/>
      <c r="CB3117" s="3" t="str">
        <f t="shared" si="555"/>
        <v>Riadok bude vidieť.</v>
      </c>
      <c r="CC3117" s="271" t="s">
        <v>832</v>
      </c>
      <c r="CF3117" s="13"/>
      <c r="CW3117" s="49">
        <v>1</v>
      </c>
      <c r="CZ3117" s="30">
        <f t="shared" si="558"/>
        <v>1</v>
      </c>
      <c r="DA3117" s="30">
        <f>+IF(CW3117+CX3117+CY3117=0,0,IF(CZ3117=0,0,1))</f>
        <v>1</v>
      </c>
      <c r="DB3117" s="140">
        <f t="shared" ref="DB3117:DB3138" si="570">+DA3117</f>
        <v>1</v>
      </c>
      <c r="DS3117" s="130">
        <f>SI!BY3117</f>
        <v>28</v>
      </c>
      <c r="DZ3117" s="131">
        <f>SI!BZ3117</f>
        <v>0</v>
      </c>
    </row>
    <row r="3118" spans="1:130" x14ac:dyDescent="0.25">
      <c r="A3118" s="141"/>
      <c r="B3118" s="137" t="str">
        <f>+IF($I$52&lt;&gt;"",IF((ROUNDDOWN(CODE(MID($I$52,1,1))*3,0)+DAY(36167))*0+(2*LEN(SI!J3))=DS3118,IF(J3117="eviduje","K iným aktívam a pasívam  Spoločnosť uvádza:","Spoločnosť nemá pre túto časť poznámok obsahovú náplň."),"NEPOVOLENÉ POUŽITIE!"),"NEPOVOLENÉ POUŽITIE!")</f>
        <v>Spoločnosť nemá pre túto časť poznámok obsahovú náplň.</v>
      </c>
      <c r="CA3118" s="270"/>
      <c r="CB3118" s="3" t="str">
        <f t="shared" si="555"/>
        <v>Riadok bude vidieť.</v>
      </c>
      <c r="CC3118" s="271" t="s">
        <v>832</v>
      </c>
      <c r="CW3118" s="30">
        <f>+IF($J$3117="neeviduje",1,1)</f>
        <v>1</v>
      </c>
      <c r="CZ3118" s="30">
        <f t="shared" si="558"/>
        <v>1</v>
      </c>
      <c r="DA3118" s="30">
        <f>+IF(CW3118+CX3118+CY3118=0,0,IF(CZ3118=0,0,1))</f>
        <v>1</v>
      </c>
      <c r="DB3118" s="140">
        <f t="shared" si="570"/>
        <v>1</v>
      </c>
      <c r="DS3118" s="130">
        <f>SI!BY3118</f>
        <v>10</v>
      </c>
      <c r="DZ3118" s="131">
        <f>SI!BZ3118</f>
        <v>0</v>
      </c>
    </row>
    <row r="3119" spans="1:130" hidden="1" x14ac:dyDescent="0.25">
      <c r="A3119" s="141"/>
      <c r="B3119" s="379"/>
      <c r="C3119" s="379"/>
      <c r="D3119" s="379"/>
      <c r="E3119" s="379"/>
      <c r="F3119" s="379"/>
      <c r="G3119" s="379"/>
      <c r="H3119" s="379"/>
      <c r="I3119" s="379"/>
      <c r="J3119" s="379"/>
      <c r="K3119" s="379"/>
      <c r="L3119" s="379"/>
      <c r="M3119" s="379"/>
      <c r="N3119" s="379"/>
      <c r="O3119" s="379"/>
      <c r="P3119" s="379"/>
      <c r="Q3119" s="379"/>
      <c r="R3119" s="379"/>
      <c r="S3119" s="379"/>
      <c r="T3119" s="379"/>
      <c r="U3119" s="379"/>
      <c r="V3119" s="379"/>
      <c r="W3119" s="379"/>
      <c r="X3119" s="379"/>
      <c r="Y3119" s="379"/>
      <c r="Z3119" s="379"/>
      <c r="AA3119" s="379"/>
      <c r="AB3119" s="379"/>
      <c r="AC3119" s="379"/>
      <c r="AD3119" s="379"/>
      <c r="AE3119" s="379"/>
      <c r="AF3119" s="379"/>
      <c r="AG3119" s="379"/>
      <c r="AH3119" s="379"/>
      <c r="AI3119" s="379"/>
      <c r="AJ3119" s="379"/>
      <c r="AK3119" s="379"/>
      <c r="AL3119" s="379"/>
      <c r="AM3119" s="379"/>
      <c r="AN3119" s="379"/>
      <c r="AO3119" s="379"/>
      <c r="AP3119" s="379"/>
      <c r="AQ3119" s="379"/>
      <c r="AR3119" s="379"/>
      <c r="AS3119" s="379"/>
      <c r="AT3119" s="379"/>
      <c r="AU3119" s="379"/>
      <c r="AV3119" s="379"/>
      <c r="AW3119" s="379"/>
      <c r="AX3119" s="379"/>
      <c r="AY3119" s="379"/>
      <c r="AZ3119" s="379"/>
      <c r="BA3119" s="379"/>
      <c r="BB3119" s="379"/>
      <c r="BC3119" s="379"/>
      <c r="BD3119" s="379"/>
      <c r="BE3119" s="379"/>
      <c r="BF3119" s="379"/>
      <c r="BG3119" s="379"/>
      <c r="BH3119" s="379"/>
      <c r="BI3119" s="379"/>
      <c r="BJ3119" s="379"/>
      <c r="BK3119" s="379"/>
      <c r="BL3119" s="379"/>
      <c r="BM3119" s="379"/>
      <c r="BN3119" s="379"/>
      <c r="BO3119" s="379"/>
      <c r="BP3119" s="379"/>
      <c r="BQ3119" s="379"/>
      <c r="BR3119" s="379"/>
      <c r="BS3119" s="379"/>
      <c r="BT3119" s="379"/>
      <c r="BU3119" s="379"/>
      <c r="BV3119" s="379"/>
      <c r="BW3119" s="379"/>
      <c r="BX3119" s="379"/>
      <c r="BY3119" s="379"/>
      <c r="BZ3119" s="379"/>
      <c r="CA3119" s="281"/>
      <c r="CB3119" s="3" t="str">
        <f t="shared" si="555"/>
        <v>Riadok bude skrytý.</v>
      </c>
      <c r="CC3119" s="271" t="s">
        <v>832</v>
      </c>
      <c r="CW3119" s="30">
        <f t="shared" ref="CW3119:CW3150" si="571">+IF($J$3117="neeviduje",0,1)</f>
        <v>0</v>
      </c>
      <c r="CX3119" s="30">
        <f t="shared" ref="CX3119:CX3138" si="572">+IF(B3119="",0,1)</f>
        <v>0</v>
      </c>
      <c r="CZ3119" s="30">
        <f t="shared" si="558"/>
        <v>1</v>
      </c>
      <c r="DA3119" s="52">
        <f t="shared" ref="DA3119:DA3138" si="573">+IF(CW3119*CX3119=0,0,IF(CZ3119=0,0,1))</f>
        <v>0</v>
      </c>
      <c r="DB3119" s="140">
        <f t="shared" si="570"/>
        <v>0</v>
      </c>
      <c r="DS3119" s="130">
        <f>SI!BY3119</f>
        <v>419</v>
      </c>
      <c r="DZ3119" s="131">
        <f>SI!BZ3119</f>
        <v>0</v>
      </c>
    </row>
    <row r="3120" spans="1:130" hidden="1" x14ac:dyDescent="0.25">
      <c r="A3120" s="141"/>
      <c r="B3120" s="379"/>
      <c r="C3120" s="379"/>
      <c r="D3120" s="379"/>
      <c r="E3120" s="379"/>
      <c r="F3120" s="379"/>
      <c r="G3120" s="379"/>
      <c r="H3120" s="379"/>
      <c r="I3120" s="379"/>
      <c r="J3120" s="379"/>
      <c r="K3120" s="379"/>
      <c r="L3120" s="379"/>
      <c r="M3120" s="379"/>
      <c r="N3120" s="379"/>
      <c r="O3120" s="379"/>
      <c r="P3120" s="379"/>
      <c r="Q3120" s="379"/>
      <c r="R3120" s="379"/>
      <c r="S3120" s="379"/>
      <c r="T3120" s="379"/>
      <c r="U3120" s="379"/>
      <c r="V3120" s="379"/>
      <c r="W3120" s="379"/>
      <c r="X3120" s="379"/>
      <c r="Y3120" s="379"/>
      <c r="Z3120" s="379"/>
      <c r="AA3120" s="379"/>
      <c r="AB3120" s="379"/>
      <c r="AC3120" s="379"/>
      <c r="AD3120" s="379"/>
      <c r="AE3120" s="379"/>
      <c r="AF3120" s="379"/>
      <c r="AG3120" s="379"/>
      <c r="AH3120" s="379"/>
      <c r="AI3120" s="379"/>
      <c r="AJ3120" s="379"/>
      <c r="AK3120" s="379"/>
      <c r="AL3120" s="379"/>
      <c r="AM3120" s="379"/>
      <c r="AN3120" s="379"/>
      <c r="AO3120" s="379"/>
      <c r="AP3120" s="379"/>
      <c r="AQ3120" s="379"/>
      <c r="AR3120" s="379"/>
      <c r="AS3120" s="379"/>
      <c r="AT3120" s="379"/>
      <c r="AU3120" s="379"/>
      <c r="AV3120" s="379"/>
      <c r="AW3120" s="379"/>
      <c r="AX3120" s="379"/>
      <c r="AY3120" s="379"/>
      <c r="AZ3120" s="379"/>
      <c r="BA3120" s="379"/>
      <c r="BB3120" s="379"/>
      <c r="BC3120" s="379"/>
      <c r="BD3120" s="379"/>
      <c r="BE3120" s="379"/>
      <c r="BF3120" s="379"/>
      <c r="BG3120" s="379"/>
      <c r="BH3120" s="379"/>
      <c r="BI3120" s="379"/>
      <c r="BJ3120" s="379"/>
      <c r="BK3120" s="379"/>
      <c r="BL3120" s="379"/>
      <c r="BM3120" s="379"/>
      <c r="BN3120" s="379"/>
      <c r="BO3120" s="379"/>
      <c r="BP3120" s="379"/>
      <c r="BQ3120" s="379"/>
      <c r="BR3120" s="379"/>
      <c r="BS3120" s="379"/>
      <c r="BT3120" s="379"/>
      <c r="BU3120" s="379"/>
      <c r="BV3120" s="379"/>
      <c r="BW3120" s="379"/>
      <c r="BX3120" s="379"/>
      <c r="BY3120" s="379"/>
      <c r="BZ3120" s="379"/>
      <c r="CA3120" s="281"/>
      <c r="CB3120" s="3" t="str">
        <f t="shared" si="555"/>
        <v>Riadok bude skrytý.</v>
      </c>
      <c r="CC3120" s="271" t="s">
        <v>832</v>
      </c>
      <c r="CW3120" s="30">
        <f t="shared" si="571"/>
        <v>0</v>
      </c>
      <c r="CX3120" s="30">
        <f t="shared" si="572"/>
        <v>0</v>
      </c>
      <c r="CZ3120" s="30">
        <f t="shared" si="558"/>
        <v>1</v>
      </c>
      <c r="DA3120" s="52">
        <f t="shared" si="573"/>
        <v>0</v>
      </c>
      <c r="DB3120" s="140">
        <f t="shared" si="570"/>
        <v>0</v>
      </c>
      <c r="DS3120" s="130">
        <f>SI!BY3120</f>
        <v>894</v>
      </c>
      <c r="DZ3120" s="131">
        <f>SI!BZ3120</f>
        <v>0</v>
      </c>
    </row>
    <row r="3121" spans="1:130" hidden="1" x14ac:dyDescent="0.25">
      <c r="A3121" s="141"/>
      <c r="B3121" s="379"/>
      <c r="C3121" s="379"/>
      <c r="D3121" s="379"/>
      <c r="E3121" s="379"/>
      <c r="F3121" s="379"/>
      <c r="G3121" s="379"/>
      <c r="H3121" s="379"/>
      <c r="I3121" s="379"/>
      <c r="J3121" s="379"/>
      <c r="K3121" s="379"/>
      <c r="L3121" s="379"/>
      <c r="M3121" s="379"/>
      <c r="N3121" s="379"/>
      <c r="O3121" s="379"/>
      <c r="P3121" s="379"/>
      <c r="Q3121" s="379"/>
      <c r="R3121" s="379"/>
      <c r="S3121" s="379"/>
      <c r="T3121" s="379"/>
      <c r="U3121" s="379"/>
      <c r="V3121" s="379"/>
      <c r="W3121" s="379"/>
      <c r="X3121" s="379"/>
      <c r="Y3121" s="379"/>
      <c r="Z3121" s="379"/>
      <c r="AA3121" s="379"/>
      <c r="AB3121" s="379"/>
      <c r="AC3121" s="379"/>
      <c r="AD3121" s="379"/>
      <c r="AE3121" s="379"/>
      <c r="AF3121" s="379"/>
      <c r="AG3121" s="379"/>
      <c r="AH3121" s="379"/>
      <c r="AI3121" s="379"/>
      <c r="AJ3121" s="379"/>
      <c r="AK3121" s="379"/>
      <c r="AL3121" s="379"/>
      <c r="AM3121" s="379"/>
      <c r="AN3121" s="379"/>
      <c r="AO3121" s="379"/>
      <c r="AP3121" s="379"/>
      <c r="AQ3121" s="379"/>
      <c r="AR3121" s="379"/>
      <c r="AS3121" s="379"/>
      <c r="AT3121" s="379"/>
      <c r="AU3121" s="379"/>
      <c r="AV3121" s="379"/>
      <c r="AW3121" s="379"/>
      <c r="AX3121" s="379"/>
      <c r="AY3121" s="379"/>
      <c r="AZ3121" s="379"/>
      <c r="BA3121" s="379"/>
      <c r="BB3121" s="379"/>
      <c r="BC3121" s="379"/>
      <c r="BD3121" s="379"/>
      <c r="BE3121" s="379"/>
      <c r="BF3121" s="379"/>
      <c r="BG3121" s="379"/>
      <c r="BH3121" s="379"/>
      <c r="BI3121" s="379"/>
      <c r="BJ3121" s="379"/>
      <c r="BK3121" s="379"/>
      <c r="BL3121" s="379"/>
      <c r="BM3121" s="379"/>
      <c r="BN3121" s="379"/>
      <c r="BO3121" s="379"/>
      <c r="BP3121" s="379"/>
      <c r="BQ3121" s="379"/>
      <c r="BR3121" s="379"/>
      <c r="BS3121" s="379"/>
      <c r="BT3121" s="379"/>
      <c r="BU3121" s="379"/>
      <c r="BV3121" s="379"/>
      <c r="BW3121" s="379"/>
      <c r="BX3121" s="379"/>
      <c r="BY3121" s="379"/>
      <c r="BZ3121" s="379"/>
      <c r="CA3121" s="281"/>
      <c r="CB3121" s="3" t="str">
        <f t="shared" si="555"/>
        <v>Riadok bude skrytý.</v>
      </c>
      <c r="CC3121" s="271" t="s">
        <v>832</v>
      </c>
      <c r="CW3121" s="30">
        <f t="shared" si="571"/>
        <v>0</v>
      </c>
      <c r="CX3121" s="30">
        <f t="shared" si="572"/>
        <v>0</v>
      </c>
      <c r="CZ3121" s="30">
        <f t="shared" si="558"/>
        <v>1</v>
      </c>
      <c r="DA3121" s="52">
        <f t="shared" si="573"/>
        <v>0</v>
      </c>
      <c r="DB3121" s="140">
        <f t="shared" si="570"/>
        <v>0</v>
      </c>
      <c r="DS3121" s="130">
        <f>SI!BY3121</f>
        <v>108</v>
      </c>
      <c r="DZ3121" s="131">
        <f>SI!BZ3121</f>
        <v>0</v>
      </c>
    </row>
    <row r="3122" spans="1:130" hidden="1" x14ac:dyDescent="0.25">
      <c r="A3122" s="141"/>
      <c r="B3122" s="379"/>
      <c r="C3122" s="379"/>
      <c r="D3122" s="379"/>
      <c r="E3122" s="379"/>
      <c r="F3122" s="379"/>
      <c r="G3122" s="379"/>
      <c r="H3122" s="379"/>
      <c r="I3122" s="379"/>
      <c r="J3122" s="379"/>
      <c r="K3122" s="379"/>
      <c r="L3122" s="379"/>
      <c r="M3122" s="379"/>
      <c r="N3122" s="379"/>
      <c r="O3122" s="379"/>
      <c r="P3122" s="379"/>
      <c r="Q3122" s="379"/>
      <c r="R3122" s="379"/>
      <c r="S3122" s="379"/>
      <c r="T3122" s="379"/>
      <c r="U3122" s="379"/>
      <c r="V3122" s="379"/>
      <c r="W3122" s="379"/>
      <c r="X3122" s="379"/>
      <c r="Y3122" s="379"/>
      <c r="Z3122" s="379"/>
      <c r="AA3122" s="379"/>
      <c r="AB3122" s="379"/>
      <c r="AC3122" s="379"/>
      <c r="AD3122" s="379"/>
      <c r="AE3122" s="379"/>
      <c r="AF3122" s="379"/>
      <c r="AG3122" s="379"/>
      <c r="AH3122" s="379"/>
      <c r="AI3122" s="379"/>
      <c r="AJ3122" s="379"/>
      <c r="AK3122" s="379"/>
      <c r="AL3122" s="379"/>
      <c r="AM3122" s="379"/>
      <c r="AN3122" s="379"/>
      <c r="AO3122" s="379"/>
      <c r="AP3122" s="379"/>
      <c r="AQ3122" s="379"/>
      <c r="AR3122" s="379"/>
      <c r="AS3122" s="379"/>
      <c r="AT3122" s="379"/>
      <c r="AU3122" s="379"/>
      <c r="AV3122" s="379"/>
      <c r="AW3122" s="379"/>
      <c r="AX3122" s="379"/>
      <c r="AY3122" s="379"/>
      <c r="AZ3122" s="379"/>
      <c r="BA3122" s="379"/>
      <c r="BB3122" s="379"/>
      <c r="BC3122" s="379"/>
      <c r="BD3122" s="379"/>
      <c r="BE3122" s="379"/>
      <c r="BF3122" s="379"/>
      <c r="BG3122" s="379"/>
      <c r="BH3122" s="379"/>
      <c r="BI3122" s="379"/>
      <c r="BJ3122" s="379"/>
      <c r="BK3122" s="379"/>
      <c r="BL3122" s="379"/>
      <c r="BM3122" s="379"/>
      <c r="BN3122" s="379"/>
      <c r="BO3122" s="379"/>
      <c r="BP3122" s="379"/>
      <c r="BQ3122" s="379"/>
      <c r="BR3122" s="379"/>
      <c r="BS3122" s="379"/>
      <c r="BT3122" s="379"/>
      <c r="BU3122" s="379"/>
      <c r="BV3122" s="379"/>
      <c r="BW3122" s="379"/>
      <c r="BX3122" s="379"/>
      <c r="BY3122" s="379"/>
      <c r="BZ3122" s="379"/>
      <c r="CA3122" s="281"/>
      <c r="CB3122" s="3" t="str">
        <f t="shared" si="555"/>
        <v>Riadok bude skrytý.</v>
      </c>
      <c r="CC3122" s="271" t="s">
        <v>832</v>
      </c>
      <c r="CW3122" s="30">
        <f t="shared" si="571"/>
        <v>0</v>
      </c>
      <c r="CX3122" s="30">
        <f t="shared" si="572"/>
        <v>0</v>
      </c>
      <c r="CZ3122" s="30">
        <f t="shared" si="558"/>
        <v>1</v>
      </c>
      <c r="DA3122" s="52">
        <f t="shared" si="573"/>
        <v>0</v>
      </c>
      <c r="DB3122" s="140">
        <f t="shared" si="570"/>
        <v>0</v>
      </c>
      <c r="DS3122" s="130">
        <f>SI!BY3122</f>
        <v>544</v>
      </c>
      <c r="DZ3122" s="131">
        <f>SI!BZ3122</f>
        <v>0</v>
      </c>
    </row>
    <row r="3123" spans="1:130" hidden="1" x14ac:dyDescent="0.25">
      <c r="A3123" s="141"/>
      <c r="B3123" s="379"/>
      <c r="C3123" s="379"/>
      <c r="D3123" s="379"/>
      <c r="E3123" s="379"/>
      <c r="F3123" s="379"/>
      <c r="G3123" s="379"/>
      <c r="H3123" s="379"/>
      <c r="I3123" s="379"/>
      <c r="J3123" s="379"/>
      <c r="K3123" s="379"/>
      <c r="L3123" s="379"/>
      <c r="M3123" s="379"/>
      <c r="N3123" s="379"/>
      <c r="O3123" s="379"/>
      <c r="P3123" s="379"/>
      <c r="Q3123" s="379"/>
      <c r="R3123" s="379"/>
      <c r="S3123" s="379"/>
      <c r="T3123" s="379"/>
      <c r="U3123" s="379"/>
      <c r="V3123" s="379"/>
      <c r="W3123" s="379"/>
      <c r="X3123" s="379"/>
      <c r="Y3123" s="379"/>
      <c r="Z3123" s="379"/>
      <c r="AA3123" s="379"/>
      <c r="AB3123" s="379"/>
      <c r="AC3123" s="379"/>
      <c r="AD3123" s="379"/>
      <c r="AE3123" s="379"/>
      <c r="AF3123" s="379"/>
      <c r="AG3123" s="379"/>
      <c r="AH3123" s="379"/>
      <c r="AI3123" s="379"/>
      <c r="AJ3123" s="379"/>
      <c r="AK3123" s="379"/>
      <c r="AL3123" s="379"/>
      <c r="AM3123" s="379"/>
      <c r="AN3123" s="379"/>
      <c r="AO3123" s="379"/>
      <c r="AP3123" s="379"/>
      <c r="AQ3123" s="379"/>
      <c r="AR3123" s="379"/>
      <c r="AS3123" s="379"/>
      <c r="AT3123" s="379"/>
      <c r="AU3123" s="379"/>
      <c r="AV3123" s="379"/>
      <c r="AW3123" s="379"/>
      <c r="AX3123" s="379"/>
      <c r="AY3123" s="379"/>
      <c r="AZ3123" s="379"/>
      <c r="BA3123" s="379"/>
      <c r="BB3123" s="379"/>
      <c r="BC3123" s="379"/>
      <c r="BD3123" s="379"/>
      <c r="BE3123" s="379"/>
      <c r="BF3123" s="379"/>
      <c r="BG3123" s="379"/>
      <c r="BH3123" s="379"/>
      <c r="BI3123" s="379"/>
      <c r="BJ3123" s="379"/>
      <c r="BK3123" s="379"/>
      <c r="BL3123" s="379"/>
      <c r="BM3123" s="379"/>
      <c r="BN3123" s="379"/>
      <c r="BO3123" s="379"/>
      <c r="BP3123" s="379"/>
      <c r="BQ3123" s="379"/>
      <c r="BR3123" s="379"/>
      <c r="BS3123" s="379"/>
      <c r="BT3123" s="379"/>
      <c r="BU3123" s="379"/>
      <c r="BV3123" s="379"/>
      <c r="BW3123" s="379"/>
      <c r="BX3123" s="379"/>
      <c r="BY3123" s="379"/>
      <c r="BZ3123" s="379"/>
      <c r="CA3123" s="281"/>
      <c r="CB3123" s="3" t="str">
        <f t="shared" ref="CB3123:CB3186" si="574">+IF(DB3123=0,"Riadok bude skrytý.","Riadok bude vidieť.")</f>
        <v>Riadok bude skrytý.</v>
      </c>
      <c r="CC3123" s="271" t="s">
        <v>832</v>
      </c>
      <c r="CW3123" s="30">
        <f t="shared" si="571"/>
        <v>0</v>
      </c>
      <c r="CX3123" s="30">
        <f t="shared" si="572"/>
        <v>0</v>
      </c>
      <c r="CZ3123" s="30">
        <f t="shared" si="558"/>
        <v>1</v>
      </c>
      <c r="DA3123" s="52">
        <f t="shared" si="573"/>
        <v>0</v>
      </c>
      <c r="DB3123" s="140">
        <f t="shared" si="570"/>
        <v>0</v>
      </c>
      <c r="DS3123" s="130">
        <f>SI!BY3123</f>
        <v>154</v>
      </c>
      <c r="DZ3123" s="131">
        <f>SI!BZ3123</f>
        <v>0</v>
      </c>
    </row>
    <row r="3124" spans="1:130" hidden="1" x14ac:dyDescent="0.25">
      <c r="A3124" s="141"/>
      <c r="B3124" s="379"/>
      <c r="C3124" s="379"/>
      <c r="D3124" s="379"/>
      <c r="E3124" s="379"/>
      <c r="F3124" s="379"/>
      <c r="G3124" s="379"/>
      <c r="H3124" s="379"/>
      <c r="I3124" s="379"/>
      <c r="J3124" s="379"/>
      <c r="K3124" s="379"/>
      <c r="L3124" s="379"/>
      <c r="M3124" s="379"/>
      <c r="N3124" s="379"/>
      <c r="O3124" s="379"/>
      <c r="P3124" s="379"/>
      <c r="Q3124" s="379"/>
      <c r="R3124" s="379"/>
      <c r="S3124" s="379"/>
      <c r="T3124" s="379"/>
      <c r="U3124" s="379"/>
      <c r="V3124" s="379"/>
      <c r="W3124" s="379"/>
      <c r="X3124" s="379"/>
      <c r="Y3124" s="379"/>
      <c r="Z3124" s="379"/>
      <c r="AA3124" s="379"/>
      <c r="AB3124" s="379"/>
      <c r="AC3124" s="379"/>
      <c r="AD3124" s="379"/>
      <c r="AE3124" s="379"/>
      <c r="AF3124" s="379"/>
      <c r="AG3124" s="379"/>
      <c r="AH3124" s="379"/>
      <c r="AI3124" s="379"/>
      <c r="AJ3124" s="379"/>
      <c r="AK3124" s="379"/>
      <c r="AL3124" s="379"/>
      <c r="AM3124" s="379"/>
      <c r="AN3124" s="379"/>
      <c r="AO3124" s="379"/>
      <c r="AP3124" s="379"/>
      <c r="AQ3124" s="379"/>
      <c r="AR3124" s="379"/>
      <c r="AS3124" s="379"/>
      <c r="AT3124" s="379"/>
      <c r="AU3124" s="379"/>
      <c r="AV3124" s="379"/>
      <c r="AW3124" s="379"/>
      <c r="AX3124" s="379"/>
      <c r="AY3124" s="379"/>
      <c r="AZ3124" s="379"/>
      <c r="BA3124" s="379"/>
      <c r="BB3124" s="379"/>
      <c r="BC3124" s="379"/>
      <c r="BD3124" s="379"/>
      <c r="BE3124" s="379"/>
      <c r="BF3124" s="379"/>
      <c r="BG3124" s="379"/>
      <c r="BH3124" s="379"/>
      <c r="BI3124" s="379"/>
      <c r="BJ3124" s="379"/>
      <c r="BK3124" s="379"/>
      <c r="BL3124" s="379"/>
      <c r="BM3124" s="379"/>
      <c r="BN3124" s="379"/>
      <c r="BO3124" s="379"/>
      <c r="BP3124" s="379"/>
      <c r="BQ3124" s="379"/>
      <c r="BR3124" s="379"/>
      <c r="BS3124" s="379"/>
      <c r="BT3124" s="379"/>
      <c r="BU3124" s="379"/>
      <c r="BV3124" s="379"/>
      <c r="BW3124" s="379"/>
      <c r="BX3124" s="379"/>
      <c r="BY3124" s="379"/>
      <c r="BZ3124" s="379"/>
      <c r="CA3124" s="281"/>
      <c r="CB3124" s="3" t="str">
        <f t="shared" si="574"/>
        <v>Riadok bude skrytý.</v>
      </c>
      <c r="CC3124" s="271" t="s">
        <v>832</v>
      </c>
      <c r="CW3124" s="30">
        <f t="shared" si="571"/>
        <v>0</v>
      </c>
      <c r="CX3124" s="30">
        <f t="shared" si="572"/>
        <v>0</v>
      </c>
      <c r="CZ3124" s="30">
        <f t="shared" si="558"/>
        <v>1</v>
      </c>
      <c r="DA3124" s="52">
        <f t="shared" si="573"/>
        <v>0</v>
      </c>
      <c r="DB3124" s="140">
        <f t="shared" si="570"/>
        <v>0</v>
      </c>
      <c r="DS3124" s="130">
        <f>SI!BY3124</f>
        <v>575</v>
      </c>
      <c r="DZ3124" s="131">
        <f>SI!BZ3124</f>
        <v>0</v>
      </c>
    </row>
    <row r="3125" spans="1:130" hidden="1" x14ac:dyDescent="0.25">
      <c r="A3125" s="141"/>
      <c r="B3125" s="379"/>
      <c r="C3125" s="379"/>
      <c r="D3125" s="379"/>
      <c r="E3125" s="379"/>
      <c r="F3125" s="379"/>
      <c r="G3125" s="379"/>
      <c r="H3125" s="379"/>
      <c r="I3125" s="379"/>
      <c r="J3125" s="379"/>
      <c r="K3125" s="379"/>
      <c r="L3125" s="379"/>
      <c r="M3125" s="379"/>
      <c r="N3125" s="379"/>
      <c r="O3125" s="379"/>
      <c r="P3125" s="379"/>
      <c r="Q3125" s="379"/>
      <c r="R3125" s="379"/>
      <c r="S3125" s="379"/>
      <c r="T3125" s="379"/>
      <c r="U3125" s="379"/>
      <c r="V3125" s="379"/>
      <c r="W3125" s="379"/>
      <c r="X3125" s="379"/>
      <c r="Y3125" s="379"/>
      <c r="Z3125" s="379"/>
      <c r="AA3125" s="379"/>
      <c r="AB3125" s="379"/>
      <c r="AC3125" s="379"/>
      <c r="AD3125" s="379"/>
      <c r="AE3125" s="379"/>
      <c r="AF3125" s="379"/>
      <c r="AG3125" s="379"/>
      <c r="AH3125" s="379"/>
      <c r="AI3125" s="379"/>
      <c r="AJ3125" s="379"/>
      <c r="AK3125" s="379"/>
      <c r="AL3125" s="379"/>
      <c r="AM3125" s="379"/>
      <c r="AN3125" s="379"/>
      <c r="AO3125" s="379"/>
      <c r="AP3125" s="379"/>
      <c r="AQ3125" s="379"/>
      <c r="AR3125" s="379"/>
      <c r="AS3125" s="379"/>
      <c r="AT3125" s="379"/>
      <c r="AU3125" s="379"/>
      <c r="AV3125" s="379"/>
      <c r="AW3125" s="379"/>
      <c r="AX3125" s="379"/>
      <c r="AY3125" s="379"/>
      <c r="AZ3125" s="379"/>
      <c r="BA3125" s="379"/>
      <c r="BB3125" s="379"/>
      <c r="BC3125" s="379"/>
      <c r="BD3125" s="379"/>
      <c r="BE3125" s="379"/>
      <c r="BF3125" s="379"/>
      <c r="BG3125" s="379"/>
      <c r="BH3125" s="379"/>
      <c r="BI3125" s="379"/>
      <c r="BJ3125" s="379"/>
      <c r="BK3125" s="379"/>
      <c r="BL3125" s="379"/>
      <c r="BM3125" s="379"/>
      <c r="BN3125" s="379"/>
      <c r="BO3125" s="379"/>
      <c r="BP3125" s="379"/>
      <c r="BQ3125" s="379"/>
      <c r="BR3125" s="379"/>
      <c r="BS3125" s="379"/>
      <c r="BT3125" s="379"/>
      <c r="BU3125" s="379"/>
      <c r="BV3125" s="379"/>
      <c r="BW3125" s="379"/>
      <c r="BX3125" s="379"/>
      <c r="BY3125" s="379"/>
      <c r="BZ3125" s="379"/>
      <c r="CA3125" s="281"/>
      <c r="CB3125" s="3" t="str">
        <f t="shared" si="574"/>
        <v>Riadok bude skrytý.</v>
      </c>
      <c r="CC3125" s="271" t="s">
        <v>832</v>
      </c>
      <c r="CW3125" s="30">
        <f t="shared" si="571"/>
        <v>0</v>
      </c>
      <c r="CX3125" s="30">
        <f t="shared" si="572"/>
        <v>0</v>
      </c>
      <c r="CZ3125" s="30">
        <f t="shared" si="558"/>
        <v>1</v>
      </c>
      <c r="DA3125" s="52">
        <f t="shared" si="573"/>
        <v>0</v>
      </c>
      <c r="DB3125" s="140">
        <f t="shared" si="570"/>
        <v>0</v>
      </c>
      <c r="DS3125" s="130">
        <f>SI!BY3125</f>
        <v>184</v>
      </c>
      <c r="DZ3125" s="131">
        <f>SI!BZ3125</f>
        <v>0</v>
      </c>
    </row>
    <row r="3126" spans="1:130" hidden="1" x14ac:dyDescent="0.25">
      <c r="A3126" s="141"/>
      <c r="B3126" s="379"/>
      <c r="C3126" s="379"/>
      <c r="D3126" s="379"/>
      <c r="E3126" s="379"/>
      <c r="F3126" s="379"/>
      <c r="G3126" s="379"/>
      <c r="H3126" s="379"/>
      <c r="I3126" s="379"/>
      <c r="J3126" s="379"/>
      <c r="K3126" s="379"/>
      <c r="L3126" s="379"/>
      <c r="M3126" s="379"/>
      <c r="N3126" s="379"/>
      <c r="O3126" s="379"/>
      <c r="P3126" s="379"/>
      <c r="Q3126" s="379"/>
      <c r="R3126" s="379"/>
      <c r="S3126" s="379"/>
      <c r="T3126" s="379"/>
      <c r="U3126" s="379"/>
      <c r="V3126" s="379"/>
      <c r="W3126" s="379"/>
      <c r="X3126" s="379"/>
      <c r="Y3126" s="379"/>
      <c r="Z3126" s="379"/>
      <c r="AA3126" s="379"/>
      <c r="AB3126" s="379"/>
      <c r="AC3126" s="379"/>
      <c r="AD3126" s="379"/>
      <c r="AE3126" s="379"/>
      <c r="AF3126" s="379"/>
      <c r="AG3126" s="379"/>
      <c r="AH3126" s="379"/>
      <c r="AI3126" s="379"/>
      <c r="AJ3126" s="379"/>
      <c r="AK3126" s="379"/>
      <c r="AL3126" s="379"/>
      <c r="AM3126" s="379"/>
      <c r="AN3126" s="379"/>
      <c r="AO3126" s="379"/>
      <c r="AP3126" s="379"/>
      <c r="AQ3126" s="379"/>
      <c r="AR3126" s="379"/>
      <c r="AS3126" s="379"/>
      <c r="AT3126" s="379"/>
      <c r="AU3126" s="379"/>
      <c r="AV3126" s="379"/>
      <c r="AW3126" s="379"/>
      <c r="AX3126" s="379"/>
      <c r="AY3126" s="379"/>
      <c r="AZ3126" s="379"/>
      <c r="BA3126" s="379"/>
      <c r="BB3126" s="379"/>
      <c r="BC3126" s="379"/>
      <c r="BD3126" s="379"/>
      <c r="BE3126" s="379"/>
      <c r="BF3126" s="379"/>
      <c r="BG3126" s="379"/>
      <c r="BH3126" s="379"/>
      <c r="BI3126" s="379"/>
      <c r="BJ3126" s="379"/>
      <c r="BK3126" s="379"/>
      <c r="BL3126" s="379"/>
      <c r="BM3126" s="379"/>
      <c r="BN3126" s="379"/>
      <c r="BO3126" s="379"/>
      <c r="BP3126" s="379"/>
      <c r="BQ3126" s="379"/>
      <c r="BR3126" s="379"/>
      <c r="BS3126" s="379"/>
      <c r="BT3126" s="379"/>
      <c r="BU3126" s="379"/>
      <c r="BV3126" s="379"/>
      <c r="BW3126" s="379"/>
      <c r="BX3126" s="379"/>
      <c r="BY3126" s="379"/>
      <c r="BZ3126" s="379"/>
      <c r="CA3126" s="281"/>
      <c r="CB3126" s="3" t="str">
        <f t="shared" si="574"/>
        <v>Riadok bude skrytý.</v>
      </c>
      <c r="CC3126" s="271" t="s">
        <v>832</v>
      </c>
      <c r="CW3126" s="30">
        <f t="shared" si="571"/>
        <v>0</v>
      </c>
      <c r="CX3126" s="30">
        <f t="shared" si="572"/>
        <v>0</v>
      </c>
      <c r="CZ3126" s="30">
        <f t="shared" si="558"/>
        <v>1</v>
      </c>
      <c r="DA3126" s="52">
        <f t="shared" si="573"/>
        <v>0</v>
      </c>
      <c r="DB3126" s="140">
        <f t="shared" si="570"/>
        <v>0</v>
      </c>
      <c r="DS3126" s="130">
        <f>SI!BY3126</f>
        <v>646</v>
      </c>
      <c r="DZ3126" s="131">
        <f>SI!BZ3126</f>
        <v>0</v>
      </c>
    </row>
    <row r="3127" spans="1:130" hidden="1" x14ac:dyDescent="0.25">
      <c r="A3127" s="141"/>
      <c r="B3127" s="379"/>
      <c r="C3127" s="379"/>
      <c r="D3127" s="379"/>
      <c r="E3127" s="379"/>
      <c r="F3127" s="379"/>
      <c r="G3127" s="379"/>
      <c r="H3127" s="379"/>
      <c r="I3127" s="379"/>
      <c r="J3127" s="379"/>
      <c r="K3127" s="379"/>
      <c r="L3127" s="379"/>
      <c r="M3127" s="379"/>
      <c r="N3127" s="379"/>
      <c r="O3127" s="379"/>
      <c r="P3127" s="379"/>
      <c r="Q3127" s="379"/>
      <c r="R3127" s="379"/>
      <c r="S3127" s="379"/>
      <c r="T3127" s="379"/>
      <c r="U3127" s="379"/>
      <c r="V3127" s="379"/>
      <c r="W3127" s="379"/>
      <c r="X3127" s="379"/>
      <c r="Y3127" s="379"/>
      <c r="Z3127" s="379"/>
      <c r="AA3127" s="379"/>
      <c r="AB3127" s="379"/>
      <c r="AC3127" s="379"/>
      <c r="AD3127" s="379"/>
      <c r="AE3127" s="379"/>
      <c r="AF3127" s="379"/>
      <c r="AG3127" s="379"/>
      <c r="AH3127" s="379"/>
      <c r="AI3127" s="379"/>
      <c r="AJ3127" s="379"/>
      <c r="AK3127" s="379"/>
      <c r="AL3127" s="379"/>
      <c r="AM3127" s="379"/>
      <c r="AN3127" s="379"/>
      <c r="AO3127" s="379"/>
      <c r="AP3127" s="379"/>
      <c r="AQ3127" s="379"/>
      <c r="AR3127" s="379"/>
      <c r="AS3127" s="379"/>
      <c r="AT3127" s="379"/>
      <c r="AU3127" s="379"/>
      <c r="AV3127" s="379"/>
      <c r="AW3127" s="379"/>
      <c r="AX3127" s="379"/>
      <c r="AY3127" s="379"/>
      <c r="AZ3127" s="379"/>
      <c r="BA3127" s="379"/>
      <c r="BB3127" s="379"/>
      <c r="BC3127" s="379"/>
      <c r="BD3127" s="379"/>
      <c r="BE3127" s="379"/>
      <c r="BF3127" s="379"/>
      <c r="BG3127" s="379"/>
      <c r="BH3127" s="379"/>
      <c r="BI3127" s="379"/>
      <c r="BJ3127" s="379"/>
      <c r="BK3127" s="379"/>
      <c r="BL3127" s="379"/>
      <c r="BM3127" s="379"/>
      <c r="BN3127" s="379"/>
      <c r="BO3127" s="379"/>
      <c r="BP3127" s="379"/>
      <c r="BQ3127" s="379"/>
      <c r="BR3127" s="379"/>
      <c r="BS3127" s="379"/>
      <c r="BT3127" s="379"/>
      <c r="BU3127" s="379"/>
      <c r="BV3127" s="379"/>
      <c r="BW3127" s="379"/>
      <c r="BX3127" s="379"/>
      <c r="BY3127" s="379"/>
      <c r="BZ3127" s="379"/>
      <c r="CA3127" s="281"/>
      <c r="CB3127" s="3" t="str">
        <f t="shared" si="574"/>
        <v>Riadok bude skrytý.</v>
      </c>
      <c r="CC3127" s="271" t="s">
        <v>832</v>
      </c>
      <c r="CW3127" s="30">
        <f t="shared" si="571"/>
        <v>0</v>
      </c>
      <c r="CX3127" s="30">
        <f t="shared" si="572"/>
        <v>0</v>
      </c>
      <c r="CZ3127" s="30">
        <f t="shared" ref="CZ3127:CZ3190" si="575">IF(CC3127="",1,IF(CC3127="Chcem skryť riadok.",0,1))</f>
        <v>1</v>
      </c>
      <c r="DA3127" s="52">
        <f t="shared" si="573"/>
        <v>0</v>
      </c>
      <c r="DB3127" s="140">
        <f t="shared" si="570"/>
        <v>0</v>
      </c>
      <c r="DS3127" s="130">
        <f>SI!BY3127</f>
        <v>102</v>
      </c>
      <c r="DZ3127" s="131">
        <f>SI!BZ3127</f>
        <v>0</v>
      </c>
    </row>
    <row r="3128" spans="1:130" hidden="1" x14ac:dyDescent="0.25">
      <c r="A3128" s="141"/>
      <c r="B3128" s="379"/>
      <c r="C3128" s="379"/>
      <c r="D3128" s="379"/>
      <c r="E3128" s="379"/>
      <c r="F3128" s="379"/>
      <c r="G3128" s="379"/>
      <c r="H3128" s="379"/>
      <c r="I3128" s="379"/>
      <c r="J3128" s="379"/>
      <c r="K3128" s="379"/>
      <c r="L3128" s="379"/>
      <c r="M3128" s="379"/>
      <c r="N3128" s="379"/>
      <c r="O3128" s="379"/>
      <c r="P3128" s="379"/>
      <c r="Q3128" s="379"/>
      <c r="R3128" s="379"/>
      <c r="S3128" s="379"/>
      <c r="T3128" s="379"/>
      <c r="U3128" s="379"/>
      <c r="V3128" s="379"/>
      <c r="W3128" s="379"/>
      <c r="X3128" s="379"/>
      <c r="Y3128" s="379"/>
      <c r="Z3128" s="379"/>
      <c r="AA3128" s="379"/>
      <c r="AB3128" s="379"/>
      <c r="AC3128" s="379"/>
      <c r="AD3128" s="379"/>
      <c r="AE3128" s="379"/>
      <c r="AF3128" s="379"/>
      <c r="AG3128" s="379"/>
      <c r="AH3128" s="379"/>
      <c r="AI3128" s="379"/>
      <c r="AJ3128" s="379"/>
      <c r="AK3128" s="379"/>
      <c r="AL3128" s="379"/>
      <c r="AM3128" s="379"/>
      <c r="AN3128" s="379"/>
      <c r="AO3128" s="379"/>
      <c r="AP3128" s="379"/>
      <c r="AQ3128" s="379"/>
      <c r="AR3128" s="379"/>
      <c r="AS3128" s="379"/>
      <c r="AT3128" s="379"/>
      <c r="AU3128" s="379"/>
      <c r="AV3128" s="379"/>
      <c r="AW3128" s="379"/>
      <c r="AX3128" s="379"/>
      <c r="AY3128" s="379"/>
      <c r="AZ3128" s="379"/>
      <c r="BA3128" s="379"/>
      <c r="BB3128" s="379"/>
      <c r="BC3128" s="379"/>
      <c r="BD3128" s="379"/>
      <c r="BE3128" s="379"/>
      <c r="BF3128" s="379"/>
      <c r="BG3128" s="379"/>
      <c r="BH3128" s="379"/>
      <c r="BI3128" s="379"/>
      <c r="BJ3128" s="379"/>
      <c r="BK3128" s="379"/>
      <c r="BL3128" s="379"/>
      <c r="BM3128" s="379"/>
      <c r="BN3128" s="379"/>
      <c r="BO3128" s="379"/>
      <c r="BP3128" s="379"/>
      <c r="BQ3128" s="379"/>
      <c r="BR3128" s="379"/>
      <c r="BS3128" s="379"/>
      <c r="BT3128" s="379"/>
      <c r="BU3128" s="379"/>
      <c r="BV3128" s="379"/>
      <c r="BW3128" s="379"/>
      <c r="BX3128" s="379"/>
      <c r="BY3128" s="379"/>
      <c r="BZ3128" s="379"/>
      <c r="CA3128" s="281"/>
      <c r="CB3128" s="3" t="str">
        <f t="shared" si="574"/>
        <v>Riadok bude skrytý.</v>
      </c>
      <c r="CC3128" s="271" t="s">
        <v>832</v>
      </c>
      <c r="CW3128" s="30">
        <f t="shared" si="571"/>
        <v>0</v>
      </c>
      <c r="CX3128" s="30">
        <f t="shared" si="572"/>
        <v>0</v>
      </c>
      <c r="CZ3128" s="30">
        <f t="shared" si="575"/>
        <v>1</v>
      </c>
      <c r="DA3128" s="52">
        <f t="shared" si="573"/>
        <v>0</v>
      </c>
      <c r="DB3128" s="140">
        <f t="shared" si="570"/>
        <v>0</v>
      </c>
      <c r="DS3128" s="130">
        <f>SI!BY3128</f>
        <v>96</v>
      </c>
      <c r="DZ3128" s="131">
        <f>SI!BZ3128</f>
        <v>0</v>
      </c>
    </row>
    <row r="3129" spans="1:130" hidden="1" x14ac:dyDescent="0.25">
      <c r="A3129" s="141"/>
      <c r="B3129" s="379"/>
      <c r="C3129" s="379"/>
      <c r="D3129" s="379"/>
      <c r="E3129" s="379"/>
      <c r="F3129" s="379"/>
      <c r="G3129" s="379"/>
      <c r="H3129" s="379"/>
      <c r="I3129" s="379"/>
      <c r="J3129" s="379"/>
      <c r="K3129" s="379"/>
      <c r="L3129" s="379"/>
      <c r="M3129" s="379"/>
      <c r="N3129" s="379"/>
      <c r="O3129" s="379"/>
      <c r="P3129" s="379"/>
      <c r="Q3129" s="379"/>
      <c r="R3129" s="379"/>
      <c r="S3129" s="379"/>
      <c r="T3129" s="379"/>
      <c r="U3129" s="379"/>
      <c r="V3129" s="379"/>
      <c r="W3129" s="379"/>
      <c r="X3129" s="379"/>
      <c r="Y3129" s="379"/>
      <c r="Z3129" s="379"/>
      <c r="AA3129" s="379"/>
      <c r="AB3129" s="379"/>
      <c r="AC3129" s="379"/>
      <c r="AD3129" s="379"/>
      <c r="AE3129" s="379"/>
      <c r="AF3129" s="379"/>
      <c r="AG3129" s="379"/>
      <c r="AH3129" s="379"/>
      <c r="AI3129" s="379"/>
      <c r="AJ3129" s="379"/>
      <c r="AK3129" s="379"/>
      <c r="AL3129" s="379"/>
      <c r="AM3129" s="379"/>
      <c r="AN3129" s="379"/>
      <c r="AO3129" s="379"/>
      <c r="AP3129" s="379"/>
      <c r="AQ3129" s="379"/>
      <c r="AR3129" s="379"/>
      <c r="AS3129" s="379"/>
      <c r="AT3129" s="379"/>
      <c r="AU3129" s="379"/>
      <c r="AV3129" s="379"/>
      <c r="AW3129" s="379"/>
      <c r="AX3129" s="379"/>
      <c r="AY3129" s="379"/>
      <c r="AZ3129" s="379"/>
      <c r="BA3129" s="379"/>
      <c r="BB3129" s="379"/>
      <c r="BC3129" s="379"/>
      <c r="BD3129" s="379"/>
      <c r="BE3129" s="379"/>
      <c r="BF3129" s="379"/>
      <c r="BG3129" s="379"/>
      <c r="BH3129" s="379"/>
      <c r="BI3129" s="379"/>
      <c r="BJ3129" s="379"/>
      <c r="BK3129" s="379"/>
      <c r="BL3129" s="379"/>
      <c r="BM3129" s="379"/>
      <c r="BN3129" s="379"/>
      <c r="BO3129" s="379"/>
      <c r="BP3129" s="379"/>
      <c r="BQ3129" s="379"/>
      <c r="BR3129" s="379"/>
      <c r="BS3129" s="379"/>
      <c r="BT3129" s="379"/>
      <c r="BU3129" s="379"/>
      <c r="BV3129" s="379"/>
      <c r="BW3129" s="379"/>
      <c r="BX3129" s="379"/>
      <c r="BY3129" s="379"/>
      <c r="BZ3129" s="379"/>
      <c r="CA3129" s="281"/>
      <c r="CB3129" s="3" t="str">
        <f t="shared" si="574"/>
        <v>Riadok bude skrytý.</v>
      </c>
      <c r="CC3129" s="271" t="s">
        <v>832</v>
      </c>
      <c r="CW3129" s="30">
        <f t="shared" si="571"/>
        <v>0</v>
      </c>
      <c r="CX3129" s="30">
        <f t="shared" si="572"/>
        <v>0</v>
      </c>
      <c r="CZ3129" s="30">
        <f t="shared" si="575"/>
        <v>1</v>
      </c>
      <c r="DA3129" s="52">
        <f t="shared" si="573"/>
        <v>0</v>
      </c>
      <c r="DB3129" s="140">
        <f t="shared" si="570"/>
        <v>0</v>
      </c>
      <c r="DS3129" s="130">
        <f>SI!BY3129</f>
        <v>94</v>
      </c>
      <c r="DZ3129" s="131">
        <f>SI!BZ3129</f>
        <v>0</v>
      </c>
    </row>
    <row r="3130" spans="1:130" hidden="1" x14ac:dyDescent="0.25">
      <c r="A3130" s="141"/>
      <c r="B3130" s="379"/>
      <c r="C3130" s="379"/>
      <c r="D3130" s="379"/>
      <c r="E3130" s="379"/>
      <c r="F3130" s="379"/>
      <c r="G3130" s="379"/>
      <c r="H3130" s="379"/>
      <c r="I3130" s="379"/>
      <c r="J3130" s="379"/>
      <c r="K3130" s="379"/>
      <c r="L3130" s="379"/>
      <c r="M3130" s="379"/>
      <c r="N3130" s="379"/>
      <c r="O3130" s="379"/>
      <c r="P3130" s="379"/>
      <c r="Q3130" s="379"/>
      <c r="R3130" s="379"/>
      <c r="S3130" s="379"/>
      <c r="T3130" s="379"/>
      <c r="U3130" s="379"/>
      <c r="V3130" s="379"/>
      <c r="W3130" s="379"/>
      <c r="X3130" s="379"/>
      <c r="Y3130" s="379"/>
      <c r="Z3130" s="379"/>
      <c r="AA3130" s="379"/>
      <c r="AB3130" s="379"/>
      <c r="AC3130" s="379"/>
      <c r="AD3130" s="379"/>
      <c r="AE3130" s="379"/>
      <c r="AF3130" s="379"/>
      <c r="AG3130" s="379"/>
      <c r="AH3130" s="379"/>
      <c r="AI3130" s="379"/>
      <c r="AJ3130" s="379"/>
      <c r="AK3130" s="379"/>
      <c r="AL3130" s="379"/>
      <c r="AM3130" s="379"/>
      <c r="AN3130" s="379"/>
      <c r="AO3130" s="379"/>
      <c r="AP3130" s="379"/>
      <c r="AQ3130" s="379"/>
      <c r="AR3130" s="379"/>
      <c r="AS3130" s="379"/>
      <c r="AT3130" s="379"/>
      <c r="AU3130" s="379"/>
      <c r="AV3130" s="379"/>
      <c r="AW3130" s="379"/>
      <c r="AX3130" s="379"/>
      <c r="AY3130" s="379"/>
      <c r="AZ3130" s="379"/>
      <c r="BA3130" s="379"/>
      <c r="BB3130" s="379"/>
      <c r="BC3130" s="379"/>
      <c r="BD3130" s="379"/>
      <c r="BE3130" s="379"/>
      <c r="BF3130" s="379"/>
      <c r="BG3130" s="379"/>
      <c r="BH3130" s="379"/>
      <c r="BI3130" s="379"/>
      <c r="BJ3130" s="379"/>
      <c r="BK3130" s="379"/>
      <c r="BL3130" s="379"/>
      <c r="BM3130" s="379"/>
      <c r="BN3130" s="379"/>
      <c r="BO3130" s="379"/>
      <c r="BP3130" s="379"/>
      <c r="BQ3130" s="379"/>
      <c r="BR3130" s="379"/>
      <c r="BS3130" s="379"/>
      <c r="BT3130" s="379"/>
      <c r="BU3130" s="379"/>
      <c r="BV3130" s="379"/>
      <c r="BW3130" s="379"/>
      <c r="BX3130" s="379"/>
      <c r="BY3130" s="379"/>
      <c r="BZ3130" s="379"/>
      <c r="CA3130" s="281"/>
      <c r="CB3130" s="3" t="str">
        <f t="shared" si="574"/>
        <v>Riadok bude skrytý.</v>
      </c>
      <c r="CC3130" s="271" t="s">
        <v>832</v>
      </c>
      <c r="CW3130" s="30">
        <f t="shared" si="571"/>
        <v>0</v>
      </c>
      <c r="CX3130" s="30">
        <f t="shared" si="572"/>
        <v>0</v>
      </c>
      <c r="CZ3130" s="30">
        <f t="shared" si="575"/>
        <v>1</v>
      </c>
      <c r="DA3130" s="52">
        <f t="shared" si="573"/>
        <v>0</v>
      </c>
      <c r="DB3130" s="140">
        <f t="shared" si="570"/>
        <v>0</v>
      </c>
      <c r="DS3130" s="130">
        <f>SI!BY3130</f>
        <v>126</v>
      </c>
      <c r="DZ3130" s="131">
        <f>SI!BZ3130</f>
        <v>0</v>
      </c>
    </row>
    <row r="3131" spans="1:130" hidden="1" x14ac:dyDescent="0.25">
      <c r="A3131" s="141"/>
      <c r="B3131" s="379"/>
      <c r="C3131" s="379"/>
      <c r="D3131" s="379"/>
      <c r="E3131" s="379"/>
      <c r="F3131" s="379"/>
      <c r="G3131" s="379"/>
      <c r="H3131" s="379"/>
      <c r="I3131" s="379"/>
      <c r="J3131" s="379"/>
      <c r="K3131" s="379"/>
      <c r="L3131" s="379"/>
      <c r="M3131" s="379"/>
      <c r="N3131" s="379"/>
      <c r="O3131" s="379"/>
      <c r="P3131" s="379"/>
      <c r="Q3131" s="379"/>
      <c r="R3131" s="379"/>
      <c r="S3131" s="379"/>
      <c r="T3131" s="379"/>
      <c r="U3131" s="379"/>
      <c r="V3131" s="379"/>
      <c r="W3131" s="379"/>
      <c r="X3131" s="379"/>
      <c r="Y3131" s="379"/>
      <c r="Z3131" s="379"/>
      <c r="AA3131" s="379"/>
      <c r="AB3131" s="379"/>
      <c r="AC3131" s="379"/>
      <c r="AD3131" s="379"/>
      <c r="AE3131" s="379"/>
      <c r="AF3131" s="379"/>
      <c r="AG3131" s="379"/>
      <c r="AH3131" s="379"/>
      <c r="AI3131" s="379"/>
      <c r="AJ3131" s="379"/>
      <c r="AK3131" s="379"/>
      <c r="AL3131" s="379"/>
      <c r="AM3131" s="379"/>
      <c r="AN3131" s="379"/>
      <c r="AO3131" s="379"/>
      <c r="AP3131" s="379"/>
      <c r="AQ3131" s="379"/>
      <c r="AR3131" s="379"/>
      <c r="AS3131" s="379"/>
      <c r="AT3131" s="379"/>
      <c r="AU3131" s="379"/>
      <c r="AV3131" s="379"/>
      <c r="AW3131" s="379"/>
      <c r="AX3131" s="379"/>
      <c r="AY3131" s="379"/>
      <c r="AZ3131" s="379"/>
      <c r="BA3131" s="379"/>
      <c r="BB3131" s="379"/>
      <c r="BC3131" s="379"/>
      <c r="BD3131" s="379"/>
      <c r="BE3131" s="379"/>
      <c r="BF3131" s="379"/>
      <c r="BG3131" s="379"/>
      <c r="BH3131" s="379"/>
      <c r="BI3131" s="379"/>
      <c r="BJ3131" s="379"/>
      <c r="BK3131" s="379"/>
      <c r="BL3131" s="379"/>
      <c r="BM3131" s="379"/>
      <c r="BN3131" s="379"/>
      <c r="BO3131" s="379"/>
      <c r="BP3131" s="379"/>
      <c r="BQ3131" s="379"/>
      <c r="BR3131" s="379"/>
      <c r="BS3131" s="379"/>
      <c r="BT3131" s="379"/>
      <c r="BU3131" s="379"/>
      <c r="BV3131" s="379"/>
      <c r="BW3131" s="379"/>
      <c r="BX3131" s="379"/>
      <c r="BY3131" s="379"/>
      <c r="BZ3131" s="379"/>
      <c r="CA3131" s="281"/>
      <c r="CB3131" s="3" t="str">
        <f t="shared" si="574"/>
        <v>Riadok bude skrytý.</v>
      </c>
      <c r="CC3131" s="271" t="s">
        <v>832</v>
      </c>
      <c r="CW3131" s="30">
        <f t="shared" si="571"/>
        <v>0</v>
      </c>
      <c r="CX3131" s="30">
        <f t="shared" si="572"/>
        <v>0</v>
      </c>
      <c r="CZ3131" s="30">
        <f t="shared" si="575"/>
        <v>1</v>
      </c>
      <c r="DA3131" s="52">
        <f t="shared" si="573"/>
        <v>0</v>
      </c>
      <c r="DB3131" s="140">
        <f t="shared" si="570"/>
        <v>0</v>
      </c>
      <c r="DS3131" s="130">
        <f>SI!BY3131</f>
        <v>110</v>
      </c>
      <c r="DZ3131" s="131">
        <f>SI!BZ3131</f>
        <v>0</v>
      </c>
    </row>
    <row r="3132" spans="1:130" hidden="1" x14ac:dyDescent="0.25">
      <c r="A3132" s="141"/>
      <c r="B3132" s="379"/>
      <c r="C3132" s="379"/>
      <c r="D3132" s="379"/>
      <c r="E3132" s="379"/>
      <c r="F3132" s="379"/>
      <c r="G3132" s="379"/>
      <c r="H3132" s="379"/>
      <c r="I3132" s="379"/>
      <c r="J3132" s="379"/>
      <c r="K3132" s="379"/>
      <c r="L3132" s="379"/>
      <c r="M3132" s="379"/>
      <c r="N3132" s="379"/>
      <c r="O3132" s="379"/>
      <c r="P3132" s="379"/>
      <c r="Q3132" s="379"/>
      <c r="R3132" s="379"/>
      <c r="S3132" s="379"/>
      <c r="T3132" s="379"/>
      <c r="U3132" s="379"/>
      <c r="V3132" s="379"/>
      <c r="W3132" s="379"/>
      <c r="X3132" s="379"/>
      <c r="Y3132" s="379"/>
      <c r="Z3132" s="379"/>
      <c r="AA3132" s="379"/>
      <c r="AB3132" s="379"/>
      <c r="AC3132" s="379"/>
      <c r="AD3132" s="379"/>
      <c r="AE3132" s="379"/>
      <c r="AF3132" s="379"/>
      <c r="AG3132" s="379"/>
      <c r="AH3132" s="379"/>
      <c r="AI3132" s="379"/>
      <c r="AJ3132" s="379"/>
      <c r="AK3132" s="379"/>
      <c r="AL3132" s="379"/>
      <c r="AM3132" s="379"/>
      <c r="AN3132" s="379"/>
      <c r="AO3132" s="379"/>
      <c r="AP3132" s="379"/>
      <c r="AQ3132" s="379"/>
      <c r="AR3132" s="379"/>
      <c r="AS3132" s="379"/>
      <c r="AT3132" s="379"/>
      <c r="AU3132" s="379"/>
      <c r="AV3132" s="379"/>
      <c r="AW3132" s="379"/>
      <c r="AX3132" s="379"/>
      <c r="AY3132" s="379"/>
      <c r="AZ3132" s="379"/>
      <c r="BA3132" s="379"/>
      <c r="BB3132" s="379"/>
      <c r="BC3132" s="379"/>
      <c r="BD3132" s="379"/>
      <c r="BE3132" s="379"/>
      <c r="BF3132" s="379"/>
      <c r="BG3132" s="379"/>
      <c r="BH3132" s="379"/>
      <c r="BI3132" s="379"/>
      <c r="BJ3132" s="379"/>
      <c r="BK3132" s="379"/>
      <c r="BL3132" s="379"/>
      <c r="BM3132" s="379"/>
      <c r="BN3132" s="379"/>
      <c r="BO3132" s="379"/>
      <c r="BP3132" s="379"/>
      <c r="BQ3132" s="379"/>
      <c r="BR3132" s="379"/>
      <c r="BS3132" s="379"/>
      <c r="BT3132" s="379"/>
      <c r="BU3132" s="379"/>
      <c r="BV3132" s="379"/>
      <c r="BW3132" s="379"/>
      <c r="BX3132" s="379"/>
      <c r="BY3132" s="379"/>
      <c r="BZ3132" s="379"/>
      <c r="CA3132" s="281"/>
      <c r="CB3132" s="3" t="str">
        <f t="shared" si="574"/>
        <v>Riadok bude skrytý.</v>
      </c>
      <c r="CC3132" s="271" t="s">
        <v>832</v>
      </c>
      <c r="CW3132" s="30">
        <f t="shared" si="571"/>
        <v>0</v>
      </c>
      <c r="CX3132" s="30">
        <f t="shared" si="572"/>
        <v>0</v>
      </c>
      <c r="CZ3132" s="30">
        <f t="shared" si="575"/>
        <v>1</v>
      </c>
      <c r="DA3132" s="52">
        <f t="shared" si="573"/>
        <v>0</v>
      </c>
      <c r="DB3132" s="140">
        <f t="shared" si="570"/>
        <v>0</v>
      </c>
      <c r="DS3132" s="130">
        <f>SI!BY3132</f>
        <v>108</v>
      </c>
      <c r="DZ3132" s="131">
        <f>SI!BZ3132</f>
        <v>0</v>
      </c>
    </row>
    <row r="3133" spans="1:130" hidden="1" x14ac:dyDescent="0.25">
      <c r="A3133" s="141"/>
      <c r="B3133" s="379"/>
      <c r="C3133" s="379"/>
      <c r="D3133" s="379"/>
      <c r="E3133" s="379"/>
      <c r="F3133" s="379"/>
      <c r="G3133" s="379"/>
      <c r="H3133" s="379"/>
      <c r="I3133" s="379"/>
      <c r="J3133" s="379"/>
      <c r="K3133" s="379"/>
      <c r="L3133" s="379"/>
      <c r="M3133" s="379"/>
      <c r="N3133" s="379"/>
      <c r="O3133" s="379"/>
      <c r="P3133" s="379"/>
      <c r="Q3133" s="379"/>
      <c r="R3133" s="379"/>
      <c r="S3133" s="379"/>
      <c r="T3133" s="379"/>
      <c r="U3133" s="379"/>
      <c r="V3133" s="379"/>
      <c r="W3133" s="379"/>
      <c r="X3133" s="379"/>
      <c r="Y3133" s="379"/>
      <c r="Z3133" s="379"/>
      <c r="AA3133" s="379"/>
      <c r="AB3133" s="379"/>
      <c r="AC3133" s="379"/>
      <c r="AD3133" s="379"/>
      <c r="AE3133" s="379"/>
      <c r="AF3133" s="379"/>
      <c r="AG3133" s="379"/>
      <c r="AH3133" s="379"/>
      <c r="AI3133" s="379"/>
      <c r="AJ3133" s="379"/>
      <c r="AK3133" s="379"/>
      <c r="AL3133" s="379"/>
      <c r="AM3133" s="379"/>
      <c r="AN3133" s="379"/>
      <c r="AO3133" s="379"/>
      <c r="AP3133" s="379"/>
      <c r="AQ3133" s="379"/>
      <c r="AR3133" s="379"/>
      <c r="AS3133" s="379"/>
      <c r="AT3133" s="379"/>
      <c r="AU3133" s="379"/>
      <c r="AV3133" s="379"/>
      <c r="AW3133" s="379"/>
      <c r="AX3133" s="379"/>
      <c r="AY3133" s="379"/>
      <c r="AZ3133" s="379"/>
      <c r="BA3133" s="379"/>
      <c r="BB3133" s="379"/>
      <c r="BC3133" s="379"/>
      <c r="BD3133" s="379"/>
      <c r="BE3133" s="379"/>
      <c r="BF3133" s="379"/>
      <c r="BG3133" s="379"/>
      <c r="BH3133" s="379"/>
      <c r="BI3133" s="379"/>
      <c r="BJ3133" s="379"/>
      <c r="BK3133" s="379"/>
      <c r="BL3133" s="379"/>
      <c r="BM3133" s="379"/>
      <c r="BN3133" s="379"/>
      <c r="BO3133" s="379"/>
      <c r="BP3133" s="379"/>
      <c r="BQ3133" s="379"/>
      <c r="BR3133" s="379"/>
      <c r="BS3133" s="379"/>
      <c r="BT3133" s="379"/>
      <c r="BU3133" s="379"/>
      <c r="BV3133" s="379"/>
      <c r="BW3133" s="379"/>
      <c r="BX3133" s="379"/>
      <c r="BY3133" s="379"/>
      <c r="BZ3133" s="379"/>
      <c r="CA3133" s="281"/>
      <c r="CB3133" s="3" t="str">
        <f t="shared" si="574"/>
        <v>Riadok bude skrytý.</v>
      </c>
      <c r="CC3133" s="271" t="s">
        <v>832</v>
      </c>
      <c r="CW3133" s="30">
        <f t="shared" si="571"/>
        <v>0</v>
      </c>
      <c r="CX3133" s="30">
        <f t="shared" si="572"/>
        <v>0</v>
      </c>
      <c r="CZ3133" s="30">
        <f t="shared" si="575"/>
        <v>1</v>
      </c>
      <c r="DA3133" s="52">
        <f t="shared" si="573"/>
        <v>0</v>
      </c>
      <c r="DB3133" s="140">
        <f t="shared" si="570"/>
        <v>0</v>
      </c>
      <c r="DS3133" s="130">
        <f>SI!BY3133</f>
        <v>142</v>
      </c>
      <c r="DZ3133" s="131">
        <f>SI!BZ3133</f>
        <v>0</v>
      </c>
    </row>
    <row r="3134" spans="1:130" hidden="1" x14ac:dyDescent="0.25">
      <c r="A3134" s="141"/>
      <c r="B3134" s="379"/>
      <c r="C3134" s="379"/>
      <c r="D3134" s="379"/>
      <c r="E3134" s="379"/>
      <c r="F3134" s="379"/>
      <c r="G3134" s="379"/>
      <c r="H3134" s="379"/>
      <c r="I3134" s="379"/>
      <c r="J3134" s="379"/>
      <c r="K3134" s="379"/>
      <c r="L3134" s="379"/>
      <c r="M3134" s="379"/>
      <c r="N3134" s="379"/>
      <c r="O3134" s="379"/>
      <c r="P3134" s="379"/>
      <c r="Q3134" s="379"/>
      <c r="R3134" s="379"/>
      <c r="S3134" s="379"/>
      <c r="T3134" s="379"/>
      <c r="U3134" s="379"/>
      <c r="V3134" s="379"/>
      <c r="W3134" s="379"/>
      <c r="X3134" s="379"/>
      <c r="Y3134" s="379"/>
      <c r="Z3134" s="379"/>
      <c r="AA3134" s="379"/>
      <c r="AB3134" s="379"/>
      <c r="AC3134" s="379"/>
      <c r="AD3134" s="379"/>
      <c r="AE3134" s="379"/>
      <c r="AF3134" s="379"/>
      <c r="AG3134" s="379"/>
      <c r="AH3134" s="379"/>
      <c r="AI3134" s="379"/>
      <c r="AJ3134" s="379"/>
      <c r="AK3134" s="379"/>
      <c r="AL3134" s="379"/>
      <c r="AM3134" s="379"/>
      <c r="AN3134" s="379"/>
      <c r="AO3134" s="379"/>
      <c r="AP3134" s="379"/>
      <c r="AQ3134" s="379"/>
      <c r="AR3134" s="379"/>
      <c r="AS3134" s="379"/>
      <c r="AT3134" s="379"/>
      <c r="AU3134" s="379"/>
      <c r="AV3134" s="379"/>
      <c r="AW3134" s="379"/>
      <c r="AX3134" s="379"/>
      <c r="AY3134" s="379"/>
      <c r="AZ3134" s="379"/>
      <c r="BA3134" s="379"/>
      <c r="BB3134" s="379"/>
      <c r="BC3134" s="379"/>
      <c r="BD3134" s="379"/>
      <c r="BE3134" s="379"/>
      <c r="BF3134" s="379"/>
      <c r="BG3134" s="379"/>
      <c r="BH3134" s="379"/>
      <c r="BI3134" s="379"/>
      <c r="BJ3134" s="379"/>
      <c r="BK3134" s="379"/>
      <c r="BL3134" s="379"/>
      <c r="BM3134" s="379"/>
      <c r="BN3134" s="379"/>
      <c r="BO3134" s="379"/>
      <c r="BP3134" s="379"/>
      <c r="BQ3134" s="379"/>
      <c r="BR3134" s="379"/>
      <c r="BS3134" s="379"/>
      <c r="BT3134" s="379"/>
      <c r="BU3134" s="379"/>
      <c r="BV3134" s="379"/>
      <c r="BW3134" s="379"/>
      <c r="BX3134" s="379"/>
      <c r="BY3134" s="379"/>
      <c r="BZ3134" s="379"/>
      <c r="CA3134" s="281"/>
      <c r="CB3134" s="3" t="str">
        <f t="shared" si="574"/>
        <v>Riadok bude skrytý.</v>
      </c>
      <c r="CC3134" s="271" t="s">
        <v>832</v>
      </c>
      <c r="CW3134" s="30">
        <f t="shared" si="571"/>
        <v>0</v>
      </c>
      <c r="CX3134" s="30">
        <f t="shared" si="572"/>
        <v>0</v>
      </c>
      <c r="CZ3134" s="30">
        <f t="shared" si="575"/>
        <v>1</v>
      </c>
      <c r="DA3134" s="52">
        <f t="shared" si="573"/>
        <v>0</v>
      </c>
      <c r="DB3134" s="140">
        <f t="shared" si="570"/>
        <v>0</v>
      </c>
      <c r="DS3134" s="130">
        <f>SI!BY3134</f>
        <v>370</v>
      </c>
      <c r="DZ3134" s="131">
        <f>SI!BZ3134</f>
        <v>0</v>
      </c>
    </row>
    <row r="3135" spans="1:130" hidden="1" x14ac:dyDescent="0.25">
      <c r="A3135" s="141"/>
      <c r="B3135" s="379"/>
      <c r="C3135" s="379"/>
      <c r="D3135" s="379"/>
      <c r="E3135" s="379"/>
      <c r="F3135" s="379"/>
      <c r="G3135" s="379"/>
      <c r="H3135" s="379"/>
      <c r="I3135" s="379"/>
      <c r="J3135" s="379"/>
      <c r="K3135" s="379"/>
      <c r="L3135" s="379"/>
      <c r="M3135" s="379"/>
      <c r="N3135" s="379"/>
      <c r="O3135" s="379"/>
      <c r="P3135" s="379"/>
      <c r="Q3135" s="379"/>
      <c r="R3135" s="379"/>
      <c r="S3135" s="379"/>
      <c r="T3135" s="379"/>
      <c r="U3135" s="379"/>
      <c r="V3135" s="379"/>
      <c r="W3135" s="379"/>
      <c r="X3135" s="379"/>
      <c r="Y3135" s="379"/>
      <c r="Z3135" s="379"/>
      <c r="AA3135" s="379"/>
      <c r="AB3135" s="379"/>
      <c r="AC3135" s="379"/>
      <c r="AD3135" s="379"/>
      <c r="AE3135" s="379"/>
      <c r="AF3135" s="379"/>
      <c r="AG3135" s="379"/>
      <c r="AH3135" s="379"/>
      <c r="AI3135" s="379"/>
      <c r="AJ3135" s="379"/>
      <c r="AK3135" s="379"/>
      <c r="AL3135" s="379"/>
      <c r="AM3135" s="379"/>
      <c r="AN3135" s="379"/>
      <c r="AO3135" s="379"/>
      <c r="AP3135" s="379"/>
      <c r="AQ3135" s="379"/>
      <c r="AR3135" s="379"/>
      <c r="AS3135" s="379"/>
      <c r="AT3135" s="379"/>
      <c r="AU3135" s="379"/>
      <c r="AV3135" s="379"/>
      <c r="AW3135" s="379"/>
      <c r="AX3135" s="379"/>
      <c r="AY3135" s="379"/>
      <c r="AZ3135" s="379"/>
      <c r="BA3135" s="379"/>
      <c r="BB3135" s="379"/>
      <c r="BC3135" s="379"/>
      <c r="BD3135" s="379"/>
      <c r="BE3135" s="379"/>
      <c r="BF3135" s="379"/>
      <c r="BG3135" s="379"/>
      <c r="BH3135" s="379"/>
      <c r="BI3135" s="379"/>
      <c r="BJ3135" s="379"/>
      <c r="BK3135" s="379"/>
      <c r="BL3135" s="379"/>
      <c r="BM3135" s="379"/>
      <c r="BN3135" s="379"/>
      <c r="BO3135" s="379"/>
      <c r="BP3135" s="379"/>
      <c r="BQ3135" s="379"/>
      <c r="BR3135" s="379"/>
      <c r="BS3135" s="379"/>
      <c r="BT3135" s="379"/>
      <c r="BU3135" s="379"/>
      <c r="BV3135" s="379"/>
      <c r="BW3135" s="379"/>
      <c r="BX3135" s="379"/>
      <c r="BY3135" s="379"/>
      <c r="BZ3135" s="379"/>
      <c r="CA3135" s="281"/>
      <c r="CB3135" s="3" t="str">
        <f t="shared" si="574"/>
        <v>Riadok bude skrytý.</v>
      </c>
      <c r="CC3135" s="271" t="s">
        <v>832</v>
      </c>
      <c r="CW3135" s="30">
        <f t="shared" si="571"/>
        <v>0</v>
      </c>
      <c r="CX3135" s="30">
        <f t="shared" si="572"/>
        <v>0</v>
      </c>
      <c r="CZ3135" s="30">
        <f t="shared" si="575"/>
        <v>1</v>
      </c>
      <c r="DA3135" s="52">
        <f t="shared" si="573"/>
        <v>0</v>
      </c>
      <c r="DB3135" s="140">
        <f t="shared" si="570"/>
        <v>0</v>
      </c>
      <c r="DS3135" s="130">
        <f>SI!BY3135</f>
        <v>158</v>
      </c>
      <c r="DZ3135" s="131">
        <f>SI!BZ3135</f>
        <v>0</v>
      </c>
    </row>
    <row r="3136" spans="1:130" hidden="1" x14ac:dyDescent="0.25">
      <c r="A3136" s="141"/>
      <c r="B3136" s="379"/>
      <c r="C3136" s="379"/>
      <c r="D3136" s="379"/>
      <c r="E3136" s="379"/>
      <c r="F3136" s="379"/>
      <c r="G3136" s="379"/>
      <c r="H3136" s="379"/>
      <c r="I3136" s="379"/>
      <c r="J3136" s="379"/>
      <c r="K3136" s="379"/>
      <c r="L3136" s="379"/>
      <c r="M3136" s="379"/>
      <c r="N3136" s="379"/>
      <c r="O3136" s="379"/>
      <c r="P3136" s="379"/>
      <c r="Q3136" s="379"/>
      <c r="R3136" s="379"/>
      <c r="S3136" s="379"/>
      <c r="T3136" s="379"/>
      <c r="U3136" s="379"/>
      <c r="V3136" s="379"/>
      <c r="W3136" s="379"/>
      <c r="X3136" s="379"/>
      <c r="Y3136" s="379"/>
      <c r="Z3136" s="379"/>
      <c r="AA3136" s="379"/>
      <c r="AB3136" s="379"/>
      <c r="AC3136" s="379"/>
      <c r="AD3136" s="379"/>
      <c r="AE3136" s="379"/>
      <c r="AF3136" s="379"/>
      <c r="AG3136" s="379"/>
      <c r="AH3136" s="379"/>
      <c r="AI3136" s="379"/>
      <c r="AJ3136" s="379"/>
      <c r="AK3136" s="379"/>
      <c r="AL3136" s="379"/>
      <c r="AM3136" s="379"/>
      <c r="AN3136" s="379"/>
      <c r="AO3136" s="379"/>
      <c r="AP3136" s="379"/>
      <c r="AQ3136" s="379"/>
      <c r="AR3136" s="379"/>
      <c r="AS3136" s="379"/>
      <c r="AT3136" s="379"/>
      <c r="AU3136" s="379"/>
      <c r="AV3136" s="379"/>
      <c r="AW3136" s="379"/>
      <c r="AX3136" s="379"/>
      <c r="AY3136" s="379"/>
      <c r="AZ3136" s="379"/>
      <c r="BA3136" s="379"/>
      <c r="BB3136" s="379"/>
      <c r="BC3136" s="379"/>
      <c r="BD3136" s="379"/>
      <c r="BE3136" s="379"/>
      <c r="BF3136" s="379"/>
      <c r="BG3136" s="379"/>
      <c r="BH3136" s="379"/>
      <c r="BI3136" s="379"/>
      <c r="BJ3136" s="379"/>
      <c r="BK3136" s="379"/>
      <c r="BL3136" s="379"/>
      <c r="BM3136" s="379"/>
      <c r="BN3136" s="379"/>
      <c r="BO3136" s="379"/>
      <c r="BP3136" s="379"/>
      <c r="BQ3136" s="379"/>
      <c r="BR3136" s="379"/>
      <c r="BS3136" s="379"/>
      <c r="BT3136" s="379"/>
      <c r="BU3136" s="379"/>
      <c r="BV3136" s="379"/>
      <c r="BW3136" s="379"/>
      <c r="BX3136" s="379"/>
      <c r="BY3136" s="379"/>
      <c r="BZ3136" s="379"/>
      <c r="CA3136" s="281"/>
      <c r="CB3136" s="3" t="str">
        <f t="shared" si="574"/>
        <v>Riadok bude skrytý.</v>
      </c>
      <c r="CC3136" s="271" t="s">
        <v>832</v>
      </c>
      <c r="CW3136" s="30">
        <f t="shared" si="571"/>
        <v>0</v>
      </c>
      <c r="CX3136" s="30">
        <f t="shared" si="572"/>
        <v>0</v>
      </c>
      <c r="CZ3136" s="30">
        <f t="shared" si="575"/>
        <v>1</v>
      </c>
      <c r="DA3136" s="52">
        <f t="shared" si="573"/>
        <v>0</v>
      </c>
      <c r="DB3136" s="140">
        <f t="shared" si="570"/>
        <v>0</v>
      </c>
      <c r="DS3136" s="130">
        <f>SI!BY3136</f>
        <v>342</v>
      </c>
      <c r="DZ3136" s="131">
        <f>SI!BZ3136</f>
        <v>0</v>
      </c>
    </row>
    <row r="3137" spans="1:130" hidden="1" x14ac:dyDescent="0.25">
      <c r="A3137" s="141"/>
      <c r="B3137" s="379"/>
      <c r="C3137" s="379"/>
      <c r="D3137" s="379"/>
      <c r="E3137" s="379"/>
      <c r="F3137" s="379"/>
      <c r="G3137" s="379"/>
      <c r="H3137" s="379"/>
      <c r="I3137" s="379"/>
      <c r="J3137" s="379"/>
      <c r="K3137" s="379"/>
      <c r="L3137" s="379"/>
      <c r="M3137" s="379"/>
      <c r="N3137" s="379"/>
      <c r="O3137" s="379"/>
      <c r="P3137" s="379"/>
      <c r="Q3137" s="379"/>
      <c r="R3137" s="379"/>
      <c r="S3137" s="379"/>
      <c r="T3137" s="379"/>
      <c r="U3137" s="379"/>
      <c r="V3137" s="379"/>
      <c r="W3137" s="379"/>
      <c r="X3137" s="379"/>
      <c r="Y3137" s="379"/>
      <c r="Z3137" s="379"/>
      <c r="AA3137" s="379"/>
      <c r="AB3137" s="379"/>
      <c r="AC3137" s="379"/>
      <c r="AD3137" s="379"/>
      <c r="AE3137" s="379"/>
      <c r="AF3137" s="379"/>
      <c r="AG3137" s="379"/>
      <c r="AH3137" s="379"/>
      <c r="AI3137" s="379"/>
      <c r="AJ3137" s="379"/>
      <c r="AK3137" s="379"/>
      <c r="AL3137" s="379"/>
      <c r="AM3137" s="379"/>
      <c r="AN3137" s="379"/>
      <c r="AO3137" s="379"/>
      <c r="AP3137" s="379"/>
      <c r="AQ3137" s="379"/>
      <c r="AR3137" s="379"/>
      <c r="AS3137" s="379"/>
      <c r="AT3137" s="379"/>
      <c r="AU3137" s="379"/>
      <c r="AV3137" s="379"/>
      <c r="AW3137" s="379"/>
      <c r="AX3137" s="379"/>
      <c r="AY3137" s="379"/>
      <c r="AZ3137" s="379"/>
      <c r="BA3137" s="379"/>
      <c r="BB3137" s="379"/>
      <c r="BC3137" s="379"/>
      <c r="BD3137" s="379"/>
      <c r="BE3137" s="379"/>
      <c r="BF3137" s="379"/>
      <c r="BG3137" s="379"/>
      <c r="BH3137" s="379"/>
      <c r="BI3137" s="379"/>
      <c r="BJ3137" s="379"/>
      <c r="BK3137" s="379"/>
      <c r="BL3137" s="379"/>
      <c r="BM3137" s="379"/>
      <c r="BN3137" s="379"/>
      <c r="BO3137" s="379"/>
      <c r="BP3137" s="379"/>
      <c r="BQ3137" s="379"/>
      <c r="BR3137" s="379"/>
      <c r="BS3137" s="379"/>
      <c r="BT3137" s="379"/>
      <c r="BU3137" s="379"/>
      <c r="BV3137" s="379"/>
      <c r="BW3137" s="379"/>
      <c r="BX3137" s="379"/>
      <c r="BY3137" s="379"/>
      <c r="BZ3137" s="379"/>
      <c r="CA3137" s="281"/>
      <c r="CB3137" s="3" t="str">
        <f t="shared" si="574"/>
        <v>Riadok bude skrytý.</v>
      </c>
      <c r="CC3137" s="271" t="s">
        <v>832</v>
      </c>
      <c r="CW3137" s="30">
        <f t="shared" si="571"/>
        <v>0</v>
      </c>
      <c r="CX3137" s="30">
        <f t="shared" si="572"/>
        <v>0</v>
      </c>
      <c r="CZ3137" s="30">
        <f t="shared" si="575"/>
        <v>1</v>
      </c>
      <c r="DA3137" s="52">
        <f t="shared" si="573"/>
        <v>0</v>
      </c>
      <c r="DB3137" s="140">
        <f t="shared" si="570"/>
        <v>0</v>
      </c>
      <c r="DS3137" s="130">
        <f>SI!BY3137</f>
        <v>188</v>
      </c>
      <c r="DZ3137" s="131">
        <f>SI!BZ3137</f>
        <v>0</v>
      </c>
    </row>
    <row r="3138" spans="1:130" hidden="1" x14ac:dyDescent="0.25">
      <c r="A3138" s="141"/>
      <c r="B3138" s="379"/>
      <c r="C3138" s="379"/>
      <c r="D3138" s="379"/>
      <c r="E3138" s="379"/>
      <c r="F3138" s="379"/>
      <c r="G3138" s="379"/>
      <c r="H3138" s="379"/>
      <c r="I3138" s="379"/>
      <c r="J3138" s="379"/>
      <c r="K3138" s="379"/>
      <c r="L3138" s="379"/>
      <c r="M3138" s="379"/>
      <c r="N3138" s="379"/>
      <c r="O3138" s="379"/>
      <c r="P3138" s="379"/>
      <c r="Q3138" s="379"/>
      <c r="R3138" s="379"/>
      <c r="S3138" s="379"/>
      <c r="T3138" s="379"/>
      <c r="U3138" s="379"/>
      <c r="V3138" s="379"/>
      <c r="W3138" s="379"/>
      <c r="X3138" s="379"/>
      <c r="Y3138" s="379"/>
      <c r="Z3138" s="379"/>
      <c r="AA3138" s="379"/>
      <c r="AB3138" s="379"/>
      <c r="AC3138" s="379"/>
      <c r="AD3138" s="379"/>
      <c r="AE3138" s="379"/>
      <c r="AF3138" s="379"/>
      <c r="AG3138" s="379"/>
      <c r="AH3138" s="379"/>
      <c r="AI3138" s="379"/>
      <c r="AJ3138" s="379"/>
      <c r="AK3138" s="379"/>
      <c r="AL3138" s="379"/>
      <c r="AM3138" s="379"/>
      <c r="AN3138" s="379"/>
      <c r="AO3138" s="379"/>
      <c r="AP3138" s="379"/>
      <c r="AQ3138" s="379"/>
      <c r="AR3138" s="379"/>
      <c r="AS3138" s="379"/>
      <c r="AT3138" s="379"/>
      <c r="AU3138" s="379"/>
      <c r="AV3138" s="379"/>
      <c r="AW3138" s="379"/>
      <c r="AX3138" s="379"/>
      <c r="AY3138" s="379"/>
      <c r="AZ3138" s="379"/>
      <c r="BA3138" s="379"/>
      <c r="BB3138" s="379"/>
      <c r="BC3138" s="379"/>
      <c r="BD3138" s="379"/>
      <c r="BE3138" s="379"/>
      <c r="BF3138" s="379"/>
      <c r="BG3138" s="379"/>
      <c r="BH3138" s="379"/>
      <c r="BI3138" s="379"/>
      <c r="BJ3138" s="379"/>
      <c r="BK3138" s="379"/>
      <c r="BL3138" s="379"/>
      <c r="BM3138" s="379"/>
      <c r="BN3138" s="379"/>
      <c r="BO3138" s="379"/>
      <c r="BP3138" s="379"/>
      <c r="BQ3138" s="379"/>
      <c r="BR3138" s="379"/>
      <c r="BS3138" s="379"/>
      <c r="BT3138" s="379"/>
      <c r="BU3138" s="379"/>
      <c r="BV3138" s="379"/>
      <c r="BW3138" s="379"/>
      <c r="BX3138" s="379"/>
      <c r="BY3138" s="379"/>
      <c r="BZ3138" s="379"/>
      <c r="CA3138" s="281"/>
      <c r="CB3138" s="3" t="str">
        <f t="shared" si="574"/>
        <v>Riadok bude skrytý.</v>
      </c>
      <c r="CC3138" s="271" t="s">
        <v>832</v>
      </c>
      <c r="CW3138" s="30">
        <f t="shared" si="571"/>
        <v>0</v>
      </c>
      <c r="CX3138" s="30">
        <f t="shared" si="572"/>
        <v>0</v>
      </c>
      <c r="CZ3138" s="30">
        <f t="shared" si="575"/>
        <v>1</v>
      </c>
      <c r="DA3138" s="52">
        <f t="shared" si="573"/>
        <v>0</v>
      </c>
      <c r="DB3138" s="140">
        <f t="shared" si="570"/>
        <v>0</v>
      </c>
      <c r="DS3138" s="130">
        <f>SI!BY3138</f>
        <v>1082</v>
      </c>
      <c r="DZ3138" s="131">
        <f>SI!BZ3138</f>
        <v>0</v>
      </c>
    </row>
    <row r="3139" spans="1:130" hidden="1" x14ac:dyDescent="0.25">
      <c r="A3139" s="141"/>
      <c r="CA3139" s="142"/>
      <c r="CB3139" s="3" t="str">
        <f t="shared" si="574"/>
        <v>Riadok bude skrytý.</v>
      </c>
      <c r="CC3139" s="271" t="s">
        <v>832</v>
      </c>
      <c r="CW3139" s="30">
        <f t="shared" si="571"/>
        <v>0</v>
      </c>
      <c r="CZ3139" s="30">
        <f t="shared" si="575"/>
        <v>1</v>
      </c>
      <c r="DA3139" s="30">
        <f>+IF(CW3139+CX3139+CY3139=0,0,IF(CZ3139=0,0,1))</f>
        <v>0</v>
      </c>
      <c r="DB3139" s="2">
        <f>+IF($CD$1="malé",0,DA3139)</f>
        <v>0</v>
      </c>
      <c r="DS3139" s="130">
        <f>SI!BY3139</f>
        <v>152</v>
      </c>
      <c r="DZ3139" s="131">
        <f>SI!BZ3139</f>
        <v>0</v>
      </c>
    </row>
    <row r="3140" spans="1:130" hidden="1" x14ac:dyDescent="0.25">
      <c r="A3140" s="141"/>
      <c r="B3140" s="289" t="s">
        <v>94</v>
      </c>
      <c r="C3140" s="288"/>
      <c r="D3140" s="288"/>
      <c r="E3140" s="288"/>
      <c r="F3140" s="288"/>
      <c r="G3140" s="289" t="str">
        <f>+IF($U$52&lt;&gt;"",IF((ROUNDDOWN(CODE(MID($U$52,1,1)),0)-(BIN2DEC(1010)/10))*0+(LEN(SI!J2)+LEN(SI!J5))=DS3140,"Podmienené záväzky","NEPOVOLENÉ POUŽITIE!"),"NEPOVOLENÉ POUŽITIE!")</f>
        <v>Podmienené záväzky</v>
      </c>
      <c r="H3140" s="289"/>
      <c r="I3140" s="288"/>
      <c r="J3140" s="288"/>
      <c r="K3140" s="288"/>
      <c r="L3140" s="288"/>
      <c r="M3140" s="288"/>
      <c r="N3140" s="288"/>
      <c r="O3140" s="288"/>
      <c r="P3140" s="288"/>
      <c r="Q3140" s="288"/>
      <c r="R3140" s="288"/>
      <c r="S3140" s="288"/>
      <c r="T3140" s="288"/>
      <c r="U3140" s="288"/>
      <c r="V3140" s="288"/>
      <c r="W3140" s="288"/>
      <c r="X3140" s="288"/>
      <c r="Y3140" s="288"/>
      <c r="Z3140" s="288"/>
      <c r="AA3140" s="288"/>
      <c r="AB3140" s="288"/>
      <c r="AC3140" s="288"/>
      <c r="AD3140" s="288"/>
      <c r="AE3140" s="288"/>
      <c r="AF3140" s="288"/>
      <c r="AG3140" s="288"/>
      <c r="AH3140" s="288"/>
      <c r="AI3140" s="288"/>
      <c r="AJ3140" s="288"/>
      <c r="AK3140" s="288"/>
      <c r="AL3140" s="288"/>
      <c r="AM3140" s="288"/>
      <c r="AN3140" s="288"/>
      <c r="AO3140" s="288"/>
      <c r="AP3140" s="288"/>
      <c r="AQ3140" s="288"/>
      <c r="AR3140" s="288"/>
      <c r="AS3140" s="288"/>
      <c r="AT3140" s="288"/>
      <c r="AU3140" s="288"/>
      <c r="AV3140" s="288"/>
      <c r="AW3140" s="288"/>
      <c r="AX3140" s="288"/>
      <c r="AY3140" s="288"/>
      <c r="AZ3140" s="288"/>
      <c r="BA3140" s="288"/>
      <c r="BB3140" s="288"/>
      <c r="BC3140" s="288"/>
      <c r="BD3140" s="288"/>
      <c r="BE3140" s="288"/>
      <c r="BF3140" s="288"/>
      <c r="BG3140" s="288"/>
      <c r="BH3140" s="288"/>
      <c r="BI3140" s="288"/>
      <c r="BJ3140" s="288"/>
      <c r="BK3140" s="288"/>
      <c r="BL3140" s="288"/>
      <c r="BM3140" s="288"/>
      <c r="BN3140" s="288"/>
      <c r="BO3140" s="288"/>
      <c r="BP3140" s="288"/>
      <c r="BQ3140" s="288"/>
      <c r="BR3140" s="288"/>
      <c r="BS3140" s="288"/>
      <c r="BT3140" s="288"/>
      <c r="BU3140" s="288"/>
      <c r="BV3140" s="288"/>
      <c r="BW3140" s="288"/>
      <c r="BX3140" s="288"/>
      <c r="BY3140" s="288"/>
      <c r="BZ3140" s="288"/>
      <c r="CA3140" s="265" t="s">
        <v>773</v>
      </c>
      <c r="CB3140" s="3" t="str">
        <f t="shared" si="574"/>
        <v>Riadok bude skrytý.</v>
      </c>
      <c r="CC3140" s="271" t="s">
        <v>832</v>
      </c>
      <c r="CW3140" s="30">
        <f t="shared" si="571"/>
        <v>0</v>
      </c>
      <c r="CZ3140" s="30">
        <f t="shared" si="575"/>
        <v>1</v>
      </c>
      <c r="DA3140" s="30">
        <f>+IF(CW3140+CX3140+CY3140=0,0,IF(CZ3140=0,0,1))</f>
        <v>0</v>
      </c>
      <c r="DB3140" s="2">
        <f>+IF($CD$1="malé",0,DA3140)</f>
        <v>0</v>
      </c>
      <c r="DS3140" s="130">
        <f>SI!BY3140</f>
        <v>28</v>
      </c>
      <c r="DZ3140" s="131">
        <f>SI!BZ3140</f>
        <v>0</v>
      </c>
    </row>
    <row r="3141" spans="1:130" hidden="1" x14ac:dyDescent="0.25">
      <c r="A3141" s="141"/>
      <c r="B3141" s="7"/>
      <c r="G3141" s="7"/>
      <c r="H3141" s="7"/>
      <c r="CA3141" s="142"/>
      <c r="CB3141" s="3" t="str">
        <f t="shared" si="574"/>
        <v>Riadok bude skrytý.</v>
      </c>
      <c r="CC3141" s="271" t="s">
        <v>832</v>
      </c>
      <c r="CW3141" s="30">
        <f t="shared" si="571"/>
        <v>0</v>
      </c>
      <c r="CZ3141" s="30">
        <f t="shared" si="575"/>
        <v>1</v>
      </c>
      <c r="DA3141" s="30">
        <f>+IF(CW3141+CX3141+CY3141=0,0,IF(CZ3141=0,0,1))</f>
        <v>0</v>
      </c>
      <c r="DB3141" s="2">
        <f>+IF($CD$1="malé",0,DA3141)</f>
        <v>0</v>
      </c>
      <c r="DS3141" s="130">
        <f>SI!BY3141</f>
        <v>4</v>
      </c>
      <c r="DZ3141" s="131">
        <f>SI!BZ3141</f>
        <v>0</v>
      </c>
    </row>
    <row r="3142" spans="1:130" hidden="1" x14ac:dyDescent="0.25">
      <c r="A3142" s="141"/>
      <c r="B3142" s="137" t="s">
        <v>96</v>
      </c>
      <c r="J3142" s="378" t="s">
        <v>1063</v>
      </c>
      <c r="K3142" s="378"/>
      <c r="L3142" s="378"/>
      <c r="M3142" s="378"/>
      <c r="N3142" s="378"/>
      <c r="O3142" s="378"/>
      <c r="P3142" s="378"/>
      <c r="Q3142" s="378"/>
      <c r="R3142" s="378"/>
      <c r="S3142" s="137" t="str">
        <f>+IF($S$52&lt;&gt;"",IF((CODE(MID($S$52,1,1))/100)&lt;10,IF(COMBIN(LEN(SI!J3),2)=DS3142,"podmienené zäväzky.","NEPOVOLENÉ POUŽITIE !"),"NEPOVOLENÉ POUŽITIE!"),"NEPOVOLENÉ POUŽITIE !")</f>
        <v>podmienené zäväzky.</v>
      </c>
      <c r="T3142" s="38"/>
      <c r="CA3142" s="142"/>
      <c r="CB3142" s="3" t="str">
        <f t="shared" si="574"/>
        <v>Riadok bude skrytý.</v>
      </c>
      <c r="CC3142" s="271" t="s">
        <v>832</v>
      </c>
      <c r="CD3142" s="14"/>
      <c r="CF3142" s="13"/>
      <c r="CW3142" s="30">
        <f t="shared" si="571"/>
        <v>0</v>
      </c>
      <c r="CZ3142" s="30">
        <f t="shared" si="575"/>
        <v>1</v>
      </c>
      <c r="DA3142" s="30">
        <f>+IF(CW3142+CX3142+CY3142=0,0,IF(CZ3142=0,0,1))</f>
        <v>0</v>
      </c>
      <c r="DB3142" s="140">
        <f t="shared" ref="DB3142:DB3154" si="576">+DA3142</f>
        <v>0</v>
      </c>
      <c r="DS3142" s="130">
        <f>SI!BY3142</f>
        <v>10</v>
      </c>
      <c r="DZ3142" s="131">
        <f>SI!BZ3142</f>
        <v>0</v>
      </c>
    </row>
    <row r="3143" spans="1:130" hidden="1" x14ac:dyDescent="0.25">
      <c r="A3143" s="141"/>
      <c r="CA3143" s="142"/>
      <c r="CB3143" s="3" t="str">
        <f t="shared" si="574"/>
        <v>Riadok bude skrytý.</v>
      </c>
      <c r="CC3143" s="271" t="s">
        <v>832</v>
      </c>
      <c r="CW3143" s="30">
        <f t="shared" si="571"/>
        <v>0</v>
      </c>
      <c r="CX3143" s="30">
        <f t="shared" ref="CX3143:CX3170" si="577">+IF($J$3142="neeviduje",0,1)</f>
        <v>0</v>
      </c>
      <c r="CZ3143" s="30">
        <f t="shared" si="575"/>
        <v>1</v>
      </c>
      <c r="DA3143" s="30">
        <f>+IF(CW3143+CX3143+CY3143=0,0,IF(CZ3143=0,0,1))</f>
        <v>0</v>
      </c>
      <c r="DB3143" s="140">
        <f t="shared" si="576"/>
        <v>0</v>
      </c>
      <c r="DS3143" s="130">
        <f>SI!BY3143</f>
        <v>157</v>
      </c>
      <c r="DZ3143" s="131">
        <f>SI!BZ3143</f>
        <v>0</v>
      </c>
    </row>
    <row r="3144" spans="1:130" hidden="1" x14ac:dyDescent="0.25">
      <c r="A3144" s="141"/>
      <c r="B3144" s="137" t="str">
        <f>+IF(J3142="eviduje","Prehľad podmienených záväzkov za bežné účtovné obdobie je uvedený v tabuľke:","")</f>
        <v/>
      </c>
      <c r="CA3144" s="270"/>
      <c r="CB3144" s="3" t="str">
        <f t="shared" si="574"/>
        <v>Riadok bude skrytý.</v>
      </c>
      <c r="CC3144" s="271" t="s">
        <v>832</v>
      </c>
      <c r="CW3144" s="30">
        <f t="shared" si="571"/>
        <v>0</v>
      </c>
      <c r="CX3144" s="30">
        <f t="shared" si="577"/>
        <v>0</v>
      </c>
      <c r="CZ3144" s="30">
        <f t="shared" si="575"/>
        <v>1</v>
      </c>
      <c r="DA3144" s="52">
        <f t="shared" ref="DA3144:DA3154" si="578">+IF(CW3144*CX3144=0,0,IF(CZ3144=0,0,1))</f>
        <v>0</v>
      </c>
      <c r="DB3144" s="140">
        <f t="shared" si="576"/>
        <v>0</v>
      </c>
      <c r="DS3144" s="130">
        <f>SI!BY3144</f>
        <v>239</v>
      </c>
      <c r="DZ3144" s="131">
        <f>SI!BZ3144</f>
        <v>0</v>
      </c>
    </row>
    <row r="3145" spans="1:130" hidden="1" x14ac:dyDescent="0.25">
      <c r="A3145" s="141"/>
      <c r="CA3145" s="270"/>
      <c r="CB3145" s="3" t="str">
        <f t="shared" si="574"/>
        <v>Riadok bude skrytý.</v>
      </c>
      <c r="CC3145" s="271" t="s">
        <v>832</v>
      </c>
      <c r="CW3145" s="30">
        <f t="shared" si="571"/>
        <v>0</v>
      </c>
      <c r="CX3145" s="30">
        <f t="shared" si="577"/>
        <v>0</v>
      </c>
      <c r="CZ3145" s="30">
        <f t="shared" si="575"/>
        <v>1</v>
      </c>
      <c r="DA3145" s="52">
        <f t="shared" si="578"/>
        <v>0</v>
      </c>
      <c r="DB3145" s="140">
        <f t="shared" si="576"/>
        <v>0</v>
      </c>
      <c r="DS3145" s="130">
        <f>SI!BY3145</f>
        <v>121</v>
      </c>
      <c r="DZ3145" s="131">
        <f>SI!BZ3145</f>
        <v>0</v>
      </c>
    </row>
    <row r="3146" spans="1:130" hidden="1" x14ac:dyDescent="0.25">
      <c r="A3146" s="141"/>
      <c r="B3146" s="1038" t="s">
        <v>398</v>
      </c>
      <c r="C3146" s="1039"/>
      <c r="D3146" s="1039"/>
      <c r="E3146" s="1039"/>
      <c r="F3146" s="1039"/>
      <c r="G3146" s="1039"/>
      <c r="H3146" s="1039"/>
      <c r="I3146" s="1039"/>
      <c r="J3146" s="1039"/>
      <c r="K3146" s="1039"/>
      <c r="L3146" s="1039"/>
      <c r="M3146" s="1039"/>
      <c r="N3146" s="1039"/>
      <c r="O3146" s="1039"/>
      <c r="P3146" s="1039"/>
      <c r="Q3146" s="1039"/>
      <c r="R3146" s="1039"/>
      <c r="S3146" s="1039"/>
      <c r="T3146" s="1039"/>
      <c r="U3146" s="1039"/>
      <c r="V3146" s="1039"/>
      <c r="W3146" s="1039"/>
      <c r="X3146" s="1039"/>
      <c r="Y3146" s="1039"/>
      <c r="Z3146" s="1039"/>
      <c r="AA3146" s="1039"/>
      <c r="AB3146" s="1039"/>
      <c r="AC3146" s="1039"/>
      <c r="AD3146" s="1039"/>
      <c r="AE3146" s="1039"/>
      <c r="AF3146" s="1040"/>
      <c r="AG3146" s="1044">
        <f>+AJ141</f>
        <v>2021</v>
      </c>
      <c r="AH3146" s="1045"/>
      <c r="AI3146" s="1045"/>
      <c r="AJ3146" s="1045"/>
      <c r="AK3146" s="1045"/>
      <c r="AL3146" s="1045"/>
      <c r="AM3146" s="1045"/>
      <c r="AN3146" s="1045"/>
      <c r="AO3146" s="1045"/>
      <c r="AP3146" s="1045"/>
      <c r="AQ3146" s="1045"/>
      <c r="AR3146" s="1045"/>
      <c r="AS3146" s="1045"/>
      <c r="AT3146" s="1045"/>
      <c r="AU3146" s="1045"/>
      <c r="AV3146" s="1045"/>
      <c r="AW3146" s="1045"/>
      <c r="AX3146" s="1045"/>
      <c r="AY3146" s="1045"/>
      <c r="AZ3146" s="1045"/>
      <c r="BA3146" s="1045"/>
      <c r="BB3146" s="1045"/>
      <c r="BC3146" s="1045"/>
      <c r="BD3146" s="1045"/>
      <c r="BE3146" s="1045"/>
      <c r="BF3146" s="1045"/>
      <c r="BG3146" s="1045"/>
      <c r="BH3146" s="1045"/>
      <c r="BI3146" s="1045"/>
      <c r="BJ3146" s="1045"/>
      <c r="BK3146" s="1045"/>
      <c r="BL3146" s="1045"/>
      <c r="BM3146" s="1045"/>
      <c r="BN3146" s="1045"/>
      <c r="BO3146" s="1045"/>
      <c r="BP3146" s="1045"/>
      <c r="BQ3146" s="1045"/>
      <c r="BR3146" s="1045"/>
      <c r="BS3146" s="1045"/>
      <c r="BT3146" s="1045"/>
      <c r="BU3146" s="1045"/>
      <c r="BV3146" s="1045"/>
      <c r="BW3146" s="1045"/>
      <c r="BX3146" s="1045"/>
      <c r="BY3146" s="1045"/>
      <c r="BZ3146" s="1046"/>
      <c r="CA3146" s="265" t="s">
        <v>773</v>
      </c>
      <c r="CB3146" s="3" t="str">
        <f t="shared" si="574"/>
        <v>Riadok bude skrytý.</v>
      </c>
      <c r="CC3146" s="271" t="s">
        <v>832</v>
      </c>
      <c r="CD3146" s="137"/>
      <c r="CE3146" s="137"/>
      <c r="CF3146" s="137"/>
      <c r="CG3146" s="137"/>
      <c r="CH3146" s="137"/>
      <c r="CI3146" s="137"/>
      <c r="CJ3146" s="137"/>
      <c r="CK3146" s="137"/>
      <c r="CL3146" s="137"/>
      <c r="CM3146" s="137"/>
      <c r="CN3146" s="137"/>
      <c r="CO3146" s="137"/>
      <c r="CP3146" s="137"/>
      <c r="CW3146" s="30">
        <f t="shared" si="571"/>
        <v>0</v>
      </c>
      <c r="CX3146" s="30">
        <f t="shared" si="577"/>
        <v>0</v>
      </c>
      <c r="CZ3146" s="30">
        <f t="shared" si="575"/>
        <v>1</v>
      </c>
      <c r="DA3146" s="52">
        <f t="shared" si="578"/>
        <v>0</v>
      </c>
      <c r="DB3146" s="140">
        <f t="shared" si="576"/>
        <v>0</v>
      </c>
      <c r="DS3146" s="130">
        <f>SI!BY3146</f>
        <v>173</v>
      </c>
      <c r="DZ3146" s="131">
        <f>SI!BZ3146</f>
        <v>0</v>
      </c>
    </row>
    <row r="3147" spans="1:130" ht="14.95" hidden="1" customHeight="1" x14ac:dyDescent="0.25">
      <c r="A3147" s="141"/>
      <c r="B3147" s="1041"/>
      <c r="C3147" s="1042"/>
      <c r="D3147" s="1042"/>
      <c r="E3147" s="1042"/>
      <c r="F3147" s="1042"/>
      <c r="G3147" s="1042"/>
      <c r="H3147" s="1042"/>
      <c r="I3147" s="1042"/>
      <c r="J3147" s="1042"/>
      <c r="K3147" s="1042"/>
      <c r="L3147" s="1042"/>
      <c r="M3147" s="1042"/>
      <c r="N3147" s="1042"/>
      <c r="O3147" s="1042"/>
      <c r="P3147" s="1042"/>
      <c r="Q3147" s="1042"/>
      <c r="R3147" s="1042"/>
      <c r="S3147" s="1042"/>
      <c r="T3147" s="1042"/>
      <c r="U3147" s="1042"/>
      <c r="V3147" s="1042"/>
      <c r="W3147" s="1042"/>
      <c r="X3147" s="1042"/>
      <c r="Y3147" s="1042"/>
      <c r="Z3147" s="1042"/>
      <c r="AA3147" s="1042"/>
      <c r="AB3147" s="1042"/>
      <c r="AC3147" s="1042"/>
      <c r="AD3147" s="1042"/>
      <c r="AE3147" s="1042"/>
      <c r="AF3147" s="1043"/>
      <c r="AG3147" s="1047" t="s">
        <v>399</v>
      </c>
      <c r="AH3147" s="1048"/>
      <c r="AI3147" s="1048"/>
      <c r="AJ3147" s="1048"/>
      <c r="AK3147" s="1048"/>
      <c r="AL3147" s="1048"/>
      <c r="AM3147" s="1048"/>
      <c r="AN3147" s="1048"/>
      <c r="AO3147" s="1048"/>
      <c r="AP3147" s="1048"/>
      <c r="AQ3147" s="1048"/>
      <c r="AR3147" s="1048"/>
      <c r="AS3147" s="1048"/>
      <c r="AT3147" s="1048"/>
      <c r="AU3147" s="1048"/>
      <c r="AV3147" s="1048"/>
      <c r="AW3147" s="1048"/>
      <c r="AX3147" s="1048"/>
      <c r="AY3147" s="1048"/>
      <c r="AZ3147" s="1048"/>
      <c r="BA3147" s="1048"/>
      <c r="BB3147" s="1048"/>
      <c r="BC3147" s="1048"/>
      <c r="BD3147" s="1049" t="s">
        <v>400</v>
      </c>
      <c r="BE3147" s="1049"/>
      <c r="BF3147" s="1049"/>
      <c r="BG3147" s="1049"/>
      <c r="BH3147" s="1049"/>
      <c r="BI3147" s="1049"/>
      <c r="BJ3147" s="1049"/>
      <c r="BK3147" s="1049"/>
      <c r="BL3147" s="1049"/>
      <c r="BM3147" s="1049"/>
      <c r="BN3147" s="1049"/>
      <c r="BO3147" s="1049"/>
      <c r="BP3147" s="1049"/>
      <c r="BQ3147" s="1049"/>
      <c r="BR3147" s="1049"/>
      <c r="BS3147" s="1049"/>
      <c r="BT3147" s="1049"/>
      <c r="BU3147" s="1049"/>
      <c r="BV3147" s="1049"/>
      <c r="BW3147" s="1049"/>
      <c r="BX3147" s="1049"/>
      <c r="BY3147" s="1049"/>
      <c r="BZ3147" s="1050"/>
      <c r="CA3147" s="270"/>
      <c r="CB3147" s="3" t="str">
        <f t="shared" si="574"/>
        <v>Riadok bude skrytý.</v>
      </c>
      <c r="CC3147" s="271" t="s">
        <v>832</v>
      </c>
      <c r="CD3147" s="33"/>
      <c r="CW3147" s="30">
        <f t="shared" si="571"/>
        <v>0</v>
      </c>
      <c r="CX3147" s="30">
        <f t="shared" si="577"/>
        <v>0</v>
      </c>
      <c r="CZ3147" s="30">
        <f t="shared" si="575"/>
        <v>1</v>
      </c>
      <c r="DA3147" s="52">
        <f t="shared" si="578"/>
        <v>0</v>
      </c>
      <c r="DB3147" s="140">
        <f t="shared" si="576"/>
        <v>0</v>
      </c>
      <c r="DS3147" s="130">
        <f>SI!BY3147</f>
        <v>365</v>
      </c>
      <c r="DZ3147" s="131">
        <f>SI!BZ3147</f>
        <v>0</v>
      </c>
    </row>
    <row r="3148" spans="1:130" hidden="1" x14ac:dyDescent="0.25">
      <c r="A3148" s="141"/>
      <c r="B3148" s="1033" t="s">
        <v>401</v>
      </c>
      <c r="C3148" s="1034"/>
      <c r="D3148" s="1034"/>
      <c r="E3148" s="1034"/>
      <c r="F3148" s="1034"/>
      <c r="G3148" s="1034"/>
      <c r="H3148" s="1034"/>
      <c r="I3148" s="1034"/>
      <c r="J3148" s="1034"/>
      <c r="K3148" s="1034"/>
      <c r="L3148" s="1034"/>
      <c r="M3148" s="1034"/>
      <c r="N3148" s="1034"/>
      <c r="O3148" s="1034"/>
      <c r="P3148" s="1034"/>
      <c r="Q3148" s="1034"/>
      <c r="R3148" s="1034"/>
      <c r="S3148" s="1034"/>
      <c r="T3148" s="1034"/>
      <c r="U3148" s="1034"/>
      <c r="V3148" s="1034"/>
      <c r="W3148" s="1034"/>
      <c r="X3148" s="1034"/>
      <c r="Y3148" s="1034"/>
      <c r="Z3148" s="1034"/>
      <c r="AA3148" s="1034"/>
      <c r="AB3148" s="1034"/>
      <c r="AC3148" s="1034"/>
      <c r="AD3148" s="1034"/>
      <c r="AE3148" s="1034"/>
      <c r="AF3148" s="1035"/>
      <c r="AG3148" s="1054"/>
      <c r="AH3148" s="1055"/>
      <c r="AI3148" s="1055"/>
      <c r="AJ3148" s="1055"/>
      <c r="AK3148" s="1055"/>
      <c r="AL3148" s="1055"/>
      <c r="AM3148" s="1055"/>
      <c r="AN3148" s="1055"/>
      <c r="AO3148" s="1055"/>
      <c r="AP3148" s="1055"/>
      <c r="AQ3148" s="1055"/>
      <c r="AR3148" s="1055"/>
      <c r="AS3148" s="1055"/>
      <c r="AT3148" s="1055"/>
      <c r="AU3148" s="1055"/>
      <c r="AV3148" s="1055"/>
      <c r="AW3148" s="1055"/>
      <c r="AX3148" s="1055"/>
      <c r="AY3148" s="1055"/>
      <c r="AZ3148" s="1055"/>
      <c r="BA3148" s="1055"/>
      <c r="BB3148" s="1055"/>
      <c r="BC3148" s="1055"/>
      <c r="BD3148" s="1055"/>
      <c r="BE3148" s="1055"/>
      <c r="BF3148" s="1055"/>
      <c r="BG3148" s="1055"/>
      <c r="BH3148" s="1055"/>
      <c r="BI3148" s="1055"/>
      <c r="BJ3148" s="1055"/>
      <c r="BK3148" s="1055"/>
      <c r="BL3148" s="1055"/>
      <c r="BM3148" s="1055"/>
      <c r="BN3148" s="1055"/>
      <c r="BO3148" s="1055"/>
      <c r="BP3148" s="1055"/>
      <c r="BQ3148" s="1055"/>
      <c r="BR3148" s="1055"/>
      <c r="BS3148" s="1055"/>
      <c r="BT3148" s="1055"/>
      <c r="BU3148" s="1055"/>
      <c r="BV3148" s="1055"/>
      <c r="BW3148" s="1055"/>
      <c r="BX3148" s="1055"/>
      <c r="BY3148" s="1055"/>
      <c r="BZ3148" s="1056"/>
      <c r="CA3148" s="270"/>
      <c r="CB3148" s="3" t="str">
        <f t="shared" si="574"/>
        <v>Riadok bude skrytý.</v>
      </c>
      <c r="CC3148" s="271" t="s">
        <v>832</v>
      </c>
      <c r="CW3148" s="30">
        <f t="shared" si="571"/>
        <v>0</v>
      </c>
      <c r="CX3148" s="30">
        <f t="shared" si="577"/>
        <v>0</v>
      </c>
      <c r="CZ3148" s="30">
        <f t="shared" si="575"/>
        <v>1</v>
      </c>
      <c r="DA3148" s="52">
        <f t="shared" si="578"/>
        <v>0</v>
      </c>
      <c r="DB3148" s="140">
        <f t="shared" si="576"/>
        <v>0</v>
      </c>
      <c r="DS3148" s="130">
        <f>SI!BY3148</f>
        <v>196</v>
      </c>
      <c r="DZ3148" s="131">
        <f>SI!BZ3148</f>
        <v>0</v>
      </c>
    </row>
    <row r="3149" spans="1:130" hidden="1" x14ac:dyDescent="0.25">
      <c r="A3149" s="141"/>
      <c r="B3149" s="589" t="s">
        <v>402</v>
      </c>
      <c r="C3149" s="590"/>
      <c r="D3149" s="590"/>
      <c r="E3149" s="590"/>
      <c r="F3149" s="590"/>
      <c r="G3149" s="590"/>
      <c r="H3149" s="590"/>
      <c r="I3149" s="590"/>
      <c r="J3149" s="590"/>
      <c r="K3149" s="590"/>
      <c r="L3149" s="590"/>
      <c r="M3149" s="590"/>
      <c r="N3149" s="590"/>
      <c r="O3149" s="590"/>
      <c r="P3149" s="590"/>
      <c r="Q3149" s="590"/>
      <c r="R3149" s="590"/>
      <c r="S3149" s="590"/>
      <c r="T3149" s="590"/>
      <c r="U3149" s="590"/>
      <c r="V3149" s="590"/>
      <c r="W3149" s="590"/>
      <c r="X3149" s="590"/>
      <c r="Y3149" s="590"/>
      <c r="Z3149" s="590"/>
      <c r="AA3149" s="590"/>
      <c r="AB3149" s="590"/>
      <c r="AC3149" s="590"/>
      <c r="AD3149" s="590"/>
      <c r="AE3149" s="590"/>
      <c r="AF3149" s="591"/>
      <c r="AG3149" s="363"/>
      <c r="AH3149" s="364"/>
      <c r="AI3149" s="364"/>
      <c r="AJ3149" s="364"/>
      <c r="AK3149" s="364"/>
      <c r="AL3149" s="364"/>
      <c r="AM3149" s="364"/>
      <c r="AN3149" s="364"/>
      <c r="AO3149" s="364"/>
      <c r="AP3149" s="364"/>
      <c r="AQ3149" s="364"/>
      <c r="AR3149" s="364"/>
      <c r="AS3149" s="364"/>
      <c r="AT3149" s="364"/>
      <c r="AU3149" s="364"/>
      <c r="AV3149" s="364"/>
      <c r="AW3149" s="364"/>
      <c r="AX3149" s="364"/>
      <c r="AY3149" s="364"/>
      <c r="AZ3149" s="364"/>
      <c r="BA3149" s="364"/>
      <c r="BB3149" s="364"/>
      <c r="BC3149" s="364"/>
      <c r="BD3149" s="364"/>
      <c r="BE3149" s="364"/>
      <c r="BF3149" s="364"/>
      <c r="BG3149" s="364"/>
      <c r="BH3149" s="364"/>
      <c r="BI3149" s="364"/>
      <c r="BJ3149" s="364"/>
      <c r="BK3149" s="364"/>
      <c r="BL3149" s="364"/>
      <c r="BM3149" s="364"/>
      <c r="BN3149" s="364"/>
      <c r="BO3149" s="364"/>
      <c r="BP3149" s="364"/>
      <c r="BQ3149" s="364"/>
      <c r="BR3149" s="364"/>
      <c r="BS3149" s="364"/>
      <c r="BT3149" s="364"/>
      <c r="BU3149" s="364"/>
      <c r="BV3149" s="364"/>
      <c r="BW3149" s="364"/>
      <c r="BX3149" s="364"/>
      <c r="BY3149" s="364"/>
      <c r="BZ3149" s="387"/>
      <c r="CA3149" s="270"/>
      <c r="CB3149" s="3" t="str">
        <f t="shared" si="574"/>
        <v>Riadok bude skrytý.</v>
      </c>
      <c r="CC3149" s="271" t="s">
        <v>832</v>
      </c>
      <c r="CW3149" s="30">
        <f t="shared" si="571"/>
        <v>0</v>
      </c>
      <c r="CX3149" s="30">
        <f t="shared" si="577"/>
        <v>0</v>
      </c>
      <c r="CZ3149" s="30">
        <f t="shared" si="575"/>
        <v>1</v>
      </c>
      <c r="DA3149" s="52">
        <f t="shared" si="578"/>
        <v>0</v>
      </c>
      <c r="DB3149" s="140">
        <f t="shared" si="576"/>
        <v>0</v>
      </c>
      <c r="DS3149" s="130">
        <f>SI!BY3149</f>
        <v>629</v>
      </c>
      <c r="DZ3149" s="131">
        <f>SI!BZ3149</f>
        <v>0</v>
      </c>
    </row>
    <row r="3150" spans="1:130" hidden="1" x14ac:dyDescent="0.25">
      <c r="A3150" s="141"/>
      <c r="B3150" s="589" t="s">
        <v>403</v>
      </c>
      <c r="C3150" s="590"/>
      <c r="D3150" s="590"/>
      <c r="E3150" s="590"/>
      <c r="F3150" s="590"/>
      <c r="G3150" s="590"/>
      <c r="H3150" s="590"/>
      <c r="I3150" s="590"/>
      <c r="J3150" s="590"/>
      <c r="K3150" s="590"/>
      <c r="L3150" s="590"/>
      <c r="M3150" s="590"/>
      <c r="N3150" s="590"/>
      <c r="O3150" s="590"/>
      <c r="P3150" s="590"/>
      <c r="Q3150" s="590"/>
      <c r="R3150" s="590"/>
      <c r="S3150" s="590"/>
      <c r="T3150" s="590"/>
      <c r="U3150" s="590"/>
      <c r="V3150" s="590"/>
      <c r="W3150" s="590"/>
      <c r="X3150" s="590"/>
      <c r="Y3150" s="590"/>
      <c r="Z3150" s="590"/>
      <c r="AA3150" s="590"/>
      <c r="AB3150" s="590"/>
      <c r="AC3150" s="590"/>
      <c r="AD3150" s="590"/>
      <c r="AE3150" s="590"/>
      <c r="AF3150" s="591"/>
      <c r="AG3150" s="363"/>
      <c r="AH3150" s="364"/>
      <c r="AI3150" s="364"/>
      <c r="AJ3150" s="364"/>
      <c r="AK3150" s="364"/>
      <c r="AL3150" s="364"/>
      <c r="AM3150" s="364"/>
      <c r="AN3150" s="364"/>
      <c r="AO3150" s="364"/>
      <c r="AP3150" s="364"/>
      <c r="AQ3150" s="364"/>
      <c r="AR3150" s="364"/>
      <c r="AS3150" s="364"/>
      <c r="AT3150" s="364"/>
      <c r="AU3150" s="364"/>
      <c r="AV3150" s="364"/>
      <c r="AW3150" s="364"/>
      <c r="AX3150" s="364"/>
      <c r="AY3150" s="364"/>
      <c r="AZ3150" s="364"/>
      <c r="BA3150" s="364"/>
      <c r="BB3150" s="364"/>
      <c r="BC3150" s="364"/>
      <c r="BD3150" s="364"/>
      <c r="BE3150" s="364"/>
      <c r="BF3150" s="364"/>
      <c r="BG3150" s="364"/>
      <c r="BH3150" s="364"/>
      <c r="BI3150" s="364"/>
      <c r="BJ3150" s="364"/>
      <c r="BK3150" s="364"/>
      <c r="BL3150" s="364"/>
      <c r="BM3150" s="364"/>
      <c r="BN3150" s="364"/>
      <c r="BO3150" s="364"/>
      <c r="BP3150" s="364"/>
      <c r="BQ3150" s="364"/>
      <c r="BR3150" s="364"/>
      <c r="BS3150" s="364"/>
      <c r="BT3150" s="364"/>
      <c r="BU3150" s="364"/>
      <c r="BV3150" s="364"/>
      <c r="BW3150" s="364"/>
      <c r="BX3150" s="364"/>
      <c r="BY3150" s="364"/>
      <c r="BZ3150" s="387"/>
      <c r="CA3150" s="270"/>
      <c r="CB3150" s="3" t="str">
        <f t="shared" si="574"/>
        <v>Riadok bude skrytý.</v>
      </c>
      <c r="CC3150" s="271" t="s">
        <v>832</v>
      </c>
      <c r="CW3150" s="30">
        <f t="shared" si="571"/>
        <v>0</v>
      </c>
      <c r="CX3150" s="30">
        <f t="shared" si="577"/>
        <v>0</v>
      </c>
      <c r="CZ3150" s="30">
        <f t="shared" si="575"/>
        <v>1</v>
      </c>
      <c r="DA3150" s="52">
        <f t="shared" si="578"/>
        <v>0</v>
      </c>
      <c r="DB3150" s="140">
        <f t="shared" si="576"/>
        <v>0</v>
      </c>
      <c r="DS3150" s="130">
        <f>SI!BY3150</f>
        <v>203</v>
      </c>
      <c r="DZ3150" s="131">
        <f>SI!BZ3150</f>
        <v>0</v>
      </c>
    </row>
    <row r="3151" spans="1:130" hidden="1" x14ac:dyDescent="0.25">
      <c r="A3151" s="141"/>
      <c r="B3151" s="589" t="s">
        <v>404</v>
      </c>
      <c r="C3151" s="590"/>
      <c r="D3151" s="590"/>
      <c r="E3151" s="590"/>
      <c r="F3151" s="590"/>
      <c r="G3151" s="590"/>
      <c r="H3151" s="590"/>
      <c r="I3151" s="590"/>
      <c r="J3151" s="590"/>
      <c r="K3151" s="590"/>
      <c r="L3151" s="590"/>
      <c r="M3151" s="590"/>
      <c r="N3151" s="590"/>
      <c r="O3151" s="590"/>
      <c r="P3151" s="590"/>
      <c r="Q3151" s="590"/>
      <c r="R3151" s="590"/>
      <c r="S3151" s="590"/>
      <c r="T3151" s="590"/>
      <c r="U3151" s="590"/>
      <c r="V3151" s="590"/>
      <c r="W3151" s="590"/>
      <c r="X3151" s="590"/>
      <c r="Y3151" s="590"/>
      <c r="Z3151" s="590"/>
      <c r="AA3151" s="590"/>
      <c r="AB3151" s="590"/>
      <c r="AC3151" s="590"/>
      <c r="AD3151" s="590"/>
      <c r="AE3151" s="590"/>
      <c r="AF3151" s="591"/>
      <c r="AG3151" s="363"/>
      <c r="AH3151" s="364"/>
      <c r="AI3151" s="364"/>
      <c r="AJ3151" s="364"/>
      <c r="AK3151" s="364"/>
      <c r="AL3151" s="364"/>
      <c r="AM3151" s="364"/>
      <c r="AN3151" s="364"/>
      <c r="AO3151" s="364"/>
      <c r="AP3151" s="364"/>
      <c r="AQ3151" s="364"/>
      <c r="AR3151" s="364"/>
      <c r="AS3151" s="364"/>
      <c r="AT3151" s="364"/>
      <c r="AU3151" s="364"/>
      <c r="AV3151" s="364"/>
      <c r="AW3151" s="364"/>
      <c r="AX3151" s="364"/>
      <c r="AY3151" s="364"/>
      <c r="AZ3151" s="364"/>
      <c r="BA3151" s="364"/>
      <c r="BB3151" s="364"/>
      <c r="BC3151" s="364"/>
      <c r="BD3151" s="364"/>
      <c r="BE3151" s="364"/>
      <c r="BF3151" s="364"/>
      <c r="BG3151" s="364"/>
      <c r="BH3151" s="364"/>
      <c r="BI3151" s="364"/>
      <c r="BJ3151" s="364"/>
      <c r="BK3151" s="364"/>
      <c r="BL3151" s="364"/>
      <c r="BM3151" s="364"/>
      <c r="BN3151" s="364"/>
      <c r="BO3151" s="364"/>
      <c r="BP3151" s="364"/>
      <c r="BQ3151" s="364"/>
      <c r="BR3151" s="364"/>
      <c r="BS3151" s="364"/>
      <c r="BT3151" s="364"/>
      <c r="BU3151" s="364"/>
      <c r="BV3151" s="364"/>
      <c r="BW3151" s="364"/>
      <c r="BX3151" s="364"/>
      <c r="BY3151" s="364"/>
      <c r="BZ3151" s="387"/>
      <c r="CA3151" s="270"/>
      <c r="CB3151" s="3" t="str">
        <f t="shared" si="574"/>
        <v>Riadok bude skrytý.</v>
      </c>
      <c r="CC3151" s="271" t="s">
        <v>832</v>
      </c>
      <c r="CW3151" s="30">
        <f t="shared" ref="CW3151:CW3182" si="579">+IF($J$3117="neeviduje",0,1)</f>
        <v>0</v>
      </c>
      <c r="CX3151" s="30">
        <f t="shared" si="577"/>
        <v>0</v>
      </c>
      <c r="CZ3151" s="30">
        <f t="shared" si="575"/>
        <v>1</v>
      </c>
      <c r="DA3151" s="52">
        <f t="shared" si="578"/>
        <v>0</v>
      </c>
      <c r="DB3151" s="140">
        <f t="shared" si="576"/>
        <v>0</v>
      </c>
      <c r="DS3151" s="130">
        <f>SI!BY3151</f>
        <v>899</v>
      </c>
      <c r="DZ3151" s="131">
        <f>SI!BZ3151</f>
        <v>0</v>
      </c>
    </row>
    <row r="3152" spans="1:130" hidden="1" x14ac:dyDescent="0.25">
      <c r="A3152" s="141"/>
      <c r="B3152" s="589" t="s">
        <v>405</v>
      </c>
      <c r="C3152" s="590"/>
      <c r="D3152" s="590"/>
      <c r="E3152" s="590"/>
      <c r="F3152" s="590"/>
      <c r="G3152" s="590"/>
      <c r="H3152" s="590"/>
      <c r="I3152" s="590"/>
      <c r="J3152" s="590"/>
      <c r="K3152" s="590"/>
      <c r="L3152" s="590"/>
      <c r="M3152" s="590"/>
      <c r="N3152" s="590"/>
      <c r="O3152" s="590"/>
      <c r="P3152" s="590"/>
      <c r="Q3152" s="590"/>
      <c r="R3152" s="590"/>
      <c r="S3152" s="590"/>
      <c r="T3152" s="590"/>
      <c r="U3152" s="590"/>
      <c r="V3152" s="590"/>
      <c r="W3152" s="590"/>
      <c r="X3152" s="590"/>
      <c r="Y3152" s="590"/>
      <c r="Z3152" s="590"/>
      <c r="AA3152" s="590"/>
      <c r="AB3152" s="590"/>
      <c r="AC3152" s="590"/>
      <c r="AD3152" s="590"/>
      <c r="AE3152" s="590"/>
      <c r="AF3152" s="591"/>
      <c r="AG3152" s="363"/>
      <c r="AH3152" s="364"/>
      <c r="AI3152" s="364"/>
      <c r="AJ3152" s="364"/>
      <c r="AK3152" s="364"/>
      <c r="AL3152" s="364"/>
      <c r="AM3152" s="364"/>
      <c r="AN3152" s="364"/>
      <c r="AO3152" s="364"/>
      <c r="AP3152" s="364"/>
      <c r="AQ3152" s="364"/>
      <c r="AR3152" s="364"/>
      <c r="AS3152" s="364"/>
      <c r="AT3152" s="364"/>
      <c r="AU3152" s="364"/>
      <c r="AV3152" s="364"/>
      <c r="AW3152" s="364"/>
      <c r="AX3152" s="364"/>
      <c r="AY3152" s="364"/>
      <c r="AZ3152" s="364"/>
      <c r="BA3152" s="364"/>
      <c r="BB3152" s="364"/>
      <c r="BC3152" s="364"/>
      <c r="BD3152" s="364"/>
      <c r="BE3152" s="364"/>
      <c r="BF3152" s="364"/>
      <c r="BG3152" s="364"/>
      <c r="BH3152" s="364"/>
      <c r="BI3152" s="364"/>
      <c r="BJ3152" s="364"/>
      <c r="BK3152" s="364"/>
      <c r="BL3152" s="364"/>
      <c r="BM3152" s="364"/>
      <c r="BN3152" s="364"/>
      <c r="BO3152" s="364"/>
      <c r="BP3152" s="364"/>
      <c r="BQ3152" s="364"/>
      <c r="BR3152" s="364"/>
      <c r="BS3152" s="364"/>
      <c r="BT3152" s="364"/>
      <c r="BU3152" s="364"/>
      <c r="BV3152" s="364"/>
      <c r="BW3152" s="364"/>
      <c r="BX3152" s="364"/>
      <c r="BY3152" s="364"/>
      <c r="BZ3152" s="387"/>
      <c r="CA3152" s="270"/>
      <c r="CB3152" s="3" t="str">
        <f t="shared" si="574"/>
        <v>Riadok bude skrytý.</v>
      </c>
      <c r="CC3152" s="271" t="s">
        <v>832</v>
      </c>
      <c r="CW3152" s="30">
        <f t="shared" si="579"/>
        <v>0</v>
      </c>
      <c r="CX3152" s="30">
        <f t="shared" si="577"/>
        <v>0</v>
      </c>
      <c r="CZ3152" s="30">
        <f t="shared" si="575"/>
        <v>1</v>
      </c>
      <c r="DA3152" s="52">
        <f t="shared" si="578"/>
        <v>0</v>
      </c>
      <c r="DB3152" s="140">
        <f t="shared" si="576"/>
        <v>0</v>
      </c>
      <c r="DS3152" s="130">
        <f>SI!BY3152</f>
        <v>201</v>
      </c>
      <c r="DZ3152" s="131">
        <f>SI!BZ3152</f>
        <v>0</v>
      </c>
    </row>
    <row r="3153" spans="1:130" hidden="1" x14ac:dyDescent="0.25">
      <c r="A3153" s="141"/>
      <c r="B3153" s="573" t="s">
        <v>406</v>
      </c>
      <c r="C3153" s="574"/>
      <c r="D3153" s="574"/>
      <c r="E3153" s="574"/>
      <c r="F3153" s="574"/>
      <c r="G3153" s="574"/>
      <c r="H3153" s="574"/>
      <c r="I3153" s="574"/>
      <c r="J3153" s="574"/>
      <c r="K3153" s="574"/>
      <c r="L3153" s="574"/>
      <c r="M3153" s="574"/>
      <c r="N3153" s="574"/>
      <c r="O3153" s="574"/>
      <c r="P3153" s="574"/>
      <c r="Q3153" s="574"/>
      <c r="R3153" s="574"/>
      <c r="S3153" s="574"/>
      <c r="T3153" s="574"/>
      <c r="U3153" s="574"/>
      <c r="V3153" s="574"/>
      <c r="W3153" s="574"/>
      <c r="X3153" s="574"/>
      <c r="Y3153" s="574"/>
      <c r="Z3153" s="574"/>
      <c r="AA3153" s="574"/>
      <c r="AB3153" s="574"/>
      <c r="AC3153" s="574"/>
      <c r="AD3153" s="574"/>
      <c r="AE3153" s="574"/>
      <c r="AF3153" s="575"/>
      <c r="AG3153" s="367"/>
      <c r="AH3153" s="368"/>
      <c r="AI3153" s="368"/>
      <c r="AJ3153" s="368"/>
      <c r="AK3153" s="368"/>
      <c r="AL3153" s="368"/>
      <c r="AM3153" s="368"/>
      <c r="AN3153" s="368"/>
      <c r="AO3153" s="368"/>
      <c r="AP3153" s="368"/>
      <c r="AQ3153" s="368"/>
      <c r="AR3153" s="368"/>
      <c r="AS3153" s="368"/>
      <c r="AT3153" s="368"/>
      <c r="AU3153" s="368"/>
      <c r="AV3153" s="368"/>
      <c r="AW3153" s="368"/>
      <c r="AX3153" s="368"/>
      <c r="AY3153" s="368"/>
      <c r="AZ3153" s="368"/>
      <c r="BA3153" s="368"/>
      <c r="BB3153" s="368"/>
      <c r="BC3153" s="368"/>
      <c r="BD3153" s="368"/>
      <c r="BE3153" s="368"/>
      <c r="BF3153" s="368"/>
      <c r="BG3153" s="368"/>
      <c r="BH3153" s="368"/>
      <c r="BI3153" s="368"/>
      <c r="BJ3153" s="368"/>
      <c r="BK3153" s="368"/>
      <c r="BL3153" s="368"/>
      <c r="BM3153" s="368"/>
      <c r="BN3153" s="368"/>
      <c r="BO3153" s="368"/>
      <c r="BP3153" s="368"/>
      <c r="BQ3153" s="368"/>
      <c r="BR3153" s="368"/>
      <c r="BS3153" s="368"/>
      <c r="BT3153" s="368"/>
      <c r="BU3153" s="368"/>
      <c r="BV3153" s="368"/>
      <c r="BW3153" s="368"/>
      <c r="BX3153" s="368"/>
      <c r="BY3153" s="368"/>
      <c r="BZ3153" s="438"/>
      <c r="CA3153" s="270"/>
      <c r="CB3153" s="3" t="str">
        <f t="shared" si="574"/>
        <v>Riadok bude skrytý.</v>
      </c>
      <c r="CC3153" s="271" t="s">
        <v>832</v>
      </c>
      <c r="CW3153" s="30">
        <f t="shared" si="579"/>
        <v>0</v>
      </c>
      <c r="CX3153" s="30">
        <f t="shared" si="577"/>
        <v>0</v>
      </c>
      <c r="CZ3153" s="30">
        <f t="shared" si="575"/>
        <v>1</v>
      </c>
      <c r="DA3153" s="52">
        <f t="shared" si="578"/>
        <v>0</v>
      </c>
      <c r="DB3153" s="140">
        <f t="shared" si="576"/>
        <v>0</v>
      </c>
      <c r="DS3153" s="130">
        <f>SI!BY3153</f>
        <v>637</v>
      </c>
      <c r="DZ3153" s="131">
        <f>SI!BZ3153</f>
        <v>0</v>
      </c>
    </row>
    <row r="3154" spans="1:130" hidden="1" x14ac:dyDescent="0.25">
      <c r="A3154" s="141"/>
      <c r="CA3154" s="270"/>
      <c r="CB3154" s="3" t="str">
        <f t="shared" si="574"/>
        <v>Riadok bude skrytý.</v>
      </c>
      <c r="CC3154" s="271" t="s">
        <v>937</v>
      </c>
      <c r="CD3154" s="105" t="s">
        <v>946</v>
      </c>
      <c r="CE3154" s="100"/>
      <c r="CW3154" s="30">
        <f t="shared" si="579"/>
        <v>0</v>
      </c>
      <c r="CX3154" s="30">
        <f t="shared" si="577"/>
        <v>0</v>
      </c>
      <c r="CZ3154" s="30">
        <f t="shared" si="575"/>
        <v>0</v>
      </c>
      <c r="DA3154" s="52">
        <f t="shared" si="578"/>
        <v>0</v>
      </c>
      <c r="DB3154" s="140">
        <f t="shared" si="576"/>
        <v>0</v>
      </c>
      <c r="DS3154" s="130">
        <f>SI!BY3154</f>
        <v>128</v>
      </c>
      <c r="DZ3154" s="131">
        <f>SI!BZ3154</f>
        <v>0</v>
      </c>
    </row>
    <row r="3155" spans="1:130" hidden="1" x14ac:dyDescent="0.25">
      <c r="A3155" s="141"/>
      <c r="B3155" s="1038" t="s">
        <v>398</v>
      </c>
      <c r="C3155" s="1039"/>
      <c r="D3155" s="1039"/>
      <c r="E3155" s="1039"/>
      <c r="F3155" s="1039"/>
      <c r="G3155" s="1039"/>
      <c r="H3155" s="1039"/>
      <c r="I3155" s="1039"/>
      <c r="J3155" s="1039"/>
      <c r="K3155" s="1039"/>
      <c r="L3155" s="1039"/>
      <c r="M3155" s="1039"/>
      <c r="N3155" s="1039"/>
      <c r="O3155" s="1039"/>
      <c r="P3155" s="1039"/>
      <c r="Q3155" s="1039"/>
      <c r="R3155" s="1039"/>
      <c r="S3155" s="1039"/>
      <c r="T3155" s="1039"/>
      <c r="U3155" s="1039"/>
      <c r="V3155" s="1039"/>
      <c r="W3155" s="1039"/>
      <c r="X3155" s="1039"/>
      <c r="Y3155" s="1039"/>
      <c r="Z3155" s="1039"/>
      <c r="AA3155" s="1039"/>
      <c r="AB3155" s="1039"/>
      <c r="AC3155" s="1039"/>
      <c r="AD3155" s="1039"/>
      <c r="AE3155" s="1039"/>
      <c r="AF3155" s="1040"/>
      <c r="AG3155" s="1044">
        <f>+BE141</f>
        <v>2020</v>
      </c>
      <c r="AH3155" s="1045"/>
      <c r="AI3155" s="1045"/>
      <c r="AJ3155" s="1045"/>
      <c r="AK3155" s="1045"/>
      <c r="AL3155" s="1045"/>
      <c r="AM3155" s="1045"/>
      <c r="AN3155" s="1045"/>
      <c r="AO3155" s="1045"/>
      <c r="AP3155" s="1045"/>
      <c r="AQ3155" s="1045"/>
      <c r="AR3155" s="1045"/>
      <c r="AS3155" s="1045"/>
      <c r="AT3155" s="1045"/>
      <c r="AU3155" s="1045"/>
      <c r="AV3155" s="1045"/>
      <c r="AW3155" s="1045"/>
      <c r="AX3155" s="1045"/>
      <c r="AY3155" s="1045"/>
      <c r="AZ3155" s="1045"/>
      <c r="BA3155" s="1045"/>
      <c r="BB3155" s="1045"/>
      <c r="BC3155" s="1045"/>
      <c r="BD3155" s="1045"/>
      <c r="BE3155" s="1045"/>
      <c r="BF3155" s="1045"/>
      <c r="BG3155" s="1045"/>
      <c r="BH3155" s="1045"/>
      <c r="BI3155" s="1045"/>
      <c r="BJ3155" s="1045"/>
      <c r="BK3155" s="1045"/>
      <c r="BL3155" s="1045"/>
      <c r="BM3155" s="1045"/>
      <c r="BN3155" s="1045"/>
      <c r="BO3155" s="1045"/>
      <c r="BP3155" s="1045"/>
      <c r="BQ3155" s="1045"/>
      <c r="BR3155" s="1045"/>
      <c r="BS3155" s="1045"/>
      <c r="BT3155" s="1045"/>
      <c r="BU3155" s="1045"/>
      <c r="BV3155" s="1045"/>
      <c r="BW3155" s="1045"/>
      <c r="BX3155" s="1045"/>
      <c r="BY3155" s="1045"/>
      <c r="BZ3155" s="1046"/>
      <c r="CA3155" s="265" t="s">
        <v>773</v>
      </c>
      <c r="CB3155" s="3" t="str">
        <f t="shared" si="574"/>
        <v>Riadok bude skrytý.</v>
      </c>
      <c r="CC3155" s="271" t="s">
        <v>937</v>
      </c>
      <c r="CD3155" s="137"/>
      <c r="CE3155" s="137"/>
      <c r="CF3155" s="137"/>
      <c r="CG3155" s="137"/>
      <c r="CH3155" s="137"/>
      <c r="CI3155" s="137"/>
      <c r="CJ3155" s="137"/>
      <c r="CW3155" s="30">
        <f t="shared" si="579"/>
        <v>0</v>
      </c>
      <c r="CX3155" s="30">
        <f t="shared" si="577"/>
        <v>0</v>
      </c>
      <c r="CY3155" s="32">
        <f t="shared" ref="CY3155:CY3162" si="580">+IF(YEAR($AW$123)=YEAR($DC$4),0,1)</f>
        <v>1</v>
      </c>
      <c r="CZ3155" s="30">
        <f t="shared" si="575"/>
        <v>0</v>
      </c>
      <c r="DA3155" s="53">
        <f t="shared" ref="DA3155:DA3169" si="581">+IF(CW3155*CX3155*CY3155=0,0,IF(CZ3155=0,0,1))</f>
        <v>0</v>
      </c>
      <c r="DB3155" s="2">
        <f t="shared" ref="DB3155:DB3163" si="582">+IF($CD$1="malé",0,DA3155)</f>
        <v>0</v>
      </c>
      <c r="DS3155" s="130">
        <f>SI!BY3155</f>
        <v>849</v>
      </c>
      <c r="DZ3155" s="131">
        <f>SI!BZ3155</f>
        <v>0</v>
      </c>
    </row>
    <row r="3156" spans="1:130" hidden="1" x14ac:dyDescent="0.25">
      <c r="A3156" s="141"/>
      <c r="B3156" s="1041"/>
      <c r="C3156" s="1042"/>
      <c r="D3156" s="1042"/>
      <c r="E3156" s="1042"/>
      <c r="F3156" s="1042"/>
      <c r="G3156" s="1042"/>
      <c r="H3156" s="1042"/>
      <c r="I3156" s="1042"/>
      <c r="J3156" s="1042"/>
      <c r="K3156" s="1042"/>
      <c r="L3156" s="1042"/>
      <c r="M3156" s="1042"/>
      <c r="N3156" s="1042"/>
      <c r="O3156" s="1042"/>
      <c r="P3156" s="1042"/>
      <c r="Q3156" s="1042"/>
      <c r="R3156" s="1042"/>
      <c r="S3156" s="1042"/>
      <c r="T3156" s="1042"/>
      <c r="U3156" s="1042"/>
      <c r="V3156" s="1042"/>
      <c r="W3156" s="1042"/>
      <c r="X3156" s="1042"/>
      <c r="Y3156" s="1042"/>
      <c r="Z3156" s="1042"/>
      <c r="AA3156" s="1042"/>
      <c r="AB3156" s="1042"/>
      <c r="AC3156" s="1042"/>
      <c r="AD3156" s="1042"/>
      <c r="AE3156" s="1042"/>
      <c r="AF3156" s="1043"/>
      <c r="AG3156" s="1047" t="s">
        <v>399</v>
      </c>
      <c r="AH3156" s="1048"/>
      <c r="AI3156" s="1048"/>
      <c r="AJ3156" s="1048"/>
      <c r="AK3156" s="1048"/>
      <c r="AL3156" s="1048"/>
      <c r="AM3156" s="1048"/>
      <c r="AN3156" s="1048"/>
      <c r="AO3156" s="1048"/>
      <c r="AP3156" s="1048"/>
      <c r="AQ3156" s="1048"/>
      <c r="AR3156" s="1048"/>
      <c r="AS3156" s="1048"/>
      <c r="AT3156" s="1048"/>
      <c r="AU3156" s="1048"/>
      <c r="AV3156" s="1048"/>
      <c r="AW3156" s="1048"/>
      <c r="AX3156" s="1048"/>
      <c r="AY3156" s="1048"/>
      <c r="AZ3156" s="1048"/>
      <c r="BA3156" s="1048"/>
      <c r="BB3156" s="1048"/>
      <c r="BC3156" s="1048"/>
      <c r="BD3156" s="1049" t="s">
        <v>400</v>
      </c>
      <c r="BE3156" s="1049"/>
      <c r="BF3156" s="1049"/>
      <c r="BG3156" s="1049"/>
      <c r="BH3156" s="1049"/>
      <c r="BI3156" s="1049"/>
      <c r="BJ3156" s="1049"/>
      <c r="BK3156" s="1049"/>
      <c r="BL3156" s="1049"/>
      <c r="BM3156" s="1049"/>
      <c r="BN3156" s="1049"/>
      <c r="BO3156" s="1049"/>
      <c r="BP3156" s="1049"/>
      <c r="BQ3156" s="1049"/>
      <c r="BR3156" s="1049"/>
      <c r="BS3156" s="1049"/>
      <c r="BT3156" s="1049"/>
      <c r="BU3156" s="1049"/>
      <c r="BV3156" s="1049"/>
      <c r="BW3156" s="1049"/>
      <c r="BX3156" s="1049"/>
      <c r="BY3156" s="1049"/>
      <c r="BZ3156" s="1050"/>
      <c r="CA3156" s="270"/>
      <c r="CB3156" s="3" t="str">
        <f t="shared" si="574"/>
        <v>Riadok bude skrytý.</v>
      </c>
      <c r="CC3156" s="271" t="s">
        <v>937</v>
      </c>
      <c r="CD3156" s="33"/>
      <c r="CW3156" s="30">
        <f t="shared" si="579"/>
        <v>0</v>
      </c>
      <c r="CX3156" s="30">
        <f t="shared" si="577"/>
        <v>0</v>
      </c>
      <c r="CY3156" s="32">
        <f t="shared" si="580"/>
        <v>1</v>
      </c>
      <c r="CZ3156" s="30">
        <f t="shared" si="575"/>
        <v>0</v>
      </c>
      <c r="DA3156" s="53">
        <f t="shared" si="581"/>
        <v>0</v>
      </c>
      <c r="DB3156" s="2">
        <f t="shared" si="582"/>
        <v>0</v>
      </c>
      <c r="DS3156" s="130">
        <f>SI!BY3156</f>
        <v>200</v>
      </c>
      <c r="DZ3156" s="131">
        <f>SI!BZ3156</f>
        <v>0</v>
      </c>
    </row>
    <row r="3157" spans="1:130" hidden="1" x14ac:dyDescent="0.25">
      <c r="A3157" s="141"/>
      <c r="B3157" s="1033" t="s">
        <v>401</v>
      </c>
      <c r="C3157" s="1034"/>
      <c r="D3157" s="1034"/>
      <c r="E3157" s="1034"/>
      <c r="F3157" s="1034"/>
      <c r="G3157" s="1034"/>
      <c r="H3157" s="1034"/>
      <c r="I3157" s="1034"/>
      <c r="J3157" s="1034"/>
      <c r="K3157" s="1034"/>
      <c r="L3157" s="1034"/>
      <c r="M3157" s="1034"/>
      <c r="N3157" s="1034"/>
      <c r="O3157" s="1034"/>
      <c r="P3157" s="1034"/>
      <c r="Q3157" s="1034"/>
      <c r="R3157" s="1034"/>
      <c r="S3157" s="1034"/>
      <c r="T3157" s="1034"/>
      <c r="U3157" s="1034"/>
      <c r="V3157" s="1034"/>
      <c r="W3157" s="1034"/>
      <c r="X3157" s="1034"/>
      <c r="Y3157" s="1034"/>
      <c r="Z3157" s="1034"/>
      <c r="AA3157" s="1034"/>
      <c r="AB3157" s="1034"/>
      <c r="AC3157" s="1034"/>
      <c r="AD3157" s="1034"/>
      <c r="AE3157" s="1034"/>
      <c r="AF3157" s="1035"/>
      <c r="AG3157" s="1054"/>
      <c r="AH3157" s="1055"/>
      <c r="AI3157" s="1055"/>
      <c r="AJ3157" s="1055"/>
      <c r="AK3157" s="1055"/>
      <c r="AL3157" s="1055"/>
      <c r="AM3157" s="1055"/>
      <c r="AN3157" s="1055"/>
      <c r="AO3157" s="1055"/>
      <c r="AP3157" s="1055"/>
      <c r="AQ3157" s="1055"/>
      <c r="AR3157" s="1055"/>
      <c r="AS3157" s="1055"/>
      <c r="AT3157" s="1055"/>
      <c r="AU3157" s="1055"/>
      <c r="AV3157" s="1055"/>
      <c r="AW3157" s="1055"/>
      <c r="AX3157" s="1055"/>
      <c r="AY3157" s="1055"/>
      <c r="AZ3157" s="1055"/>
      <c r="BA3157" s="1055"/>
      <c r="BB3157" s="1055"/>
      <c r="BC3157" s="1055"/>
      <c r="BD3157" s="1055"/>
      <c r="BE3157" s="1055"/>
      <c r="BF3157" s="1055"/>
      <c r="BG3157" s="1055"/>
      <c r="BH3157" s="1055"/>
      <c r="BI3157" s="1055"/>
      <c r="BJ3157" s="1055"/>
      <c r="BK3157" s="1055"/>
      <c r="BL3157" s="1055"/>
      <c r="BM3157" s="1055"/>
      <c r="BN3157" s="1055"/>
      <c r="BO3157" s="1055"/>
      <c r="BP3157" s="1055"/>
      <c r="BQ3157" s="1055"/>
      <c r="BR3157" s="1055"/>
      <c r="BS3157" s="1055"/>
      <c r="BT3157" s="1055"/>
      <c r="BU3157" s="1055"/>
      <c r="BV3157" s="1055"/>
      <c r="BW3157" s="1055"/>
      <c r="BX3157" s="1055"/>
      <c r="BY3157" s="1055"/>
      <c r="BZ3157" s="1056"/>
      <c r="CA3157" s="270"/>
      <c r="CB3157" s="3" t="str">
        <f t="shared" si="574"/>
        <v>Riadok bude skrytý.</v>
      </c>
      <c r="CC3157" s="271" t="s">
        <v>937</v>
      </c>
      <c r="CW3157" s="30">
        <f t="shared" si="579"/>
        <v>0</v>
      </c>
      <c r="CX3157" s="30">
        <f t="shared" si="577"/>
        <v>0</v>
      </c>
      <c r="CY3157" s="32">
        <f t="shared" si="580"/>
        <v>1</v>
      </c>
      <c r="CZ3157" s="30">
        <f t="shared" si="575"/>
        <v>0</v>
      </c>
      <c r="DA3157" s="53">
        <f t="shared" si="581"/>
        <v>0</v>
      </c>
      <c r="DB3157" s="2">
        <f t="shared" si="582"/>
        <v>0</v>
      </c>
      <c r="DS3157" s="130">
        <f>SI!BY3157</f>
        <v>1181</v>
      </c>
      <c r="DZ3157" s="131">
        <f>SI!BZ3157</f>
        <v>0</v>
      </c>
    </row>
    <row r="3158" spans="1:130" hidden="1" x14ac:dyDescent="0.25">
      <c r="A3158" s="141"/>
      <c r="B3158" s="589" t="s">
        <v>402</v>
      </c>
      <c r="C3158" s="590"/>
      <c r="D3158" s="590"/>
      <c r="E3158" s="590"/>
      <c r="F3158" s="590"/>
      <c r="G3158" s="590"/>
      <c r="H3158" s="590"/>
      <c r="I3158" s="590"/>
      <c r="J3158" s="590"/>
      <c r="K3158" s="590"/>
      <c r="L3158" s="590"/>
      <c r="M3158" s="590"/>
      <c r="N3158" s="590"/>
      <c r="O3158" s="590"/>
      <c r="P3158" s="590"/>
      <c r="Q3158" s="590"/>
      <c r="R3158" s="590"/>
      <c r="S3158" s="590"/>
      <c r="T3158" s="590"/>
      <c r="U3158" s="590"/>
      <c r="V3158" s="590"/>
      <c r="W3158" s="590"/>
      <c r="X3158" s="590"/>
      <c r="Y3158" s="590"/>
      <c r="Z3158" s="590"/>
      <c r="AA3158" s="590"/>
      <c r="AB3158" s="590"/>
      <c r="AC3158" s="590"/>
      <c r="AD3158" s="590"/>
      <c r="AE3158" s="590"/>
      <c r="AF3158" s="591"/>
      <c r="AG3158" s="363"/>
      <c r="AH3158" s="364"/>
      <c r="AI3158" s="364"/>
      <c r="AJ3158" s="364"/>
      <c r="AK3158" s="364"/>
      <c r="AL3158" s="364"/>
      <c r="AM3158" s="364"/>
      <c r="AN3158" s="364"/>
      <c r="AO3158" s="364"/>
      <c r="AP3158" s="364"/>
      <c r="AQ3158" s="364"/>
      <c r="AR3158" s="364"/>
      <c r="AS3158" s="364"/>
      <c r="AT3158" s="364"/>
      <c r="AU3158" s="364"/>
      <c r="AV3158" s="364"/>
      <c r="AW3158" s="364"/>
      <c r="AX3158" s="364"/>
      <c r="AY3158" s="364"/>
      <c r="AZ3158" s="364"/>
      <c r="BA3158" s="364"/>
      <c r="BB3158" s="364"/>
      <c r="BC3158" s="364"/>
      <c r="BD3158" s="364"/>
      <c r="BE3158" s="364"/>
      <c r="BF3158" s="364"/>
      <c r="BG3158" s="364"/>
      <c r="BH3158" s="364"/>
      <c r="BI3158" s="364"/>
      <c r="BJ3158" s="364"/>
      <c r="BK3158" s="364"/>
      <c r="BL3158" s="364"/>
      <c r="BM3158" s="364"/>
      <c r="BN3158" s="364"/>
      <c r="BO3158" s="364"/>
      <c r="BP3158" s="364"/>
      <c r="BQ3158" s="364"/>
      <c r="BR3158" s="364"/>
      <c r="BS3158" s="364"/>
      <c r="BT3158" s="364"/>
      <c r="BU3158" s="364"/>
      <c r="BV3158" s="364"/>
      <c r="BW3158" s="364"/>
      <c r="BX3158" s="364"/>
      <c r="BY3158" s="364"/>
      <c r="BZ3158" s="387"/>
      <c r="CA3158" s="270"/>
      <c r="CB3158" s="3" t="str">
        <f t="shared" si="574"/>
        <v>Riadok bude skrytý.</v>
      </c>
      <c r="CC3158" s="271" t="s">
        <v>937</v>
      </c>
      <c r="CW3158" s="30">
        <f t="shared" si="579"/>
        <v>0</v>
      </c>
      <c r="CX3158" s="30">
        <f t="shared" si="577"/>
        <v>0</v>
      </c>
      <c r="CY3158" s="32">
        <f t="shared" si="580"/>
        <v>1</v>
      </c>
      <c r="CZ3158" s="30">
        <f t="shared" si="575"/>
        <v>0</v>
      </c>
      <c r="DA3158" s="53">
        <f t="shared" si="581"/>
        <v>0</v>
      </c>
      <c r="DB3158" s="2">
        <f t="shared" si="582"/>
        <v>0</v>
      </c>
      <c r="DS3158" s="130">
        <f>SI!BY3158</f>
        <v>177</v>
      </c>
      <c r="DZ3158" s="131">
        <f>SI!BZ3158</f>
        <v>0</v>
      </c>
    </row>
    <row r="3159" spans="1:130" hidden="1" x14ac:dyDescent="0.25">
      <c r="A3159" s="141"/>
      <c r="B3159" s="589" t="s">
        <v>403</v>
      </c>
      <c r="C3159" s="590"/>
      <c r="D3159" s="590"/>
      <c r="E3159" s="590"/>
      <c r="F3159" s="590"/>
      <c r="G3159" s="590"/>
      <c r="H3159" s="590"/>
      <c r="I3159" s="590"/>
      <c r="J3159" s="590"/>
      <c r="K3159" s="590"/>
      <c r="L3159" s="590"/>
      <c r="M3159" s="590"/>
      <c r="N3159" s="590"/>
      <c r="O3159" s="590"/>
      <c r="P3159" s="590"/>
      <c r="Q3159" s="590"/>
      <c r="R3159" s="590"/>
      <c r="S3159" s="590"/>
      <c r="T3159" s="590"/>
      <c r="U3159" s="590"/>
      <c r="V3159" s="590"/>
      <c r="W3159" s="590"/>
      <c r="X3159" s="590"/>
      <c r="Y3159" s="590"/>
      <c r="Z3159" s="590"/>
      <c r="AA3159" s="590"/>
      <c r="AB3159" s="590"/>
      <c r="AC3159" s="590"/>
      <c r="AD3159" s="590"/>
      <c r="AE3159" s="590"/>
      <c r="AF3159" s="591"/>
      <c r="AG3159" s="363"/>
      <c r="AH3159" s="364"/>
      <c r="AI3159" s="364"/>
      <c r="AJ3159" s="364"/>
      <c r="AK3159" s="364"/>
      <c r="AL3159" s="364"/>
      <c r="AM3159" s="364"/>
      <c r="AN3159" s="364"/>
      <c r="AO3159" s="364"/>
      <c r="AP3159" s="364"/>
      <c r="AQ3159" s="364"/>
      <c r="AR3159" s="364"/>
      <c r="AS3159" s="364"/>
      <c r="AT3159" s="364"/>
      <c r="AU3159" s="364"/>
      <c r="AV3159" s="364"/>
      <c r="AW3159" s="364"/>
      <c r="AX3159" s="364"/>
      <c r="AY3159" s="364"/>
      <c r="AZ3159" s="364"/>
      <c r="BA3159" s="364"/>
      <c r="BB3159" s="364"/>
      <c r="BC3159" s="364"/>
      <c r="BD3159" s="364"/>
      <c r="BE3159" s="364"/>
      <c r="BF3159" s="364"/>
      <c r="BG3159" s="364"/>
      <c r="BH3159" s="364"/>
      <c r="BI3159" s="364"/>
      <c r="BJ3159" s="364"/>
      <c r="BK3159" s="364"/>
      <c r="BL3159" s="364"/>
      <c r="BM3159" s="364"/>
      <c r="BN3159" s="364"/>
      <c r="BO3159" s="364"/>
      <c r="BP3159" s="364"/>
      <c r="BQ3159" s="364"/>
      <c r="BR3159" s="364"/>
      <c r="BS3159" s="364"/>
      <c r="BT3159" s="364"/>
      <c r="BU3159" s="364"/>
      <c r="BV3159" s="364"/>
      <c r="BW3159" s="364"/>
      <c r="BX3159" s="364"/>
      <c r="BY3159" s="364"/>
      <c r="BZ3159" s="387"/>
      <c r="CA3159" s="270"/>
      <c r="CB3159" s="3" t="str">
        <f t="shared" si="574"/>
        <v>Riadok bude skrytý.</v>
      </c>
      <c r="CC3159" s="271" t="s">
        <v>937</v>
      </c>
      <c r="CW3159" s="30">
        <f t="shared" si="579"/>
        <v>0</v>
      </c>
      <c r="CX3159" s="30">
        <f t="shared" si="577"/>
        <v>0</v>
      </c>
      <c r="CY3159" s="32">
        <f t="shared" si="580"/>
        <v>1</v>
      </c>
      <c r="CZ3159" s="30">
        <f t="shared" si="575"/>
        <v>0</v>
      </c>
      <c r="DA3159" s="53">
        <f t="shared" si="581"/>
        <v>0</v>
      </c>
      <c r="DB3159" s="2">
        <f t="shared" si="582"/>
        <v>0</v>
      </c>
      <c r="DS3159" s="130">
        <f>SI!BY3159</f>
        <v>590</v>
      </c>
      <c r="DZ3159" s="131">
        <f>SI!BZ3159</f>
        <v>0</v>
      </c>
    </row>
    <row r="3160" spans="1:130" hidden="1" x14ac:dyDescent="0.25">
      <c r="A3160" s="141"/>
      <c r="B3160" s="589" t="s">
        <v>404</v>
      </c>
      <c r="C3160" s="590"/>
      <c r="D3160" s="590"/>
      <c r="E3160" s="590"/>
      <c r="F3160" s="590"/>
      <c r="G3160" s="590"/>
      <c r="H3160" s="590"/>
      <c r="I3160" s="590"/>
      <c r="J3160" s="590"/>
      <c r="K3160" s="590"/>
      <c r="L3160" s="590"/>
      <c r="M3160" s="590"/>
      <c r="N3160" s="590"/>
      <c r="O3160" s="590"/>
      <c r="P3160" s="590"/>
      <c r="Q3160" s="590"/>
      <c r="R3160" s="590"/>
      <c r="S3160" s="590"/>
      <c r="T3160" s="590"/>
      <c r="U3160" s="590"/>
      <c r="V3160" s="590"/>
      <c r="W3160" s="590"/>
      <c r="X3160" s="590"/>
      <c r="Y3160" s="590"/>
      <c r="Z3160" s="590"/>
      <c r="AA3160" s="590"/>
      <c r="AB3160" s="590"/>
      <c r="AC3160" s="590"/>
      <c r="AD3160" s="590"/>
      <c r="AE3160" s="590"/>
      <c r="AF3160" s="591"/>
      <c r="AG3160" s="363"/>
      <c r="AH3160" s="364"/>
      <c r="AI3160" s="364"/>
      <c r="AJ3160" s="364"/>
      <c r="AK3160" s="364"/>
      <c r="AL3160" s="364"/>
      <c r="AM3160" s="364"/>
      <c r="AN3160" s="364"/>
      <c r="AO3160" s="364"/>
      <c r="AP3160" s="364"/>
      <c r="AQ3160" s="364"/>
      <c r="AR3160" s="364"/>
      <c r="AS3160" s="364"/>
      <c r="AT3160" s="364"/>
      <c r="AU3160" s="364"/>
      <c r="AV3160" s="364"/>
      <c r="AW3160" s="364"/>
      <c r="AX3160" s="364"/>
      <c r="AY3160" s="364"/>
      <c r="AZ3160" s="364"/>
      <c r="BA3160" s="364"/>
      <c r="BB3160" s="364"/>
      <c r="BC3160" s="364"/>
      <c r="BD3160" s="364"/>
      <c r="BE3160" s="364"/>
      <c r="BF3160" s="364"/>
      <c r="BG3160" s="364"/>
      <c r="BH3160" s="364"/>
      <c r="BI3160" s="364"/>
      <c r="BJ3160" s="364"/>
      <c r="BK3160" s="364"/>
      <c r="BL3160" s="364"/>
      <c r="BM3160" s="364"/>
      <c r="BN3160" s="364"/>
      <c r="BO3160" s="364"/>
      <c r="BP3160" s="364"/>
      <c r="BQ3160" s="364"/>
      <c r="BR3160" s="364"/>
      <c r="BS3160" s="364"/>
      <c r="BT3160" s="364"/>
      <c r="BU3160" s="364"/>
      <c r="BV3160" s="364"/>
      <c r="BW3160" s="364"/>
      <c r="BX3160" s="364"/>
      <c r="BY3160" s="364"/>
      <c r="BZ3160" s="387"/>
      <c r="CA3160" s="270"/>
      <c r="CB3160" s="3" t="str">
        <f t="shared" si="574"/>
        <v>Riadok bude skrytý.</v>
      </c>
      <c r="CC3160" s="271" t="s">
        <v>937</v>
      </c>
      <c r="CW3160" s="30">
        <f t="shared" si="579"/>
        <v>0</v>
      </c>
      <c r="CX3160" s="30">
        <f t="shared" si="577"/>
        <v>0</v>
      </c>
      <c r="CY3160" s="32">
        <f t="shared" si="580"/>
        <v>1</v>
      </c>
      <c r="CZ3160" s="30">
        <f t="shared" si="575"/>
        <v>0</v>
      </c>
      <c r="DA3160" s="53">
        <f t="shared" si="581"/>
        <v>0</v>
      </c>
      <c r="DB3160" s="2">
        <f t="shared" si="582"/>
        <v>0</v>
      </c>
      <c r="DS3160" s="130">
        <f>SI!BY3160</f>
        <v>230</v>
      </c>
      <c r="DZ3160" s="131">
        <f>SI!BZ3160</f>
        <v>0</v>
      </c>
    </row>
    <row r="3161" spans="1:130" hidden="1" x14ac:dyDescent="0.25">
      <c r="A3161" s="141"/>
      <c r="B3161" s="589" t="s">
        <v>405</v>
      </c>
      <c r="C3161" s="590"/>
      <c r="D3161" s="590"/>
      <c r="E3161" s="590"/>
      <c r="F3161" s="590"/>
      <c r="G3161" s="590"/>
      <c r="H3161" s="590"/>
      <c r="I3161" s="590"/>
      <c r="J3161" s="590"/>
      <c r="K3161" s="590"/>
      <c r="L3161" s="590"/>
      <c r="M3161" s="590"/>
      <c r="N3161" s="590"/>
      <c r="O3161" s="590"/>
      <c r="P3161" s="590"/>
      <c r="Q3161" s="590"/>
      <c r="R3161" s="590"/>
      <c r="S3161" s="590"/>
      <c r="T3161" s="590"/>
      <c r="U3161" s="590"/>
      <c r="V3161" s="590"/>
      <c r="W3161" s="590"/>
      <c r="X3161" s="590"/>
      <c r="Y3161" s="590"/>
      <c r="Z3161" s="590"/>
      <c r="AA3161" s="590"/>
      <c r="AB3161" s="590"/>
      <c r="AC3161" s="590"/>
      <c r="AD3161" s="590"/>
      <c r="AE3161" s="590"/>
      <c r="AF3161" s="591"/>
      <c r="AG3161" s="363"/>
      <c r="AH3161" s="364"/>
      <c r="AI3161" s="364"/>
      <c r="AJ3161" s="364"/>
      <c r="AK3161" s="364"/>
      <c r="AL3161" s="364"/>
      <c r="AM3161" s="364"/>
      <c r="AN3161" s="364"/>
      <c r="AO3161" s="364"/>
      <c r="AP3161" s="364"/>
      <c r="AQ3161" s="364"/>
      <c r="AR3161" s="364"/>
      <c r="AS3161" s="364"/>
      <c r="AT3161" s="364"/>
      <c r="AU3161" s="364"/>
      <c r="AV3161" s="364"/>
      <c r="AW3161" s="364"/>
      <c r="AX3161" s="364"/>
      <c r="AY3161" s="364"/>
      <c r="AZ3161" s="364"/>
      <c r="BA3161" s="364"/>
      <c r="BB3161" s="364"/>
      <c r="BC3161" s="364"/>
      <c r="BD3161" s="364"/>
      <c r="BE3161" s="364"/>
      <c r="BF3161" s="364"/>
      <c r="BG3161" s="364"/>
      <c r="BH3161" s="364"/>
      <c r="BI3161" s="364"/>
      <c r="BJ3161" s="364"/>
      <c r="BK3161" s="364"/>
      <c r="BL3161" s="364"/>
      <c r="BM3161" s="364"/>
      <c r="BN3161" s="364"/>
      <c r="BO3161" s="364"/>
      <c r="BP3161" s="364"/>
      <c r="BQ3161" s="364"/>
      <c r="BR3161" s="364"/>
      <c r="BS3161" s="364"/>
      <c r="BT3161" s="364"/>
      <c r="BU3161" s="364"/>
      <c r="BV3161" s="364"/>
      <c r="BW3161" s="364"/>
      <c r="BX3161" s="364"/>
      <c r="BY3161" s="364"/>
      <c r="BZ3161" s="387"/>
      <c r="CA3161" s="270"/>
      <c r="CB3161" s="3" t="str">
        <f t="shared" si="574"/>
        <v>Riadok bude skrytý.</v>
      </c>
      <c r="CC3161" s="271" t="s">
        <v>937</v>
      </c>
      <c r="CW3161" s="30">
        <f t="shared" si="579"/>
        <v>0</v>
      </c>
      <c r="CX3161" s="30">
        <f t="shared" si="577"/>
        <v>0</v>
      </c>
      <c r="CY3161" s="32">
        <f t="shared" si="580"/>
        <v>1</v>
      </c>
      <c r="CZ3161" s="30">
        <f t="shared" si="575"/>
        <v>0</v>
      </c>
      <c r="DA3161" s="53">
        <f t="shared" si="581"/>
        <v>0</v>
      </c>
      <c r="DB3161" s="2">
        <f t="shared" si="582"/>
        <v>0</v>
      </c>
      <c r="DS3161" s="130">
        <f>SI!BY3161</f>
        <v>143</v>
      </c>
      <c r="DZ3161" s="131">
        <f>SI!BZ3161</f>
        <v>0</v>
      </c>
    </row>
    <row r="3162" spans="1:130" hidden="1" x14ac:dyDescent="0.25">
      <c r="A3162" s="141"/>
      <c r="B3162" s="573" t="s">
        <v>406</v>
      </c>
      <c r="C3162" s="574"/>
      <c r="D3162" s="574"/>
      <c r="E3162" s="574"/>
      <c r="F3162" s="574"/>
      <c r="G3162" s="574"/>
      <c r="H3162" s="574"/>
      <c r="I3162" s="574"/>
      <c r="J3162" s="574"/>
      <c r="K3162" s="574"/>
      <c r="L3162" s="574"/>
      <c r="M3162" s="574"/>
      <c r="N3162" s="574"/>
      <c r="O3162" s="574"/>
      <c r="P3162" s="574"/>
      <c r="Q3162" s="574"/>
      <c r="R3162" s="574"/>
      <c r="S3162" s="574"/>
      <c r="T3162" s="574"/>
      <c r="U3162" s="574"/>
      <c r="V3162" s="574"/>
      <c r="W3162" s="574"/>
      <c r="X3162" s="574"/>
      <c r="Y3162" s="574"/>
      <c r="Z3162" s="574"/>
      <c r="AA3162" s="574"/>
      <c r="AB3162" s="574"/>
      <c r="AC3162" s="574"/>
      <c r="AD3162" s="574"/>
      <c r="AE3162" s="574"/>
      <c r="AF3162" s="575"/>
      <c r="AG3162" s="367"/>
      <c r="AH3162" s="368"/>
      <c r="AI3162" s="368"/>
      <c r="AJ3162" s="368"/>
      <c r="AK3162" s="368"/>
      <c r="AL3162" s="368"/>
      <c r="AM3162" s="368"/>
      <c r="AN3162" s="368"/>
      <c r="AO3162" s="368"/>
      <c r="AP3162" s="368"/>
      <c r="AQ3162" s="368"/>
      <c r="AR3162" s="368"/>
      <c r="AS3162" s="368"/>
      <c r="AT3162" s="368"/>
      <c r="AU3162" s="368"/>
      <c r="AV3162" s="368"/>
      <c r="AW3162" s="368"/>
      <c r="AX3162" s="368"/>
      <c r="AY3162" s="368"/>
      <c r="AZ3162" s="368"/>
      <c r="BA3162" s="368"/>
      <c r="BB3162" s="368"/>
      <c r="BC3162" s="368"/>
      <c r="BD3162" s="368"/>
      <c r="BE3162" s="368"/>
      <c r="BF3162" s="368"/>
      <c r="BG3162" s="368"/>
      <c r="BH3162" s="368"/>
      <c r="BI3162" s="368"/>
      <c r="BJ3162" s="368"/>
      <c r="BK3162" s="368"/>
      <c r="BL3162" s="368"/>
      <c r="BM3162" s="368"/>
      <c r="BN3162" s="368"/>
      <c r="BO3162" s="368"/>
      <c r="BP3162" s="368"/>
      <c r="BQ3162" s="368"/>
      <c r="BR3162" s="368"/>
      <c r="BS3162" s="368"/>
      <c r="BT3162" s="368"/>
      <c r="BU3162" s="368"/>
      <c r="BV3162" s="368"/>
      <c r="BW3162" s="368"/>
      <c r="BX3162" s="368"/>
      <c r="BY3162" s="368"/>
      <c r="BZ3162" s="438"/>
      <c r="CA3162" s="270"/>
      <c r="CB3162" s="3" t="str">
        <f t="shared" si="574"/>
        <v>Riadok bude skrytý.</v>
      </c>
      <c r="CC3162" s="271" t="s">
        <v>937</v>
      </c>
      <c r="CW3162" s="30">
        <f t="shared" si="579"/>
        <v>0</v>
      </c>
      <c r="CX3162" s="30">
        <f t="shared" si="577"/>
        <v>0</v>
      </c>
      <c r="CY3162" s="32">
        <f t="shared" si="580"/>
        <v>1</v>
      </c>
      <c r="CZ3162" s="30">
        <f t="shared" si="575"/>
        <v>0</v>
      </c>
      <c r="DA3162" s="53">
        <f t="shared" si="581"/>
        <v>0</v>
      </c>
      <c r="DB3162" s="2">
        <f t="shared" si="582"/>
        <v>0</v>
      </c>
      <c r="DS3162" s="130">
        <f>SI!BY3162</f>
        <v>161</v>
      </c>
      <c r="DZ3162" s="131">
        <f>SI!BZ3162</f>
        <v>0</v>
      </c>
    </row>
    <row r="3163" spans="1:130" hidden="1" x14ac:dyDescent="0.25">
      <c r="A3163" s="141"/>
      <c r="B3163" s="15"/>
      <c r="C3163" s="15"/>
      <c r="D3163" s="15"/>
      <c r="E3163" s="15"/>
      <c r="F3163" s="15"/>
      <c r="G3163" s="15"/>
      <c r="H3163" s="15"/>
      <c r="I3163" s="15"/>
      <c r="J3163" s="15"/>
      <c r="K3163" s="15"/>
      <c r="L3163" s="15"/>
      <c r="M3163" s="15"/>
      <c r="N3163" s="15"/>
      <c r="O3163" s="15"/>
      <c r="P3163" s="15"/>
      <c r="Q3163" s="15"/>
      <c r="R3163" s="15"/>
      <c r="S3163" s="15"/>
      <c r="T3163" s="15"/>
      <c r="U3163" s="15"/>
      <c r="V3163" s="15"/>
      <c r="W3163" s="15"/>
      <c r="X3163" s="15"/>
      <c r="Y3163" s="15"/>
      <c r="Z3163" s="15"/>
      <c r="AA3163" s="15"/>
      <c r="AB3163" s="15"/>
      <c r="AC3163" s="15"/>
      <c r="AD3163" s="15"/>
      <c r="AE3163" s="15"/>
      <c r="AF3163" s="15"/>
      <c r="AG3163" s="15"/>
      <c r="AH3163" s="15"/>
      <c r="AI3163" s="15"/>
      <c r="AJ3163" s="15"/>
      <c r="AK3163" s="15"/>
      <c r="AL3163" s="15"/>
      <c r="AM3163" s="15"/>
      <c r="AN3163" s="15"/>
      <c r="AO3163" s="15"/>
      <c r="AP3163" s="15"/>
      <c r="AQ3163" s="15"/>
      <c r="AR3163" s="15"/>
      <c r="AS3163" s="15"/>
      <c r="AT3163" s="15"/>
      <c r="AU3163" s="15"/>
      <c r="AV3163" s="15"/>
      <c r="AW3163" s="15"/>
      <c r="AX3163" s="15"/>
      <c r="AY3163" s="15"/>
      <c r="AZ3163" s="15"/>
      <c r="BA3163" s="15"/>
      <c r="BB3163" s="15"/>
      <c r="BC3163" s="15"/>
      <c r="BD3163" s="15"/>
      <c r="BE3163" s="15"/>
      <c r="BF3163" s="15"/>
      <c r="BG3163" s="15"/>
      <c r="BH3163" s="15"/>
      <c r="BI3163" s="15"/>
      <c r="BJ3163" s="15"/>
      <c r="BK3163" s="15"/>
      <c r="BL3163" s="15"/>
      <c r="BM3163" s="15"/>
      <c r="BN3163" s="15"/>
      <c r="BO3163" s="15"/>
      <c r="BP3163" s="15"/>
      <c r="BQ3163" s="15"/>
      <c r="BR3163" s="15"/>
      <c r="BS3163" s="15"/>
      <c r="BT3163" s="15"/>
      <c r="BU3163" s="15"/>
      <c r="BV3163" s="15"/>
      <c r="BW3163" s="15"/>
      <c r="BX3163" s="15"/>
      <c r="BY3163" s="15"/>
      <c r="BZ3163" s="15"/>
      <c r="CA3163" s="270"/>
      <c r="CB3163" s="3" t="str">
        <f t="shared" si="574"/>
        <v>Riadok bude skrytý.</v>
      </c>
      <c r="CC3163" s="271" t="s">
        <v>832</v>
      </c>
      <c r="CW3163" s="30">
        <f t="shared" si="579"/>
        <v>0</v>
      </c>
      <c r="CX3163" s="30">
        <f t="shared" si="577"/>
        <v>0</v>
      </c>
      <c r="CY3163" s="32">
        <f>+IF(B3165="",0,1)</f>
        <v>0</v>
      </c>
      <c r="CZ3163" s="30">
        <f t="shared" si="575"/>
        <v>1</v>
      </c>
      <c r="DA3163" s="53">
        <f t="shared" si="581"/>
        <v>0</v>
      </c>
      <c r="DB3163" s="2">
        <f t="shared" si="582"/>
        <v>0</v>
      </c>
      <c r="DS3163" s="130">
        <f>SI!BY3163</f>
        <v>179</v>
      </c>
      <c r="DZ3163" s="131">
        <f>SI!BZ3163</f>
        <v>0</v>
      </c>
    </row>
    <row r="3164" spans="1:130" hidden="1" x14ac:dyDescent="0.25">
      <c r="A3164" s="141"/>
      <c r="B3164" s="137" t="str">
        <f>+IF($E$52&lt;&gt;"",IF(ROUNDDOWN(CODE(MID($E$52,1,1))/10,0)*(IF(SI!EE3164="",1,SI!EE3164-1-1))+(LEN(SI!J2)+2)=DS3164,"Spoločnosť uvádza k podmieneným záväzkom ďalšie doplňujúce informácie:","NEPOVOLENÉ POUŽITIE!"),"NEPOVOLENÉ POUŽITIE!")</f>
        <v>Spoločnosť uvádza k podmieneným záväzkom ďalšie doplňujúce informácie:</v>
      </c>
      <c r="C3164" s="7"/>
      <c r="D3164" s="7"/>
      <c r="E3164" s="7"/>
      <c r="F3164" s="7"/>
      <c r="CA3164" s="270"/>
      <c r="CB3164" s="3" t="str">
        <f t="shared" si="574"/>
        <v>Riadok bude skrytý.</v>
      </c>
      <c r="CC3164" s="271" t="s">
        <v>832</v>
      </c>
      <c r="CW3164" s="30">
        <f t="shared" si="579"/>
        <v>0</v>
      </c>
      <c r="CX3164" s="30">
        <f t="shared" si="577"/>
        <v>0</v>
      </c>
      <c r="CY3164" s="30">
        <f>+IF(B3165="",0,1)</f>
        <v>0</v>
      </c>
      <c r="CZ3164" s="30">
        <f t="shared" si="575"/>
        <v>1</v>
      </c>
      <c r="DA3164" s="53">
        <f t="shared" si="581"/>
        <v>0</v>
      </c>
      <c r="DB3164" s="140">
        <f t="shared" ref="DB3164:DB3170" si="583">+DA3164</f>
        <v>0</v>
      </c>
      <c r="DS3164" s="130">
        <f>SI!BY3164</f>
        <v>15</v>
      </c>
      <c r="DZ3164" s="131">
        <f>SI!BZ3164</f>
        <v>0</v>
      </c>
    </row>
    <row r="3165" spans="1:130" hidden="1" x14ac:dyDescent="0.25">
      <c r="A3165" s="141"/>
      <c r="B3165" s="379"/>
      <c r="C3165" s="379"/>
      <c r="D3165" s="379"/>
      <c r="E3165" s="379"/>
      <c r="F3165" s="379"/>
      <c r="G3165" s="379"/>
      <c r="H3165" s="379"/>
      <c r="I3165" s="379"/>
      <c r="J3165" s="379"/>
      <c r="K3165" s="379"/>
      <c r="L3165" s="379"/>
      <c r="M3165" s="379"/>
      <c r="N3165" s="379"/>
      <c r="O3165" s="379"/>
      <c r="P3165" s="379"/>
      <c r="Q3165" s="379"/>
      <c r="R3165" s="379"/>
      <c r="S3165" s="379"/>
      <c r="T3165" s="379"/>
      <c r="U3165" s="379"/>
      <c r="V3165" s="379"/>
      <c r="W3165" s="379"/>
      <c r="X3165" s="379"/>
      <c r="Y3165" s="379"/>
      <c r="Z3165" s="379"/>
      <c r="AA3165" s="379"/>
      <c r="AB3165" s="379"/>
      <c r="AC3165" s="379"/>
      <c r="AD3165" s="379"/>
      <c r="AE3165" s="379"/>
      <c r="AF3165" s="379"/>
      <c r="AG3165" s="379"/>
      <c r="AH3165" s="379"/>
      <c r="AI3165" s="379"/>
      <c r="AJ3165" s="379"/>
      <c r="AK3165" s="379"/>
      <c r="AL3165" s="379"/>
      <c r="AM3165" s="379"/>
      <c r="AN3165" s="379"/>
      <c r="AO3165" s="379"/>
      <c r="AP3165" s="379"/>
      <c r="AQ3165" s="379"/>
      <c r="AR3165" s="379"/>
      <c r="AS3165" s="379"/>
      <c r="AT3165" s="379"/>
      <c r="AU3165" s="379"/>
      <c r="AV3165" s="379"/>
      <c r="AW3165" s="379"/>
      <c r="AX3165" s="379"/>
      <c r="AY3165" s="379"/>
      <c r="AZ3165" s="379"/>
      <c r="BA3165" s="379"/>
      <c r="BB3165" s="379"/>
      <c r="BC3165" s="379"/>
      <c r="BD3165" s="379"/>
      <c r="BE3165" s="379"/>
      <c r="BF3165" s="379"/>
      <c r="BG3165" s="379"/>
      <c r="BH3165" s="379"/>
      <c r="BI3165" s="379"/>
      <c r="BJ3165" s="379"/>
      <c r="BK3165" s="379"/>
      <c r="BL3165" s="379"/>
      <c r="BM3165" s="379"/>
      <c r="BN3165" s="379"/>
      <c r="BO3165" s="379"/>
      <c r="BP3165" s="379"/>
      <c r="BQ3165" s="379"/>
      <c r="BR3165" s="379"/>
      <c r="BS3165" s="379"/>
      <c r="BT3165" s="379"/>
      <c r="BU3165" s="379"/>
      <c r="BV3165" s="379"/>
      <c r="BW3165" s="379"/>
      <c r="BX3165" s="379"/>
      <c r="BY3165" s="379"/>
      <c r="BZ3165" s="379"/>
      <c r="CA3165" s="270"/>
      <c r="CB3165" s="3" t="str">
        <f t="shared" si="574"/>
        <v>Riadok bude skrytý.</v>
      </c>
      <c r="CC3165" s="271" t="s">
        <v>832</v>
      </c>
      <c r="CW3165" s="30">
        <f t="shared" si="579"/>
        <v>0</v>
      </c>
      <c r="CX3165" s="30">
        <f t="shared" si="577"/>
        <v>0</v>
      </c>
      <c r="CY3165" s="30">
        <f>+IF(B3165="",0,1)</f>
        <v>0</v>
      </c>
      <c r="CZ3165" s="30">
        <f t="shared" si="575"/>
        <v>1</v>
      </c>
      <c r="DA3165" s="53">
        <f t="shared" si="581"/>
        <v>0</v>
      </c>
      <c r="DB3165" s="140">
        <f t="shared" si="583"/>
        <v>0</v>
      </c>
      <c r="DS3165" s="130">
        <f>SI!BY3165</f>
        <v>168</v>
      </c>
      <c r="DZ3165" s="131">
        <f>SI!BZ3165</f>
        <v>0</v>
      </c>
    </row>
    <row r="3166" spans="1:130" hidden="1" x14ac:dyDescent="0.25">
      <c r="A3166" s="141"/>
      <c r="B3166" s="379"/>
      <c r="C3166" s="379"/>
      <c r="D3166" s="379"/>
      <c r="E3166" s="379"/>
      <c r="F3166" s="379"/>
      <c r="G3166" s="379"/>
      <c r="H3166" s="379"/>
      <c r="I3166" s="379"/>
      <c r="J3166" s="379"/>
      <c r="K3166" s="379"/>
      <c r="L3166" s="379"/>
      <c r="M3166" s="379"/>
      <c r="N3166" s="379"/>
      <c r="O3166" s="379"/>
      <c r="P3166" s="379"/>
      <c r="Q3166" s="379"/>
      <c r="R3166" s="379"/>
      <c r="S3166" s="379"/>
      <c r="T3166" s="379"/>
      <c r="U3166" s="379"/>
      <c r="V3166" s="379"/>
      <c r="W3166" s="379"/>
      <c r="X3166" s="379"/>
      <c r="Y3166" s="379"/>
      <c r="Z3166" s="379"/>
      <c r="AA3166" s="379"/>
      <c r="AB3166" s="379"/>
      <c r="AC3166" s="379"/>
      <c r="AD3166" s="379"/>
      <c r="AE3166" s="379"/>
      <c r="AF3166" s="379"/>
      <c r="AG3166" s="379"/>
      <c r="AH3166" s="379"/>
      <c r="AI3166" s="379"/>
      <c r="AJ3166" s="379"/>
      <c r="AK3166" s="379"/>
      <c r="AL3166" s="379"/>
      <c r="AM3166" s="379"/>
      <c r="AN3166" s="379"/>
      <c r="AO3166" s="379"/>
      <c r="AP3166" s="379"/>
      <c r="AQ3166" s="379"/>
      <c r="AR3166" s="379"/>
      <c r="AS3166" s="379"/>
      <c r="AT3166" s="379"/>
      <c r="AU3166" s="379"/>
      <c r="AV3166" s="379"/>
      <c r="AW3166" s="379"/>
      <c r="AX3166" s="379"/>
      <c r="AY3166" s="379"/>
      <c r="AZ3166" s="379"/>
      <c r="BA3166" s="379"/>
      <c r="BB3166" s="379"/>
      <c r="BC3166" s="379"/>
      <c r="BD3166" s="379"/>
      <c r="BE3166" s="379"/>
      <c r="BF3166" s="379"/>
      <c r="BG3166" s="379"/>
      <c r="BH3166" s="379"/>
      <c r="BI3166" s="379"/>
      <c r="BJ3166" s="379"/>
      <c r="BK3166" s="379"/>
      <c r="BL3166" s="379"/>
      <c r="BM3166" s="379"/>
      <c r="BN3166" s="379"/>
      <c r="BO3166" s="379"/>
      <c r="BP3166" s="379"/>
      <c r="BQ3166" s="379"/>
      <c r="BR3166" s="379"/>
      <c r="BS3166" s="379"/>
      <c r="BT3166" s="379"/>
      <c r="BU3166" s="379"/>
      <c r="BV3166" s="379"/>
      <c r="BW3166" s="379"/>
      <c r="BX3166" s="379"/>
      <c r="BY3166" s="379"/>
      <c r="BZ3166" s="379"/>
      <c r="CA3166" s="270"/>
      <c r="CB3166" s="3" t="str">
        <f t="shared" si="574"/>
        <v>Riadok bude skrytý.</v>
      </c>
      <c r="CC3166" s="271" t="s">
        <v>832</v>
      </c>
      <c r="CW3166" s="30">
        <f t="shared" si="579"/>
        <v>0</v>
      </c>
      <c r="CX3166" s="30">
        <f t="shared" si="577"/>
        <v>0</v>
      </c>
      <c r="CY3166" s="30">
        <f>+IF(B3166="",0,1)</f>
        <v>0</v>
      </c>
      <c r="CZ3166" s="30">
        <f t="shared" si="575"/>
        <v>1</v>
      </c>
      <c r="DA3166" s="53">
        <f t="shared" si="581"/>
        <v>0</v>
      </c>
      <c r="DB3166" s="140">
        <f t="shared" si="583"/>
        <v>0</v>
      </c>
      <c r="DS3166" s="130">
        <f>SI!BY3166</f>
        <v>947</v>
      </c>
      <c r="DZ3166" s="131">
        <f>SI!BZ3166</f>
        <v>0</v>
      </c>
    </row>
    <row r="3167" spans="1:130" hidden="1" x14ac:dyDescent="0.25">
      <c r="A3167" s="141"/>
      <c r="B3167" s="379"/>
      <c r="C3167" s="379"/>
      <c r="D3167" s="379"/>
      <c r="E3167" s="379"/>
      <c r="F3167" s="379"/>
      <c r="G3167" s="379"/>
      <c r="H3167" s="379"/>
      <c r="I3167" s="379"/>
      <c r="J3167" s="379"/>
      <c r="K3167" s="379"/>
      <c r="L3167" s="379"/>
      <c r="M3167" s="379"/>
      <c r="N3167" s="379"/>
      <c r="O3167" s="379"/>
      <c r="P3167" s="379"/>
      <c r="Q3167" s="379"/>
      <c r="R3167" s="379"/>
      <c r="S3167" s="379"/>
      <c r="T3167" s="379"/>
      <c r="U3167" s="379"/>
      <c r="V3167" s="379"/>
      <c r="W3167" s="379"/>
      <c r="X3167" s="379"/>
      <c r="Y3167" s="379"/>
      <c r="Z3167" s="379"/>
      <c r="AA3167" s="379"/>
      <c r="AB3167" s="379"/>
      <c r="AC3167" s="379"/>
      <c r="AD3167" s="379"/>
      <c r="AE3167" s="379"/>
      <c r="AF3167" s="379"/>
      <c r="AG3167" s="379"/>
      <c r="AH3167" s="379"/>
      <c r="AI3167" s="379"/>
      <c r="AJ3167" s="379"/>
      <c r="AK3167" s="379"/>
      <c r="AL3167" s="379"/>
      <c r="AM3167" s="379"/>
      <c r="AN3167" s="379"/>
      <c r="AO3167" s="379"/>
      <c r="AP3167" s="379"/>
      <c r="AQ3167" s="379"/>
      <c r="AR3167" s="379"/>
      <c r="AS3167" s="379"/>
      <c r="AT3167" s="379"/>
      <c r="AU3167" s="379"/>
      <c r="AV3167" s="379"/>
      <c r="AW3167" s="379"/>
      <c r="AX3167" s="379"/>
      <c r="AY3167" s="379"/>
      <c r="AZ3167" s="379"/>
      <c r="BA3167" s="379"/>
      <c r="BB3167" s="379"/>
      <c r="BC3167" s="379"/>
      <c r="BD3167" s="379"/>
      <c r="BE3167" s="379"/>
      <c r="BF3167" s="379"/>
      <c r="BG3167" s="379"/>
      <c r="BH3167" s="379"/>
      <c r="BI3167" s="379"/>
      <c r="BJ3167" s="379"/>
      <c r="BK3167" s="379"/>
      <c r="BL3167" s="379"/>
      <c r="BM3167" s="379"/>
      <c r="BN3167" s="379"/>
      <c r="BO3167" s="379"/>
      <c r="BP3167" s="379"/>
      <c r="BQ3167" s="379"/>
      <c r="BR3167" s="379"/>
      <c r="BS3167" s="379"/>
      <c r="BT3167" s="379"/>
      <c r="BU3167" s="379"/>
      <c r="BV3167" s="379"/>
      <c r="BW3167" s="379"/>
      <c r="BX3167" s="379"/>
      <c r="BY3167" s="379"/>
      <c r="BZ3167" s="379"/>
      <c r="CA3167" s="270"/>
      <c r="CB3167" s="3" t="str">
        <f t="shared" si="574"/>
        <v>Riadok bude skrytý.</v>
      </c>
      <c r="CC3167" s="271" t="s">
        <v>832</v>
      </c>
      <c r="CW3167" s="30">
        <f t="shared" si="579"/>
        <v>0</v>
      </c>
      <c r="CX3167" s="30">
        <f t="shared" si="577"/>
        <v>0</v>
      </c>
      <c r="CY3167" s="30">
        <f>+IF(B3167="",0,1)</f>
        <v>0</v>
      </c>
      <c r="CZ3167" s="30">
        <f t="shared" si="575"/>
        <v>1</v>
      </c>
      <c r="DA3167" s="53">
        <f t="shared" si="581"/>
        <v>0</v>
      </c>
      <c r="DB3167" s="140">
        <f t="shared" si="583"/>
        <v>0</v>
      </c>
      <c r="DS3167" s="130">
        <f>SI!BY3167</f>
        <v>202</v>
      </c>
      <c r="DZ3167" s="131">
        <f>SI!BZ3167</f>
        <v>0</v>
      </c>
    </row>
    <row r="3168" spans="1:130" ht="14.95" hidden="1" customHeight="1" x14ac:dyDescent="0.25">
      <c r="A3168" s="141"/>
      <c r="B3168" s="379"/>
      <c r="C3168" s="379"/>
      <c r="D3168" s="379"/>
      <c r="E3168" s="379"/>
      <c r="F3168" s="379"/>
      <c r="G3168" s="379"/>
      <c r="H3168" s="379"/>
      <c r="I3168" s="379"/>
      <c r="J3168" s="379"/>
      <c r="K3168" s="379"/>
      <c r="L3168" s="379"/>
      <c r="M3168" s="379"/>
      <c r="N3168" s="379"/>
      <c r="O3168" s="379"/>
      <c r="P3168" s="379"/>
      <c r="Q3168" s="379"/>
      <c r="R3168" s="379"/>
      <c r="S3168" s="379"/>
      <c r="T3168" s="379"/>
      <c r="U3168" s="379"/>
      <c r="V3168" s="379"/>
      <c r="W3168" s="379"/>
      <c r="X3168" s="379"/>
      <c r="Y3168" s="379"/>
      <c r="Z3168" s="379"/>
      <c r="AA3168" s="379"/>
      <c r="AB3168" s="379"/>
      <c r="AC3168" s="379"/>
      <c r="AD3168" s="379"/>
      <c r="AE3168" s="379"/>
      <c r="AF3168" s="379"/>
      <c r="AG3168" s="379"/>
      <c r="AH3168" s="379"/>
      <c r="AI3168" s="379"/>
      <c r="AJ3168" s="379"/>
      <c r="AK3168" s="379"/>
      <c r="AL3168" s="379"/>
      <c r="AM3168" s="379"/>
      <c r="AN3168" s="379"/>
      <c r="AO3168" s="379"/>
      <c r="AP3168" s="379"/>
      <c r="AQ3168" s="379"/>
      <c r="AR3168" s="379"/>
      <c r="AS3168" s="379"/>
      <c r="AT3168" s="379"/>
      <c r="AU3168" s="379"/>
      <c r="AV3168" s="379"/>
      <c r="AW3168" s="379"/>
      <c r="AX3168" s="379"/>
      <c r="AY3168" s="379"/>
      <c r="AZ3168" s="379"/>
      <c r="BA3168" s="379"/>
      <c r="BB3168" s="379"/>
      <c r="BC3168" s="379"/>
      <c r="BD3168" s="379"/>
      <c r="BE3168" s="379"/>
      <c r="BF3168" s="379"/>
      <c r="BG3168" s="379"/>
      <c r="BH3168" s="379"/>
      <c r="BI3168" s="379"/>
      <c r="BJ3168" s="379"/>
      <c r="BK3168" s="379"/>
      <c r="BL3168" s="379"/>
      <c r="BM3168" s="379"/>
      <c r="BN3168" s="379"/>
      <c r="BO3168" s="379"/>
      <c r="BP3168" s="379"/>
      <c r="BQ3168" s="379"/>
      <c r="BR3168" s="379"/>
      <c r="BS3168" s="379"/>
      <c r="BT3168" s="379"/>
      <c r="BU3168" s="379"/>
      <c r="BV3168" s="379"/>
      <c r="BW3168" s="379"/>
      <c r="BX3168" s="379"/>
      <c r="BY3168" s="379"/>
      <c r="BZ3168" s="379"/>
      <c r="CA3168" s="270"/>
      <c r="CB3168" s="3" t="str">
        <f t="shared" si="574"/>
        <v>Riadok bude skrytý.</v>
      </c>
      <c r="CC3168" s="271" t="s">
        <v>832</v>
      </c>
      <c r="CW3168" s="30">
        <f t="shared" si="579"/>
        <v>0</v>
      </c>
      <c r="CX3168" s="30">
        <f t="shared" si="577"/>
        <v>0</v>
      </c>
      <c r="CY3168" s="30">
        <f>+IF(B3168="",0,1)</f>
        <v>0</v>
      </c>
      <c r="CZ3168" s="30">
        <f t="shared" si="575"/>
        <v>1</v>
      </c>
      <c r="DA3168" s="53">
        <f t="shared" si="581"/>
        <v>0</v>
      </c>
      <c r="DB3168" s="140">
        <f t="shared" si="583"/>
        <v>0</v>
      </c>
      <c r="DS3168" s="130">
        <f>SI!BY3168</f>
        <v>635</v>
      </c>
      <c r="DZ3168" s="131">
        <f>SI!BZ3168</f>
        <v>0</v>
      </c>
    </row>
    <row r="3169" spans="1:130" ht="14.95" hidden="1" customHeight="1" x14ac:dyDescent="0.25">
      <c r="A3169" s="141"/>
      <c r="B3169" s="379"/>
      <c r="C3169" s="379"/>
      <c r="D3169" s="379"/>
      <c r="E3169" s="379"/>
      <c r="F3169" s="379"/>
      <c r="G3169" s="379"/>
      <c r="H3169" s="379"/>
      <c r="I3169" s="379"/>
      <c r="J3169" s="379"/>
      <c r="K3169" s="379"/>
      <c r="L3169" s="379"/>
      <c r="M3169" s="379"/>
      <c r="N3169" s="379"/>
      <c r="O3169" s="379"/>
      <c r="P3169" s="379"/>
      <c r="Q3169" s="379"/>
      <c r="R3169" s="379"/>
      <c r="S3169" s="379"/>
      <c r="T3169" s="379"/>
      <c r="U3169" s="379"/>
      <c r="V3169" s="379"/>
      <c r="W3169" s="379"/>
      <c r="X3169" s="379"/>
      <c r="Y3169" s="379"/>
      <c r="Z3169" s="379"/>
      <c r="AA3169" s="379"/>
      <c r="AB3169" s="379"/>
      <c r="AC3169" s="379"/>
      <c r="AD3169" s="379"/>
      <c r="AE3169" s="379"/>
      <c r="AF3169" s="379"/>
      <c r="AG3169" s="379"/>
      <c r="AH3169" s="379"/>
      <c r="AI3169" s="379"/>
      <c r="AJ3169" s="379"/>
      <c r="AK3169" s="379"/>
      <c r="AL3169" s="379"/>
      <c r="AM3169" s="379"/>
      <c r="AN3169" s="379"/>
      <c r="AO3169" s="379"/>
      <c r="AP3169" s="379"/>
      <c r="AQ3169" s="379"/>
      <c r="AR3169" s="379"/>
      <c r="AS3169" s="379"/>
      <c r="AT3169" s="379"/>
      <c r="AU3169" s="379"/>
      <c r="AV3169" s="379"/>
      <c r="AW3169" s="379"/>
      <c r="AX3169" s="379"/>
      <c r="AY3169" s="379"/>
      <c r="AZ3169" s="379"/>
      <c r="BA3169" s="379"/>
      <c r="BB3169" s="379"/>
      <c r="BC3169" s="379"/>
      <c r="BD3169" s="379"/>
      <c r="BE3169" s="379"/>
      <c r="BF3169" s="379"/>
      <c r="BG3169" s="379"/>
      <c r="BH3169" s="379"/>
      <c r="BI3169" s="379"/>
      <c r="BJ3169" s="379"/>
      <c r="BK3169" s="379"/>
      <c r="BL3169" s="379"/>
      <c r="BM3169" s="379"/>
      <c r="BN3169" s="379"/>
      <c r="BO3169" s="379"/>
      <c r="BP3169" s="379"/>
      <c r="BQ3169" s="379"/>
      <c r="BR3169" s="379"/>
      <c r="BS3169" s="379"/>
      <c r="BT3169" s="379"/>
      <c r="BU3169" s="379"/>
      <c r="BV3169" s="379"/>
      <c r="BW3169" s="379"/>
      <c r="BX3169" s="379"/>
      <c r="BY3169" s="379"/>
      <c r="BZ3169" s="379"/>
      <c r="CA3169" s="270"/>
      <c r="CB3169" s="3" t="str">
        <f t="shared" si="574"/>
        <v>Riadok bude skrytý.</v>
      </c>
      <c r="CC3169" s="271" t="s">
        <v>832</v>
      </c>
      <c r="CW3169" s="30">
        <f t="shared" si="579"/>
        <v>0</v>
      </c>
      <c r="CX3169" s="30">
        <f t="shared" si="577"/>
        <v>0</v>
      </c>
      <c r="CY3169" s="30">
        <f>+IF(B3169="",0,1)</f>
        <v>0</v>
      </c>
      <c r="CZ3169" s="30">
        <f t="shared" si="575"/>
        <v>1</v>
      </c>
      <c r="DA3169" s="53">
        <f t="shared" si="581"/>
        <v>0</v>
      </c>
      <c r="DB3169" s="140">
        <f t="shared" si="583"/>
        <v>0</v>
      </c>
      <c r="DS3169" s="130">
        <f>SI!BY3169</f>
        <v>185</v>
      </c>
      <c r="DZ3169" s="131">
        <f>SI!BZ3169</f>
        <v>0</v>
      </c>
    </row>
    <row r="3170" spans="1:130" hidden="1" x14ac:dyDescent="0.25">
      <c r="A3170" s="141"/>
      <c r="CA3170" s="270"/>
      <c r="CB3170" s="3" t="str">
        <f t="shared" si="574"/>
        <v>Riadok bude skrytý.</v>
      </c>
      <c r="CC3170" s="271" t="s">
        <v>832</v>
      </c>
      <c r="CW3170" s="30">
        <f t="shared" si="579"/>
        <v>0</v>
      </c>
      <c r="CX3170" s="30">
        <f t="shared" si="577"/>
        <v>0</v>
      </c>
      <c r="CZ3170" s="30">
        <f t="shared" si="575"/>
        <v>1</v>
      </c>
      <c r="DA3170" s="52">
        <f>+IF(CW3170*CX3170=0,0,IF(CZ3170=0,0,1))</f>
        <v>0</v>
      </c>
      <c r="DB3170" s="140">
        <f t="shared" si="583"/>
        <v>0</v>
      </c>
      <c r="DS3170" s="130">
        <f>SI!BY3170</f>
        <v>829</v>
      </c>
      <c r="DZ3170" s="131">
        <f>SI!BZ3170</f>
        <v>0</v>
      </c>
    </row>
    <row r="3171" spans="1:130" hidden="1" x14ac:dyDescent="0.25">
      <c r="A3171" s="141"/>
      <c r="B3171" s="289" t="s">
        <v>149</v>
      </c>
      <c r="C3171" s="288"/>
      <c r="D3171" s="288"/>
      <c r="E3171" s="288"/>
      <c r="F3171" s="288"/>
      <c r="G3171" s="289" t="s">
        <v>407</v>
      </c>
      <c r="H3171" s="289"/>
      <c r="I3171" s="288"/>
      <c r="J3171" s="288"/>
      <c r="K3171" s="288"/>
      <c r="L3171" s="288"/>
      <c r="M3171" s="288"/>
      <c r="N3171" s="288"/>
      <c r="O3171" s="288"/>
      <c r="P3171" s="288"/>
      <c r="Q3171" s="288"/>
      <c r="R3171" s="288"/>
      <c r="S3171" s="288"/>
      <c r="T3171" s="288"/>
      <c r="U3171" s="288"/>
      <c r="V3171" s="288"/>
      <c r="W3171" s="288"/>
      <c r="X3171" s="288"/>
      <c r="Y3171" s="288"/>
      <c r="Z3171" s="288"/>
      <c r="AA3171" s="288"/>
      <c r="AB3171" s="288"/>
      <c r="AC3171" s="288"/>
      <c r="AD3171" s="288"/>
      <c r="AE3171" s="288"/>
      <c r="AF3171" s="288"/>
      <c r="AG3171" s="288"/>
      <c r="AH3171" s="288"/>
      <c r="AI3171" s="288"/>
      <c r="AJ3171" s="288"/>
      <c r="AK3171" s="288"/>
      <c r="AL3171" s="288"/>
      <c r="AM3171" s="288"/>
      <c r="AN3171" s="288"/>
      <c r="AO3171" s="288"/>
      <c r="AP3171" s="288"/>
      <c r="AQ3171" s="288"/>
      <c r="AR3171" s="288"/>
      <c r="AS3171" s="288"/>
      <c r="AT3171" s="288"/>
      <c r="AU3171" s="288"/>
      <c r="AV3171" s="288"/>
      <c r="AW3171" s="288"/>
      <c r="AX3171" s="288"/>
      <c r="AY3171" s="288"/>
      <c r="AZ3171" s="288"/>
      <c r="BA3171" s="288"/>
      <c r="BB3171" s="288"/>
      <c r="BC3171" s="288"/>
      <c r="BD3171" s="288"/>
      <c r="BE3171" s="288"/>
      <c r="BF3171" s="288"/>
      <c r="BG3171" s="288"/>
      <c r="BH3171" s="288"/>
      <c r="BI3171" s="288"/>
      <c r="BJ3171" s="288"/>
      <c r="BK3171" s="288"/>
      <c r="BL3171" s="288"/>
      <c r="BM3171" s="288"/>
      <c r="BN3171" s="288"/>
      <c r="BO3171" s="288"/>
      <c r="BP3171" s="288"/>
      <c r="BQ3171" s="288"/>
      <c r="BR3171" s="288"/>
      <c r="BS3171" s="288"/>
      <c r="BT3171" s="288"/>
      <c r="BU3171" s="288"/>
      <c r="BV3171" s="288"/>
      <c r="BW3171" s="288"/>
      <c r="BX3171" s="288"/>
      <c r="BY3171" s="288"/>
      <c r="BZ3171" s="288"/>
      <c r="CA3171" s="265" t="s">
        <v>773</v>
      </c>
      <c r="CB3171" s="3" t="str">
        <f t="shared" si="574"/>
        <v>Riadok bude skrytý.</v>
      </c>
      <c r="CC3171" s="271" t="s">
        <v>832</v>
      </c>
      <c r="CW3171" s="30">
        <f t="shared" si="579"/>
        <v>0</v>
      </c>
      <c r="CZ3171" s="30">
        <f t="shared" si="575"/>
        <v>1</v>
      </c>
      <c r="DA3171" s="30">
        <f>+IF(CW3171+CX3171+CY3171=0,0,IF(CZ3171=0,0,1))</f>
        <v>0</v>
      </c>
      <c r="DB3171" s="2">
        <f>+IF($CD$1="malé",0,DA3171)</f>
        <v>0</v>
      </c>
      <c r="DS3171" s="130">
        <f>SI!BY3171</f>
        <v>176</v>
      </c>
      <c r="DZ3171" s="131">
        <f>SI!BZ3171</f>
        <v>0</v>
      </c>
    </row>
    <row r="3172" spans="1:130" hidden="1" x14ac:dyDescent="0.25">
      <c r="A3172" s="141"/>
      <c r="B3172" s="7"/>
      <c r="G3172" s="7"/>
      <c r="H3172" s="7"/>
      <c r="CA3172" s="142"/>
      <c r="CB3172" s="3" t="str">
        <f t="shared" si="574"/>
        <v>Riadok bude skrytý.</v>
      </c>
      <c r="CC3172" s="271" t="s">
        <v>832</v>
      </c>
      <c r="CW3172" s="30">
        <f t="shared" si="579"/>
        <v>0</v>
      </c>
      <c r="CZ3172" s="30">
        <f t="shared" si="575"/>
        <v>1</v>
      </c>
      <c r="DA3172" s="30">
        <f>+IF(CW3172+CX3172+CY3172=0,0,IF(CZ3172=0,0,1))</f>
        <v>0</v>
      </c>
      <c r="DB3172" s="2">
        <f>+IF($CD$1="malé",0,DA3172)</f>
        <v>0</v>
      </c>
      <c r="DS3172" s="130">
        <f>SI!BY3172</f>
        <v>126</v>
      </c>
      <c r="DZ3172" s="131">
        <f>SI!BZ3172</f>
        <v>0</v>
      </c>
    </row>
    <row r="3173" spans="1:130" hidden="1" x14ac:dyDescent="0.25">
      <c r="A3173" s="141"/>
      <c r="B3173" s="137" t="s">
        <v>96</v>
      </c>
      <c r="K3173" s="378" t="s">
        <v>152</v>
      </c>
      <c r="L3173" s="378"/>
      <c r="M3173" s="378"/>
      <c r="N3173" s="378"/>
      <c r="O3173" s="378"/>
      <c r="P3173" s="378"/>
      <c r="Q3173" s="378"/>
      <c r="R3173" s="378"/>
      <c r="S3173" s="378"/>
      <c r="T3173" s="378"/>
      <c r="U3173" s="137" t="str">
        <f>+IF($Q$52&lt;&gt;"",IF((CODE(MID($Q$52,1,1)))*(INT((PI()-3.1415)*10^5))*0+(LEN(SI!J5)-LEN(SI!J6))=DS3173,"ostatné finančné povinnosti, ktoré sa nesledujú v bežnom účtovníctve a ","NEPOVOLENÉ POUŽITIE!"),"NEPOVOLENÉ POUŽITIE!")</f>
        <v xml:space="preserve">ostatné finančné povinnosti, ktoré sa nesledujú v bežnom účtovníctve a </v>
      </c>
      <c r="CA3173" s="142"/>
      <c r="CB3173" s="3" t="str">
        <f t="shared" si="574"/>
        <v>Riadok bude skrytý.</v>
      </c>
      <c r="CC3173" s="271" t="s">
        <v>832</v>
      </c>
      <c r="CF3173" s="13"/>
      <c r="CW3173" s="30">
        <f t="shared" si="579"/>
        <v>0</v>
      </c>
      <c r="CZ3173" s="30">
        <f t="shared" si="575"/>
        <v>1</v>
      </c>
      <c r="DA3173" s="30">
        <f>+IF(CW3173+CX3173+CY3173=0,0,IF(CZ3173=0,0,1))</f>
        <v>0</v>
      </c>
      <c r="DB3173" s="140">
        <f t="shared" ref="DB3173:DB3181" si="584">+DA3173</f>
        <v>0</v>
      </c>
      <c r="DS3173" s="130">
        <f>SI!BY3173</f>
        <v>10</v>
      </c>
      <c r="DZ3173" s="131">
        <f>SI!BZ3173</f>
        <v>0</v>
      </c>
    </row>
    <row r="3174" spans="1:130" hidden="1" x14ac:dyDescent="0.25">
      <c r="A3174" s="141"/>
      <c r="B3174" s="137" t="str">
        <f>+IF($M$52&lt;&gt;"",IF(SQRT(INT(FACT(DAY(24324))*FACT(DAY(24385))/576))=DS3174,"neuvádzajú v súvahe.","NEPOVOLENÉ POUŽITIE!"),"NEPOVOLENÉ POUŽITIE!")</f>
        <v>neuvádzajú v súvahe.</v>
      </c>
      <c r="CA3174" s="142"/>
      <c r="CB3174" s="3" t="str">
        <f t="shared" si="574"/>
        <v>Riadok bude skrytý.</v>
      </c>
      <c r="CC3174" s="271" t="s">
        <v>832</v>
      </c>
      <c r="CW3174" s="30">
        <f t="shared" si="579"/>
        <v>0</v>
      </c>
      <c r="CZ3174" s="30">
        <f t="shared" si="575"/>
        <v>1</v>
      </c>
      <c r="DA3174" s="30">
        <f>+IF(CW3174+CX3174+CY3174=0,0,IF(CZ3174=0,0,1))</f>
        <v>0</v>
      </c>
      <c r="DB3174" s="140">
        <f t="shared" si="584"/>
        <v>0</v>
      </c>
      <c r="DS3174" s="130">
        <f>SI!BY3174</f>
        <v>5</v>
      </c>
      <c r="DZ3174" s="131">
        <f>SI!BZ3174</f>
        <v>0</v>
      </c>
    </row>
    <row r="3175" spans="1:130" ht="16.3" hidden="1" x14ac:dyDescent="0.3">
      <c r="A3175" s="141"/>
      <c r="B3175" s="17" t="str">
        <f>+IF(K3173="neeviduje","","Ide o tieto ostatné finančné povinnosti:")</f>
        <v>Ide o tieto ostatné finančné povinnosti:</v>
      </c>
      <c r="CA3175" s="270"/>
      <c r="CB3175" s="3" t="str">
        <f t="shared" si="574"/>
        <v>Riadok bude skrytý.</v>
      </c>
      <c r="CC3175" s="271" t="s">
        <v>832</v>
      </c>
      <c r="CW3175" s="30">
        <f t="shared" si="579"/>
        <v>0</v>
      </c>
      <c r="CX3175" s="30">
        <f>+IF(K3173="neeviduje",0,1)</f>
        <v>1</v>
      </c>
      <c r="CZ3175" s="30">
        <f t="shared" si="575"/>
        <v>1</v>
      </c>
      <c r="DA3175" s="52">
        <f t="shared" ref="DA3175:DA3180" si="585">+IF(CW3175*CX3175=0,0,IF(CZ3175=0,0,1))</f>
        <v>0</v>
      </c>
      <c r="DB3175" s="140">
        <f t="shared" si="584"/>
        <v>0</v>
      </c>
      <c r="DS3175" s="130">
        <f>SI!BY3175</f>
        <v>192</v>
      </c>
      <c r="DZ3175" s="131">
        <f>SI!BZ3175</f>
        <v>0</v>
      </c>
    </row>
    <row r="3176" spans="1:130" hidden="1" x14ac:dyDescent="0.25">
      <c r="A3176" s="141"/>
      <c r="B3176" s="406"/>
      <c r="C3176" s="406"/>
      <c r="D3176" s="406"/>
      <c r="E3176" s="406"/>
      <c r="F3176" s="406"/>
      <c r="G3176" s="406"/>
      <c r="H3176" s="406"/>
      <c r="I3176" s="406"/>
      <c r="J3176" s="406"/>
      <c r="K3176" s="406"/>
      <c r="L3176" s="406"/>
      <c r="M3176" s="406"/>
      <c r="N3176" s="406"/>
      <c r="O3176" s="406"/>
      <c r="P3176" s="406"/>
      <c r="Q3176" s="406"/>
      <c r="R3176" s="406"/>
      <c r="S3176" s="406"/>
      <c r="T3176" s="406"/>
      <c r="U3176" s="406"/>
      <c r="V3176" s="406"/>
      <c r="W3176" s="406"/>
      <c r="X3176" s="406"/>
      <c r="Y3176" s="406"/>
      <c r="Z3176" s="406"/>
      <c r="AA3176" s="406"/>
      <c r="AB3176" s="406"/>
      <c r="AC3176" s="406"/>
      <c r="AD3176" s="406"/>
      <c r="AE3176" s="406"/>
      <c r="AF3176" s="406"/>
      <c r="AG3176" s="406"/>
      <c r="AH3176" s="406"/>
      <c r="AI3176" s="406"/>
      <c r="AJ3176" s="406"/>
      <c r="AK3176" s="406"/>
      <c r="AL3176" s="406"/>
      <c r="AM3176" s="406"/>
      <c r="AN3176" s="406"/>
      <c r="AO3176" s="406"/>
      <c r="AP3176" s="406"/>
      <c r="AQ3176" s="406"/>
      <c r="AR3176" s="406"/>
      <c r="AS3176" s="406"/>
      <c r="AT3176" s="406"/>
      <c r="AU3176" s="406"/>
      <c r="AV3176" s="406"/>
      <c r="AW3176" s="406"/>
      <c r="AX3176" s="406"/>
      <c r="AY3176" s="406"/>
      <c r="AZ3176" s="406"/>
      <c r="BA3176" s="406"/>
      <c r="BB3176" s="406"/>
      <c r="BC3176" s="406"/>
      <c r="BD3176" s="406"/>
      <c r="BE3176" s="406"/>
      <c r="BF3176" s="406"/>
      <c r="BG3176" s="406"/>
      <c r="BH3176" s="406"/>
      <c r="BI3176" s="406"/>
      <c r="BJ3176" s="406"/>
      <c r="BK3176" s="406"/>
      <c r="BL3176" s="406"/>
      <c r="BM3176" s="406"/>
      <c r="BN3176" s="406"/>
      <c r="BO3176" s="406"/>
      <c r="BP3176" s="406"/>
      <c r="BQ3176" s="406"/>
      <c r="BR3176" s="406"/>
      <c r="BS3176" s="406"/>
      <c r="BT3176" s="406"/>
      <c r="BU3176" s="406"/>
      <c r="BV3176" s="406"/>
      <c r="BW3176" s="406"/>
      <c r="BX3176" s="406"/>
      <c r="BY3176" s="406"/>
      <c r="BZ3176" s="406"/>
      <c r="CA3176" s="281"/>
      <c r="CB3176" s="3" t="str">
        <f t="shared" si="574"/>
        <v>Riadok bude skrytý.</v>
      </c>
      <c r="CC3176" s="271" t="s">
        <v>832</v>
      </c>
      <c r="CW3176" s="30">
        <f t="shared" si="579"/>
        <v>0</v>
      </c>
      <c r="CX3176" s="30">
        <f>+IF(B3176="",0,1)</f>
        <v>0</v>
      </c>
      <c r="CZ3176" s="30">
        <f t="shared" si="575"/>
        <v>1</v>
      </c>
      <c r="DA3176" s="52">
        <f t="shared" si="585"/>
        <v>0</v>
      </c>
      <c r="DB3176" s="140">
        <f t="shared" si="584"/>
        <v>0</v>
      </c>
      <c r="DS3176" s="130">
        <f>SI!BY3176</f>
        <v>455</v>
      </c>
      <c r="DZ3176" s="131">
        <f>SI!BZ3176</f>
        <v>0</v>
      </c>
    </row>
    <row r="3177" spans="1:130" hidden="1" x14ac:dyDescent="0.25">
      <c r="A3177" s="141"/>
      <c r="B3177" s="379"/>
      <c r="C3177" s="379"/>
      <c r="D3177" s="379"/>
      <c r="E3177" s="379"/>
      <c r="F3177" s="379"/>
      <c r="G3177" s="379"/>
      <c r="H3177" s="379"/>
      <c r="I3177" s="379"/>
      <c r="J3177" s="379"/>
      <c r="K3177" s="379"/>
      <c r="L3177" s="379"/>
      <c r="M3177" s="379"/>
      <c r="N3177" s="379"/>
      <c r="O3177" s="379"/>
      <c r="P3177" s="379"/>
      <c r="Q3177" s="379"/>
      <c r="R3177" s="379"/>
      <c r="S3177" s="379"/>
      <c r="T3177" s="379"/>
      <c r="U3177" s="379"/>
      <c r="V3177" s="379"/>
      <c r="W3177" s="379"/>
      <c r="X3177" s="379"/>
      <c r="Y3177" s="379"/>
      <c r="Z3177" s="379"/>
      <c r="AA3177" s="379"/>
      <c r="AB3177" s="379"/>
      <c r="AC3177" s="379"/>
      <c r="AD3177" s="379"/>
      <c r="AE3177" s="379"/>
      <c r="AF3177" s="379"/>
      <c r="AG3177" s="379"/>
      <c r="AH3177" s="379"/>
      <c r="AI3177" s="379"/>
      <c r="AJ3177" s="379"/>
      <c r="AK3177" s="379"/>
      <c r="AL3177" s="379"/>
      <c r="AM3177" s="379"/>
      <c r="AN3177" s="379"/>
      <c r="AO3177" s="379"/>
      <c r="AP3177" s="379"/>
      <c r="AQ3177" s="379"/>
      <c r="AR3177" s="379"/>
      <c r="AS3177" s="379"/>
      <c r="AT3177" s="379"/>
      <c r="AU3177" s="379"/>
      <c r="AV3177" s="379"/>
      <c r="AW3177" s="379"/>
      <c r="AX3177" s="379"/>
      <c r="AY3177" s="379"/>
      <c r="AZ3177" s="379"/>
      <c r="BA3177" s="379"/>
      <c r="BB3177" s="379"/>
      <c r="BC3177" s="379"/>
      <c r="BD3177" s="379"/>
      <c r="BE3177" s="379"/>
      <c r="BF3177" s="379"/>
      <c r="BG3177" s="379"/>
      <c r="BH3177" s="379"/>
      <c r="BI3177" s="379"/>
      <c r="BJ3177" s="379"/>
      <c r="BK3177" s="379"/>
      <c r="BL3177" s="379"/>
      <c r="BM3177" s="379"/>
      <c r="BN3177" s="379"/>
      <c r="BO3177" s="379"/>
      <c r="BP3177" s="379"/>
      <c r="BQ3177" s="379"/>
      <c r="BR3177" s="379"/>
      <c r="BS3177" s="379"/>
      <c r="BT3177" s="379"/>
      <c r="BU3177" s="379"/>
      <c r="BV3177" s="379"/>
      <c r="BW3177" s="379"/>
      <c r="BX3177" s="379"/>
      <c r="BY3177" s="379"/>
      <c r="BZ3177" s="379"/>
      <c r="CA3177" s="270"/>
      <c r="CB3177" s="3" t="str">
        <f t="shared" si="574"/>
        <v>Riadok bude skrytý.</v>
      </c>
      <c r="CC3177" s="271" t="s">
        <v>832</v>
      </c>
      <c r="CW3177" s="30">
        <f t="shared" si="579"/>
        <v>0</v>
      </c>
      <c r="CX3177" s="30">
        <f>+IF(B3177="",0,1)</f>
        <v>0</v>
      </c>
      <c r="CZ3177" s="30">
        <f t="shared" si="575"/>
        <v>1</v>
      </c>
      <c r="DA3177" s="52">
        <f t="shared" si="585"/>
        <v>0</v>
      </c>
      <c r="DB3177" s="140">
        <f t="shared" si="584"/>
        <v>0</v>
      </c>
      <c r="DS3177" s="130">
        <f>SI!BY3177</f>
        <v>185</v>
      </c>
      <c r="DZ3177" s="131">
        <f>SI!BZ3177</f>
        <v>0</v>
      </c>
    </row>
    <row r="3178" spans="1:130" hidden="1" x14ac:dyDescent="0.25">
      <c r="A3178" s="141"/>
      <c r="B3178" s="379"/>
      <c r="C3178" s="379"/>
      <c r="D3178" s="379"/>
      <c r="E3178" s="379"/>
      <c r="F3178" s="379"/>
      <c r="G3178" s="379"/>
      <c r="H3178" s="379"/>
      <c r="I3178" s="379"/>
      <c r="J3178" s="379"/>
      <c r="K3178" s="379"/>
      <c r="L3178" s="379"/>
      <c r="M3178" s="379"/>
      <c r="N3178" s="379"/>
      <c r="O3178" s="379"/>
      <c r="P3178" s="379"/>
      <c r="Q3178" s="379"/>
      <c r="R3178" s="379"/>
      <c r="S3178" s="379"/>
      <c r="T3178" s="379"/>
      <c r="U3178" s="379"/>
      <c r="V3178" s="379"/>
      <c r="W3178" s="379"/>
      <c r="X3178" s="379"/>
      <c r="Y3178" s="379"/>
      <c r="Z3178" s="379"/>
      <c r="AA3178" s="379"/>
      <c r="AB3178" s="379"/>
      <c r="AC3178" s="379"/>
      <c r="AD3178" s="379"/>
      <c r="AE3178" s="379"/>
      <c r="AF3178" s="379"/>
      <c r="AG3178" s="379"/>
      <c r="AH3178" s="379"/>
      <c r="AI3178" s="379"/>
      <c r="AJ3178" s="379"/>
      <c r="AK3178" s="379"/>
      <c r="AL3178" s="379"/>
      <c r="AM3178" s="379"/>
      <c r="AN3178" s="379"/>
      <c r="AO3178" s="379"/>
      <c r="AP3178" s="379"/>
      <c r="AQ3178" s="379"/>
      <c r="AR3178" s="379"/>
      <c r="AS3178" s="379"/>
      <c r="AT3178" s="379"/>
      <c r="AU3178" s="379"/>
      <c r="AV3178" s="379"/>
      <c r="AW3178" s="379"/>
      <c r="AX3178" s="379"/>
      <c r="AY3178" s="379"/>
      <c r="AZ3178" s="379"/>
      <c r="BA3178" s="379"/>
      <c r="BB3178" s="379"/>
      <c r="BC3178" s="379"/>
      <c r="BD3178" s="379"/>
      <c r="BE3178" s="379"/>
      <c r="BF3178" s="379"/>
      <c r="BG3178" s="379"/>
      <c r="BH3178" s="379"/>
      <c r="BI3178" s="379"/>
      <c r="BJ3178" s="379"/>
      <c r="BK3178" s="379"/>
      <c r="BL3178" s="379"/>
      <c r="BM3178" s="379"/>
      <c r="BN3178" s="379"/>
      <c r="BO3178" s="379"/>
      <c r="BP3178" s="379"/>
      <c r="BQ3178" s="379"/>
      <c r="BR3178" s="379"/>
      <c r="BS3178" s="379"/>
      <c r="BT3178" s="379"/>
      <c r="BU3178" s="379"/>
      <c r="BV3178" s="379"/>
      <c r="BW3178" s="379"/>
      <c r="BX3178" s="379"/>
      <c r="BY3178" s="379"/>
      <c r="BZ3178" s="379"/>
      <c r="CA3178" s="270"/>
      <c r="CB3178" s="3" t="str">
        <f t="shared" si="574"/>
        <v>Riadok bude skrytý.</v>
      </c>
      <c r="CC3178" s="271" t="s">
        <v>832</v>
      </c>
      <c r="CW3178" s="30">
        <f t="shared" si="579"/>
        <v>0</v>
      </c>
      <c r="CX3178" s="30">
        <f>+IF(B3178="",0,1)</f>
        <v>0</v>
      </c>
      <c r="CZ3178" s="30">
        <f t="shared" si="575"/>
        <v>1</v>
      </c>
      <c r="DA3178" s="52">
        <f t="shared" si="585"/>
        <v>0</v>
      </c>
      <c r="DB3178" s="140">
        <f t="shared" si="584"/>
        <v>0</v>
      </c>
      <c r="DS3178" s="130">
        <f>SI!BY3178</f>
        <v>7</v>
      </c>
      <c r="DZ3178" s="131">
        <f>SI!BZ3178</f>
        <v>0</v>
      </c>
    </row>
    <row r="3179" spans="1:130" hidden="1" x14ac:dyDescent="0.25">
      <c r="A3179" s="141"/>
      <c r="B3179" s="406"/>
      <c r="C3179" s="406"/>
      <c r="D3179" s="406"/>
      <c r="E3179" s="406"/>
      <c r="F3179" s="406"/>
      <c r="G3179" s="406"/>
      <c r="H3179" s="406"/>
      <c r="I3179" s="406"/>
      <c r="J3179" s="406"/>
      <c r="K3179" s="406"/>
      <c r="L3179" s="406"/>
      <c r="M3179" s="406"/>
      <c r="N3179" s="406"/>
      <c r="O3179" s="406"/>
      <c r="P3179" s="406"/>
      <c r="Q3179" s="406"/>
      <c r="R3179" s="406"/>
      <c r="S3179" s="406"/>
      <c r="T3179" s="406"/>
      <c r="U3179" s="406"/>
      <c r="V3179" s="406"/>
      <c r="W3179" s="406"/>
      <c r="X3179" s="406"/>
      <c r="Y3179" s="406"/>
      <c r="Z3179" s="406"/>
      <c r="AA3179" s="406"/>
      <c r="AB3179" s="406"/>
      <c r="AC3179" s="406"/>
      <c r="AD3179" s="406"/>
      <c r="AE3179" s="406"/>
      <c r="AF3179" s="406"/>
      <c r="AG3179" s="406"/>
      <c r="AH3179" s="406"/>
      <c r="AI3179" s="406"/>
      <c r="AJ3179" s="406"/>
      <c r="AK3179" s="406"/>
      <c r="AL3179" s="406"/>
      <c r="AM3179" s="406"/>
      <c r="AN3179" s="406"/>
      <c r="AO3179" s="406"/>
      <c r="AP3179" s="406"/>
      <c r="AQ3179" s="406"/>
      <c r="AR3179" s="406"/>
      <c r="AS3179" s="406"/>
      <c r="AT3179" s="406"/>
      <c r="AU3179" s="406"/>
      <c r="AV3179" s="406"/>
      <c r="AW3179" s="406"/>
      <c r="AX3179" s="406"/>
      <c r="AY3179" s="406"/>
      <c r="AZ3179" s="406"/>
      <c r="BA3179" s="406"/>
      <c r="BB3179" s="406"/>
      <c r="BC3179" s="406"/>
      <c r="BD3179" s="406"/>
      <c r="BE3179" s="406"/>
      <c r="BF3179" s="406"/>
      <c r="BG3179" s="406"/>
      <c r="BH3179" s="406"/>
      <c r="BI3179" s="406"/>
      <c r="BJ3179" s="406"/>
      <c r="BK3179" s="406"/>
      <c r="BL3179" s="406"/>
      <c r="BM3179" s="406"/>
      <c r="BN3179" s="406"/>
      <c r="BO3179" s="406"/>
      <c r="BP3179" s="406"/>
      <c r="BQ3179" s="406"/>
      <c r="BR3179" s="406"/>
      <c r="BS3179" s="406"/>
      <c r="BT3179" s="406"/>
      <c r="BU3179" s="406"/>
      <c r="BV3179" s="406"/>
      <c r="BW3179" s="406"/>
      <c r="BX3179" s="406"/>
      <c r="BY3179" s="406"/>
      <c r="BZ3179" s="406"/>
      <c r="CA3179" s="281"/>
      <c r="CB3179" s="3" t="str">
        <f t="shared" si="574"/>
        <v>Riadok bude skrytý.</v>
      </c>
      <c r="CC3179" s="271" t="s">
        <v>832</v>
      </c>
      <c r="CW3179" s="30">
        <f t="shared" si="579"/>
        <v>0</v>
      </c>
      <c r="CX3179" s="30">
        <f>+IF(B3179="",0,1)</f>
        <v>0</v>
      </c>
      <c r="CZ3179" s="30">
        <f t="shared" si="575"/>
        <v>1</v>
      </c>
      <c r="DA3179" s="52">
        <f t="shared" si="585"/>
        <v>0</v>
      </c>
      <c r="DB3179" s="140">
        <f t="shared" si="584"/>
        <v>0</v>
      </c>
      <c r="DS3179" s="130">
        <f>SI!BY3179</f>
        <v>147</v>
      </c>
      <c r="DZ3179" s="131">
        <f>SI!BZ3179</f>
        <v>0</v>
      </c>
    </row>
    <row r="3180" spans="1:130" hidden="1" x14ac:dyDescent="0.25">
      <c r="A3180" s="141"/>
      <c r="B3180" s="406"/>
      <c r="C3180" s="406"/>
      <c r="D3180" s="406"/>
      <c r="E3180" s="406"/>
      <c r="F3180" s="406"/>
      <c r="G3180" s="406"/>
      <c r="H3180" s="406"/>
      <c r="I3180" s="406"/>
      <c r="J3180" s="406"/>
      <c r="K3180" s="406"/>
      <c r="L3180" s="406"/>
      <c r="M3180" s="406"/>
      <c r="N3180" s="406"/>
      <c r="O3180" s="406"/>
      <c r="P3180" s="406"/>
      <c r="Q3180" s="406"/>
      <c r="R3180" s="406"/>
      <c r="S3180" s="406"/>
      <c r="T3180" s="406"/>
      <c r="U3180" s="406"/>
      <c r="V3180" s="406"/>
      <c r="W3180" s="406"/>
      <c r="X3180" s="406"/>
      <c r="Y3180" s="406"/>
      <c r="Z3180" s="406"/>
      <c r="AA3180" s="406"/>
      <c r="AB3180" s="406"/>
      <c r="AC3180" s="406"/>
      <c r="AD3180" s="406"/>
      <c r="AE3180" s="406"/>
      <c r="AF3180" s="406"/>
      <c r="AG3180" s="406"/>
      <c r="AH3180" s="406"/>
      <c r="AI3180" s="406"/>
      <c r="AJ3180" s="406"/>
      <c r="AK3180" s="406"/>
      <c r="AL3180" s="406"/>
      <c r="AM3180" s="406"/>
      <c r="AN3180" s="406"/>
      <c r="AO3180" s="406"/>
      <c r="AP3180" s="406"/>
      <c r="AQ3180" s="406"/>
      <c r="AR3180" s="406"/>
      <c r="AS3180" s="406"/>
      <c r="AT3180" s="406"/>
      <c r="AU3180" s="406"/>
      <c r="AV3180" s="406"/>
      <c r="AW3180" s="406"/>
      <c r="AX3180" s="406"/>
      <c r="AY3180" s="406"/>
      <c r="AZ3180" s="406"/>
      <c r="BA3180" s="406"/>
      <c r="BB3180" s="406"/>
      <c r="BC3180" s="406"/>
      <c r="BD3180" s="406"/>
      <c r="BE3180" s="406"/>
      <c r="BF3180" s="406"/>
      <c r="BG3180" s="406"/>
      <c r="BH3180" s="406"/>
      <c r="BI3180" s="406"/>
      <c r="BJ3180" s="406"/>
      <c r="BK3180" s="406"/>
      <c r="BL3180" s="406"/>
      <c r="BM3180" s="406"/>
      <c r="BN3180" s="406"/>
      <c r="BO3180" s="406"/>
      <c r="BP3180" s="406"/>
      <c r="BQ3180" s="406"/>
      <c r="BR3180" s="406"/>
      <c r="BS3180" s="406"/>
      <c r="BT3180" s="406"/>
      <c r="BU3180" s="406"/>
      <c r="BV3180" s="406"/>
      <c r="BW3180" s="406"/>
      <c r="BX3180" s="406"/>
      <c r="BY3180" s="406"/>
      <c r="BZ3180" s="406"/>
      <c r="CA3180" s="281"/>
      <c r="CB3180" s="3" t="str">
        <f t="shared" si="574"/>
        <v>Riadok bude skrytý.</v>
      </c>
      <c r="CC3180" s="271" t="s">
        <v>832</v>
      </c>
      <c r="CW3180" s="30">
        <f t="shared" si="579"/>
        <v>0</v>
      </c>
      <c r="CX3180" s="30">
        <f>+IF(B3180="",0,1)</f>
        <v>0</v>
      </c>
      <c r="CZ3180" s="30">
        <f t="shared" si="575"/>
        <v>1</v>
      </c>
      <c r="DA3180" s="52">
        <f t="shared" si="585"/>
        <v>0</v>
      </c>
      <c r="DB3180" s="140">
        <f t="shared" si="584"/>
        <v>0</v>
      </c>
      <c r="DS3180" s="130">
        <f>SI!BY3180</f>
        <v>316</v>
      </c>
      <c r="DZ3180" s="131">
        <f>SI!BZ3180</f>
        <v>0</v>
      </c>
    </row>
    <row r="3181" spans="1:130" ht="16.3" hidden="1" x14ac:dyDescent="0.3">
      <c r="A3181" s="141"/>
      <c r="B3181" s="17"/>
      <c r="CA3181" s="142"/>
      <c r="CB3181" s="3" t="str">
        <f t="shared" si="574"/>
        <v>Riadok bude skrytý.</v>
      </c>
      <c r="CC3181" s="271" t="s">
        <v>832</v>
      </c>
      <c r="CW3181" s="30">
        <f t="shared" si="579"/>
        <v>0</v>
      </c>
      <c r="CZ3181" s="30">
        <f t="shared" si="575"/>
        <v>1</v>
      </c>
      <c r="DA3181" s="30">
        <f>+IF(CW3181+CX3181+CY3181=0,0,IF(CZ3181=0,0,1))</f>
        <v>0</v>
      </c>
      <c r="DB3181" s="140">
        <f t="shared" si="584"/>
        <v>0</v>
      </c>
      <c r="DS3181" s="130">
        <f>SI!BY3181</f>
        <v>434</v>
      </c>
      <c r="DZ3181" s="131">
        <f>SI!BZ3181</f>
        <v>0</v>
      </c>
    </row>
    <row r="3182" spans="1:130" hidden="1" x14ac:dyDescent="0.25">
      <c r="A3182" s="141"/>
      <c r="B3182" s="289" t="s">
        <v>150</v>
      </c>
      <c r="C3182" s="288"/>
      <c r="D3182" s="288"/>
      <c r="E3182" s="288"/>
      <c r="F3182" s="288"/>
      <c r="G3182" s="289" t="str">
        <f>+IF($Q$52&lt;&gt;"",IF((CODE(MID($Q$52,1,1)))*(GCD(121,132))*0+(LEN(SI!J5)+LEN(SI!J6))=DS3182,"Podmienený majetok","NEPOVOLENÉ POUŽITIE!"),"NEPOVOLENÉ POUŽITIE!")</f>
        <v>Podmienený majetok</v>
      </c>
      <c r="H3182" s="289"/>
      <c r="I3182" s="288"/>
      <c r="J3182" s="288"/>
      <c r="K3182" s="288"/>
      <c r="L3182" s="288"/>
      <c r="M3182" s="288"/>
      <c r="N3182" s="288"/>
      <c r="O3182" s="288"/>
      <c r="P3182" s="288"/>
      <c r="Q3182" s="288"/>
      <c r="R3182" s="288"/>
      <c r="S3182" s="288"/>
      <c r="T3182" s="288"/>
      <c r="U3182" s="288"/>
      <c r="V3182" s="288"/>
      <c r="W3182" s="288"/>
      <c r="X3182" s="288"/>
      <c r="Y3182" s="288"/>
      <c r="Z3182" s="288"/>
      <c r="AA3182" s="288"/>
      <c r="AB3182" s="288"/>
      <c r="AC3182" s="288"/>
      <c r="AD3182" s="288"/>
      <c r="AE3182" s="288"/>
      <c r="AF3182" s="288"/>
      <c r="AG3182" s="288"/>
      <c r="AH3182" s="288"/>
      <c r="AI3182" s="288"/>
      <c r="AJ3182" s="288"/>
      <c r="AK3182" s="288"/>
      <c r="AL3182" s="288"/>
      <c r="AM3182" s="288"/>
      <c r="AN3182" s="288"/>
      <c r="AO3182" s="288"/>
      <c r="AP3182" s="288"/>
      <c r="AQ3182" s="288"/>
      <c r="AR3182" s="288"/>
      <c r="AS3182" s="288"/>
      <c r="AT3182" s="288"/>
      <c r="AU3182" s="288"/>
      <c r="AV3182" s="288"/>
      <c r="AW3182" s="288"/>
      <c r="AX3182" s="288"/>
      <c r="AY3182" s="288"/>
      <c r="AZ3182" s="288"/>
      <c r="BA3182" s="288"/>
      <c r="BB3182" s="288"/>
      <c r="BC3182" s="288"/>
      <c r="BD3182" s="288"/>
      <c r="BE3182" s="288"/>
      <c r="BF3182" s="288"/>
      <c r="BG3182" s="288"/>
      <c r="BH3182" s="288"/>
      <c r="BI3182" s="288"/>
      <c r="BJ3182" s="288"/>
      <c r="BK3182" s="288"/>
      <c r="BL3182" s="288"/>
      <c r="BM3182" s="288"/>
      <c r="BN3182" s="288"/>
      <c r="BO3182" s="288"/>
      <c r="BP3182" s="288"/>
      <c r="BQ3182" s="288"/>
      <c r="BR3182" s="288"/>
      <c r="BS3182" s="288"/>
      <c r="BT3182" s="288"/>
      <c r="BU3182" s="288"/>
      <c r="BV3182" s="288"/>
      <c r="BW3182" s="288"/>
      <c r="BX3182" s="288"/>
      <c r="BY3182" s="288"/>
      <c r="BZ3182" s="288"/>
      <c r="CA3182" s="265" t="s">
        <v>773</v>
      </c>
      <c r="CB3182" s="3" t="str">
        <f t="shared" si="574"/>
        <v>Riadok bude skrytý.</v>
      </c>
      <c r="CC3182" s="271" t="s">
        <v>832</v>
      </c>
      <c r="CW3182" s="30">
        <f t="shared" si="579"/>
        <v>0</v>
      </c>
      <c r="CZ3182" s="30">
        <f t="shared" si="575"/>
        <v>1</v>
      </c>
      <c r="DA3182" s="30">
        <f>+IF(CW3182+CX3182+CY3182=0,0,IF(CZ3182=0,0,1))</f>
        <v>0</v>
      </c>
      <c r="DB3182" s="2">
        <f>+IF($CD$1="malé",0,DA3182)</f>
        <v>0</v>
      </c>
      <c r="DS3182" s="130">
        <f>SI!BY3182</f>
        <v>20</v>
      </c>
      <c r="DZ3182" s="131">
        <f>SI!BZ3182</f>
        <v>0</v>
      </c>
    </row>
    <row r="3183" spans="1:130" hidden="1" x14ac:dyDescent="0.25">
      <c r="A3183" s="141"/>
      <c r="B3183" s="7"/>
      <c r="G3183" s="7"/>
      <c r="H3183" s="7"/>
      <c r="CA3183" s="142"/>
      <c r="CB3183" s="3" t="str">
        <f t="shared" si="574"/>
        <v>Riadok bude skrytý.</v>
      </c>
      <c r="CC3183" s="271" t="s">
        <v>832</v>
      </c>
      <c r="CW3183" s="30">
        <f t="shared" ref="CW3183:CW3204" si="586">+IF($J$3117="neeviduje",0,1)</f>
        <v>0</v>
      </c>
      <c r="CZ3183" s="30">
        <f t="shared" si="575"/>
        <v>1</v>
      </c>
      <c r="DA3183" s="30">
        <f>+IF(CW3183+CX3183+CY3183=0,0,IF(CZ3183=0,0,1))</f>
        <v>0</v>
      </c>
      <c r="DB3183" s="2">
        <f>+IF($CD$1="malé",0,DA3183)</f>
        <v>0</v>
      </c>
      <c r="DS3183" s="130">
        <f>SI!BY3183</f>
        <v>501</v>
      </c>
      <c r="DZ3183" s="131">
        <f>SI!BZ3183</f>
        <v>0</v>
      </c>
    </row>
    <row r="3184" spans="1:130" hidden="1" x14ac:dyDescent="0.25">
      <c r="A3184" s="141"/>
      <c r="B3184" s="137" t="s">
        <v>96</v>
      </c>
      <c r="K3184" s="378" t="s">
        <v>152</v>
      </c>
      <c r="L3184" s="378"/>
      <c r="M3184" s="378"/>
      <c r="N3184" s="378"/>
      <c r="O3184" s="378"/>
      <c r="P3184" s="378"/>
      <c r="Q3184" s="378"/>
      <c r="R3184" s="378"/>
      <c r="S3184" s="378"/>
      <c r="T3184" s="378"/>
      <c r="U3184" s="137" t="str">
        <f>+IF($I$52&lt;&gt;"",IF((ROUNDDOWN(CODE(MID($I$52,1,1))*3,0)+DAY(36167))*(IF(SI!EE3184="",1,SI!EE3184-1))+(2*LEN(SI!J3))=DS3184,"položky podmieneného majetku.","NEPOVOLENÉ POUŽITIE!"),"NEPOVOLENÉ POUŽITIE!")</f>
        <v>položky podmieneného majetku.</v>
      </c>
      <c r="CA3184" s="142"/>
      <c r="CB3184" s="3" t="str">
        <f t="shared" si="574"/>
        <v>Riadok bude skrytý.</v>
      </c>
      <c r="CC3184" s="271" t="s">
        <v>832</v>
      </c>
      <c r="CF3184" s="13"/>
      <c r="CW3184" s="30">
        <f t="shared" si="586"/>
        <v>0</v>
      </c>
      <c r="CZ3184" s="30">
        <f t="shared" si="575"/>
        <v>1</v>
      </c>
      <c r="DA3184" s="30">
        <f>+IF(CW3184+CX3184+CY3184=0,0,IF(CZ3184=0,0,1))</f>
        <v>0</v>
      </c>
      <c r="DB3184" s="140">
        <f t="shared" ref="DB3184:DB3247" si="587">+DA3184</f>
        <v>0</v>
      </c>
      <c r="DS3184" s="130">
        <f>SI!BY3184</f>
        <v>10</v>
      </c>
      <c r="DZ3184" s="131">
        <f>SI!BZ3184</f>
        <v>0</v>
      </c>
    </row>
    <row r="3185" spans="1:130" hidden="1" x14ac:dyDescent="0.25">
      <c r="A3185" s="141"/>
      <c r="CA3185" s="270"/>
      <c r="CB3185" s="3" t="str">
        <f t="shared" si="574"/>
        <v>Riadok bude skrytý.</v>
      </c>
      <c r="CC3185" s="271" t="s">
        <v>832</v>
      </c>
      <c r="CW3185" s="30">
        <f t="shared" si="586"/>
        <v>0</v>
      </c>
      <c r="CX3185" s="30">
        <f>+IF($K$3184="neeviduje",0,1)</f>
        <v>1</v>
      </c>
      <c r="CZ3185" s="30">
        <f t="shared" si="575"/>
        <v>1</v>
      </c>
      <c r="DA3185" s="52">
        <f t="shared" ref="DA3185:DA3204" si="588">+IF(CW3185*CX3185=0,0,IF(CZ3185=0,0,1))</f>
        <v>0</v>
      </c>
      <c r="DB3185" s="140">
        <f t="shared" si="587"/>
        <v>0</v>
      </c>
      <c r="DS3185" s="130">
        <f>SI!BY3185</f>
        <v>874</v>
      </c>
      <c r="DZ3185" s="131">
        <f>SI!BZ3185</f>
        <v>0</v>
      </c>
    </row>
    <row r="3186" spans="1:130" hidden="1" x14ac:dyDescent="0.25">
      <c r="A3186" s="141"/>
      <c r="B3186" s="137" t="str">
        <f>+IF(K3184="eviduje","Prehľad podmieneného majetku v tabuľke:","")</f>
        <v>Prehľad podmieneného majetku v tabuľke:</v>
      </c>
      <c r="CA3186" s="270"/>
      <c r="CB3186" s="3" t="str">
        <f t="shared" si="574"/>
        <v>Riadok bude skrytý.</v>
      </c>
      <c r="CC3186" s="271" t="s">
        <v>832</v>
      </c>
      <c r="CW3186" s="30">
        <f t="shared" si="586"/>
        <v>0</v>
      </c>
      <c r="CX3186" s="30">
        <f t="shared" ref="CX3186:CX3197" si="589">+IF($K$3184="neeviduje",0,1)</f>
        <v>1</v>
      </c>
      <c r="CZ3186" s="30">
        <f t="shared" si="575"/>
        <v>1</v>
      </c>
      <c r="DA3186" s="52">
        <f t="shared" si="588"/>
        <v>0</v>
      </c>
      <c r="DB3186" s="140">
        <f t="shared" si="587"/>
        <v>0</v>
      </c>
      <c r="DS3186" s="130">
        <f>SI!BY3186</f>
        <v>177</v>
      </c>
      <c r="DZ3186" s="131">
        <f>SI!BZ3186</f>
        <v>0</v>
      </c>
    </row>
    <row r="3187" spans="1:130" hidden="1" x14ac:dyDescent="0.25">
      <c r="A3187" s="141"/>
      <c r="CA3187" s="270"/>
      <c r="CB3187" s="3" t="str">
        <f t="shared" ref="CB3187:CB3250" si="590">+IF(DB3187=0,"Riadok bude skrytý.","Riadok bude vidieť.")</f>
        <v>Riadok bude skrytý.</v>
      </c>
      <c r="CC3187" s="271" t="s">
        <v>832</v>
      </c>
      <c r="CW3187" s="30">
        <f t="shared" si="586"/>
        <v>0</v>
      </c>
      <c r="CX3187" s="30">
        <f t="shared" si="589"/>
        <v>1</v>
      </c>
      <c r="CZ3187" s="30">
        <f t="shared" si="575"/>
        <v>1</v>
      </c>
      <c r="DA3187" s="52">
        <f t="shared" si="588"/>
        <v>0</v>
      </c>
      <c r="DB3187" s="140">
        <f t="shared" si="587"/>
        <v>0</v>
      </c>
      <c r="DS3187" s="130">
        <f>SI!BY3187</f>
        <v>545</v>
      </c>
      <c r="DZ3187" s="131">
        <f>SI!BZ3187</f>
        <v>0</v>
      </c>
    </row>
    <row r="3188" spans="1:130" ht="18" hidden="1" customHeight="1" x14ac:dyDescent="0.25">
      <c r="A3188" s="141"/>
      <c r="B3188" s="1073" t="s">
        <v>408</v>
      </c>
      <c r="C3188" s="1074"/>
      <c r="D3188" s="1074"/>
      <c r="E3188" s="1074"/>
      <c r="F3188" s="1074"/>
      <c r="G3188" s="1074"/>
      <c r="H3188" s="1074"/>
      <c r="I3188" s="1074"/>
      <c r="J3188" s="1074"/>
      <c r="K3188" s="1074"/>
      <c r="L3188" s="1074"/>
      <c r="M3188" s="1074"/>
      <c r="N3188" s="1074"/>
      <c r="O3188" s="1074"/>
      <c r="P3188" s="1074"/>
      <c r="Q3188" s="1074"/>
      <c r="R3188" s="1074"/>
      <c r="S3188" s="1074"/>
      <c r="T3188" s="1074"/>
      <c r="U3188" s="1074"/>
      <c r="V3188" s="1074"/>
      <c r="W3188" s="1074"/>
      <c r="X3188" s="1074"/>
      <c r="Y3188" s="1074"/>
      <c r="Z3188" s="1074"/>
      <c r="AA3188" s="1074"/>
      <c r="AB3188" s="1074"/>
      <c r="AC3188" s="1074"/>
      <c r="AD3188" s="1074"/>
      <c r="AE3188" s="1074"/>
      <c r="AF3188" s="1074"/>
      <c r="AG3188" s="492">
        <f>+AJ141</f>
        <v>2021</v>
      </c>
      <c r="AH3188" s="493"/>
      <c r="AI3188" s="493"/>
      <c r="AJ3188" s="493"/>
      <c r="AK3188" s="493"/>
      <c r="AL3188" s="493"/>
      <c r="AM3188" s="493"/>
      <c r="AN3188" s="493"/>
      <c r="AO3188" s="493"/>
      <c r="AP3188" s="493"/>
      <c r="AQ3188" s="493"/>
      <c r="AR3188" s="493"/>
      <c r="AS3188" s="493"/>
      <c r="AT3188" s="493"/>
      <c r="AU3188" s="493"/>
      <c r="AV3188" s="493"/>
      <c r="AW3188" s="493"/>
      <c r="AX3188" s="493"/>
      <c r="AY3188" s="493"/>
      <c r="AZ3188" s="493"/>
      <c r="BA3188" s="493"/>
      <c r="BB3188" s="493"/>
      <c r="BC3188" s="494"/>
      <c r="BD3188" s="493">
        <f>+BE141</f>
        <v>2020</v>
      </c>
      <c r="BE3188" s="493"/>
      <c r="BF3188" s="493"/>
      <c r="BG3188" s="493"/>
      <c r="BH3188" s="493"/>
      <c r="BI3188" s="493"/>
      <c r="BJ3188" s="493"/>
      <c r="BK3188" s="493"/>
      <c r="BL3188" s="493"/>
      <c r="BM3188" s="493"/>
      <c r="BN3188" s="493"/>
      <c r="BO3188" s="493"/>
      <c r="BP3188" s="493"/>
      <c r="BQ3188" s="493"/>
      <c r="BR3188" s="493"/>
      <c r="BS3188" s="493"/>
      <c r="BT3188" s="493"/>
      <c r="BU3188" s="493"/>
      <c r="BV3188" s="493"/>
      <c r="BW3188" s="493"/>
      <c r="BX3188" s="493"/>
      <c r="BY3188" s="493"/>
      <c r="BZ3188" s="494"/>
      <c r="CA3188" s="265" t="s">
        <v>773</v>
      </c>
      <c r="CB3188" s="3" t="str">
        <f t="shared" si="590"/>
        <v>Riadok bude skrytý.</v>
      </c>
      <c r="CC3188" s="271" t="s">
        <v>832</v>
      </c>
      <c r="CD3188" s="137"/>
      <c r="CE3188" s="137"/>
      <c r="CF3188" s="137"/>
      <c r="CG3188" s="137"/>
      <c r="CH3188" s="137"/>
      <c r="CI3188" s="137"/>
      <c r="CJ3188" s="137"/>
      <c r="CK3188" s="137"/>
      <c r="CL3188" s="137"/>
      <c r="CM3188" s="137"/>
      <c r="CN3188" s="137"/>
      <c r="CO3188" s="137"/>
      <c r="CW3188" s="30">
        <f t="shared" si="586"/>
        <v>0</v>
      </c>
      <c r="CX3188" s="30">
        <f t="shared" si="589"/>
        <v>1</v>
      </c>
      <c r="CZ3188" s="30">
        <f t="shared" si="575"/>
        <v>1</v>
      </c>
      <c r="DA3188" s="52">
        <f t="shared" si="588"/>
        <v>0</v>
      </c>
      <c r="DB3188" s="140">
        <f t="shared" si="587"/>
        <v>0</v>
      </c>
      <c r="DS3188" s="130">
        <f>SI!BY3188</f>
        <v>124</v>
      </c>
      <c r="DZ3188" s="131">
        <f>SI!BZ3188</f>
        <v>0</v>
      </c>
    </row>
    <row r="3189" spans="1:130" ht="18" hidden="1" customHeight="1" x14ac:dyDescent="0.25">
      <c r="A3189" s="141"/>
      <c r="B3189" s="1075"/>
      <c r="C3189" s="1076"/>
      <c r="D3189" s="1076"/>
      <c r="E3189" s="1076"/>
      <c r="F3189" s="1076"/>
      <c r="G3189" s="1076"/>
      <c r="H3189" s="1076"/>
      <c r="I3189" s="1076"/>
      <c r="J3189" s="1076"/>
      <c r="K3189" s="1076"/>
      <c r="L3189" s="1076"/>
      <c r="M3189" s="1076"/>
      <c r="N3189" s="1076"/>
      <c r="O3189" s="1076"/>
      <c r="P3189" s="1076"/>
      <c r="Q3189" s="1076"/>
      <c r="R3189" s="1076"/>
      <c r="S3189" s="1076"/>
      <c r="T3189" s="1076"/>
      <c r="U3189" s="1076"/>
      <c r="V3189" s="1076"/>
      <c r="W3189" s="1076"/>
      <c r="X3189" s="1076"/>
      <c r="Y3189" s="1076"/>
      <c r="Z3189" s="1076"/>
      <c r="AA3189" s="1076"/>
      <c r="AB3189" s="1076"/>
      <c r="AC3189" s="1076"/>
      <c r="AD3189" s="1076"/>
      <c r="AE3189" s="1076"/>
      <c r="AF3189" s="1076"/>
      <c r="AG3189" s="495"/>
      <c r="AH3189" s="496"/>
      <c r="AI3189" s="496"/>
      <c r="AJ3189" s="496"/>
      <c r="AK3189" s="496"/>
      <c r="AL3189" s="496"/>
      <c r="AM3189" s="496"/>
      <c r="AN3189" s="496"/>
      <c r="AO3189" s="496"/>
      <c r="AP3189" s="496"/>
      <c r="AQ3189" s="496"/>
      <c r="AR3189" s="496"/>
      <c r="AS3189" s="496"/>
      <c r="AT3189" s="496"/>
      <c r="AU3189" s="496"/>
      <c r="AV3189" s="496"/>
      <c r="AW3189" s="496"/>
      <c r="AX3189" s="496"/>
      <c r="AY3189" s="496"/>
      <c r="AZ3189" s="496"/>
      <c r="BA3189" s="496"/>
      <c r="BB3189" s="496"/>
      <c r="BC3189" s="497"/>
      <c r="BD3189" s="496"/>
      <c r="BE3189" s="496"/>
      <c r="BF3189" s="496"/>
      <c r="BG3189" s="496"/>
      <c r="BH3189" s="496"/>
      <c r="BI3189" s="496"/>
      <c r="BJ3189" s="496"/>
      <c r="BK3189" s="496"/>
      <c r="BL3189" s="496"/>
      <c r="BM3189" s="496"/>
      <c r="BN3189" s="496"/>
      <c r="BO3189" s="496"/>
      <c r="BP3189" s="496"/>
      <c r="BQ3189" s="496"/>
      <c r="BR3189" s="496"/>
      <c r="BS3189" s="496"/>
      <c r="BT3189" s="496"/>
      <c r="BU3189" s="496"/>
      <c r="BV3189" s="496"/>
      <c r="BW3189" s="496"/>
      <c r="BX3189" s="496"/>
      <c r="BY3189" s="496"/>
      <c r="BZ3189" s="497"/>
      <c r="CA3189" s="270"/>
      <c r="CB3189" s="3" t="str">
        <f t="shared" si="590"/>
        <v>Riadok bude skrytý.</v>
      </c>
      <c r="CC3189" s="271" t="s">
        <v>832</v>
      </c>
      <c r="CD3189" s="33"/>
      <c r="CW3189" s="30">
        <f t="shared" si="586"/>
        <v>0</v>
      </c>
      <c r="CX3189" s="30">
        <f t="shared" si="589"/>
        <v>1</v>
      </c>
      <c r="CZ3189" s="30">
        <f t="shared" si="575"/>
        <v>1</v>
      </c>
      <c r="DA3189" s="52">
        <f t="shared" si="588"/>
        <v>0</v>
      </c>
      <c r="DB3189" s="140">
        <f t="shared" si="587"/>
        <v>0</v>
      </c>
      <c r="DS3189" s="130">
        <f>SI!BY3189</f>
        <v>423</v>
      </c>
      <c r="DZ3189" s="131">
        <f>SI!BZ3189</f>
        <v>0</v>
      </c>
    </row>
    <row r="3190" spans="1:130" hidden="1" x14ac:dyDescent="0.25">
      <c r="A3190" s="141"/>
      <c r="B3190" s="589" t="s">
        <v>409</v>
      </c>
      <c r="C3190" s="590"/>
      <c r="D3190" s="590"/>
      <c r="E3190" s="590"/>
      <c r="F3190" s="590"/>
      <c r="G3190" s="590"/>
      <c r="H3190" s="590"/>
      <c r="I3190" s="590"/>
      <c r="J3190" s="590"/>
      <c r="K3190" s="590"/>
      <c r="L3190" s="590"/>
      <c r="M3190" s="590"/>
      <c r="N3190" s="590"/>
      <c r="O3190" s="590"/>
      <c r="P3190" s="590"/>
      <c r="Q3190" s="590"/>
      <c r="R3190" s="590"/>
      <c r="S3190" s="590"/>
      <c r="T3190" s="590"/>
      <c r="U3190" s="590"/>
      <c r="V3190" s="590"/>
      <c r="W3190" s="590"/>
      <c r="X3190" s="590"/>
      <c r="Y3190" s="590"/>
      <c r="Z3190" s="590"/>
      <c r="AA3190" s="590"/>
      <c r="AB3190" s="590"/>
      <c r="AC3190" s="590"/>
      <c r="AD3190" s="590"/>
      <c r="AE3190" s="590"/>
      <c r="AF3190" s="591"/>
      <c r="AG3190" s="1054"/>
      <c r="AH3190" s="1055"/>
      <c r="AI3190" s="1055"/>
      <c r="AJ3190" s="1055"/>
      <c r="AK3190" s="1055"/>
      <c r="AL3190" s="1055"/>
      <c r="AM3190" s="1055"/>
      <c r="AN3190" s="1055"/>
      <c r="AO3190" s="1055"/>
      <c r="AP3190" s="1055"/>
      <c r="AQ3190" s="1055"/>
      <c r="AR3190" s="1055"/>
      <c r="AS3190" s="1055"/>
      <c r="AT3190" s="1055"/>
      <c r="AU3190" s="1055"/>
      <c r="AV3190" s="1055"/>
      <c r="AW3190" s="1055"/>
      <c r="AX3190" s="1055"/>
      <c r="AY3190" s="1055"/>
      <c r="AZ3190" s="1055"/>
      <c r="BA3190" s="1055"/>
      <c r="BB3190" s="1055"/>
      <c r="BC3190" s="1056"/>
      <c r="BD3190" s="1132"/>
      <c r="BE3190" s="1055"/>
      <c r="BF3190" s="1055"/>
      <c r="BG3190" s="1055"/>
      <c r="BH3190" s="1055"/>
      <c r="BI3190" s="1055"/>
      <c r="BJ3190" s="1055"/>
      <c r="BK3190" s="1055"/>
      <c r="BL3190" s="1055"/>
      <c r="BM3190" s="1055"/>
      <c r="BN3190" s="1055"/>
      <c r="BO3190" s="1055"/>
      <c r="BP3190" s="1055"/>
      <c r="BQ3190" s="1055"/>
      <c r="BR3190" s="1055"/>
      <c r="BS3190" s="1055"/>
      <c r="BT3190" s="1055"/>
      <c r="BU3190" s="1055"/>
      <c r="BV3190" s="1055"/>
      <c r="BW3190" s="1055"/>
      <c r="BX3190" s="1055"/>
      <c r="BY3190" s="1055"/>
      <c r="BZ3190" s="1056"/>
      <c r="CA3190" s="270"/>
      <c r="CB3190" s="3" t="str">
        <f t="shared" si="590"/>
        <v>Riadok bude skrytý.</v>
      </c>
      <c r="CC3190" s="271" t="s">
        <v>832</v>
      </c>
      <c r="CW3190" s="30">
        <f t="shared" si="586"/>
        <v>0</v>
      </c>
      <c r="CX3190" s="30">
        <f t="shared" si="589"/>
        <v>1</v>
      </c>
      <c r="CZ3190" s="30">
        <f t="shared" si="575"/>
        <v>1</v>
      </c>
      <c r="DA3190" s="52">
        <f t="shared" si="588"/>
        <v>0</v>
      </c>
      <c r="DB3190" s="140">
        <f t="shared" si="587"/>
        <v>0</v>
      </c>
      <c r="DS3190" s="130">
        <f>SI!BY3190</f>
        <v>155</v>
      </c>
      <c r="DZ3190" s="131">
        <f>SI!BZ3190</f>
        <v>0</v>
      </c>
    </row>
    <row r="3191" spans="1:130" hidden="1" x14ac:dyDescent="0.25">
      <c r="A3191" s="141"/>
      <c r="B3191" s="589" t="s">
        <v>410</v>
      </c>
      <c r="C3191" s="590"/>
      <c r="D3191" s="590"/>
      <c r="E3191" s="590"/>
      <c r="F3191" s="590"/>
      <c r="G3191" s="590"/>
      <c r="H3191" s="590"/>
      <c r="I3191" s="590"/>
      <c r="J3191" s="590"/>
      <c r="K3191" s="590"/>
      <c r="L3191" s="590"/>
      <c r="M3191" s="590"/>
      <c r="N3191" s="590"/>
      <c r="O3191" s="590"/>
      <c r="P3191" s="590"/>
      <c r="Q3191" s="590"/>
      <c r="R3191" s="590"/>
      <c r="S3191" s="590"/>
      <c r="T3191" s="590"/>
      <c r="U3191" s="590"/>
      <c r="V3191" s="590"/>
      <c r="W3191" s="590"/>
      <c r="X3191" s="590"/>
      <c r="Y3191" s="590"/>
      <c r="Z3191" s="590"/>
      <c r="AA3191" s="590"/>
      <c r="AB3191" s="590"/>
      <c r="AC3191" s="590"/>
      <c r="AD3191" s="590"/>
      <c r="AE3191" s="590"/>
      <c r="AF3191" s="591"/>
      <c r="AG3191" s="363"/>
      <c r="AH3191" s="364"/>
      <c r="AI3191" s="364"/>
      <c r="AJ3191" s="364"/>
      <c r="AK3191" s="364"/>
      <c r="AL3191" s="364"/>
      <c r="AM3191" s="364"/>
      <c r="AN3191" s="364"/>
      <c r="AO3191" s="364"/>
      <c r="AP3191" s="364"/>
      <c r="AQ3191" s="364"/>
      <c r="AR3191" s="364"/>
      <c r="AS3191" s="364"/>
      <c r="AT3191" s="364"/>
      <c r="AU3191" s="364"/>
      <c r="AV3191" s="364"/>
      <c r="AW3191" s="364"/>
      <c r="AX3191" s="364"/>
      <c r="AY3191" s="364"/>
      <c r="AZ3191" s="364"/>
      <c r="BA3191" s="364"/>
      <c r="BB3191" s="364"/>
      <c r="BC3191" s="387"/>
      <c r="BD3191" s="386"/>
      <c r="BE3191" s="364"/>
      <c r="BF3191" s="364"/>
      <c r="BG3191" s="364"/>
      <c r="BH3191" s="364"/>
      <c r="BI3191" s="364"/>
      <c r="BJ3191" s="364"/>
      <c r="BK3191" s="364"/>
      <c r="BL3191" s="364"/>
      <c r="BM3191" s="364"/>
      <c r="BN3191" s="364"/>
      <c r="BO3191" s="364"/>
      <c r="BP3191" s="364"/>
      <c r="BQ3191" s="364"/>
      <c r="BR3191" s="364"/>
      <c r="BS3191" s="364"/>
      <c r="BT3191" s="364"/>
      <c r="BU3191" s="364"/>
      <c r="BV3191" s="364"/>
      <c r="BW3191" s="364"/>
      <c r="BX3191" s="364"/>
      <c r="BY3191" s="364"/>
      <c r="BZ3191" s="387"/>
      <c r="CA3191" s="270"/>
      <c r="CB3191" s="3" t="str">
        <f t="shared" si="590"/>
        <v>Riadok bude skrytý.</v>
      </c>
      <c r="CC3191" s="271" t="s">
        <v>832</v>
      </c>
      <c r="CW3191" s="30">
        <f t="shared" si="586"/>
        <v>0</v>
      </c>
      <c r="CX3191" s="30">
        <f t="shared" si="589"/>
        <v>1</v>
      </c>
      <c r="CZ3191" s="30">
        <f t="shared" ref="CZ3191:CZ3254" si="591">IF(CC3191="",1,IF(CC3191="Chcem skryť riadok.",0,1))</f>
        <v>1</v>
      </c>
      <c r="DA3191" s="52">
        <f t="shared" si="588"/>
        <v>0</v>
      </c>
      <c r="DB3191" s="140">
        <f t="shared" si="587"/>
        <v>0</v>
      </c>
      <c r="DS3191" s="130">
        <f>SI!BY3191</f>
        <v>955</v>
      </c>
      <c r="DZ3191" s="131">
        <f>SI!BZ3191</f>
        <v>0</v>
      </c>
    </row>
    <row r="3192" spans="1:130" hidden="1" x14ac:dyDescent="0.25">
      <c r="A3192" s="141"/>
      <c r="B3192" s="589" t="s">
        <v>411</v>
      </c>
      <c r="C3192" s="590"/>
      <c r="D3192" s="590"/>
      <c r="E3192" s="590"/>
      <c r="F3192" s="590"/>
      <c r="G3192" s="590"/>
      <c r="H3192" s="590"/>
      <c r="I3192" s="590"/>
      <c r="J3192" s="590"/>
      <c r="K3192" s="590"/>
      <c r="L3192" s="590"/>
      <c r="M3192" s="590"/>
      <c r="N3192" s="590"/>
      <c r="O3192" s="590"/>
      <c r="P3192" s="590"/>
      <c r="Q3192" s="590"/>
      <c r="R3192" s="590"/>
      <c r="S3192" s="590"/>
      <c r="T3192" s="590"/>
      <c r="U3192" s="590"/>
      <c r="V3192" s="590"/>
      <c r="W3192" s="590"/>
      <c r="X3192" s="590"/>
      <c r="Y3192" s="590"/>
      <c r="Z3192" s="590"/>
      <c r="AA3192" s="590"/>
      <c r="AB3192" s="590"/>
      <c r="AC3192" s="590"/>
      <c r="AD3192" s="590"/>
      <c r="AE3192" s="590"/>
      <c r="AF3192" s="591"/>
      <c r="AG3192" s="363"/>
      <c r="AH3192" s="364"/>
      <c r="AI3192" s="364"/>
      <c r="AJ3192" s="364"/>
      <c r="AK3192" s="364"/>
      <c r="AL3192" s="364"/>
      <c r="AM3192" s="364"/>
      <c r="AN3192" s="364"/>
      <c r="AO3192" s="364"/>
      <c r="AP3192" s="364"/>
      <c r="AQ3192" s="364"/>
      <c r="AR3192" s="364"/>
      <c r="AS3192" s="364"/>
      <c r="AT3192" s="364"/>
      <c r="AU3192" s="364"/>
      <c r="AV3192" s="364"/>
      <c r="AW3192" s="364"/>
      <c r="AX3192" s="364"/>
      <c r="AY3192" s="364"/>
      <c r="AZ3192" s="364"/>
      <c r="BA3192" s="364"/>
      <c r="BB3192" s="364"/>
      <c r="BC3192" s="387"/>
      <c r="BD3192" s="386"/>
      <c r="BE3192" s="364"/>
      <c r="BF3192" s="364"/>
      <c r="BG3192" s="364"/>
      <c r="BH3192" s="364"/>
      <c r="BI3192" s="364"/>
      <c r="BJ3192" s="364"/>
      <c r="BK3192" s="364"/>
      <c r="BL3192" s="364"/>
      <c r="BM3192" s="364"/>
      <c r="BN3192" s="364"/>
      <c r="BO3192" s="364"/>
      <c r="BP3192" s="364"/>
      <c r="BQ3192" s="364"/>
      <c r="BR3192" s="364"/>
      <c r="BS3192" s="364"/>
      <c r="BT3192" s="364"/>
      <c r="BU3192" s="364"/>
      <c r="BV3192" s="364"/>
      <c r="BW3192" s="364"/>
      <c r="BX3192" s="364"/>
      <c r="BY3192" s="364"/>
      <c r="BZ3192" s="387"/>
      <c r="CA3192" s="270"/>
      <c r="CB3192" s="3" t="str">
        <f t="shared" si="590"/>
        <v>Riadok bude skrytý.</v>
      </c>
      <c r="CC3192" s="271" t="s">
        <v>832</v>
      </c>
      <c r="CW3192" s="30">
        <f t="shared" si="586"/>
        <v>0</v>
      </c>
      <c r="CX3192" s="30">
        <f t="shared" si="589"/>
        <v>1</v>
      </c>
      <c r="CZ3192" s="30">
        <f t="shared" si="591"/>
        <v>1</v>
      </c>
      <c r="DA3192" s="52">
        <f t="shared" si="588"/>
        <v>0</v>
      </c>
      <c r="DB3192" s="140">
        <f t="shared" si="587"/>
        <v>0</v>
      </c>
      <c r="DS3192" s="130">
        <f>SI!BY3192</f>
        <v>159</v>
      </c>
      <c r="DZ3192" s="131">
        <f>SI!BZ3192</f>
        <v>0</v>
      </c>
    </row>
    <row r="3193" spans="1:130" hidden="1" x14ac:dyDescent="0.25">
      <c r="A3193" s="141"/>
      <c r="B3193" s="589" t="s">
        <v>412</v>
      </c>
      <c r="C3193" s="590"/>
      <c r="D3193" s="590"/>
      <c r="E3193" s="590"/>
      <c r="F3193" s="590"/>
      <c r="G3193" s="590"/>
      <c r="H3193" s="590"/>
      <c r="I3193" s="590"/>
      <c r="J3193" s="590"/>
      <c r="K3193" s="590"/>
      <c r="L3193" s="590"/>
      <c r="M3193" s="590"/>
      <c r="N3193" s="590"/>
      <c r="O3193" s="590"/>
      <c r="P3193" s="590"/>
      <c r="Q3193" s="590"/>
      <c r="R3193" s="590"/>
      <c r="S3193" s="590"/>
      <c r="T3193" s="590"/>
      <c r="U3193" s="590"/>
      <c r="V3193" s="590"/>
      <c r="W3193" s="590"/>
      <c r="X3193" s="590"/>
      <c r="Y3193" s="590"/>
      <c r="Z3193" s="590"/>
      <c r="AA3193" s="590"/>
      <c r="AB3193" s="590"/>
      <c r="AC3193" s="590"/>
      <c r="AD3193" s="590"/>
      <c r="AE3193" s="590"/>
      <c r="AF3193" s="591"/>
      <c r="AG3193" s="363"/>
      <c r="AH3193" s="364"/>
      <c r="AI3193" s="364"/>
      <c r="AJ3193" s="364"/>
      <c r="AK3193" s="364"/>
      <c r="AL3193" s="364"/>
      <c r="AM3193" s="364"/>
      <c r="AN3193" s="364"/>
      <c r="AO3193" s="364"/>
      <c r="AP3193" s="364"/>
      <c r="AQ3193" s="364"/>
      <c r="AR3193" s="364"/>
      <c r="AS3193" s="364"/>
      <c r="AT3193" s="364"/>
      <c r="AU3193" s="364"/>
      <c r="AV3193" s="364"/>
      <c r="AW3193" s="364"/>
      <c r="AX3193" s="364"/>
      <c r="AY3193" s="364"/>
      <c r="AZ3193" s="364"/>
      <c r="BA3193" s="364"/>
      <c r="BB3193" s="364"/>
      <c r="BC3193" s="387"/>
      <c r="BD3193" s="386"/>
      <c r="BE3193" s="364"/>
      <c r="BF3193" s="364"/>
      <c r="BG3193" s="364"/>
      <c r="BH3193" s="364"/>
      <c r="BI3193" s="364"/>
      <c r="BJ3193" s="364"/>
      <c r="BK3193" s="364"/>
      <c r="BL3193" s="364"/>
      <c r="BM3193" s="364"/>
      <c r="BN3193" s="364"/>
      <c r="BO3193" s="364"/>
      <c r="BP3193" s="364"/>
      <c r="BQ3193" s="364"/>
      <c r="BR3193" s="364"/>
      <c r="BS3193" s="364"/>
      <c r="BT3193" s="364"/>
      <c r="BU3193" s="364"/>
      <c r="BV3193" s="364"/>
      <c r="BW3193" s="364"/>
      <c r="BX3193" s="364"/>
      <c r="BY3193" s="364"/>
      <c r="BZ3193" s="387"/>
      <c r="CA3193" s="270"/>
      <c r="CB3193" s="3" t="str">
        <f t="shared" si="590"/>
        <v>Riadok bude skrytý.</v>
      </c>
      <c r="CC3193" s="271" t="s">
        <v>832</v>
      </c>
      <c r="CW3193" s="30">
        <f t="shared" si="586"/>
        <v>0</v>
      </c>
      <c r="CX3193" s="30">
        <f t="shared" si="589"/>
        <v>1</v>
      </c>
      <c r="CZ3193" s="30">
        <f t="shared" si="591"/>
        <v>1</v>
      </c>
      <c r="DA3193" s="52">
        <f t="shared" si="588"/>
        <v>0</v>
      </c>
      <c r="DB3193" s="140">
        <f t="shared" si="587"/>
        <v>0</v>
      </c>
      <c r="DS3193" s="130">
        <f>SI!BY3193</f>
        <v>208</v>
      </c>
      <c r="DZ3193" s="131">
        <f>SI!BZ3193</f>
        <v>0</v>
      </c>
    </row>
    <row r="3194" spans="1:130" ht="24.8" hidden="1" customHeight="1" x14ac:dyDescent="0.25">
      <c r="A3194" s="141"/>
      <c r="B3194" s="1036" t="s">
        <v>413</v>
      </c>
      <c r="C3194" s="1037"/>
      <c r="D3194" s="1037"/>
      <c r="E3194" s="1037"/>
      <c r="F3194" s="1037"/>
      <c r="G3194" s="1037"/>
      <c r="H3194" s="1037"/>
      <c r="I3194" s="1037"/>
      <c r="J3194" s="1037"/>
      <c r="K3194" s="1037"/>
      <c r="L3194" s="1037"/>
      <c r="M3194" s="1037"/>
      <c r="N3194" s="1037"/>
      <c r="O3194" s="1037"/>
      <c r="P3194" s="1037"/>
      <c r="Q3194" s="1037"/>
      <c r="R3194" s="1037"/>
      <c r="S3194" s="1037"/>
      <c r="T3194" s="1037"/>
      <c r="U3194" s="1037"/>
      <c r="V3194" s="1037"/>
      <c r="W3194" s="1037"/>
      <c r="X3194" s="1037"/>
      <c r="Y3194" s="1037"/>
      <c r="Z3194" s="1037"/>
      <c r="AA3194" s="1037"/>
      <c r="AB3194" s="1037"/>
      <c r="AC3194" s="1037"/>
      <c r="AD3194" s="1037"/>
      <c r="AE3194" s="1037"/>
      <c r="AF3194" s="1037"/>
      <c r="AG3194" s="363"/>
      <c r="AH3194" s="364"/>
      <c r="AI3194" s="364"/>
      <c r="AJ3194" s="364"/>
      <c r="AK3194" s="364"/>
      <c r="AL3194" s="364"/>
      <c r="AM3194" s="364"/>
      <c r="AN3194" s="364"/>
      <c r="AO3194" s="364"/>
      <c r="AP3194" s="364"/>
      <c r="AQ3194" s="364"/>
      <c r="AR3194" s="364"/>
      <c r="AS3194" s="364"/>
      <c r="AT3194" s="364"/>
      <c r="AU3194" s="364"/>
      <c r="AV3194" s="364"/>
      <c r="AW3194" s="364"/>
      <c r="AX3194" s="364"/>
      <c r="AY3194" s="364"/>
      <c r="AZ3194" s="364"/>
      <c r="BA3194" s="364"/>
      <c r="BB3194" s="364"/>
      <c r="BC3194" s="387"/>
      <c r="BD3194" s="386"/>
      <c r="BE3194" s="364"/>
      <c r="BF3194" s="364"/>
      <c r="BG3194" s="364"/>
      <c r="BH3194" s="364"/>
      <c r="BI3194" s="364"/>
      <c r="BJ3194" s="364"/>
      <c r="BK3194" s="364"/>
      <c r="BL3194" s="364"/>
      <c r="BM3194" s="364"/>
      <c r="BN3194" s="364"/>
      <c r="BO3194" s="364"/>
      <c r="BP3194" s="364"/>
      <c r="BQ3194" s="364"/>
      <c r="BR3194" s="364"/>
      <c r="BS3194" s="364"/>
      <c r="BT3194" s="364"/>
      <c r="BU3194" s="364"/>
      <c r="BV3194" s="364"/>
      <c r="BW3194" s="364"/>
      <c r="BX3194" s="364"/>
      <c r="BY3194" s="364"/>
      <c r="BZ3194" s="387"/>
      <c r="CA3194" s="270"/>
      <c r="CB3194" s="3" t="str">
        <f t="shared" si="590"/>
        <v>Riadok bude skrytý.</v>
      </c>
      <c r="CC3194" s="271" t="s">
        <v>832</v>
      </c>
      <c r="CW3194" s="30">
        <f t="shared" si="586"/>
        <v>0</v>
      </c>
      <c r="CX3194" s="30">
        <f t="shared" si="589"/>
        <v>1</v>
      </c>
      <c r="CZ3194" s="30">
        <f t="shared" si="591"/>
        <v>1</v>
      </c>
      <c r="DA3194" s="52">
        <f t="shared" si="588"/>
        <v>0</v>
      </c>
      <c r="DB3194" s="140">
        <f t="shared" si="587"/>
        <v>0</v>
      </c>
      <c r="DS3194" s="130">
        <f>SI!BY3194</f>
        <v>748</v>
      </c>
      <c r="DZ3194" s="131">
        <f>SI!BZ3194</f>
        <v>0</v>
      </c>
    </row>
    <row r="3195" spans="1:130" hidden="1" x14ac:dyDescent="0.25">
      <c r="A3195" s="141"/>
      <c r="B3195" s="589" t="s">
        <v>414</v>
      </c>
      <c r="C3195" s="590"/>
      <c r="D3195" s="590"/>
      <c r="E3195" s="590"/>
      <c r="F3195" s="590"/>
      <c r="G3195" s="590"/>
      <c r="H3195" s="590"/>
      <c r="I3195" s="590"/>
      <c r="J3195" s="590"/>
      <c r="K3195" s="590"/>
      <c r="L3195" s="590"/>
      <c r="M3195" s="590"/>
      <c r="N3195" s="590"/>
      <c r="O3195" s="590"/>
      <c r="P3195" s="590"/>
      <c r="Q3195" s="590"/>
      <c r="R3195" s="590"/>
      <c r="S3195" s="590"/>
      <c r="T3195" s="590"/>
      <c r="U3195" s="590"/>
      <c r="V3195" s="590"/>
      <c r="W3195" s="590"/>
      <c r="X3195" s="590"/>
      <c r="Y3195" s="590"/>
      <c r="Z3195" s="590"/>
      <c r="AA3195" s="590"/>
      <c r="AB3195" s="590"/>
      <c r="AC3195" s="590"/>
      <c r="AD3195" s="590"/>
      <c r="AE3195" s="590"/>
      <c r="AF3195" s="591"/>
      <c r="AG3195" s="363"/>
      <c r="AH3195" s="364"/>
      <c r="AI3195" s="364"/>
      <c r="AJ3195" s="364"/>
      <c r="AK3195" s="364"/>
      <c r="AL3195" s="364"/>
      <c r="AM3195" s="364"/>
      <c r="AN3195" s="364"/>
      <c r="AO3195" s="364"/>
      <c r="AP3195" s="364"/>
      <c r="AQ3195" s="364"/>
      <c r="AR3195" s="364"/>
      <c r="AS3195" s="364"/>
      <c r="AT3195" s="364"/>
      <c r="AU3195" s="364"/>
      <c r="AV3195" s="364"/>
      <c r="AW3195" s="364"/>
      <c r="AX3195" s="364"/>
      <c r="AY3195" s="364"/>
      <c r="AZ3195" s="364"/>
      <c r="BA3195" s="364"/>
      <c r="BB3195" s="364"/>
      <c r="BC3195" s="387"/>
      <c r="BD3195" s="386"/>
      <c r="BE3195" s="364"/>
      <c r="BF3195" s="364"/>
      <c r="BG3195" s="364"/>
      <c r="BH3195" s="364"/>
      <c r="BI3195" s="364"/>
      <c r="BJ3195" s="364"/>
      <c r="BK3195" s="364"/>
      <c r="BL3195" s="364"/>
      <c r="BM3195" s="364"/>
      <c r="BN3195" s="364"/>
      <c r="BO3195" s="364"/>
      <c r="BP3195" s="364"/>
      <c r="BQ3195" s="364"/>
      <c r="BR3195" s="364"/>
      <c r="BS3195" s="364"/>
      <c r="BT3195" s="364"/>
      <c r="BU3195" s="364"/>
      <c r="BV3195" s="364"/>
      <c r="BW3195" s="364"/>
      <c r="BX3195" s="364"/>
      <c r="BY3195" s="364"/>
      <c r="BZ3195" s="387"/>
      <c r="CA3195" s="270"/>
      <c r="CB3195" s="3" t="str">
        <f t="shared" si="590"/>
        <v>Riadok bude skrytý.</v>
      </c>
      <c r="CC3195" s="271" t="s">
        <v>832</v>
      </c>
      <c r="CW3195" s="30">
        <f t="shared" si="586"/>
        <v>0</v>
      </c>
      <c r="CX3195" s="30">
        <f t="shared" si="589"/>
        <v>1</v>
      </c>
      <c r="CZ3195" s="30">
        <f t="shared" si="591"/>
        <v>1</v>
      </c>
      <c r="DA3195" s="52">
        <f t="shared" si="588"/>
        <v>0</v>
      </c>
      <c r="DB3195" s="140">
        <f t="shared" si="587"/>
        <v>0</v>
      </c>
      <c r="DS3195" s="130">
        <f>SI!BY3195</f>
        <v>207</v>
      </c>
      <c r="DZ3195" s="131">
        <f>SI!BZ3195</f>
        <v>0</v>
      </c>
    </row>
    <row r="3196" spans="1:130" hidden="1" x14ac:dyDescent="0.25">
      <c r="A3196" s="141"/>
      <c r="B3196" s="589" t="s">
        <v>415</v>
      </c>
      <c r="C3196" s="590"/>
      <c r="D3196" s="590"/>
      <c r="E3196" s="590"/>
      <c r="F3196" s="590"/>
      <c r="G3196" s="590"/>
      <c r="H3196" s="590"/>
      <c r="I3196" s="590"/>
      <c r="J3196" s="590"/>
      <c r="K3196" s="590"/>
      <c r="L3196" s="590"/>
      <c r="M3196" s="590"/>
      <c r="N3196" s="590"/>
      <c r="O3196" s="590"/>
      <c r="P3196" s="590"/>
      <c r="Q3196" s="590"/>
      <c r="R3196" s="590"/>
      <c r="S3196" s="590"/>
      <c r="T3196" s="590"/>
      <c r="U3196" s="590"/>
      <c r="V3196" s="590"/>
      <c r="W3196" s="590"/>
      <c r="X3196" s="590"/>
      <c r="Y3196" s="590"/>
      <c r="Z3196" s="590"/>
      <c r="AA3196" s="590"/>
      <c r="AB3196" s="590"/>
      <c r="AC3196" s="590"/>
      <c r="AD3196" s="590"/>
      <c r="AE3196" s="590"/>
      <c r="AF3196" s="591"/>
      <c r="AG3196" s="363"/>
      <c r="AH3196" s="364"/>
      <c r="AI3196" s="364"/>
      <c r="AJ3196" s="364"/>
      <c r="AK3196" s="364"/>
      <c r="AL3196" s="364"/>
      <c r="AM3196" s="364"/>
      <c r="AN3196" s="364"/>
      <c r="AO3196" s="364"/>
      <c r="AP3196" s="364"/>
      <c r="AQ3196" s="364"/>
      <c r="AR3196" s="364"/>
      <c r="AS3196" s="364"/>
      <c r="AT3196" s="364"/>
      <c r="AU3196" s="364"/>
      <c r="AV3196" s="364"/>
      <c r="AW3196" s="364"/>
      <c r="AX3196" s="364"/>
      <c r="AY3196" s="364"/>
      <c r="AZ3196" s="364"/>
      <c r="BA3196" s="364"/>
      <c r="BB3196" s="364"/>
      <c r="BC3196" s="387"/>
      <c r="BD3196" s="386"/>
      <c r="BE3196" s="364"/>
      <c r="BF3196" s="364"/>
      <c r="BG3196" s="364"/>
      <c r="BH3196" s="364"/>
      <c r="BI3196" s="364"/>
      <c r="BJ3196" s="364"/>
      <c r="BK3196" s="364"/>
      <c r="BL3196" s="364"/>
      <c r="BM3196" s="364"/>
      <c r="BN3196" s="364"/>
      <c r="BO3196" s="364"/>
      <c r="BP3196" s="364"/>
      <c r="BQ3196" s="364"/>
      <c r="BR3196" s="364"/>
      <c r="BS3196" s="364"/>
      <c r="BT3196" s="364"/>
      <c r="BU3196" s="364"/>
      <c r="BV3196" s="364"/>
      <c r="BW3196" s="364"/>
      <c r="BX3196" s="364"/>
      <c r="BY3196" s="364"/>
      <c r="BZ3196" s="387"/>
      <c r="CA3196" s="270"/>
      <c r="CB3196" s="3" t="str">
        <f t="shared" si="590"/>
        <v>Riadok bude skrytý.</v>
      </c>
      <c r="CC3196" s="271" t="s">
        <v>832</v>
      </c>
      <c r="CW3196" s="30">
        <f t="shared" si="586"/>
        <v>0</v>
      </c>
      <c r="CX3196" s="30">
        <f t="shared" si="589"/>
        <v>1</v>
      </c>
      <c r="CZ3196" s="30">
        <f t="shared" si="591"/>
        <v>1</v>
      </c>
      <c r="DA3196" s="52">
        <f t="shared" si="588"/>
        <v>0</v>
      </c>
      <c r="DB3196" s="140">
        <f t="shared" si="587"/>
        <v>0</v>
      </c>
      <c r="DS3196" s="130">
        <f>SI!BY3196</f>
        <v>707</v>
      </c>
      <c r="DZ3196" s="131">
        <f>SI!BZ3196</f>
        <v>0</v>
      </c>
    </row>
    <row r="3197" spans="1:130" hidden="1" x14ac:dyDescent="0.25">
      <c r="A3197" s="141"/>
      <c r="B3197" s="573" t="s">
        <v>416</v>
      </c>
      <c r="C3197" s="574"/>
      <c r="D3197" s="574"/>
      <c r="E3197" s="574"/>
      <c r="F3197" s="574"/>
      <c r="G3197" s="574"/>
      <c r="H3197" s="574"/>
      <c r="I3197" s="574"/>
      <c r="J3197" s="574"/>
      <c r="K3197" s="574"/>
      <c r="L3197" s="574"/>
      <c r="M3197" s="574"/>
      <c r="N3197" s="574"/>
      <c r="O3197" s="574"/>
      <c r="P3197" s="574"/>
      <c r="Q3197" s="574"/>
      <c r="R3197" s="574"/>
      <c r="S3197" s="574"/>
      <c r="T3197" s="574"/>
      <c r="U3197" s="574"/>
      <c r="V3197" s="574"/>
      <c r="W3197" s="574"/>
      <c r="X3197" s="574"/>
      <c r="Y3197" s="574"/>
      <c r="Z3197" s="574"/>
      <c r="AA3197" s="574"/>
      <c r="AB3197" s="574"/>
      <c r="AC3197" s="574"/>
      <c r="AD3197" s="574"/>
      <c r="AE3197" s="574"/>
      <c r="AF3197" s="575"/>
      <c r="AG3197" s="367"/>
      <c r="AH3197" s="368"/>
      <c r="AI3197" s="368"/>
      <c r="AJ3197" s="368"/>
      <c r="AK3197" s="368"/>
      <c r="AL3197" s="368"/>
      <c r="AM3197" s="368"/>
      <c r="AN3197" s="368"/>
      <c r="AO3197" s="368"/>
      <c r="AP3197" s="368"/>
      <c r="AQ3197" s="368"/>
      <c r="AR3197" s="368"/>
      <c r="AS3197" s="368"/>
      <c r="AT3197" s="368"/>
      <c r="AU3197" s="368"/>
      <c r="AV3197" s="368"/>
      <c r="AW3197" s="368"/>
      <c r="AX3197" s="368"/>
      <c r="AY3197" s="368"/>
      <c r="AZ3197" s="368"/>
      <c r="BA3197" s="368"/>
      <c r="BB3197" s="368"/>
      <c r="BC3197" s="438"/>
      <c r="BD3197" s="457"/>
      <c r="BE3197" s="368"/>
      <c r="BF3197" s="368"/>
      <c r="BG3197" s="368"/>
      <c r="BH3197" s="368"/>
      <c r="BI3197" s="368"/>
      <c r="BJ3197" s="368"/>
      <c r="BK3197" s="368"/>
      <c r="BL3197" s="368"/>
      <c r="BM3197" s="368"/>
      <c r="BN3197" s="368"/>
      <c r="BO3197" s="368"/>
      <c r="BP3197" s="368"/>
      <c r="BQ3197" s="368"/>
      <c r="BR3197" s="368"/>
      <c r="BS3197" s="368"/>
      <c r="BT3197" s="368"/>
      <c r="BU3197" s="368"/>
      <c r="BV3197" s="368"/>
      <c r="BW3197" s="368"/>
      <c r="BX3197" s="368"/>
      <c r="BY3197" s="368"/>
      <c r="BZ3197" s="438"/>
      <c r="CA3197" s="270"/>
      <c r="CB3197" s="3" t="str">
        <f t="shared" si="590"/>
        <v>Riadok bude skrytý.</v>
      </c>
      <c r="CC3197" s="271" t="s">
        <v>832</v>
      </c>
      <c r="CW3197" s="30">
        <f t="shared" si="586"/>
        <v>0</v>
      </c>
      <c r="CX3197" s="30">
        <f t="shared" si="589"/>
        <v>1</v>
      </c>
      <c r="CZ3197" s="30">
        <f t="shared" si="591"/>
        <v>1</v>
      </c>
      <c r="DA3197" s="52">
        <f t="shared" si="588"/>
        <v>0</v>
      </c>
      <c r="DB3197" s="140">
        <f t="shared" si="587"/>
        <v>0</v>
      </c>
      <c r="DS3197" s="130">
        <f>SI!BY3197</f>
        <v>183</v>
      </c>
      <c r="DZ3197" s="131">
        <f>SI!BZ3197</f>
        <v>0</v>
      </c>
    </row>
    <row r="3198" spans="1:130" hidden="1" x14ac:dyDescent="0.25">
      <c r="A3198" s="141"/>
      <c r="CA3198" s="142"/>
      <c r="CB3198" s="3" t="str">
        <f t="shared" si="590"/>
        <v>Riadok bude skrytý.</v>
      </c>
      <c r="CC3198" s="271" t="s">
        <v>832</v>
      </c>
      <c r="CW3198" s="30">
        <f t="shared" si="586"/>
        <v>0</v>
      </c>
      <c r="CX3198" s="30">
        <f>+IF(B3200="",0,1)</f>
        <v>0</v>
      </c>
      <c r="CZ3198" s="30">
        <f t="shared" si="591"/>
        <v>1</v>
      </c>
      <c r="DA3198" s="52">
        <f t="shared" si="588"/>
        <v>0</v>
      </c>
      <c r="DB3198" s="140">
        <f t="shared" si="587"/>
        <v>0</v>
      </c>
      <c r="DS3198" s="130">
        <f>SI!BY3198</f>
        <v>1076</v>
      </c>
      <c r="DZ3198" s="131">
        <f>SI!BZ3198</f>
        <v>0</v>
      </c>
    </row>
    <row r="3199" spans="1:130" hidden="1" x14ac:dyDescent="0.25">
      <c r="A3199" s="141"/>
      <c r="B3199" s="137" t="str">
        <f>+IF($C$52&lt;&gt;"",IF(CODE(MID($C$52,1,1))*0+LEN(SI!J2)=DS3199,"Spoločnosť uvádza k podmienenému majetku ďalšie doplňujúce informácie:","NEPOVOLENÉ POUŽITIE!"),"NEPOVOLENÉ POUŽITIE!")</f>
        <v>Spoločnosť uvádza k podmienenému majetku ďalšie doplňujúce informácie:</v>
      </c>
      <c r="C3199" s="7"/>
      <c r="D3199" s="7"/>
      <c r="E3199" s="7"/>
      <c r="F3199" s="7"/>
      <c r="CA3199" s="265" t="s">
        <v>773</v>
      </c>
      <c r="CB3199" s="3" t="str">
        <f t="shared" si="590"/>
        <v>Riadok bude skrytý.</v>
      </c>
      <c r="CC3199" s="271" t="s">
        <v>832</v>
      </c>
      <c r="CW3199" s="30">
        <f t="shared" si="586"/>
        <v>0</v>
      </c>
      <c r="CX3199" s="30">
        <f>+IF(B3200="",0,1)</f>
        <v>0</v>
      </c>
      <c r="CZ3199" s="30">
        <f t="shared" si="591"/>
        <v>1</v>
      </c>
      <c r="DA3199" s="52">
        <f t="shared" si="588"/>
        <v>0</v>
      </c>
      <c r="DB3199" s="140">
        <f t="shared" si="587"/>
        <v>0</v>
      </c>
      <c r="DS3199" s="130">
        <f>SI!BY3199</f>
        <v>13</v>
      </c>
      <c r="DZ3199" s="131">
        <f>SI!BZ3199</f>
        <v>0</v>
      </c>
    </row>
    <row r="3200" spans="1:130" hidden="1" x14ac:dyDescent="0.25">
      <c r="A3200" s="141"/>
      <c r="B3200" s="379"/>
      <c r="C3200" s="379"/>
      <c r="D3200" s="379"/>
      <c r="E3200" s="379"/>
      <c r="F3200" s="379"/>
      <c r="G3200" s="379"/>
      <c r="H3200" s="379"/>
      <c r="I3200" s="379"/>
      <c r="J3200" s="379"/>
      <c r="K3200" s="379"/>
      <c r="L3200" s="379"/>
      <c r="M3200" s="379"/>
      <c r="N3200" s="379"/>
      <c r="O3200" s="379"/>
      <c r="P3200" s="379"/>
      <c r="Q3200" s="379"/>
      <c r="R3200" s="379"/>
      <c r="S3200" s="379"/>
      <c r="T3200" s="379"/>
      <c r="U3200" s="379"/>
      <c r="V3200" s="379"/>
      <c r="W3200" s="379"/>
      <c r="X3200" s="379"/>
      <c r="Y3200" s="379"/>
      <c r="Z3200" s="379"/>
      <c r="AA3200" s="379"/>
      <c r="AB3200" s="379"/>
      <c r="AC3200" s="379"/>
      <c r="AD3200" s="379"/>
      <c r="AE3200" s="379"/>
      <c r="AF3200" s="379"/>
      <c r="AG3200" s="379"/>
      <c r="AH3200" s="379"/>
      <c r="AI3200" s="379"/>
      <c r="AJ3200" s="379"/>
      <c r="AK3200" s="379"/>
      <c r="AL3200" s="379"/>
      <c r="AM3200" s="379"/>
      <c r="AN3200" s="379"/>
      <c r="AO3200" s="379"/>
      <c r="AP3200" s="379"/>
      <c r="AQ3200" s="379"/>
      <c r="AR3200" s="379"/>
      <c r="AS3200" s="379"/>
      <c r="AT3200" s="379"/>
      <c r="AU3200" s="379"/>
      <c r="AV3200" s="379"/>
      <c r="AW3200" s="379"/>
      <c r="AX3200" s="379"/>
      <c r="AY3200" s="379"/>
      <c r="AZ3200" s="379"/>
      <c r="BA3200" s="379"/>
      <c r="BB3200" s="379"/>
      <c r="BC3200" s="379"/>
      <c r="BD3200" s="379"/>
      <c r="BE3200" s="379"/>
      <c r="BF3200" s="379"/>
      <c r="BG3200" s="379"/>
      <c r="BH3200" s="379"/>
      <c r="BI3200" s="379"/>
      <c r="BJ3200" s="379"/>
      <c r="BK3200" s="379"/>
      <c r="BL3200" s="379"/>
      <c r="BM3200" s="379"/>
      <c r="BN3200" s="379"/>
      <c r="BO3200" s="379"/>
      <c r="BP3200" s="379"/>
      <c r="BQ3200" s="379"/>
      <c r="BR3200" s="379"/>
      <c r="BS3200" s="379"/>
      <c r="BT3200" s="379"/>
      <c r="BU3200" s="379"/>
      <c r="BV3200" s="379"/>
      <c r="BW3200" s="379"/>
      <c r="BX3200" s="379"/>
      <c r="BY3200" s="379"/>
      <c r="BZ3200" s="379"/>
      <c r="CA3200" s="270"/>
      <c r="CB3200" s="3" t="str">
        <f t="shared" si="590"/>
        <v>Riadok bude skrytý.</v>
      </c>
      <c r="CC3200" s="271" t="s">
        <v>832</v>
      </c>
      <c r="CW3200" s="30">
        <f t="shared" si="586"/>
        <v>0</v>
      </c>
      <c r="CX3200" s="30">
        <f>+IF(B3200="",0,1)</f>
        <v>0</v>
      </c>
      <c r="CZ3200" s="30">
        <f t="shared" si="591"/>
        <v>1</v>
      </c>
      <c r="DA3200" s="52">
        <f t="shared" si="588"/>
        <v>0</v>
      </c>
      <c r="DB3200" s="140">
        <f t="shared" si="587"/>
        <v>0</v>
      </c>
      <c r="DS3200" s="130">
        <f>SI!BY3200</f>
        <v>921</v>
      </c>
      <c r="DZ3200" s="131">
        <f>SI!BZ3200</f>
        <v>0</v>
      </c>
    </row>
    <row r="3201" spans="1:130" hidden="1" x14ac:dyDescent="0.25">
      <c r="A3201" s="141"/>
      <c r="B3201" s="379"/>
      <c r="C3201" s="379"/>
      <c r="D3201" s="379"/>
      <c r="E3201" s="379"/>
      <c r="F3201" s="379"/>
      <c r="G3201" s="379"/>
      <c r="H3201" s="379"/>
      <c r="I3201" s="379"/>
      <c r="J3201" s="379"/>
      <c r="K3201" s="379"/>
      <c r="L3201" s="379"/>
      <c r="M3201" s="379"/>
      <c r="N3201" s="379"/>
      <c r="O3201" s="379"/>
      <c r="P3201" s="379"/>
      <c r="Q3201" s="379"/>
      <c r="R3201" s="379"/>
      <c r="S3201" s="379"/>
      <c r="T3201" s="379"/>
      <c r="U3201" s="379"/>
      <c r="V3201" s="379"/>
      <c r="W3201" s="379"/>
      <c r="X3201" s="379"/>
      <c r="Y3201" s="379"/>
      <c r="Z3201" s="379"/>
      <c r="AA3201" s="379"/>
      <c r="AB3201" s="379"/>
      <c r="AC3201" s="379"/>
      <c r="AD3201" s="379"/>
      <c r="AE3201" s="379"/>
      <c r="AF3201" s="379"/>
      <c r="AG3201" s="379"/>
      <c r="AH3201" s="379"/>
      <c r="AI3201" s="379"/>
      <c r="AJ3201" s="379"/>
      <c r="AK3201" s="379"/>
      <c r="AL3201" s="379"/>
      <c r="AM3201" s="379"/>
      <c r="AN3201" s="379"/>
      <c r="AO3201" s="379"/>
      <c r="AP3201" s="379"/>
      <c r="AQ3201" s="379"/>
      <c r="AR3201" s="379"/>
      <c r="AS3201" s="379"/>
      <c r="AT3201" s="379"/>
      <c r="AU3201" s="379"/>
      <c r="AV3201" s="379"/>
      <c r="AW3201" s="379"/>
      <c r="AX3201" s="379"/>
      <c r="AY3201" s="379"/>
      <c r="AZ3201" s="379"/>
      <c r="BA3201" s="379"/>
      <c r="BB3201" s="379"/>
      <c r="BC3201" s="379"/>
      <c r="BD3201" s="379"/>
      <c r="BE3201" s="379"/>
      <c r="BF3201" s="379"/>
      <c r="BG3201" s="379"/>
      <c r="BH3201" s="379"/>
      <c r="BI3201" s="379"/>
      <c r="BJ3201" s="379"/>
      <c r="BK3201" s="379"/>
      <c r="BL3201" s="379"/>
      <c r="BM3201" s="379"/>
      <c r="BN3201" s="379"/>
      <c r="BO3201" s="379"/>
      <c r="BP3201" s="379"/>
      <c r="BQ3201" s="379"/>
      <c r="BR3201" s="379"/>
      <c r="BS3201" s="379"/>
      <c r="BT3201" s="379"/>
      <c r="BU3201" s="379"/>
      <c r="BV3201" s="379"/>
      <c r="BW3201" s="379"/>
      <c r="BX3201" s="379"/>
      <c r="BY3201" s="379"/>
      <c r="BZ3201" s="379"/>
      <c r="CA3201" s="270"/>
      <c r="CB3201" s="3" t="str">
        <f t="shared" si="590"/>
        <v>Riadok bude skrytý.</v>
      </c>
      <c r="CC3201" s="271" t="s">
        <v>832</v>
      </c>
      <c r="CW3201" s="30">
        <f t="shared" si="586"/>
        <v>0</v>
      </c>
      <c r="CX3201" s="30">
        <f>+IF(B3201="",0,1)</f>
        <v>0</v>
      </c>
      <c r="CZ3201" s="30">
        <f t="shared" si="591"/>
        <v>1</v>
      </c>
      <c r="DA3201" s="52">
        <f t="shared" si="588"/>
        <v>0</v>
      </c>
      <c r="DB3201" s="140">
        <f t="shared" si="587"/>
        <v>0</v>
      </c>
      <c r="DS3201" s="130">
        <f>SI!BY3201</f>
        <v>181</v>
      </c>
      <c r="DZ3201" s="131">
        <f>SI!BZ3201</f>
        <v>0</v>
      </c>
    </row>
    <row r="3202" spans="1:130" hidden="1" x14ac:dyDescent="0.25">
      <c r="A3202" s="141"/>
      <c r="B3202" s="379"/>
      <c r="C3202" s="379"/>
      <c r="D3202" s="379"/>
      <c r="E3202" s="379"/>
      <c r="F3202" s="379"/>
      <c r="G3202" s="379"/>
      <c r="H3202" s="379"/>
      <c r="I3202" s="379"/>
      <c r="J3202" s="379"/>
      <c r="K3202" s="379"/>
      <c r="L3202" s="379"/>
      <c r="M3202" s="379"/>
      <c r="N3202" s="379"/>
      <c r="O3202" s="379"/>
      <c r="P3202" s="379"/>
      <c r="Q3202" s="379"/>
      <c r="R3202" s="379"/>
      <c r="S3202" s="379"/>
      <c r="T3202" s="379"/>
      <c r="U3202" s="379"/>
      <c r="V3202" s="379"/>
      <c r="W3202" s="379"/>
      <c r="X3202" s="379"/>
      <c r="Y3202" s="379"/>
      <c r="Z3202" s="379"/>
      <c r="AA3202" s="379"/>
      <c r="AB3202" s="379"/>
      <c r="AC3202" s="379"/>
      <c r="AD3202" s="379"/>
      <c r="AE3202" s="379"/>
      <c r="AF3202" s="379"/>
      <c r="AG3202" s="379"/>
      <c r="AH3202" s="379"/>
      <c r="AI3202" s="379"/>
      <c r="AJ3202" s="379"/>
      <c r="AK3202" s="379"/>
      <c r="AL3202" s="379"/>
      <c r="AM3202" s="379"/>
      <c r="AN3202" s="379"/>
      <c r="AO3202" s="379"/>
      <c r="AP3202" s="379"/>
      <c r="AQ3202" s="379"/>
      <c r="AR3202" s="379"/>
      <c r="AS3202" s="379"/>
      <c r="AT3202" s="379"/>
      <c r="AU3202" s="379"/>
      <c r="AV3202" s="379"/>
      <c r="AW3202" s="379"/>
      <c r="AX3202" s="379"/>
      <c r="AY3202" s="379"/>
      <c r="AZ3202" s="379"/>
      <c r="BA3202" s="379"/>
      <c r="BB3202" s="379"/>
      <c r="BC3202" s="379"/>
      <c r="BD3202" s="379"/>
      <c r="BE3202" s="379"/>
      <c r="BF3202" s="379"/>
      <c r="BG3202" s="379"/>
      <c r="BH3202" s="379"/>
      <c r="BI3202" s="379"/>
      <c r="BJ3202" s="379"/>
      <c r="BK3202" s="379"/>
      <c r="BL3202" s="379"/>
      <c r="BM3202" s="379"/>
      <c r="BN3202" s="379"/>
      <c r="BO3202" s="379"/>
      <c r="BP3202" s="379"/>
      <c r="BQ3202" s="379"/>
      <c r="BR3202" s="379"/>
      <c r="BS3202" s="379"/>
      <c r="BT3202" s="379"/>
      <c r="BU3202" s="379"/>
      <c r="BV3202" s="379"/>
      <c r="BW3202" s="379"/>
      <c r="BX3202" s="379"/>
      <c r="BY3202" s="379"/>
      <c r="BZ3202" s="379"/>
      <c r="CA3202" s="270"/>
      <c r="CB3202" s="3" t="str">
        <f t="shared" si="590"/>
        <v>Riadok bude skrytý.</v>
      </c>
      <c r="CC3202" s="271" t="s">
        <v>832</v>
      </c>
      <c r="CW3202" s="30">
        <f t="shared" si="586"/>
        <v>0</v>
      </c>
      <c r="CX3202" s="30">
        <f>+IF(B3202="",0,1)</f>
        <v>0</v>
      </c>
      <c r="CZ3202" s="30">
        <f t="shared" si="591"/>
        <v>1</v>
      </c>
      <c r="DA3202" s="52">
        <f t="shared" si="588"/>
        <v>0</v>
      </c>
      <c r="DB3202" s="140">
        <f t="shared" si="587"/>
        <v>0</v>
      </c>
      <c r="DS3202" s="130">
        <f>SI!BY3202</f>
        <v>924</v>
      </c>
      <c r="DZ3202" s="131">
        <f>SI!BZ3202</f>
        <v>0</v>
      </c>
    </row>
    <row r="3203" spans="1:130" hidden="1" x14ac:dyDescent="0.25">
      <c r="A3203" s="141"/>
      <c r="B3203" s="379"/>
      <c r="C3203" s="379"/>
      <c r="D3203" s="379"/>
      <c r="E3203" s="379"/>
      <c r="F3203" s="379"/>
      <c r="G3203" s="379"/>
      <c r="H3203" s="379"/>
      <c r="I3203" s="379"/>
      <c r="J3203" s="379"/>
      <c r="K3203" s="379"/>
      <c r="L3203" s="379"/>
      <c r="M3203" s="379"/>
      <c r="N3203" s="379"/>
      <c r="O3203" s="379"/>
      <c r="P3203" s="379"/>
      <c r="Q3203" s="379"/>
      <c r="R3203" s="379"/>
      <c r="S3203" s="379"/>
      <c r="T3203" s="379"/>
      <c r="U3203" s="379"/>
      <c r="V3203" s="379"/>
      <c r="W3203" s="379"/>
      <c r="X3203" s="379"/>
      <c r="Y3203" s="379"/>
      <c r="Z3203" s="379"/>
      <c r="AA3203" s="379"/>
      <c r="AB3203" s="379"/>
      <c r="AC3203" s="379"/>
      <c r="AD3203" s="379"/>
      <c r="AE3203" s="379"/>
      <c r="AF3203" s="379"/>
      <c r="AG3203" s="379"/>
      <c r="AH3203" s="379"/>
      <c r="AI3203" s="379"/>
      <c r="AJ3203" s="379"/>
      <c r="AK3203" s="379"/>
      <c r="AL3203" s="379"/>
      <c r="AM3203" s="379"/>
      <c r="AN3203" s="379"/>
      <c r="AO3203" s="379"/>
      <c r="AP3203" s="379"/>
      <c r="AQ3203" s="379"/>
      <c r="AR3203" s="379"/>
      <c r="AS3203" s="379"/>
      <c r="AT3203" s="379"/>
      <c r="AU3203" s="379"/>
      <c r="AV3203" s="379"/>
      <c r="AW3203" s="379"/>
      <c r="AX3203" s="379"/>
      <c r="AY3203" s="379"/>
      <c r="AZ3203" s="379"/>
      <c r="BA3203" s="379"/>
      <c r="BB3203" s="379"/>
      <c r="BC3203" s="379"/>
      <c r="BD3203" s="379"/>
      <c r="BE3203" s="379"/>
      <c r="BF3203" s="379"/>
      <c r="BG3203" s="379"/>
      <c r="BH3203" s="379"/>
      <c r="BI3203" s="379"/>
      <c r="BJ3203" s="379"/>
      <c r="BK3203" s="379"/>
      <c r="BL3203" s="379"/>
      <c r="BM3203" s="379"/>
      <c r="BN3203" s="379"/>
      <c r="BO3203" s="379"/>
      <c r="BP3203" s="379"/>
      <c r="BQ3203" s="379"/>
      <c r="BR3203" s="379"/>
      <c r="BS3203" s="379"/>
      <c r="BT3203" s="379"/>
      <c r="BU3203" s="379"/>
      <c r="BV3203" s="379"/>
      <c r="BW3203" s="379"/>
      <c r="BX3203" s="379"/>
      <c r="BY3203" s="379"/>
      <c r="BZ3203" s="379"/>
      <c r="CA3203" s="270"/>
      <c r="CB3203" s="3" t="str">
        <f t="shared" si="590"/>
        <v>Riadok bude skrytý.</v>
      </c>
      <c r="CC3203" s="271" t="s">
        <v>832</v>
      </c>
      <c r="CW3203" s="30">
        <f t="shared" si="586"/>
        <v>0</v>
      </c>
      <c r="CX3203" s="30">
        <f>+IF(B3203="",0,1)</f>
        <v>0</v>
      </c>
      <c r="CZ3203" s="30">
        <f t="shared" si="591"/>
        <v>1</v>
      </c>
      <c r="DA3203" s="52">
        <f t="shared" si="588"/>
        <v>0</v>
      </c>
      <c r="DB3203" s="140">
        <f t="shared" si="587"/>
        <v>0</v>
      </c>
      <c r="DS3203" s="130">
        <f>SI!BY3203</f>
        <v>13</v>
      </c>
      <c r="DZ3203" s="131">
        <f>SI!BZ3203</f>
        <v>0</v>
      </c>
    </row>
    <row r="3204" spans="1:130" hidden="1" x14ac:dyDescent="0.25">
      <c r="A3204" s="141"/>
      <c r="B3204" s="379"/>
      <c r="C3204" s="379"/>
      <c r="D3204" s="379"/>
      <c r="E3204" s="379"/>
      <c r="F3204" s="379"/>
      <c r="G3204" s="379"/>
      <c r="H3204" s="379"/>
      <c r="I3204" s="379"/>
      <c r="J3204" s="379"/>
      <c r="K3204" s="379"/>
      <c r="L3204" s="379"/>
      <c r="M3204" s="379"/>
      <c r="N3204" s="379"/>
      <c r="O3204" s="379"/>
      <c r="P3204" s="379"/>
      <c r="Q3204" s="379"/>
      <c r="R3204" s="379"/>
      <c r="S3204" s="379"/>
      <c r="T3204" s="379"/>
      <c r="U3204" s="379"/>
      <c r="V3204" s="379"/>
      <c r="W3204" s="379"/>
      <c r="X3204" s="379"/>
      <c r="Y3204" s="379"/>
      <c r="Z3204" s="379"/>
      <c r="AA3204" s="379"/>
      <c r="AB3204" s="379"/>
      <c r="AC3204" s="379"/>
      <c r="AD3204" s="379"/>
      <c r="AE3204" s="379"/>
      <c r="AF3204" s="379"/>
      <c r="AG3204" s="379"/>
      <c r="AH3204" s="379"/>
      <c r="AI3204" s="379"/>
      <c r="AJ3204" s="379"/>
      <c r="AK3204" s="379"/>
      <c r="AL3204" s="379"/>
      <c r="AM3204" s="379"/>
      <c r="AN3204" s="379"/>
      <c r="AO3204" s="379"/>
      <c r="AP3204" s="379"/>
      <c r="AQ3204" s="379"/>
      <c r="AR3204" s="379"/>
      <c r="AS3204" s="379"/>
      <c r="AT3204" s="379"/>
      <c r="AU3204" s="379"/>
      <c r="AV3204" s="379"/>
      <c r="AW3204" s="379"/>
      <c r="AX3204" s="379"/>
      <c r="AY3204" s="379"/>
      <c r="AZ3204" s="379"/>
      <c r="BA3204" s="379"/>
      <c r="BB3204" s="379"/>
      <c r="BC3204" s="379"/>
      <c r="BD3204" s="379"/>
      <c r="BE3204" s="379"/>
      <c r="BF3204" s="379"/>
      <c r="BG3204" s="379"/>
      <c r="BH3204" s="379"/>
      <c r="BI3204" s="379"/>
      <c r="BJ3204" s="379"/>
      <c r="BK3204" s="379"/>
      <c r="BL3204" s="379"/>
      <c r="BM3204" s="379"/>
      <c r="BN3204" s="379"/>
      <c r="BO3204" s="379"/>
      <c r="BP3204" s="379"/>
      <c r="BQ3204" s="379"/>
      <c r="BR3204" s="379"/>
      <c r="BS3204" s="379"/>
      <c r="BT3204" s="379"/>
      <c r="BU3204" s="379"/>
      <c r="BV3204" s="379"/>
      <c r="BW3204" s="379"/>
      <c r="BX3204" s="379"/>
      <c r="BY3204" s="379"/>
      <c r="BZ3204" s="379"/>
      <c r="CA3204" s="270"/>
      <c r="CB3204" s="3" t="str">
        <f t="shared" si="590"/>
        <v>Riadok bude skrytý.</v>
      </c>
      <c r="CC3204" s="271" t="s">
        <v>832</v>
      </c>
      <c r="CW3204" s="30">
        <f t="shared" si="586"/>
        <v>0</v>
      </c>
      <c r="CX3204" s="30">
        <f>+IF(B3204="",0,1)</f>
        <v>0</v>
      </c>
      <c r="CZ3204" s="30">
        <f t="shared" si="591"/>
        <v>1</v>
      </c>
      <c r="DA3204" s="52">
        <f t="shared" si="588"/>
        <v>0</v>
      </c>
      <c r="DB3204" s="140">
        <f t="shared" si="587"/>
        <v>0</v>
      </c>
      <c r="DS3204" s="130">
        <f>SI!BY3204</f>
        <v>824</v>
      </c>
      <c r="DZ3204" s="131">
        <f>SI!BZ3204</f>
        <v>0</v>
      </c>
    </row>
    <row r="3205" spans="1:130" x14ac:dyDescent="0.25">
      <c r="A3205" s="141"/>
      <c r="CA3205" s="270"/>
      <c r="CB3205" s="3" t="str">
        <f t="shared" si="590"/>
        <v>Riadok bude vidieť.</v>
      </c>
      <c r="CC3205" s="271" t="s">
        <v>832</v>
      </c>
      <c r="CW3205" s="49">
        <v>1</v>
      </c>
      <c r="CX3205" s="30">
        <f>+IF(B3204="",0,1)</f>
        <v>0</v>
      </c>
      <c r="CZ3205" s="30">
        <f t="shared" si="591"/>
        <v>1</v>
      </c>
      <c r="DA3205" s="30">
        <f t="shared" ref="DA3205:DA3210" si="592">+IF(CW3205+CX3205+CY3205=0,0,IF(CZ3205=0,0,1))</f>
        <v>1</v>
      </c>
      <c r="DB3205" s="140">
        <f t="shared" si="587"/>
        <v>1</v>
      </c>
      <c r="DS3205" s="130">
        <f>SI!BY3205</f>
        <v>121</v>
      </c>
      <c r="DZ3205" s="131">
        <f>SI!BZ3205</f>
        <v>0</v>
      </c>
    </row>
    <row r="3206" spans="1:130" ht="16.3" hidden="1" x14ac:dyDescent="0.3">
      <c r="A3206" s="141"/>
      <c r="B3206" s="23"/>
      <c r="C3206" s="301"/>
      <c r="D3206" s="301"/>
      <c r="E3206" s="24" t="s">
        <v>963</v>
      </c>
      <c r="F3206" s="301"/>
      <c r="G3206" s="127"/>
      <c r="H3206" s="24"/>
      <c r="I3206" s="301"/>
      <c r="J3206" s="301"/>
      <c r="K3206" s="301"/>
      <c r="L3206" s="301"/>
      <c r="M3206" s="301"/>
      <c r="N3206" s="301"/>
      <c r="O3206" s="301"/>
      <c r="P3206" s="301"/>
      <c r="Q3206" s="301"/>
      <c r="R3206" s="301"/>
      <c r="S3206" s="301"/>
      <c r="T3206" s="301"/>
      <c r="U3206" s="301"/>
      <c r="V3206" s="301"/>
      <c r="W3206" s="301"/>
      <c r="X3206" s="301"/>
      <c r="Y3206" s="301"/>
      <c r="Z3206" s="301"/>
      <c r="AA3206" s="301"/>
      <c r="AB3206" s="301"/>
      <c r="AC3206" s="301"/>
      <c r="AD3206" s="301"/>
      <c r="AE3206" s="301"/>
      <c r="AF3206" s="301"/>
      <c r="AG3206" s="301"/>
      <c r="AH3206" s="301"/>
      <c r="AI3206" s="301"/>
      <c r="AJ3206" s="301"/>
      <c r="AK3206" s="302"/>
      <c r="AL3206" s="302"/>
      <c r="AM3206" s="302"/>
      <c r="AN3206" s="302"/>
      <c r="AO3206" s="302"/>
      <c r="AP3206" s="302"/>
      <c r="AQ3206" s="302"/>
      <c r="AR3206" s="302"/>
      <c r="AS3206" s="302"/>
      <c r="AT3206" s="302"/>
      <c r="AU3206" s="302"/>
      <c r="AV3206" s="302"/>
      <c r="AW3206" s="302"/>
      <c r="AX3206" s="302"/>
      <c r="AY3206" s="302"/>
      <c r="AZ3206" s="302"/>
      <c r="BA3206" s="302"/>
      <c r="BB3206" s="302"/>
      <c r="BC3206" s="302"/>
      <c r="BD3206" s="302"/>
      <c r="BE3206" s="302"/>
      <c r="BF3206" s="302"/>
      <c r="BG3206" s="302"/>
      <c r="BH3206" s="302"/>
      <c r="BI3206" s="302"/>
      <c r="BJ3206" s="302"/>
      <c r="BK3206" s="302"/>
      <c r="BL3206" s="302"/>
      <c r="BM3206" s="302"/>
      <c r="BN3206" s="302"/>
      <c r="BO3206" s="301"/>
      <c r="BP3206" s="301"/>
      <c r="BQ3206" s="303"/>
      <c r="BR3206" s="303"/>
      <c r="BS3206" s="301"/>
      <c r="BT3206" s="301"/>
      <c r="BU3206" s="301"/>
      <c r="BV3206" s="301"/>
      <c r="BW3206" s="301"/>
      <c r="BX3206" s="301"/>
      <c r="BY3206" s="301"/>
      <c r="BZ3206" s="304"/>
      <c r="CA3206" s="265" t="s">
        <v>773</v>
      </c>
      <c r="CB3206" s="3" t="str">
        <f t="shared" si="590"/>
        <v>Riadok bude skrytý.</v>
      </c>
      <c r="CD3206" s="4"/>
      <c r="CW3206" s="49">
        <v>1</v>
      </c>
      <c r="CZ3206" s="30">
        <f t="shared" si="591"/>
        <v>1</v>
      </c>
      <c r="DA3206" s="30">
        <f t="shared" si="592"/>
        <v>1</v>
      </c>
      <c r="DB3206" s="2">
        <f>+IF($CD$1="malé",0,DA3206)</f>
        <v>0</v>
      </c>
      <c r="DS3206" s="130">
        <f>SI!BY3206</f>
        <v>192</v>
      </c>
      <c r="DZ3206" s="131">
        <f>SI!BZ3206</f>
        <v>0</v>
      </c>
    </row>
    <row r="3207" spans="1:130" ht="17" hidden="1" thickBot="1" x14ac:dyDescent="0.35">
      <c r="A3207" s="141"/>
      <c r="B3207" s="25"/>
      <c r="C3207" s="305"/>
      <c r="D3207" s="305"/>
      <c r="E3207" s="26" t="s">
        <v>964</v>
      </c>
      <c r="F3207" s="305"/>
      <c r="G3207" s="128"/>
      <c r="H3207" s="26"/>
      <c r="I3207" s="305"/>
      <c r="J3207" s="305"/>
      <c r="K3207" s="305"/>
      <c r="L3207" s="305"/>
      <c r="M3207" s="305"/>
      <c r="N3207" s="305"/>
      <c r="O3207" s="305"/>
      <c r="P3207" s="305"/>
      <c r="Q3207" s="305"/>
      <c r="R3207" s="305"/>
      <c r="S3207" s="305"/>
      <c r="T3207" s="305"/>
      <c r="U3207" s="305"/>
      <c r="V3207" s="305"/>
      <c r="W3207" s="305"/>
      <c r="X3207" s="305"/>
      <c r="Y3207" s="305"/>
      <c r="Z3207" s="305"/>
      <c r="AA3207" s="305"/>
      <c r="AB3207" s="305"/>
      <c r="AC3207" s="305"/>
      <c r="AD3207" s="305"/>
      <c r="AE3207" s="305"/>
      <c r="AF3207" s="305"/>
      <c r="AG3207" s="305"/>
      <c r="AH3207" s="305"/>
      <c r="AI3207" s="305"/>
      <c r="AJ3207" s="305"/>
      <c r="AK3207" s="306"/>
      <c r="AL3207" s="306"/>
      <c r="AM3207" s="306"/>
      <c r="AN3207" s="306"/>
      <c r="AO3207" s="306"/>
      <c r="AP3207" s="306"/>
      <c r="AQ3207" s="306"/>
      <c r="AR3207" s="306"/>
      <c r="AS3207" s="306"/>
      <c r="AT3207" s="306"/>
      <c r="AU3207" s="306"/>
      <c r="AV3207" s="306"/>
      <c r="AW3207" s="306"/>
      <c r="AX3207" s="306"/>
      <c r="AY3207" s="306"/>
      <c r="AZ3207" s="306"/>
      <c r="BA3207" s="306"/>
      <c r="BB3207" s="306"/>
      <c r="BC3207" s="306"/>
      <c r="BD3207" s="1396" t="str">
        <f>+SI!J2</f>
        <v>Resumo s.r.o.</v>
      </c>
      <c r="BE3207" s="1396"/>
      <c r="BF3207" s="1396"/>
      <c r="BG3207" s="1396"/>
      <c r="BH3207" s="1396"/>
      <c r="BI3207" s="1396"/>
      <c r="BJ3207" s="1396"/>
      <c r="BK3207" s="1396"/>
      <c r="BL3207" s="1396"/>
      <c r="BM3207" s="1396"/>
      <c r="BN3207" s="1396"/>
      <c r="BO3207" s="1396"/>
      <c r="BP3207" s="1396"/>
      <c r="BQ3207" s="1396"/>
      <c r="BR3207" s="1396"/>
      <c r="BS3207" s="1396"/>
      <c r="BT3207" s="1396"/>
      <c r="BU3207" s="1396"/>
      <c r="BV3207" s="1396"/>
      <c r="BW3207" s="1396"/>
      <c r="BX3207" s="1396"/>
      <c r="BY3207" s="1396"/>
      <c r="BZ3207" s="1397"/>
      <c r="CA3207" s="142"/>
      <c r="CB3207" s="3" t="str">
        <f t="shared" si="590"/>
        <v>Riadok bude skrytý.</v>
      </c>
      <c r="CD3207" s="4"/>
      <c r="CW3207" s="49">
        <v>1</v>
      </c>
      <c r="CZ3207" s="30">
        <f t="shared" si="591"/>
        <v>1</v>
      </c>
      <c r="DA3207" s="30">
        <f t="shared" si="592"/>
        <v>1</v>
      </c>
      <c r="DB3207" s="2">
        <f>+IF($CD$1="malé",0,DA3207)</f>
        <v>0</v>
      </c>
      <c r="DS3207" s="130">
        <f>SI!BY3207</f>
        <v>198</v>
      </c>
      <c r="DZ3207" s="131">
        <f>SI!BZ3207</f>
        <v>0</v>
      </c>
    </row>
    <row r="3208" spans="1:130" ht="16.3" hidden="1" x14ac:dyDescent="0.3">
      <c r="A3208" s="141"/>
      <c r="G3208" s="16"/>
      <c r="H3208" s="16"/>
      <c r="CA3208" s="142"/>
      <c r="CB3208" s="3" t="str">
        <f t="shared" si="590"/>
        <v>Riadok bude skrytý.</v>
      </c>
      <c r="CD3208" s="4"/>
      <c r="CW3208" s="49">
        <v>1</v>
      </c>
      <c r="CZ3208" s="30">
        <f t="shared" si="591"/>
        <v>1</v>
      </c>
      <c r="DA3208" s="30">
        <f t="shared" si="592"/>
        <v>1</v>
      </c>
      <c r="DB3208" s="2">
        <f>+IF($CD$1="malé",0,DA3208)</f>
        <v>0</v>
      </c>
      <c r="DS3208" s="130">
        <f>SI!BY3208</f>
        <v>846</v>
      </c>
      <c r="DZ3208" s="131">
        <f>SI!BZ3208</f>
        <v>0</v>
      </c>
    </row>
    <row r="3209" spans="1:130" x14ac:dyDescent="0.25">
      <c r="A3209" s="141"/>
      <c r="B3209" s="137" t="s">
        <v>208</v>
      </c>
      <c r="J3209" s="378" t="s">
        <v>1072</v>
      </c>
      <c r="K3209" s="378"/>
      <c r="L3209" s="378"/>
      <c r="M3209" s="378"/>
      <c r="N3209" s="378"/>
      <c r="O3209" s="378"/>
      <c r="P3209" s="378"/>
      <c r="Q3209" s="378"/>
      <c r="R3209" s="378"/>
      <c r="S3209" s="137" t="str">
        <f>+IF($Q$52&lt;&gt;"",IF((CODE(MID($Q$52,1,1)))*(INT((PI()-3.1415)*10^5))*0+(LEN(SI!J5)-LEN(SI!J6))=DS3209,"príjmy a výhody členom štatutárných dozorných a iných orgánov ÚJ.","NEPOVOLENÉ POUŽITIE!"),"NEPOVOLENÉ POUŽITIE!")</f>
        <v>príjmy a výhody členom štatutárných dozorných a iných orgánov ÚJ.</v>
      </c>
      <c r="T3209" s="38"/>
      <c r="CA3209" s="142"/>
      <c r="CB3209" s="3" t="str">
        <f t="shared" si="590"/>
        <v>Riadok bude vidieť.</v>
      </c>
      <c r="CC3209" s="271" t="s">
        <v>832</v>
      </c>
      <c r="CD3209" s="4"/>
      <c r="CF3209" s="13"/>
      <c r="CW3209" s="49">
        <v>1</v>
      </c>
      <c r="CZ3209" s="30">
        <f t="shared" si="591"/>
        <v>1</v>
      </c>
      <c r="DA3209" s="30">
        <f t="shared" si="592"/>
        <v>1</v>
      </c>
      <c r="DB3209" s="140">
        <f t="shared" si="587"/>
        <v>1</v>
      </c>
      <c r="DS3209" s="130">
        <f>SI!BY3209</f>
        <v>10</v>
      </c>
      <c r="DZ3209" s="131">
        <f>SI!BZ3209</f>
        <v>0</v>
      </c>
    </row>
    <row r="3210" spans="1:130" x14ac:dyDescent="0.25">
      <c r="A3210" s="141"/>
      <c r="B3210" s="137" t="str">
        <f>+IF($S$52&lt;&gt;"",IF((CODE(MID($S$52,1,1))/100)&lt;10,IF(COMBIN(LEN(SI!J3),2)=DS3210,IF(J3209="poskytla","K príjmom a výhodám členov štatutárnych, dozorných a iných orgánov ÚJ Spoločnosť uvádza:","Spoločnosť nemá pre túto časť poznámok obsahovú náplň."),"NEPOVOLENÉ POUŽITIE !"),"NEPOVOLENÉ POUŽITIE!"),"NEPOVOLENÉ POUŽITIE !")</f>
        <v>Spoločnosť nemá pre túto časť poznámok obsahovú náplň.</v>
      </c>
      <c r="CA3210" s="270"/>
      <c r="CB3210" s="3" t="str">
        <f t="shared" si="590"/>
        <v>Riadok bude vidieť.</v>
      </c>
      <c r="CC3210" s="271" t="s">
        <v>832</v>
      </c>
      <c r="CW3210" s="30">
        <f>+IF($J$3209="neposkytla",1,1)</f>
        <v>1</v>
      </c>
      <c r="CZ3210" s="30">
        <f t="shared" si="591"/>
        <v>1</v>
      </c>
      <c r="DA3210" s="30">
        <f t="shared" si="592"/>
        <v>1</v>
      </c>
      <c r="DB3210" s="140">
        <f t="shared" si="587"/>
        <v>1</v>
      </c>
      <c r="DS3210" s="130">
        <f>SI!BY3210</f>
        <v>10</v>
      </c>
      <c r="DZ3210" s="131">
        <f>SI!BZ3210</f>
        <v>0</v>
      </c>
    </row>
    <row r="3211" spans="1:130" hidden="1" x14ac:dyDescent="0.25">
      <c r="A3211" s="141"/>
      <c r="B3211" s="379" t="s">
        <v>1068</v>
      </c>
      <c r="C3211" s="379"/>
      <c r="D3211" s="379"/>
      <c r="E3211" s="379"/>
      <c r="F3211" s="379"/>
      <c r="G3211" s="379"/>
      <c r="H3211" s="379"/>
      <c r="I3211" s="379"/>
      <c r="J3211" s="379"/>
      <c r="K3211" s="379"/>
      <c r="L3211" s="379"/>
      <c r="M3211" s="379"/>
      <c r="N3211" s="379"/>
      <c r="O3211" s="379"/>
      <c r="P3211" s="379"/>
      <c r="Q3211" s="379"/>
      <c r="R3211" s="379"/>
      <c r="S3211" s="379"/>
      <c r="T3211" s="379"/>
      <c r="U3211" s="379"/>
      <c r="V3211" s="379"/>
      <c r="W3211" s="379"/>
      <c r="X3211" s="379"/>
      <c r="Y3211" s="379"/>
      <c r="Z3211" s="379"/>
      <c r="AA3211" s="379"/>
      <c r="AB3211" s="379"/>
      <c r="AC3211" s="379"/>
      <c r="AD3211" s="379"/>
      <c r="AE3211" s="379"/>
      <c r="AF3211" s="379"/>
      <c r="AG3211" s="379"/>
      <c r="AH3211" s="379"/>
      <c r="AI3211" s="379"/>
      <c r="AJ3211" s="379"/>
      <c r="AK3211" s="379"/>
      <c r="AL3211" s="379"/>
      <c r="AM3211" s="379"/>
      <c r="AN3211" s="379"/>
      <c r="AO3211" s="379"/>
      <c r="AP3211" s="379"/>
      <c r="AQ3211" s="379"/>
      <c r="AR3211" s="379"/>
      <c r="AS3211" s="379"/>
      <c r="AT3211" s="379"/>
      <c r="AU3211" s="379"/>
      <c r="AV3211" s="379"/>
      <c r="AW3211" s="379"/>
      <c r="AX3211" s="379"/>
      <c r="AY3211" s="379"/>
      <c r="AZ3211" s="379"/>
      <c r="BA3211" s="379"/>
      <c r="BB3211" s="379"/>
      <c r="BC3211" s="379"/>
      <c r="BD3211" s="379"/>
      <c r="BE3211" s="379"/>
      <c r="BF3211" s="379"/>
      <c r="BG3211" s="379"/>
      <c r="BH3211" s="379"/>
      <c r="BI3211" s="379"/>
      <c r="BJ3211" s="379"/>
      <c r="BK3211" s="379"/>
      <c r="BL3211" s="379"/>
      <c r="BM3211" s="379"/>
      <c r="BN3211" s="379"/>
      <c r="BO3211" s="379"/>
      <c r="BP3211" s="379"/>
      <c r="BQ3211" s="379"/>
      <c r="BR3211" s="379"/>
      <c r="BS3211" s="379"/>
      <c r="BT3211" s="379"/>
      <c r="BU3211" s="379"/>
      <c r="BV3211" s="379"/>
      <c r="BW3211" s="379"/>
      <c r="BX3211" s="379"/>
      <c r="BY3211" s="379"/>
      <c r="BZ3211" s="379"/>
      <c r="CA3211" s="281"/>
      <c r="CB3211" s="3" t="str">
        <f t="shared" si="590"/>
        <v>Riadok bude skrytý.</v>
      </c>
      <c r="CC3211" s="271" t="s">
        <v>832</v>
      </c>
      <c r="CW3211" s="30">
        <f t="shared" ref="CW3211:CW3252" si="593">+IF($J$3209="neposkytla",0,1)</f>
        <v>0</v>
      </c>
      <c r="CX3211" s="30">
        <f t="shared" ref="CX3211:CX3230" si="594">+IF(B3211="",0,1)</f>
        <v>1</v>
      </c>
      <c r="CZ3211" s="30">
        <f t="shared" si="591"/>
        <v>1</v>
      </c>
      <c r="DA3211" s="52">
        <f t="shared" ref="DA3211:DA3230" si="595">+IF(CW3211*CX3211=0,0,IF(CZ3211=0,0,1))</f>
        <v>0</v>
      </c>
      <c r="DB3211" s="140">
        <f t="shared" si="587"/>
        <v>0</v>
      </c>
      <c r="DS3211" s="130">
        <f>SI!BY3211</f>
        <v>106</v>
      </c>
      <c r="DZ3211" s="131">
        <f>SI!BZ3211</f>
        <v>0</v>
      </c>
    </row>
    <row r="3212" spans="1:130" hidden="1" x14ac:dyDescent="0.25">
      <c r="A3212" s="141"/>
      <c r="B3212" s="379"/>
      <c r="C3212" s="379"/>
      <c r="D3212" s="379"/>
      <c r="E3212" s="379"/>
      <c r="F3212" s="379"/>
      <c r="G3212" s="379"/>
      <c r="H3212" s="379"/>
      <c r="I3212" s="379"/>
      <c r="J3212" s="379"/>
      <c r="K3212" s="379"/>
      <c r="L3212" s="379"/>
      <c r="M3212" s="379"/>
      <c r="N3212" s="379"/>
      <c r="O3212" s="379"/>
      <c r="P3212" s="379"/>
      <c r="Q3212" s="379"/>
      <c r="R3212" s="379"/>
      <c r="S3212" s="379"/>
      <c r="T3212" s="379"/>
      <c r="U3212" s="379"/>
      <c r="V3212" s="379"/>
      <c r="W3212" s="379"/>
      <c r="X3212" s="379"/>
      <c r="Y3212" s="379"/>
      <c r="Z3212" s="379"/>
      <c r="AA3212" s="379"/>
      <c r="AB3212" s="379"/>
      <c r="AC3212" s="379"/>
      <c r="AD3212" s="379"/>
      <c r="AE3212" s="379"/>
      <c r="AF3212" s="379"/>
      <c r="AG3212" s="379"/>
      <c r="AH3212" s="379"/>
      <c r="AI3212" s="379"/>
      <c r="AJ3212" s="379"/>
      <c r="AK3212" s="379"/>
      <c r="AL3212" s="379"/>
      <c r="AM3212" s="379"/>
      <c r="AN3212" s="379"/>
      <c r="AO3212" s="379"/>
      <c r="AP3212" s="379"/>
      <c r="AQ3212" s="379"/>
      <c r="AR3212" s="379"/>
      <c r="AS3212" s="379"/>
      <c r="AT3212" s="379"/>
      <c r="AU3212" s="379"/>
      <c r="AV3212" s="379"/>
      <c r="AW3212" s="379"/>
      <c r="AX3212" s="379"/>
      <c r="AY3212" s="379"/>
      <c r="AZ3212" s="379"/>
      <c r="BA3212" s="379"/>
      <c r="BB3212" s="379"/>
      <c r="BC3212" s="379"/>
      <c r="BD3212" s="379"/>
      <c r="BE3212" s="379"/>
      <c r="BF3212" s="379"/>
      <c r="BG3212" s="379"/>
      <c r="BH3212" s="379"/>
      <c r="BI3212" s="379"/>
      <c r="BJ3212" s="379"/>
      <c r="BK3212" s="379"/>
      <c r="BL3212" s="379"/>
      <c r="BM3212" s="379"/>
      <c r="BN3212" s="379"/>
      <c r="BO3212" s="379"/>
      <c r="BP3212" s="379"/>
      <c r="BQ3212" s="379"/>
      <c r="BR3212" s="379"/>
      <c r="BS3212" s="379"/>
      <c r="BT3212" s="379"/>
      <c r="BU3212" s="379"/>
      <c r="BV3212" s="379"/>
      <c r="BW3212" s="379"/>
      <c r="BX3212" s="379"/>
      <c r="BY3212" s="379"/>
      <c r="BZ3212" s="379"/>
      <c r="CA3212" s="281"/>
      <c r="CB3212" s="3" t="str">
        <f t="shared" si="590"/>
        <v>Riadok bude skrytý.</v>
      </c>
      <c r="CC3212" s="271" t="s">
        <v>832</v>
      </c>
      <c r="CW3212" s="30">
        <f t="shared" si="593"/>
        <v>0</v>
      </c>
      <c r="CX3212" s="30">
        <f t="shared" si="594"/>
        <v>0</v>
      </c>
      <c r="CZ3212" s="30">
        <f t="shared" si="591"/>
        <v>1</v>
      </c>
      <c r="DA3212" s="52">
        <f t="shared" si="595"/>
        <v>0</v>
      </c>
      <c r="DB3212" s="140">
        <f t="shared" si="587"/>
        <v>0</v>
      </c>
      <c r="DS3212" s="130">
        <f>SI!BY3212</f>
        <v>479</v>
      </c>
      <c r="DZ3212" s="131">
        <f>SI!BZ3212</f>
        <v>0</v>
      </c>
    </row>
    <row r="3213" spans="1:130" hidden="1" x14ac:dyDescent="0.25">
      <c r="A3213" s="141"/>
      <c r="B3213" s="379"/>
      <c r="C3213" s="379"/>
      <c r="D3213" s="379"/>
      <c r="E3213" s="379"/>
      <c r="F3213" s="379"/>
      <c r="G3213" s="379"/>
      <c r="H3213" s="379"/>
      <c r="I3213" s="379"/>
      <c r="J3213" s="379"/>
      <c r="K3213" s="379"/>
      <c r="L3213" s="379"/>
      <c r="M3213" s="379"/>
      <c r="N3213" s="379"/>
      <c r="O3213" s="379"/>
      <c r="P3213" s="379"/>
      <c r="Q3213" s="379"/>
      <c r="R3213" s="379"/>
      <c r="S3213" s="379"/>
      <c r="T3213" s="379"/>
      <c r="U3213" s="379"/>
      <c r="V3213" s="379"/>
      <c r="W3213" s="379"/>
      <c r="X3213" s="379"/>
      <c r="Y3213" s="379"/>
      <c r="Z3213" s="379"/>
      <c r="AA3213" s="379"/>
      <c r="AB3213" s="379"/>
      <c r="AC3213" s="379"/>
      <c r="AD3213" s="379"/>
      <c r="AE3213" s="379"/>
      <c r="AF3213" s="379"/>
      <c r="AG3213" s="379"/>
      <c r="AH3213" s="379"/>
      <c r="AI3213" s="379"/>
      <c r="AJ3213" s="379"/>
      <c r="AK3213" s="379"/>
      <c r="AL3213" s="379"/>
      <c r="AM3213" s="379"/>
      <c r="AN3213" s="379"/>
      <c r="AO3213" s="379"/>
      <c r="AP3213" s="379"/>
      <c r="AQ3213" s="379"/>
      <c r="AR3213" s="379"/>
      <c r="AS3213" s="379"/>
      <c r="AT3213" s="379"/>
      <c r="AU3213" s="379"/>
      <c r="AV3213" s="379"/>
      <c r="AW3213" s="379"/>
      <c r="AX3213" s="379"/>
      <c r="AY3213" s="379"/>
      <c r="AZ3213" s="379"/>
      <c r="BA3213" s="379"/>
      <c r="BB3213" s="379"/>
      <c r="BC3213" s="379"/>
      <c r="BD3213" s="379"/>
      <c r="BE3213" s="379"/>
      <c r="BF3213" s="379"/>
      <c r="BG3213" s="379"/>
      <c r="BH3213" s="379"/>
      <c r="BI3213" s="379"/>
      <c r="BJ3213" s="379"/>
      <c r="BK3213" s="379"/>
      <c r="BL3213" s="379"/>
      <c r="BM3213" s="379"/>
      <c r="BN3213" s="379"/>
      <c r="BO3213" s="379"/>
      <c r="BP3213" s="379"/>
      <c r="BQ3213" s="379"/>
      <c r="BR3213" s="379"/>
      <c r="BS3213" s="379"/>
      <c r="BT3213" s="379"/>
      <c r="BU3213" s="379"/>
      <c r="BV3213" s="379"/>
      <c r="BW3213" s="379"/>
      <c r="BX3213" s="379"/>
      <c r="BY3213" s="379"/>
      <c r="BZ3213" s="379"/>
      <c r="CA3213" s="281"/>
      <c r="CB3213" s="3" t="str">
        <f t="shared" si="590"/>
        <v>Riadok bude skrytý.</v>
      </c>
      <c r="CC3213" s="271" t="s">
        <v>832</v>
      </c>
      <c r="CW3213" s="30">
        <f t="shared" si="593"/>
        <v>0</v>
      </c>
      <c r="CX3213" s="30">
        <f t="shared" si="594"/>
        <v>0</v>
      </c>
      <c r="CZ3213" s="30">
        <f t="shared" si="591"/>
        <v>1</v>
      </c>
      <c r="DA3213" s="52">
        <f t="shared" si="595"/>
        <v>0</v>
      </c>
      <c r="DB3213" s="140">
        <f t="shared" si="587"/>
        <v>0</v>
      </c>
      <c r="DS3213" s="130">
        <f>SI!BY3213</f>
        <v>187</v>
      </c>
      <c r="DZ3213" s="131">
        <f>SI!BZ3213</f>
        <v>0</v>
      </c>
    </row>
    <row r="3214" spans="1:130" hidden="1" x14ac:dyDescent="0.25">
      <c r="A3214" s="141"/>
      <c r="B3214" s="379"/>
      <c r="C3214" s="379"/>
      <c r="D3214" s="379"/>
      <c r="E3214" s="379"/>
      <c r="F3214" s="379"/>
      <c r="G3214" s="379"/>
      <c r="H3214" s="379"/>
      <c r="I3214" s="379"/>
      <c r="J3214" s="379"/>
      <c r="K3214" s="379"/>
      <c r="L3214" s="379"/>
      <c r="M3214" s="379"/>
      <c r="N3214" s="379"/>
      <c r="O3214" s="379"/>
      <c r="P3214" s="379"/>
      <c r="Q3214" s="379"/>
      <c r="R3214" s="379"/>
      <c r="S3214" s="379"/>
      <c r="T3214" s="379"/>
      <c r="U3214" s="379"/>
      <c r="V3214" s="379"/>
      <c r="W3214" s="379"/>
      <c r="X3214" s="379"/>
      <c r="Y3214" s="379"/>
      <c r="Z3214" s="379"/>
      <c r="AA3214" s="379"/>
      <c r="AB3214" s="379"/>
      <c r="AC3214" s="379"/>
      <c r="AD3214" s="379"/>
      <c r="AE3214" s="379"/>
      <c r="AF3214" s="379"/>
      <c r="AG3214" s="379"/>
      <c r="AH3214" s="379"/>
      <c r="AI3214" s="379"/>
      <c r="AJ3214" s="379"/>
      <c r="AK3214" s="379"/>
      <c r="AL3214" s="379"/>
      <c r="AM3214" s="379"/>
      <c r="AN3214" s="379"/>
      <c r="AO3214" s="379"/>
      <c r="AP3214" s="379"/>
      <c r="AQ3214" s="379"/>
      <c r="AR3214" s="379"/>
      <c r="AS3214" s="379"/>
      <c r="AT3214" s="379"/>
      <c r="AU3214" s="379"/>
      <c r="AV3214" s="379"/>
      <c r="AW3214" s="379"/>
      <c r="AX3214" s="379"/>
      <c r="AY3214" s="379"/>
      <c r="AZ3214" s="379"/>
      <c r="BA3214" s="379"/>
      <c r="BB3214" s="379"/>
      <c r="BC3214" s="379"/>
      <c r="BD3214" s="379"/>
      <c r="BE3214" s="379"/>
      <c r="BF3214" s="379"/>
      <c r="BG3214" s="379"/>
      <c r="BH3214" s="379"/>
      <c r="BI3214" s="379"/>
      <c r="BJ3214" s="379"/>
      <c r="BK3214" s="379"/>
      <c r="BL3214" s="379"/>
      <c r="BM3214" s="379"/>
      <c r="BN3214" s="379"/>
      <c r="BO3214" s="379"/>
      <c r="BP3214" s="379"/>
      <c r="BQ3214" s="379"/>
      <c r="BR3214" s="379"/>
      <c r="BS3214" s="379"/>
      <c r="BT3214" s="379"/>
      <c r="BU3214" s="379"/>
      <c r="BV3214" s="379"/>
      <c r="BW3214" s="379"/>
      <c r="BX3214" s="379"/>
      <c r="BY3214" s="379"/>
      <c r="BZ3214" s="379"/>
      <c r="CA3214" s="281"/>
      <c r="CB3214" s="3" t="str">
        <f t="shared" si="590"/>
        <v>Riadok bude skrytý.</v>
      </c>
      <c r="CC3214" s="271" t="s">
        <v>832</v>
      </c>
      <c r="CW3214" s="30">
        <f t="shared" si="593"/>
        <v>0</v>
      </c>
      <c r="CX3214" s="30">
        <f t="shared" si="594"/>
        <v>0</v>
      </c>
      <c r="CZ3214" s="30">
        <f t="shared" si="591"/>
        <v>1</v>
      </c>
      <c r="DA3214" s="52">
        <f t="shared" si="595"/>
        <v>0</v>
      </c>
      <c r="DB3214" s="140">
        <f t="shared" si="587"/>
        <v>0</v>
      </c>
      <c r="DS3214" s="130">
        <f>SI!BY3214</f>
        <v>534</v>
      </c>
      <c r="DZ3214" s="131">
        <f>SI!BZ3214</f>
        <v>0</v>
      </c>
    </row>
    <row r="3215" spans="1:130" hidden="1" x14ac:dyDescent="0.25">
      <c r="A3215" s="141"/>
      <c r="B3215" s="379"/>
      <c r="C3215" s="379"/>
      <c r="D3215" s="379"/>
      <c r="E3215" s="379"/>
      <c r="F3215" s="379"/>
      <c r="G3215" s="379"/>
      <c r="H3215" s="379"/>
      <c r="I3215" s="379"/>
      <c r="J3215" s="379"/>
      <c r="K3215" s="379"/>
      <c r="L3215" s="379"/>
      <c r="M3215" s="379"/>
      <c r="N3215" s="379"/>
      <c r="O3215" s="379"/>
      <c r="P3215" s="379"/>
      <c r="Q3215" s="379"/>
      <c r="R3215" s="379"/>
      <c r="S3215" s="379"/>
      <c r="T3215" s="379"/>
      <c r="U3215" s="379"/>
      <c r="V3215" s="379"/>
      <c r="W3215" s="379"/>
      <c r="X3215" s="379"/>
      <c r="Y3215" s="379"/>
      <c r="Z3215" s="379"/>
      <c r="AA3215" s="379"/>
      <c r="AB3215" s="379"/>
      <c r="AC3215" s="379"/>
      <c r="AD3215" s="379"/>
      <c r="AE3215" s="379"/>
      <c r="AF3215" s="379"/>
      <c r="AG3215" s="379"/>
      <c r="AH3215" s="379"/>
      <c r="AI3215" s="379"/>
      <c r="AJ3215" s="379"/>
      <c r="AK3215" s="379"/>
      <c r="AL3215" s="379"/>
      <c r="AM3215" s="379"/>
      <c r="AN3215" s="379"/>
      <c r="AO3215" s="379"/>
      <c r="AP3215" s="379"/>
      <c r="AQ3215" s="379"/>
      <c r="AR3215" s="379"/>
      <c r="AS3215" s="379"/>
      <c r="AT3215" s="379"/>
      <c r="AU3215" s="379"/>
      <c r="AV3215" s="379"/>
      <c r="AW3215" s="379"/>
      <c r="AX3215" s="379"/>
      <c r="AY3215" s="379"/>
      <c r="AZ3215" s="379"/>
      <c r="BA3215" s="379"/>
      <c r="BB3215" s="379"/>
      <c r="BC3215" s="379"/>
      <c r="BD3215" s="379"/>
      <c r="BE3215" s="379"/>
      <c r="BF3215" s="379"/>
      <c r="BG3215" s="379"/>
      <c r="BH3215" s="379"/>
      <c r="BI3215" s="379"/>
      <c r="BJ3215" s="379"/>
      <c r="BK3215" s="379"/>
      <c r="BL3215" s="379"/>
      <c r="BM3215" s="379"/>
      <c r="BN3215" s="379"/>
      <c r="BO3215" s="379"/>
      <c r="BP3215" s="379"/>
      <c r="BQ3215" s="379"/>
      <c r="BR3215" s="379"/>
      <c r="BS3215" s="379"/>
      <c r="BT3215" s="379"/>
      <c r="BU3215" s="379"/>
      <c r="BV3215" s="379"/>
      <c r="BW3215" s="379"/>
      <c r="BX3215" s="379"/>
      <c r="BY3215" s="379"/>
      <c r="BZ3215" s="379"/>
      <c r="CA3215" s="281"/>
      <c r="CB3215" s="3" t="str">
        <f t="shared" si="590"/>
        <v>Riadok bude skrytý.</v>
      </c>
      <c r="CC3215" s="271" t="s">
        <v>832</v>
      </c>
      <c r="CW3215" s="30">
        <f t="shared" si="593"/>
        <v>0</v>
      </c>
      <c r="CX3215" s="30">
        <f t="shared" si="594"/>
        <v>0</v>
      </c>
      <c r="CZ3215" s="30">
        <f t="shared" si="591"/>
        <v>1</v>
      </c>
      <c r="DA3215" s="52">
        <f t="shared" si="595"/>
        <v>0</v>
      </c>
      <c r="DB3215" s="140">
        <f t="shared" si="587"/>
        <v>0</v>
      </c>
      <c r="DS3215" s="130">
        <f>SI!BY3215</f>
        <v>144</v>
      </c>
      <c r="DZ3215" s="131">
        <f>SI!BZ3215</f>
        <v>0</v>
      </c>
    </row>
    <row r="3216" spans="1:130" hidden="1" x14ac:dyDescent="0.25">
      <c r="A3216" s="141"/>
      <c r="B3216" s="379"/>
      <c r="C3216" s="379"/>
      <c r="D3216" s="379"/>
      <c r="E3216" s="379"/>
      <c r="F3216" s="379"/>
      <c r="G3216" s="379"/>
      <c r="H3216" s="379"/>
      <c r="I3216" s="379"/>
      <c r="J3216" s="379"/>
      <c r="K3216" s="379"/>
      <c r="L3216" s="379"/>
      <c r="M3216" s="379"/>
      <c r="N3216" s="379"/>
      <c r="O3216" s="379"/>
      <c r="P3216" s="379"/>
      <c r="Q3216" s="379"/>
      <c r="R3216" s="379"/>
      <c r="S3216" s="379"/>
      <c r="T3216" s="379"/>
      <c r="U3216" s="379"/>
      <c r="V3216" s="379"/>
      <c r="W3216" s="379"/>
      <c r="X3216" s="379"/>
      <c r="Y3216" s="379"/>
      <c r="Z3216" s="379"/>
      <c r="AA3216" s="379"/>
      <c r="AB3216" s="379"/>
      <c r="AC3216" s="379"/>
      <c r="AD3216" s="379"/>
      <c r="AE3216" s="379"/>
      <c r="AF3216" s="379"/>
      <c r="AG3216" s="379"/>
      <c r="AH3216" s="379"/>
      <c r="AI3216" s="379"/>
      <c r="AJ3216" s="379"/>
      <c r="AK3216" s="379"/>
      <c r="AL3216" s="379"/>
      <c r="AM3216" s="379"/>
      <c r="AN3216" s="379"/>
      <c r="AO3216" s="379"/>
      <c r="AP3216" s="379"/>
      <c r="AQ3216" s="379"/>
      <c r="AR3216" s="379"/>
      <c r="AS3216" s="379"/>
      <c r="AT3216" s="379"/>
      <c r="AU3216" s="379"/>
      <c r="AV3216" s="379"/>
      <c r="AW3216" s="379"/>
      <c r="AX3216" s="379"/>
      <c r="AY3216" s="379"/>
      <c r="AZ3216" s="379"/>
      <c r="BA3216" s="379"/>
      <c r="BB3216" s="379"/>
      <c r="BC3216" s="379"/>
      <c r="BD3216" s="379"/>
      <c r="BE3216" s="379"/>
      <c r="BF3216" s="379"/>
      <c r="BG3216" s="379"/>
      <c r="BH3216" s="379"/>
      <c r="BI3216" s="379"/>
      <c r="BJ3216" s="379"/>
      <c r="BK3216" s="379"/>
      <c r="BL3216" s="379"/>
      <c r="BM3216" s="379"/>
      <c r="BN3216" s="379"/>
      <c r="BO3216" s="379"/>
      <c r="BP3216" s="379"/>
      <c r="BQ3216" s="379"/>
      <c r="BR3216" s="379"/>
      <c r="BS3216" s="379"/>
      <c r="BT3216" s="379"/>
      <c r="BU3216" s="379"/>
      <c r="BV3216" s="379"/>
      <c r="BW3216" s="379"/>
      <c r="BX3216" s="379"/>
      <c r="BY3216" s="379"/>
      <c r="BZ3216" s="379"/>
      <c r="CA3216" s="281"/>
      <c r="CB3216" s="3" t="str">
        <f t="shared" si="590"/>
        <v>Riadok bude skrytý.</v>
      </c>
      <c r="CC3216" s="271" t="s">
        <v>832</v>
      </c>
      <c r="CW3216" s="30">
        <f t="shared" si="593"/>
        <v>0</v>
      </c>
      <c r="CX3216" s="30">
        <f t="shared" si="594"/>
        <v>0</v>
      </c>
      <c r="CZ3216" s="30">
        <f t="shared" si="591"/>
        <v>1</v>
      </c>
      <c r="DA3216" s="52">
        <f t="shared" si="595"/>
        <v>0</v>
      </c>
      <c r="DB3216" s="140">
        <f t="shared" si="587"/>
        <v>0</v>
      </c>
      <c r="DS3216" s="130">
        <f>SI!BY3216</f>
        <v>170</v>
      </c>
      <c r="DZ3216" s="131">
        <f>SI!BZ3216</f>
        <v>0</v>
      </c>
    </row>
    <row r="3217" spans="1:130" hidden="1" x14ac:dyDescent="0.25">
      <c r="A3217" s="141"/>
      <c r="B3217" s="379"/>
      <c r="C3217" s="379"/>
      <c r="D3217" s="379"/>
      <c r="E3217" s="379"/>
      <c r="F3217" s="379"/>
      <c r="G3217" s="379"/>
      <c r="H3217" s="379"/>
      <c r="I3217" s="379"/>
      <c r="J3217" s="379"/>
      <c r="K3217" s="379"/>
      <c r="L3217" s="379"/>
      <c r="M3217" s="379"/>
      <c r="N3217" s="379"/>
      <c r="O3217" s="379"/>
      <c r="P3217" s="379"/>
      <c r="Q3217" s="379"/>
      <c r="R3217" s="379"/>
      <c r="S3217" s="379"/>
      <c r="T3217" s="379"/>
      <c r="U3217" s="379"/>
      <c r="V3217" s="379"/>
      <c r="W3217" s="379"/>
      <c r="X3217" s="379"/>
      <c r="Y3217" s="379"/>
      <c r="Z3217" s="379"/>
      <c r="AA3217" s="379"/>
      <c r="AB3217" s="379"/>
      <c r="AC3217" s="379"/>
      <c r="AD3217" s="379"/>
      <c r="AE3217" s="379"/>
      <c r="AF3217" s="379"/>
      <c r="AG3217" s="379"/>
      <c r="AH3217" s="379"/>
      <c r="AI3217" s="379"/>
      <c r="AJ3217" s="379"/>
      <c r="AK3217" s="379"/>
      <c r="AL3217" s="379"/>
      <c r="AM3217" s="379"/>
      <c r="AN3217" s="379"/>
      <c r="AO3217" s="379"/>
      <c r="AP3217" s="379"/>
      <c r="AQ3217" s="379"/>
      <c r="AR3217" s="379"/>
      <c r="AS3217" s="379"/>
      <c r="AT3217" s="379"/>
      <c r="AU3217" s="379"/>
      <c r="AV3217" s="379"/>
      <c r="AW3217" s="379"/>
      <c r="AX3217" s="379"/>
      <c r="AY3217" s="379"/>
      <c r="AZ3217" s="379"/>
      <c r="BA3217" s="379"/>
      <c r="BB3217" s="379"/>
      <c r="BC3217" s="379"/>
      <c r="BD3217" s="379"/>
      <c r="BE3217" s="379"/>
      <c r="BF3217" s="379"/>
      <c r="BG3217" s="379"/>
      <c r="BH3217" s="379"/>
      <c r="BI3217" s="379"/>
      <c r="BJ3217" s="379"/>
      <c r="BK3217" s="379"/>
      <c r="BL3217" s="379"/>
      <c r="BM3217" s="379"/>
      <c r="BN3217" s="379"/>
      <c r="BO3217" s="379"/>
      <c r="BP3217" s="379"/>
      <c r="BQ3217" s="379"/>
      <c r="BR3217" s="379"/>
      <c r="BS3217" s="379"/>
      <c r="BT3217" s="379"/>
      <c r="BU3217" s="379"/>
      <c r="BV3217" s="379"/>
      <c r="BW3217" s="379"/>
      <c r="BX3217" s="379"/>
      <c r="BY3217" s="379"/>
      <c r="BZ3217" s="379"/>
      <c r="CA3217" s="281"/>
      <c r="CB3217" s="3" t="str">
        <f t="shared" si="590"/>
        <v>Riadok bude skrytý.</v>
      </c>
      <c r="CC3217" s="271" t="s">
        <v>832</v>
      </c>
      <c r="CW3217" s="30">
        <f t="shared" si="593"/>
        <v>0</v>
      </c>
      <c r="CX3217" s="30">
        <f t="shared" si="594"/>
        <v>0</v>
      </c>
      <c r="CZ3217" s="30">
        <f t="shared" si="591"/>
        <v>1</v>
      </c>
      <c r="DA3217" s="52">
        <f t="shared" si="595"/>
        <v>0</v>
      </c>
      <c r="DB3217" s="140">
        <f t="shared" si="587"/>
        <v>0</v>
      </c>
      <c r="DS3217" s="130">
        <f>SI!BY3217</f>
        <v>103</v>
      </c>
      <c r="DZ3217" s="131">
        <f>SI!BZ3217</f>
        <v>0</v>
      </c>
    </row>
    <row r="3218" spans="1:130" hidden="1" x14ac:dyDescent="0.25">
      <c r="A3218" s="141"/>
      <c r="B3218" s="379"/>
      <c r="C3218" s="379"/>
      <c r="D3218" s="379"/>
      <c r="E3218" s="379"/>
      <c r="F3218" s="379"/>
      <c r="G3218" s="379"/>
      <c r="H3218" s="379"/>
      <c r="I3218" s="379"/>
      <c r="J3218" s="379"/>
      <c r="K3218" s="379"/>
      <c r="L3218" s="379"/>
      <c r="M3218" s="379"/>
      <c r="N3218" s="379"/>
      <c r="O3218" s="379"/>
      <c r="P3218" s="379"/>
      <c r="Q3218" s="379"/>
      <c r="R3218" s="379"/>
      <c r="S3218" s="379"/>
      <c r="T3218" s="379"/>
      <c r="U3218" s="379"/>
      <c r="V3218" s="379"/>
      <c r="W3218" s="379"/>
      <c r="X3218" s="379"/>
      <c r="Y3218" s="379"/>
      <c r="Z3218" s="379"/>
      <c r="AA3218" s="379"/>
      <c r="AB3218" s="379"/>
      <c r="AC3218" s="379"/>
      <c r="AD3218" s="379"/>
      <c r="AE3218" s="379"/>
      <c r="AF3218" s="379"/>
      <c r="AG3218" s="379"/>
      <c r="AH3218" s="379"/>
      <c r="AI3218" s="379"/>
      <c r="AJ3218" s="379"/>
      <c r="AK3218" s="379"/>
      <c r="AL3218" s="379"/>
      <c r="AM3218" s="379"/>
      <c r="AN3218" s="379"/>
      <c r="AO3218" s="379"/>
      <c r="AP3218" s="379"/>
      <c r="AQ3218" s="379"/>
      <c r="AR3218" s="379"/>
      <c r="AS3218" s="379"/>
      <c r="AT3218" s="379"/>
      <c r="AU3218" s="379"/>
      <c r="AV3218" s="379"/>
      <c r="AW3218" s="379"/>
      <c r="AX3218" s="379"/>
      <c r="AY3218" s="379"/>
      <c r="AZ3218" s="379"/>
      <c r="BA3218" s="379"/>
      <c r="BB3218" s="379"/>
      <c r="BC3218" s="379"/>
      <c r="BD3218" s="379"/>
      <c r="BE3218" s="379"/>
      <c r="BF3218" s="379"/>
      <c r="BG3218" s="379"/>
      <c r="BH3218" s="379"/>
      <c r="BI3218" s="379"/>
      <c r="BJ3218" s="379"/>
      <c r="BK3218" s="379"/>
      <c r="BL3218" s="379"/>
      <c r="BM3218" s="379"/>
      <c r="BN3218" s="379"/>
      <c r="BO3218" s="379"/>
      <c r="BP3218" s="379"/>
      <c r="BQ3218" s="379"/>
      <c r="BR3218" s="379"/>
      <c r="BS3218" s="379"/>
      <c r="BT3218" s="379"/>
      <c r="BU3218" s="379"/>
      <c r="BV3218" s="379"/>
      <c r="BW3218" s="379"/>
      <c r="BX3218" s="379"/>
      <c r="BY3218" s="379"/>
      <c r="BZ3218" s="379"/>
      <c r="CA3218" s="281"/>
      <c r="CB3218" s="3" t="str">
        <f t="shared" si="590"/>
        <v>Riadok bude skrytý.</v>
      </c>
      <c r="CC3218" s="271" t="s">
        <v>832</v>
      </c>
      <c r="CW3218" s="30">
        <f t="shared" si="593"/>
        <v>0</v>
      </c>
      <c r="CX3218" s="30">
        <f t="shared" si="594"/>
        <v>0</v>
      </c>
      <c r="CZ3218" s="30">
        <f t="shared" si="591"/>
        <v>1</v>
      </c>
      <c r="DA3218" s="52">
        <f t="shared" si="595"/>
        <v>0</v>
      </c>
      <c r="DB3218" s="140">
        <f t="shared" si="587"/>
        <v>0</v>
      </c>
      <c r="DS3218" s="130">
        <f>SI!BY3218</f>
        <v>13</v>
      </c>
      <c r="DZ3218" s="131">
        <f>SI!BZ3218</f>
        <v>0</v>
      </c>
    </row>
    <row r="3219" spans="1:130" hidden="1" x14ac:dyDescent="0.25">
      <c r="A3219" s="141"/>
      <c r="B3219" s="379"/>
      <c r="C3219" s="379"/>
      <c r="D3219" s="379"/>
      <c r="E3219" s="379"/>
      <c r="F3219" s="379"/>
      <c r="G3219" s="379"/>
      <c r="H3219" s="379"/>
      <c r="I3219" s="379"/>
      <c r="J3219" s="379"/>
      <c r="K3219" s="379"/>
      <c r="L3219" s="379"/>
      <c r="M3219" s="379"/>
      <c r="N3219" s="379"/>
      <c r="O3219" s="379"/>
      <c r="P3219" s="379"/>
      <c r="Q3219" s="379"/>
      <c r="R3219" s="379"/>
      <c r="S3219" s="379"/>
      <c r="T3219" s="379"/>
      <c r="U3219" s="379"/>
      <c r="V3219" s="379"/>
      <c r="W3219" s="379"/>
      <c r="X3219" s="379"/>
      <c r="Y3219" s="379"/>
      <c r="Z3219" s="379"/>
      <c r="AA3219" s="379"/>
      <c r="AB3219" s="379"/>
      <c r="AC3219" s="379"/>
      <c r="AD3219" s="379"/>
      <c r="AE3219" s="379"/>
      <c r="AF3219" s="379"/>
      <c r="AG3219" s="379"/>
      <c r="AH3219" s="379"/>
      <c r="AI3219" s="379"/>
      <c r="AJ3219" s="379"/>
      <c r="AK3219" s="379"/>
      <c r="AL3219" s="379"/>
      <c r="AM3219" s="379"/>
      <c r="AN3219" s="379"/>
      <c r="AO3219" s="379"/>
      <c r="AP3219" s="379"/>
      <c r="AQ3219" s="379"/>
      <c r="AR3219" s="379"/>
      <c r="AS3219" s="379"/>
      <c r="AT3219" s="379"/>
      <c r="AU3219" s="379"/>
      <c r="AV3219" s="379"/>
      <c r="AW3219" s="379"/>
      <c r="AX3219" s="379"/>
      <c r="AY3219" s="379"/>
      <c r="AZ3219" s="379"/>
      <c r="BA3219" s="379"/>
      <c r="BB3219" s="379"/>
      <c r="BC3219" s="379"/>
      <c r="BD3219" s="379"/>
      <c r="BE3219" s="379"/>
      <c r="BF3219" s="379"/>
      <c r="BG3219" s="379"/>
      <c r="BH3219" s="379"/>
      <c r="BI3219" s="379"/>
      <c r="BJ3219" s="379"/>
      <c r="BK3219" s="379"/>
      <c r="BL3219" s="379"/>
      <c r="BM3219" s="379"/>
      <c r="BN3219" s="379"/>
      <c r="BO3219" s="379"/>
      <c r="BP3219" s="379"/>
      <c r="BQ3219" s="379"/>
      <c r="BR3219" s="379"/>
      <c r="BS3219" s="379"/>
      <c r="BT3219" s="379"/>
      <c r="BU3219" s="379"/>
      <c r="BV3219" s="379"/>
      <c r="BW3219" s="379"/>
      <c r="BX3219" s="379"/>
      <c r="BY3219" s="379"/>
      <c r="BZ3219" s="379"/>
      <c r="CA3219" s="281"/>
      <c r="CB3219" s="3" t="str">
        <f t="shared" si="590"/>
        <v>Riadok bude skrytý.</v>
      </c>
      <c r="CC3219" s="271" t="s">
        <v>832</v>
      </c>
      <c r="CW3219" s="30">
        <f t="shared" si="593"/>
        <v>0</v>
      </c>
      <c r="CX3219" s="30">
        <f t="shared" si="594"/>
        <v>0</v>
      </c>
      <c r="CZ3219" s="30">
        <f t="shared" si="591"/>
        <v>1</v>
      </c>
      <c r="DA3219" s="52">
        <f t="shared" si="595"/>
        <v>0</v>
      </c>
      <c r="DB3219" s="140">
        <f t="shared" si="587"/>
        <v>0</v>
      </c>
      <c r="DS3219" s="130">
        <f>SI!BY3219</f>
        <v>175</v>
      </c>
      <c r="DZ3219" s="131">
        <f>SI!BZ3219</f>
        <v>0</v>
      </c>
    </row>
    <row r="3220" spans="1:130" hidden="1" x14ac:dyDescent="0.25">
      <c r="A3220" s="141"/>
      <c r="B3220" s="379"/>
      <c r="C3220" s="379"/>
      <c r="D3220" s="379"/>
      <c r="E3220" s="379"/>
      <c r="F3220" s="379"/>
      <c r="G3220" s="379"/>
      <c r="H3220" s="379"/>
      <c r="I3220" s="379"/>
      <c r="J3220" s="379"/>
      <c r="K3220" s="379"/>
      <c r="L3220" s="379"/>
      <c r="M3220" s="379"/>
      <c r="N3220" s="379"/>
      <c r="O3220" s="379"/>
      <c r="P3220" s="379"/>
      <c r="Q3220" s="379"/>
      <c r="R3220" s="379"/>
      <c r="S3220" s="379"/>
      <c r="T3220" s="379"/>
      <c r="U3220" s="379"/>
      <c r="V3220" s="379"/>
      <c r="W3220" s="379"/>
      <c r="X3220" s="379"/>
      <c r="Y3220" s="379"/>
      <c r="Z3220" s="379"/>
      <c r="AA3220" s="379"/>
      <c r="AB3220" s="379"/>
      <c r="AC3220" s="379"/>
      <c r="AD3220" s="379"/>
      <c r="AE3220" s="379"/>
      <c r="AF3220" s="379"/>
      <c r="AG3220" s="379"/>
      <c r="AH3220" s="379"/>
      <c r="AI3220" s="379"/>
      <c r="AJ3220" s="379"/>
      <c r="AK3220" s="379"/>
      <c r="AL3220" s="379"/>
      <c r="AM3220" s="379"/>
      <c r="AN3220" s="379"/>
      <c r="AO3220" s="379"/>
      <c r="AP3220" s="379"/>
      <c r="AQ3220" s="379"/>
      <c r="AR3220" s="379"/>
      <c r="AS3220" s="379"/>
      <c r="AT3220" s="379"/>
      <c r="AU3220" s="379"/>
      <c r="AV3220" s="379"/>
      <c r="AW3220" s="379"/>
      <c r="AX3220" s="379"/>
      <c r="AY3220" s="379"/>
      <c r="AZ3220" s="379"/>
      <c r="BA3220" s="379"/>
      <c r="BB3220" s="379"/>
      <c r="BC3220" s="379"/>
      <c r="BD3220" s="379"/>
      <c r="BE3220" s="379"/>
      <c r="BF3220" s="379"/>
      <c r="BG3220" s="379"/>
      <c r="BH3220" s="379"/>
      <c r="BI3220" s="379"/>
      <c r="BJ3220" s="379"/>
      <c r="BK3220" s="379"/>
      <c r="BL3220" s="379"/>
      <c r="BM3220" s="379"/>
      <c r="BN3220" s="379"/>
      <c r="BO3220" s="379"/>
      <c r="BP3220" s="379"/>
      <c r="BQ3220" s="379"/>
      <c r="BR3220" s="379"/>
      <c r="BS3220" s="379"/>
      <c r="BT3220" s="379"/>
      <c r="BU3220" s="379"/>
      <c r="BV3220" s="379"/>
      <c r="BW3220" s="379"/>
      <c r="BX3220" s="379"/>
      <c r="BY3220" s="379"/>
      <c r="BZ3220" s="379"/>
      <c r="CA3220" s="281"/>
      <c r="CB3220" s="3" t="str">
        <f t="shared" si="590"/>
        <v>Riadok bude skrytý.</v>
      </c>
      <c r="CC3220" s="271" t="s">
        <v>832</v>
      </c>
      <c r="CW3220" s="30">
        <f t="shared" si="593"/>
        <v>0</v>
      </c>
      <c r="CX3220" s="30">
        <f t="shared" si="594"/>
        <v>0</v>
      </c>
      <c r="CZ3220" s="30">
        <f t="shared" si="591"/>
        <v>1</v>
      </c>
      <c r="DA3220" s="52">
        <f t="shared" si="595"/>
        <v>0</v>
      </c>
      <c r="DB3220" s="140">
        <f t="shared" si="587"/>
        <v>0</v>
      </c>
      <c r="DS3220" s="130">
        <f>SI!BY3220</f>
        <v>187</v>
      </c>
      <c r="DZ3220" s="131">
        <f>SI!BZ3220</f>
        <v>0</v>
      </c>
    </row>
    <row r="3221" spans="1:130" hidden="1" x14ac:dyDescent="0.25">
      <c r="A3221" s="141"/>
      <c r="B3221" s="379"/>
      <c r="C3221" s="379"/>
      <c r="D3221" s="379"/>
      <c r="E3221" s="379"/>
      <c r="F3221" s="379"/>
      <c r="G3221" s="379"/>
      <c r="H3221" s="379"/>
      <c r="I3221" s="379"/>
      <c r="J3221" s="379"/>
      <c r="K3221" s="379"/>
      <c r="L3221" s="379"/>
      <c r="M3221" s="379"/>
      <c r="N3221" s="379"/>
      <c r="O3221" s="379"/>
      <c r="P3221" s="379"/>
      <c r="Q3221" s="379"/>
      <c r="R3221" s="379"/>
      <c r="S3221" s="379"/>
      <c r="T3221" s="379"/>
      <c r="U3221" s="379"/>
      <c r="V3221" s="379"/>
      <c r="W3221" s="379"/>
      <c r="X3221" s="379"/>
      <c r="Y3221" s="379"/>
      <c r="Z3221" s="379"/>
      <c r="AA3221" s="379"/>
      <c r="AB3221" s="379"/>
      <c r="AC3221" s="379"/>
      <c r="AD3221" s="379"/>
      <c r="AE3221" s="379"/>
      <c r="AF3221" s="379"/>
      <c r="AG3221" s="379"/>
      <c r="AH3221" s="379"/>
      <c r="AI3221" s="379"/>
      <c r="AJ3221" s="379"/>
      <c r="AK3221" s="379"/>
      <c r="AL3221" s="379"/>
      <c r="AM3221" s="379"/>
      <c r="AN3221" s="379"/>
      <c r="AO3221" s="379"/>
      <c r="AP3221" s="379"/>
      <c r="AQ3221" s="379"/>
      <c r="AR3221" s="379"/>
      <c r="AS3221" s="379"/>
      <c r="AT3221" s="379"/>
      <c r="AU3221" s="379"/>
      <c r="AV3221" s="379"/>
      <c r="AW3221" s="379"/>
      <c r="AX3221" s="379"/>
      <c r="AY3221" s="379"/>
      <c r="AZ3221" s="379"/>
      <c r="BA3221" s="379"/>
      <c r="BB3221" s="379"/>
      <c r="BC3221" s="379"/>
      <c r="BD3221" s="379"/>
      <c r="BE3221" s="379"/>
      <c r="BF3221" s="379"/>
      <c r="BG3221" s="379"/>
      <c r="BH3221" s="379"/>
      <c r="BI3221" s="379"/>
      <c r="BJ3221" s="379"/>
      <c r="BK3221" s="379"/>
      <c r="BL3221" s="379"/>
      <c r="BM3221" s="379"/>
      <c r="BN3221" s="379"/>
      <c r="BO3221" s="379"/>
      <c r="BP3221" s="379"/>
      <c r="BQ3221" s="379"/>
      <c r="BR3221" s="379"/>
      <c r="BS3221" s="379"/>
      <c r="BT3221" s="379"/>
      <c r="BU3221" s="379"/>
      <c r="BV3221" s="379"/>
      <c r="BW3221" s="379"/>
      <c r="BX3221" s="379"/>
      <c r="BY3221" s="379"/>
      <c r="BZ3221" s="379"/>
      <c r="CA3221" s="281"/>
      <c r="CB3221" s="3" t="str">
        <f t="shared" si="590"/>
        <v>Riadok bude skrytý.</v>
      </c>
      <c r="CC3221" s="271" t="s">
        <v>832</v>
      </c>
      <c r="CW3221" s="30">
        <f t="shared" si="593"/>
        <v>0</v>
      </c>
      <c r="CX3221" s="30">
        <f t="shared" si="594"/>
        <v>0</v>
      </c>
      <c r="CZ3221" s="30">
        <f t="shared" si="591"/>
        <v>1</v>
      </c>
      <c r="DA3221" s="52">
        <f t="shared" si="595"/>
        <v>0</v>
      </c>
      <c r="DB3221" s="140">
        <f t="shared" si="587"/>
        <v>0</v>
      </c>
      <c r="DS3221" s="130">
        <f>SI!BY3221</f>
        <v>1119</v>
      </c>
      <c r="DZ3221" s="131">
        <f>SI!BZ3221</f>
        <v>0</v>
      </c>
    </row>
    <row r="3222" spans="1:130" hidden="1" x14ac:dyDescent="0.25">
      <c r="A3222" s="141"/>
      <c r="B3222" s="379"/>
      <c r="C3222" s="379"/>
      <c r="D3222" s="379"/>
      <c r="E3222" s="379"/>
      <c r="F3222" s="379"/>
      <c r="G3222" s="379"/>
      <c r="H3222" s="379"/>
      <c r="I3222" s="379"/>
      <c r="J3222" s="379"/>
      <c r="K3222" s="379"/>
      <c r="L3222" s="379"/>
      <c r="M3222" s="379"/>
      <c r="N3222" s="379"/>
      <c r="O3222" s="379"/>
      <c r="P3222" s="379"/>
      <c r="Q3222" s="379"/>
      <c r="R3222" s="379"/>
      <c r="S3222" s="379"/>
      <c r="T3222" s="379"/>
      <c r="U3222" s="379"/>
      <c r="V3222" s="379"/>
      <c r="W3222" s="379"/>
      <c r="X3222" s="379"/>
      <c r="Y3222" s="379"/>
      <c r="Z3222" s="379"/>
      <c r="AA3222" s="379"/>
      <c r="AB3222" s="379"/>
      <c r="AC3222" s="379"/>
      <c r="AD3222" s="379"/>
      <c r="AE3222" s="379"/>
      <c r="AF3222" s="379"/>
      <c r="AG3222" s="379"/>
      <c r="AH3222" s="379"/>
      <c r="AI3222" s="379"/>
      <c r="AJ3222" s="379"/>
      <c r="AK3222" s="379"/>
      <c r="AL3222" s="379"/>
      <c r="AM3222" s="379"/>
      <c r="AN3222" s="379"/>
      <c r="AO3222" s="379"/>
      <c r="AP3222" s="379"/>
      <c r="AQ3222" s="379"/>
      <c r="AR3222" s="379"/>
      <c r="AS3222" s="379"/>
      <c r="AT3222" s="379"/>
      <c r="AU3222" s="379"/>
      <c r="AV3222" s="379"/>
      <c r="AW3222" s="379"/>
      <c r="AX3222" s="379"/>
      <c r="AY3222" s="379"/>
      <c r="AZ3222" s="379"/>
      <c r="BA3222" s="379"/>
      <c r="BB3222" s="379"/>
      <c r="BC3222" s="379"/>
      <c r="BD3222" s="379"/>
      <c r="BE3222" s="379"/>
      <c r="BF3222" s="379"/>
      <c r="BG3222" s="379"/>
      <c r="BH3222" s="379"/>
      <c r="BI3222" s="379"/>
      <c r="BJ3222" s="379"/>
      <c r="BK3222" s="379"/>
      <c r="BL3222" s="379"/>
      <c r="BM3222" s="379"/>
      <c r="BN3222" s="379"/>
      <c r="BO3222" s="379"/>
      <c r="BP3222" s="379"/>
      <c r="BQ3222" s="379"/>
      <c r="BR3222" s="379"/>
      <c r="BS3222" s="379"/>
      <c r="BT3222" s="379"/>
      <c r="BU3222" s="379"/>
      <c r="BV3222" s="379"/>
      <c r="BW3222" s="379"/>
      <c r="BX3222" s="379"/>
      <c r="BY3222" s="379"/>
      <c r="BZ3222" s="379"/>
      <c r="CA3222" s="281"/>
      <c r="CB3222" s="3" t="str">
        <f t="shared" si="590"/>
        <v>Riadok bude skrytý.</v>
      </c>
      <c r="CC3222" s="271" t="s">
        <v>832</v>
      </c>
      <c r="CW3222" s="30">
        <f t="shared" si="593"/>
        <v>0</v>
      </c>
      <c r="CX3222" s="30">
        <f t="shared" si="594"/>
        <v>0</v>
      </c>
      <c r="CZ3222" s="30">
        <f t="shared" si="591"/>
        <v>1</v>
      </c>
      <c r="DA3222" s="52">
        <f t="shared" si="595"/>
        <v>0</v>
      </c>
      <c r="DB3222" s="140">
        <f t="shared" si="587"/>
        <v>0</v>
      </c>
      <c r="DS3222" s="130">
        <f>SI!BY3222</f>
        <v>196</v>
      </c>
      <c r="DZ3222" s="131">
        <f>SI!BZ3222</f>
        <v>0</v>
      </c>
    </row>
    <row r="3223" spans="1:130" hidden="1" x14ac:dyDescent="0.25">
      <c r="A3223" s="141"/>
      <c r="B3223" s="379"/>
      <c r="C3223" s="379"/>
      <c r="D3223" s="379"/>
      <c r="E3223" s="379"/>
      <c r="F3223" s="379"/>
      <c r="G3223" s="379"/>
      <c r="H3223" s="379"/>
      <c r="I3223" s="379"/>
      <c r="J3223" s="379"/>
      <c r="K3223" s="379"/>
      <c r="L3223" s="379"/>
      <c r="M3223" s="379"/>
      <c r="N3223" s="379"/>
      <c r="O3223" s="379"/>
      <c r="P3223" s="379"/>
      <c r="Q3223" s="379"/>
      <c r="R3223" s="379"/>
      <c r="S3223" s="379"/>
      <c r="T3223" s="379"/>
      <c r="U3223" s="379"/>
      <c r="V3223" s="379"/>
      <c r="W3223" s="379"/>
      <c r="X3223" s="379"/>
      <c r="Y3223" s="379"/>
      <c r="Z3223" s="379"/>
      <c r="AA3223" s="379"/>
      <c r="AB3223" s="379"/>
      <c r="AC3223" s="379"/>
      <c r="AD3223" s="379"/>
      <c r="AE3223" s="379"/>
      <c r="AF3223" s="379"/>
      <c r="AG3223" s="379"/>
      <c r="AH3223" s="379"/>
      <c r="AI3223" s="379"/>
      <c r="AJ3223" s="379"/>
      <c r="AK3223" s="379"/>
      <c r="AL3223" s="379"/>
      <c r="AM3223" s="379"/>
      <c r="AN3223" s="379"/>
      <c r="AO3223" s="379"/>
      <c r="AP3223" s="379"/>
      <c r="AQ3223" s="379"/>
      <c r="AR3223" s="379"/>
      <c r="AS3223" s="379"/>
      <c r="AT3223" s="379"/>
      <c r="AU3223" s="379"/>
      <c r="AV3223" s="379"/>
      <c r="AW3223" s="379"/>
      <c r="AX3223" s="379"/>
      <c r="AY3223" s="379"/>
      <c r="AZ3223" s="379"/>
      <c r="BA3223" s="379"/>
      <c r="BB3223" s="379"/>
      <c r="BC3223" s="379"/>
      <c r="BD3223" s="379"/>
      <c r="BE3223" s="379"/>
      <c r="BF3223" s="379"/>
      <c r="BG3223" s="379"/>
      <c r="BH3223" s="379"/>
      <c r="BI3223" s="379"/>
      <c r="BJ3223" s="379"/>
      <c r="BK3223" s="379"/>
      <c r="BL3223" s="379"/>
      <c r="BM3223" s="379"/>
      <c r="BN3223" s="379"/>
      <c r="BO3223" s="379"/>
      <c r="BP3223" s="379"/>
      <c r="BQ3223" s="379"/>
      <c r="BR3223" s="379"/>
      <c r="BS3223" s="379"/>
      <c r="BT3223" s="379"/>
      <c r="BU3223" s="379"/>
      <c r="BV3223" s="379"/>
      <c r="BW3223" s="379"/>
      <c r="BX3223" s="379"/>
      <c r="BY3223" s="379"/>
      <c r="BZ3223" s="379"/>
      <c r="CA3223" s="281"/>
      <c r="CB3223" s="3" t="str">
        <f t="shared" si="590"/>
        <v>Riadok bude skrytý.</v>
      </c>
      <c r="CC3223" s="271" t="s">
        <v>832</v>
      </c>
      <c r="CW3223" s="30">
        <f t="shared" si="593"/>
        <v>0</v>
      </c>
      <c r="CX3223" s="30">
        <f t="shared" si="594"/>
        <v>0</v>
      </c>
      <c r="CZ3223" s="30">
        <f t="shared" si="591"/>
        <v>1</v>
      </c>
      <c r="DA3223" s="52">
        <f t="shared" si="595"/>
        <v>0</v>
      </c>
      <c r="DB3223" s="140">
        <f t="shared" si="587"/>
        <v>0</v>
      </c>
      <c r="DS3223" s="130">
        <f>SI!BY3223</f>
        <v>542</v>
      </c>
      <c r="DZ3223" s="131">
        <f>SI!BZ3223</f>
        <v>0</v>
      </c>
    </row>
    <row r="3224" spans="1:130" hidden="1" x14ac:dyDescent="0.25">
      <c r="A3224" s="141"/>
      <c r="B3224" s="379"/>
      <c r="C3224" s="379"/>
      <c r="D3224" s="379"/>
      <c r="E3224" s="379"/>
      <c r="F3224" s="379"/>
      <c r="G3224" s="379"/>
      <c r="H3224" s="379"/>
      <c r="I3224" s="379"/>
      <c r="J3224" s="379"/>
      <c r="K3224" s="379"/>
      <c r="L3224" s="379"/>
      <c r="M3224" s="379"/>
      <c r="N3224" s="379"/>
      <c r="O3224" s="379"/>
      <c r="P3224" s="379"/>
      <c r="Q3224" s="379"/>
      <c r="R3224" s="379"/>
      <c r="S3224" s="379"/>
      <c r="T3224" s="379"/>
      <c r="U3224" s="379"/>
      <c r="V3224" s="379"/>
      <c r="W3224" s="379"/>
      <c r="X3224" s="379"/>
      <c r="Y3224" s="379"/>
      <c r="Z3224" s="379"/>
      <c r="AA3224" s="379"/>
      <c r="AB3224" s="379"/>
      <c r="AC3224" s="379"/>
      <c r="AD3224" s="379"/>
      <c r="AE3224" s="379"/>
      <c r="AF3224" s="379"/>
      <c r="AG3224" s="379"/>
      <c r="AH3224" s="379"/>
      <c r="AI3224" s="379"/>
      <c r="AJ3224" s="379"/>
      <c r="AK3224" s="379"/>
      <c r="AL3224" s="379"/>
      <c r="AM3224" s="379"/>
      <c r="AN3224" s="379"/>
      <c r="AO3224" s="379"/>
      <c r="AP3224" s="379"/>
      <c r="AQ3224" s="379"/>
      <c r="AR3224" s="379"/>
      <c r="AS3224" s="379"/>
      <c r="AT3224" s="379"/>
      <c r="AU3224" s="379"/>
      <c r="AV3224" s="379"/>
      <c r="AW3224" s="379"/>
      <c r="AX3224" s="379"/>
      <c r="AY3224" s="379"/>
      <c r="AZ3224" s="379"/>
      <c r="BA3224" s="379"/>
      <c r="BB3224" s="379"/>
      <c r="BC3224" s="379"/>
      <c r="BD3224" s="379"/>
      <c r="BE3224" s="379"/>
      <c r="BF3224" s="379"/>
      <c r="BG3224" s="379"/>
      <c r="BH3224" s="379"/>
      <c r="BI3224" s="379"/>
      <c r="BJ3224" s="379"/>
      <c r="BK3224" s="379"/>
      <c r="BL3224" s="379"/>
      <c r="BM3224" s="379"/>
      <c r="BN3224" s="379"/>
      <c r="BO3224" s="379"/>
      <c r="BP3224" s="379"/>
      <c r="BQ3224" s="379"/>
      <c r="BR3224" s="379"/>
      <c r="BS3224" s="379"/>
      <c r="BT3224" s="379"/>
      <c r="BU3224" s="379"/>
      <c r="BV3224" s="379"/>
      <c r="BW3224" s="379"/>
      <c r="BX3224" s="379"/>
      <c r="BY3224" s="379"/>
      <c r="BZ3224" s="379"/>
      <c r="CA3224" s="281"/>
      <c r="CB3224" s="3" t="str">
        <f t="shared" si="590"/>
        <v>Riadok bude skrytý.</v>
      </c>
      <c r="CC3224" s="271" t="s">
        <v>832</v>
      </c>
      <c r="CW3224" s="30">
        <f t="shared" si="593"/>
        <v>0</v>
      </c>
      <c r="CX3224" s="30">
        <f t="shared" si="594"/>
        <v>0</v>
      </c>
      <c r="CZ3224" s="30">
        <f t="shared" si="591"/>
        <v>1</v>
      </c>
      <c r="DA3224" s="52">
        <f t="shared" si="595"/>
        <v>0</v>
      </c>
      <c r="DB3224" s="140">
        <f t="shared" si="587"/>
        <v>0</v>
      </c>
      <c r="DS3224" s="130">
        <f>SI!BY3224</f>
        <v>125</v>
      </c>
      <c r="DZ3224" s="131">
        <f>SI!BZ3224</f>
        <v>0</v>
      </c>
    </row>
    <row r="3225" spans="1:130" hidden="1" x14ac:dyDescent="0.25">
      <c r="A3225" s="141"/>
      <c r="B3225" s="379"/>
      <c r="C3225" s="379"/>
      <c r="D3225" s="379"/>
      <c r="E3225" s="379"/>
      <c r="F3225" s="379"/>
      <c r="G3225" s="379"/>
      <c r="H3225" s="379"/>
      <c r="I3225" s="379"/>
      <c r="J3225" s="379"/>
      <c r="K3225" s="379"/>
      <c r="L3225" s="379"/>
      <c r="M3225" s="379"/>
      <c r="N3225" s="379"/>
      <c r="O3225" s="379"/>
      <c r="P3225" s="379"/>
      <c r="Q3225" s="379"/>
      <c r="R3225" s="379"/>
      <c r="S3225" s="379"/>
      <c r="T3225" s="379"/>
      <c r="U3225" s="379"/>
      <c r="V3225" s="379"/>
      <c r="W3225" s="379"/>
      <c r="X3225" s="379"/>
      <c r="Y3225" s="379"/>
      <c r="Z3225" s="379"/>
      <c r="AA3225" s="379"/>
      <c r="AB3225" s="379"/>
      <c r="AC3225" s="379"/>
      <c r="AD3225" s="379"/>
      <c r="AE3225" s="379"/>
      <c r="AF3225" s="379"/>
      <c r="AG3225" s="379"/>
      <c r="AH3225" s="379"/>
      <c r="AI3225" s="379"/>
      <c r="AJ3225" s="379"/>
      <c r="AK3225" s="379"/>
      <c r="AL3225" s="379"/>
      <c r="AM3225" s="379"/>
      <c r="AN3225" s="379"/>
      <c r="AO3225" s="379"/>
      <c r="AP3225" s="379"/>
      <c r="AQ3225" s="379"/>
      <c r="AR3225" s="379"/>
      <c r="AS3225" s="379"/>
      <c r="AT3225" s="379"/>
      <c r="AU3225" s="379"/>
      <c r="AV3225" s="379"/>
      <c r="AW3225" s="379"/>
      <c r="AX3225" s="379"/>
      <c r="AY3225" s="379"/>
      <c r="AZ3225" s="379"/>
      <c r="BA3225" s="379"/>
      <c r="BB3225" s="379"/>
      <c r="BC3225" s="379"/>
      <c r="BD3225" s="379"/>
      <c r="BE3225" s="379"/>
      <c r="BF3225" s="379"/>
      <c r="BG3225" s="379"/>
      <c r="BH3225" s="379"/>
      <c r="BI3225" s="379"/>
      <c r="BJ3225" s="379"/>
      <c r="BK3225" s="379"/>
      <c r="BL3225" s="379"/>
      <c r="BM3225" s="379"/>
      <c r="BN3225" s="379"/>
      <c r="BO3225" s="379"/>
      <c r="BP3225" s="379"/>
      <c r="BQ3225" s="379"/>
      <c r="BR3225" s="379"/>
      <c r="BS3225" s="379"/>
      <c r="BT3225" s="379"/>
      <c r="BU3225" s="379"/>
      <c r="BV3225" s="379"/>
      <c r="BW3225" s="379"/>
      <c r="BX3225" s="379"/>
      <c r="BY3225" s="379"/>
      <c r="BZ3225" s="379"/>
      <c r="CA3225" s="281"/>
      <c r="CB3225" s="3" t="str">
        <f t="shared" si="590"/>
        <v>Riadok bude skrytý.</v>
      </c>
      <c r="CC3225" s="271" t="s">
        <v>832</v>
      </c>
      <c r="CW3225" s="30">
        <f t="shared" si="593"/>
        <v>0</v>
      </c>
      <c r="CX3225" s="30">
        <f t="shared" si="594"/>
        <v>0</v>
      </c>
      <c r="CZ3225" s="30">
        <f t="shared" si="591"/>
        <v>1</v>
      </c>
      <c r="DA3225" s="52">
        <f t="shared" si="595"/>
        <v>0</v>
      </c>
      <c r="DB3225" s="140">
        <f t="shared" si="587"/>
        <v>0</v>
      </c>
      <c r="DS3225" s="130">
        <f>SI!BY3225</f>
        <v>585</v>
      </c>
      <c r="DZ3225" s="131">
        <f>SI!BZ3225</f>
        <v>0</v>
      </c>
    </row>
    <row r="3226" spans="1:130" hidden="1" x14ac:dyDescent="0.25">
      <c r="A3226" s="141"/>
      <c r="B3226" s="379"/>
      <c r="C3226" s="379"/>
      <c r="D3226" s="379"/>
      <c r="E3226" s="379"/>
      <c r="F3226" s="379"/>
      <c r="G3226" s="379"/>
      <c r="H3226" s="379"/>
      <c r="I3226" s="379"/>
      <c r="J3226" s="379"/>
      <c r="K3226" s="379"/>
      <c r="L3226" s="379"/>
      <c r="M3226" s="379"/>
      <c r="N3226" s="379"/>
      <c r="O3226" s="379"/>
      <c r="P3226" s="379"/>
      <c r="Q3226" s="379"/>
      <c r="R3226" s="379"/>
      <c r="S3226" s="379"/>
      <c r="T3226" s="379"/>
      <c r="U3226" s="379"/>
      <c r="V3226" s="379"/>
      <c r="W3226" s="379"/>
      <c r="X3226" s="379"/>
      <c r="Y3226" s="379"/>
      <c r="Z3226" s="379"/>
      <c r="AA3226" s="379"/>
      <c r="AB3226" s="379"/>
      <c r="AC3226" s="379"/>
      <c r="AD3226" s="379"/>
      <c r="AE3226" s="379"/>
      <c r="AF3226" s="379"/>
      <c r="AG3226" s="379"/>
      <c r="AH3226" s="379"/>
      <c r="AI3226" s="379"/>
      <c r="AJ3226" s="379"/>
      <c r="AK3226" s="379"/>
      <c r="AL3226" s="379"/>
      <c r="AM3226" s="379"/>
      <c r="AN3226" s="379"/>
      <c r="AO3226" s="379"/>
      <c r="AP3226" s="379"/>
      <c r="AQ3226" s="379"/>
      <c r="AR3226" s="379"/>
      <c r="AS3226" s="379"/>
      <c r="AT3226" s="379"/>
      <c r="AU3226" s="379"/>
      <c r="AV3226" s="379"/>
      <c r="AW3226" s="379"/>
      <c r="AX3226" s="379"/>
      <c r="AY3226" s="379"/>
      <c r="AZ3226" s="379"/>
      <c r="BA3226" s="379"/>
      <c r="BB3226" s="379"/>
      <c r="BC3226" s="379"/>
      <c r="BD3226" s="379"/>
      <c r="BE3226" s="379"/>
      <c r="BF3226" s="379"/>
      <c r="BG3226" s="379"/>
      <c r="BH3226" s="379"/>
      <c r="BI3226" s="379"/>
      <c r="BJ3226" s="379"/>
      <c r="BK3226" s="379"/>
      <c r="BL3226" s="379"/>
      <c r="BM3226" s="379"/>
      <c r="BN3226" s="379"/>
      <c r="BO3226" s="379"/>
      <c r="BP3226" s="379"/>
      <c r="BQ3226" s="379"/>
      <c r="BR3226" s="379"/>
      <c r="BS3226" s="379"/>
      <c r="BT3226" s="379"/>
      <c r="BU3226" s="379"/>
      <c r="BV3226" s="379"/>
      <c r="BW3226" s="379"/>
      <c r="BX3226" s="379"/>
      <c r="BY3226" s="379"/>
      <c r="BZ3226" s="379"/>
      <c r="CA3226" s="281"/>
      <c r="CB3226" s="3" t="str">
        <f t="shared" si="590"/>
        <v>Riadok bude skrytý.</v>
      </c>
      <c r="CC3226" s="271" t="s">
        <v>832</v>
      </c>
      <c r="CW3226" s="30">
        <f t="shared" si="593"/>
        <v>0</v>
      </c>
      <c r="CX3226" s="30">
        <f t="shared" si="594"/>
        <v>0</v>
      </c>
      <c r="CZ3226" s="30">
        <f t="shared" si="591"/>
        <v>1</v>
      </c>
      <c r="DA3226" s="52">
        <f t="shared" si="595"/>
        <v>0</v>
      </c>
      <c r="DB3226" s="140">
        <f t="shared" si="587"/>
        <v>0</v>
      </c>
      <c r="DS3226" s="130">
        <f>SI!BY3226</f>
        <v>133</v>
      </c>
      <c r="DZ3226" s="131">
        <f>SI!BZ3226</f>
        <v>0</v>
      </c>
    </row>
    <row r="3227" spans="1:130" hidden="1" x14ac:dyDescent="0.25">
      <c r="A3227" s="141"/>
      <c r="B3227" s="379"/>
      <c r="C3227" s="379"/>
      <c r="D3227" s="379"/>
      <c r="E3227" s="379"/>
      <c r="F3227" s="379"/>
      <c r="G3227" s="379"/>
      <c r="H3227" s="379"/>
      <c r="I3227" s="379"/>
      <c r="J3227" s="379"/>
      <c r="K3227" s="379"/>
      <c r="L3227" s="379"/>
      <c r="M3227" s="379"/>
      <c r="N3227" s="379"/>
      <c r="O3227" s="379"/>
      <c r="P3227" s="379"/>
      <c r="Q3227" s="379"/>
      <c r="R3227" s="379"/>
      <c r="S3227" s="379"/>
      <c r="T3227" s="379"/>
      <c r="U3227" s="379"/>
      <c r="V3227" s="379"/>
      <c r="W3227" s="379"/>
      <c r="X3227" s="379"/>
      <c r="Y3227" s="379"/>
      <c r="Z3227" s="379"/>
      <c r="AA3227" s="379"/>
      <c r="AB3227" s="379"/>
      <c r="AC3227" s="379"/>
      <c r="AD3227" s="379"/>
      <c r="AE3227" s="379"/>
      <c r="AF3227" s="379"/>
      <c r="AG3227" s="379"/>
      <c r="AH3227" s="379"/>
      <c r="AI3227" s="379"/>
      <c r="AJ3227" s="379"/>
      <c r="AK3227" s="379"/>
      <c r="AL3227" s="379"/>
      <c r="AM3227" s="379"/>
      <c r="AN3227" s="379"/>
      <c r="AO3227" s="379"/>
      <c r="AP3227" s="379"/>
      <c r="AQ3227" s="379"/>
      <c r="AR3227" s="379"/>
      <c r="AS3227" s="379"/>
      <c r="AT3227" s="379"/>
      <c r="AU3227" s="379"/>
      <c r="AV3227" s="379"/>
      <c r="AW3227" s="379"/>
      <c r="AX3227" s="379"/>
      <c r="AY3227" s="379"/>
      <c r="AZ3227" s="379"/>
      <c r="BA3227" s="379"/>
      <c r="BB3227" s="379"/>
      <c r="BC3227" s="379"/>
      <c r="BD3227" s="379"/>
      <c r="BE3227" s="379"/>
      <c r="BF3227" s="379"/>
      <c r="BG3227" s="379"/>
      <c r="BH3227" s="379"/>
      <c r="BI3227" s="379"/>
      <c r="BJ3227" s="379"/>
      <c r="BK3227" s="379"/>
      <c r="BL3227" s="379"/>
      <c r="BM3227" s="379"/>
      <c r="BN3227" s="379"/>
      <c r="BO3227" s="379"/>
      <c r="BP3227" s="379"/>
      <c r="BQ3227" s="379"/>
      <c r="BR3227" s="379"/>
      <c r="BS3227" s="379"/>
      <c r="BT3227" s="379"/>
      <c r="BU3227" s="379"/>
      <c r="BV3227" s="379"/>
      <c r="BW3227" s="379"/>
      <c r="BX3227" s="379"/>
      <c r="BY3227" s="379"/>
      <c r="BZ3227" s="379"/>
      <c r="CA3227" s="281"/>
      <c r="CB3227" s="3" t="str">
        <f t="shared" si="590"/>
        <v>Riadok bude skrytý.</v>
      </c>
      <c r="CC3227" s="271" t="s">
        <v>832</v>
      </c>
      <c r="CW3227" s="30">
        <f t="shared" si="593"/>
        <v>0</v>
      </c>
      <c r="CX3227" s="30">
        <f t="shared" si="594"/>
        <v>0</v>
      </c>
      <c r="CZ3227" s="30">
        <f t="shared" si="591"/>
        <v>1</v>
      </c>
      <c r="DA3227" s="52">
        <f t="shared" si="595"/>
        <v>0</v>
      </c>
      <c r="DB3227" s="140">
        <f t="shared" si="587"/>
        <v>0</v>
      </c>
      <c r="DS3227" s="130">
        <f>SI!BY3227</f>
        <v>516</v>
      </c>
      <c r="DZ3227" s="131">
        <f>SI!BZ3227</f>
        <v>0</v>
      </c>
    </row>
    <row r="3228" spans="1:130" hidden="1" x14ac:dyDescent="0.25">
      <c r="A3228" s="141"/>
      <c r="B3228" s="379"/>
      <c r="C3228" s="379"/>
      <c r="D3228" s="379"/>
      <c r="E3228" s="379"/>
      <c r="F3228" s="379"/>
      <c r="G3228" s="379"/>
      <c r="H3228" s="379"/>
      <c r="I3228" s="379"/>
      <c r="J3228" s="379"/>
      <c r="K3228" s="379"/>
      <c r="L3228" s="379"/>
      <c r="M3228" s="379"/>
      <c r="N3228" s="379"/>
      <c r="O3228" s="379"/>
      <c r="P3228" s="379"/>
      <c r="Q3228" s="379"/>
      <c r="R3228" s="379"/>
      <c r="S3228" s="379"/>
      <c r="T3228" s="379"/>
      <c r="U3228" s="379"/>
      <c r="V3228" s="379"/>
      <c r="W3228" s="379"/>
      <c r="X3228" s="379"/>
      <c r="Y3228" s="379"/>
      <c r="Z3228" s="379"/>
      <c r="AA3228" s="379"/>
      <c r="AB3228" s="379"/>
      <c r="AC3228" s="379"/>
      <c r="AD3228" s="379"/>
      <c r="AE3228" s="379"/>
      <c r="AF3228" s="379"/>
      <c r="AG3228" s="379"/>
      <c r="AH3228" s="379"/>
      <c r="AI3228" s="379"/>
      <c r="AJ3228" s="379"/>
      <c r="AK3228" s="379"/>
      <c r="AL3228" s="379"/>
      <c r="AM3228" s="379"/>
      <c r="AN3228" s="379"/>
      <c r="AO3228" s="379"/>
      <c r="AP3228" s="379"/>
      <c r="AQ3228" s="379"/>
      <c r="AR3228" s="379"/>
      <c r="AS3228" s="379"/>
      <c r="AT3228" s="379"/>
      <c r="AU3228" s="379"/>
      <c r="AV3228" s="379"/>
      <c r="AW3228" s="379"/>
      <c r="AX3228" s="379"/>
      <c r="AY3228" s="379"/>
      <c r="AZ3228" s="379"/>
      <c r="BA3228" s="379"/>
      <c r="BB3228" s="379"/>
      <c r="BC3228" s="379"/>
      <c r="BD3228" s="379"/>
      <c r="BE3228" s="379"/>
      <c r="BF3228" s="379"/>
      <c r="BG3228" s="379"/>
      <c r="BH3228" s="379"/>
      <c r="BI3228" s="379"/>
      <c r="BJ3228" s="379"/>
      <c r="BK3228" s="379"/>
      <c r="BL3228" s="379"/>
      <c r="BM3228" s="379"/>
      <c r="BN3228" s="379"/>
      <c r="BO3228" s="379"/>
      <c r="BP3228" s="379"/>
      <c r="BQ3228" s="379"/>
      <c r="BR3228" s="379"/>
      <c r="BS3228" s="379"/>
      <c r="BT3228" s="379"/>
      <c r="BU3228" s="379"/>
      <c r="BV3228" s="379"/>
      <c r="BW3228" s="379"/>
      <c r="BX3228" s="379"/>
      <c r="BY3228" s="379"/>
      <c r="BZ3228" s="379"/>
      <c r="CA3228" s="281"/>
      <c r="CB3228" s="3" t="str">
        <f t="shared" si="590"/>
        <v>Riadok bude skrytý.</v>
      </c>
      <c r="CC3228" s="271" t="s">
        <v>832</v>
      </c>
      <c r="CW3228" s="30">
        <f t="shared" si="593"/>
        <v>0</v>
      </c>
      <c r="CX3228" s="30">
        <f t="shared" si="594"/>
        <v>0</v>
      </c>
      <c r="CZ3228" s="30">
        <f t="shared" si="591"/>
        <v>1</v>
      </c>
      <c r="DA3228" s="52">
        <f t="shared" si="595"/>
        <v>0</v>
      </c>
      <c r="DB3228" s="140">
        <f t="shared" si="587"/>
        <v>0</v>
      </c>
      <c r="DS3228" s="130">
        <f>SI!BY3228</f>
        <v>173</v>
      </c>
      <c r="DZ3228" s="131">
        <f>SI!BZ3228</f>
        <v>0</v>
      </c>
    </row>
    <row r="3229" spans="1:130" hidden="1" x14ac:dyDescent="0.25">
      <c r="A3229" s="141"/>
      <c r="B3229" s="379"/>
      <c r="C3229" s="379"/>
      <c r="D3229" s="379"/>
      <c r="E3229" s="379"/>
      <c r="F3229" s="379"/>
      <c r="G3229" s="379"/>
      <c r="H3229" s="379"/>
      <c r="I3229" s="379"/>
      <c r="J3229" s="379"/>
      <c r="K3229" s="379"/>
      <c r="L3229" s="379"/>
      <c r="M3229" s="379"/>
      <c r="N3229" s="379"/>
      <c r="O3229" s="379"/>
      <c r="P3229" s="379"/>
      <c r="Q3229" s="379"/>
      <c r="R3229" s="379"/>
      <c r="S3229" s="379"/>
      <c r="T3229" s="379"/>
      <c r="U3229" s="379"/>
      <c r="V3229" s="379"/>
      <c r="W3229" s="379"/>
      <c r="X3229" s="379"/>
      <c r="Y3229" s="379"/>
      <c r="Z3229" s="379"/>
      <c r="AA3229" s="379"/>
      <c r="AB3229" s="379"/>
      <c r="AC3229" s="379"/>
      <c r="AD3229" s="379"/>
      <c r="AE3229" s="379"/>
      <c r="AF3229" s="379"/>
      <c r="AG3229" s="379"/>
      <c r="AH3229" s="379"/>
      <c r="AI3229" s="379"/>
      <c r="AJ3229" s="379"/>
      <c r="AK3229" s="379"/>
      <c r="AL3229" s="379"/>
      <c r="AM3229" s="379"/>
      <c r="AN3229" s="379"/>
      <c r="AO3229" s="379"/>
      <c r="AP3229" s="379"/>
      <c r="AQ3229" s="379"/>
      <c r="AR3229" s="379"/>
      <c r="AS3229" s="379"/>
      <c r="AT3229" s="379"/>
      <c r="AU3229" s="379"/>
      <c r="AV3229" s="379"/>
      <c r="AW3229" s="379"/>
      <c r="AX3229" s="379"/>
      <c r="AY3229" s="379"/>
      <c r="AZ3229" s="379"/>
      <c r="BA3229" s="379"/>
      <c r="BB3229" s="379"/>
      <c r="BC3229" s="379"/>
      <c r="BD3229" s="379"/>
      <c r="BE3229" s="379"/>
      <c r="BF3229" s="379"/>
      <c r="BG3229" s="379"/>
      <c r="BH3229" s="379"/>
      <c r="BI3229" s="379"/>
      <c r="BJ3229" s="379"/>
      <c r="BK3229" s="379"/>
      <c r="BL3229" s="379"/>
      <c r="BM3229" s="379"/>
      <c r="BN3229" s="379"/>
      <c r="BO3229" s="379"/>
      <c r="BP3229" s="379"/>
      <c r="BQ3229" s="379"/>
      <c r="BR3229" s="379"/>
      <c r="BS3229" s="379"/>
      <c r="BT3229" s="379"/>
      <c r="BU3229" s="379"/>
      <c r="BV3229" s="379"/>
      <c r="BW3229" s="379"/>
      <c r="BX3229" s="379"/>
      <c r="BY3229" s="379"/>
      <c r="BZ3229" s="379"/>
      <c r="CA3229" s="281"/>
      <c r="CB3229" s="3" t="str">
        <f t="shared" si="590"/>
        <v>Riadok bude skrytý.</v>
      </c>
      <c r="CC3229" s="271" t="s">
        <v>832</v>
      </c>
      <c r="CW3229" s="30">
        <f t="shared" si="593"/>
        <v>0</v>
      </c>
      <c r="CX3229" s="30">
        <f t="shared" si="594"/>
        <v>0</v>
      </c>
      <c r="CZ3229" s="30">
        <f t="shared" si="591"/>
        <v>1</v>
      </c>
      <c r="DA3229" s="52">
        <f t="shared" si="595"/>
        <v>0</v>
      </c>
      <c r="DB3229" s="140">
        <f t="shared" si="587"/>
        <v>0</v>
      </c>
      <c r="DS3229" s="130">
        <f>SI!BY3229</f>
        <v>740</v>
      </c>
      <c r="DZ3229" s="131">
        <f>SI!BZ3229</f>
        <v>0</v>
      </c>
    </row>
    <row r="3230" spans="1:130" hidden="1" x14ac:dyDescent="0.25">
      <c r="A3230" s="141"/>
      <c r="B3230" s="379"/>
      <c r="C3230" s="379"/>
      <c r="D3230" s="379"/>
      <c r="E3230" s="379"/>
      <c r="F3230" s="379"/>
      <c r="G3230" s="379"/>
      <c r="H3230" s="379"/>
      <c r="I3230" s="379"/>
      <c r="J3230" s="379"/>
      <c r="K3230" s="379"/>
      <c r="L3230" s="379"/>
      <c r="M3230" s="379"/>
      <c r="N3230" s="379"/>
      <c r="O3230" s="379"/>
      <c r="P3230" s="379"/>
      <c r="Q3230" s="379"/>
      <c r="R3230" s="379"/>
      <c r="S3230" s="379"/>
      <c r="T3230" s="379"/>
      <c r="U3230" s="379"/>
      <c r="V3230" s="379"/>
      <c r="W3230" s="379"/>
      <c r="X3230" s="379"/>
      <c r="Y3230" s="379"/>
      <c r="Z3230" s="379"/>
      <c r="AA3230" s="379"/>
      <c r="AB3230" s="379"/>
      <c r="AC3230" s="379"/>
      <c r="AD3230" s="379"/>
      <c r="AE3230" s="379"/>
      <c r="AF3230" s="379"/>
      <c r="AG3230" s="379"/>
      <c r="AH3230" s="379"/>
      <c r="AI3230" s="379"/>
      <c r="AJ3230" s="379"/>
      <c r="AK3230" s="379"/>
      <c r="AL3230" s="379"/>
      <c r="AM3230" s="379"/>
      <c r="AN3230" s="379"/>
      <c r="AO3230" s="379"/>
      <c r="AP3230" s="379"/>
      <c r="AQ3230" s="379"/>
      <c r="AR3230" s="379"/>
      <c r="AS3230" s="379"/>
      <c r="AT3230" s="379"/>
      <c r="AU3230" s="379"/>
      <c r="AV3230" s="379"/>
      <c r="AW3230" s="379"/>
      <c r="AX3230" s="379"/>
      <c r="AY3230" s="379"/>
      <c r="AZ3230" s="379"/>
      <c r="BA3230" s="379"/>
      <c r="BB3230" s="379"/>
      <c r="BC3230" s="379"/>
      <c r="BD3230" s="379"/>
      <c r="BE3230" s="379"/>
      <c r="BF3230" s="379"/>
      <c r="BG3230" s="379"/>
      <c r="BH3230" s="379"/>
      <c r="BI3230" s="379"/>
      <c r="BJ3230" s="379"/>
      <c r="BK3230" s="379"/>
      <c r="BL3230" s="379"/>
      <c r="BM3230" s="379"/>
      <c r="BN3230" s="379"/>
      <c r="BO3230" s="379"/>
      <c r="BP3230" s="379"/>
      <c r="BQ3230" s="379"/>
      <c r="BR3230" s="379"/>
      <c r="BS3230" s="379"/>
      <c r="BT3230" s="379"/>
      <c r="BU3230" s="379"/>
      <c r="BV3230" s="379"/>
      <c r="BW3230" s="379"/>
      <c r="BX3230" s="379"/>
      <c r="BY3230" s="379"/>
      <c r="BZ3230" s="379"/>
      <c r="CA3230" s="281"/>
      <c r="CB3230" s="3" t="str">
        <f t="shared" si="590"/>
        <v>Riadok bude skrytý.</v>
      </c>
      <c r="CC3230" s="271" t="s">
        <v>832</v>
      </c>
      <c r="CW3230" s="30">
        <f t="shared" si="593"/>
        <v>0</v>
      </c>
      <c r="CX3230" s="30">
        <f t="shared" si="594"/>
        <v>0</v>
      </c>
      <c r="CZ3230" s="30">
        <f t="shared" si="591"/>
        <v>1</v>
      </c>
      <c r="DA3230" s="52">
        <f t="shared" si="595"/>
        <v>0</v>
      </c>
      <c r="DB3230" s="140">
        <f t="shared" si="587"/>
        <v>0</v>
      </c>
      <c r="DS3230" s="130">
        <f>SI!BY3230</f>
        <v>168</v>
      </c>
      <c r="DZ3230" s="131">
        <f>SI!BZ3230</f>
        <v>0</v>
      </c>
    </row>
    <row r="3231" spans="1:130" ht="16.3" hidden="1" x14ac:dyDescent="0.3">
      <c r="A3231" s="141"/>
      <c r="G3231" s="16"/>
      <c r="H3231" s="16"/>
      <c r="CA3231" s="142"/>
      <c r="CB3231" s="3" t="str">
        <f t="shared" si="590"/>
        <v>Riadok bude skrytý.</v>
      </c>
      <c r="CC3231" s="271" t="s">
        <v>832</v>
      </c>
      <c r="CW3231" s="30">
        <f t="shared" si="593"/>
        <v>0</v>
      </c>
      <c r="CZ3231" s="30">
        <f t="shared" si="591"/>
        <v>1</v>
      </c>
      <c r="DA3231" s="30">
        <f t="shared" ref="DA3231:DA3257" si="596">+IF(CW3231+CX3231+CY3231=0,0,IF(CZ3231=0,0,1))</f>
        <v>0</v>
      </c>
      <c r="DB3231" s="140">
        <f t="shared" si="587"/>
        <v>0</v>
      </c>
      <c r="DS3231" s="130">
        <f>SI!BY3231</f>
        <v>976</v>
      </c>
      <c r="DZ3231" s="131">
        <f>SI!BZ3231</f>
        <v>0</v>
      </c>
    </row>
    <row r="3232" spans="1:130" hidden="1" x14ac:dyDescent="0.25">
      <c r="A3232" s="141"/>
      <c r="B3232" s="137" t="s">
        <v>417</v>
      </c>
      <c r="CA3232" s="265" t="s">
        <v>773</v>
      </c>
      <c r="CB3232" s="3" t="str">
        <f t="shared" si="590"/>
        <v>Riadok bude skrytý.</v>
      </c>
      <c r="CC3232" s="271" t="s">
        <v>832</v>
      </c>
      <c r="CW3232" s="30">
        <f t="shared" si="593"/>
        <v>0</v>
      </c>
      <c r="CZ3232" s="30">
        <f t="shared" si="591"/>
        <v>1</v>
      </c>
      <c r="DA3232" s="30">
        <f t="shared" si="596"/>
        <v>0</v>
      </c>
      <c r="DB3232" s="140">
        <f t="shared" si="587"/>
        <v>0</v>
      </c>
      <c r="DS3232" s="130">
        <f>SI!BY3232</f>
        <v>173</v>
      </c>
      <c r="DZ3232" s="131">
        <f>SI!BZ3232</f>
        <v>0</v>
      </c>
    </row>
    <row r="3233" spans="1:130" hidden="1" x14ac:dyDescent="0.25">
      <c r="A3233" s="141"/>
      <c r="CA3233" s="142"/>
      <c r="CB3233" s="3" t="str">
        <f t="shared" si="590"/>
        <v>Riadok bude skrytý.</v>
      </c>
      <c r="CC3233" s="271" t="s">
        <v>832</v>
      </c>
      <c r="CW3233" s="30">
        <f t="shared" si="593"/>
        <v>0</v>
      </c>
      <c r="CZ3233" s="30">
        <f t="shared" si="591"/>
        <v>1</v>
      </c>
      <c r="DA3233" s="30">
        <f t="shared" si="596"/>
        <v>0</v>
      </c>
      <c r="DB3233" s="140">
        <f t="shared" si="587"/>
        <v>0</v>
      </c>
      <c r="DS3233" s="130">
        <f>SI!BY3233</f>
        <v>815</v>
      </c>
      <c r="DZ3233" s="131">
        <f>SI!BZ3233</f>
        <v>0</v>
      </c>
    </row>
    <row r="3234" spans="1:130" ht="14.95" hidden="1" customHeight="1" x14ac:dyDescent="0.25">
      <c r="A3234" s="141"/>
      <c r="B3234" s="1073" t="s">
        <v>418</v>
      </c>
      <c r="C3234" s="1074"/>
      <c r="D3234" s="1074"/>
      <c r="E3234" s="1074"/>
      <c r="F3234" s="1074"/>
      <c r="G3234" s="1074"/>
      <c r="H3234" s="1074"/>
      <c r="I3234" s="1074"/>
      <c r="J3234" s="1074"/>
      <c r="K3234" s="1074"/>
      <c r="L3234" s="1074"/>
      <c r="M3234" s="1074"/>
      <c r="N3234" s="1074"/>
      <c r="O3234" s="1074"/>
      <c r="P3234" s="1074"/>
      <c r="Q3234" s="1074"/>
      <c r="R3234" s="1074"/>
      <c r="S3234" s="1074"/>
      <c r="T3234" s="1074"/>
      <c r="U3234" s="1074"/>
      <c r="V3234" s="1074"/>
      <c r="W3234" s="1074"/>
      <c r="X3234" s="1074"/>
      <c r="Y3234" s="1074"/>
      <c r="Z3234" s="1074"/>
      <c r="AA3234" s="1074"/>
      <c r="AB3234" s="1074"/>
      <c r="AC3234" s="1074"/>
      <c r="AD3234" s="1074"/>
      <c r="AE3234" s="1074"/>
      <c r="AF3234" s="1074"/>
      <c r="AG3234" s="1074"/>
      <c r="AH3234" s="1074"/>
      <c r="AI3234" s="1074"/>
      <c r="AJ3234" s="1575"/>
      <c r="AK3234" s="1563" t="s">
        <v>968</v>
      </c>
      <c r="AL3234" s="1564"/>
      <c r="AM3234" s="1564"/>
      <c r="AN3234" s="1564"/>
      <c r="AO3234" s="1564"/>
      <c r="AP3234" s="1564"/>
      <c r="AQ3234" s="1564"/>
      <c r="AR3234" s="1564"/>
      <c r="AS3234" s="1564"/>
      <c r="AT3234" s="1564"/>
      <c r="AU3234" s="1564"/>
      <c r="AV3234" s="1564"/>
      <c r="AW3234" s="1564"/>
      <c r="AX3234" s="1564"/>
      <c r="AY3234" s="1564"/>
      <c r="AZ3234" s="1564"/>
      <c r="BA3234" s="1564"/>
      <c r="BB3234" s="1564"/>
      <c r="BC3234" s="1564"/>
      <c r="BD3234" s="1564"/>
      <c r="BE3234" s="1564"/>
      <c r="BF3234" s="1564"/>
      <c r="BG3234" s="1564"/>
      <c r="BH3234" s="1564"/>
      <c r="BI3234" s="1564"/>
      <c r="BJ3234" s="1564"/>
      <c r="BK3234" s="1564"/>
      <c r="BL3234" s="1564"/>
      <c r="BM3234" s="1564"/>
      <c r="BN3234" s="1564"/>
      <c r="BO3234" s="1564"/>
      <c r="BP3234" s="1564"/>
      <c r="BQ3234" s="1564"/>
      <c r="BR3234" s="1564"/>
      <c r="BS3234" s="1564"/>
      <c r="BT3234" s="1564"/>
      <c r="BU3234" s="1564"/>
      <c r="BV3234" s="1564"/>
      <c r="BW3234" s="1564"/>
      <c r="BX3234" s="1564"/>
      <c r="BY3234" s="1564"/>
      <c r="BZ3234" s="1565"/>
      <c r="CA3234" s="265" t="s">
        <v>773</v>
      </c>
      <c r="CB3234" s="3" t="str">
        <f t="shared" si="590"/>
        <v>Riadok bude skrytý.</v>
      </c>
      <c r="CC3234" s="271" t="s">
        <v>832</v>
      </c>
      <c r="CD3234" s="137"/>
      <c r="CE3234" s="137"/>
      <c r="CF3234" s="137"/>
      <c r="CG3234" s="137"/>
      <c r="CH3234" s="137"/>
      <c r="CI3234" s="137"/>
      <c r="CJ3234" s="137"/>
      <c r="CK3234" s="137"/>
      <c r="CL3234" s="137"/>
      <c r="CM3234" s="137"/>
      <c r="CN3234" s="137"/>
      <c r="CO3234" s="137"/>
      <c r="CP3234" s="137"/>
      <c r="CW3234" s="30">
        <f t="shared" si="593"/>
        <v>0</v>
      </c>
      <c r="CZ3234" s="30">
        <f t="shared" si="591"/>
        <v>1</v>
      </c>
      <c r="DA3234" s="30">
        <f t="shared" si="596"/>
        <v>0</v>
      </c>
      <c r="DB3234" s="140">
        <f t="shared" si="587"/>
        <v>0</v>
      </c>
      <c r="DS3234" s="130">
        <f>SI!BY3234</f>
        <v>486</v>
      </c>
      <c r="DZ3234" s="131">
        <f>SI!BZ3234</f>
        <v>0</v>
      </c>
    </row>
    <row r="3235" spans="1:130" ht="14.95" hidden="1" customHeight="1" x14ac:dyDescent="0.25">
      <c r="A3235" s="141"/>
      <c r="B3235" s="1576"/>
      <c r="C3235" s="1577"/>
      <c r="D3235" s="1577"/>
      <c r="E3235" s="1577"/>
      <c r="F3235" s="1577"/>
      <c r="G3235" s="1577"/>
      <c r="H3235" s="1577"/>
      <c r="I3235" s="1577"/>
      <c r="J3235" s="1577"/>
      <c r="K3235" s="1577"/>
      <c r="L3235" s="1577"/>
      <c r="M3235" s="1577"/>
      <c r="N3235" s="1577"/>
      <c r="O3235" s="1577"/>
      <c r="P3235" s="1577"/>
      <c r="Q3235" s="1577"/>
      <c r="R3235" s="1577"/>
      <c r="S3235" s="1577"/>
      <c r="T3235" s="1577"/>
      <c r="U3235" s="1577"/>
      <c r="V3235" s="1577"/>
      <c r="W3235" s="1577"/>
      <c r="X3235" s="1577"/>
      <c r="Y3235" s="1577"/>
      <c r="Z3235" s="1577"/>
      <c r="AA3235" s="1577"/>
      <c r="AB3235" s="1577"/>
      <c r="AC3235" s="1577"/>
      <c r="AD3235" s="1577"/>
      <c r="AE3235" s="1577"/>
      <c r="AF3235" s="1577"/>
      <c r="AG3235" s="1577"/>
      <c r="AH3235" s="1577"/>
      <c r="AI3235" s="1577"/>
      <c r="AJ3235" s="1578"/>
      <c r="AK3235" s="484" t="s">
        <v>419</v>
      </c>
      <c r="AL3235" s="485"/>
      <c r="AM3235" s="485"/>
      <c r="AN3235" s="485"/>
      <c r="AO3235" s="485"/>
      <c r="AP3235" s="485"/>
      <c r="AQ3235" s="485"/>
      <c r="AR3235" s="485"/>
      <c r="AS3235" s="485"/>
      <c r="AT3235" s="485"/>
      <c r="AU3235" s="485"/>
      <c r="AV3235" s="485"/>
      <c r="AW3235" s="485"/>
      <c r="AX3235" s="486"/>
      <c r="AY3235" s="484" t="s">
        <v>420</v>
      </c>
      <c r="AZ3235" s="485"/>
      <c r="BA3235" s="485"/>
      <c r="BB3235" s="485"/>
      <c r="BC3235" s="485"/>
      <c r="BD3235" s="485"/>
      <c r="BE3235" s="485"/>
      <c r="BF3235" s="485"/>
      <c r="BG3235" s="485"/>
      <c r="BH3235" s="485"/>
      <c r="BI3235" s="485"/>
      <c r="BJ3235" s="485"/>
      <c r="BK3235" s="485"/>
      <c r="BL3235" s="486"/>
      <c r="BM3235" s="484" t="s">
        <v>421</v>
      </c>
      <c r="BN3235" s="485"/>
      <c r="BO3235" s="485"/>
      <c r="BP3235" s="485"/>
      <c r="BQ3235" s="485"/>
      <c r="BR3235" s="485"/>
      <c r="BS3235" s="485"/>
      <c r="BT3235" s="485"/>
      <c r="BU3235" s="485"/>
      <c r="BV3235" s="485"/>
      <c r="BW3235" s="485"/>
      <c r="BX3235" s="485"/>
      <c r="BY3235" s="485"/>
      <c r="BZ3235" s="486"/>
      <c r="CA3235" s="142"/>
      <c r="CB3235" s="3" t="str">
        <f t="shared" si="590"/>
        <v>Riadok bude skrytý.</v>
      </c>
      <c r="CC3235" s="271" t="s">
        <v>832</v>
      </c>
      <c r="CD3235" s="137"/>
      <c r="CE3235" s="137"/>
      <c r="CF3235" s="137"/>
      <c r="CG3235" s="137"/>
      <c r="CW3235" s="30">
        <f t="shared" si="593"/>
        <v>0</v>
      </c>
      <c r="CZ3235" s="30">
        <f t="shared" si="591"/>
        <v>1</v>
      </c>
      <c r="DA3235" s="30">
        <f t="shared" si="596"/>
        <v>0</v>
      </c>
      <c r="DB3235" s="140">
        <f t="shared" si="587"/>
        <v>0</v>
      </c>
      <c r="DS3235" s="130">
        <f>SI!BY3235</f>
        <v>119</v>
      </c>
      <c r="DZ3235" s="131">
        <f>SI!BZ3235</f>
        <v>0</v>
      </c>
    </row>
    <row r="3236" spans="1:130" ht="14.95" hidden="1" customHeight="1" x14ac:dyDescent="0.25">
      <c r="A3236" s="141"/>
      <c r="B3236" s="1075"/>
      <c r="C3236" s="1076"/>
      <c r="D3236" s="1076"/>
      <c r="E3236" s="1076"/>
      <c r="F3236" s="1076"/>
      <c r="G3236" s="1076"/>
      <c r="H3236" s="1076"/>
      <c r="I3236" s="1076"/>
      <c r="J3236" s="1076"/>
      <c r="K3236" s="1076"/>
      <c r="L3236" s="1076"/>
      <c r="M3236" s="1076"/>
      <c r="N3236" s="1076"/>
      <c r="O3236" s="1076"/>
      <c r="P3236" s="1076"/>
      <c r="Q3236" s="1076"/>
      <c r="R3236" s="1076"/>
      <c r="S3236" s="1076"/>
      <c r="T3236" s="1076"/>
      <c r="U3236" s="1076"/>
      <c r="V3236" s="1076"/>
      <c r="W3236" s="1076"/>
      <c r="X3236" s="1076"/>
      <c r="Y3236" s="1076"/>
      <c r="Z3236" s="1076"/>
      <c r="AA3236" s="1076"/>
      <c r="AB3236" s="1076"/>
      <c r="AC3236" s="1076"/>
      <c r="AD3236" s="1076"/>
      <c r="AE3236" s="1076"/>
      <c r="AF3236" s="1076"/>
      <c r="AG3236" s="1076"/>
      <c r="AH3236" s="1076"/>
      <c r="AI3236" s="1076"/>
      <c r="AJ3236" s="1579"/>
      <c r="AK3236" s="2152">
        <f>+AJ141</f>
        <v>2021</v>
      </c>
      <c r="AL3236" s="2153"/>
      <c r="AM3236" s="2153"/>
      <c r="AN3236" s="2153"/>
      <c r="AO3236" s="2153"/>
      <c r="AP3236" s="2153"/>
      <c r="AQ3236" s="2153"/>
      <c r="AR3236" s="2153"/>
      <c r="AS3236" s="2153"/>
      <c r="AT3236" s="2153"/>
      <c r="AU3236" s="2153"/>
      <c r="AV3236" s="2153"/>
      <c r="AW3236" s="2153"/>
      <c r="AX3236" s="2153"/>
      <c r="AY3236" s="2153"/>
      <c r="AZ3236" s="2153"/>
      <c r="BA3236" s="2153"/>
      <c r="BB3236" s="2153"/>
      <c r="BC3236" s="2153"/>
      <c r="BD3236" s="2153"/>
      <c r="BE3236" s="2153"/>
      <c r="BF3236" s="2153"/>
      <c r="BG3236" s="2153"/>
      <c r="BH3236" s="2153"/>
      <c r="BI3236" s="2153"/>
      <c r="BJ3236" s="2153"/>
      <c r="BK3236" s="2153"/>
      <c r="BL3236" s="2153"/>
      <c r="BM3236" s="2153"/>
      <c r="BN3236" s="2153"/>
      <c r="BO3236" s="2153"/>
      <c r="BP3236" s="2153"/>
      <c r="BQ3236" s="2153"/>
      <c r="BR3236" s="2153"/>
      <c r="BS3236" s="2153"/>
      <c r="BT3236" s="2153"/>
      <c r="BU3236" s="2153"/>
      <c r="BV3236" s="2153"/>
      <c r="BW3236" s="2153"/>
      <c r="BX3236" s="2153"/>
      <c r="BY3236" s="2153"/>
      <c r="BZ3236" s="2153"/>
      <c r="CA3236" s="142"/>
      <c r="CB3236" s="3" t="str">
        <f t="shared" si="590"/>
        <v>Riadok bude skrytý.</v>
      </c>
      <c r="CC3236" s="271" t="s">
        <v>832</v>
      </c>
      <c r="CW3236" s="30">
        <f t="shared" si="593"/>
        <v>0</v>
      </c>
      <c r="CZ3236" s="30">
        <f t="shared" si="591"/>
        <v>1</v>
      </c>
      <c r="DA3236" s="30">
        <f t="shared" si="596"/>
        <v>0</v>
      </c>
      <c r="DB3236" s="140">
        <f t="shared" si="587"/>
        <v>0</v>
      </c>
      <c r="DS3236" s="130">
        <f>SI!BY3236</f>
        <v>967</v>
      </c>
      <c r="DZ3236" s="131">
        <f>SI!BZ3236</f>
        <v>0</v>
      </c>
    </row>
    <row r="3237" spans="1:130" ht="27" hidden="1" customHeight="1" x14ac:dyDescent="0.25">
      <c r="A3237" s="141"/>
      <c r="B3237" s="538" t="s">
        <v>969</v>
      </c>
      <c r="C3237" s="539"/>
      <c r="D3237" s="539"/>
      <c r="E3237" s="539"/>
      <c r="F3237" s="539"/>
      <c r="G3237" s="539"/>
      <c r="H3237" s="539"/>
      <c r="I3237" s="539"/>
      <c r="J3237" s="539"/>
      <c r="K3237" s="539"/>
      <c r="L3237" s="539"/>
      <c r="M3237" s="539"/>
      <c r="N3237" s="539"/>
      <c r="O3237" s="539"/>
      <c r="P3237" s="539"/>
      <c r="Q3237" s="539"/>
      <c r="R3237" s="539"/>
      <c r="S3237" s="539"/>
      <c r="T3237" s="539"/>
      <c r="U3237" s="539"/>
      <c r="V3237" s="539"/>
      <c r="W3237" s="539"/>
      <c r="X3237" s="539"/>
      <c r="Y3237" s="539"/>
      <c r="Z3237" s="539"/>
      <c r="AA3237" s="539"/>
      <c r="AB3237" s="539"/>
      <c r="AC3237" s="539"/>
      <c r="AD3237" s="539"/>
      <c r="AE3237" s="539"/>
      <c r="AF3237" s="539"/>
      <c r="AG3237" s="539"/>
      <c r="AH3237" s="539"/>
      <c r="AI3237" s="539"/>
      <c r="AJ3237" s="539"/>
      <c r="AK3237" s="540"/>
      <c r="AL3237" s="540"/>
      <c r="AM3237" s="540"/>
      <c r="AN3237" s="540"/>
      <c r="AO3237" s="540"/>
      <c r="AP3237" s="540"/>
      <c r="AQ3237" s="540"/>
      <c r="AR3237" s="540"/>
      <c r="AS3237" s="540"/>
      <c r="AT3237" s="540"/>
      <c r="AU3237" s="540"/>
      <c r="AV3237" s="540"/>
      <c r="AW3237" s="540"/>
      <c r="AX3237" s="540"/>
      <c r="AY3237" s="540"/>
      <c r="AZ3237" s="540"/>
      <c r="BA3237" s="540"/>
      <c r="BB3237" s="540"/>
      <c r="BC3237" s="540"/>
      <c r="BD3237" s="540"/>
      <c r="BE3237" s="540"/>
      <c r="BF3237" s="540"/>
      <c r="BG3237" s="540"/>
      <c r="BH3237" s="540"/>
      <c r="BI3237" s="540"/>
      <c r="BJ3237" s="540"/>
      <c r="BK3237" s="540"/>
      <c r="BL3237" s="540"/>
      <c r="BM3237" s="540"/>
      <c r="BN3237" s="540"/>
      <c r="BO3237" s="540"/>
      <c r="BP3237" s="540"/>
      <c r="BQ3237" s="540"/>
      <c r="BR3237" s="540"/>
      <c r="BS3237" s="540"/>
      <c r="BT3237" s="540"/>
      <c r="BU3237" s="540"/>
      <c r="BV3237" s="540"/>
      <c r="BW3237" s="540"/>
      <c r="BX3237" s="540"/>
      <c r="BY3237" s="540"/>
      <c r="BZ3237" s="1100"/>
      <c r="CA3237" s="142"/>
      <c r="CB3237" s="3" t="str">
        <f t="shared" si="590"/>
        <v>Riadok bude skrytý.</v>
      </c>
      <c r="CC3237" s="271" t="s">
        <v>832</v>
      </c>
      <c r="CW3237" s="30">
        <f t="shared" si="593"/>
        <v>0</v>
      </c>
      <c r="CZ3237" s="30">
        <f t="shared" si="591"/>
        <v>1</v>
      </c>
      <c r="DA3237" s="30">
        <f t="shared" si="596"/>
        <v>0</v>
      </c>
      <c r="DB3237" s="140">
        <f t="shared" si="587"/>
        <v>0</v>
      </c>
      <c r="DS3237" s="130">
        <f>SI!BY3237</f>
        <v>117</v>
      </c>
      <c r="DZ3237" s="131">
        <f>SI!BZ3237</f>
        <v>0</v>
      </c>
    </row>
    <row r="3238" spans="1:130" ht="14.95" hidden="1" customHeight="1" x14ac:dyDescent="0.25">
      <c r="A3238" s="141"/>
      <c r="B3238" s="2162" t="s">
        <v>970</v>
      </c>
      <c r="C3238" s="2163"/>
      <c r="D3238" s="2163"/>
      <c r="E3238" s="2163"/>
      <c r="F3238" s="2163"/>
      <c r="G3238" s="2163"/>
      <c r="H3238" s="2163"/>
      <c r="I3238" s="2163"/>
      <c r="J3238" s="2163"/>
      <c r="K3238" s="2163"/>
      <c r="L3238" s="2163"/>
      <c r="M3238" s="2163"/>
      <c r="N3238" s="2163"/>
      <c r="O3238" s="2163"/>
      <c r="P3238" s="2163"/>
      <c r="Q3238" s="2163"/>
      <c r="R3238" s="2163"/>
      <c r="S3238" s="2163"/>
      <c r="T3238" s="2163"/>
      <c r="U3238" s="2163"/>
      <c r="V3238" s="2163"/>
      <c r="W3238" s="2163"/>
      <c r="X3238" s="2163"/>
      <c r="Y3238" s="2163"/>
      <c r="Z3238" s="2163"/>
      <c r="AA3238" s="2163"/>
      <c r="AB3238" s="2163"/>
      <c r="AC3238" s="2163"/>
      <c r="AD3238" s="2163"/>
      <c r="AE3238" s="2163"/>
      <c r="AF3238" s="2163"/>
      <c r="AG3238" s="2163"/>
      <c r="AH3238" s="2163"/>
      <c r="AI3238" s="2163"/>
      <c r="AJ3238" s="2163"/>
      <c r="AK3238" s="536"/>
      <c r="AL3238" s="536"/>
      <c r="AM3238" s="536"/>
      <c r="AN3238" s="536"/>
      <c r="AO3238" s="536"/>
      <c r="AP3238" s="536"/>
      <c r="AQ3238" s="536"/>
      <c r="AR3238" s="536"/>
      <c r="AS3238" s="536"/>
      <c r="AT3238" s="536"/>
      <c r="AU3238" s="536"/>
      <c r="AV3238" s="536"/>
      <c r="AW3238" s="536"/>
      <c r="AX3238" s="536"/>
      <c r="AY3238" s="536"/>
      <c r="AZ3238" s="536"/>
      <c r="BA3238" s="536"/>
      <c r="BB3238" s="536"/>
      <c r="BC3238" s="536"/>
      <c r="BD3238" s="536"/>
      <c r="BE3238" s="536"/>
      <c r="BF3238" s="536"/>
      <c r="BG3238" s="536"/>
      <c r="BH3238" s="536"/>
      <c r="BI3238" s="536"/>
      <c r="BJ3238" s="536"/>
      <c r="BK3238" s="536"/>
      <c r="BL3238" s="536"/>
      <c r="BM3238" s="536"/>
      <c r="BN3238" s="536"/>
      <c r="BO3238" s="536"/>
      <c r="BP3238" s="536"/>
      <c r="BQ3238" s="536"/>
      <c r="BR3238" s="536"/>
      <c r="BS3238" s="536"/>
      <c r="BT3238" s="536"/>
      <c r="BU3238" s="536"/>
      <c r="BV3238" s="536"/>
      <c r="BW3238" s="536"/>
      <c r="BX3238" s="536"/>
      <c r="BY3238" s="536"/>
      <c r="BZ3238" s="537"/>
      <c r="CA3238" s="142"/>
      <c r="CB3238" s="3" t="str">
        <f t="shared" si="590"/>
        <v>Riadok bude skrytý.</v>
      </c>
      <c r="CC3238" s="271" t="s">
        <v>832</v>
      </c>
      <c r="CW3238" s="30">
        <f t="shared" si="593"/>
        <v>0</v>
      </c>
      <c r="CZ3238" s="30">
        <f t="shared" si="591"/>
        <v>1</v>
      </c>
      <c r="DA3238" s="30">
        <f t="shared" si="596"/>
        <v>0</v>
      </c>
      <c r="DB3238" s="140">
        <f t="shared" si="587"/>
        <v>0</v>
      </c>
      <c r="DS3238" s="130">
        <f>SI!BY3238</f>
        <v>848</v>
      </c>
      <c r="DZ3238" s="131">
        <f>SI!BZ3238</f>
        <v>0</v>
      </c>
    </row>
    <row r="3239" spans="1:130" ht="14.95" hidden="1" customHeight="1" x14ac:dyDescent="0.25">
      <c r="A3239" s="141"/>
      <c r="B3239" s="2154" t="s">
        <v>982</v>
      </c>
      <c r="C3239" s="2155"/>
      <c r="D3239" s="2155"/>
      <c r="E3239" s="2155"/>
      <c r="F3239" s="2155"/>
      <c r="G3239" s="2155"/>
      <c r="H3239" s="2155"/>
      <c r="I3239" s="2155"/>
      <c r="J3239" s="2155"/>
      <c r="K3239" s="2155"/>
      <c r="L3239" s="2155"/>
      <c r="M3239" s="2155"/>
      <c r="N3239" s="2155"/>
      <c r="O3239" s="2155"/>
      <c r="P3239" s="2155"/>
      <c r="Q3239" s="2155"/>
      <c r="R3239" s="2155"/>
      <c r="S3239" s="2155"/>
      <c r="T3239" s="2155"/>
      <c r="U3239" s="2155"/>
      <c r="V3239" s="2155"/>
      <c r="W3239" s="2155"/>
      <c r="X3239" s="2155"/>
      <c r="Y3239" s="2155"/>
      <c r="Z3239" s="2155"/>
      <c r="AA3239" s="2155"/>
      <c r="AB3239" s="2155"/>
      <c r="AC3239" s="2155"/>
      <c r="AD3239" s="2155"/>
      <c r="AE3239" s="2155"/>
      <c r="AF3239" s="2155"/>
      <c r="AG3239" s="2155"/>
      <c r="AH3239" s="2155"/>
      <c r="AI3239" s="2155"/>
      <c r="AJ3239" s="2155"/>
      <c r="AK3239" s="2160"/>
      <c r="AL3239" s="2160"/>
      <c r="AM3239" s="2160"/>
      <c r="AN3239" s="2160"/>
      <c r="AO3239" s="2160"/>
      <c r="AP3239" s="2160"/>
      <c r="AQ3239" s="2160"/>
      <c r="AR3239" s="2160"/>
      <c r="AS3239" s="2160"/>
      <c r="AT3239" s="2160"/>
      <c r="AU3239" s="2160"/>
      <c r="AV3239" s="2160"/>
      <c r="AW3239" s="2160"/>
      <c r="AX3239" s="2160"/>
      <c r="AY3239" s="2160"/>
      <c r="AZ3239" s="2160"/>
      <c r="BA3239" s="2160"/>
      <c r="BB3239" s="2160"/>
      <c r="BC3239" s="2160"/>
      <c r="BD3239" s="2160"/>
      <c r="BE3239" s="2160"/>
      <c r="BF3239" s="2160"/>
      <c r="BG3239" s="2160"/>
      <c r="BH3239" s="2160"/>
      <c r="BI3239" s="2160"/>
      <c r="BJ3239" s="2160"/>
      <c r="BK3239" s="2160"/>
      <c r="BL3239" s="2160"/>
      <c r="BM3239" s="2160"/>
      <c r="BN3239" s="2160"/>
      <c r="BO3239" s="2160"/>
      <c r="BP3239" s="2160"/>
      <c r="BQ3239" s="2160"/>
      <c r="BR3239" s="2160"/>
      <c r="BS3239" s="2160"/>
      <c r="BT3239" s="2160"/>
      <c r="BU3239" s="2160"/>
      <c r="BV3239" s="2160"/>
      <c r="BW3239" s="2160"/>
      <c r="BX3239" s="2160"/>
      <c r="BY3239" s="2160"/>
      <c r="BZ3239" s="2161"/>
      <c r="CA3239" s="142"/>
      <c r="CB3239" s="3" t="str">
        <f t="shared" si="590"/>
        <v>Riadok bude skrytý.</v>
      </c>
      <c r="CC3239" s="271" t="s">
        <v>832</v>
      </c>
      <c r="CW3239" s="30">
        <f t="shared" si="593"/>
        <v>0</v>
      </c>
      <c r="CZ3239" s="30">
        <f t="shared" si="591"/>
        <v>1</v>
      </c>
      <c r="DA3239" s="30">
        <f t="shared" si="596"/>
        <v>0</v>
      </c>
      <c r="DB3239" s="140">
        <f t="shared" si="587"/>
        <v>0</v>
      </c>
      <c r="DS3239" s="130">
        <f>SI!BY3239</f>
        <v>146</v>
      </c>
      <c r="DZ3239" s="131">
        <f>SI!BZ3239</f>
        <v>0</v>
      </c>
    </row>
    <row r="3240" spans="1:130" hidden="1" x14ac:dyDescent="0.25">
      <c r="A3240" s="141"/>
      <c r="B3240" s="2156"/>
      <c r="C3240" s="2157"/>
      <c r="D3240" s="2157"/>
      <c r="E3240" s="2157"/>
      <c r="F3240" s="2157"/>
      <c r="G3240" s="2157"/>
      <c r="H3240" s="2157"/>
      <c r="I3240" s="2157"/>
      <c r="J3240" s="2157"/>
      <c r="K3240" s="2157"/>
      <c r="L3240" s="2157"/>
      <c r="M3240" s="2157"/>
      <c r="N3240" s="2157"/>
      <c r="O3240" s="2157"/>
      <c r="P3240" s="2157"/>
      <c r="Q3240" s="2157"/>
      <c r="R3240" s="2157"/>
      <c r="S3240" s="2157"/>
      <c r="T3240" s="2157"/>
      <c r="U3240" s="2157"/>
      <c r="V3240" s="2157"/>
      <c r="W3240" s="2157"/>
      <c r="X3240" s="2157"/>
      <c r="Y3240" s="2157"/>
      <c r="Z3240" s="2157"/>
      <c r="AA3240" s="2157"/>
      <c r="AB3240" s="2157"/>
      <c r="AC3240" s="2157"/>
      <c r="AD3240" s="2157"/>
      <c r="AE3240" s="2157"/>
      <c r="AF3240" s="2157"/>
      <c r="AG3240" s="2157"/>
      <c r="AH3240" s="2157"/>
      <c r="AI3240" s="2157"/>
      <c r="AJ3240" s="2157"/>
      <c r="AK3240" s="2160"/>
      <c r="AL3240" s="2160"/>
      <c r="AM3240" s="2160"/>
      <c r="AN3240" s="2160"/>
      <c r="AO3240" s="2160"/>
      <c r="AP3240" s="2160"/>
      <c r="AQ3240" s="2160"/>
      <c r="AR3240" s="2160"/>
      <c r="AS3240" s="2160"/>
      <c r="AT3240" s="2160"/>
      <c r="AU3240" s="2160"/>
      <c r="AV3240" s="2160"/>
      <c r="AW3240" s="2160"/>
      <c r="AX3240" s="2160"/>
      <c r="AY3240" s="2160"/>
      <c r="AZ3240" s="2160"/>
      <c r="BA3240" s="2160"/>
      <c r="BB3240" s="2160"/>
      <c r="BC3240" s="2160"/>
      <c r="BD3240" s="2160"/>
      <c r="BE3240" s="2160"/>
      <c r="BF3240" s="2160"/>
      <c r="BG3240" s="2160"/>
      <c r="BH3240" s="2160"/>
      <c r="BI3240" s="2160"/>
      <c r="BJ3240" s="2160"/>
      <c r="BK3240" s="2160"/>
      <c r="BL3240" s="2160"/>
      <c r="BM3240" s="2160"/>
      <c r="BN3240" s="2160"/>
      <c r="BO3240" s="2160"/>
      <c r="BP3240" s="2160"/>
      <c r="BQ3240" s="2160"/>
      <c r="BR3240" s="2160"/>
      <c r="BS3240" s="2160"/>
      <c r="BT3240" s="2160"/>
      <c r="BU3240" s="2160"/>
      <c r="BV3240" s="2160"/>
      <c r="BW3240" s="2160"/>
      <c r="BX3240" s="2160"/>
      <c r="BY3240" s="2160"/>
      <c r="BZ3240" s="2161"/>
      <c r="CA3240" s="142"/>
      <c r="CB3240" s="3" t="str">
        <f t="shared" si="590"/>
        <v>Riadok bude skrytý.</v>
      </c>
      <c r="CC3240" s="271" t="s">
        <v>832</v>
      </c>
      <c r="CW3240" s="30">
        <f t="shared" si="593"/>
        <v>0</v>
      </c>
      <c r="CZ3240" s="30">
        <f t="shared" si="591"/>
        <v>1</v>
      </c>
      <c r="DA3240" s="30">
        <f t="shared" si="596"/>
        <v>0</v>
      </c>
      <c r="DB3240" s="140">
        <f t="shared" si="587"/>
        <v>0</v>
      </c>
      <c r="DS3240" s="130">
        <f>SI!BY3240</f>
        <v>131</v>
      </c>
      <c r="DZ3240" s="131">
        <f>SI!BZ3240</f>
        <v>0</v>
      </c>
    </row>
    <row r="3241" spans="1:130" ht="14.95" hidden="1" customHeight="1" x14ac:dyDescent="0.25">
      <c r="A3241" s="141"/>
      <c r="B3241" s="2158"/>
      <c r="C3241" s="2159"/>
      <c r="D3241" s="2159"/>
      <c r="E3241" s="2159"/>
      <c r="F3241" s="2159"/>
      <c r="G3241" s="2159"/>
      <c r="H3241" s="2159"/>
      <c r="I3241" s="2159"/>
      <c r="J3241" s="2159"/>
      <c r="K3241" s="2159"/>
      <c r="L3241" s="2159"/>
      <c r="M3241" s="2159"/>
      <c r="N3241" s="2159"/>
      <c r="O3241" s="2159"/>
      <c r="P3241" s="2159"/>
      <c r="Q3241" s="2159"/>
      <c r="R3241" s="2159"/>
      <c r="S3241" s="2159"/>
      <c r="T3241" s="2159"/>
      <c r="U3241" s="2159"/>
      <c r="V3241" s="2159"/>
      <c r="W3241" s="2159"/>
      <c r="X3241" s="2159"/>
      <c r="Y3241" s="2159"/>
      <c r="Z3241" s="2159"/>
      <c r="AA3241" s="2159"/>
      <c r="AB3241" s="2159"/>
      <c r="AC3241" s="2159"/>
      <c r="AD3241" s="2159"/>
      <c r="AE3241" s="2159"/>
      <c r="AF3241" s="2159"/>
      <c r="AG3241" s="2159"/>
      <c r="AH3241" s="2159"/>
      <c r="AI3241" s="2159"/>
      <c r="AJ3241" s="2159"/>
      <c r="AK3241" s="2164"/>
      <c r="AL3241" s="2164"/>
      <c r="AM3241" s="2164"/>
      <c r="AN3241" s="2164"/>
      <c r="AO3241" s="2164"/>
      <c r="AP3241" s="2164"/>
      <c r="AQ3241" s="2164"/>
      <c r="AR3241" s="2164"/>
      <c r="AS3241" s="2164"/>
      <c r="AT3241" s="2164"/>
      <c r="AU3241" s="2164"/>
      <c r="AV3241" s="2164"/>
      <c r="AW3241" s="2164"/>
      <c r="AX3241" s="2164"/>
      <c r="AY3241" s="2164"/>
      <c r="AZ3241" s="2164"/>
      <c r="BA3241" s="2164"/>
      <c r="BB3241" s="2164"/>
      <c r="BC3241" s="2164"/>
      <c r="BD3241" s="2164"/>
      <c r="BE3241" s="2164"/>
      <c r="BF3241" s="2164"/>
      <c r="BG3241" s="2164"/>
      <c r="BH3241" s="2164"/>
      <c r="BI3241" s="2164"/>
      <c r="BJ3241" s="2164"/>
      <c r="BK3241" s="2164"/>
      <c r="BL3241" s="2164"/>
      <c r="BM3241" s="2164"/>
      <c r="BN3241" s="2164"/>
      <c r="BO3241" s="2164"/>
      <c r="BP3241" s="2164"/>
      <c r="BQ3241" s="2164"/>
      <c r="BR3241" s="2164"/>
      <c r="BS3241" s="2164"/>
      <c r="BT3241" s="2164"/>
      <c r="BU3241" s="2164"/>
      <c r="BV3241" s="2164"/>
      <c r="BW3241" s="2164"/>
      <c r="BX3241" s="2164"/>
      <c r="BY3241" s="2164"/>
      <c r="BZ3241" s="2165"/>
      <c r="CA3241" s="142"/>
      <c r="CB3241" s="3" t="str">
        <f t="shared" si="590"/>
        <v>Riadok bude skrytý.</v>
      </c>
      <c r="CC3241" s="271" t="s">
        <v>832</v>
      </c>
      <c r="CW3241" s="30">
        <f t="shared" si="593"/>
        <v>0</v>
      </c>
      <c r="CZ3241" s="30">
        <f t="shared" si="591"/>
        <v>1</v>
      </c>
      <c r="DA3241" s="30">
        <f t="shared" si="596"/>
        <v>0</v>
      </c>
      <c r="DB3241" s="140">
        <f t="shared" si="587"/>
        <v>0</v>
      </c>
      <c r="DS3241" s="130">
        <f>SI!BY3241</f>
        <v>167</v>
      </c>
      <c r="DZ3241" s="131">
        <f>SI!BZ3241</f>
        <v>0</v>
      </c>
    </row>
    <row r="3242" spans="1:130" ht="14.95" hidden="1" customHeight="1" x14ac:dyDescent="0.25">
      <c r="A3242" s="141"/>
      <c r="B3242" s="2150" t="s">
        <v>973</v>
      </c>
      <c r="C3242" s="2151"/>
      <c r="D3242" s="2151"/>
      <c r="E3242" s="2151"/>
      <c r="F3242" s="2151"/>
      <c r="G3242" s="2151"/>
      <c r="H3242" s="2151"/>
      <c r="I3242" s="2151"/>
      <c r="J3242" s="2151"/>
      <c r="K3242" s="2151"/>
      <c r="L3242" s="2151"/>
      <c r="M3242" s="2151"/>
      <c r="N3242" s="2151"/>
      <c r="O3242" s="2151"/>
      <c r="P3242" s="2151"/>
      <c r="Q3242" s="2151"/>
      <c r="R3242" s="2151"/>
      <c r="S3242" s="2151"/>
      <c r="T3242" s="2151"/>
      <c r="U3242" s="2151"/>
      <c r="V3242" s="2151"/>
      <c r="W3242" s="2151"/>
      <c r="X3242" s="2151"/>
      <c r="Y3242" s="2151"/>
      <c r="Z3242" s="2151"/>
      <c r="AA3242" s="2148" t="s">
        <v>437</v>
      </c>
      <c r="AB3242" s="2148"/>
      <c r="AC3242" s="2148"/>
      <c r="AD3242" s="2148"/>
      <c r="AE3242" s="2148"/>
      <c r="AF3242" s="2148"/>
      <c r="AG3242" s="2148"/>
      <c r="AH3242" s="2148"/>
      <c r="AI3242" s="2148"/>
      <c r="AJ3242" s="2149"/>
      <c r="AK3242" s="1371">
        <f>+SUM(AK3243:AX3245)</f>
        <v>0</v>
      </c>
      <c r="AL3242" s="1371"/>
      <c r="AM3242" s="1371"/>
      <c r="AN3242" s="1371"/>
      <c r="AO3242" s="1371"/>
      <c r="AP3242" s="1371"/>
      <c r="AQ3242" s="1371"/>
      <c r="AR3242" s="1371"/>
      <c r="AS3242" s="1371"/>
      <c r="AT3242" s="1371"/>
      <c r="AU3242" s="1371"/>
      <c r="AV3242" s="1371"/>
      <c r="AW3242" s="1371"/>
      <c r="AX3242" s="1371"/>
      <c r="AY3242" s="1371">
        <f>+SUM(AY3243:BL3245)</f>
        <v>0</v>
      </c>
      <c r="AZ3242" s="1371"/>
      <c r="BA3242" s="1371"/>
      <c r="BB3242" s="1371"/>
      <c r="BC3242" s="1371"/>
      <c r="BD3242" s="1371"/>
      <c r="BE3242" s="1371"/>
      <c r="BF3242" s="1371"/>
      <c r="BG3242" s="1371"/>
      <c r="BH3242" s="1371"/>
      <c r="BI3242" s="1371"/>
      <c r="BJ3242" s="1371"/>
      <c r="BK3242" s="1371"/>
      <c r="BL3242" s="1371"/>
      <c r="BM3242" s="1371">
        <f>+SUM(BM3243:BZ3245)</f>
        <v>0</v>
      </c>
      <c r="BN3242" s="1371"/>
      <c r="BO3242" s="1371"/>
      <c r="BP3242" s="1371"/>
      <c r="BQ3242" s="1371"/>
      <c r="BR3242" s="1371"/>
      <c r="BS3242" s="1371"/>
      <c r="BT3242" s="1371"/>
      <c r="BU3242" s="1371"/>
      <c r="BV3242" s="1371"/>
      <c r="BW3242" s="1371"/>
      <c r="BX3242" s="1371"/>
      <c r="BY3242" s="1371"/>
      <c r="BZ3242" s="1372"/>
      <c r="CA3242" s="142"/>
      <c r="CB3242" s="3" t="str">
        <f t="shared" si="590"/>
        <v>Riadok bude skrytý.</v>
      </c>
      <c r="CC3242" s="271" t="s">
        <v>832</v>
      </c>
      <c r="CW3242" s="30">
        <f t="shared" si="593"/>
        <v>0</v>
      </c>
      <c r="CZ3242" s="30">
        <f t="shared" si="591"/>
        <v>1</v>
      </c>
      <c r="DA3242" s="30">
        <f t="shared" si="596"/>
        <v>0</v>
      </c>
      <c r="DB3242" s="140">
        <f t="shared" si="587"/>
        <v>0</v>
      </c>
      <c r="DS3242" s="130">
        <f>SI!BY3242</f>
        <v>719</v>
      </c>
      <c r="DZ3242" s="131">
        <f>SI!BZ3242</f>
        <v>0</v>
      </c>
    </row>
    <row r="3243" spans="1:130" ht="14.95" hidden="1" customHeight="1" x14ac:dyDescent="0.25">
      <c r="A3243" s="141"/>
      <c r="B3243" s="1532" t="s">
        <v>971</v>
      </c>
      <c r="C3243" s="1533"/>
      <c r="D3243" s="1533"/>
      <c r="E3243" s="1533"/>
      <c r="F3243" s="1533"/>
      <c r="G3243" s="1533"/>
      <c r="H3243" s="1533"/>
      <c r="I3243" s="1533"/>
      <c r="J3243" s="1533"/>
      <c r="K3243" s="1533"/>
      <c r="L3243" s="1533"/>
      <c r="M3243" s="1533"/>
      <c r="N3243" s="1533"/>
      <c r="O3243" s="1533"/>
      <c r="P3243" s="1533"/>
      <c r="Q3243" s="1533"/>
      <c r="R3243" s="1533"/>
      <c r="S3243" s="1533"/>
      <c r="T3243" s="1533"/>
      <c r="U3243" s="1533"/>
      <c r="V3243" s="1533"/>
      <c r="W3243" s="1533"/>
      <c r="X3243" s="1533"/>
      <c r="Y3243" s="1533"/>
      <c r="Z3243" s="1533"/>
      <c r="AA3243" s="1533"/>
      <c r="AB3243" s="1533"/>
      <c r="AC3243" s="1533"/>
      <c r="AD3243" s="1533"/>
      <c r="AE3243" s="1533"/>
      <c r="AF3243" s="1533"/>
      <c r="AG3243" s="1533"/>
      <c r="AH3243" s="1533"/>
      <c r="AI3243" s="1533"/>
      <c r="AJ3243" s="1533"/>
      <c r="AK3243" s="364"/>
      <c r="AL3243" s="364"/>
      <c r="AM3243" s="364"/>
      <c r="AN3243" s="364"/>
      <c r="AO3243" s="364"/>
      <c r="AP3243" s="364"/>
      <c r="AQ3243" s="364"/>
      <c r="AR3243" s="364"/>
      <c r="AS3243" s="364"/>
      <c r="AT3243" s="364"/>
      <c r="AU3243" s="364"/>
      <c r="AV3243" s="364"/>
      <c r="AW3243" s="364"/>
      <c r="AX3243" s="364"/>
      <c r="AY3243" s="364"/>
      <c r="AZ3243" s="364"/>
      <c r="BA3243" s="364"/>
      <c r="BB3243" s="364"/>
      <c r="BC3243" s="364"/>
      <c r="BD3243" s="364"/>
      <c r="BE3243" s="364"/>
      <c r="BF3243" s="364"/>
      <c r="BG3243" s="364"/>
      <c r="BH3243" s="364"/>
      <c r="BI3243" s="364"/>
      <c r="BJ3243" s="364"/>
      <c r="BK3243" s="364"/>
      <c r="BL3243" s="364"/>
      <c r="BM3243" s="364"/>
      <c r="BN3243" s="364"/>
      <c r="BO3243" s="364"/>
      <c r="BP3243" s="364"/>
      <c r="BQ3243" s="364"/>
      <c r="BR3243" s="364"/>
      <c r="BS3243" s="364"/>
      <c r="BT3243" s="364"/>
      <c r="BU3243" s="364"/>
      <c r="BV3243" s="364"/>
      <c r="BW3243" s="364"/>
      <c r="BX3243" s="364"/>
      <c r="BY3243" s="364"/>
      <c r="BZ3243" s="387"/>
      <c r="CA3243" s="142"/>
      <c r="CB3243" s="3" t="str">
        <f t="shared" si="590"/>
        <v>Riadok bude skrytý.</v>
      </c>
      <c r="CC3243" s="271" t="s">
        <v>832</v>
      </c>
      <c r="CW3243" s="30">
        <f t="shared" si="593"/>
        <v>0</v>
      </c>
      <c r="CZ3243" s="30">
        <f t="shared" si="591"/>
        <v>1</v>
      </c>
      <c r="DA3243" s="30">
        <f t="shared" si="596"/>
        <v>0</v>
      </c>
      <c r="DB3243" s="140">
        <f t="shared" si="587"/>
        <v>0</v>
      </c>
      <c r="DS3243" s="130">
        <f>SI!BY3243</f>
        <v>194</v>
      </c>
      <c r="DZ3243" s="131">
        <f>SI!BZ3243</f>
        <v>0</v>
      </c>
    </row>
    <row r="3244" spans="1:130" ht="14.95" hidden="1" customHeight="1" x14ac:dyDescent="0.25">
      <c r="A3244" s="141"/>
      <c r="B3244" s="1532" t="s">
        <v>972</v>
      </c>
      <c r="C3244" s="1533"/>
      <c r="D3244" s="1533"/>
      <c r="E3244" s="1533"/>
      <c r="F3244" s="1533"/>
      <c r="G3244" s="1533"/>
      <c r="H3244" s="1533"/>
      <c r="I3244" s="1533"/>
      <c r="J3244" s="1533"/>
      <c r="K3244" s="1533"/>
      <c r="L3244" s="1533"/>
      <c r="M3244" s="1533"/>
      <c r="N3244" s="1533"/>
      <c r="O3244" s="1533"/>
      <c r="P3244" s="1533"/>
      <c r="Q3244" s="1533"/>
      <c r="R3244" s="1533"/>
      <c r="S3244" s="1533"/>
      <c r="T3244" s="1533"/>
      <c r="U3244" s="1533"/>
      <c r="V3244" s="1533"/>
      <c r="W3244" s="1533"/>
      <c r="X3244" s="1533"/>
      <c r="Y3244" s="1533"/>
      <c r="Z3244" s="1533"/>
      <c r="AA3244" s="1533"/>
      <c r="AB3244" s="1533"/>
      <c r="AC3244" s="1533"/>
      <c r="AD3244" s="1533"/>
      <c r="AE3244" s="1533"/>
      <c r="AF3244" s="1533"/>
      <c r="AG3244" s="1533"/>
      <c r="AH3244" s="1533"/>
      <c r="AI3244" s="1533"/>
      <c r="AJ3244" s="1533"/>
      <c r="AK3244" s="364"/>
      <c r="AL3244" s="364"/>
      <c r="AM3244" s="364"/>
      <c r="AN3244" s="364"/>
      <c r="AO3244" s="364"/>
      <c r="AP3244" s="364"/>
      <c r="AQ3244" s="364"/>
      <c r="AR3244" s="364"/>
      <c r="AS3244" s="364"/>
      <c r="AT3244" s="364"/>
      <c r="AU3244" s="364"/>
      <c r="AV3244" s="364"/>
      <c r="AW3244" s="364"/>
      <c r="AX3244" s="364"/>
      <c r="AY3244" s="364"/>
      <c r="AZ3244" s="364"/>
      <c r="BA3244" s="364"/>
      <c r="BB3244" s="364"/>
      <c r="BC3244" s="364"/>
      <c r="BD3244" s="364"/>
      <c r="BE3244" s="364"/>
      <c r="BF3244" s="364"/>
      <c r="BG3244" s="364"/>
      <c r="BH3244" s="364"/>
      <c r="BI3244" s="364"/>
      <c r="BJ3244" s="364"/>
      <c r="BK3244" s="364"/>
      <c r="BL3244" s="364"/>
      <c r="BM3244" s="364"/>
      <c r="BN3244" s="364"/>
      <c r="BO3244" s="364"/>
      <c r="BP3244" s="364"/>
      <c r="BQ3244" s="364"/>
      <c r="BR3244" s="364"/>
      <c r="BS3244" s="364"/>
      <c r="BT3244" s="364"/>
      <c r="BU3244" s="364"/>
      <c r="BV3244" s="364"/>
      <c r="BW3244" s="364"/>
      <c r="BX3244" s="364"/>
      <c r="BY3244" s="364"/>
      <c r="BZ3244" s="387"/>
      <c r="CA3244" s="142"/>
      <c r="CB3244" s="3" t="str">
        <f t="shared" si="590"/>
        <v>Riadok bude skrytý.</v>
      </c>
      <c r="CC3244" s="271" t="s">
        <v>832</v>
      </c>
      <c r="CW3244" s="30">
        <f t="shared" si="593"/>
        <v>0</v>
      </c>
      <c r="CZ3244" s="30">
        <f t="shared" si="591"/>
        <v>1</v>
      </c>
      <c r="DA3244" s="30">
        <f t="shared" si="596"/>
        <v>0</v>
      </c>
      <c r="DB3244" s="140">
        <f t="shared" si="587"/>
        <v>0</v>
      </c>
      <c r="DS3244" s="130">
        <f>SI!BY3244</f>
        <v>469</v>
      </c>
      <c r="DZ3244" s="131">
        <f>SI!BZ3244</f>
        <v>0</v>
      </c>
    </row>
    <row r="3245" spans="1:130" ht="14.95" hidden="1" customHeight="1" x14ac:dyDescent="0.25">
      <c r="A3245" s="141"/>
      <c r="B3245" s="1532" t="s">
        <v>974</v>
      </c>
      <c r="C3245" s="1533"/>
      <c r="D3245" s="1533"/>
      <c r="E3245" s="1533"/>
      <c r="F3245" s="1533"/>
      <c r="G3245" s="1533"/>
      <c r="H3245" s="1533"/>
      <c r="I3245" s="1533"/>
      <c r="J3245" s="1533"/>
      <c r="K3245" s="1533"/>
      <c r="L3245" s="1533"/>
      <c r="M3245" s="1533"/>
      <c r="N3245" s="1533"/>
      <c r="O3245" s="1533"/>
      <c r="P3245" s="1533"/>
      <c r="Q3245" s="1533"/>
      <c r="R3245" s="1533"/>
      <c r="S3245" s="1533"/>
      <c r="T3245" s="1533"/>
      <c r="U3245" s="1533"/>
      <c r="V3245" s="1533"/>
      <c r="W3245" s="1533"/>
      <c r="X3245" s="1533"/>
      <c r="Y3245" s="1533"/>
      <c r="Z3245" s="1533"/>
      <c r="AA3245" s="1533"/>
      <c r="AB3245" s="1533"/>
      <c r="AC3245" s="1533"/>
      <c r="AD3245" s="1533"/>
      <c r="AE3245" s="1533"/>
      <c r="AF3245" s="1533"/>
      <c r="AG3245" s="1533"/>
      <c r="AH3245" s="1533"/>
      <c r="AI3245" s="1533"/>
      <c r="AJ3245" s="1533"/>
      <c r="AK3245" s="364"/>
      <c r="AL3245" s="364"/>
      <c r="AM3245" s="364"/>
      <c r="AN3245" s="364"/>
      <c r="AO3245" s="364"/>
      <c r="AP3245" s="364"/>
      <c r="AQ3245" s="364"/>
      <c r="AR3245" s="364"/>
      <c r="AS3245" s="364"/>
      <c r="AT3245" s="364"/>
      <c r="AU3245" s="364"/>
      <c r="AV3245" s="364"/>
      <c r="AW3245" s="364"/>
      <c r="AX3245" s="364"/>
      <c r="AY3245" s="364"/>
      <c r="AZ3245" s="364"/>
      <c r="BA3245" s="364"/>
      <c r="BB3245" s="364"/>
      <c r="BC3245" s="364"/>
      <c r="BD3245" s="364"/>
      <c r="BE3245" s="364"/>
      <c r="BF3245" s="364"/>
      <c r="BG3245" s="364"/>
      <c r="BH3245" s="364"/>
      <c r="BI3245" s="364"/>
      <c r="BJ3245" s="364"/>
      <c r="BK3245" s="364"/>
      <c r="BL3245" s="364"/>
      <c r="BM3245" s="364"/>
      <c r="BN3245" s="364"/>
      <c r="BO3245" s="364"/>
      <c r="BP3245" s="364"/>
      <c r="BQ3245" s="364"/>
      <c r="BR3245" s="364"/>
      <c r="BS3245" s="364"/>
      <c r="BT3245" s="364"/>
      <c r="BU3245" s="364"/>
      <c r="BV3245" s="364"/>
      <c r="BW3245" s="364"/>
      <c r="BX3245" s="364"/>
      <c r="BY3245" s="364"/>
      <c r="BZ3245" s="387"/>
      <c r="CA3245" s="142"/>
      <c r="CB3245" s="3" t="str">
        <f t="shared" si="590"/>
        <v>Riadok bude skrytý.</v>
      </c>
      <c r="CC3245" s="271" t="s">
        <v>832</v>
      </c>
      <c r="CW3245" s="30">
        <f t="shared" si="593"/>
        <v>0</v>
      </c>
      <c r="CZ3245" s="30">
        <f t="shared" si="591"/>
        <v>1</v>
      </c>
      <c r="DA3245" s="30">
        <f t="shared" si="596"/>
        <v>0</v>
      </c>
      <c r="DB3245" s="140">
        <f t="shared" si="587"/>
        <v>0</v>
      </c>
      <c r="DS3245" s="130">
        <f>SI!BY3245</f>
        <v>195</v>
      </c>
      <c r="DZ3245" s="131">
        <f>SI!BZ3245</f>
        <v>0</v>
      </c>
    </row>
    <row r="3246" spans="1:130" ht="14.95" hidden="1" customHeight="1" x14ac:dyDescent="0.25">
      <c r="A3246" s="141"/>
      <c r="B3246" s="1554" t="s">
        <v>976</v>
      </c>
      <c r="C3246" s="1555"/>
      <c r="D3246" s="1555"/>
      <c r="E3246" s="1555"/>
      <c r="F3246" s="1555"/>
      <c r="G3246" s="1555"/>
      <c r="H3246" s="1555"/>
      <c r="I3246" s="1555"/>
      <c r="J3246" s="1555"/>
      <c r="K3246" s="1555"/>
      <c r="L3246" s="1555"/>
      <c r="M3246" s="1555"/>
      <c r="N3246" s="1555"/>
      <c r="O3246" s="1555"/>
      <c r="P3246" s="1555"/>
      <c r="Q3246" s="1555"/>
      <c r="R3246" s="1555"/>
      <c r="S3246" s="1555"/>
      <c r="T3246" s="1555"/>
      <c r="U3246" s="1555"/>
      <c r="V3246" s="1555"/>
      <c r="W3246" s="1555"/>
      <c r="X3246" s="1555"/>
      <c r="Y3246" s="1555"/>
      <c r="Z3246" s="1555"/>
      <c r="AA3246" s="1555"/>
      <c r="AB3246" s="1555"/>
      <c r="AC3246" s="1555"/>
      <c r="AD3246" s="1555"/>
      <c r="AE3246" s="1555"/>
      <c r="AF3246" s="1555"/>
      <c r="AG3246" s="1555"/>
      <c r="AH3246" s="1555"/>
      <c r="AI3246" s="1555"/>
      <c r="AJ3246" s="1555"/>
      <c r="AK3246" s="1556"/>
      <c r="AL3246" s="1557"/>
      <c r="AM3246" s="1557"/>
      <c r="AN3246" s="1557"/>
      <c r="AO3246" s="1557"/>
      <c r="AP3246" s="1557"/>
      <c r="AQ3246" s="1557"/>
      <c r="AR3246" s="1557"/>
      <c r="AS3246" s="1557"/>
      <c r="AT3246" s="1557"/>
      <c r="AU3246" s="1557"/>
      <c r="AV3246" s="1557"/>
      <c r="AW3246" s="1557"/>
      <c r="AX3246" s="1557"/>
      <c r="AY3246" s="1557"/>
      <c r="AZ3246" s="1557"/>
      <c r="BA3246" s="1557"/>
      <c r="BB3246" s="1557"/>
      <c r="BC3246" s="1557"/>
      <c r="BD3246" s="1557"/>
      <c r="BE3246" s="1557"/>
      <c r="BF3246" s="1557"/>
      <c r="BG3246" s="1557"/>
      <c r="BH3246" s="1557"/>
      <c r="BI3246" s="1557"/>
      <c r="BJ3246" s="1557"/>
      <c r="BK3246" s="1557"/>
      <c r="BL3246" s="1557"/>
      <c r="BM3246" s="1557"/>
      <c r="BN3246" s="1557"/>
      <c r="BO3246" s="1557"/>
      <c r="BP3246" s="1557"/>
      <c r="BQ3246" s="1557"/>
      <c r="BR3246" s="1557"/>
      <c r="BS3246" s="1557"/>
      <c r="BT3246" s="1557"/>
      <c r="BU3246" s="1557"/>
      <c r="BV3246" s="1557"/>
      <c r="BW3246" s="1557"/>
      <c r="BX3246" s="1557"/>
      <c r="BY3246" s="1557"/>
      <c r="BZ3246" s="1558"/>
      <c r="CA3246" s="142"/>
      <c r="CB3246" s="3" t="str">
        <f t="shared" si="590"/>
        <v>Riadok bude skrytý.</v>
      </c>
      <c r="CC3246" s="271" t="s">
        <v>832</v>
      </c>
      <c r="CW3246" s="30">
        <f t="shared" si="593"/>
        <v>0</v>
      </c>
      <c r="CZ3246" s="30">
        <f t="shared" si="591"/>
        <v>1</v>
      </c>
      <c r="DA3246" s="30">
        <f t="shared" si="596"/>
        <v>0</v>
      </c>
      <c r="DB3246" s="140">
        <f t="shared" si="587"/>
        <v>0</v>
      </c>
      <c r="DS3246" s="130">
        <f>SI!BY3246</f>
        <v>169</v>
      </c>
      <c r="DZ3246" s="131">
        <f>SI!BZ3246</f>
        <v>0</v>
      </c>
    </row>
    <row r="3247" spans="1:130" ht="14.95" hidden="1" customHeight="1" x14ac:dyDescent="0.25">
      <c r="A3247" s="141"/>
      <c r="B3247" s="1532" t="s">
        <v>977</v>
      </c>
      <c r="C3247" s="1533"/>
      <c r="D3247" s="1533"/>
      <c r="E3247" s="1533"/>
      <c r="F3247" s="1533"/>
      <c r="G3247" s="1533"/>
      <c r="H3247" s="1533"/>
      <c r="I3247" s="1533"/>
      <c r="J3247" s="1533"/>
      <c r="K3247" s="1533"/>
      <c r="L3247" s="1533"/>
      <c r="M3247" s="1533"/>
      <c r="N3247" s="1533"/>
      <c r="O3247" s="1533"/>
      <c r="P3247" s="1533"/>
      <c r="Q3247" s="1533"/>
      <c r="R3247" s="1533"/>
      <c r="S3247" s="1533"/>
      <c r="T3247" s="1533"/>
      <c r="U3247" s="1533"/>
      <c r="V3247" s="1533"/>
      <c r="W3247" s="1533"/>
      <c r="X3247" s="1533"/>
      <c r="Y3247" s="1533"/>
      <c r="Z3247" s="1533"/>
      <c r="AA3247" s="1533"/>
      <c r="AB3247" s="1533"/>
      <c r="AC3247" s="1533"/>
      <c r="AD3247" s="1533"/>
      <c r="AE3247" s="1533"/>
      <c r="AF3247" s="1533"/>
      <c r="AG3247" s="1533"/>
      <c r="AH3247" s="1533"/>
      <c r="AI3247" s="1533"/>
      <c r="AJ3247" s="1533"/>
      <c r="AK3247" s="364"/>
      <c r="AL3247" s="364"/>
      <c r="AM3247" s="364"/>
      <c r="AN3247" s="364"/>
      <c r="AO3247" s="364"/>
      <c r="AP3247" s="364"/>
      <c r="AQ3247" s="364"/>
      <c r="AR3247" s="364"/>
      <c r="AS3247" s="364"/>
      <c r="AT3247" s="364"/>
      <c r="AU3247" s="364"/>
      <c r="AV3247" s="364"/>
      <c r="AW3247" s="364"/>
      <c r="AX3247" s="364"/>
      <c r="AY3247" s="364"/>
      <c r="AZ3247" s="364"/>
      <c r="BA3247" s="364"/>
      <c r="BB3247" s="364"/>
      <c r="BC3247" s="364"/>
      <c r="BD3247" s="364"/>
      <c r="BE3247" s="364"/>
      <c r="BF3247" s="364"/>
      <c r="BG3247" s="364"/>
      <c r="BH3247" s="364"/>
      <c r="BI3247" s="364"/>
      <c r="BJ3247" s="364"/>
      <c r="BK3247" s="364"/>
      <c r="BL3247" s="364"/>
      <c r="BM3247" s="364"/>
      <c r="BN3247" s="364"/>
      <c r="BO3247" s="364"/>
      <c r="BP3247" s="364"/>
      <c r="BQ3247" s="364"/>
      <c r="BR3247" s="364"/>
      <c r="BS3247" s="364"/>
      <c r="BT3247" s="364"/>
      <c r="BU3247" s="364"/>
      <c r="BV3247" s="364"/>
      <c r="BW3247" s="364"/>
      <c r="BX3247" s="364"/>
      <c r="BY3247" s="364"/>
      <c r="BZ3247" s="387"/>
      <c r="CA3247" s="142"/>
      <c r="CB3247" s="3" t="str">
        <f t="shared" si="590"/>
        <v>Riadok bude skrytý.</v>
      </c>
      <c r="CC3247" s="271" t="s">
        <v>832</v>
      </c>
      <c r="CW3247" s="30">
        <f t="shared" si="593"/>
        <v>0</v>
      </c>
      <c r="CZ3247" s="30">
        <f t="shared" si="591"/>
        <v>1</v>
      </c>
      <c r="DA3247" s="30">
        <f t="shared" si="596"/>
        <v>0</v>
      </c>
      <c r="DB3247" s="140">
        <f t="shared" si="587"/>
        <v>0</v>
      </c>
      <c r="DS3247" s="130">
        <f>SI!BY3247</f>
        <v>188</v>
      </c>
      <c r="DZ3247" s="131">
        <f>SI!BZ3247</f>
        <v>0</v>
      </c>
    </row>
    <row r="3248" spans="1:130" ht="14.95" hidden="1" customHeight="1" x14ac:dyDescent="0.25">
      <c r="A3248" s="141"/>
      <c r="B3248" s="1532" t="s">
        <v>981</v>
      </c>
      <c r="C3248" s="1533"/>
      <c r="D3248" s="1533"/>
      <c r="E3248" s="1533"/>
      <c r="F3248" s="1533"/>
      <c r="G3248" s="1533"/>
      <c r="H3248" s="1533"/>
      <c r="I3248" s="1533"/>
      <c r="J3248" s="1533"/>
      <c r="K3248" s="1533"/>
      <c r="L3248" s="1533"/>
      <c r="M3248" s="1533"/>
      <c r="N3248" s="1533"/>
      <c r="O3248" s="1533"/>
      <c r="P3248" s="1533"/>
      <c r="Q3248" s="1533"/>
      <c r="R3248" s="1533"/>
      <c r="S3248" s="1533"/>
      <c r="T3248" s="1533"/>
      <c r="U3248" s="1533"/>
      <c r="V3248" s="1533"/>
      <c r="W3248" s="1533"/>
      <c r="X3248" s="1533"/>
      <c r="Y3248" s="1533"/>
      <c r="Z3248" s="1533"/>
      <c r="AA3248" s="1533"/>
      <c r="AB3248" s="1533"/>
      <c r="AC3248" s="1533"/>
      <c r="AD3248" s="1533"/>
      <c r="AE3248" s="1533"/>
      <c r="AF3248" s="1533"/>
      <c r="AG3248" s="1533"/>
      <c r="AH3248" s="1533"/>
      <c r="AI3248" s="1533"/>
      <c r="AJ3248" s="1533"/>
      <c r="AK3248" s="364"/>
      <c r="AL3248" s="364"/>
      <c r="AM3248" s="364"/>
      <c r="AN3248" s="364"/>
      <c r="AO3248" s="364"/>
      <c r="AP3248" s="364"/>
      <c r="AQ3248" s="364"/>
      <c r="AR3248" s="364"/>
      <c r="AS3248" s="364"/>
      <c r="AT3248" s="364"/>
      <c r="AU3248" s="364"/>
      <c r="AV3248" s="364"/>
      <c r="AW3248" s="364"/>
      <c r="AX3248" s="364"/>
      <c r="AY3248" s="364"/>
      <c r="AZ3248" s="364"/>
      <c r="BA3248" s="364"/>
      <c r="BB3248" s="364"/>
      <c r="BC3248" s="364"/>
      <c r="BD3248" s="364"/>
      <c r="BE3248" s="364"/>
      <c r="BF3248" s="364"/>
      <c r="BG3248" s="364"/>
      <c r="BH3248" s="364"/>
      <c r="BI3248" s="364"/>
      <c r="BJ3248" s="364"/>
      <c r="BK3248" s="364"/>
      <c r="BL3248" s="364"/>
      <c r="BM3248" s="364"/>
      <c r="BN3248" s="364"/>
      <c r="BO3248" s="364"/>
      <c r="BP3248" s="364"/>
      <c r="BQ3248" s="364"/>
      <c r="BR3248" s="364"/>
      <c r="BS3248" s="364"/>
      <c r="BT3248" s="364"/>
      <c r="BU3248" s="364"/>
      <c r="BV3248" s="364"/>
      <c r="BW3248" s="364"/>
      <c r="BX3248" s="364"/>
      <c r="BY3248" s="364"/>
      <c r="BZ3248" s="387"/>
      <c r="CA3248" s="142"/>
      <c r="CB3248" s="3" t="str">
        <f t="shared" si="590"/>
        <v>Riadok bude skrytý.</v>
      </c>
      <c r="CC3248" s="271" t="s">
        <v>832</v>
      </c>
      <c r="CW3248" s="30">
        <f t="shared" si="593"/>
        <v>0</v>
      </c>
      <c r="CZ3248" s="30">
        <f t="shared" si="591"/>
        <v>1</v>
      </c>
      <c r="DA3248" s="30">
        <f t="shared" si="596"/>
        <v>0</v>
      </c>
      <c r="DB3248" s="140">
        <f t="shared" ref="DB3248:DB3253" si="597">+DA3248</f>
        <v>0</v>
      </c>
      <c r="DS3248" s="130">
        <f>SI!BY3248</f>
        <v>629</v>
      </c>
      <c r="DZ3248" s="131">
        <f>SI!BZ3248</f>
        <v>0</v>
      </c>
    </row>
    <row r="3249" spans="1:130" ht="14.95" hidden="1" customHeight="1" x14ac:dyDescent="0.25">
      <c r="A3249" s="141"/>
      <c r="B3249" s="1532" t="s">
        <v>978</v>
      </c>
      <c r="C3249" s="1533"/>
      <c r="D3249" s="1533"/>
      <c r="E3249" s="1533"/>
      <c r="F3249" s="1533"/>
      <c r="G3249" s="1533"/>
      <c r="H3249" s="1533"/>
      <c r="I3249" s="1533"/>
      <c r="J3249" s="1533"/>
      <c r="K3249" s="1533"/>
      <c r="L3249" s="1533"/>
      <c r="M3249" s="1533"/>
      <c r="N3249" s="1533"/>
      <c r="O3249" s="1533"/>
      <c r="P3249" s="1533"/>
      <c r="Q3249" s="1533"/>
      <c r="R3249" s="1533"/>
      <c r="S3249" s="1533"/>
      <c r="T3249" s="1533"/>
      <c r="U3249" s="1533"/>
      <c r="V3249" s="1533"/>
      <c r="W3249" s="1533"/>
      <c r="X3249" s="1533"/>
      <c r="Y3249" s="1533"/>
      <c r="Z3249" s="1533"/>
      <c r="AA3249" s="1533"/>
      <c r="AB3249" s="1533"/>
      <c r="AC3249" s="1533"/>
      <c r="AD3249" s="1533"/>
      <c r="AE3249" s="1533"/>
      <c r="AF3249" s="1533"/>
      <c r="AG3249" s="1533"/>
      <c r="AH3249" s="1533"/>
      <c r="AI3249" s="1533"/>
      <c r="AJ3249" s="1533"/>
      <c r="AK3249" s="364"/>
      <c r="AL3249" s="364"/>
      <c r="AM3249" s="364"/>
      <c r="AN3249" s="364"/>
      <c r="AO3249" s="364"/>
      <c r="AP3249" s="364"/>
      <c r="AQ3249" s="364"/>
      <c r="AR3249" s="364"/>
      <c r="AS3249" s="364"/>
      <c r="AT3249" s="364"/>
      <c r="AU3249" s="364"/>
      <c r="AV3249" s="364"/>
      <c r="AW3249" s="364"/>
      <c r="AX3249" s="364"/>
      <c r="AY3249" s="364"/>
      <c r="AZ3249" s="364"/>
      <c r="BA3249" s="364"/>
      <c r="BB3249" s="364"/>
      <c r="BC3249" s="364"/>
      <c r="BD3249" s="364"/>
      <c r="BE3249" s="364"/>
      <c r="BF3249" s="364"/>
      <c r="BG3249" s="364"/>
      <c r="BH3249" s="364"/>
      <c r="BI3249" s="364"/>
      <c r="BJ3249" s="364"/>
      <c r="BK3249" s="364"/>
      <c r="BL3249" s="364"/>
      <c r="BM3249" s="364"/>
      <c r="BN3249" s="364"/>
      <c r="BO3249" s="364"/>
      <c r="BP3249" s="364"/>
      <c r="BQ3249" s="364"/>
      <c r="BR3249" s="364"/>
      <c r="BS3249" s="364"/>
      <c r="BT3249" s="364"/>
      <c r="BU3249" s="364"/>
      <c r="BV3249" s="364"/>
      <c r="BW3249" s="364"/>
      <c r="BX3249" s="364"/>
      <c r="BY3249" s="364"/>
      <c r="BZ3249" s="387"/>
      <c r="CA3249" s="142"/>
      <c r="CB3249" s="3" t="str">
        <f t="shared" si="590"/>
        <v>Riadok bude skrytý.</v>
      </c>
      <c r="CC3249" s="271" t="s">
        <v>832</v>
      </c>
      <c r="CW3249" s="30">
        <f t="shared" si="593"/>
        <v>0</v>
      </c>
      <c r="CZ3249" s="30">
        <f t="shared" si="591"/>
        <v>1</v>
      </c>
      <c r="DA3249" s="30">
        <f t="shared" si="596"/>
        <v>0</v>
      </c>
      <c r="DB3249" s="140">
        <f t="shared" si="597"/>
        <v>0</v>
      </c>
      <c r="DS3249" s="130">
        <f>SI!BY3249</f>
        <v>204</v>
      </c>
      <c r="DZ3249" s="131">
        <f>SI!BZ3249</f>
        <v>0</v>
      </c>
    </row>
    <row r="3250" spans="1:130" ht="14.95" hidden="1" customHeight="1" x14ac:dyDescent="0.25">
      <c r="A3250" s="141"/>
      <c r="B3250" s="1532" t="s">
        <v>979</v>
      </c>
      <c r="C3250" s="1533"/>
      <c r="D3250" s="1533"/>
      <c r="E3250" s="1533"/>
      <c r="F3250" s="1533"/>
      <c r="G3250" s="1533"/>
      <c r="H3250" s="1533"/>
      <c r="I3250" s="1533"/>
      <c r="J3250" s="1533"/>
      <c r="K3250" s="1533"/>
      <c r="L3250" s="1533"/>
      <c r="M3250" s="1533"/>
      <c r="N3250" s="1533"/>
      <c r="O3250" s="1533"/>
      <c r="P3250" s="1533"/>
      <c r="Q3250" s="1533"/>
      <c r="R3250" s="1533"/>
      <c r="S3250" s="1533"/>
      <c r="T3250" s="1533"/>
      <c r="U3250" s="1533"/>
      <c r="V3250" s="1533"/>
      <c r="W3250" s="1533"/>
      <c r="X3250" s="1533"/>
      <c r="Y3250" s="1533"/>
      <c r="Z3250" s="1533"/>
      <c r="AA3250" s="1533"/>
      <c r="AB3250" s="1533"/>
      <c r="AC3250" s="1533"/>
      <c r="AD3250" s="1533"/>
      <c r="AE3250" s="1533"/>
      <c r="AF3250" s="1533"/>
      <c r="AG3250" s="1533"/>
      <c r="AH3250" s="1533"/>
      <c r="AI3250" s="1533"/>
      <c r="AJ3250" s="1533"/>
      <c r="AK3250" s="364"/>
      <c r="AL3250" s="364"/>
      <c r="AM3250" s="364"/>
      <c r="AN3250" s="364"/>
      <c r="AO3250" s="364"/>
      <c r="AP3250" s="364"/>
      <c r="AQ3250" s="364"/>
      <c r="AR3250" s="364"/>
      <c r="AS3250" s="364"/>
      <c r="AT3250" s="364"/>
      <c r="AU3250" s="364"/>
      <c r="AV3250" s="364"/>
      <c r="AW3250" s="364"/>
      <c r="AX3250" s="364"/>
      <c r="AY3250" s="364"/>
      <c r="AZ3250" s="364"/>
      <c r="BA3250" s="364"/>
      <c r="BB3250" s="364"/>
      <c r="BC3250" s="364"/>
      <c r="BD3250" s="364"/>
      <c r="BE3250" s="364"/>
      <c r="BF3250" s="364"/>
      <c r="BG3250" s="364"/>
      <c r="BH3250" s="364"/>
      <c r="BI3250" s="364"/>
      <c r="BJ3250" s="364"/>
      <c r="BK3250" s="364"/>
      <c r="BL3250" s="364"/>
      <c r="BM3250" s="364"/>
      <c r="BN3250" s="364"/>
      <c r="BO3250" s="364"/>
      <c r="BP3250" s="364"/>
      <c r="BQ3250" s="364"/>
      <c r="BR3250" s="364"/>
      <c r="BS3250" s="364"/>
      <c r="BT3250" s="364"/>
      <c r="BU3250" s="364"/>
      <c r="BV3250" s="364"/>
      <c r="BW3250" s="364"/>
      <c r="BX3250" s="364"/>
      <c r="BY3250" s="364"/>
      <c r="BZ3250" s="387"/>
      <c r="CA3250" s="142"/>
      <c r="CB3250" s="3" t="str">
        <f t="shared" si="590"/>
        <v>Riadok bude skrytý.</v>
      </c>
      <c r="CC3250" s="271" t="s">
        <v>832</v>
      </c>
      <c r="CW3250" s="30">
        <f t="shared" si="593"/>
        <v>0</v>
      </c>
      <c r="CZ3250" s="30">
        <f t="shared" si="591"/>
        <v>1</v>
      </c>
      <c r="DA3250" s="30">
        <f t="shared" si="596"/>
        <v>0</v>
      </c>
      <c r="DB3250" s="140">
        <f t="shared" si="597"/>
        <v>0</v>
      </c>
      <c r="DS3250" s="130">
        <f>SI!BY3250</f>
        <v>1121</v>
      </c>
      <c r="DZ3250" s="131">
        <f>SI!BZ3250</f>
        <v>0</v>
      </c>
    </row>
    <row r="3251" spans="1:130" ht="14.95" hidden="1" customHeight="1" x14ac:dyDescent="0.25">
      <c r="A3251" s="141"/>
      <c r="B3251" s="1534" t="s">
        <v>980</v>
      </c>
      <c r="C3251" s="1535"/>
      <c r="D3251" s="1535"/>
      <c r="E3251" s="1535"/>
      <c r="F3251" s="1535"/>
      <c r="G3251" s="1535"/>
      <c r="H3251" s="1535"/>
      <c r="I3251" s="1535"/>
      <c r="J3251" s="1535"/>
      <c r="K3251" s="1535"/>
      <c r="L3251" s="1535"/>
      <c r="M3251" s="1535"/>
      <c r="N3251" s="1535"/>
      <c r="O3251" s="1535"/>
      <c r="P3251" s="1535"/>
      <c r="Q3251" s="1535"/>
      <c r="R3251" s="1535"/>
      <c r="S3251" s="1535"/>
      <c r="T3251" s="1535"/>
      <c r="U3251" s="1535"/>
      <c r="V3251" s="1535"/>
      <c r="W3251" s="1535"/>
      <c r="X3251" s="1535"/>
      <c r="Y3251" s="1535"/>
      <c r="Z3251" s="1535"/>
      <c r="AA3251" s="1535"/>
      <c r="AB3251" s="1535"/>
      <c r="AC3251" s="1535"/>
      <c r="AD3251" s="1535"/>
      <c r="AE3251" s="1535"/>
      <c r="AF3251" s="1535"/>
      <c r="AG3251" s="1535"/>
      <c r="AH3251" s="1535"/>
      <c r="AI3251" s="1535"/>
      <c r="AJ3251" s="1535"/>
      <c r="AK3251" s="368"/>
      <c r="AL3251" s="368"/>
      <c r="AM3251" s="368"/>
      <c r="AN3251" s="368"/>
      <c r="AO3251" s="368"/>
      <c r="AP3251" s="368"/>
      <c r="AQ3251" s="368"/>
      <c r="AR3251" s="368"/>
      <c r="AS3251" s="368"/>
      <c r="AT3251" s="368"/>
      <c r="AU3251" s="368"/>
      <c r="AV3251" s="368"/>
      <c r="AW3251" s="368"/>
      <c r="AX3251" s="368"/>
      <c r="AY3251" s="368"/>
      <c r="AZ3251" s="368"/>
      <c r="BA3251" s="368"/>
      <c r="BB3251" s="368"/>
      <c r="BC3251" s="368"/>
      <c r="BD3251" s="368"/>
      <c r="BE3251" s="368"/>
      <c r="BF3251" s="368"/>
      <c r="BG3251" s="368"/>
      <c r="BH3251" s="368"/>
      <c r="BI3251" s="368"/>
      <c r="BJ3251" s="368"/>
      <c r="BK3251" s="368"/>
      <c r="BL3251" s="368"/>
      <c r="BM3251" s="368"/>
      <c r="BN3251" s="368"/>
      <c r="BO3251" s="368"/>
      <c r="BP3251" s="368"/>
      <c r="BQ3251" s="368"/>
      <c r="BR3251" s="368"/>
      <c r="BS3251" s="368"/>
      <c r="BT3251" s="368"/>
      <c r="BU3251" s="368"/>
      <c r="BV3251" s="368"/>
      <c r="BW3251" s="368"/>
      <c r="BX3251" s="368"/>
      <c r="BY3251" s="368"/>
      <c r="BZ3251" s="438"/>
      <c r="CA3251" s="142"/>
      <c r="CB3251" s="3" t="str">
        <f t="shared" ref="CB3251:CB3314" si="598">+IF(DB3251=0,"Riadok bude skrytý.","Riadok bude vidieť.")</f>
        <v>Riadok bude skrytý.</v>
      </c>
      <c r="CC3251" s="271" t="s">
        <v>832</v>
      </c>
      <c r="CW3251" s="30">
        <f t="shared" si="593"/>
        <v>0</v>
      </c>
      <c r="CZ3251" s="30">
        <f t="shared" si="591"/>
        <v>1</v>
      </c>
      <c r="DA3251" s="30">
        <f t="shared" si="596"/>
        <v>0</v>
      </c>
      <c r="DB3251" s="140">
        <f t="shared" si="597"/>
        <v>0</v>
      </c>
      <c r="DS3251" s="130">
        <f>SI!BY3251</f>
        <v>141</v>
      </c>
      <c r="DZ3251" s="131">
        <f>SI!BZ3251</f>
        <v>0</v>
      </c>
    </row>
    <row r="3252" spans="1:130" ht="24.8" hidden="1" customHeight="1" thickBot="1" x14ac:dyDescent="0.25">
      <c r="A3252" s="141"/>
      <c r="B3252" s="538" t="s">
        <v>975</v>
      </c>
      <c r="C3252" s="539"/>
      <c r="D3252" s="539"/>
      <c r="E3252" s="539"/>
      <c r="F3252" s="539"/>
      <c r="G3252" s="539"/>
      <c r="H3252" s="539"/>
      <c r="I3252" s="539"/>
      <c r="J3252" s="539"/>
      <c r="K3252" s="539"/>
      <c r="L3252" s="539"/>
      <c r="M3252" s="539"/>
      <c r="N3252" s="539"/>
      <c r="O3252" s="539"/>
      <c r="P3252" s="539"/>
      <c r="Q3252" s="539"/>
      <c r="R3252" s="539"/>
      <c r="S3252" s="539"/>
      <c r="T3252" s="539"/>
      <c r="U3252" s="539"/>
      <c r="V3252" s="539"/>
      <c r="W3252" s="539"/>
      <c r="X3252" s="539"/>
      <c r="Y3252" s="539"/>
      <c r="Z3252" s="539"/>
      <c r="AA3252" s="539"/>
      <c r="AB3252" s="539"/>
      <c r="AC3252" s="539"/>
      <c r="AD3252" s="539"/>
      <c r="AE3252" s="539"/>
      <c r="AF3252" s="539"/>
      <c r="AG3252" s="539"/>
      <c r="AH3252" s="539"/>
      <c r="AI3252" s="539"/>
      <c r="AJ3252" s="539"/>
      <c r="AK3252" s="540"/>
      <c r="AL3252" s="540"/>
      <c r="AM3252" s="540"/>
      <c r="AN3252" s="540"/>
      <c r="AO3252" s="540"/>
      <c r="AP3252" s="540"/>
      <c r="AQ3252" s="540"/>
      <c r="AR3252" s="540"/>
      <c r="AS3252" s="540"/>
      <c r="AT3252" s="540"/>
      <c r="AU3252" s="540"/>
      <c r="AV3252" s="540"/>
      <c r="AW3252" s="540"/>
      <c r="AX3252" s="540"/>
      <c r="AY3252" s="540"/>
      <c r="AZ3252" s="540"/>
      <c r="BA3252" s="540"/>
      <c r="BB3252" s="540"/>
      <c r="BC3252" s="540"/>
      <c r="BD3252" s="540"/>
      <c r="BE3252" s="540"/>
      <c r="BF3252" s="540"/>
      <c r="BG3252" s="540"/>
      <c r="BH3252" s="540"/>
      <c r="BI3252" s="540"/>
      <c r="BJ3252" s="540"/>
      <c r="BK3252" s="540"/>
      <c r="BL3252" s="540"/>
      <c r="BM3252" s="540"/>
      <c r="BN3252" s="540"/>
      <c r="BO3252" s="540"/>
      <c r="BP3252" s="540"/>
      <c r="BQ3252" s="540"/>
      <c r="BR3252" s="540"/>
      <c r="BS3252" s="540"/>
      <c r="BT3252" s="540"/>
      <c r="BU3252" s="540"/>
      <c r="BV3252" s="540"/>
      <c r="BW3252" s="540"/>
      <c r="BX3252" s="540"/>
      <c r="BY3252" s="540"/>
      <c r="BZ3252" s="1100"/>
      <c r="CA3252" s="142"/>
      <c r="CB3252" s="3" t="str">
        <f t="shared" si="598"/>
        <v>Riadok bude skrytý.</v>
      </c>
      <c r="CC3252" s="271" t="s">
        <v>832</v>
      </c>
      <c r="CW3252" s="30">
        <f t="shared" si="593"/>
        <v>0</v>
      </c>
      <c r="CZ3252" s="30">
        <f t="shared" si="591"/>
        <v>1</v>
      </c>
      <c r="DA3252" s="30">
        <f t="shared" si="596"/>
        <v>0</v>
      </c>
      <c r="DB3252" s="140">
        <f t="shared" si="597"/>
        <v>0</v>
      </c>
      <c r="DS3252" s="130">
        <f>SI!BY3252</f>
        <v>0</v>
      </c>
      <c r="DZ3252" s="131">
        <f>SI!BZ3252</f>
        <v>0</v>
      </c>
    </row>
    <row r="3253" spans="1:130" x14ac:dyDescent="0.25">
      <c r="A3253" s="141"/>
      <c r="CA3253" s="142"/>
      <c r="CB3253" s="3" t="str">
        <f t="shared" si="598"/>
        <v>Riadok bude vidieť.</v>
      </c>
      <c r="CW3253" s="49">
        <v>1</v>
      </c>
      <c r="CZ3253" s="30">
        <f t="shared" si="591"/>
        <v>1</v>
      </c>
      <c r="DA3253" s="30">
        <f t="shared" si="596"/>
        <v>1</v>
      </c>
      <c r="DB3253" s="140">
        <f t="shared" si="597"/>
        <v>1</v>
      </c>
      <c r="DS3253" s="130">
        <f>SI!BY3253</f>
        <v>199</v>
      </c>
      <c r="DZ3253" s="131">
        <f>SI!BZ3253</f>
        <v>0</v>
      </c>
    </row>
    <row r="3254" spans="1:130" ht="17" hidden="1" thickBot="1" x14ac:dyDescent="0.35">
      <c r="A3254" s="141"/>
      <c r="B3254" s="21"/>
      <c r="C3254" s="268"/>
      <c r="D3254" s="268"/>
      <c r="E3254" s="22" t="s">
        <v>422</v>
      </c>
      <c r="F3254" s="268"/>
      <c r="G3254" s="125"/>
      <c r="H3254" s="22"/>
      <c r="I3254" s="268"/>
      <c r="J3254" s="268"/>
      <c r="K3254" s="268"/>
      <c r="L3254" s="268"/>
      <c r="M3254" s="268"/>
      <c r="N3254" s="268"/>
      <c r="O3254" s="268"/>
      <c r="P3254" s="268"/>
      <c r="Q3254" s="268"/>
      <c r="R3254" s="268"/>
      <c r="S3254" s="268"/>
      <c r="T3254" s="268"/>
      <c r="U3254" s="268"/>
      <c r="V3254" s="268"/>
      <c r="W3254" s="268"/>
      <c r="X3254" s="268"/>
      <c r="Y3254" s="268"/>
      <c r="Z3254" s="268"/>
      <c r="AA3254" s="268"/>
      <c r="AB3254" s="268"/>
      <c r="AC3254" s="268"/>
      <c r="AD3254" s="268"/>
      <c r="AE3254" s="268"/>
      <c r="AF3254" s="268"/>
      <c r="AG3254" s="268"/>
      <c r="AH3254" s="268"/>
      <c r="AI3254" s="268"/>
      <c r="AJ3254" s="268"/>
      <c r="AK3254" s="268"/>
      <c r="AL3254" s="268"/>
      <c r="AM3254" s="268"/>
      <c r="AN3254" s="268"/>
      <c r="AO3254" s="268"/>
      <c r="AP3254" s="268"/>
      <c r="AQ3254" s="268"/>
      <c r="AR3254" s="268"/>
      <c r="AS3254" s="268"/>
      <c r="AT3254" s="268"/>
      <c r="AU3254" s="268"/>
      <c r="AV3254" s="268"/>
      <c r="AW3254" s="268"/>
      <c r="AX3254" s="268"/>
      <c r="AY3254" s="268"/>
      <c r="AZ3254" s="268"/>
      <c r="BA3254" s="268"/>
      <c r="BB3254" s="268"/>
      <c r="BC3254" s="268"/>
      <c r="BD3254" s="268"/>
      <c r="BE3254" s="268"/>
      <c r="BF3254" s="268"/>
      <c r="BG3254" s="268"/>
      <c r="BH3254" s="268"/>
      <c r="BI3254" s="268"/>
      <c r="BJ3254" s="268"/>
      <c r="BK3254" s="268"/>
      <c r="BL3254" s="268"/>
      <c r="BM3254" s="268"/>
      <c r="BN3254" s="268"/>
      <c r="BO3254" s="268"/>
      <c r="BP3254" s="268"/>
      <c r="BQ3254" s="268"/>
      <c r="BR3254" s="268"/>
      <c r="BS3254" s="268"/>
      <c r="BT3254" s="268"/>
      <c r="BU3254" s="268"/>
      <c r="BV3254" s="268"/>
      <c r="BW3254" s="268"/>
      <c r="BX3254" s="268"/>
      <c r="BY3254" s="268"/>
      <c r="BZ3254" s="269"/>
      <c r="CA3254" s="265" t="s">
        <v>773</v>
      </c>
      <c r="CB3254" s="3" t="str">
        <f t="shared" si="598"/>
        <v>Riadok bude skrytý.</v>
      </c>
      <c r="CC3254" s="271" t="s">
        <v>832</v>
      </c>
      <c r="CD3254" s="4"/>
      <c r="CW3254" s="49">
        <v>1</v>
      </c>
      <c r="CZ3254" s="30">
        <f t="shared" si="591"/>
        <v>1</v>
      </c>
      <c r="DA3254" s="30">
        <f t="shared" si="596"/>
        <v>1</v>
      </c>
      <c r="DB3254" s="2">
        <f t="shared" ref="DB3254:DB3317" si="599">+IF($CD$1="malé",0,DA3254)</f>
        <v>0</v>
      </c>
      <c r="DS3254" s="130">
        <f>SI!BY3254</f>
        <v>777</v>
      </c>
      <c r="DZ3254" s="131">
        <f>SI!BZ3254</f>
        <v>0</v>
      </c>
    </row>
    <row r="3255" spans="1:130" hidden="1" x14ac:dyDescent="0.25">
      <c r="A3255" s="141"/>
      <c r="CA3255" s="142"/>
      <c r="CB3255" s="3" t="str">
        <f t="shared" si="598"/>
        <v>Riadok bude skrytý.</v>
      </c>
      <c r="CC3255" s="271" t="s">
        <v>832</v>
      </c>
      <c r="CD3255" s="4"/>
      <c r="CW3255" s="49">
        <v>1</v>
      </c>
      <c r="CZ3255" s="30">
        <f t="shared" ref="CZ3255:CZ3318" si="600">IF(CC3255="",1,IF(CC3255="Chcem skryť riadok.",0,1))</f>
        <v>1</v>
      </c>
      <c r="DA3255" s="30">
        <f t="shared" si="596"/>
        <v>1</v>
      </c>
      <c r="DB3255" s="2">
        <f t="shared" si="599"/>
        <v>0</v>
      </c>
      <c r="DS3255" s="130">
        <f>SI!BY3255</f>
        <v>178</v>
      </c>
      <c r="DZ3255" s="131">
        <f>SI!BZ3255</f>
        <v>0</v>
      </c>
    </row>
    <row r="3256" spans="1:130" hidden="1" x14ac:dyDescent="0.25">
      <c r="A3256" s="141"/>
      <c r="B3256" s="137" t="s">
        <v>208</v>
      </c>
      <c r="J3256" s="378" t="s">
        <v>1011</v>
      </c>
      <c r="K3256" s="378"/>
      <c r="L3256" s="378"/>
      <c r="M3256" s="378"/>
      <c r="N3256" s="378"/>
      <c r="O3256" s="137" t="str">
        <f>+IF($E$52&lt;&gt;"",IF(ROUNDDOWN(CODE(MID($E$52,1,1))/10,0)*0+(LEN(SI!J2)+2)=DS3256,"v ekonomických vzťahoch so spriaznenými osobami.","NEPOVOLENÉ POUŽITIE!"),"NEPOVOLENÉ POUŽITIE!")</f>
        <v>v ekonomických vzťahoch so spriaznenými osobami.</v>
      </c>
      <c r="P3256" s="38"/>
      <c r="CA3256" s="142"/>
      <c r="CB3256" s="3" t="str">
        <f t="shared" si="598"/>
        <v>Riadok bude skrytý.</v>
      </c>
      <c r="CC3256" s="271" t="s">
        <v>832</v>
      </c>
      <c r="CD3256" s="4"/>
      <c r="CF3256" s="13"/>
      <c r="CW3256" s="49">
        <v>1</v>
      </c>
      <c r="CZ3256" s="30">
        <f t="shared" si="600"/>
        <v>1</v>
      </c>
      <c r="DA3256" s="30">
        <f t="shared" si="596"/>
        <v>1</v>
      </c>
      <c r="DB3256" s="2">
        <f t="shared" si="599"/>
        <v>0</v>
      </c>
      <c r="DS3256" s="130">
        <f>SI!BY3256</f>
        <v>15</v>
      </c>
      <c r="DZ3256" s="131">
        <f>SI!BZ3256</f>
        <v>0</v>
      </c>
    </row>
    <row r="3257" spans="1:130" hidden="1" x14ac:dyDescent="0.25">
      <c r="A3257" s="141"/>
      <c r="B3257" s="137" t="str">
        <f>+IF($M$52&lt;&gt;"",IF(SQRT(INT(FACT(DAY(24324))*FACT(DAY(24385))/576))=DS3257,IF(J3256="je","K ekonomickým vzťahom so spriaznenými osobami Spoločnosť uvádza:","Spoločnosť nemá pre túto časť poznámok obsahovú náplň."),"NEPOVOLENÉ POUŽITIE!"),"NEPOVOLENÉ POUŽITIE!")</f>
        <v>Spoločnosť nemá pre túto časť poznámok obsahovú náplň.</v>
      </c>
      <c r="CA3257" s="270"/>
      <c r="CB3257" s="3" t="str">
        <f t="shared" si="598"/>
        <v>Riadok bude skrytý.</v>
      </c>
      <c r="CC3257" s="271" t="s">
        <v>832</v>
      </c>
      <c r="CD3257" s="4"/>
      <c r="CW3257" s="30">
        <f>+IF($J$3256="nie je",1,1)</f>
        <v>1</v>
      </c>
      <c r="CZ3257" s="30">
        <f t="shared" si="600"/>
        <v>1</v>
      </c>
      <c r="DA3257" s="30">
        <f t="shared" si="596"/>
        <v>1</v>
      </c>
      <c r="DB3257" s="2">
        <f t="shared" si="599"/>
        <v>0</v>
      </c>
      <c r="DS3257" s="130">
        <f>SI!BY3257</f>
        <v>5</v>
      </c>
      <c r="DZ3257" s="131">
        <f>SI!BZ3257</f>
        <v>0</v>
      </c>
    </row>
    <row r="3258" spans="1:130" hidden="1" x14ac:dyDescent="0.25">
      <c r="A3258" s="141"/>
      <c r="B3258" s="379"/>
      <c r="C3258" s="379"/>
      <c r="D3258" s="379"/>
      <c r="E3258" s="379"/>
      <c r="F3258" s="379"/>
      <c r="G3258" s="379"/>
      <c r="H3258" s="379"/>
      <c r="I3258" s="379"/>
      <c r="J3258" s="379"/>
      <c r="K3258" s="379"/>
      <c r="L3258" s="379"/>
      <c r="M3258" s="379"/>
      <c r="N3258" s="379"/>
      <c r="O3258" s="379"/>
      <c r="P3258" s="379"/>
      <c r="Q3258" s="379"/>
      <c r="R3258" s="379"/>
      <c r="S3258" s="379"/>
      <c r="T3258" s="379"/>
      <c r="U3258" s="379"/>
      <c r="V3258" s="379"/>
      <c r="W3258" s="379"/>
      <c r="X3258" s="379"/>
      <c r="Y3258" s="379"/>
      <c r="Z3258" s="379"/>
      <c r="AA3258" s="379"/>
      <c r="AB3258" s="379"/>
      <c r="AC3258" s="379"/>
      <c r="AD3258" s="379"/>
      <c r="AE3258" s="379"/>
      <c r="AF3258" s="379"/>
      <c r="AG3258" s="379"/>
      <c r="AH3258" s="379"/>
      <c r="AI3258" s="379"/>
      <c r="AJ3258" s="379"/>
      <c r="AK3258" s="379"/>
      <c r="AL3258" s="379"/>
      <c r="AM3258" s="379"/>
      <c r="AN3258" s="379"/>
      <c r="AO3258" s="379"/>
      <c r="AP3258" s="379"/>
      <c r="AQ3258" s="379"/>
      <c r="AR3258" s="379"/>
      <c r="AS3258" s="379"/>
      <c r="AT3258" s="379"/>
      <c r="AU3258" s="379"/>
      <c r="AV3258" s="379"/>
      <c r="AW3258" s="379"/>
      <c r="AX3258" s="379"/>
      <c r="AY3258" s="379"/>
      <c r="AZ3258" s="379"/>
      <c r="BA3258" s="379"/>
      <c r="BB3258" s="379"/>
      <c r="BC3258" s="379"/>
      <c r="BD3258" s="379"/>
      <c r="BE3258" s="379"/>
      <c r="BF3258" s="379"/>
      <c r="BG3258" s="379"/>
      <c r="BH3258" s="379"/>
      <c r="BI3258" s="379"/>
      <c r="BJ3258" s="379"/>
      <c r="BK3258" s="379"/>
      <c r="BL3258" s="379"/>
      <c r="BM3258" s="379"/>
      <c r="BN3258" s="379"/>
      <c r="BO3258" s="379"/>
      <c r="BP3258" s="379"/>
      <c r="BQ3258" s="379"/>
      <c r="BR3258" s="379"/>
      <c r="BS3258" s="379"/>
      <c r="BT3258" s="379"/>
      <c r="BU3258" s="379"/>
      <c r="BV3258" s="379"/>
      <c r="BW3258" s="379"/>
      <c r="BX3258" s="379"/>
      <c r="BY3258" s="379"/>
      <c r="BZ3258" s="379"/>
      <c r="CA3258" s="281"/>
      <c r="CB3258" s="3" t="str">
        <f t="shared" si="598"/>
        <v>Riadok bude skrytý.</v>
      </c>
      <c r="CC3258" s="271" t="s">
        <v>832</v>
      </c>
      <c r="CD3258" s="4"/>
      <c r="CW3258" s="30">
        <f t="shared" ref="CW3258:CW3289" si="601">+IF($J$3256="nie je",0,1)</f>
        <v>0</v>
      </c>
      <c r="CX3258" s="30">
        <f t="shared" ref="CX3258:CX3277" si="602">+IF(B3258="",0,1)</f>
        <v>0</v>
      </c>
      <c r="CZ3258" s="30">
        <f t="shared" si="600"/>
        <v>1</v>
      </c>
      <c r="DA3258" s="52">
        <f t="shared" ref="DA3258:DA3277" si="603">+IF(CW3258*CX3258=0,0,IF(CZ3258=0,0,1))</f>
        <v>0</v>
      </c>
      <c r="DB3258" s="2">
        <f t="shared" si="599"/>
        <v>0</v>
      </c>
      <c r="DS3258" s="130">
        <f>SI!BY3258</f>
        <v>112</v>
      </c>
      <c r="DZ3258" s="131">
        <f>SI!BZ3258</f>
        <v>0</v>
      </c>
    </row>
    <row r="3259" spans="1:130" hidden="1" x14ac:dyDescent="0.25">
      <c r="A3259" s="141"/>
      <c r="B3259" s="379"/>
      <c r="C3259" s="379"/>
      <c r="D3259" s="379"/>
      <c r="E3259" s="379"/>
      <c r="F3259" s="379"/>
      <c r="G3259" s="379"/>
      <c r="H3259" s="379"/>
      <c r="I3259" s="379"/>
      <c r="J3259" s="379"/>
      <c r="K3259" s="379"/>
      <c r="L3259" s="379"/>
      <c r="M3259" s="379"/>
      <c r="N3259" s="379"/>
      <c r="O3259" s="379"/>
      <c r="P3259" s="379"/>
      <c r="Q3259" s="379"/>
      <c r="R3259" s="379"/>
      <c r="S3259" s="379"/>
      <c r="T3259" s="379"/>
      <c r="U3259" s="379"/>
      <c r="V3259" s="379"/>
      <c r="W3259" s="379"/>
      <c r="X3259" s="379"/>
      <c r="Y3259" s="379"/>
      <c r="Z3259" s="379"/>
      <c r="AA3259" s="379"/>
      <c r="AB3259" s="379"/>
      <c r="AC3259" s="379"/>
      <c r="AD3259" s="379"/>
      <c r="AE3259" s="379"/>
      <c r="AF3259" s="379"/>
      <c r="AG3259" s="379"/>
      <c r="AH3259" s="379"/>
      <c r="AI3259" s="379"/>
      <c r="AJ3259" s="379"/>
      <c r="AK3259" s="379"/>
      <c r="AL3259" s="379"/>
      <c r="AM3259" s="379"/>
      <c r="AN3259" s="379"/>
      <c r="AO3259" s="379"/>
      <c r="AP3259" s="379"/>
      <c r="AQ3259" s="379"/>
      <c r="AR3259" s="379"/>
      <c r="AS3259" s="379"/>
      <c r="AT3259" s="379"/>
      <c r="AU3259" s="379"/>
      <c r="AV3259" s="379"/>
      <c r="AW3259" s="379"/>
      <c r="AX3259" s="379"/>
      <c r="AY3259" s="379"/>
      <c r="AZ3259" s="379"/>
      <c r="BA3259" s="379"/>
      <c r="BB3259" s="379"/>
      <c r="BC3259" s="379"/>
      <c r="BD3259" s="379"/>
      <c r="BE3259" s="379"/>
      <c r="BF3259" s="379"/>
      <c r="BG3259" s="379"/>
      <c r="BH3259" s="379"/>
      <c r="BI3259" s="379"/>
      <c r="BJ3259" s="379"/>
      <c r="BK3259" s="379"/>
      <c r="BL3259" s="379"/>
      <c r="BM3259" s="379"/>
      <c r="BN3259" s="379"/>
      <c r="BO3259" s="379"/>
      <c r="BP3259" s="379"/>
      <c r="BQ3259" s="379"/>
      <c r="BR3259" s="379"/>
      <c r="BS3259" s="379"/>
      <c r="BT3259" s="379"/>
      <c r="BU3259" s="379"/>
      <c r="BV3259" s="379"/>
      <c r="BW3259" s="379"/>
      <c r="BX3259" s="379"/>
      <c r="BY3259" s="379"/>
      <c r="BZ3259" s="379"/>
      <c r="CA3259" s="281"/>
      <c r="CB3259" s="3" t="str">
        <f t="shared" si="598"/>
        <v>Riadok bude skrytý.</v>
      </c>
      <c r="CC3259" s="271" t="s">
        <v>832</v>
      </c>
      <c r="CW3259" s="30">
        <f t="shared" si="601"/>
        <v>0</v>
      </c>
      <c r="CX3259" s="30">
        <f t="shared" si="602"/>
        <v>0</v>
      </c>
      <c r="CZ3259" s="30">
        <f t="shared" si="600"/>
        <v>1</v>
      </c>
      <c r="DA3259" s="52">
        <f t="shared" si="603"/>
        <v>0</v>
      </c>
      <c r="DB3259" s="2">
        <f t="shared" si="599"/>
        <v>0</v>
      </c>
      <c r="DS3259" s="130">
        <f>SI!BY3259</f>
        <v>109</v>
      </c>
      <c r="DZ3259" s="131">
        <f>SI!BZ3259</f>
        <v>0</v>
      </c>
    </row>
    <row r="3260" spans="1:130" hidden="1" x14ac:dyDescent="0.25">
      <c r="A3260" s="141"/>
      <c r="B3260" s="379"/>
      <c r="C3260" s="379"/>
      <c r="D3260" s="379"/>
      <c r="E3260" s="379"/>
      <c r="F3260" s="379"/>
      <c r="G3260" s="379"/>
      <c r="H3260" s="379"/>
      <c r="I3260" s="379"/>
      <c r="J3260" s="379"/>
      <c r="K3260" s="379"/>
      <c r="L3260" s="379"/>
      <c r="M3260" s="379"/>
      <c r="N3260" s="379"/>
      <c r="O3260" s="379"/>
      <c r="P3260" s="379"/>
      <c r="Q3260" s="379"/>
      <c r="R3260" s="379"/>
      <c r="S3260" s="379"/>
      <c r="T3260" s="379"/>
      <c r="U3260" s="379"/>
      <c r="V3260" s="379"/>
      <c r="W3260" s="379"/>
      <c r="X3260" s="379"/>
      <c r="Y3260" s="379"/>
      <c r="Z3260" s="379"/>
      <c r="AA3260" s="379"/>
      <c r="AB3260" s="379"/>
      <c r="AC3260" s="379"/>
      <c r="AD3260" s="379"/>
      <c r="AE3260" s="379"/>
      <c r="AF3260" s="379"/>
      <c r="AG3260" s="379"/>
      <c r="AH3260" s="379"/>
      <c r="AI3260" s="379"/>
      <c r="AJ3260" s="379"/>
      <c r="AK3260" s="379"/>
      <c r="AL3260" s="379"/>
      <c r="AM3260" s="379"/>
      <c r="AN3260" s="379"/>
      <c r="AO3260" s="379"/>
      <c r="AP3260" s="379"/>
      <c r="AQ3260" s="379"/>
      <c r="AR3260" s="379"/>
      <c r="AS3260" s="379"/>
      <c r="AT3260" s="379"/>
      <c r="AU3260" s="379"/>
      <c r="AV3260" s="379"/>
      <c r="AW3260" s="379"/>
      <c r="AX3260" s="379"/>
      <c r="AY3260" s="379"/>
      <c r="AZ3260" s="379"/>
      <c r="BA3260" s="379"/>
      <c r="BB3260" s="379"/>
      <c r="BC3260" s="379"/>
      <c r="BD3260" s="379"/>
      <c r="BE3260" s="379"/>
      <c r="BF3260" s="379"/>
      <c r="BG3260" s="379"/>
      <c r="BH3260" s="379"/>
      <c r="BI3260" s="379"/>
      <c r="BJ3260" s="379"/>
      <c r="BK3260" s="379"/>
      <c r="BL3260" s="379"/>
      <c r="BM3260" s="379"/>
      <c r="BN3260" s="379"/>
      <c r="BO3260" s="379"/>
      <c r="BP3260" s="379"/>
      <c r="BQ3260" s="379"/>
      <c r="BR3260" s="379"/>
      <c r="BS3260" s="379"/>
      <c r="BT3260" s="379"/>
      <c r="BU3260" s="379"/>
      <c r="BV3260" s="379"/>
      <c r="BW3260" s="379"/>
      <c r="BX3260" s="379"/>
      <c r="BY3260" s="379"/>
      <c r="BZ3260" s="379"/>
      <c r="CA3260" s="281"/>
      <c r="CB3260" s="3" t="str">
        <f t="shared" si="598"/>
        <v>Riadok bude skrytý.</v>
      </c>
      <c r="CC3260" s="271" t="s">
        <v>832</v>
      </c>
      <c r="CW3260" s="30">
        <f t="shared" si="601"/>
        <v>0</v>
      </c>
      <c r="CX3260" s="30">
        <f t="shared" si="602"/>
        <v>0</v>
      </c>
      <c r="CZ3260" s="30">
        <f t="shared" si="600"/>
        <v>1</v>
      </c>
      <c r="DA3260" s="52">
        <f t="shared" si="603"/>
        <v>0</v>
      </c>
      <c r="DB3260" s="2">
        <f t="shared" si="599"/>
        <v>0</v>
      </c>
      <c r="DS3260" s="130">
        <f>SI!BY3260</f>
        <v>101</v>
      </c>
      <c r="DZ3260" s="131">
        <f>SI!BZ3260</f>
        <v>0</v>
      </c>
    </row>
    <row r="3261" spans="1:130" hidden="1" x14ac:dyDescent="0.25">
      <c r="A3261" s="141"/>
      <c r="B3261" s="379"/>
      <c r="C3261" s="379"/>
      <c r="D3261" s="379"/>
      <c r="E3261" s="379"/>
      <c r="F3261" s="379"/>
      <c r="G3261" s="379"/>
      <c r="H3261" s="379"/>
      <c r="I3261" s="379"/>
      <c r="J3261" s="379"/>
      <c r="K3261" s="379"/>
      <c r="L3261" s="379"/>
      <c r="M3261" s="379"/>
      <c r="N3261" s="379"/>
      <c r="O3261" s="379"/>
      <c r="P3261" s="379"/>
      <c r="Q3261" s="379"/>
      <c r="R3261" s="379"/>
      <c r="S3261" s="379"/>
      <c r="T3261" s="379"/>
      <c r="U3261" s="379"/>
      <c r="V3261" s="379"/>
      <c r="W3261" s="379"/>
      <c r="X3261" s="379"/>
      <c r="Y3261" s="379"/>
      <c r="Z3261" s="379"/>
      <c r="AA3261" s="379"/>
      <c r="AB3261" s="379"/>
      <c r="AC3261" s="379"/>
      <c r="AD3261" s="379"/>
      <c r="AE3261" s="379"/>
      <c r="AF3261" s="379"/>
      <c r="AG3261" s="379"/>
      <c r="AH3261" s="379"/>
      <c r="AI3261" s="379"/>
      <c r="AJ3261" s="379"/>
      <c r="AK3261" s="379"/>
      <c r="AL3261" s="379"/>
      <c r="AM3261" s="379"/>
      <c r="AN3261" s="379"/>
      <c r="AO3261" s="379"/>
      <c r="AP3261" s="379"/>
      <c r="AQ3261" s="379"/>
      <c r="AR3261" s="379"/>
      <c r="AS3261" s="379"/>
      <c r="AT3261" s="379"/>
      <c r="AU3261" s="379"/>
      <c r="AV3261" s="379"/>
      <c r="AW3261" s="379"/>
      <c r="AX3261" s="379"/>
      <c r="AY3261" s="379"/>
      <c r="AZ3261" s="379"/>
      <c r="BA3261" s="379"/>
      <c r="BB3261" s="379"/>
      <c r="BC3261" s="379"/>
      <c r="BD3261" s="379"/>
      <c r="BE3261" s="379"/>
      <c r="BF3261" s="379"/>
      <c r="BG3261" s="379"/>
      <c r="BH3261" s="379"/>
      <c r="BI3261" s="379"/>
      <c r="BJ3261" s="379"/>
      <c r="BK3261" s="379"/>
      <c r="BL3261" s="379"/>
      <c r="BM3261" s="379"/>
      <c r="BN3261" s="379"/>
      <c r="BO3261" s="379"/>
      <c r="BP3261" s="379"/>
      <c r="BQ3261" s="379"/>
      <c r="BR3261" s="379"/>
      <c r="BS3261" s="379"/>
      <c r="BT3261" s="379"/>
      <c r="BU3261" s="379"/>
      <c r="BV3261" s="379"/>
      <c r="BW3261" s="379"/>
      <c r="BX3261" s="379"/>
      <c r="BY3261" s="379"/>
      <c r="BZ3261" s="379"/>
      <c r="CA3261" s="281"/>
      <c r="CB3261" s="3" t="str">
        <f t="shared" si="598"/>
        <v>Riadok bude skrytý.</v>
      </c>
      <c r="CC3261" s="271" t="s">
        <v>832</v>
      </c>
      <c r="CW3261" s="30">
        <f t="shared" si="601"/>
        <v>0</v>
      </c>
      <c r="CX3261" s="30">
        <f t="shared" si="602"/>
        <v>0</v>
      </c>
      <c r="CZ3261" s="30">
        <f t="shared" si="600"/>
        <v>1</v>
      </c>
      <c r="DA3261" s="52">
        <f t="shared" si="603"/>
        <v>0</v>
      </c>
      <c r="DB3261" s="2">
        <f t="shared" si="599"/>
        <v>0</v>
      </c>
      <c r="DS3261" s="130">
        <f>SI!BY3261</f>
        <v>121</v>
      </c>
      <c r="DZ3261" s="131">
        <f>SI!BZ3261</f>
        <v>0</v>
      </c>
    </row>
    <row r="3262" spans="1:130" hidden="1" x14ac:dyDescent="0.25">
      <c r="A3262" s="141"/>
      <c r="B3262" s="379"/>
      <c r="C3262" s="379"/>
      <c r="D3262" s="379"/>
      <c r="E3262" s="379"/>
      <c r="F3262" s="379"/>
      <c r="G3262" s="379"/>
      <c r="H3262" s="379"/>
      <c r="I3262" s="379"/>
      <c r="J3262" s="379"/>
      <c r="K3262" s="379"/>
      <c r="L3262" s="379"/>
      <c r="M3262" s="379"/>
      <c r="N3262" s="379"/>
      <c r="O3262" s="379"/>
      <c r="P3262" s="379"/>
      <c r="Q3262" s="379"/>
      <c r="R3262" s="379"/>
      <c r="S3262" s="379"/>
      <c r="T3262" s="379"/>
      <c r="U3262" s="379"/>
      <c r="V3262" s="379"/>
      <c r="W3262" s="379"/>
      <c r="X3262" s="379"/>
      <c r="Y3262" s="379"/>
      <c r="Z3262" s="379"/>
      <c r="AA3262" s="379"/>
      <c r="AB3262" s="379"/>
      <c r="AC3262" s="379"/>
      <c r="AD3262" s="379"/>
      <c r="AE3262" s="379"/>
      <c r="AF3262" s="379"/>
      <c r="AG3262" s="379"/>
      <c r="AH3262" s="379"/>
      <c r="AI3262" s="379"/>
      <c r="AJ3262" s="379"/>
      <c r="AK3262" s="379"/>
      <c r="AL3262" s="379"/>
      <c r="AM3262" s="379"/>
      <c r="AN3262" s="379"/>
      <c r="AO3262" s="379"/>
      <c r="AP3262" s="379"/>
      <c r="AQ3262" s="379"/>
      <c r="AR3262" s="379"/>
      <c r="AS3262" s="379"/>
      <c r="AT3262" s="379"/>
      <c r="AU3262" s="379"/>
      <c r="AV3262" s="379"/>
      <c r="AW3262" s="379"/>
      <c r="AX3262" s="379"/>
      <c r="AY3262" s="379"/>
      <c r="AZ3262" s="379"/>
      <c r="BA3262" s="379"/>
      <c r="BB3262" s="379"/>
      <c r="BC3262" s="379"/>
      <c r="BD3262" s="379"/>
      <c r="BE3262" s="379"/>
      <c r="BF3262" s="379"/>
      <c r="BG3262" s="379"/>
      <c r="BH3262" s="379"/>
      <c r="BI3262" s="379"/>
      <c r="BJ3262" s="379"/>
      <c r="BK3262" s="379"/>
      <c r="BL3262" s="379"/>
      <c r="BM3262" s="379"/>
      <c r="BN3262" s="379"/>
      <c r="BO3262" s="379"/>
      <c r="BP3262" s="379"/>
      <c r="BQ3262" s="379"/>
      <c r="BR3262" s="379"/>
      <c r="BS3262" s="379"/>
      <c r="BT3262" s="379"/>
      <c r="BU3262" s="379"/>
      <c r="BV3262" s="379"/>
      <c r="BW3262" s="379"/>
      <c r="BX3262" s="379"/>
      <c r="BY3262" s="379"/>
      <c r="BZ3262" s="379"/>
      <c r="CA3262" s="281"/>
      <c r="CB3262" s="3" t="str">
        <f t="shared" si="598"/>
        <v>Riadok bude skrytý.</v>
      </c>
      <c r="CC3262" s="271" t="s">
        <v>832</v>
      </c>
      <c r="CW3262" s="30">
        <f t="shared" si="601"/>
        <v>0</v>
      </c>
      <c r="CX3262" s="30">
        <f t="shared" si="602"/>
        <v>0</v>
      </c>
      <c r="CZ3262" s="30">
        <f t="shared" si="600"/>
        <v>1</v>
      </c>
      <c r="DA3262" s="52">
        <f t="shared" si="603"/>
        <v>0</v>
      </c>
      <c r="DB3262" s="2">
        <f t="shared" si="599"/>
        <v>0</v>
      </c>
      <c r="DS3262" s="130">
        <f>SI!BY3262</f>
        <v>108</v>
      </c>
      <c r="DZ3262" s="131">
        <f>SI!BZ3262</f>
        <v>0</v>
      </c>
    </row>
    <row r="3263" spans="1:130" hidden="1" x14ac:dyDescent="0.25">
      <c r="A3263" s="141"/>
      <c r="B3263" s="379"/>
      <c r="C3263" s="379"/>
      <c r="D3263" s="379"/>
      <c r="E3263" s="379"/>
      <c r="F3263" s="379"/>
      <c r="G3263" s="379"/>
      <c r="H3263" s="379"/>
      <c r="I3263" s="379"/>
      <c r="J3263" s="379"/>
      <c r="K3263" s="379"/>
      <c r="L3263" s="379"/>
      <c r="M3263" s="379"/>
      <c r="N3263" s="379"/>
      <c r="O3263" s="379"/>
      <c r="P3263" s="379"/>
      <c r="Q3263" s="379"/>
      <c r="R3263" s="379"/>
      <c r="S3263" s="379"/>
      <c r="T3263" s="379"/>
      <c r="U3263" s="379"/>
      <c r="V3263" s="379"/>
      <c r="W3263" s="379"/>
      <c r="X3263" s="379"/>
      <c r="Y3263" s="379"/>
      <c r="Z3263" s="379"/>
      <c r="AA3263" s="379"/>
      <c r="AB3263" s="379"/>
      <c r="AC3263" s="379"/>
      <c r="AD3263" s="379"/>
      <c r="AE3263" s="379"/>
      <c r="AF3263" s="379"/>
      <c r="AG3263" s="379"/>
      <c r="AH3263" s="379"/>
      <c r="AI3263" s="379"/>
      <c r="AJ3263" s="379"/>
      <c r="AK3263" s="379"/>
      <c r="AL3263" s="379"/>
      <c r="AM3263" s="379"/>
      <c r="AN3263" s="379"/>
      <c r="AO3263" s="379"/>
      <c r="AP3263" s="379"/>
      <c r="AQ3263" s="379"/>
      <c r="AR3263" s="379"/>
      <c r="AS3263" s="379"/>
      <c r="AT3263" s="379"/>
      <c r="AU3263" s="379"/>
      <c r="AV3263" s="379"/>
      <c r="AW3263" s="379"/>
      <c r="AX3263" s="379"/>
      <c r="AY3263" s="379"/>
      <c r="AZ3263" s="379"/>
      <c r="BA3263" s="379"/>
      <c r="BB3263" s="379"/>
      <c r="BC3263" s="379"/>
      <c r="BD3263" s="379"/>
      <c r="BE3263" s="379"/>
      <c r="BF3263" s="379"/>
      <c r="BG3263" s="379"/>
      <c r="BH3263" s="379"/>
      <c r="BI3263" s="379"/>
      <c r="BJ3263" s="379"/>
      <c r="BK3263" s="379"/>
      <c r="BL3263" s="379"/>
      <c r="BM3263" s="379"/>
      <c r="BN3263" s="379"/>
      <c r="BO3263" s="379"/>
      <c r="BP3263" s="379"/>
      <c r="BQ3263" s="379"/>
      <c r="BR3263" s="379"/>
      <c r="BS3263" s="379"/>
      <c r="BT3263" s="379"/>
      <c r="BU3263" s="379"/>
      <c r="BV3263" s="379"/>
      <c r="BW3263" s="379"/>
      <c r="BX3263" s="379"/>
      <c r="BY3263" s="379"/>
      <c r="BZ3263" s="379"/>
      <c r="CA3263" s="281"/>
      <c r="CB3263" s="3" t="str">
        <f t="shared" si="598"/>
        <v>Riadok bude skrytý.</v>
      </c>
      <c r="CC3263" s="271" t="s">
        <v>832</v>
      </c>
      <c r="CW3263" s="30">
        <f t="shared" si="601"/>
        <v>0</v>
      </c>
      <c r="CX3263" s="30">
        <f t="shared" si="602"/>
        <v>0</v>
      </c>
      <c r="CZ3263" s="30">
        <f t="shared" si="600"/>
        <v>1</v>
      </c>
      <c r="DA3263" s="52">
        <f t="shared" si="603"/>
        <v>0</v>
      </c>
      <c r="DB3263" s="2">
        <f t="shared" si="599"/>
        <v>0</v>
      </c>
      <c r="DS3263" s="130">
        <f>SI!BY3263</f>
        <v>147</v>
      </c>
      <c r="DZ3263" s="131">
        <f>SI!BZ3263</f>
        <v>0</v>
      </c>
    </row>
    <row r="3264" spans="1:130" hidden="1" x14ac:dyDescent="0.25">
      <c r="A3264" s="141"/>
      <c r="B3264" s="379"/>
      <c r="C3264" s="379"/>
      <c r="D3264" s="379"/>
      <c r="E3264" s="379"/>
      <c r="F3264" s="379"/>
      <c r="G3264" s="379"/>
      <c r="H3264" s="379"/>
      <c r="I3264" s="379"/>
      <c r="J3264" s="379"/>
      <c r="K3264" s="379"/>
      <c r="L3264" s="379"/>
      <c r="M3264" s="379"/>
      <c r="N3264" s="379"/>
      <c r="O3264" s="379"/>
      <c r="P3264" s="379"/>
      <c r="Q3264" s="379"/>
      <c r="R3264" s="379"/>
      <c r="S3264" s="379"/>
      <c r="T3264" s="379"/>
      <c r="U3264" s="379"/>
      <c r="V3264" s="379"/>
      <c r="W3264" s="379"/>
      <c r="X3264" s="379"/>
      <c r="Y3264" s="379"/>
      <c r="Z3264" s="379"/>
      <c r="AA3264" s="379"/>
      <c r="AB3264" s="379"/>
      <c r="AC3264" s="379"/>
      <c r="AD3264" s="379"/>
      <c r="AE3264" s="379"/>
      <c r="AF3264" s="379"/>
      <c r="AG3264" s="379"/>
      <c r="AH3264" s="379"/>
      <c r="AI3264" s="379"/>
      <c r="AJ3264" s="379"/>
      <c r="AK3264" s="379"/>
      <c r="AL3264" s="379"/>
      <c r="AM3264" s="379"/>
      <c r="AN3264" s="379"/>
      <c r="AO3264" s="379"/>
      <c r="AP3264" s="379"/>
      <c r="AQ3264" s="379"/>
      <c r="AR3264" s="379"/>
      <c r="AS3264" s="379"/>
      <c r="AT3264" s="379"/>
      <c r="AU3264" s="379"/>
      <c r="AV3264" s="379"/>
      <c r="AW3264" s="379"/>
      <c r="AX3264" s="379"/>
      <c r="AY3264" s="379"/>
      <c r="AZ3264" s="379"/>
      <c r="BA3264" s="379"/>
      <c r="BB3264" s="379"/>
      <c r="BC3264" s="379"/>
      <c r="BD3264" s="379"/>
      <c r="BE3264" s="379"/>
      <c r="BF3264" s="379"/>
      <c r="BG3264" s="379"/>
      <c r="BH3264" s="379"/>
      <c r="BI3264" s="379"/>
      <c r="BJ3264" s="379"/>
      <c r="BK3264" s="379"/>
      <c r="BL3264" s="379"/>
      <c r="BM3264" s="379"/>
      <c r="BN3264" s="379"/>
      <c r="BO3264" s="379"/>
      <c r="BP3264" s="379"/>
      <c r="BQ3264" s="379"/>
      <c r="BR3264" s="379"/>
      <c r="BS3264" s="379"/>
      <c r="BT3264" s="379"/>
      <c r="BU3264" s="379"/>
      <c r="BV3264" s="379"/>
      <c r="BW3264" s="379"/>
      <c r="BX3264" s="379"/>
      <c r="BY3264" s="379"/>
      <c r="BZ3264" s="379"/>
      <c r="CA3264" s="281"/>
      <c r="CB3264" s="3" t="str">
        <f t="shared" si="598"/>
        <v>Riadok bude skrytý.</v>
      </c>
      <c r="CC3264" s="271" t="s">
        <v>832</v>
      </c>
      <c r="CW3264" s="30">
        <f t="shared" si="601"/>
        <v>0</v>
      </c>
      <c r="CX3264" s="30">
        <f t="shared" si="602"/>
        <v>0</v>
      </c>
      <c r="CZ3264" s="30">
        <f t="shared" si="600"/>
        <v>1</v>
      </c>
      <c r="DA3264" s="52">
        <f t="shared" si="603"/>
        <v>0</v>
      </c>
      <c r="DB3264" s="2">
        <f t="shared" si="599"/>
        <v>0</v>
      </c>
      <c r="DS3264" s="130">
        <f>SI!BY3264</f>
        <v>133</v>
      </c>
      <c r="DZ3264" s="131">
        <f>SI!BZ3264</f>
        <v>0</v>
      </c>
    </row>
    <row r="3265" spans="1:130" hidden="1" x14ac:dyDescent="0.25">
      <c r="A3265" s="141"/>
      <c r="B3265" s="379"/>
      <c r="C3265" s="379"/>
      <c r="D3265" s="379"/>
      <c r="E3265" s="379"/>
      <c r="F3265" s="379"/>
      <c r="G3265" s="379"/>
      <c r="H3265" s="379"/>
      <c r="I3265" s="379"/>
      <c r="J3265" s="379"/>
      <c r="K3265" s="379"/>
      <c r="L3265" s="379"/>
      <c r="M3265" s="379"/>
      <c r="N3265" s="379"/>
      <c r="O3265" s="379"/>
      <c r="P3265" s="379"/>
      <c r="Q3265" s="379"/>
      <c r="R3265" s="379"/>
      <c r="S3265" s="379"/>
      <c r="T3265" s="379"/>
      <c r="U3265" s="379"/>
      <c r="V3265" s="379"/>
      <c r="W3265" s="379"/>
      <c r="X3265" s="379"/>
      <c r="Y3265" s="379"/>
      <c r="Z3265" s="379"/>
      <c r="AA3265" s="379"/>
      <c r="AB3265" s="379"/>
      <c r="AC3265" s="379"/>
      <c r="AD3265" s="379"/>
      <c r="AE3265" s="379"/>
      <c r="AF3265" s="379"/>
      <c r="AG3265" s="379"/>
      <c r="AH3265" s="379"/>
      <c r="AI3265" s="379"/>
      <c r="AJ3265" s="379"/>
      <c r="AK3265" s="379"/>
      <c r="AL3265" s="379"/>
      <c r="AM3265" s="379"/>
      <c r="AN3265" s="379"/>
      <c r="AO3265" s="379"/>
      <c r="AP3265" s="379"/>
      <c r="AQ3265" s="379"/>
      <c r="AR3265" s="379"/>
      <c r="AS3265" s="379"/>
      <c r="AT3265" s="379"/>
      <c r="AU3265" s="379"/>
      <c r="AV3265" s="379"/>
      <c r="AW3265" s="379"/>
      <c r="AX3265" s="379"/>
      <c r="AY3265" s="379"/>
      <c r="AZ3265" s="379"/>
      <c r="BA3265" s="379"/>
      <c r="BB3265" s="379"/>
      <c r="BC3265" s="379"/>
      <c r="BD3265" s="379"/>
      <c r="BE3265" s="379"/>
      <c r="BF3265" s="379"/>
      <c r="BG3265" s="379"/>
      <c r="BH3265" s="379"/>
      <c r="BI3265" s="379"/>
      <c r="BJ3265" s="379"/>
      <c r="BK3265" s="379"/>
      <c r="BL3265" s="379"/>
      <c r="BM3265" s="379"/>
      <c r="BN3265" s="379"/>
      <c r="BO3265" s="379"/>
      <c r="BP3265" s="379"/>
      <c r="BQ3265" s="379"/>
      <c r="BR3265" s="379"/>
      <c r="BS3265" s="379"/>
      <c r="BT3265" s="379"/>
      <c r="BU3265" s="379"/>
      <c r="BV3265" s="379"/>
      <c r="BW3265" s="379"/>
      <c r="BX3265" s="379"/>
      <c r="BY3265" s="379"/>
      <c r="BZ3265" s="379"/>
      <c r="CA3265" s="281"/>
      <c r="CB3265" s="3" t="str">
        <f t="shared" si="598"/>
        <v>Riadok bude skrytý.</v>
      </c>
      <c r="CC3265" s="271" t="s">
        <v>832</v>
      </c>
      <c r="CD3265" s="122"/>
      <c r="CE3265" s="33"/>
      <c r="CW3265" s="30">
        <f t="shared" si="601"/>
        <v>0</v>
      </c>
      <c r="CX3265" s="30">
        <f t="shared" si="602"/>
        <v>0</v>
      </c>
      <c r="CZ3265" s="30">
        <f t="shared" si="600"/>
        <v>1</v>
      </c>
      <c r="DA3265" s="52">
        <f t="shared" si="603"/>
        <v>0</v>
      </c>
      <c r="DB3265" s="2">
        <f t="shared" si="599"/>
        <v>0</v>
      </c>
      <c r="DS3265" s="130">
        <f>SI!BY3265</f>
        <v>130</v>
      </c>
      <c r="DZ3265" s="131">
        <f>SI!BZ3265</f>
        <v>0</v>
      </c>
    </row>
    <row r="3266" spans="1:130" hidden="1" x14ac:dyDescent="0.25">
      <c r="A3266" s="141"/>
      <c r="B3266" s="379"/>
      <c r="C3266" s="379"/>
      <c r="D3266" s="379"/>
      <c r="E3266" s="379"/>
      <c r="F3266" s="379"/>
      <c r="G3266" s="379"/>
      <c r="H3266" s="379"/>
      <c r="I3266" s="379"/>
      <c r="J3266" s="379"/>
      <c r="K3266" s="379"/>
      <c r="L3266" s="379"/>
      <c r="M3266" s="379"/>
      <c r="N3266" s="379"/>
      <c r="O3266" s="379"/>
      <c r="P3266" s="379"/>
      <c r="Q3266" s="379"/>
      <c r="R3266" s="379"/>
      <c r="S3266" s="379"/>
      <c r="T3266" s="379"/>
      <c r="U3266" s="379"/>
      <c r="V3266" s="379"/>
      <c r="W3266" s="379"/>
      <c r="X3266" s="379"/>
      <c r="Y3266" s="379"/>
      <c r="Z3266" s="379"/>
      <c r="AA3266" s="379"/>
      <c r="AB3266" s="379"/>
      <c r="AC3266" s="379"/>
      <c r="AD3266" s="379"/>
      <c r="AE3266" s="379"/>
      <c r="AF3266" s="379"/>
      <c r="AG3266" s="379"/>
      <c r="AH3266" s="379"/>
      <c r="AI3266" s="379"/>
      <c r="AJ3266" s="379"/>
      <c r="AK3266" s="379"/>
      <c r="AL3266" s="379"/>
      <c r="AM3266" s="379"/>
      <c r="AN3266" s="379"/>
      <c r="AO3266" s="379"/>
      <c r="AP3266" s="379"/>
      <c r="AQ3266" s="379"/>
      <c r="AR3266" s="379"/>
      <c r="AS3266" s="379"/>
      <c r="AT3266" s="379"/>
      <c r="AU3266" s="379"/>
      <c r="AV3266" s="379"/>
      <c r="AW3266" s="379"/>
      <c r="AX3266" s="379"/>
      <c r="AY3266" s="379"/>
      <c r="AZ3266" s="379"/>
      <c r="BA3266" s="379"/>
      <c r="BB3266" s="379"/>
      <c r="BC3266" s="379"/>
      <c r="BD3266" s="379"/>
      <c r="BE3266" s="379"/>
      <c r="BF3266" s="379"/>
      <c r="BG3266" s="379"/>
      <c r="BH3266" s="379"/>
      <c r="BI3266" s="379"/>
      <c r="BJ3266" s="379"/>
      <c r="BK3266" s="379"/>
      <c r="BL3266" s="379"/>
      <c r="BM3266" s="379"/>
      <c r="BN3266" s="379"/>
      <c r="BO3266" s="379"/>
      <c r="BP3266" s="379"/>
      <c r="BQ3266" s="379"/>
      <c r="BR3266" s="379"/>
      <c r="BS3266" s="379"/>
      <c r="BT3266" s="379"/>
      <c r="BU3266" s="379"/>
      <c r="BV3266" s="379"/>
      <c r="BW3266" s="379"/>
      <c r="BX3266" s="379"/>
      <c r="BY3266" s="379"/>
      <c r="BZ3266" s="379"/>
      <c r="CA3266" s="281"/>
      <c r="CB3266" s="3" t="str">
        <f t="shared" si="598"/>
        <v>Riadok bude skrytý.</v>
      </c>
      <c r="CC3266" s="271" t="s">
        <v>832</v>
      </c>
      <c r="CD3266" s="122"/>
      <c r="CE3266" s="33"/>
      <c r="CW3266" s="30">
        <f t="shared" si="601"/>
        <v>0</v>
      </c>
      <c r="CX3266" s="30">
        <f t="shared" si="602"/>
        <v>0</v>
      </c>
      <c r="CZ3266" s="30">
        <f t="shared" si="600"/>
        <v>1</v>
      </c>
      <c r="DA3266" s="52">
        <f t="shared" si="603"/>
        <v>0</v>
      </c>
      <c r="DB3266" s="2">
        <f t="shared" si="599"/>
        <v>0</v>
      </c>
      <c r="DS3266" s="130">
        <f>SI!BY3266</f>
        <v>160</v>
      </c>
      <c r="DZ3266" s="131">
        <f>SI!BZ3266</f>
        <v>0</v>
      </c>
    </row>
    <row r="3267" spans="1:130" hidden="1" x14ac:dyDescent="0.25">
      <c r="A3267" s="141"/>
      <c r="B3267" s="379"/>
      <c r="C3267" s="379"/>
      <c r="D3267" s="379"/>
      <c r="E3267" s="379"/>
      <c r="F3267" s="379"/>
      <c r="G3267" s="379"/>
      <c r="H3267" s="379"/>
      <c r="I3267" s="379"/>
      <c r="J3267" s="379"/>
      <c r="K3267" s="379"/>
      <c r="L3267" s="379"/>
      <c r="M3267" s="379"/>
      <c r="N3267" s="379"/>
      <c r="O3267" s="379"/>
      <c r="P3267" s="379"/>
      <c r="Q3267" s="379"/>
      <c r="R3267" s="379"/>
      <c r="S3267" s="379"/>
      <c r="T3267" s="379"/>
      <c r="U3267" s="379"/>
      <c r="V3267" s="379"/>
      <c r="W3267" s="379"/>
      <c r="X3267" s="379"/>
      <c r="Y3267" s="379"/>
      <c r="Z3267" s="379"/>
      <c r="AA3267" s="379"/>
      <c r="AB3267" s="379"/>
      <c r="AC3267" s="379"/>
      <c r="AD3267" s="379"/>
      <c r="AE3267" s="379"/>
      <c r="AF3267" s="379"/>
      <c r="AG3267" s="379"/>
      <c r="AH3267" s="379"/>
      <c r="AI3267" s="379"/>
      <c r="AJ3267" s="379"/>
      <c r="AK3267" s="379"/>
      <c r="AL3267" s="379"/>
      <c r="AM3267" s="379"/>
      <c r="AN3267" s="379"/>
      <c r="AO3267" s="379"/>
      <c r="AP3267" s="379"/>
      <c r="AQ3267" s="379"/>
      <c r="AR3267" s="379"/>
      <c r="AS3267" s="379"/>
      <c r="AT3267" s="379"/>
      <c r="AU3267" s="379"/>
      <c r="AV3267" s="379"/>
      <c r="AW3267" s="379"/>
      <c r="AX3267" s="379"/>
      <c r="AY3267" s="379"/>
      <c r="AZ3267" s="379"/>
      <c r="BA3267" s="379"/>
      <c r="BB3267" s="379"/>
      <c r="BC3267" s="379"/>
      <c r="BD3267" s="379"/>
      <c r="BE3267" s="379"/>
      <c r="BF3267" s="379"/>
      <c r="BG3267" s="379"/>
      <c r="BH3267" s="379"/>
      <c r="BI3267" s="379"/>
      <c r="BJ3267" s="379"/>
      <c r="BK3267" s="379"/>
      <c r="BL3267" s="379"/>
      <c r="BM3267" s="379"/>
      <c r="BN3267" s="379"/>
      <c r="BO3267" s="379"/>
      <c r="BP3267" s="379"/>
      <c r="BQ3267" s="379"/>
      <c r="BR3267" s="379"/>
      <c r="BS3267" s="379"/>
      <c r="BT3267" s="379"/>
      <c r="BU3267" s="379"/>
      <c r="BV3267" s="379"/>
      <c r="BW3267" s="379"/>
      <c r="BX3267" s="379"/>
      <c r="BY3267" s="379"/>
      <c r="BZ3267" s="379"/>
      <c r="CA3267" s="281"/>
      <c r="CB3267" s="3" t="str">
        <f t="shared" si="598"/>
        <v>Riadok bude skrytý.</v>
      </c>
      <c r="CC3267" s="271" t="s">
        <v>832</v>
      </c>
      <c r="CD3267" s="122"/>
      <c r="CE3267" s="33"/>
      <c r="CW3267" s="30">
        <f t="shared" si="601"/>
        <v>0</v>
      </c>
      <c r="CX3267" s="30">
        <f t="shared" si="602"/>
        <v>0</v>
      </c>
      <c r="CZ3267" s="30">
        <f t="shared" si="600"/>
        <v>1</v>
      </c>
      <c r="DA3267" s="52">
        <f t="shared" si="603"/>
        <v>0</v>
      </c>
      <c r="DB3267" s="2">
        <f t="shared" si="599"/>
        <v>0</v>
      </c>
      <c r="DS3267" s="130">
        <f>SI!BY3267</f>
        <v>183</v>
      </c>
      <c r="DZ3267" s="131">
        <f>SI!BZ3267</f>
        <v>0</v>
      </c>
    </row>
    <row r="3268" spans="1:130" hidden="1" x14ac:dyDescent="0.25">
      <c r="A3268" s="141"/>
      <c r="B3268" s="379"/>
      <c r="C3268" s="379"/>
      <c r="D3268" s="379"/>
      <c r="E3268" s="379"/>
      <c r="F3268" s="379"/>
      <c r="G3268" s="379"/>
      <c r="H3268" s="379"/>
      <c r="I3268" s="379"/>
      <c r="J3268" s="379"/>
      <c r="K3268" s="379"/>
      <c r="L3268" s="379"/>
      <c r="M3268" s="379"/>
      <c r="N3268" s="379"/>
      <c r="O3268" s="379"/>
      <c r="P3268" s="379"/>
      <c r="Q3268" s="379"/>
      <c r="R3268" s="379"/>
      <c r="S3268" s="379"/>
      <c r="T3268" s="379"/>
      <c r="U3268" s="379"/>
      <c r="V3268" s="379"/>
      <c r="W3268" s="379"/>
      <c r="X3268" s="379"/>
      <c r="Y3268" s="379"/>
      <c r="Z3268" s="379"/>
      <c r="AA3268" s="379"/>
      <c r="AB3268" s="379"/>
      <c r="AC3268" s="379"/>
      <c r="AD3268" s="379"/>
      <c r="AE3268" s="379"/>
      <c r="AF3268" s="379"/>
      <c r="AG3268" s="379"/>
      <c r="AH3268" s="379"/>
      <c r="AI3268" s="379"/>
      <c r="AJ3268" s="379"/>
      <c r="AK3268" s="379"/>
      <c r="AL3268" s="379"/>
      <c r="AM3268" s="379"/>
      <c r="AN3268" s="379"/>
      <c r="AO3268" s="379"/>
      <c r="AP3268" s="379"/>
      <c r="AQ3268" s="379"/>
      <c r="AR3268" s="379"/>
      <c r="AS3268" s="379"/>
      <c r="AT3268" s="379"/>
      <c r="AU3268" s="379"/>
      <c r="AV3268" s="379"/>
      <c r="AW3268" s="379"/>
      <c r="AX3268" s="379"/>
      <c r="AY3268" s="379"/>
      <c r="AZ3268" s="379"/>
      <c r="BA3268" s="379"/>
      <c r="BB3268" s="379"/>
      <c r="BC3268" s="379"/>
      <c r="BD3268" s="379"/>
      <c r="BE3268" s="379"/>
      <c r="BF3268" s="379"/>
      <c r="BG3268" s="379"/>
      <c r="BH3268" s="379"/>
      <c r="BI3268" s="379"/>
      <c r="BJ3268" s="379"/>
      <c r="BK3268" s="379"/>
      <c r="BL3268" s="379"/>
      <c r="BM3268" s="379"/>
      <c r="BN3268" s="379"/>
      <c r="BO3268" s="379"/>
      <c r="BP3268" s="379"/>
      <c r="BQ3268" s="379"/>
      <c r="BR3268" s="379"/>
      <c r="BS3268" s="379"/>
      <c r="BT3268" s="379"/>
      <c r="BU3268" s="379"/>
      <c r="BV3268" s="379"/>
      <c r="BW3268" s="379"/>
      <c r="BX3268" s="379"/>
      <c r="BY3268" s="379"/>
      <c r="BZ3268" s="379"/>
      <c r="CA3268" s="281"/>
      <c r="CB3268" s="3" t="str">
        <f t="shared" si="598"/>
        <v>Riadok bude skrytý.</v>
      </c>
      <c r="CC3268" s="271" t="s">
        <v>832</v>
      </c>
      <c r="CD3268" s="122"/>
      <c r="CE3268" s="33"/>
      <c r="CW3268" s="30">
        <f t="shared" si="601"/>
        <v>0</v>
      </c>
      <c r="CX3268" s="30">
        <f t="shared" si="602"/>
        <v>0</v>
      </c>
      <c r="CZ3268" s="30">
        <f t="shared" si="600"/>
        <v>1</v>
      </c>
      <c r="DA3268" s="52">
        <f t="shared" si="603"/>
        <v>0</v>
      </c>
      <c r="DB3268" s="2">
        <f t="shared" si="599"/>
        <v>0</v>
      </c>
      <c r="DS3268" s="130">
        <f>SI!BY3268</f>
        <v>140</v>
      </c>
      <c r="DZ3268" s="131">
        <f>SI!BZ3268</f>
        <v>0</v>
      </c>
    </row>
    <row r="3269" spans="1:130" hidden="1" x14ac:dyDescent="0.25">
      <c r="A3269" s="141"/>
      <c r="B3269" s="379"/>
      <c r="C3269" s="379"/>
      <c r="D3269" s="379"/>
      <c r="E3269" s="379"/>
      <c r="F3269" s="379"/>
      <c r="G3269" s="379"/>
      <c r="H3269" s="379"/>
      <c r="I3269" s="379"/>
      <c r="J3269" s="379"/>
      <c r="K3269" s="379"/>
      <c r="L3269" s="379"/>
      <c r="M3269" s="379"/>
      <c r="N3269" s="379"/>
      <c r="O3269" s="379"/>
      <c r="P3269" s="379"/>
      <c r="Q3269" s="379"/>
      <c r="R3269" s="379"/>
      <c r="S3269" s="379"/>
      <c r="T3269" s="379"/>
      <c r="U3269" s="379"/>
      <c r="V3269" s="379"/>
      <c r="W3269" s="379"/>
      <c r="X3269" s="379"/>
      <c r="Y3269" s="379"/>
      <c r="Z3269" s="379"/>
      <c r="AA3269" s="379"/>
      <c r="AB3269" s="379"/>
      <c r="AC3269" s="379"/>
      <c r="AD3269" s="379"/>
      <c r="AE3269" s="379"/>
      <c r="AF3269" s="379"/>
      <c r="AG3269" s="379"/>
      <c r="AH3269" s="379"/>
      <c r="AI3269" s="379"/>
      <c r="AJ3269" s="379"/>
      <c r="AK3269" s="379"/>
      <c r="AL3269" s="379"/>
      <c r="AM3269" s="379"/>
      <c r="AN3269" s="379"/>
      <c r="AO3269" s="379"/>
      <c r="AP3269" s="379"/>
      <c r="AQ3269" s="379"/>
      <c r="AR3269" s="379"/>
      <c r="AS3269" s="379"/>
      <c r="AT3269" s="379"/>
      <c r="AU3269" s="379"/>
      <c r="AV3269" s="379"/>
      <c r="AW3269" s="379"/>
      <c r="AX3269" s="379"/>
      <c r="AY3269" s="379"/>
      <c r="AZ3269" s="379"/>
      <c r="BA3269" s="379"/>
      <c r="BB3269" s="379"/>
      <c r="BC3269" s="379"/>
      <c r="BD3269" s="379"/>
      <c r="BE3269" s="379"/>
      <c r="BF3269" s="379"/>
      <c r="BG3269" s="379"/>
      <c r="BH3269" s="379"/>
      <c r="BI3269" s="379"/>
      <c r="BJ3269" s="379"/>
      <c r="BK3269" s="379"/>
      <c r="BL3269" s="379"/>
      <c r="BM3269" s="379"/>
      <c r="BN3269" s="379"/>
      <c r="BO3269" s="379"/>
      <c r="BP3269" s="379"/>
      <c r="BQ3269" s="379"/>
      <c r="BR3269" s="379"/>
      <c r="BS3269" s="379"/>
      <c r="BT3269" s="379"/>
      <c r="BU3269" s="379"/>
      <c r="BV3269" s="379"/>
      <c r="BW3269" s="379"/>
      <c r="BX3269" s="379"/>
      <c r="BY3269" s="379"/>
      <c r="BZ3269" s="379"/>
      <c r="CA3269" s="281"/>
      <c r="CB3269" s="3" t="str">
        <f t="shared" si="598"/>
        <v>Riadok bude skrytý.</v>
      </c>
      <c r="CC3269" s="271" t="s">
        <v>832</v>
      </c>
      <c r="CD3269" s="122"/>
      <c r="CE3269" s="33"/>
      <c r="CW3269" s="30">
        <f t="shared" si="601"/>
        <v>0</v>
      </c>
      <c r="CX3269" s="30">
        <f t="shared" si="602"/>
        <v>0</v>
      </c>
      <c r="CZ3269" s="30">
        <f t="shared" si="600"/>
        <v>1</v>
      </c>
      <c r="DA3269" s="52">
        <f t="shared" si="603"/>
        <v>0</v>
      </c>
      <c r="DB3269" s="2">
        <f t="shared" si="599"/>
        <v>0</v>
      </c>
      <c r="DS3269" s="130">
        <f>SI!BY3269</f>
        <v>177</v>
      </c>
      <c r="DZ3269" s="131">
        <f>SI!BZ3269</f>
        <v>0</v>
      </c>
    </row>
    <row r="3270" spans="1:130" hidden="1" x14ac:dyDescent="0.25">
      <c r="A3270" s="141"/>
      <c r="B3270" s="379"/>
      <c r="C3270" s="379"/>
      <c r="D3270" s="379"/>
      <c r="E3270" s="379"/>
      <c r="F3270" s="379"/>
      <c r="G3270" s="379"/>
      <c r="H3270" s="379"/>
      <c r="I3270" s="379"/>
      <c r="J3270" s="379"/>
      <c r="K3270" s="379"/>
      <c r="L3270" s="379"/>
      <c r="M3270" s="379"/>
      <c r="N3270" s="379"/>
      <c r="O3270" s="379"/>
      <c r="P3270" s="379"/>
      <c r="Q3270" s="379"/>
      <c r="R3270" s="379"/>
      <c r="S3270" s="379"/>
      <c r="T3270" s="379"/>
      <c r="U3270" s="379"/>
      <c r="V3270" s="379"/>
      <c r="W3270" s="379"/>
      <c r="X3270" s="379"/>
      <c r="Y3270" s="379"/>
      <c r="Z3270" s="379"/>
      <c r="AA3270" s="379"/>
      <c r="AB3270" s="379"/>
      <c r="AC3270" s="379"/>
      <c r="AD3270" s="379"/>
      <c r="AE3270" s="379"/>
      <c r="AF3270" s="379"/>
      <c r="AG3270" s="379"/>
      <c r="AH3270" s="379"/>
      <c r="AI3270" s="379"/>
      <c r="AJ3270" s="379"/>
      <c r="AK3270" s="379"/>
      <c r="AL3270" s="379"/>
      <c r="AM3270" s="379"/>
      <c r="AN3270" s="379"/>
      <c r="AO3270" s="379"/>
      <c r="AP3270" s="379"/>
      <c r="AQ3270" s="379"/>
      <c r="AR3270" s="379"/>
      <c r="AS3270" s="379"/>
      <c r="AT3270" s="379"/>
      <c r="AU3270" s="379"/>
      <c r="AV3270" s="379"/>
      <c r="AW3270" s="379"/>
      <c r="AX3270" s="379"/>
      <c r="AY3270" s="379"/>
      <c r="AZ3270" s="379"/>
      <c r="BA3270" s="379"/>
      <c r="BB3270" s="379"/>
      <c r="BC3270" s="379"/>
      <c r="BD3270" s="379"/>
      <c r="BE3270" s="379"/>
      <c r="BF3270" s="379"/>
      <c r="BG3270" s="379"/>
      <c r="BH3270" s="379"/>
      <c r="BI3270" s="379"/>
      <c r="BJ3270" s="379"/>
      <c r="BK3270" s="379"/>
      <c r="BL3270" s="379"/>
      <c r="BM3270" s="379"/>
      <c r="BN3270" s="379"/>
      <c r="BO3270" s="379"/>
      <c r="BP3270" s="379"/>
      <c r="BQ3270" s="379"/>
      <c r="BR3270" s="379"/>
      <c r="BS3270" s="379"/>
      <c r="BT3270" s="379"/>
      <c r="BU3270" s="379"/>
      <c r="BV3270" s="379"/>
      <c r="BW3270" s="379"/>
      <c r="BX3270" s="379"/>
      <c r="BY3270" s="379"/>
      <c r="BZ3270" s="379"/>
      <c r="CA3270" s="281"/>
      <c r="CB3270" s="3" t="str">
        <f t="shared" si="598"/>
        <v>Riadok bude skrytý.</v>
      </c>
      <c r="CC3270" s="271" t="s">
        <v>832</v>
      </c>
      <c r="CD3270" s="122"/>
      <c r="CE3270" s="33"/>
      <c r="CW3270" s="30">
        <f t="shared" si="601"/>
        <v>0</v>
      </c>
      <c r="CX3270" s="30">
        <f t="shared" si="602"/>
        <v>0</v>
      </c>
      <c r="CZ3270" s="30">
        <f t="shared" si="600"/>
        <v>1</v>
      </c>
      <c r="DA3270" s="52">
        <f t="shared" si="603"/>
        <v>0</v>
      </c>
      <c r="DB3270" s="2">
        <f t="shared" si="599"/>
        <v>0</v>
      </c>
      <c r="DS3270" s="130">
        <f>SI!BY3270</f>
        <v>182</v>
      </c>
      <c r="DZ3270" s="131">
        <f>SI!BZ3270</f>
        <v>0</v>
      </c>
    </row>
    <row r="3271" spans="1:130" hidden="1" x14ac:dyDescent="0.25">
      <c r="A3271" s="141"/>
      <c r="B3271" s="379"/>
      <c r="C3271" s="379"/>
      <c r="D3271" s="379"/>
      <c r="E3271" s="379"/>
      <c r="F3271" s="379"/>
      <c r="G3271" s="379"/>
      <c r="H3271" s="379"/>
      <c r="I3271" s="379"/>
      <c r="J3271" s="379"/>
      <c r="K3271" s="379"/>
      <c r="L3271" s="379"/>
      <c r="M3271" s="379"/>
      <c r="N3271" s="379"/>
      <c r="O3271" s="379"/>
      <c r="P3271" s="379"/>
      <c r="Q3271" s="379"/>
      <c r="R3271" s="379"/>
      <c r="S3271" s="379"/>
      <c r="T3271" s="379"/>
      <c r="U3271" s="379"/>
      <c r="V3271" s="379"/>
      <c r="W3271" s="379"/>
      <c r="X3271" s="379"/>
      <c r="Y3271" s="379"/>
      <c r="Z3271" s="379"/>
      <c r="AA3271" s="379"/>
      <c r="AB3271" s="379"/>
      <c r="AC3271" s="379"/>
      <c r="AD3271" s="379"/>
      <c r="AE3271" s="379"/>
      <c r="AF3271" s="379"/>
      <c r="AG3271" s="379"/>
      <c r="AH3271" s="379"/>
      <c r="AI3271" s="379"/>
      <c r="AJ3271" s="379"/>
      <c r="AK3271" s="379"/>
      <c r="AL3271" s="379"/>
      <c r="AM3271" s="379"/>
      <c r="AN3271" s="379"/>
      <c r="AO3271" s="379"/>
      <c r="AP3271" s="379"/>
      <c r="AQ3271" s="379"/>
      <c r="AR3271" s="379"/>
      <c r="AS3271" s="379"/>
      <c r="AT3271" s="379"/>
      <c r="AU3271" s="379"/>
      <c r="AV3271" s="379"/>
      <c r="AW3271" s="379"/>
      <c r="AX3271" s="379"/>
      <c r="AY3271" s="379"/>
      <c r="AZ3271" s="379"/>
      <c r="BA3271" s="379"/>
      <c r="BB3271" s="379"/>
      <c r="BC3271" s="379"/>
      <c r="BD3271" s="379"/>
      <c r="BE3271" s="379"/>
      <c r="BF3271" s="379"/>
      <c r="BG3271" s="379"/>
      <c r="BH3271" s="379"/>
      <c r="BI3271" s="379"/>
      <c r="BJ3271" s="379"/>
      <c r="BK3271" s="379"/>
      <c r="BL3271" s="379"/>
      <c r="BM3271" s="379"/>
      <c r="BN3271" s="379"/>
      <c r="BO3271" s="379"/>
      <c r="BP3271" s="379"/>
      <c r="BQ3271" s="379"/>
      <c r="BR3271" s="379"/>
      <c r="BS3271" s="379"/>
      <c r="BT3271" s="379"/>
      <c r="BU3271" s="379"/>
      <c r="BV3271" s="379"/>
      <c r="BW3271" s="379"/>
      <c r="BX3271" s="379"/>
      <c r="BY3271" s="379"/>
      <c r="BZ3271" s="379"/>
      <c r="CA3271" s="281"/>
      <c r="CB3271" s="3" t="str">
        <f t="shared" si="598"/>
        <v>Riadok bude skrytý.</v>
      </c>
      <c r="CC3271" s="271" t="s">
        <v>832</v>
      </c>
      <c r="CD3271" s="122"/>
      <c r="CE3271" s="33"/>
      <c r="CW3271" s="30">
        <f t="shared" si="601"/>
        <v>0</v>
      </c>
      <c r="CX3271" s="30">
        <f t="shared" si="602"/>
        <v>0</v>
      </c>
      <c r="CZ3271" s="30">
        <f t="shared" si="600"/>
        <v>1</v>
      </c>
      <c r="DA3271" s="52">
        <f t="shared" si="603"/>
        <v>0</v>
      </c>
      <c r="DB3271" s="2">
        <f t="shared" si="599"/>
        <v>0</v>
      </c>
      <c r="DS3271" s="130">
        <f>SI!BY3271</f>
        <v>124</v>
      </c>
      <c r="DZ3271" s="131">
        <f>SI!BZ3271</f>
        <v>0</v>
      </c>
    </row>
    <row r="3272" spans="1:130" hidden="1" x14ac:dyDescent="0.25">
      <c r="A3272" s="141"/>
      <c r="B3272" s="379"/>
      <c r="C3272" s="379"/>
      <c r="D3272" s="379"/>
      <c r="E3272" s="379"/>
      <c r="F3272" s="379"/>
      <c r="G3272" s="379"/>
      <c r="H3272" s="379"/>
      <c r="I3272" s="379"/>
      <c r="J3272" s="379"/>
      <c r="K3272" s="379"/>
      <c r="L3272" s="379"/>
      <c r="M3272" s="379"/>
      <c r="N3272" s="379"/>
      <c r="O3272" s="379"/>
      <c r="P3272" s="379"/>
      <c r="Q3272" s="379"/>
      <c r="R3272" s="379"/>
      <c r="S3272" s="379"/>
      <c r="T3272" s="379"/>
      <c r="U3272" s="379"/>
      <c r="V3272" s="379"/>
      <c r="W3272" s="379"/>
      <c r="X3272" s="379"/>
      <c r="Y3272" s="379"/>
      <c r="Z3272" s="379"/>
      <c r="AA3272" s="379"/>
      <c r="AB3272" s="379"/>
      <c r="AC3272" s="379"/>
      <c r="AD3272" s="379"/>
      <c r="AE3272" s="379"/>
      <c r="AF3272" s="379"/>
      <c r="AG3272" s="379"/>
      <c r="AH3272" s="379"/>
      <c r="AI3272" s="379"/>
      <c r="AJ3272" s="379"/>
      <c r="AK3272" s="379"/>
      <c r="AL3272" s="379"/>
      <c r="AM3272" s="379"/>
      <c r="AN3272" s="379"/>
      <c r="AO3272" s="379"/>
      <c r="AP3272" s="379"/>
      <c r="AQ3272" s="379"/>
      <c r="AR3272" s="379"/>
      <c r="AS3272" s="379"/>
      <c r="AT3272" s="379"/>
      <c r="AU3272" s="379"/>
      <c r="AV3272" s="379"/>
      <c r="AW3272" s="379"/>
      <c r="AX3272" s="379"/>
      <c r="AY3272" s="379"/>
      <c r="AZ3272" s="379"/>
      <c r="BA3272" s="379"/>
      <c r="BB3272" s="379"/>
      <c r="BC3272" s="379"/>
      <c r="BD3272" s="379"/>
      <c r="BE3272" s="379"/>
      <c r="BF3272" s="379"/>
      <c r="BG3272" s="379"/>
      <c r="BH3272" s="379"/>
      <c r="BI3272" s="379"/>
      <c r="BJ3272" s="379"/>
      <c r="BK3272" s="379"/>
      <c r="BL3272" s="379"/>
      <c r="BM3272" s="379"/>
      <c r="BN3272" s="379"/>
      <c r="BO3272" s="379"/>
      <c r="BP3272" s="379"/>
      <c r="BQ3272" s="379"/>
      <c r="BR3272" s="379"/>
      <c r="BS3272" s="379"/>
      <c r="BT3272" s="379"/>
      <c r="BU3272" s="379"/>
      <c r="BV3272" s="379"/>
      <c r="BW3272" s="379"/>
      <c r="BX3272" s="379"/>
      <c r="BY3272" s="379"/>
      <c r="BZ3272" s="379"/>
      <c r="CA3272" s="281"/>
      <c r="CB3272" s="3" t="str">
        <f t="shared" si="598"/>
        <v>Riadok bude skrytý.</v>
      </c>
      <c r="CC3272" s="271" t="s">
        <v>832</v>
      </c>
      <c r="CD3272" s="122"/>
      <c r="CE3272" s="33"/>
      <c r="CW3272" s="30">
        <f t="shared" si="601"/>
        <v>0</v>
      </c>
      <c r="CX3272" s="30">
        <f t="shared" si="602"/>
        <v>0</v>
      </c>
      <c r="CZ3272" s="30">
        <f t="shared" si="600"/>
        <v>1</v>
      </c>
      <c r="DA3272" s="52">
        <f t="shared" si="603"/>
        <v>0</v>
      </c>
      <c r="DB3272" s="2">
        <f t="shared" si="599"/>
        <v>0</v>
      </c>
      <c r="DS3272" s="130">
        <f>SI!BY3272</f>
        <v>175</v>
      </c>
      <c r="DZ3272" s="131">
        <f>SI!BZ3272</f>
        <v>0</v>
      </c>
    </row>
    <row r="3273" spans="1:130" hidden="1" x14ac:dyDescent="0.25">
      <c r="A3273" s="141"/>
      <c r="B3273" s="379"/>
      <c r="C3273" s="379"/>
      <c r="D3273" s="379"/>
      <c r="E3273" s="379"/>
      <c r="F3273" s="379"/>
      <c r="G3273" s="379"/>
      <c r="H3273" s="379"/>
      <c r="I3273" s="379"/>
      <c r="J3273" s="379"/>
      <c r="K3273" s="379"/>
      <c r="L3273" s="379"/>
      <c r="M3273" s="379"/>
      <c r="N3273" s="379"/>
      <c r="O3273" s="379"/>
      <c r="P3273" s="379"/>
      <c r="Q3273" s="379"/>
      <c r="R3273" s="379"/>
      <c r="S3273" s="379"/>
      <c r="T3273" s="379"/>
      <c r="U3273" s="379"/>
      <c r="V3273" s="379"/>
      <c r="W3273" s="379"/>
      <c r="X3273" s="379"/>
      <c r="Y3273" s="379"/>
      <c r="Z3273" s="379"/>
      <c r="AA3273" s="379"/>
      <c r="AB3273" s="379"/>
      <c r="AC3273" s="379"/>
      <c r="AD3273" s="379"/>
      <c r="AE3273" s="379"/>
      <c r="AF3273" s="379"/>
      <c r="AG3273" s="379"/>
      <c r="AH3273" s="379"/>
      <c r="AI3273" s="379"/>
      <c r="AJ3273" s="379"/>
      <c r="AK3273" s="379"/>
      <c r="AL3273" s="379"/>
      <c r="AM3273" s="379"/>
      <c r="AN3273" s="379"/>
      <c r="AO3273" s="379"/>
      <c r="AP3273" s="379"/>
      <c r="AQ3273" s="379"/>
      <c r="AR3273" s="379"/>
      <c r="AS3273" s="379"/>
      <c r="AT3273" s="379"/>
      <c r="AU3273" s="379"/>
      <c r="AV3273" s="379"/>
      <c r="AW3273" s="379"/>
      <c r="AX3273" s="379"/>
      <c r="AY3273" s="379"/>
      <c r="AZ3273" s="379"/>
      <c r="BA3273" s="379"/>
      <c r="BB3273" s="379"/>
      <c r="BC3273" s="379"/>
      <c r="BD3273" s="379"/>
      <c r="BE3273" s="379"/>
      <c r="BF3273" s="379"/>
      <c r="BG3273" s="379"/>
      <c r="BH3273" s="379"/>
      <c r="BI3273" s="379"/>
      <c r="BJ3273" s="379"/>
      <c r="BK3273" s="379"/>
      <c r="BL3273" s="379"/>
      <c r="BM3273" s="379"/>
      <c r="BN3273" s="379"/>
      <c r="BO3273" s="379"/>
      <c r="BP3273" s="379"/>
      <c r="BQ3273" s="379"/>
      <c r="BR3273" s="379"/>
      <c r="BS3273" s="379"/>
      <c r="BT3273" s="379"/>
      <c r="BU3273" s="379"/>
      <c r="BV3273" s="379"/>
      <c r="BW3273" s="379"/>
      <c r="BX3273" s="379"/>
      <c r="BY3273" s="379"/>
      <c r="BZ3273" s="379"/>
      <c r="CA3273" s="281"/>
      <c r="CB3273" s="3" t="str">
        <f t="shared" si="598"/>
        <v>Riadok bude skrytý.</v>
      </c>
      <c r="CC3273" s="271" t="s">
        <v>832</v>
      </c>
      <c r="CD3273" s="122"/>
      <c r="CE3273" s="33"/>
      <c r="CW3273" s="30">
        <f t="shared" si="601"/>
        <v>0</v>
      </c>
      <c r="CX3273" s="30">
        <f t="shared" si="602"/>
        <v>0</v>
      </c>
      <c r="CZ3273" s="30">
        <f t="shared" si="600"/>
        <v>1</v>
      </c>
      <c r="DA3273" s="52">
        <f t="shared" si="603"/>
        <v>0</v>
      </c>
      <c r="DB3273" s="2">
        <f t="shared" si="599"/>
        <v>0</v>
      </c>
      <c r="DS3273" s="130">
        <f>SI!BY3273</f>
        <v>147</v>
      </c>
      <c r="DZ3273" s="131">
        <f>SI!BZ3273</f>
        <v>0</v>
      </c>
    </row>
    <row r="3274" spans="1:130" hidden="1" x14ac:dyDescent="0.25">
      <c r="A3274" s="141"/>
      <c r="B3274" s="379"/>
      <c r="C3274" s="379"/>
      <c r="D3274" s="379"/>
      <c r="E3274" s="379"/>
      <c r="F3274" s="379"/>
      <c r="G3274" s="379"/>
      <c r="H3274" s="379"/>
      <c r="I3274" s="379"/>
      <c r="J3274" s="379"/>
      <c r="K3274" s="379"/>
      <c r="L3274" s="379"/>
      <c r="M3274" s="379"/>
      <c r="N3274" s="379"/>
      <c r="O3274" s="379"/>
      <c r="P3274" s="379"/>
      <c r="Q3274" s="379"/>
      <c r="R3274" s="379"/>
      <c r="S3274" s="379"/>
      <c r="T3274" s="379"/>
      <c r="U3274" s="379"/>
      <c r="V3274" s="379"/>
      <c r="W3274" s="379"/>
      <c r="X3274" s="379"/>
      <c r="Y3274" s="379"/>
      <c r="Z3274" s="379"/>
      <c r="AA3274" s="379"/>
      <c r="AB3274" s="379"/>
      <c r="AC3274" s="379"/>
      <c r="AD3274" s="379"/>
      <c r="AE3274" s="379"/>
      <c r="AF3274" s="379"/>
      <c r="AG3274" s="379"/>
      <c r="AH3274" s="379"/>
      <c r="AI3274" s="379"/>
      <c r="AJ3274" s="379"/>
      <c r="AK3274" s="379"/>
      <c r="AL3274" s="379"/>
      <c r="AM3274" s="379"/>
      <c r="AN3274" s="379"/>
      <c r="AO3274" s="379"/>
      <c r="AP3274" s="379"/>
      <c r="AQ3274" s="379"/>
      <c r="AR3274" s="379"/>
      <c r="AS3274" s="379"/>
      <c r="AT3274" s="379"/>
      <c r="AU3274" s="379"/>
      <c r="AV3274" s="379"/>
      <c r="AW3274" s="379"/>
      <c r="AX3274" s="379"/>
      <c r="AY3274" s="379"/>
      <c r="AZ3274" s="379"/>
      <c r="BA3274" s="379"/>
      <c r="BB3274" s="379"/>
      <c r="BC3274" s="379"/>
      <c r="BD3274" s="379"/>
      <c r="BE3274" s="379"/>
      <c r="BF3274" s="379"/>
      <c r="BG3274" s="379"/>
      <c r="BH3274" s="379"/>
      <c r="BI3274" s="379"/>
      <c r="BJ3274" s="379"/>
      <c r="BK3274" s="379"/>
      <c r="BL3274" s="379"/>
      <c r="BM3274" s="379"/>
      <c r="BN3274" s="379"/>
      <c r="BO3274" s="379"/>
      <c r="BP3274" s="379"/>
      <c r="BQ3274" s="379"/>
      <c r="BR3274" s="379"/>
      <c r="BS3274" s="379"/>
      <c r="BT3274" s="379"/>
      <c r="BU3274" s="379"/>
      <c r="BV3274" s="379"/>
      <c r="BW3274" s="379"/>
      <c r="BX3274" s="379"/>
      <c r="BY3274" s="379"/>
      <c r="BZ3274" s="379"/>
      <c r="CA3274" s="281"/>
      <c r="CB3274" s="3" t="str">
        <f t="shared" si="598"/>
        <v>Riadok bude skrytý.</v>
      </c>
      <c r="CC3274" s="271" t="s">
        <v>832</v>
      </c>
      <c r="CD3274" s="122"/>
      <c r="CE3274" s="33"/>
      <c r="CW3274" s="30">
        <f t="shared" si="601"/>
        <v>0</v>
      </c>
      <c r="CX3274" s="30">
        <f t="shared" si="602"/>
        <v>0</v>
      </c>
      <c r="CZ3274" s="30">
        <f t="shared" si="600"/>
        <v>1</v>
      </c>
      <c r="DA3274" s="52">
        <f t="shared" si="603"/>
        <v>0</v>
      </c>
      <c r="DB3274" s="2">
        <f t="shared" si="599"/>
        <v>0</v>
      </c>
      <c r="DS3274" s="130">
        <f>SI!BY3274</f>
        <v>138</v>
      </c>
      <c r="DZ3274" s="131">
        <f>SI!BZ3274</f>
        <v>0</v>
      </c>
    </row>
    <row r="3275" spans="1:130" hidden="1" x14ac:dyDescent="0.25">
      <c r="A3275" s="141"/>
      <c r="B3275" s="379"/>
      <c r="C3275" s="379"/>
      <c r="D3275" s="379"/>
      <c r="E3275" s="379"/>
      <c r="F3275" s="379"/>
      <c r="G3275" s="379"/>
      <c r="H3275" s="379"/>
      <c r="I3275" s="379"/>
      <c r="J3275" s="379"/>
      <c r="K3275" s="379"/>
      <c r="L3275" s="379"/>
      <c r="M3275" s="379"/>
      <c r="N3275" s="379"/>
      <c r="O3275" s="379"/>
      <c r="P3275" s="379"/>
      <c r="Q3275" s="379"/>
      <c r="R3275" s="379"/>
      <c r="S3275" s="379"/>
      <c r="T3275" s="379"/>
      <c r="U3275" s="379"/>
      <c r="V3275" s="379"/>
      <c r="W3275" s="379"/>
      <c r="X3275" s="379"/>
      <c r="Y3275" s="379"/>
      <c r="Z3275" s="379"/>
      <c r="AA3275" s="379"/>
      <c r="AB3275" s="379"/>
      <c r="AC3275" s="379"/>
      <c r="AD3275" s="379"/>
      <c r="AE3275" s="379"/>
      <c r="AF3275" s="379"/>
      <c r="AG3275" s="379"/>
      <c r="AH3275" s="379"/>
      <c r="AI3275" s="379"/>
      <c r="AJ3275" s="379"/>
      <c r="AK3275" s="379"/>
      <c r="AL3275" s="379"/>
      <c r="AM3275" s="379"/>
      <c r="AN3275" s="379"/>
      <c r="AO3275" s="379"/>
      <c r="AP3275" s="379"/>
      <c r="AQ3275" s="379"/>
      <c r="AR3275" s="379"/>
      <c r="AS3275" s="379"/>
      <c r="AT3275" s="379"/>
      <c r="AU3275" s="379"/>
      <c r="AV3275" s="379"/>
      <c r="AW3275" s="379"/>
      <c r="AX3275" s="379"/>
      <c r="AY3275" s="379"/>
      <c r="AZ3275" s="379"/>
      <c r="BA3275" s="379"/>
      <c r="BB3275" s="379"/>
      <c r="BC3275" s="379"/>
      <c r="BD3275" s="379"/>
      <c r="BE3275" s="379"/>
      <c r="BF3275" s="379"/>
      <c r="BG3275" s="379"/>
      <c r="BH3275" s="379"/>
      <c r="BI3275" s="379"/>
      <c r="BJ3275" s="379"/>
      <c r="BK3275" s="379"/>
      <c r="BL3275" s="379"/>
      <c r="BM3275" s="379"/>
      <c r="BN3275" s="379"/>
      <c r="BO3275" s="379"/>
      <c r="BP3275" s="379"/>
      <c r="BQ3275" s="379"/>
      <c r="BR3275" s="379"/>
      <c r="BS3275" s="379"/>
      <c r="BT3275" s="379"/>
      <c r="BU3275" s="379"/>
      <c r="BV3275" s="379"/>
      <c r="BW3275" s="379"/>
      <c r="BX3275" s="379"/>
      <c r="BY3275" s="379"/>
      <c r="BZ3275" s="379"/>
      <c r="CA3275" s="281"/>
      <c r="CB3275" s="3" t="str">
        <f t="shared" si="598"/>
        <v>Riadok bude skrytý.</v>
      </c>
      <c r="CC3275" s="271" t="s">
        <v>832</v>
      </c>
      <c r="CD3275" s="122"/>
      <c r="CE3275" s="33"/>
      <c r="CW3275" s="30">
        <f t="shared" si="601"/>
        <v>0</v>
      </c>
      <c r="CX3275" s="30">
        <f t="shared" si="602"/>
        <v>0</v>
      </c>
      <c r="CZ3275" s="30">
        <f t="shared" si="600"/>
        <v>1</v>
      </c>
      <c r="DA3275" s="52">
        <f t="shared" si="603"/>
        <v>0</v>
      </c>
      <c r="DB3275" s="2">
        <f t="shared" si="599"/>
        <v>0</v>
      </c>
      <c r="DS3275" s="130">
        <f>SI!BY3275</f>
        <v>158</v>
      </c>
      <c r="DZ3275" s="131">
        <f>SI!BZ3275</f>
        <v>0</v>
      </c>
    </row>
    <row r="3276" spans="1:130" hidden="1" x14ac:dyDescent="0.25">
      <c r="A3276" s="141"/>
      <c r="B3276" s="379"/>
      <c r="C3276" s="379"/>
      <c r="D3276" s="379"/>
      <c r="E3276" s="379"/>
      <c r="F3276" s="379"/>
      <c r="G3276" s="379"/>
      <c r="H3276" s="379"/>
      <c r="I3276" s="379"/>
      <c r="J3276" s="379"/>
      <c r="K3276" s="379"/>
      <c r="L3276" s="379"/>
      <c r="M3276" s="379"/>
      <c r="N3276" s="379"/>
      <c r="O3276" s="379"/>
      <c r="P3276" s="379"/>
      <c r="Q3276" s="379"/>
      <c r="R3276" s="379"/>
      <c r="S3276" s="379"/>
      <c r="T3276" s="379"/>
      <c r="U3276" s="379"/>
      <c r="V3276" s="379"/>
      <c r="W3276" s="379"/>
      <c r="X3276" s="379"/>
      <c r="Y3276" s="379"/>
      <c r="Z3276" s="379"/>
      <c r="AA3276" s="379"/>
      <c r="AB3276" s="379"/>
      <c r="AC3276" s="379"/>
      <c r="AD3276" s="379"/>
      <c r="AE3276" s="379"/>
      <c r="AF3276" s="379"/>
      <c r="AG3276" s="379"/>
      <c r="AH3276" s="379"/>
      <c r="AI3276" s="379"/>
      <c r="AJ3276" s="379"/>
      <c r="AK3276" s="379"/>
      <c r="AL3276" s="379"/>
      <c r="AM3276" s="379"/>
      <c r="AN3276" s="379"/>
      <c r="AO3276" s="379"/>
      <c r="AP3276" s="379"/>
      <c r="AQ3276" s="379"/>
      <c r="AR3276" s="379"/>
      <c r="AS3276" s="379"/>
      <c r="AT3276" s="379"/>
      <c r="AU3276" s="379"/>
      <c r="AV3276" s="379"/>
      <c r="AW3276" s="379"/>
      <c r="AX3276" s="379"/>
      <c r="AY3276" s="379"/>
      <c r="AZ3276" s="379"/>
      <c r="BA3276" s="379"/>
      <c r="BB3276" s="379"/>
      <c r="BC3276" s="379"/>
      <c r="BD3276" s="379"/>
      <c r="BE3276" s="379"/>
      <c r="BF3276" s="379"/>
      <c r="BG3276" s="379"/>
      <c r="BH3276" s="379"/>
      <c r="BI3276" s="379"/>
      <c r="BJ3276" s="379"/>
      <c r="BK3276" s="379"/>
      <c r="BL3276" s="379"/>
      <c r="BM3276" s="379"/>
      <c r="BN3276" s="379"/>
      <c r="BO3276" s="379"/>
      <c r="BP3276" s="379"/>
      <c r="BQ3276" s="379"/>
      <c r="BR3276" s="379"/>
      <c r="BS3276" s="379"/>
      <c r="BT3276" s="379"/>
      <c r="BU3276" s="379"/>
      <c r="BV3276" s="379"/>
      <c r="BW3276" s="379"/>
      <c r="BX3276" s="379"/>
      <c r="BY3276" s="379"/>
      <c r="BZ3276" s="379"/>
      <c r="CA3276" s="281"/>
      <c r="CB3276" s="3" t="str">
        <f t="shared" si="598"/>
        <v>Riadok bude skrytý.</v>
      </c>
      <c r="CC3276" s="271" t="s">
        <v>832</v>
      </c>
      <c r="CD3276" s="122"/>
      <c r="CE3276" s="33"/>
      <c r="CW3276" s="30">
        <f t="shared" si="601"/>
        <v>0</v>
      </c>
      <c r="CX3276" s="30">
        <f t="shared" si="602"/>
        <v>0</v>
      </c>
      <c r="CZ3276" s="30">
        <f t="shared" si="600"/>
        <v>1</v>
      </c>
      <c r="DA3276" s="52">
        <f t="shared" si="603"/>
        <v>0</v>
      </c>
      <c r="DB3276" s="2">
        <f t="shared" si="599"/>
        <v>0</v>
      </c>
      <c r="DS3276" s="130">
        <f>SI!BY3276</f>
        <v>119</v>
      </c>
      <c r="DZ3276" s="131">
        <f>SI!BZ3276</f>
        <v>0</v>
      </c>
    </row>
    <row r="3277" spans="1:130" hidden="1" x14ac:dyDescent="0.25">
      <c r="A3277" s="141"/>
      <c r="B3277" s="379"/>
      <c r="C3277" s="379"/>
      <c r="D3277" s="379"/>
      <c r="E3277" s="379"/>
      <c r="F3277" s="379"/>
      <c r="G3277" s="379"/>
      <c r="H3277" s="379"/>
      <c r="I3277" s="379"/>
      <c r="J3277" s="379"/>
      <c r="K3277" s="379"/>
      <c r="L3277" s="379"/>
      <c r="M3277" s="379"/>
      <c r="N3277" s="379"/>
      <c r="O3277" s="379"/>
      <c r="P3277" s="379"/>
      <c r="Q3277" s="379"/>
      <c r="R3277" s="379"/>
      <c r="S3277" s="379"/>
      <c r="T3277" s="379"/>
      <c r="U3277" s="379"/>
      <c r="V3277" s="379"/>
      <c r="W3277" s="379"/>
      <c r="X3277" s="379"/>
      <c r="Y3277" s="379"/>
      <c r="Z3277" s="379"/>
      <c r="AA3277" s="379"/>
      <c r="AB3277" s="379"/>
      <c r="AC3277" s="379"/>
      <c r="AD3277" s="379"/>
      <c r="AE3277" s="379"/>
      <c r="AF3277" s="379"/>
      <c r="AG3277" s="379"/>
      <c r="AH3277" s="379"/>
      <c r="AI3277" s="379"/>
      <c r="AJ3277" s="379"/>
      <c r="AK3277" s="379"/>
      <c r="AL3277" s="379"/>
      <c r="AM3277" s="379"/>
      <c r="AN3277" s="379"/>
      <c r="AO3277" s="379"/>
      <c r="AP3277" s="379"/>
      <c r="AQ3277" s="379"/>
      <c r="AR3277" s="379"/>
      <c r="AS3277" s="379"/>
      <c r="AT3277" s="379"/>
      <c r="AU3277" s="379"/>
      <c r="AV3277" s="379"/>
      <c r="AW3277" s="379"/>
      <c r="AX3277" s="379"/>
      <c r="AY3277" s="379"/>
      <c r="AZ3277" s="379"/>
      <c r="BA3277" s="379"/>
      <c r="BB3277" s="379"/>
      <c r="BC3277" s="379"/>
      <c r="BD3277" s="379"/>
      <c r="BE3277" s="379"/>
      <c r="BF3277" s="379"/>
      <c r="BG3277" s="379"/>
      <c r="BH3277" s="379"/>
      <c r="BI3277" s="379"/>
      <c r="BJ3277" s="379"/>
      <c r="BK3277" s="379"/>
      <c r="BL3277" s="379"/>
      <c r="BM3277" s="379"/>
      <c r="BN3277" s="379"/>
      <c r="BO3277" s="379"/>
      <c r="BP3277" s="379"/>
      <c r="BQ3277" s="379"/>
      <c r="BR3277" s="379"/>
      <c r="BS3277" s="379"/>
      <c r="BT3277" s="379"/>
      <c r="BU3277" s="379"/>
      <c r="BV3277" s="379"/>
      <c r="BW3277" s="379"/>
      <c r="BX3277" s="379"/>
      <c r="BY3277" s="379"/>
      <c r="BZ3277" s="379"/>
      <c r="CA3277" s="281"/>
      <c r="CB3277" s="3" t="str">
        <f t="shared" si="598"/>
        <v>Riadok bude skrytý.</v>
      </c>
      <c r="CC3277" s="271" t="s">
        <v>832</v>
      </c>
      <c r="CW3277" s="30">
        <f t="shared" si="601"/>
        <v>0</v>
      </c>
      <c r="CX3277" s="30">
        <f t="shared" si="602"/>
        <v>0</v>
      </c>
      <c r="CZ3277" s="30">
        <f t="shared" si="600"/>
        <v>1</v>
      </c>
      <c r="DA3277" s="52">
        <f t="shared" si="603"/>
        <v>0</v>
      </c>
      <c r="DB3277" s="2">
        <f t="shared" si="599"/>
        <v>0</v>
      </c>
      <c r="DS3277" s="130">
        <f>SI!BY3277</f>
        <v>185</v>
      </c>
      <c r="DZ3277" s="131">
        <f>SI!BZ3277</f>
        <v>0</v>
      </c>
    </row>
    <row r="3278" spans="1:130" hidden="1" x14ac:dyDescent="0.25">
      <c r="A3278" s="141"/>
      <c r="CA3278" s="270"/>
      <c r="CB3278" s="3" t="str">
        <f t="shared" si="598"/>
        <v>Riadok bude skrytý.</v>
      </c>
      <c r="CC3278" s="271" t="s">
        <v>832</v>
      </c>
      <c r="CW3278" s="30">
        <f t="shared" si="601"/>
        <v>0</v>
      </c>
      <c r="CZ3278" s="30">
        <f t="shared" si="600"/>
        <v>1</v>
      </c>
      <c r="DA3278" s="30">
        <f>+IF(CW3278+CX3278+CY3278=0,0,IF(CZ3278=0,0,1))</f>
        <v>0</v>
      </c>
      <c r="DB3278" s="2">
        <f t="shared" si="599"/>
        <v>0</v>
      </c>
      <c r="DS3278" s="130">
        <f>SI!BY3278</f>
        <v>170</v>
      </c>
      <c r="DZ3278" s="131">
        <f>SI!BZ3278</f>
        <v>0</v>
      </c>
    </row>
    <row r="3279" spans="1:130" hidden="1" x14ac:dyDescent="0.25">
      <c r="A3279" s="141"/>
      <c r="B3279" s="137" t="s">
        <v>96</v>
      </c>
      <c r="J3279" s="378" t="s">
        <v>858</v>
      </c>
      <c r="K3279" s="378"/>
      <c r="L3279" s="378"/>
      <c r="M3279" s="378"/>
      <c r="N3279" s="378"/>
      <c r="O3279" s="378"/>
      <c r="P3279" s="378"/>
      <c r="Q3279" s="378"/>
      <c r="R3279" s="378"/>
      <c r="S3279" s="378"/>
      <c r="T3279" s="378"/>
      <c r="U3279" s="137" t="s">
        <v>965</v>
      </c>
      <c r="V3279" s="38"/>
      <c r="W3279" s="38"/>
      <c r="X3279" s="38"/>
      <c r="CA3279" s="265" t="s">
        <v>773</v>
      </c>
      <c r="CB3279" s="3" t="str">
        <f t="shared" si="598"/>
        <v>Riadok bude skrytý.</v>
      </c>
      <c r="CC3279" s="271" t="s">
        <v>832</v>
      </c>
      <c r="CD3279" s="137"/>
      <c r="CE3279" s="137"/>
      <c r="CF3279" s="137"/>
      <c r="CG3279" s="137"/>
      <c r="CW3279" s="30">
        <f t="shared" si="601"/>
        <v>0</v>
      </c>
      <c r="CZ3279" s="30">
        <f t="shared" si="600"/>
        <v>1</v>
      </c>
      <c r="DA3279" s="30">
        <f>+IF(CW3279+CX3279+CY3279=0,0,IF(CZ3279=0,0,1))</f>
        <v>0</v>
      </c>
      <c r="DB3279" s="2">
        <f t="shared" si="599"/>
        <v>0</v>
      </c>
      <c r="DS3279" s="130">
        <f>SI!BY3279</f>
        <v>191</v>
      </c>
      <c r="DZ3279" s="131">
        <f>SI!BZ3279</f>
        <v>0</v>
      </c>
    </row>
    <row r="3280" spans="1:130" hidden="1" x14ac:dyDescent="0.25">
      <c r="A3280" s="141"/>
      <c r="B3280" s="137" t="str">
        <f>+IF($K$52&lt;&gt;"",IF(INT(SQRT((CODE(MID($K$52,1,1)))))*(IF(SI!EE3280="",1,SI!EE3280-2-1))+LEN(SI!J5)=DS3280,"na základe obvyklých obchodných podmienok.","NEPOVOLENÉ POUŽITIE!"),"NEPOVOLENÉ POUŽITIE!")</f>
        <v>na základe obvyklých obchodných podmienok.</v>
      </c>
      <c r="CA3280" s="142"/>
      <c r="CB3280" s="3" t="str">
        <f t="shared" si="598"/>
        <v>Riadok bude skrytý.</v>
      </c>
      <c r="CC3280" s="271" t="s">
        <v>832</v>
      </c>
      <c r="CW3280" s="30">
        <f t="shared" si="601"/>
        <v>0</v>
      </c>
      <c r="CZ3280" s="30">
        <f t="shared" si="600"/>
        <v>1</v>
      </c>
      <c r="DA3280" s="30">
        <f>+IF(CW3280+CX3280+CY3280=0,0,IF(CZ3280=0,0,1))</f>
        <v>0</v>
      </c>
      <c r="DB3280" s="2">
        <f t="shared" si="599"/>
        <v>0</v>
      </c>
      <c r="DS3280" s="130">
        <f>SI!BY3280</f>
        <v>15</v>
      </c>
      <c r="DZ3280" s="131">
        <f>SI!BZ3280</f>
        <v>0</v>
      </c>
    </row>
    <row r="3281" spans="1:130" hidden="1" x14ac:dyDescent="0.25">
      <c r="A3281" s="141"/>
      <c r="CA3281" s="270"/>
      <c r="CB3281" s="3" t="str">
        <f t="shared" si="598"/>
        <v>Riadok bude skrytý.</v>
      </c>
      <c r="CC3281" s="271" t="s">
        <v>832</v>
      </c>
      <c r="CW3281" s="30">
        <f t="shared" si="601"/>
        <v>0</v>
      </c>
      <c r="CX3281" s="30">
        <f t="shared" ref="CX3281:CX3307" si="604">+IF($J$3279="neuskutočnila",0,1)</f>
        <v>1</v>
      </c>
      <c r="CZ3281" s="30">
        <f t="shared" si="600"/>
        <v>1</v>
      </c>
      <c r="DA3281" s="52">
        <f t="shared" ref="DA3281:DA3286" si="605">+IF(CW3281*CX3281=0,0,IF(CZ3281=0,0,1))</f>
        <v>0</v>
      </c>
      <c r="DB3281" s="2">
        <f t="shared" si="599"/>
        <v>0</v>
      </c>
      <c r="DS3281" s="130">
        <f>SI!BY3281</f>
        <v>117</v>
      </c>
      <c r="DZ3281" s="131">
        <f>SI!BZ3281</f>
        <v>0</v>
      </c>
    </row>
    <row r="3282" spans="1:130" hidden="1" x14ac:dyDescent="0.25">
      <c r="A3282" s="141"/>
      <c r="B3282" s="137" t="str">
        <f>+IF(J3279="uskutočnila","Zoznam obchodov neuzavretých na základe obvyklých obchodných podmienok so spriaznenými osobami:","")</f>
        <v>Zoznam obchodov neuzavretých na základe obvyklých obchodných podmienok so spriaznenými osobami:</v>
      </c>
      <c r="CA3282" s="270"/>
      <c r="CB3282" s="3" t="str">
        <f t="shared" si="598"/>
        <v>Riadok bude skrytý.</v>
      </c>
      <c r="CC3282" s="271" t="s">
        <v>832</v>
      </c>
      <c r="CW3282" s="30">
        <f t="shared" si="601"/>
        <v>0</v>
      </c>
      <c r="CX3282" s="30">
        <f t="shared" si="604"/>
        <v>1</v>
      </c>
      <c r="CZ3282" s="30">
        <f t="shared" si="600"/>
        <v>1</v>
      </c>
      <c r="DA3282" s="52">
        <f t="shared" si="605"/>
        <v>0</v>
      </c>
      <c r="DB3282" s="2">
        <f t="shared" si="599"/>
        <v>0</v>
      </c>
      <c r="DS3282" s="130">
        <f>SI!BY3282</f>
        <v>139</v>
      </c>
      <c r="DZ3282" s="131">
        <f>SI!BZ3282</f>
        <v>0</v>
      </c>
    </row>
    <row r="3283" spans="1:130" hidden="1" x14ac:dyDescent="0.25">
      <c r="A3283" s="141"/>
      <c r="CA3283" s="270"/>
      <c r="CB3283" s="3" t="str">
        <f t="shared" si="598"/>
        <v>Riadok bude skrytý.</v>
      </c>
      <c r="CC3283" s="271" t="s">
        <v>832</v>
      </c>
      <c r="CW3283" s="30">
        <f t="shared" si="601"/>
        <v>0</v>
      </c>
      <c r="CX3283" s="30">
        <f t="shared" si="604"/>
        <v>1</v>
      </c>
      <c r="CZ3283" s="30">
        <f t="shared" si="600"/>
        <v>1</v>
      </c>
      <c r="DA3283" s="52">
        <f t="shared" si="605"/>
        <v>0</v>
      </c>
      <c r="DB3283" s="2">
        <f t="shared" si="599"/>
        <v>0</v>
      </c>
      <c r="DS3283" s="130">
        <f>SI!BY3283</f>
        <v>121</v>
      </c>
      <c r="DZ3283" s="131">
        <f>SI!BZ3283</f>
        <v>0</v>
      </c>
    </row>
    <row r="3284" spans="1:130" ht="14.95" hidden="1" customHeight="1" x14ac:dyDescent="0.25">
      <c r="A3284" s="141"/>
      <c r="B3284" s="2166" t="s">
        <v>424</v>
      </c>
      <c r="C3284" s="2167"/>
      <c r="D3284" s="2167"/>
      <c r="E3284" s="2167"/>
      <c r="F3284" s="2167"/>
      <c r="G3284" s="2167"/>
      <c r="H3284" s="2167"/>
      <c r="I3284" s="2167"/>
      <c r="J3284" s="2167"/>
      <c r="K3284" s="2167"/>
      <c r="L3284" s="2167"/>
      <c r="M3284" s="2167"/>
      <c r="N3284" s="2167"/>
      <c r="O3284" s="2167"/>
      <c r="P3284" s="2167"/>
      <c r="Q3284" s="2167"/>
      <c r="R3284" s="2167"/>
      <c r="S3284" s="2167"/>
      <c r="T3284" s="2167"/>
      <c r="U3284" s="2167"/>
      <c r="V3284" s="2167"/>
      <c r="W3284" s="2167"/>
      <c r="X3284" s="2167"/>
      <c r="Y3284" s="2167"/>
      <c r="Z3284" s="2167"/>
      <c r="AA3284" s="2167"/>
      <c r="AB3284" s="2168"/>
      <c r="AC3284" s="564" t="s">
        <v>841</v>
      </c>
      <c r="AD3284" s="565"/>
      <c r="AE3284" s="565"/>
      <c r="AF3284" s="565"/>
      <c r="AG3284" s="565"/>
      <c r="AH3284" s="565"/>
      <c r="AI3284" s="565"/>
      <c r="AJ3284" s="565"/>
      <c r="AK3284" s="565"/>
      <c r="AL3284" s="565"/>
      <c r="AM3284" s="565"/>
      <c r="AN3284" s="565"/>
      <c r="AO3284" s="565"/>
      <c r="AP3284" s="565"/>
      <c r="AQ3284" s="566"/>
      <c r="AR3284" s="1559" t="s">
        <v>983</v>
      </c>
      <c r="AS3284" s="1560"/>
      <c r="AT3284" s="1560"/>
      <c r="AU3284" s="1560"/>
      <c r="AV3284" s="1560"/>
      <c r="AW3284" s="1560"/>
      <c r="AX3284" s="1560"/>
      <c r="AY3284" s="1560"/>
      <c r="AZ3284" s="1560"/>
      <c r="BA3284" s="1560"/>
      <c r="BB3284" s="1560"/>
      <c r="BC3284" s="1560"/>
      <c r="BD3284" s="1560"/>
      <c r="BE3284" s="1560"/>
      <c r="BF3284" s="1560"/>
      <c r="BG3284" s="1560"/>
      <c r="BH3284" s="1560"/>
      <c r="BI3284" s="1560"/>
      <c r="BJ3284" s="1560"/>
      <c r="BK3284" s="1560"/>
      <c r="BL3284" s="1560"/>
      <c r="BM3284" s="1560"/>
      <c r="BN3284" s="1560"/>
      <c r="BO3284" s="1560"/>
      <c r="BP3284" s="1560"/>
      <c r="BQ3284" s="1560"/>
      <c r="BR3284" s="1560"/>
      <c r="BS3284" s="1560"/>
      <c r="BT3284" s="1560"/>
      <c r="BU3284" s="1560"/>
      <c r="BV3284" s="1560"/>
      <c r="BW3284" s="1560"/>
      <c r="BX3284" s="1560"/>
      <c r="BY3284" s="1560"/>
      <c r="BZ3284" s="1561"/>
      <c r="CA3284" s="265" t="s">
        <v>773</v>
      </c>
      <c r="CB3284" s="3" t="str">
        <f t="shared" si="598"/>
        <v>Riadok bude skrytý.</v>
      </c>
      <c r="CC3284" s="271" t="s">
        <v>832</v>
      </c>
      <c r="CD3284" s="137"/>
      <c r="CE3284" s="137"/>
      <c r="CF3284" s="137"/>
      <c r="CG3284" s="137"/>
      <c r="CH3284" s="137"/>
      <c r="CI3284" s="137"/>
      <c r="CJ3284" s="137"/>
      <c r="CK3284" s="137"/>
      <c r="CL3284" s="137"/>
      <c r="CM3284" s="137"/>
      <c r="CN3284" s="137"/>
      <c r="CO3284" s="137"/>
      <c r="CW3284" s="30">
        <f t="shared" si="601"/>
        <v>0</v>
      </c>
      <c r="CX3284" s="30">
        <f t="shared" si="604"/>
        <v>1</v>
      </c>
      <c r="CZ3284" s="30">
        <f t="shared" si="600"/>
        <v>1</v>
      </c>
      <c r="DA3284" s="52">
        <f t="shared" si="605"/>
        <v>0</v>
      </c>
      <c r="DB3284" s="2">
        <f t="shared" si="599"/>
        <v>0</v>
      </c>
      <c r="DS3284" s="130">
        <f>SI!BY3284</f>
        <v>169</v>
      </c>
      <c r="DZ3284" s="131">
        <f>SI!BZ3284</f>
        <v>0</v>
      </c>
    </row>
    <row r="3285" spans="1:130" ht="14.95" hidden="1" customHeight="1" x14ac:dyDescent="0.25">
      <c r="A3285" s="141"/>
      <c r="B3285" s="2169"/>
      <c r="C3285" s="2170"/>
      <c r="D3285" s="2170"/>
      <c r="E3285" s="2170"/>
      <c r="F3285" s="2170"/>
      <c r="G3285" s="2170"/>
      <c r="H3285" s="2170"/>
      <c r="I3285" s="2170"/>
      <c r="J3285" s="2170"/>
      <c r="K3285" s="2170"/>
      <c r="L3285" s="2170"/>
      <c r="M3285" s="2170"/>
      <c r="N3285" s="2170"/>
      <c r="O3285" s="2170"/>
      <c r="P3285" s="2170"/>
      <c r="Q3285" s="2170"/>
      <c r="R3285" s="2170"/>
      <c r="S3285" s="2170"/>
      <c r="T3285" s="2170"/>
      <c r="U3285" s="2170"/>
      <c r="V3285" s="2170"/>
      <c r="W3285" s="2170"/>
      <c r="X3285" s="2170"/>
      <c r="Y3285" s="2170"/>
      <c r="Z3285" s="2170"/>
      <c r="AA3285" s="2170"/>
      <c r="AB3285" s="2171"/>
      <c r="AC3285" s="567"/>
      <c r="AD3285" s="568"/>
      <c r="AE3285" s="568"/>
      <c r="AF3285" s="568"/>
      <c r="AG3285" s="568"/>
      <c r="AH3285" s="568"/>
      <c r="AI3285" s="568"/>
      <c r="AJ3285" s="568"/>
      <c r="AK3285" s="568"/>
      <c r="AL3285" s="568"/>
      <c r="AM3285" s="568"/>
      <c r="AN3285" s="568"/>
      <c r="AO3285" s="568"/>
      <c r="AP3285" s="568"/>
      <c r="AQ3285" s="569"/>
      <c r="AR3285" s="1440">
        <f>+AJ141</f>
        <v>2021</v>
      </c>
      <c r="AS3285" s="1441"/>
      <c r="AT3285" s="1441"/>
      <c r="AU3285" s="1441"/>
      <c r="AV3285" s="1441"/>
      <c r="AW3285" s="1441"/>
      <c r="AX3285" s="1441"/>
      <c r="AY3285" s="1441"/>
      <c r="AZ3285" s="1441"/>
      <c r="BA3285" s="1441"/>
      <c r="BB3285" s="1441"/>
      <c r="BC3285" s="1441"/>
      <c r="BD3285" s="1441"/>
      <c r="BE3285" s="1441"/>
      <c r="BF3285" s="1441"/>
      <c r="BG3285" s="1441"/>
      <c r="BH3285" s="1441"/>
      <c r="BI3285" s="1441"/>
      <c r="BJ3285" s="1441"/>
      <c r="BK3285" s="1441"/>
      <c r="BL3285" s="1441"/>
      <c r="BM3285" s="1441"/>
      <c r="BN3285" s="1441"/>
      <c r="BO3285" s="1441"/>
      <c r="BP3285" s="1441"/>
      <c r="BQ3285" s="1441"/>
      <c r="BR3285" s="1441"/>
      <c r="BS3285" s="1441"/>
      <c r="BT3285" s="1441"/>
      <c r="BU3285" s="1441"/>
      <c r="BV3285" s="1441"/>
      <c r="BW3285" s="1441"/>
      <c r="BX3285" s="1441"/>
      <c r="BY3285" s="1441"/>
      <c r="BZ3285" s="1442"/>
      <c r="CA3285" s="270"/>
      <c r="CB3285" s="3" t="str">
        <f t="shared" si="598"/>
        <v>Riadok bude skrytý.</v>
      </c>
      <c r="CC3285" s="271" t="s">
        <v>832</v>
      </c>
      <c r="CD3285" s="137"/>
      <c r="CE3285" s="137"/>
      <c r="CF3285" s="137"/>
      <c r="CG3285" s="137"/>
      <c r="CW3285" s="30">
        <f t="shared" si="601"/>
        <v>0</v>
      </c>
      <c r="CX3285" s="30">
        <f t="shared" si="604"/>
        <v>1</v>
      </c>
      <c r="CZ3285" s="30">
        <f t="shared" si="600"/>
        <v>1</v>
      </c>
      <c r="DA3285" s="52">
        <f t="shared" si="605"/>
        <v>0</v>
      </c>
      <c r="DB3285" s="2">
        <f t="shared" si="599"/>
        <v>0</v>
      </c>
      <c r="DS3285" s="130">
        <f>SI!BY3285</f>
        <v>120</v>
      </c>
      <c r="DZ3285" s="131">
        <f>SI!BZ3285</f>
        <v>0</v>
      </c>
    </row>
    <row r="3286" spans="1:130" hidden="1" x14ac:dyDescent="0.25">
      <c r="A3286" s="141"/>
      <c r="B3286" s="555"/>
      <c r="C3286" s="556"/>
      <c r="D3286" s="556"/>
      <c r="E3286" s="556"/>
      <c r="F3286" s="556"/>
      <c r="G3286" s="556"/>
      <c r="H3286" s="556"/>
      <c r="I3286" s="556"/>
      <c r="J3286" s="556"/>
      <c r="K3286" s="556"/>
      <c r="L3286" s="556"/>
      <c r="M3286" s="556"/>
      <c r="N3286" s="556"/>
      <c r="O3286" s="556"/>
      <c r="P3286" s="556"/>
      <c r="Q3286" s="556"/>
      <c r="R3286" s="556"/>
      <c r="S3286" s="556"/>
      <c r="T3286" s="556"/>
      <c r="U3286" s="556"/>
      <c r="V3286" s="556"/>
      <c r="W3286" s="556"/>
      <c r="X3286" s="556"/>
      <c r="Y3286" s="556"/>
      <c r="Z3286" s="556"/>
      <c r="AA3286" s="556"/>
      <c r="AB3286" s="557"/>
      <c r="AC3286" s="558"/>
      <c r="AD3286" s="559"/>
      <c r="AE3286" s="559"/>
      <c r="AF3286" s="559"/>
      <c r="AG3286" s="559"/>
      <c r="AH3286" s="559"/>
      <c r="AI3286" s="559"/>
      <c r="AJ3286" s="559"/>
      <c r="AK3286" s="559"/>
      <c r="AL3286" s="559"/>
      <c r="AM3286" s="559"/>
      <c r="AN3286" s="559"/>
      <c r="AO3286" s="559"/>
      <c r="AP3286" s="559"/>
      <c r="AQ3286" s="560"/>
      <c r="AR3286" s="561"/>
      <c r="AS3286" s="562"/>
      <c r="AT3286" s="562"/>
      <c r="AU3286" s="562"/>
      <c r="AV3286" s="562"/>
      <c r="AW3286" s="562"/>
      <c r="AX3286" s="562"/>
      <c r="AY3286" s="562"/>
      <c r="AZ3286" s="562"/>
      <c r="BA3286" s="562"/>
      <c r="BB3286" s="562"/>
      <c r="BC3286" s="562"/>
      <c r="BD3286" s="562"/>
      <c r="BE3286" s="562"/>
      <c r="BF3286" s="562"/>
      <c r="BG3286" s="562"/>
      <c r="BH3286" s="562"/>
      <c r="BI3286" s="562"/>
      <c r="BJ3286" s="562"/>
      <c r="BK3286" s="562"/>
      <c r="BL3286" s="562"/>
      <c r="BM3286" s="562"/>
      <c r="BN3286" s="562"/>
      <c r="BO3286" s="562"/>
      <c r="BP3286" s="562"/>
      <c r="BQ3286" s="562"/>
      <c r="BR3286" s="562"/>
      <c r="BS3286" s="562"/>
      <c r="BT3286" s="562"/>
      <c r="BU3286" s="562"/>
      <c r="BV3286" s="562"/>
      <c r="BW3286" s="562"/>
      <c r="BX3286" s="562"/>
      <c r="BY3286" s="562"/>
      <c r="BZ3286" s="563"/>
      <c r="CA3286" s="270"/>
      <c r="CB3286" s="3" t="str">
        <f t="shared" si="598"/>
        <v>Riadok bude skrytý.</v>
      </c>
      <c r="CC3286" s="271" t="s">
        <v>832</v>
      </c>
      <c r="CW3286" s="30">
        <f t="shared" si="601"/>
        <v>0</v>
      </c>
      <c r="CX3286" s="30">
        <f t="shared" si="604"/>
        <v>1</v>
      </c>
      <c r="CZ3286" s="30">
        <f t="shared" si="600"/>
        <v>1</v>
      </c>
      <c r="DA3286" s="52">
        <f t="shared" si="605"/>
        <v>0</v>
      </c>
      <c r="DB3286" s="2">
        <f t="shared" si="599"/>
        <v>0</v>
      </c>
      <c r="DS3286" s="130">
        <f>SI!BY3286</f>
        <v>114</v>
      </c>
      <c r="DZ3286" s="131">
        <f>SI!BZ3286</f>
        <v>0</v>
      </c>
    </row>
    <row r="3287" spans="1:130" hidden="1" x14ac:dyDescent="0.25">
      <c r="A3287" s="141"/>
      <c r="B3287" s="515"/>
      <c r="C3287" s="516"/>
      <c r="D3287" s="516"/>
      <c r="E3287" s="516"/>
      <c r="F3287" s="516"/>
      <c r="G3287" s="516"/>
      <c r="H3287" s="516"/>
      <c r="I3287" s="516"/>
      <c r="J3287" s="516"/>
      <c r="K3287" s="516"/>
      <c r="L3287" s="516"/>
      <c r="M3287" s="516"/>
      <c r="N3287" s="516"/>
      <c r="O3287" s="516"/>
      <c r="P3287" s="516"/>
      <c r="Q3287" s="516"/>
      <c r="R3287" s="516"/>
      <c r="S3287" s="516"/>
      <c r="T3287" s="516"/>
      <c r="U3287" s="516"/>
      <c r="V3287" s="516"/>
      <c r="W3287" s="516"/>
      <c r="X3287" s="516"/>
      <c r="Y3287" s="516"/>
      <c r="Z3287" s="516"/>
      <c r="AA3287" s="516"/>
      <c r="AB3287" s="517"/>
      <c r="AC3287" s="552"/>
      <c r="AD3287" s="553"/>
      <c r="AE3287" s="553"/>
      <c r="AF3287" s="553"/>
      <c r="AG3287" s="553"/>
      <c r="AH3287" s="553"/>
      <c r="AI3287" s="553"/>
      <c r="AJ3287" s="553"/>
      <c r="AK3287" s="553"/>
      <c r="AL3287" s="553"/>
      <c r="AM3287" s="553"/>
      <c r="AN3287" s="553"/>
      <c r="AO3287" s="553"/>
      <c r="AP3287" s="553"/>
      <c r="AQ3287" s="554"/>
      <c r="AR3287" s="549"/>
      <c r="AS3287" s="550"/>
      <c r="AT3287" s="550"/>
      <c r="AU3287" s="550"/>
      <c r="AV3287" s="550"/>
      <c r="AW3287" s="550"/>
      <c r="AX3287" s="550"/>
      <c r="AY3287" s="550"/>
      <c r="AZ3287" s="550"/>
      <c r="BA3287" s="550"/>
      <c r="BB3287" s="550"/>
      <c r="BC3287" s="550"/>
      <c r="BD3287" s="550"/>
      <c r="BE3287" s="550"/>
      <c r="BF3287" s="550"/>
      <c r="BG3287" s="550"/>
      <c r="BH3287" s="550"/>
      <c r="BI3287" s="550"/>
      <c r="BJ3287" s="550"/>
      <c r="BK3287" s="550"/>
      <c r="BL3287" s="550"/>
      <c r="BM3287" s="550"/>
      <c r="BN3287" s="550"/>
      <c r="BO3287" s="550"/>
      <c r="BP3287" s="550"/>
      <c r="BQ3287" s="550"/>
      <c r="BR3287" s="550"/>
      <c r="BS3287" s="550"/>
      <c r="BT3287" s="550"/>
      <c r="BU3287" s="550"/>
      <c r="BV3287" s="550"/>
      <c r="BW3287" s="550"/>
      <c r="BX3287" s="550"/>
      <c r="BY3287" s="550"/>
      <c r="BZ3287" s="551"/>
      <c r="CA3287" s="270"/>
      <c r="CB3287" s="3" t="str">
        <f t="shared" si="598"/>
        <v>Riadok bude skrytý.</v>
      </c>
      <c r="CC3287" s="271" t="s">
        <v>832</v>
      </c>
      <c r="CW3287" s="30">
        <f t="shared" si="601"/>
        <v>0</v>
      </c>
      <c r="CX3287" s="30">
        <f t="shared" si="604"/>
        <v>1</v>
      </c>
      <c r="CY3287" s="30">
        <f>+IF(B3287="",0,1)</f>
        <v>0</v>
      </c>
      <c r="CZ3287" s="30">
        <f>IF(CC3287="",1,IF(CC3287="Chcem skryť riadok.",0,1))</f>
        <v>1</v>
      </c>
      <c r="DA3287" s="53">
        <f>+IF(CW3287*CX3287*CY3287=0,0,IF(CZ3287=0,0,1))</f>
        <v>0</v>
      </c>
      <c r="DB3287" s="2">
        <f t="shared" si="599"/>
        <v>0</v>
      </c>
      <c r="DS3287" s="130">
        <f>SI!BY3287</f>
        <v>188</v>
      </c>
      <c r="DZ3287" s="131">
        <f>SI!BZ3287</f>
        <v>0</v>
      </c>
    </row>
    <row r="3288" spans="1:130" hidden="1" x14ac:dyDescent="0.25">
      <c r="A3288" s="141"/>
      <c r="B3288" s="515"/>
      <c r="C3288" s="516"/>
      <c r="D3288" s="516"/>
      <c r="E3288" s="516"/>
      <c r="F3288" s="516"/>
      <c r="G3288" s="516"/>
      <c r="H3288" s="516"/>
      <c r="I3288" s="516"/>
      <c r="J3288" s="516"/>
      <c r="K3288" s="516"/>
      <c r="L3288" s="516"/>
      <c r="M3288" s="516"/>
      <c r="N3288" s="516"/>
      <c r="O3288" s="516"/>
      <c r="P3288" s="516"/>
      <c r="Q3288" s="516"/>
      <c r="R3288" s="516"/>
      <c r="S3288" s="516"/>
      <c r="T3288" s="516"/>
      <c r="U3288" s="516"/>
      <c r="V3288" s="516"/>
      <c r="W3288" s="516"/>
      <c r="X3288" s="516"/>
      <c r="Y3288" s="516"/>
      <c r="Z3288" s="516"/>
      <c r="AA3288" s="516"/>
      <c r="AB3288" s="517"/>
      <c r="AC3288" s="552"/>
      <c r="AD3288" s="553"/>
      <c r="AE3288" s="553"/>
      <c r="AF3288" s="553"/>
      <c r="AG3288" s="553"/>
      <c r="AH3288" s="553"/>
      <c r="AI3288" s="553"/>
      <c r="AJ3288" s="553"/>
      <c r="AK3288" s="553"/>
      <c r="AL3288" s="553"/>
      <c r="AM3288" s="553"/>
      <c r="AN3288" s="553"/>
      <c r="AO3288" s="553"/>
      <c r="AP3288" s="553"/>
      <c r="AQ3288" s="554"/>
      <c r="AR3288" s="549"/>
      <c r="AS3288" s="550"/>
      <c r="AT3288" s="550"/>
      <c r="AU3288" s="550"/>
      <c r="AV3288" s="550"/>
      <c r="AW3288" s="550"/>
      <c r="AX3288" s="550"/>
      <c r="AY3288" s="550"/>
      <c r="AZ3288" s="550"/>
      <c r="BA3288" s="550"/>
      <c r="BB3288" s="550"/>
      <c r="BC3288" s="550"/>
      <c r="BD3288" s="550"/>
      <c r="BE3288" s="550"/>
      <c r="BF3288" s="550"/>
      <c r="BG3288" s="550"/>
      <c r="BH3288" s="550"/>
      <c r="BI3288" s="550"/>
      <c r="BJ3288" s="550"/>
      <c r="BK3288" s="550"/>
      <c r="BL3288" s="550"/>
      <c r="BM3288" s="550"/>
      <c r="BN3288" s="550"/>
      <c r="BO3288" s="550"/>
      <c r="BP3288" s="550"/>
      <c r="BQ3288" s="550"/>
      <c r="BR3288" s="550"/>
      <c r="BS3288" s="550"/>
      <c r="BT3288" s="550"/>
      <c r="BU3288" s="550"/>
      <c r="BV3288" s="550"/>
      <c r="BW3288" s="550"/>
      <c r="BX3288" s="550"/>
      <c r="BY3288" s="550"/>
      <c r="BZ3288" s="551"/>
      <c r="CA3288" s="270"/>
      <c r="CB3288" s="3" t="str">
        <f t="shared" si="598"/>
        <v>Riadok bude skrytý.</v>
      </c>
      <c r="CC3288" s="271" t="s">
        <v>832</v>
      </c>
      <c r="CW3288" s="30">
        <f t="shared" si="601"/>
        <v>0</v>
      </c>
      <c r="CX3288" s="30">
        <f t="shared" si="604"/>
        <v>1</v>
      </c>
      <c r="CY3288" s="30">
        <f>+IF(B3288="",0,1)</f>
        <v>0</v>
      </c>
      <c r="CZ3288" s="30">
        <f>IF(CC3288="",1,IF(CC3288="Chcem skryť riadok.",0,1))</f>
        <v>1</v>
      </c>
      <c r="DA3288" s="53">
        <f>+IF(CW3288*CX3288*CY3288=0,0,IF(CZ3288=0,0,1))</f>
        <v>0</v>
      </c>
      <c r="DB3288" s="2">
        <f t="shared" si="599"/>
        <v>0</v>
      </c>
      <c r="DS3288" s="130">
        <f>SI!BY3288</f>
        <v>186</v>
      </c>
      <c r="DZ3288" s="131">
        <f>SI!BZ3288</f>
        <v>0</v>
      </c>
    </row>
    <row r="3289" spans="1:130" hidden="1" x14ac:dyDescent="0.25">
      <c r="A3289" s="141"/>
      <c r="B3289" s="515"/>
      <c r="C3289" s="516"/>
      <c r="D3289" s="516"/>
      <c r="E3289" s="516"/>
      <c r="F3289" s="516"/>
      <c r="G3289" s="516"/>
      <c r="H3289" s="516"/>
      <c r="I3289" s="516"/>
      <c r="J3289" s="516"/>
      <c r="K3289" s="516"/>
      <c r="L3289" s="516"/>
      <c r="M3289" s="516"/>
      <c r="N3289" s="516"/>
      <c r="O3289" s="516"/>
      <c r="P3289" s="516"/>
      <c r="Q3289" s="516"/>
      <c r="R3289" s="516"/>
      <c r="S3289" s="516"/>
      <c r="T3289" s="516"/>
      <c r="U3289" s="516"/>
      <c r="V3289" s="516"/>
      <c r="W3289" s="516"/>
      <c r="X3289" s="516"/>
      <c r="Y3289" s="516"/>
      <c r="Z3289" s="516"/>
      <c r="AA3289" s="516"/>
      <c r="AB3289" s="517"/>
      <c r="AC3289" s="552"/>
      <c r="AD3289" s="553"/>
      <c r="AE3289" s="553"/>
      <c r="AF3289" s="553"/>
      <c r="AG3289" s="553"/>
      <c r="AH3289" s="553"/>
      <c r="AI3289" s="553"/>
      <c r="AJ3289" s="553"/>
      <c r="AK3289" s="553"/>
      <c r="AL3289" s="553"/>
      <c r="AM3289" s="553"/>
      <c r="AN3289" s="553"/>
      <c r="AO3289" s="553"/>
      <c r="AP3289" s="553"/>
      <c r="AQ3289" s="554"/>
      <c r="AR3289" s="549"/>
      <c r="AS3289" s="550"/>
      <c r="AT3289" s="550"/>
      <c r="AU3289" s="550"/>
      <c r="AV3289" s="550"/>
      <c r="AW3289" s="550"/>
      <c r="AX3289" s="550"/>
      <c r="AY3289" s="550"/>
      <c r="AZ3289" s="550"/>
      <c r="BA3289" s="550"/>
      <c r="BB3289" s="550"/>
      <c r="BC3289" s="550"/>
      <c r="BD3289" s="550"/>
      <c r="BE3289" s="550"/>
      <c r="BF3289" s="550"/>
      <c r="BG3289" s="550"/>
      <c r="BH3289" s="550"/>
      <c r="BI3289" s="550"/>
      <c r="BJ3289" s="550"/>
      <c r="BK3289" s="550"/>
      <c r="BL3289" s="550"/>
      <c r="BM3289" s="550"/>
      <c r="BN3289" s="550"/>
      <c r="BO3289" s="550"/>
      <c r="BP3289" s="550"/>
      <c r="BQ3289" s="550"/>
      <c r="BR3289" s="550"/>
      <c r="BS3289" s="550"/>
      <c r="BT3289" s="550"/>
      <c r="BU3289" s="550"/>
      <c r="BV3289" s="550"/>
      <c r="BW3289" s="550"/>
      <c r="BX3289" s="550"/>
      <c r="BY3289" s="550"/>
      <c r="BZ3289" s="551"/>
      <c r="CA3289" s="270"/>
      <c r="CB3289" s="3" t="str">
        <f t="shared" si="598"/>
        <v>Riadok bude skrytý.</v>
      </c>
      <c r="CC3289" s="271" t="s">
        <v>832</v>
      </c>
      <c r="CW3289" s="30">
        <f t="shared" si="601"/>
        <v>0</v>
      </c>
      <c r="CX3289" s="30">
        <f t="shared" si="604"/>
        <v>1</v>
      </c>
      <c r="CY3289" s="30">
        <f t="shared" ref="CY3289:CY3306" si="606">+IF(B3289="",0,1)</f>
        <v>0</v>
      </c>
      <c r="CZ3289" s="30">
        <f t="shared" si="600"/>
        <v>1</v>
      </c>
      <c r="DA3289" s="53">
        <f>+IF(CW3289*CX3289*CY3289=0,0,IF(CZ3289=0,0,1))</f>
        <v>0</v>
      </c>
      <c r="DB3289" s="2">
        <f t="shared" si="599"/>
        <v>0</v>
      </c>
      <c r="DS3289" s="130">
        <f>SI!BY3289</f>
        <v>154</v>
      </c>
      <c r="DZ3289" s="131">
        <f>SI!BZ3289</f>
        <v>0</v>
      </c>
    </row>
    <row r="3290" spans="1:130" hidden="1" x14ac:dyDescent="0.25">
      <c r="A3290" s="141"/>
      <c r="B3290" s="515"/>
      <c r="C3290" s="516"/>
      <c r="D3290" s="516"/>
      <c r="E3290" s="516"/>
      <c r="F3290" s="516"/>
      <c r="G3290" s="516"/>
      <c r="H3290" s="516"/>
      <c r="I3290" s="516"/>
      <c r="J3290" s="516"/>
      <c r="K3290" s="516"/>
      <c r="L3290" s="516"/>
      <c r="M3290" s="516"/>
      <c r="N3290" s="516"/>
      <c r="O3290" s="516"/>
      <c r="P3290" s="516"/>
      <c r="Q3290" s="516"/>
      <c r="R3290" s="516"/>
      <c r="S3290" s="516"/>
      <c r="T3290" s="516"/>
      <c r="U3290" s="516"/>
      <c r="V3290" s="516"/>
      <c r="W3290" s="516"/>
      <c r="X3290" s="516"/>
      <c r="Y3290" s="516"/>
      <c r="Z3290" s="516"/>
      <c r="AA3290" s="516"/>
      <c r="AB3290" s="517"/>
      <c r="AC3290" s="552"/>
      <c r="AD3290" s="553"/>
      <c r="AE3290" s="553"/>
      <c r="AF3290" s="553"/>
      <c r="AG3290" s="553"/>
      <c r="AH3290" s="553"/>
      <c r="AI3290" s="553"/>
      <c r="AJ3290" s="553"/>
      <c r="AK3290" s="553"/>
      <c r="AL3290" s="553"/>
      <c r="AM3290" s="553"/>
      <c r="AN3290" s="553"/>
      <c r="AO3290" s="553"/>
      <c r="AP3290" s="553"/>
      <c r="AQ3290" s="554"/>
      <c r="AR3290" s="549"/>
      <c r="AS3290" s="550"/>
      <c r="AT3290" s="550"/>
      <c r="AU3290" s="550"/>
      <c r="AV3290" s="550"/>
      <c r="AW3290" s="550"/>
      <c r="AX3290" s="550"/>
      <c r="AY3290" s="550"/>
      <c r="AZ3290" s="550"/>
      <c r="BA3290" s="550"/>
      <c r="BB3290" s="550"/>
      <c r="BC3290" s="550"/>
      <c r="BD3290" s="550"/>
      <c r="BE3290" s="550"/>
      <c r="BF3290" s="550"/>
      <c r="BG3290" s="550"/>
      <c r="BH3290" s="550"/>
      <c r="BI3290" s="550"/>
      <c r="BJ3290" s="550"/>
      <c r="BK3290" s="550"/>
      <c r="BL3290" s="550"/>
      <c r="BM3290" s="550"/>
      <c r="BN3290" s="550"/>
      <c r="BO3290" s="550"/>
      <c r="BP3290" s="550"/>
      <c r="BQ3290" s="550"/>
      <c r="BR3290" s="550"/>
      <c r="BS3290" s="550"/>
      <c r="BT3290" s="550"/>
      <c r="BU3290" s="550"/>
      <c r="BV3290" s="550"/>
      <c r="BW3290" s="550"/>
      <c r="BX3290" s="550"/>
      <c r="BY3290" s="550"/>
      <c r="BZ3290" s="551"/>
      <c r="CA3290" s="270"/>
      <c r="CB3290" s="3" t="str">
        <f t="shared" si="598"/>
        <v>Riadok bude skrytý.</v>
      </c>
      <c r="CC3290" s="271" t="s">
        <v>832</v>
      </c>
      <c r="CW3290" s="30">
        <f t="shared" ref="CW3290:CW3321" si="607">+IF($J$3256="nie je",0,1)</f>
        <v>0</v>
      </c>
      <c r="CX3290" s="30">
        <f t="shared" si="604"/>
        <v>1</v>
      </c>
      <c r="CY3290" s="30">
        <f t="shared" si="606"/>
        <v>0</v>
      </c>
      <c r="CZ3290" s="30">
        <f t="shared" si="600"/>
        <v>1</v>
      </c>
      <c r="DA3290" s="53">
        <f t="shared" ref="DA3290:DA3306" si="608">+IF(CW3290*CX3290*CY3290=0,0,IF(CZ3290=0,0,1))</f>
        <v>0</v>
      </c>
      <c r="DB3290" s="2">
        <f t="shared" si="599"/>
        <v>0</v>
      </c>
      <c r="DS3290" s="130">
        <f>SI!BY3290</f>
        <v>115</v>
      </c>
      <c r="DZ3290" s="131">
        <f>SI!BZ3290</f>
        <v>0</v>
      </c>
    </row>
    <row r="3291" spans="1:130" hidden="1" x14ac:dyDescent="0.25">
      <c r="A3291" s="141"/>
      <c r="B3291" s="515"/>
      <c r="C3291" s="516"/>
      <c r="D3291" s="516"/>
      <c r="E3291" s="516"/>
      <c r="F3291" s="516"/>
      <c r="G3291" s="516"/>
      <c r="H3291" s="516"/>
      <c r="I3291" s="516"/>
      <c r="J3291" s="516"/>
      <c r="K3291" s="516"/>
      <c r="L3291" s="516"/>
      <c r="M3291" s="516"/>
      <c r="N3291" s="516"/>
      <c r="O3291" s="516"/>
      <c r="P3291" s="516"/>
      <c r="Q3291" s="516"/>
      <c r="R3291" s="516"/>
      <c r="S3291" s="516"/>
      <c r="T3291" s="516"/>
      <c r="U3291" s="516"/>
      <c r="V3291" s="516"/>
      <c r="W3291" s="516"/>
      <c r="X3291" s="516"/>
      <c r="Y3291" s="516"/>
      <c r="Z3291" s="516"/>
      <c r="AA3291" s="516"/>
      <c r="AB3291" s="517"/>
      <c r="AC3291" s="552"/>
      <c r="AD3291" s="553"/>
      <c r="AE3291" s="553"/>
      <c r="AF3291" s="553"/>
      <c r="AG3291" s="553"/>
      <c r="AH3291" s="553"/>
      <c r="AI3291" s="553"/>
      <c r="AJ3291" s="553"/>
      <c r="AK3291" s="553"/>
      <c r="AL3291" s="553"/>
      <c r="AM3291" s="553"/>
      <c r="AN3291" s="553"/>
      <c r="AO3291" s="553"/>
      <c r="AP3291" s="553"/>
      <c r="AQ3291" s="554"/>
      <c r="AR3291" s="549"/>
      <c r="AS3291" s="550"/>
      <c r="AT3291" s="550"/>
      <c r="AU3291" s="550"/>
      <c r="AV3291" s="550"/>
      <c r="AW3291" s="550"/>
      <c r="AX3291" s="550"/>
      <c r="AY3291" s="550"/>
      <c r="AZ3291" s="550"/>
      <c r="BA3291" s="550"/>
      <c r="BB3291" s="550"/>
      <c r="BC3291" s="550"/>
      <c r="BD3291" s="550"/>
      <c r="BE3291" s="550"/>
      <c r="BF3291" s="550"/>
      <c r="BG3291" s="550"/>
      <c r="BH3291" s="550"/>
      <c r="BI3291" s="550"/>
      <c r="BJ3291" s="550"/>
      <c r="BK3291" s="550"/>
      <c r="BL3291" s="550"/>
      <c r="BM3291" s="550"/>
      <c r="BN3291" s="550"/>
      <c r="BO3291" s="550"/>
      <c r="BP3291" s="550"/>
      <c r="BQ3291" s="550"/>
      <c r="BR3291" s="550"/>
      <c r="BS3291" s="550"/>
      <c r="BT3291" s="550"/>
      <c r="BU3291" s="550"/>
      <c r="BV3291" s="550"/>
      <c r="BW3291" s="550"/>
      <c r="BX3291" s="550"/>
      <c r="BY3291" s="550"/>
      <c r="BZ3291" s="551"/>
      <c r="CA3291" s="270"/>
      <c r="CB3291" s="3" t="str">
        <f t="shared" si="598"/>
        <v>Riadok bude skrytý.</v>
      </c>
      <c r="CC3291" s="271" t="s">
        <v>832</v>
      </c>
      <c r="CW3291" s="30">
        <f t="shared" si="607"/>
        <v>0</v>
      </c>
      <c r="CX3291" s="30">
        <f t="shared" si="604"/>
        <v>1</v>
      </c>
      <c r="CY3291" s="30">
        <f t="shared" si="606"/>
        <v>0</v>
      </c>
      <c r="CZ3291" s="30">
        <f t="shared" si="600"/>
        <v>1</v>
      </c>
      <c r="DA3291" s="53">
        <f t="shared" si="608"/>
        <v>0</v>
      </c>
      <c r="DB3291" s="2">
        <f t="shared" si="599"/>
        <v>0</v>
      </c>
      <c r="DS3291" s="130">
        <f>SI!BY3291</f>
        <v>174</v>
      </c>
      <c r="DZ3291" s="131">
        <f>SI!BZ3291</f>
        <v>0</v>
      </c>
    </row>
    <row r="3292" spans="1:130" hidden="1" x14ac:dyDescent="0.25">
      <c r="A3292" s="141"/>
      <c r="B3292" s="515"/>
      <c r="C3292" s="516"/>
      <c r="D3292" s="516"/>
      <c r="E3292" s="516"/>
      <c r="F3292" s="516"/>
      <c r="G3292" s="516"/>
      <c r="H3292" s="516"/>
      <c r="I3292" s="516"/>
      <c r="J3292" s="516"/>
      <c r="K3292" s="516"/>
      <c r="L3292" s="516"/>
      <c r="M3292" s="516"/>
      <c r="N3292" s="516"/>
      <c r="O3292" s="516"/>
      <c r="P3292" s="516"/>
      <c r="Q3292" s="516"/>
      <c r="R3292" s="516"/>
      <c r="S3292" s="516"/>
      <c r="T3292" s="516"/>
      <c r="U3292" s="516"/>
      <c r="V3292" s="516"/>
      <c r="W3292" s="516"/>
      <c r="X3292" s="516"/>
      <c r="Y3292" s="516"/>
      <c r="Z3292" s="516"/>
      <c r="AA3292" s="516"/>
      <c r="AB3292" s="517"/>
      <c r="AC3292" s="552"/>
      <c r="AD3292" s="553"/>
      <c r="AE3292" s="553"/>
      <c r="AF3292" s="553"/>
      <c r="AG3292" s="553"/>
      <c r="AH3292" s="553"/>
      <c r="AI3292" s="553"/>
      <c r="AJ3292" s="553"/>
      <c r="AK3292" s="553"/>
      <c r="AL3292" s="553"/>
      <c r="AM3292" s="553"/>
      <c r="AN3292" s="553"/>
      <c r="AO3292" s="553"/>
      <c r="AP3292" s="553"/>
      <c r="AQ3292" s="554"/>
      <c r="AR3292" s="549"/>
      <c r="AS3292" s="550"/>
      <c r="AT3292" s="550"/>
      <c r="AU3292" s="550"/>
      <c r="AV3292" s="550"/>
      <c r="AW3292" s="550"/>
      <c r="AX3292" s="550"/>
      <c r="AY3292" s="550"/>
      <c r="AZ3292" s="550"/>
      <c r="BA3292" s="550"/>
      <c r="BB3292" s="550"/>
      <c r="BC3292" s="550"/>
      <c r="BD3292" s="550"/>
      <c r="BE3292" s="550"/>
      <c r="BF3292" s="550"/>
      <c r="BG3292" s="550"/>
      <c r="BH3292" s="550"/>
      <c r="BI3292" s="550"/>
      <c r="BJ3292" s="550"/>
      <c r="BK3292" s="550"/>
      <c r="BL3292" s="550"/>
      <c r="BM3292" s="550"/>
      <c r="BN3292" s="550"/>
      <c r="BO3292" s="550"/>
      <c r="BP3292" s="550"/>
      <c r="BQ3292" s="550"/>
      <c r="BR3292" s="550"/>
      <c r="BS3292" s="550"/>
      <c r="BT3292" s="550"/>
      <c r="BU3292" s="550"/>
      <c r="BV3292" s="550"/>
      <c r="BW3292" s="550"/>
      <c r="BX3292" s="550"/>
      <c r="BY3292" s="550"/>
      <c r="BZ3292" s="551"/>
      <c r="CA3292" s="270"/>
      <c r="CB3292" s="3" t="str">
        <f t="shared" si="598"/>
        <v>Riadok bude skrytý.</v>
      </c>
      <c r="CC3292" s="271" t="s">
        <v>832</v>
      </c>
      <c r="CW3292" s="30">
        <f t="shared" si="607"/>
        <v>0</v>
      </c>
      <c r="CX3292" s="30">
        <f t="shared" si="604"/>
        <v>1</v>
      </c>
      <c r="CY3292" s="30">
        <f t="shared" si="606"/>
        <v>0</v>
      </c>
      <c r="CZ3292" s="30">
        <f t="shared" si="600"/>
        <v>1</v>
      </c>
      <c r="DA3292" s="53">
        <f t="shared" si="608"/>
        <v>0</v>
      </c>
      <c r="DB3292" s="2">
        <f t="shared" si="599"/>
        <v>0</v>
      </c>
      <c r="DS3292" s="130">
        <f>SI!BY3292</f>
        <v>357</v>
      </c>
      <c r="DZ3292" s="131">
        <f>SI!BZ3292</f>
        <v>0</v>
      </c>
    </row>
    <row r="3293" spans="1:130" hidden="1" x14ac:dyDescent="0.25">
      <c r="A3293" s="141"/>
      <c r="B3293" s="515"/>
      <c r="C3293" s="516"/>
      <c r="D3293" s="516"/>
      <c r="E3293" s="516"/>
      <c r="F3293" s="516"/>
      <c r="G3293" s="516"/>
      <c r="H3293" s="516"/>
      <c r="I3293" s="516"/>
      <c r="J3293" s="516"/>
      <c r="K3293" s="516"/>
      <c r="L3293" s="516"/>
      <c r="M3293" s="516"/>
      <c r="N3293" s="516"/>
      <c r="O3293" s="516"/>
      <c r="P3293" s="516"/>
      <c r="Q3293" s="516"/>
      <c r="R3293" s="516"/>
      <c r="S3293" s="516"/>
      <c r="T3293" s="516"/>
      <c r="U3293" s="516"/>
      <c r="V3293" s="516"/>
      <c r="W3293" s="516"/>
      <c r="X3293" s="516"/>
      <c r="Y3293" s="516"/>
      <c r="Z3293" s="516"/>
      <c r="AA3293" s="516"/>
      <c r="AB3293" s="517"/>
      <c r="AC3293" s="552"/>
      <c r="AD3293" s="553"/>
      <c r="AE3293" s="553"/>
      <c r="AF3293" s="553"/>
      <c r="AG3293" s="553"/>
      <c r="AH3293" s="553"/>
      <c r="AI3293" s="553"/>
      <c r="AJ3293" s="553"/>
      <c r="AK3293" s="553"/>
      <c r="AL3293" s="553"/>
      <c r="AM3293" s="553"/>
      <c r="AN3293" s="553"/>
      <c r="AO3293" s="553"/>
      <c r="AP3293" s="553"/>
      <c r="AQ3293" s="554"/>
      <c r="AR3293" s="549"/>
      <c r="AS3293" s="550"/>
      <c r="AT3293" s="550"/>
      <c r="AU3293" s="550"/>
      <c r="AV3293" s="550"/>
      <c r="AW3293" s="550"/>
      <c r="AX3293" s="550"/>
      <c r="AY3293" s="550"/>
      <c r="AZ3293" s="550"/>
      <c r="BA3293" s="550"/>
      <c r="BB3293" s="550"/>
      <c r="BC3293" s="550"/>
      <c r="BD3293" s="550"/>
      <c r="BE3293" s="550"/>
      <c r="BF3293" s="550"/>
      <c r="BG3293" s="550"/>
      <c r="BH3293" s="550"/>
      <c r="BI3293" s="550"/>
      <c r="BJ3293" s="550"/>
      <c r="BK3293" s="550"/>
      <c r="BL3293" s="550"/>
      <c r="BM3293" s="550"/>
      <c r="BN3293" s="550"/>
      <c r="BO3293" s="550"/>
      <c r="BP3293" s="550"/>
      <c r="BQ3293" s="550"/>
      <c r="BR3293" s="550"/>
      <c r="BS3293" s="550"/>
      <c r="BT3293" s="550"/>
      <c r="BU3293" s="550"/>
      <c r="BV3293" s="550"/>
      <c r="BW3293" s="550"/>
      <c r="BX3293" s="550"/>
      <c r="BY3293" s="550"/>
      <c r="BZ3293" s="551"/>
      <c r="CA3293" s="270"/>
      <c r="CB3293" s="3" t="str">
        <f t="shared" si="598"/>
        <v>Riadok bude skrytý.</v>
      </c>
      <c r="CC3293" s="271" t="s">
        <v>832</v>
      </c>
      <c r="CD3293" s="122"/>
      <c r="CE3293" s="33"/>
      <c r="CW3293" s="30">
        <f t="shared" si="607"/>
        <v>0</v>
      </c>
      <c r="CX3293" s="30">
        <f t="shared" si="604"/>
        <v>1</v>
      </c>
      <c r="CY3293" s="30">
        <f t="shared" si="606"/>
        <v>0</v>
      </c>
      <c r="CZ3293" s="30">
        <f t="shared" si="600"/>
        <v>1</v>
      </c>
      <c r="DA3293" s="53">
        <f t="shared" si="608"/>
        <v>0</v>
      </c>
      <c r="DB3293" s="2">
        <f t="shared" si="599"/>
        <v>0</v>
      </c>
      <c r="DS3293" s="130">
        <f>SI!BY3293</f>
        <v>186</v>
      </c>
      <c r="DZ3293" s="131">
        <f>SI!BZ3293</f>
        <v>0</v>
      </c>
    </row>
    <row r="3294" spans="1:130" hidden="1" x14ac:dyDescent="0.25">
      <c r="A3294" s="141"/>
      <c r="B3294" s="515"/>
      <c r="C3294" s="516"/>
      <c r="D3294" s="516"/>
      <c r="E3294" s="516"/>
      <c r="F3294" s="516"/>
      <c r="G3294" s="516"/>
      <c r="H3294" s="516"/>
      <c r="I3294" s="516"/>
      <c r="J3294" s="516"/>
      <c r="K3294" s="516"/>
      <c r="L3294" s="516"/>
      <c r="M3294" s="516"/>
      <c r="N3294" s="516"/>
      <c r="O3294" s="516"/>
      <c r="P3294" s="516"/>
      <c r="Q3294" s="516"/>
      <c r="R3294" s="516"/>
      <c r="S3294" s="516"/>
      <c r="T3294" s="516"/>
      <c r="U3294" s="516"/>
      <c r="V3294" s="516"/>
      <c r="W3294" s="516"/>
      <c r="X3294" s="516"/>
      <c r="Y3294" s="516"/>
      <c r="Z3294" s="516"/>
      <c r="AA3294" s="516"/>
      <c r="AB3294" s="517"/>
      <c r="AC3294" s="552"/>
      <c r="AD3294" s="553"/>
      <c r="AE3294" s="553"/>
      <c r="AF3294" s="553"/>
      <c r="AG3294" s="553"/>
      <c r="AH3294" s="553"/>
      <c r="AI3294" s="553"/>
      <c r="AJ3294" s="553"/>
      <c r="AK3294" s="553"/>
      <c r="AL3294" s="553"/>
      <c r="AM3294" s="553"/>
      <c r="AN3294" s="553"/>
      <c r="AO3294" s="553"/>
      <c r="AP3294" s="553"/>
      <c r="AQ3294" s="554"/>
      <c r="AR3294" s="549"/>
      <c r="AS3294" s="550"/>
      <c r="AT3294" s="550"/>
      <c r="AU3294" s="550"/>
      <c r="AV3294" s="550"/>
      <c r="AW3294" s="550"/>
      <c r="AX3294" s="550"/>
      <c r="AY3294" s="550"/>
      <c r="AZ3294" s="550"/>
      <c r="BA3294" s="550"/>
      <c r="BB3294" s="550"/>
      <c r="BC3294" s="550"/>
      <c r="BD3294" s="550"/>
      <c r="BE3294" s="550"/>
      <c r="BF3294" s="550"/>
      <c r="BG3294" s="550"/>
      <c r="BH3294" s="550"/>
      <c r="BI3294" s="550"/>
      <c r="BJ3294" s="550"/>
      <c r="BK3294" s="550"/>
      <c r="BL3294" s="550"/>
      <c r="BM3294" s="550"/>
      <c r="BN3294" s="550"/>
      <c r="BO3294" s="550"/>
      <c r="BP3294" s="550"/>
      <c r="BQ3294" s="550"/>
      <c r="BR3294" s="550"/>
      <c r="BS3294" s="550"/>
      <c r="BT3294" s="550"/>
      <c r="BU3294" s="550"/>
      <c r="BV3294" s="550"/>
      <c r="BW3294" s="550"/>
      <c r="BX3294" s="550"/>
      <c r="BY3294" s="550"/>
      <c r="BZ3294" s="551"/>
      <c r="CA3294" s="270"/>
      <c r="CB3294" s="3" t="str">
        <f t="shared" si="598"/>
        <v>Riadok bude skrytý.</v>
      </c>
      <c r="CC3294" s="271" t="s">
        <v>832</v>
      </c>
      <c r="CD3294" s="122"/>
      <c r="CE3294" s="33"/>
      <c r="CW3294" s="30">
        <f t="shared" si="607"/>
        <v>0</v>
      </c>
      <c r="CX3294" s="30">
        <f t="shared" si="604"/>
        <v>1</v>
      </c>
      <c r="CY3294" s="30">
        <f t="shared" si="606"/>
        <v>0</v>
      </c>
      <c r="CZ3294" s="30">
        <f t="shared" si="600"/>
        <v>1</v>
      </c>
      <c r="DA3294" s="53">
        <f t="shared" si="608"/>
        <v>0</v>
      </c>
      <c r="DB3294" s="2">
        <f t="shared" si="599"/>
        <v>0</v>
      </c>
      <c r="DS3294" s="130">
        <f>SI!BY3294</f>
        <v>10</v>
      </c>
      <c r="DZ3294" s="131">
        <f>SI!BZ3294</f>
        <v>0</v>
      </c>
    </row>
    <row r="3295" spans="1:130" hidden="1" x14ac:dyDescent="0.25">
      <c r="A3295" s="141"/>
      <c r="B3295" s="515"/>
      <c r="C3295" s="516"/>
      <c r="D3295" s="516"/>
      <c r="E3295" s="516"/>
      <c r="F3295" s="516"/>
      <c r="G3295" s="516"/>
      <c r="H3295" s="516"/>
      <c r="I3295" s="516"/>
      <c r="J3295" s="516"/>
      <c r="K3295" s="516"/>
      <c r="L3295" s="516"/>
      <c r="M3295" s="516"/>
      <c r="N3295" s="516"/>
      <c r="O3295" s="516"/>
      <c r="P3295" s="516"/>
      <c r="Q3295" s="516"/>
      <c r="R3295" s="516"/>
      <c r="S3295" s="516"/>
      <c r="T3295" s="516"/>
      <c r="U3295" s="516"/>
      <c r="V3295" s="516"/>
      <c r="W3295" s="516"/>
      <c r="X3295" s="516"/>
      <c r="Y3295" s="516"/>
      <c r="Z3295" s="516"/>
      <c r="AA3295" s="516"/>
      <c r="AB3295" s="517"/>
      <c r="AC3295" s="552"/>
      <c r="AD3295" s="553"/>
      <c r="AE3295" s="553"/>
      <c r="AF3295" s="553"/>
      <c r="AG3295" s="553"/>
      <c r="AH3295" s="553"/>
      <c r="AI3295" s="553"/>
      <c r="AJ3295" s="553"/>
      <c r="AK3295" s="553"/>
      <c r="AL3295" s="553"/>
      <c r="AM3295" s="553"/>
      <c r="AN3295" s="553"/>
      <c r="AO3295" s="553"/>
      <c r="AP3295" s="553"/>
      <c r="AQ3295" s="554"/>
      <c r="AR3295" s="549"/>
      <c r="AS3295" s="550"/>
      <c r="AT3295" s="550"/>
      <c r="AU3295" s="550"/>
      <c r="AV3295" s="550"/>
      <c r="AW3295" s="550"/>
      <c r="AX3295" s="550"/>
      <c r="AY3295" s="550"/>
      <c r="AZ3295" s="550"/>
      <c r="BA3295" s="550"/>
      <c r="BB3295" s="550"/>
      <c r="BC3295" s="550"/>
      <c r="BD3295" s="550"/>
      <c r="BE3295" s="550"/>
      <c r="BF3295" s="550"/>
      <c r="BG3295" s="550"/>
      <c r="BH3295" s="550"/>
      <c r="BI3295" s="550"/>
      <c r="BJ3295" s="550"/>
      <c r="BK3295" s="550"/>
      <c r="BL3295" s="550"/>
      <c r="BM3295" s="550"/>
      <c r="BN3295" s="550"/>
      <c r="BO3295" s="550"/>
      <c r="BP3295" s="550"/>
      <c r="BQ3295" s="550"/>
      <c r="BR3295" s="550"/>
      <c r="BS3295" s="550"/>
      <c r="BT3295" s="550"/>
      <c r="BU3295" s="550"/>
      <c r="BV3295" s="550"/>
      <c r="BW3295" s="550"/>
      <c r="BX3295" s="550"/>
      <c r="BY3295" s="550"/>
      <c r="BZ3295" s="551"/>
      <c r="CA3295" s="270"/>
      <c r="CB3295" s="3" t="str">
        <f t="shared" si="598"/>
        <v>Riadok bude skrytý.</v>
      </c>
      <c r="CC3295" s="271" t="s">
        <v>832</v>
      </c>
      <c r="CD3295" s="122"/>
      <c r="CE3295" s="33"/>
      <c r="CW3295" s="30">
        <f t="shared" si="607"/>
        <v>0</v>
      </c>
      <c r="CX3295" s="30">
        <f t="shared" si="604"/>
        <v>1</v>
      </c>
      <c r="CY3295" s="30">
        <f t="shared" si="606"/>
        <v>0</v>
      </c>
      <c r="CZ3295" s="30">
        <f t="shared" si="600"/>
        <v>1</v>
      </c>
      <c r="DA3295" s="53">
        <f t="shared" si="608"/>
        <v>0</v>
      </c>
      <c r="DB3295" s="2">
        <f t="shared" si="599"/>
        <v>0</v>
      </c>
      <c r="DS3295" s="130">
        <f>SI!BY3295</f>
        <v>146</v>
      </c>
      <c r="DZ3295" s="131">
        <f>SI!BZ3295</f>
        <v>0</v>
      </c>
    </row>
    <row r="3296" spans="1:130" hidden="1" x14ac:dyDescent="0.25">
      <c r="A3296" s="141"/>
      <c r="B3296" s="515"/>
      <c r="C3296" s="516"/>
      <c r="D3296" s="516"/>
      <c r="E3296" s="516"/>
      <c r="F3296" s="516"/>
      <c r="G3296" s="516"/>
      <c r="H3296" s="516"/>
      <c r="I3296" s="516"/>
      <c r="J3296" s="516"/>
      <c r="K3296" s="516"/>
      <c r="L3296" s="516"/>
      <c r="M3296" s="516"/>
      <c r="N3296" s="516"/>
      <c r="O3296" s="516"/>
      <c r="P3296" s="516"/>
      <c r="Q3296" s="516"/>
      <c r="R3296" s="516"/>
      <c r="S3296" s="516"/>
      <c r="T3296" s="516"/>
      <c r="U3296" s="516"/>
      <c r="V3296" s="516"/>
      <c r="W3296" s="516"/>
      <c r="X3296" s="516"/>
      <c r="Y3296" s="516"/>
      <c r="Z3296" s="516"/>
      <c r="AA3296" s="516"/>
      <c r="AB3296" s="517"/>
      <c r="AC3296" s="552"/>
      <c r="AD3296" s="553"/>
      <c r="AE3296" s="553"/>
      <c r="AF3296" s="553"/>
      <c r="AG3296" s="553"/>
      <c r="AH3296" s="553"/>
      <c r="AI3296" s="553"/>
      <c r="AJ3296" s="553"/>
      <c r="AK3296" s="553"/>
      <c r="AL3296" s="553"/>
      <c r="AM3296" s="553"/>
      <c r="AN3296" s="553"/>
      <c r="AO3296" s="553"/>
      <c r="AP3296" s="553"/>
      <c r="AQ3296" s="554"/>
      <c r="AR3296" s="549"/>
      <c r="AS3296" s="550"/>
      <c r="AT3296" s="550"/>
      <c r="AU3296" s="550"/>
      <c r="AV3296" s="550"/>
      <c r="AW3296" s="550"/>
      <c r="AX3296" s="550"/>
      <c r="AY3296" s="550"/>
      <c r="AZ3296" s="550"/>
      <c r="BA3296" s="550"/>
      <c r="BB3296" s="550"/>
      <c r="BC3296" s="550"/>
      <c r="BD3296" s="550"/>
      <c r="BE3296" s="550"/>
      <c r="BF3296" s="550"/>
      <c r="BG3296" s="550"/>
      <c r="BH3296" s="550"/>
      <c r="BI3296" s="550"/>
      <c r="BJ3296" s="550"/>
      <c r="BK3296" s="550"/>
      <c r="BL3296" s="550"/>
      <c r="BM3296" s="550"/>
      <c r="BN3296" s="550"/>
      <c r="BO3296" s="550"/>
      <c r="BP3296" s="550"/>
      <c r="BQ3296" s="550"/>
      <c r="BR3296" s="550"/>
      <c r="BS3296" s="550"/>
      <c r="BT3296" s="550"/>
      <c r="BU3296" s="550"/>
      <c r="BV3296" s="550"/>
      <c r="BW3296" s="550"/>
      <c r="BX3296" s="550"/>
      <c r="BY3296" s="550"/>
      <c r="BZ3296" s="551"/>
      <c r="CA3296" s="270"/>
      <c r="CB3296" s="3" t="str">
        <f t="shared" si="598"/>
        <v>Riadok bude skrytý.</v>
      </c>
      <c r="CC3296" s="271" t="s">
        <v>832</v>
      </c>
      <c r="CD3296" s="122"/>
      <c r="CE3296" s="33"/>
      <c r="CW3296" s="30">
        <f t="shared" si="607"/>
        <v>0</v>
      </c>
      <c r="CX3296" s="30">
        <f t="shared" si="604"/>
        <v>1</v>
      </c>
      <c r="CY3296" s="30">
        <f t="shared" si="606"/>
        <v>0</v>
      </c>
      <c r="CZ3296" s="30">
        <f t="shared" si="600"/>
        <v>1</v>
      </c>
      <c r="DA3296" s="53">
        <f t="shared" si="608"/>
        <v>0</v>
      </c>
      <c r="DB3296" s="2">
        <f t="shared" si="599"/>
        <v>0</v>
      </c>
      <c r="DS3296" s="130">
        <f>SI!BY3296</f>
        <v>131</v>
      </c>
      <c r="DZ3296" s="131">
        <f>SI!BZ3296</f>
        <v>0</v>
      </c>
    </row>
    <row r="3297" spans="1:130" hidden="1" x14ac:dyDescent="0.25">
      <c r="A3297" s="141"/>
      <c r="B3297" s="515"/>
      <c r="C3297" s="516"/>
      <c r="D3297" s="516"/>
      <c r="E3297" s="516"/>
      <c r="F3297" s="516"/>
      <c r="G3297" s="516"/>
      <c r="H3297" s="516"/>
      <c r="I3297" s="516"/>
      <c r="J3297" s="516"/>
      <c r="K3297" s="516"/>
      <c r="L3297" s="516"/>
      <c r="M3297" s="516"/>
      <c r="N3297" s="516"/>
      <c r="O3297" s="516"/>
      <c r="P3297" s="516"/>
      <c r="Q3297" s="516"/>
      <c r="R3297" s="516"/>
      <c r="S3297" s="516"/>
      <c r="T3297" s="516"/>
      <c r="U3297" s="516"/>
      <c r="V3297" s="516"/>
      <c r="W3297" s="516"/>
      <c r="X3297" s="516"/>
      <c r="Y3297" s="516"/>
      <c r="Z3297" s="516"/>
      <c r="AA3297" s="516"/>
      <c r="AB3297" s="517"/>
      <c r="AC3297" s="552"/>
      <c r="AD3297" s="553"/>
      <c r="AE3297" s="553"/>
      <c r="AF3297" s="553"/>
      <c r="AG3297" s="553"/>
      <c r="AH3297" s="553"/>
      <c r="AI3297" s="553"/>
      <c r="AJ3297" s="553"/>
      <c r="AK3297" s="553"/>
      <c r="AL3297" s="553"/>
      <c r="AM3297" s="553"/>
      <c r="AN3297" s="553"/>
      <c r="AO3297" s="553"/>
      <c r="AP3297" s="553"/>
      <c r="AQ3297" s="554"/>
      <c r="AR3297" s="549"/>
      <c r="AS3297" s="550"/>
      <c r="AT3297" s="550"/>
      <c r="AU3297" s="550"/>
      <c r="AV3297" s="550"/>
      <c r="AW3297" s="550"/>
      <c r="AX3297" s="550"/>
      <c r="AY3297" s="550"/>
      <c r="AZ3297" s="550"/>
      <c r="BA3297" s="550"/>
      <c r="BB3297" s="550"/>
      <c r="BC3297" s="550"/>
      <c r="BD3297" s="550"/>
      <c r="BE3297" s="550"/>
      <c r="BF3297" s="550"/>
      <c r="BG3297" s="550"/>
      <c r="BH3297" s="550"/>
      <c r="BI3297" s="550"/>
      <c r="BJ3297" s="550"/>
      <c r="BK3297" s="550"/>
      <c r="BL3297" s="550"/>
      <c r="BM3297" s="550"/>
      <c r="BN3297" s="550"/>
      <c r="BO3297" s="550"/>
      <c r="BP3297" s="550"/>
      <c r="BQ3297" s="550"/>
      <c r="BR3297" s="550"/>
      <c r="BS3297" s="550"/>
      <c r="BT3297" s="550"/>
      <c r="BU3297" s="550"/>
      <c r="BV3297" s="550"/>
      <c r="BW3297" s="550"/>
      <c r="BX3297" s="550"/>
      <c r="BY3297" s="550"/>
      <c r="BZ3297" s="551"/>
      <c r="CA3297" s="270"/>
      <c r="CB3297" s="3" t="str">
        <f t="shared" si="598"/>
        <v>Riadok bude skrytý.</v>
      </c>
      <c r="CC3297" s="271" t="s">
        <v>832</v>
      </c>
      <c r="CD3297" s="122"/>
      <c r="CE3297" s="33"/>
      <c r="CW3297" s="30">
        <f t="shared" si="607"/>
        <v>0</v>
      </c>
      <c r="CX3297" s="30">
        <f t="shared" si="604"/>
        <v>1</v>
      </c>
      <c r="CY3297" s="30">
        <f t="shared" si="606"/>
        <v>0</v>
      </c>
      <c r="CZ3297" s="30">
        <f t="shared" si="600"/>
        <v>1</v>
      </c>
      <c r="DA3297" s="53">
        <f t="shared" si="608"/>
        <v>0</v>
      </c>
      <c r="DB3297" s="2">
        <f t="shared" si="599"/>
        <v>0</v>
      </c>
      <c r="DS3297" s="130">
        <f>SI!BY3297</f>
        <v>203</v>
      </c>
      <c r="DZ3297" s="131">
        <f>SI!BZ3297</f>
        <v>0</v>
      </c>
    </row>
    <row r="3298" spans="1:130" hidden="1" x14ac:dyDescent="0.25">
      <c r="A3298" s="141"/>
      <c r="B3298" s="515"/>
      <c r="C3298" s="516"/>
      <c r="D3298" s="516"/>
      <c r="E3298" s="516"/>
      <c r="F3298" s="516"/>
      <c r="G3298" s="516"/>
      <c r="H3298" s="516"/>
      <c r="I3298" s="516"/>
      <c r="J3298" s="516"/>
      <c r="K3298" s="516"/>
      <c r="L3298" s="516"/>
      <c r="M3298" s="516"/>
      <c r="N3298" s="516"/>
      <c r="O3298" s="516"/>
      <c r="P3298" s="516"/>
      <c r="Q3298" s="516"/>
      <c r="R3298" s="516"/>
      <c r="S3298" s="516"/>
      <c r="T3298" s="516"/>
      <c r="U3298" s="516"/>
      <c r="V3298" s="516"/>
      <c r="W3298" s="516"/>
      <c r="X3298" s="516"/>
      <c r="Y3298" s="516"/>
      <c r="Z3298" s="516"/>
      <c r="AA3298" s="516"/>
      <c r="AB3298" s="517"/>
      <c r="AC3298" s="552"/>
      <c r="AD3298" s="553"/>
      <c r="AE3298" s="553"/>
      <c r="AF3298" s="553"/>
      <c r="AG3298" s="553"/>
      <c r="AH3298" s="553"/>
      <c r="AI3298" s="553"/>
      <c r="AJ3298" s="553"/>
      <c r="AK3298" s="553"/>
      <c r="AL3298" s="553"/>
      <c r="AM3298" s="553"/>
      <c r="AN3298" s="553"/>
      <c r="AO3298" s="553"/>
      <c r="AP3298" s="553"/>
      <c r="AQ3298" s="554"/>
      <c r="AR3298" s="549"/>
      <c r="AS3298" s="550"/>
      <c r="AT3298" s="550"/>
      <c r="AU3298" s="550"/>
      <c r="AV3298" s="550"/>
      <c r="AW3298" s="550"/>
      <c r="AX3298" s="550"/>
      <c r="AY3298" s="550"/>
      <c r="AZ3298" s="550"/>
      <c r="BA3298" s="550"/>
      <c r="BB3298" s="550"/>
      <c r="BC3298" s="550"/>
      <c r="BD3298" s="550"/>
      <c r="BE3298" s="550"/>
      <c r="BF3298" s="550"/>
      <c r="BG3298" s="550"/>
      <c r="BH3298" s="550"/>
      <c r="BI3298" s="550"/>
      <c r="BJ3298" s="550"/>
      <c r="BK3298" s="550"/>
      <c r="BL3298" s="550"/>
      <c r="BM3298" s="550"/>
      <c r="BN3298" s="550"/>
      <c r="BO3298" s="550"/>
      <c r="BP3298" s="550"/>
      <c r="BQ3298" s="550"/>
      <c r="BR3298" s="550"/>
      <c r="BS3298" s="550"/>
      <c r="BT3298" s="550"/>
      <c r="BU3298" s="550"/>
      <c r="BV3298" s="550"/>
      <c r="BW3298" s="550"/>
      <c r="BX3298" s="550"/>
      <c r="BY3298" s="550"/>
      <c r="BZ3298" s="551"/>
      <c r="CA3298" s="270"/>
      <c r="CB3298" s="3" t="str">
        <f t="shared" si="598"/>
        <v>Riadok bude skrytý.</v>
      </c>
      <c r="CC3298" s="271" t="s">
        <v>832</v>
      </c>
      <c r="CD3298" s="122"/>
      <c r="CE3298" s="33"/>
      <c r="CW3298" s="30">
        <f t="shared" si="607"/>
        <v>0</v>
      </c>
      <c r="CX3298" s="30">
        <f t="shared" si="604"/>
        <v>1</v>
      </c>
      <c r="CY3298" s="30">
        <f t="shared" si="606"/>
        <v>0</v>
      </c>
      <c r="CZ3298" s="30">
        <f t="shared" si="600"/>
        <v>1</v>
      </c>
      <c r="DA3298" s="53">
        <f t="shared" si="608"/>
        <v>0</v>
      </c>
      <c r="DB3298" s="2">
        <f t="shared" si="599"/>
        <v>0</v>
      </c>
      <c r="DS3298" s="130">
        <f>SI!BY3298</f>
        <v>308</v>
      </c>
      <c r="DZ3298" s="131">
        <f>SI!BZ3298</f>
        <v>0</v>
      </c>
    </row>
    <row r="3299" spans="1:130" hidden="1" x14ac:dyDescent="0.25">
      <c r="A3299" s="141"/>
      <c r="B3299" s="515"/>
      <c r="C3299" s="516"/>
      <c r="D3299" s="516"/>
      <c r="E3299" s="516"/>
      <c r="F3299" s="516"/>
      <c r="G3299" s="516"/>
      <c r="H3299" s="516"/>
      <c r="I3299" s="516"/>
      <c r="J3299" s="516"/>
      <c r="K3299" s="516"/>
      <c r="L3299" s="516"/>
      <c r="M3299" s="516"/>
      <c r="N3299" s="516"/>
      <c r="O3299" s="516"/>
      <c r="P3299" s="516"/>
      <c r="Q3299" s="516"/>
      <c r="R3299" s="516"/>
      <c r="S3299" s="516"/>
      <c r="T3299" s="516"/>
      <c r="U3299" s="516"/>
      <c r="V3299" s="516"/>
      <c r="W3299" s="516"/>
      <c r="X3299" s="516"/>
      <c r="Y3299" s="516"/>
      <c r="Z3299" s="516"/>
      <c r="AA3299" s="516"/>
      <c r="AB3299" s="517"/>
      <c r="AC3299" s="552"/>
      <c r="AD3299" s="553"/>
      <c r="AE3299" s="553"/>
      <c r="AF3299" s="553"/>
      <c r="AG3299" s="553"/>
      <c r="AH3299" s="553"/>
      <c r="AI3299" s="553"/>
      <c r="AJ3299" s="553"/>
      <c r="AK3299" s="553"/>
      <c r="AL3299" s="553"/>
      <c r="AM3299" s="553"/>
      <c r="AN3299" s="553"/>
      <c r="AO3299" s="553"/>
      <c r="AP3299" s="553"/>
      <c r="AQ3299" s="554"/>
      <c r="AR3299" s="549"/>
      <c r="AS3299" s="550"/>
      <c r="AT3299" s="550"/>
      <c r="AU3299" s="550"/>
      <c r="AV3299" s="550"/>
      <c r="AW3299" s="550"/>
      <c r="AX3299" s="550"/>
      <c r="AY3299" s="550"/>
      <c r="AZ3299" s="550"/>
      <c r="BA3299" s="550"/>
      <c r="BB3299" s="550"/>
      <c r="BC3299" s="550"/>
      <c r="BD3299" s="550"/>
      <c r="BE3299" s="550"/>
      <c r="BF3299" s="550"/>
      <c r="BG3299" s="550"/>
      <c r="BH3299" s="550"/>
      <c r="BI3299" s="550"/>
      <c r="BJ3299" s="550"/>
      <c r="BK3299" s="550"/>
      <c r="BL3299" s="550"/>
      <c r="BM3299" s="550"/>
      <c r="BN3299" s="550"/>
      <c r="BO3299" s="550"/>
      <c r="BP3299" s="550"/>
      <c r="BQ3299" s="550"/>
      <c r="BR3299" s="550"/>
      <c r="BS3299" s="550"/>
      <c r="BT3299" s="550"/>
      <c r="BU3299" s="550"/>
      <c r="BV3299" s="550"/>
      <c r="BW3299" s="550"/>
      <c r="BX3299" s="550"/>
      <c r="BY3299" s="550"/>
      <c r="BZ3299" s="551"/>
      <c r="CA3299" s="270"/>
      <c r="CB3299" s="3" t="str">
        <f t="shared" si="598"/>
        <v>Riadok bude skrytý.</v>
      </c>
      <c r="CC3299" s="271" t="s">
        <v>832</v>
      </c>
      <c r="CD3299" s="122"/>
      <c r="CE3299" s="33"/>
      <c r="CW3299" s="30">
        <f t="shared" si="607"/>
        <v>0</v>
      </c>
      <c r="CX3299" s="30">
        <f t="shared" si="604"/>
        <v>1</v>
      </c>
      <c r="CY3299" s="30">
        <f t="shared" si="606"/>
        <v>0</v>
      </c>
      <c r="CZ3299" s="30">
        <f t="shared" si="600"/>
        <v>1</v>
      </c>
      <c r="DA3299" s="53">
        <f t="shared" si="608"/>
        <v>0</v>
      </c>
      <c r="DB3299" s="2">
        <f t="shared" si="599"/>
        <v>0</v>
      </c>
      <c r="DS3299" s="130">
        <f>SI!BY3299</f>
        <v>152</v>
      </c>
      <c r="DZ3299" s="131">
        <f>SI!BZ3299</f>
        <v>0</v>
      </c>
    </row>
    <row r="3300" spans="1:130" hidden="1" x14ac:dyDescent="0.25">
      <c r="A3300" s="141"/>
      <c r="B3300" s="515"/>
      <c r="C3300" s="516"/>
      <c r="D3300" s="516"/>
      <c r="E3300" s="516"/>
      <c r="F3300" s="516"/>
      <c r="G3300" s="516"/>
      <c r="H3300" s="516"/>
      <c r="I3300" s="516"/>
      <c r="J3300" s="516"/>
      <c r="K3300" s="516"/>
      <c r="L3300" s="516"/>
      <c r="M3300" s="516"/>
      <c r="N3300" s="516"/>
      <c r="O3300" s="516"/>
      <c r="P3300" s="516"/>
      <c r="Q3300" s="516"/>
      <c r="R3300" s="516"/>
      <c r="S3300" s="516"/>
      <c r="T3300" s="516"/>
      <c r="U3300" s="516"/>
      <c r="V3300" s="516"/>
      <c r="W3300" s="516"/>
      <c r="X3300" s="516"/>
      <c r="Y3300" s="516"/>
      <c r="Z3300" s="516"/>
      <c r="AA3300" s="516"/>
      <c r="AB3300" s="517"/>
      <c r="AC3300" s="552"/>
      <c r="AD3300" s="553"/>
      <c r="AE3300" s="553"/>
      <c r="AF3300" s="553"/>
      <c r="AG3300" s="553"/>
      <c r="AH3300" s="553"/>
      <c r="AI3300" s="553"/>
      <c r="AJ3300" s="553"/>
      <c r="AK3300" s="553"/>
      <c r="AL3300" s="553"/>
      <c r="AM3300" s="553"/>
      <c r="AN3300" s="553"/>
      <c r="AO3300" s="553"/>
      <c r="AP3300" s="553"/>
      <c r="AQ3300" s="554"/>
      <c r="AR3300" s="549"/>
      <c r="AS3300" s="550"/>
      <c r="AT3300" s="550"/>
      <c r="AU3300" s="550"/>
      <c r="AV3300" s="550"/>
      <c r="AW3300" s="550"/>
      <c r="AX3300" s="550"/>
      <c r="AY3300" s="550"/>
      <c r="AZ3300" s="550"/>
      <c r="BA3300" s="550"/>
      <c r="BB3300" s="550"/>
      <c r="BC3300" s="550"/>
      <c r="BD3300" s="550"/>
      <c r="BE3300" s="550"/>
      <c r="BF3300" s="550"/>
      <c r="BG3300" s="550"/>
      <c r="BH3300" s="550"/>
      <c r="BI3300" s="550"/>
      <c r="BJ3300" s="550"/>
      <c r="BK3300" s="550"/>
      <c r="BL3300" s="550"/>
      <c r="BM3300" s="550"/>
      <c r="BN3300" s="550"/>
      <c r="BO3300" s="550"/>
      <c r="BP3300" s="550"/>
      <c r="BQ3300" s="550"/>
      <c r="BR3300" s="550"/>
      <c r="BS3300" s="550"/>
      <c r="BT3300" s="550"/>
      <c r="BU3300" s="550"/>
      <c r="BV3300" s="550"/>
      <c r="BW3300" s="550"/>
      <c r="BX3300" s="550"/>
      <c r="BY3300" s="550"/>
      <c r="BZ3300" s="551"/>
      <c r="CA3300" s="270"/>
      <c r="CB3300" s="3" t="str">
        <f t="shared" si="598"/>
        <v>Riadok bude skrytý.</v>
      </c>
      <c r="CC3300" s="271" t="s">
        <v>832</v>
      </c>
      <c r="CD3300" s="122"/>
      <c r="CE3300" s="33"/>
      <c r="CW3300" s="30">
        <f t="shared" si="607"/>
        <v>0</v>
      </c>
      <c r="CX3300" s="30">
        <f t="shared" si="604"/>
        <v>1</v>
      </c>
      <c r="CY3300" s="30">
        <f t="shared" si="606"/>
        <v>0</v>
      </c>
      <c r="CZ3300" s="30">
        <f t="shared" si="600"/>
        <v>1</v>
      </c>
      <c r="DA3300" s="53">
        <f t="shared" si="608"/>
        <v>0</v>
      </c>
      <c r="DB3300" s="2">
        <f t="shared" si="599"/>
        <v>0</v>
      </c>
      <c r="DS3300" s="130">
        <f>SI!BY3300</f>
        <v>594</v>
      </c>
      <c r="DZ3300" s="131">
        <f>SI!BZ3300</f>
        <v>0</v>
      </c>
    </row>
    <row r="3301" spans="1:130" hidden="1" x14ac:dyDescent="0.25">
      <c r="A3301" s="141"/>
      <c r="B3301" s="515"/>
      <c r="C3301" s="516"/>
      <c r="D3301" s="516"/>
      <c r="E3301" s="516"/>
      <c r="F3301" s="516"/>
      <c r="G3301" s="516"/>
      <c r="H3301" s="516"/>
      <c r="I3301" s="516"/>
      <c r="J3301" s="516"/>
      <c r="K3301" s="516"/>
      <c r="L3301" s="516"/>
      <c r="M3301" s="516"/>
      <c r="N3301" s="516"/>
      <c r="O3301" s="516"/>
      <c r="P3301" s="516"/>
      <c r="Q3301" s="516"/>
      <c r="R3301" s="516"/>
      <c r="S3301" s="516"/>
      <c r="T3301" s="516"/>
      <c r="U3301" s="516"/>
      <c r="V3301" s="516"/>
      <c r="W3301" s="516"/>
      <c r="X3301" s="516"/>
      <c r="Y3301" s="516"/>
      <c r="Z3301" s="516"/>
      <c r="AA3301" s="516"/>
      <c r="AB3301" s="517"/>
      <c r="AC3301" s="552"/>
      <c r="AD3301" s="553"/>
      <c r="AE3301" s="553"/>
      <c r="AF3301" s="553"/>
      <c r="AG3301" s="553"/>
      <c r="AH3301" s="553"/>
      <c r="AI3301" s="553"/>
      <c r="AJ3301" s="553"/>
      <c r="AK3301" s="553"/>
      <c r="AL3301" s="553"/>
      <c r="AM3301" s="553"/>
      <c r="AN3301" s="553"/>
      <c r="AO3301" s="553"/>
      <c r="AP3301" s="553"/>
      <c r="AQ3301" s="554"/>
      <c r="AR3301" s="549"/>
      <c r="AS3301" s="550"/>
      <c r="AT3301" s="550"/>
      <c r="AU3301" s="550"/>
      <c r="AV3301" s="550"/>
      <c r="AW3301" s="550"/>
      <c r="AX3301" s="550"/>
      <c r="AY3301" s="550"/>
      <c r="AZ3301" s="550"/>
      <c r="BA3301" s="550"/>
      <c r="BB3301" s="550"/>
      <c r="BC3301" s="550"/>
      <c r="BD3301" s="550"/>
      <c r="BE3301" s="550"/>
      <c r="BF3301" s="550"/>
      <c r="BG3301" s="550"/>
      <c r="BH3301" s="550"/>
      <c r="BI3301" s="550"/>
      <c r="BJ3301" s="550"/>
      <c r="BK3301" s="550"/>
      <c r="BL3301" s="550"/>
      <c r="BM3301" s="550"/>
      <c r="BN3301" s="550"/>
      <c r="BO3301" s="550"/>
      <c r="BP3301" s="550"/>
      <c r="BQ3301" s="550"/>
      <c r="BR3301" s="550"/>
      <c r="BS3301" s="550"/>
      <c r="BT3301" s="550"/>
      <c r="BU3301" s="550"/>
      <c r="BV3301" s="550"/>
      <c r="BW3301" s="550"/>
      <c r="BX3301" s="550"/>
      <c r="BY3301" s="550"/>
      <c r="BZ3301" s="551"/>
      <c r="CA3301" s="270"/>
      <c r="CB3301" s="3" t="str">
        <f t="shared" si="598"/>
        <v>Riadok bude skrytý.</v>
      </c>
      <c r="CC3301" s="271" t="s">
        <v>832</v>
      </c>
      <c r="CD3301" s="122"/>
      <c r="CE3301" s="33"/>
      <c r="CW3301" s="30">
        <f t="shared" si="607"/>
        <v>0</v>
      </c>
      <c r="CX3301" s="30">
        <f t="shared" si="604"/>
        <v>1</v>
      </c>
      <c r="CY3301" s="30">
        <f t="shared" si="606"/>
        <v>0</v>
      </c>
      <c r="CZ3301" s="30">
        <f t="shared" si="600"/>
        <v>1</v>
      </c>
      <c r="DA3301" s="53">
        <f t="shared" si="608"/>
        <v>0</v>
      </c>
      <c r="DB3301" s="2">
        <f t="shared" si="599"/>
        <v>0</v>
      </c>
      <c r="DS3301" s="130">
        <f>SI!BY3301</f>
        <v>160</v>
      </c>
      <c r="DZ3301" s="131">
        <f>SI!BZ3301</f>
        <v>0</v>
      </c>
    </row>
    <row r="3302" spans="1:130" hidden="1" x14ac:dyDescent="0.25">
      <c r="A3302" s="141"/>
      <c r="B3302" s="515"/>
      <c r="C3302" s="516"/>
      <c r="D3302" s="516"/>
      <c r="E3302" s="516"/>
      <c r="F3302" s="516"/>
      <c r="G3302" s="516"/>
      <c r="H3302" s="516"/>
      <c r="I3302" s="516"/>
      <c r="J3302" s="516"/>
      <c r="K3302" s="516"/>
      <c r="L3302" s="516"/>
      <c r="M3302" s="516"/>
      <c r="N3302" s="516"/>
      <c r="O3302" s="516"/>
      <c r="P3302" s="516"/>
      <c r="Q3302" s="516"/>
      <c r="R3302" s="516"/>
      <c r="S3302" s="516"/>
      <c r="T3302" s="516"/>
      <c r="U3302" s="516"/>
      <c r="V3302" s="516"/>
      <c r="W3302" s="516"/>
      <c r="X3302" s="516"/>
      <c r="Y3302" s="516"/>
      <c r="Z3302" s="516"/>
      <c r="AA3302" s="516"/>
      <c r="AB3302" s="517"/>
      <c r="AC3302" s="552"/>
      <c r="AD3302" s="553"/>
      <c r="AE3302" s="553"/>
      <c r="AF3302" s="553"/>
      <c r="AG3302" s="553"/>
      <c r="AH3302" s="553"/>
      <c r="AI3302" s="553"/>
      <c r="AJ3302" s="553"/>
      <c r="AK3302" s="553"/>
      <c r="AL3302" s="553"/>
      <c r="AM3302" s="553"/>
      <c r="AN3302" s="553"/>
      <c r="AO3302" s="553"/>
      <c r="AP3302" s="553"/>
      <c r="AQ3302" s="554"/>
      <c r="AR3302" s="549"/>
      <c r="AS3302" s="550"/>
      <c r="AT3302" s="550"/>
      <c r="AU3302" s="550"/>
      <c r="AV3302" s="550"/>
      <c r="AW3302" s="550"/>
      <c r="AX3302" s="550"/>
      <c r="AY3302" s="550"/>
      <c r="AZ3302" s="550"/>
      <c r="BA3302" s="550"/>
      <c r="BB3302" s="550"/>
      <c r="BC3302" s="550"/>
      <c r="BD3302" s="550"/>
      <c r="BE3302" s="550"/>
      <c r="BF3302" s="550"/>
      <c r="BG3302" s="550"/>
      <c r="BH3302" s="550"/>
      <c r="BI3302" s="550"/>
      <c r="BJ3302" s="550"/>
      <c r="BK3302" s="550"/>
      <c r="BL3302" s="550"/>
      <c r="BM3302" s="550"/>
      <c r="BN3302" s="550"/>
      <c r="BO3302" s="550"/>
      <c r="BP3302" s="550"/>
      <c r="BQ3302" s="550"/>
      <c r="BR3302" s="550"/>
      <c r="BS3302" s="550"/>
      <c r="BT3302" s="550"/>
      <c r="BU3302" s="550"/>
      <c r="BV3302" s="550"/>
      <c r="BW3302" s="550"/>
      <c r="BX3302" s="550"/>
      <c r="BY3302" s="550"/>
      <c r="BZ3302" s="551"/>
      <c r="CA3302" s="270"/>
      <c r="CB3302" s="3" t="str">
        <f t="shared" si="598"/>
        <v>Riadok bude skrytý.</v>
      </c>
      <c r="CC3302" s="271" t="s">
        <v>832</v>
      </c>
      <c r="CD3302" s="122"/>
      <c r="CE3302" s="33"/>
      <c r="CW3302" s="30">
        <f t="shared" si="607"/>
        <v>0</v>
      </c>
      <c r="CX3302" s="30">
        <f t="shared" si="604"/>
        <v>1</v>
      </c>
      <c r="CY3302" s="30">
        <f t="shared" si="606"/>
        <v>0</v>
      </c>
      <c r="CZ3302" s="30">
        <f t="shared" si="600"/>
        <v>1</v>
      </c>
      <c r="DA3302" s="53">
        <f t="shared" si="608"/>
        <v>0</v>
      </c>
      <c r="DB3302" s="2">
        <f t="shared" si="599"/>
        <v>0</v>
      </c>
      <c r="DS3302" s="130">
        <f>SI!BY3302</f>
        <v>806</v>
      </c>
      <c r="DZ3302" s="131">
        <f>SI!BZ3302</f>
        <v>0</v>
      </c>
    </row>
    <row r="3303" spans="1:130" hidden="1" x14ac:dyDescent="0.25">
      <c r="A3303" s="141"/>
      <c r="B3303" s="515"/>
      <c r="C3303" s="516"/>
      <c r="D3303" s="516"/>
      <c r="E3303" s="516"/>
      <c r="F3303" s="516"/>
      <c r="G3303" s="516"/>
      <c r="H3303" s="516"/>
      <c r="I3303" s="516"/>
      <c r="J3303" s="516"/>
      <c r="K3303" s="516"/>
      <c r="L3303" s="516"/>
      <c r="M3303" s="516"/>
      <c r="N3303" s="516"/>
      <c r="O3303" s="516"/>
      <c r="P3303" s="516"/>
      <c r="Q3303" s="516"/>
      <c r="R3303" s="516"/>
      <c r="S3303" s="516"/>
      <c r="T3303" s="516"/>
      <c r="U3303" s="516"/>
      <c r="V3303" s="516"/>
      <c r="W3303" s="516"/>
      <c r="X3303" s="516"/>
      <c r="Y3303" s="516"/>
      <c r="Z3303" s="516"/>
      <c r="AA3303" s="516"/>
      <c r="AB3303" s="517"/>
      <c r="AC3303" s="552"/>
      <c r="AD3303" s="553"/>
      <c r="AE3303" s="553"/>
      <c r="AF3303" s="553"/>
      <c r="AG3303" s="553"/>
      <c r="AH3303" s="553"/>
      <c r="AI3303" s="553"/>
      <c r="AJ3303" s="553"/>
      <c r="AK3303" s="553"/>
      <c r="AL3303" s="553"/>
      <c r="AM3303" s="553"/>
      <c r="AN3303" s="553"/>
      <c r="AO3303" s="553"/>
      <c r="AP3303" s="553"/>
      <c r="AQ3303" s="554"/>
      <c r="AR3303" s="549"/>
      <c r="AS3303" s="550"/>
      <c r="AT3303" s="550"/>
      <c r="AU3303" s="550"/>
      <c r="AV3303" s="550"/>
      <c r="AW3303" s="550"/>
      <c r="AX3303" s="550"/>
      <c r="AY3303" s="550"/>
      <c r="AZ3303" s="550"/>
      <c r="BA3303" s="550"/>
      <c r="BB3303" s="550"/>
      <c r="BC3303" s="550"/>
      <c r="BD3303" s="550"/>
      <c r="BE3303" s="550"/>
      <c r="BF3303" s="550"/>
      <c r="BG3303" s="550"/>
      <c r="BH3303" s="550"/>
      <c r="BI3303" s="550"/>
      <c r="BJ3303" s="550"/>
      <c r="BK3303" s="550"/>
      <c r="BL3303" s="550"/>
      <c r="BM3303" s="550"/>
      <c r="BN3303" s="550"/>
      <c r="BO3303" s="550"/>
      <c r="BP3303" s="550"/>
      <c r="BQ3303" s="550"/>
      <c r="BR3303" s="550"/>
      <c r="BS3303" s="550"/>
      <c r="BT3303" s="550"/>
      <c r="BU3303" s="550"/>
      <c r="BV3303" s="550"/>
      <c r="BW3303" s="550"/>
      <c r="BX3303" s="550"/>
      <c r="BY3303" s="550"/>
      <c r="BZ3303" s="551"/>
      <c r="CA3303" s="270"/>
      <c r="CB3303" s="3" t="str">
        <f t="shared" si="598"/>
        <v>Riadok bude skrytý.</v>
      </c>
      <c r="CC3303" s="271" t="s">
        <v>832</v>
      </c>
      <c r="CD3303" s="122"/>
      <c r="CE3303" s="33"/>
      <c r="CW3303" s="30">
        <f t="shared" si="607"/>
        <v>0</v>
      </c>
      <c r="CX3303" s="30">
        <f t="shared" si="604"/>
        <v>1</v>
      </c>
      <c r="CY3303" s="30">
        <f t="shared" si="606"/>
        <v>0</v>
      </c>
      <c r="CZ3303" s="30">
        <f t="shared" si="600"/>
        <v>1</v>
      </c>
      <c r="DA3303" s="53">
        <f t="shared" si="608"/>
        <v>0</v>
      </c>
      <c r="DB3303" s="2">
        <f t="shared" si="599"/>
        <v>0</v>
      </c>
      <c r="DS3303" s="130">
        <f>SI!BY3303</f>
        <v>172</v>
      </c>
      <c r="DZ3303" s="131">
        <f>SI!BZ3303</f>
        <v>0</v>
      </c>
    </row>
    <row r="3304" spans="1:130" hidden="1" x14ac:dyDescent="0.25">
      <c r="A3304" s="141"/>
      <c r="B3304" s="515"/>
      <c r="C3304" s="516"/>
      <c r="D3304" s="516"/>
      <c r="E3304" s="516"/>
      <c r="F3304" s="516"/>
      <c r="G3304" s="516"/>
      <c r="H3304" s="516"/>
      <c r="I3304" s="516"/>
      <c r="J3304" s="516"/>
      <c r="K3304" s="516"/>
      <c r="L3304" s="516"/>
      <c r="M3304" s="516"/>
      <c r="N3304" s="516"/>
      <c r="O3304" s="516"/>
      <c r="P3304" s="516"/>
      <c r="Q3304" s="516"/>
      <c r="R3304" s="516"/>
      <c r="S3304" s="516"/>
      <c r="T3304" s="516"/>
      <c r="U3304" s="516"/>
      <c r="V3304" s="516"/>
      <c r="W3304" s="516"/>
      <c r="X3304" s="516"/>
      <c r="Y3304" s="516"/>
      <c r="Z3304" s="516"/>
      <c r="AA3304" s="516"/>
      <c r="AB3304" s="517"/>
      <c r="AC3304" s="552"/>
      <c r="AD3304" s="553"/>
      <c r="AE3304" s="553"/>
      <c r="AF3304" s="553"/>
      <c r="AG3304" s="553"/>
      <c r="AH3304" s="553"/>
      <c r="AI3304" s="553"/>
      <c r="AJ3304" s="553"/>
      <c r="AK3304" s="553"/>
      <c r="AL3304" s="553"/>
      <c r="AM3304" s="553"/>
      <c r="AN3304" s="553"/>
      <c r="AO3304" s="553"/>
      <c r="AP3304" s="553"/>
      <c r="AQ3304" s="554"/>
      <c r="AR3304" s="549"/>
      <c r="AS3304" s="550"/>
      <c r="AT3304" s="550"/>
      <c r="AU3304" s="550"/>
      <c r="AV3304" s="550"/>
      <c r="AW3304" s="550"/>
      <c r="AX3304" s="550"/>
      <c r="AY3304" s="550"/>
      <c r="AZ3304" s="550"/>
      <c r="BA3304" s="550"/>
      <c r="BB3304" s="550"/>
      <c r="BC3304" s="550"/>
      <c r="BD3304" s="550"/>
      <c r="BE3304" s="550"/>
      <c r="BF3304" s="550"/>
      <c r="BG3304" s="550"/>
      <c r="BH3304" s="550"/>
      <c r="BI3304" s="550"/>
      <c r="BJ3304" s="550"/>
      <c r="BK3304" s="550"/>
      <c r="BL3304" s="550"/>
      <c r="BM3304" s="550"/>
      <c r="BN3304" s="550"/>
      <c r="BO3304" s="550"/>
      <c r="BP3304" s="550"/>
      <c r="BQ3304" s="550"/>
      <c r="BR3304" s="550"/>
      <c r="BS3304" s="550"/>
      <c r="BT3304" s="550"/>
      <c r="BU3304" s="550"/>
      <c r="BV3304" s="550"/>
      <c r="BW3304" s="550"/>
      <c r="BX3304" s="550"/>
      <c r="BY3304" s="550"/>
      <c r="BZ3304" s="551"/>
      <c r="CA3304" s="270"/>
      <c r="CB3304" s="3" t="str">
        <f t="shared" si="598"/>
        <v>Riadok bude skrytý.</v>
      </c>
      <c r="CC3304" s="271" t="s">
        <v>832</v>
      </c>
      <c r="CD3304" s="122"/>
      <c r="CE3304" s="33"/>
      <c r="CW3304" s="30">
        <f t="shared" si="607"/>
        <v>0</v>
      </c>
      <c r="CX3304" s="30">
        <f t="shared" si="604"/>
        <v>1</v>
      </c>
      <c r="CY3304" s="30">
        <f t="shared" si="606"/>
        <v>0</v>
      </c>
      <c r="CZ3304" s="30">
        <f t="shared" si="600"/>
        <v>1</v>
      </c>
      <c r="DA3304" s="53">
        <f t="shared" si="608"/>
        <v>0</v>
      </c>
      <c r="DB3304" s="2">
        <f t="shared" si="599"/>
        <v>0</v>
      </c>
      <c r="DS3304" s="130">
        <f>SI!BY3304</f>
        <v>783</v>
      </c>
      <c r="DZ3304" s="131">
        <f>SI!BZ3304</f>
        <v>0</v>
      </c>
    </row>
    <row r="3305" spans="1:130" hidden="1" x14ac:dyDescent="0.25">
      <c r="A3305" s="141"/>
      <c r="B3305" s="515"/>
      <c r="C3305" s="516"/>
      <c r="D3305" s="516"/>
      <c r="E3305" s="516"/>
      <c r="F3305" s="516"/>
      <c r="G3305" s="516"/>
      <c r="H3305" s="516"/>
      <c r="I3305" s="516"/>
      <c r="J3305" s="516"/>
      <c r="K3305" s="516"/>
      <c r="L3305" s="516"/>
      <c r="M3305" s="516"/>
      <c r="N3305" s="516"/>
      <c r="O3305" s="516"/>
      <c r="P3305" s="516"/>
      <c r="Q3305" s="516"/>
      <c r="R3305" s="516"/>
      <c r="S3305" s="516"/>
      <c r="T3305" s="516"/>
      <c r="U3305" s="516"/>
      <c r="V3305" s="516"/>
      <c r="W3305" s="516"/>
      <c r="X3305" s="516"/>
      <c r="Y3305" s="516"/>
      <c r="Z3305" s="516"/>
      <c r="AA3305" s="516"/>
      <c r="AB3305" s="517"/>
      <c r="AC3305" s="552"/>
      <c r="AD3305" s="553"/>
      <c r="AE3305" s="553"/>
      <c r="AF3305" s="553"/>
      <c r="AG3305" s="553"/>
      <c r="AH3305" s="553"/>
      <c r="AI3305" s="553"/>
      <c r="AJ3305" s="553"/>
      <c r="AK3305" s="553"/>
      <c r="AL3305" s="553"/>
      <c r="AM3305" s="553"/>
      <c r="AN3305" s="553"/>
      <c r="AO3305" s="553"/>
      <c r="AP3305" s="553"/>
      <c r="AQ3305" s="554"/>
      <c r="AR3305" s="549"/>
      <c r="AS3305" s="550"/>
      <c r="AT3305" s="550"/>
      <c r="AU3305" s="550"/>
      <c r="AV3305" s="550"/>
      <c r="AW3305" s="550"/>
      <c r="AX3305" s="550"/>
      <c r="AY3305" s="550"/>
      <c r="AZ3305" s="550"/>
      <c r="BA3305" s="550"/>
      <c r="BB3305" s="550"/>
      <c r="BC3305" s="550"/>
      <c r="BD3305" s="550"/>
      <c r="BE3305" s="550"/>
      <c r="BF3305" s="550"/>
      <c r="BG3305" s="550"/>
      <c r="BH3305" s="550"/>
      <c r="BI3305" s="550"/>
      <c r="BJ3305" s="550"/>
      <c r="BK3305" s="550"/>
      <c r="BL3305" s="550"/>
      <c r="BM3305" s="550"/>
      <c r="BN3305" s="550"/>
      <c r="BO3305" s="550"/>
      <c r="BP3305" s="550"/>
      <c r="BQ3305" s="550"/>
      <c r="BR3305" s="550"/>
      <c r="BS3305" s="550"/>
      <c r="BT3305" s="550"/>
      <c r="BU3305" s="550"/>
      <c r="BV3305" s="550"/>
      <c r="BW3305" s="550"/>
      <c r="BX3305" s="550"/>
      <c r="BY3305" s="550"/>
      <c r="BZ3305" s="551"/>
      <c r="CA3305" s="270"/>
      <c r="CB3305" s="3" t="str">
        <f t="shared" si="598"/>
        <v>Riadok bude skrytý.</v>
      </c>
      <c r="CC3305" s="271" t="s">
        <v>832</v>
      </c>
      <c r="CW3305" s="30">
        <f t="shared" si="607"/>
        <v>0</v>
      </c>
      <c r="CX3305" s="30">
        <f t="shared" si="604"/>
        <v>1</v>
      </c>
      <c r="CY3305" s="30">
        <f t="shared" si="606"/>
        <v>0</v>
      </c>
      <c r="CZ3305" s="30">
        <f t="shared" si="600"/>
        <v>1</v>
      </c>
      <c r="DA3305" s="53">
        <f t="shared" si="608"/>
        <v>0</v>
      </c>
      <c r="DB3305" s="2">
        <f t="shared" si="599"/>
        <v>0</v>
      </c>
      <c r="DS3305" s="130">
        <f>SI!BY3305</f>
        <v>283</v>
      </c>
      <c r="DZ3305" s="131">
        <f>SI!BZ3305</f>
        <v>0</v>
      </c>
    </row>
    <row r="3306" spans="1:130" hidden="1" x14ac:dyDescent="0.25">
      <c r="A3306" s="141"/>
      <c r="B3306" s="515"/>
      <c r="C3306" s="516"/>
      <c r="D3306" s="516"/>
      <c r="E3306" s="516"/>
      <c r="F3306" s="516"/>
      <c r="G3306" s="516"/>
      <c r="H3306" s="516"/>
      <c r="I3306" s="516"/>
      <c r="J3306" s="516"/>
      <c r="K3306" s="516"/>
      <c r="L3306" s="516"/>
      <c r="M3306" s="516"/>
      <c r="N3306" s="516"/>
      <c r="O3306" s="516"/>
      <c r="P3306" s="516"/>
      <c r="Q3306" s="516"/>
      <c r="R3306" s="516"/>
      <c r="S3306" s="516"/>
      <c r="T3306" s="516"/>
      <c r="U3306" s="516"/>
      <c r="V3306" s="516"/>
      <c r="W3306" s="516"/>
      <c r="X3306" s="516"/>
      <c r="Y3306" s="516"/>
      <c r="Z3306" s="516"/>
      <c r="AA3306" s="516"/>
      <c r="AB3306" s="517"/>
      <c r="AC3306" s="552"/>
      <c r="AD3306" s="553"/>
      <c r="AE3306" s="553"/>
      <c r="AF3306" s="553"/>
      <c r="AG3306" s="553"/>
      <c r="AH3306" s="553"/>
      <c r="AI3306" s="553"/>
      <c r="AJ3306" s="553"/>
      <c r="AK3306" s="553"/>
      <c r="AL3306" s="553"/>
      <c r="AM3306" s="553"/>
      <c r="AN3306" s="553"/>
      <c r="AO3306" s="553"/>
      <c r="AP3306" s="553"/>
      <c r="AQ3306" s="554"/>
      <c r="AR3306" s="549"/>
      <c r="AS3306" s="550"/>
      <c r="AT3306" s="550"/>
      <c r="AU3306" s="550"/>
      <c r="AV3306" s="550"/>
      <c r="AW3306" s="550"/>
      <c r="AX3306" s="550"/>
      <c r="AY3306" s="550"/>
      <c r="AZ3306" s="550"/>
      <c r="BA3306" s="550"/>
      <c r="BB3306" s="550"/>
      <c r="BC3306" s="550"/>
      <c r="BD3306" s="550"/>
      <c r="BE3306" s="550"/>
      <c r="BF3306" s="550"/>
      <c r="BG3306" s="550"/>
      <c r="BH3306" s="550"/>
      <c r="BI3306" s="550"/>
      <c r="BJ3306" s="550"/>
      <c r="BK3306" s="550"/>
      <c r="BL3306" s="550"/>
      <c r="BM3306" s="550"/>
      <c r="BN3306" s="550"/>
      <c r="BO3306" s="550"/>
      <c r="BP3306" s="550"/>
      <c r="BQ3306" s="550"/>
      <c r="BR3306" s="550"/>
      <c r="BS3306" s="550"/>
      <c r="BT3306" s="550"/>
      <c r="BU3306" s="550"/>
      <c r="BV3306" s="550"/>
      <c r="BW3306" s="550"/>
      <c r="BX3306" s="550"/>
      <c r="BY3306" s="550"/>
      <c r="BZ3306" s="551"/>
      <c r="CA3306" s="270"/>
      <c r="CB3306" s="3" t="str">
        <f t="shared" si="598"/>
        <v>Riadok bude skrytý.</v>
      </c>
      <c r="CC3306" s="271" t="s">
        <v>832</v>
      </c>
      <c r="CW3306" s="30">
        <f t="shared" si="607"/>
        <v>0</v>
      </c>
      <c r="CX3306" s="30">
        <f t="shared" si="604"/>
        <v>1</v>
      </c>
      <c r="CY3306" s="30">
        <f t="shared" si="606"/>
        <v>0</v>
      </c>
      <c r="CZ3306" s="30">
        <f t="shared" si="600"/>
        <v>1</v>
      </c>
      <c r="DA3306" s="53">
        <f t="shared" si="608"/>
        <v>0</v>
      </c>
      <c r="DB3306" s="2">
        <f t="shared" si="599"/>
        <v>0</v>
      </c>
      <c r="DS3306" s="130">
        <f>SI!BY3306</f>
        <v>116</v>
      </c>
      <c r="DZ3306" s="131">
        <f>SI!BZ3306</f>
        <v>0</v>
      </c>
    </row>
    <row r="3307" spans="1:130" hidden="1" x14ac:dyDescent="0.25">
      <c r="A3307" s="141"/>
      <c r="B3307" s="521"/>
      <c r="C3307" s="522"/>
      <c r="D3307" s="522"/>
      <c r="E3307" s="522"/>
      <c r="F3307" s="522"/>
      <c r="G3307" s="522"/>
      <c r="H3307" s="522"/>
      <c r="I3307" s="522"/>
      <c r="J3307" s="522"/>
      <c r="K3307" s="522"/>
      <c r="L3307" s="522"/>
      <c r="M3307" s="522"/>
      <c r="N3307" s="522"/>
      <c r="O3307" s="522"/>
      <c r="P3307" s="522"/>
      <c r="Q3307" s="522"/>
      <c r="R3307" s="522"/>
      <c r="S3307" s="522"/>
      <c r="T3307" s="522"/>
      <c r="U3307" s="522"/>
      <c r="V3307" s="522"/>
      <c r="W3307" s="522"/>
      <c r="X3307" s="522"/>
      <c r="Y3307" s="522"/>
      <c r="Z3307" s="522"/>
      <c r="AA3307" s="522"/>
      <c r="AB3307" s="1520"/>
      <c r="AC3307" s="1521"/>
      <c r="AD3307" s="1522"/>
      <c r="AE3307" s="1522"/>
      <c r="AF3307" s="1522"/>
      <c r="AG3307" s="1522"/>
      <c r="AH3307" s="1522"/>
      <c r="AI3307" s="1522"/>
      <c r="AJ3307" s="1522"/>
      <c r="AK3307" s="1522"/>
      <c r="AL3307" s="1522"/>
      <c r="AM3307" s="1522"/>
      <c r="AN3307" s="1522"/>
      <c r="AO3307" s="1522"/>
      <c r="AP3307" s="1522"/>
      <c r="AQ3307" s="1523"/>
      <c r="AR3307" s="1717"/>
      <c r="AS3307" s="1718"/>
      <c r="AT3307" s="1718"/>
      <c r="AU3307" s="1718"/>
      <c r="AV3307" s="1718"/>
      <c r="AW3307" s="1718"/>
      <c r="AX3307" s="1718"/>
      <c r="AY3307" s="1718"/>
      <c r="AZ3307" s="1718"/>
      <c r="BA3307" s="1718"/>
      <c r="BB3307" s="1718"/>
      <c r="BC3307" s="1718"/>
      <c r="BD3307" s="1718"/>
      <c r="BE3307" s="1718"/>
      <c r="BF3307" s="1718"/>
      <c r="BG3307" s="1718"/>
      <c r="BH3307" s="1718"/>
      <c r="BI3307" s="1718"/>
      <c r="BJ3307" s="1718"/>
      <c r="BK3307" s="1718"/>
      <c r="BL3307" s="1718"/>
      <c r="BM3307" s="1718"/>
      <c r="BN3307" s="1718"/>
      <c r="BO3307" s="1718"/>
      <c r="BP3307" s="1718"/>
      <c r="BQ3307" s="1718"/>
      <c r="BR3307" s="1718"/>
      <c r="BS3307" s="1718"/>
      <c r="BT3307" s="1718"/>
      <c r="BU3307" s="1718"/>
      <c r="BV3307" s="1718"/>
      <c r="BW3307" s="1718"/>
      <c r="BX3307" s="1718"/>
      <c r="BY3307" s="1718"/>
      <c r="BZ3307" s="2172"/>
      <c r="CA3307" s="270"/>
      <c r="CB3307" s="3" t="str">
        <f t="shared" si="598"/>
        <v>Riadok bude skrytý.</v>
      </c>
      <c r="CC3307" s="271" t="s">
        <v>832</v>
      </c>
      <c r="CW3307" s="30">
        <f t="shared" si="607"/>
        <v>0</v>
      </c>
      <c r="CX3307" s="30">
        <f t="shared" si="604"/>
        <v>1</v>
      </c>
      <c r="CZ3307" s="30">
        <f t="shared" si="600"/>
        <v>1</v>
      </c>
      <c r="DA3307" s="52">
        <f>+IF(CW3307*CX3307=0,0,IF(CZ3307=0,0,1))</f>
        <v>0</v>
      </c>
      <c r="DB3307" s="2">
        <f t="shared" si="599"/>
        <v>0</v>
      </c>
      <c r="DS3307" s="130">
        <f>SI!BY3307</f>
        <v>1069</v>
      </c>
      <c r="DZ3307" s="131">
        <f>SI!BZ3307</f>
        <v>0</v>
      </c>
    </row>
    <row r="3308" spans="1:130" hidden="1" x14ac:dyDescent="0.25">
      <c r="A3308" s="141"/>
      <c r="CA3308" s="142"/>
      <c r="CB3308" s="3" t="str">
        <f t="shared" si="598"/>
        <v>Riadok bude skrytý.</v>
      </c>
      <c r="CC3308" s="271" t="s">
        <v>832</v>
      </c>
      <c r="CW3308" s="30">
        <f t="shared" si="607"/>
        <v>0</v>
      </c>
      <c r="CZ3308" s="30">
        <f t="shared" si="600"/>
        <v>1</v>
      </c>
      <c r="DA3308" s="30">
        <f t="shared" ref="DA3308:DA3368" si="609">+IF(CW3308+CX3308+CY3308=0,0,IF(CZ3308=0,0,1))</f>
        <v>0</v>
      </c>
      <c r="DB3308" s="2">
        <f t="shared" si="599"/>
        <v>0</v>
      </c>
      <c r="DS3308" s="130">
        <f>SI!BY3308</f>
        <v>201</v>
      </c>
      <c r="DZ3308" s="131">
        <f>SI!BZ3308</f>
        <v>0</v>
      </c>
    </row>
    <row r="3309" spans="1:130" hidden="1" x14ac:dyDescent="0.25">
      <c r="A3309" s="141"/>
      <c r="B3309" s="137" t="s">
        <v>96</v>
      </c>
      <c r="J3309" s="378" t="s">
        <v>858</v>
      </c>
      <c r="K3309" s="378"/>
      <c r="L3309" s="378"/>
      <c r="M3309" s="378"/>
      <c r="N3309" s="378"/>
      <c r="O3309" s="378"/>
      <c r="P3309" s="378"/>
      <c r="Q3309" s="378"/>
      <c r="R3309" s="378"/>
      <c r="S3309" s="378"/>
      <c r="T3309" s="378"/>
      <c r="U3309" s="137" t="s">
        <v>426</v>
      </c>
      <c r="V3309" s="38"/>
      <c r="W3309" s="38"/>
      <c r="X3309" s="38"/>
      <c r="CA3309" s="265" t="s">
        <v>773</v>
      </c>
      <c r="CB3309" s="3" t="str">
        <f t="shared" si="598"/>
        <v>Riadok bude skrytý.</v>
      </c>
      <c r="CC3309" s="271" t="s">
        <v>937</v>
      </c>
      <c r="CD3309" s="121" t="s">
        <v>967</v>
      </c>
      <c r="CE3309" s="121"/>
      <c r="CW3309" s="30">
        <f t="shared" si="607"/>
        <v>0</v>
      </c>
      <c r="CZ3309" s="30">
        <f t="shared" si="600"/>
        <v>0</v>
      </c>
      <c r="DA3309" s="30">
        <f t="shared" si="609"/>
        <v>0</v>
      </c>
      <c r="DB3309" s="2">
        <f t="shared" si="599"/>
        <v>0</v>
      </c>
      <c r="DS3309" s="130">
        <f>SI!BY3309</f>
        <v>1035</v>
      </c>
      <c r="DZ3309" s="131">
        <f>SI!BZ3309</f>
        <v>0</v>
      </c>
    </row>
    <row r="3310" spans="1:130" hidden="1" x14ac:dyDescent="0.25">
      <c r="A3310" s="141"/>
      <c r="B3310" s="137" t="str">
        <f>+IF($E$52&lt;&gt;"",IF(ROUNDDOWN(CODE(MID($E$52,1,1))/10,0)*0+(LEN(SI!J2)+2)=DS3310,"materskou spoločnosťou.","NEPOVOLENÉ POUŽITIE!"),"NEPOVOLENÉ POUŽITIE!")</f>
        <v>materskou spoločnosťou.</v>
      </c>
      <c r="CA3310" s="142"/>
      <c r="CB3310" s="3" t="str">
        <f t="shared" si="598"/>
        <v>Riadok bude skrytý.</v>
      </c>
      <c r="CC3310" s="271" t="s">
        <v>937</v>
      </c>
      <c r="CD3310" s="137"/>
      <c r="CE3310" s="137"/>
      <c r="CF3310" s="137"/>
      <c r="CG3310" s="137"/>
      <c r="CH3310" s="137"/>
      <c r="CI3310" s="137"/>
      <c r="CJ3310" s="137"/>
      <c r="CW3310" s="30">
        <f t="shared" si="607"/>
        <v>0</v>
      </c>
      <c r="CZ3310" s="30">
        <f t="shared" si="600"/>
        <v>0</v>
      </c>
      <c r="DA3310" s="30">
        <f t="shared" si="609"/>
        <v>0</v>
      </c>
      <c r="DB3310" s="2">
        <f t="shared" si="599"/>
        <v>0</v>
      </c>
      <c r="DS3310" s="130">
        <f>SI!BY3310</f>
        <v>15</v>
      </c>
      <c r="DZ3310" s="131">
        <f>SI!BZ3310</f>
        <v>0</v>
      </c>
    </row>
    <row r="3311" spans="1:130" hidden="1" x14ac:dyDescent="0.25">
      <c r="A3311" s="141"/>
      <c r="CA3311" s="270"/>
      <c r="CB3311" s="3" t="str">
        <f t="shared" si="598"/>
        <v>Riadok bude skrytý.</v>
      </c>
      <c r="CC3311" s="271" t="s">
        <v>937</v>
      </c>
      <c r="CW3311" s="30">
        <f t="shared" si="607"/>
        <v>0</v>
      </c>
      <c r="CX3311" s="30">
        <f t="shared" ref="CX3311:CX3337" si="610">+IF($J$3309="neuskutočnila",0,1)</f>
        <v>1</v>
      </c>
      <c r="CZ3311" s="30">
        <f t="shared" si="600"/>
        <v>0</v>
      </c>
      <c r="DA3311" s="52">
        <f t="shared" ref="DA3311:DA3318" si="611">+IF(CW3311*CX3311=0,0,IF(CZ3311=0,0,1))</f>
        <v>0</v>
      </c>
      <c r="DB3311" s="2">
        <f t="shared" si="599"/>
        <v>0</v>
      </c>
      <c r="DS3311" s="130">
        <f>SI!BY3311</f>
        <v>428</v>
      </c>
      <c r="DZ3311" s="131">
        <f>SI!BZ3311</f>
        <v>0</v>
      </c>
    </row>
    <row r="3312" spans="1:130" hidden="1" x14ac:dyDescent="0.25">
      <c r="A3312" s="141"/>
      <c r="B3312" s="137" t="str">
        <f>+IF(J3309="uskutočnila","Údaje o transakciách s dcérskymi spoločnosťami a materskou spoločnosťou sú uvedené v tabuľke:","")</f>
        <v>Údaje o transakciách s dcérskymi spoločnosťami a materskou spoločnosťou sú uvedené v tabuľke:</v>
      </c>
      <c r="CA3312" s="270"/>
      <c r="CB3312" s="3" t="str">
        <f t="shared" si="598"/>
        <v>Riadok bude skrytý.</v>
      </c>
      <c r="CC3312" s="271" t="s">
        <v>937</v>
      </c>
      <c r="CW3312" s="30">
        <f t="shared" si="607"/>
        <v>0</v>
      </c>
      <c r="CX3312" s="30">
        <f t="shared" si="610"/>
        <v>1</v>
      </c>
      <c r="CZ3312" s="30">
        <f t="shared" si="600"/>
        <v>0</v>
      </c>
      <c r="DA3312" s="52">
        <f t="shared" si="611"/>
        <v>0</v>
      </c>
      <c r="DB3312" s="2">
        <f t="shared" si="599"/>
        <v>0</v>
      </c>
      <c r="DS3312" s="130">
        <f>SI!BY3312</f>
        <v>146</v>
      </c>
      <c r="DZ3312" s="131">
        <f>SI!BZ3312</f>
        <v>0</v>
      </c>
    </row>
    <row r="3313" spans="1:130" hidden="1" x14ac:dyDescent="0.25">
      <c r="A3313" s="141"/>
      <c r="CA3313" s="270"/>
      <c r="CB3313" s="3" t="str">
        <f t="shared" si="598"/>
        <v>Riadok bude skrytý.</v>
      </c>
      <c r="CC3313" s="271" t="s">
        <v>937</v>
      </c>
      <c r="CW3313" s="30">
        <f t="shared" si="607"/>
        <v>0</v>
      </c>
      <c r="CX3313" s="30">
        <f t="shared" si="610"/>
        <v>1</v>
      </c>
      <c r="CZ3313" s="30">
        <f t="shared" si="600"/>
        <v>0</v>
      </c>
      <c r="DA3313" s="52">
        <f t="shared" si="611"/>
        <v>0</v>
      </c>
      <c r="DB3313" s="2">
        <f t="shared" si="599"/>
        <v>0</v>
      </c>
      <c r="DS3313" s="130">
        <f>SI!BY3313</f>
        <v>693</v>
      </c>
      <c r="DZ3313" s="131">
        <f>SI!BZ3313</f>
        <v>0</v>
      </c>
    </row>
    <row r="3314" spans="1:130" ht="14.95" hidden="1" customHeight="1" x14ac:dyDescent="0.25">
      <c r="A3314" s="141"/>
      <c r="B3314" s="1511" t="s">
        <v>934</v>
      </c>
      <c r="C3314" s="1512"/>
      <c r="D3314" s="1512"/>
      <c r="E3314" s="1512"/>
      <c r="F3314" s="1512"/>
      <c r="G3314" s="1512"/>
      <c r="H3314" s="1512"/>
      <c r="I3314" s="1512"/>
      <c r="J3314" s="1512"/>
      <c r="K3314" s="1512"/>
      <c r="L3314" s="1512"/>
      <c r="M3314" s="1512"/>
      <c r="N3314" s="1512"/>
      <c r="O3314" s="1512"/>
      <c r="P3314" s="1512"/>
      <c r="Q3314" s="1512"/>
      <c r="R3314" s="1512"/>
      <c r="S3314" s="1512"/>
      <c r="T3314" s="1512"/>
      <c r="U3314" s="1512"/>
      <c r="V3314" s="1512"/>
      <c r="W3314" s="1512"/>
      <c r="X3314" s="1512"/>
      <c r="Y3314" s="1512"/>
      <c r="Z3314" s="1512"/>
      <c r="AA3314" s="1512"/>
      <c r="AB3314" s="1512"/>
      <c r="AC3314" s="1512"/>
      <c r="AD3314" s="1512"/>
      <c r="AE3314" s="1512"/>
      <c r="AF3314" s="1513"/>
      <c r="AG3314" s="564" t="s">
        <v>423</v>
      </c>
      <c r="AH3314" s="565"/>
      <c r="AI3314" s="565"/>
      <c r="AJ3314" s="565"/>
      <c r="AK3314" s="565"/>
      <c r="AL3314" s="565"/>
      <c r="AM3314" s="565"/>
      <c r="AN3314" s="565"/>
      <c r="AO3314" s="566"/>
      <c r="AP3314" s="598" t="s">
        <v>425</v>
      </c>
      <c r="AQ3314" s="645"/>
      <c r="AR3314" s="645"/>
      <c r="AS3314" s="645"/>
      <c r="AT3314" s="645"/>
      <c r="AU3314" s="645"/>
      <c r="AV3314" s="645"/>
      <c r="AW3314" s="645"/>
      <c r="AX3314" s="645"/>
      <c r="AY3314" s="645"/>
      <c r="AZ3314" s="645"/>
      <c r="BA3314" s="645"/>
      <c r="BB3314" s="645"/>
      <c r="BC3314" s="645"/>
      <c r="BD3314" s="645"/>
      <c r="BE3314" s="645"/>
      <c r="BF3314" s="645"/>
      <c r="BG3314" s="645"/>
      <c r="BH3314" s="645"/>
      <c r="BI3314" s="645"/>
      <c r="BJ3314" s="645"/>
      <c r="BK3314" s="645"/>
      <c r="BL3314" s="645"/>
      <c r="BM3314" s="645"/>
      <c r="BN3314" s="645"/>
      <c r="BO3314" s="645"/>
      <c r="BP3314" s="645"/>
      <c r="BQ3314" s="645"/>
      <c r="BR3314" s="645"/>
      <c r="BS3314" s="645"/>
      <c r="BT3314" s="645"/>
      <c r="BU3314" s="645"/>
      <c r="BV3314" s="645"/>
      <c r="BW3314" s="645"/>
      <c r="BX3314" s="645"/>
      <c r="BY3314" s="645"/>
      <c r="BZ3314" s="646"/>
      <c r="CA3314" s="265" t="s">
        <v>773</v>
      </c>
      <c r="CB3314" s="3" t="str">
        <f t="shared" si="598"/>
        <v>Riadok bude skrytý.</v>
      </c>
      <c r="CC3314" s="271" t="s">
        <v>937</v>
      </c>
      <c r="CW3314" s="30">
        <f t="shared" si="607"/>
        <v>0</v>
      </c>
      <c r="CX3314" s="30">
        <f t="shared" si="610"/>
        <v>1</v>
      </c>
      <c r="CZ3314" s="30">
        <f t="shared" si="600"/>
        <v>0</v>
      </c>
      <c r="DA3314" s="52">
        <f t="shared" si="611"/>
        <v>0</v>
      </c>
      <c r="DB3314" s="2">
        <f t="shared" si="599"/>
        <v>0</v>
      </c>
      <c r="DS3314" s="130">
        <f>SI!BY3314</f>
        <v>199</v>
      </c>
      <c r="DZ3314" s="131">
        <f>SI!BZ3314</f>
        <v>0</v>
      </c>
    </row>
    <row r="3315" spans="1:130" ht="14.95" hidden="1" customHeight="1" x14ac:dyDescent="0.25">
      <c r="A3315" s="141"/>
      <c r="B3315" s="1514"/>
      <c r="C3315" s="1515"/>
      <c r="D3315" s="1515"/>
      <c r="E3315" s="1515"/>
      <c r="F3315" s="1515"/>
      <c r="G3315" s="1515"/>
      <c r="H3315" s="1515"/>
      <c r="I3315" s="1515"/>
      <c r="J3315" s="1515"/>
      <c r="K3315" s="1515"/>
      <c r="L3315" s="1515"/>
      <c r="M3315" s="1515"/>
      <c r="N3315" s="1515"/>
      <c r="O3315" s="1515"/>
      <c r="P3315" s="1515"/>
      <c r="Q3315" s="1515"/>
      <c r="R3315" s="1515"/>
      <c r="S3315" s="1515"/>
      <c r="T3315" s="1515"/>
      <c r="U3315" s="1515"/>
      <c r="V3315" s="1515"/>
      <c r="W3315" s="1515"/>
      <c r="X3315" s="1515"/>
      <c r="Y3315" s="1515"/>
      <c r="Z3315" s="1515"/>
      <c r="AA3315" s="1515"/>
      <c r="AB3315" s="1515"/>
      <c r="AC3315" s="1515"/>
      <c r="AD3315" s="1515"/>
      <c r="AE3315" s="1515"/>
      <c r="AF3315" s="1516"/>
      <c r="AG3315" s="1008"/>
      <c r="AH3315" s="1009"/>
      <c r="AI3315" s="1009"/>
      <c r="AJ3315" s="1009"/>
      <c r="AK3315" s="1009"/>
      <c r="AL3315" s="1009"/>
      <c r="AM3315" s="1009"/>
      <c r="AN3315" s="1009"/>
      <c r="AO3315" s="1010"/>
      <c r="AP3315" s="508">
        <f>+AJ141</f>
        <v>2021</v>
      </c>
      <c r="AQ3315" s="509"/>
      <c r="AR3315" s="509"/>
      <c r="AS3315" s="509"/>
      <c r="AT3315" s="509"/>
      <c r="AU3315" s="509"/>
      <c r="AV3315" s="509"/>
      <c r="AW3315" s="509"/>
      <c r="AX3315" s="509"/>
      <c r="AY3315" s="509"/>
      <c r="AZ3315" s="509"/>
      <c r="BA3315" s="509"/>
      <c r="BB3315" s="509"/>
      <c r="BC3315" s="509"/>
      <c r="BD3315" s="509"/>
      <c r="BE3315" s="509"/>
      <c r="BF3315" s="509"/>
      <c r="BG3315" s="508">
        <f>+BE141</f>
        <v>2020</v>
      </c>
      <c r="BH3315" s="509"/>
      <c r="BI3315" s="509"/>
      <c r="BJ3315" s="509"/>
      <c r="BK3315" s="509"/>
      <c r="BL3315" s="509"/>
      <c r="BM3315" s="509"/>
      <c r="BN3315" s="509"/>
      <c r="BO3315" s="509"/>
      <c r="BP3315" s="509"/>
      <c r="BQ3315" s="509"/>
      <c r="BR3315" s="509"/>
      <c r="BS3315" s="509"/>
      <c r="BT3315" s="509"/>
      <c r="BU3315" s="509"/>
      <c r="BV3315" s="509"/>
      <c r="BW3315" s="509"/>
      <c r="BX3315" s="509"/>
      <c r="BY3315" s="509"/>
      <c r="BZ3315" s="510"/>
      <c r="CA3315" s="270"/>
      <c r="CB3315" s="3" t="str">
        <f t="shared" ref="CB3315:CB3378" si="612">+IF(DB3315=0,"Riadok bude skrytý.","Riadok bude vidieť.")</f>
        <v>Riadok bude skrytý.</v>
      </c>
      <c r="CC3315" s="271" t="s">
        <v>937</v>
      </c>
      <c r="CW3315" s="30">
        <f t="shared" si="607"/>
        <v>0</v>
      </c>
      <c r="CX3315" s="30">
        <f t="shared" si="610"/>
        <v>1</v>
      </c>
      <c r="CZ3315" s="30">
        <f t="shared" si="600"/>
        <v>0</v>
      </c>
      <c r="DA3315" s="52">
        <f t="shared" si="611"/>
        <v>0</v>
      </c>
      <c r="DB3315" s="2">
        <f t="shared" si="599"/>
        <v>0</v>
      </c>
      <c r="DS3315" s="130">
        <f>SI!BY3315</f>
        <v>1025</v>
      </c>
      <c r="DZ3315" s="131">
        <f>SI!BZ3315</f>
        <v>0</v>
      </c>
    </row>
    <row r="3316" spans="1:130" hidden="1" x14ac:dyDescent="0.25">
      <c r="A3316" s="141"/>
      <c r="B3316" s="1517"/>
      <c r="C3316" s="1518"/>
      <c r="D3316" s="1518"/>
      <c r="E3316" s="1518"/>
      <c r="F3316" s="1518"/>
      <c r="G3316" s="1518"/>
      <c r="H3316" s="1518"/>
      <c r="I3316" s="1518"/>
      <c r="J3316" s="1518"/>
      <c r="K3316" s="1518"/>
      <c r="L3316" s="1518"/>
      <c r="M3316" s="1518"/>
      <c r="N3316" s="1518"/>
      <c r="O3316" s="1518"/>
      <c r="P3316" s="1518"/>
      <c r="Q3316" s="1518"/>
      <c r="R3316" s="1518"/>
      <c r="S3316" s="1518"/>
      <c r="T3316" s="1518"/>
      <c r="U3316" s="1518"/>
      <c r="V3316" s="1518"/>
      <c r="W3316" s="1518"/>
      <c r="X3316" s="1518"/>
      <c r="Y3316" s="1518"/>
      <c r="Z3316" s="1518"/>
      <c r="AA3316" s="1518"/>
      <c r="AB3316" s="1518"/>
      <c r="AC3316" s="1518"/>
      <c r="AD3316" s="1518"/>
      <c r="AE3316" s="1518"/>
      <c r="AF3316" s="1519"/>
      <c r="AG3316" s="567"/>
      <c r="AH3316" s="568"/>
      <c r="AI3316" s="568"/>
      <c r="AJ3316" s="568"/>
      <c r="AK3316" s="568"/>
      <c r="AL3316" s="568"/>
      <c r="AM3316" s="568"/>
      <c r="AN3316" s="568"/>
      <c r="AO3316" s="569"/>
      <c r="AP3316" s="495"/>
      <c r="AQ3316" s="496"/>
      <c r="AR3316" s="496"/>
      <c r="AS3316" s="496"/>
      <c r="AT3316" s="496"/>
      <c r="AU3316" s="496"/>
      <c r="AV3316" s="496"/>
      <c r="AW3316" s="496"/>
      <c r="AX3316" s="496"/>
      <c r="AY3316" s="496"/>
      <c r="AZ3316" s="496"/>
      <c r="BA3316" s="496"/>
      <c r="BB3316" s="496"/>
      <c r="BC3316" s="496"/>
      <c r="BD3316" s="496"/>
      <c r="BE3316" s="496"/>
      <c r="BF3316" s="496"/>
      <c r="BG3316" s="495"/>
      <c r="BH3316" s="496"/>
      <c r="BI3316" s="496"/>
      <c r="BJ3316" s="496"/>
      <c r="BK3316" s="496"/>
      <c r="BL3316" s="496"/>
      <c r="BM3316" s="496"/>
      <c r="BN3316" s="496"/>
      <c r="BO3316" s="496"/>
      <c r="BP3316" s="496"/>
      <c r="BQ3316" s="496"/>
      <c r="BR3316" s="496"/>
      <c r="BS3316" s="496"/>
      <c r="BT3316" s="496"/>
      <c r="BU3316" s="496"/>
      <c r="BV3316" s="496"/>
      <c r="BW3316" s="496"/>
      <c r="BX3316" s="496"/>
      <c r="BY3316" s="496"/>
      <c r="BZ3316" s="497"/>
      <c r="CA3316" s="270"/>
      <c r="CB3316" s="3" t="str">
        <f t="shared" si="612"/>
        <v>Riadok bude skrytý.</v>
      </c>
      <c r="CC3316" s="271" t="s">
        <v>937</v>
      </c>
      <c r="CW3316" s="30">
        <f t="shared" si="607"/>
        <v>0</v>
      </c>
      <c r="CX3316" s="30">
        <f t="shared" si="610"/>
        <v>1</v>
      </c>
      <c r="CZ3316" s="30">
        <f t="shared" si="600"/>
        <v>0</v>
      </c>
      <c r="DA3316" s="52">
        <f t="shared" si="611"/>
        <v>0</v>
      </c>
      <c r="DB3316" s="2">
        <f t="shared" si="599"/>
        <v>0</v>
      </c>
      <c r="DS3316" s="130">
        <f>SI!BY3316</f>
        <v>195</v>
      </c>
      <c r="DZ3316" s="131">
        <f>SI!BZ3316</f>
        <v>0</v>
      </c>
    </row>
    <row r="3317" spans="1:130" hidden="1" x14ac:dyDescent="0.25">
      <c r="A3317" s="141"/>
      <c r="B3317" s="846" t="s">
        <v>0</v>
      </c>
      <c r="C3317" s="846"/>
      <c r="D3317" s="846"/>
      <c r="E3317" s="846"/>
      <c r="F3317" s="846"/>
      <c r="G3317" s="846"/>
      <c r="H3317" s="846"/>
      <c r="I3317" s="846"/>
      <c r="J3317" s="846"/>
      <c r="K3317" s="846"/>
      <c r="L3317" s="846"/>
      <c r="M3317" s="846"/>
      <c r="N3317" s="846"/>
      <c r="O3317" s="846"/>
      <c r="P3317" s="846"/>
      <c r="Q3317" s="846"/>
      <c r="R3317" s="846"/>
      <c r="S3317" s="846"/>
      <c r="T3317" s="846"/>
      <c r="U3317" s="846"/>
      <c r="V3317" s="846"/>
      <c r="W3317" s="846"/>
      <c r="X3317" s="846"/>
      <c r="Y3317" s="846"/>
      <c r="Z3317" s="846"/>
      <c r="AA3317" s="846"/>
      <c r="AB3317" s="846"/>
      <c r="AC3317" s="846"/>
      <c r="AD3317" s="846"/>
      <c r="AE3317" s="846"/>
      <c r="AF3317" s="524"/>
      <c r="AG3317" s="846" t="s">
        <v>1</v>
      </c>
      <c r="AH3317" s="846"/>
      <c r="AI3317" s="846"/>
      <c r="AJ3317" s="846"/>
      <c r="AK3317" s="846"/>
      <c r="AL3317" s="846"/>
      <c r="AM3317" s="846"/>
      <c r="AN3317" s="846"/>
      <c r="AO3317" s="846"/>
      <c r="AP3317" s="723" t="s">
        <v>2</v>
      </c>
      <c r="AQ3317" s="846"/>
      <c r="AR3317" s="846"/>
      <c r="AS3317" s="846"/>
      <c r="AT3317" s="846"/>
      <c r="AU3317" s="846"/>
      <c r="AV3317" s="846"/>
      <c r="AW3317" s="846"/>
      <c r="AX3317" s="846"/>
      <c r="AY3317" s="846"/>
      <c r="AZ3317" s="846"/>
      <c r="BA3317" s="846"/>
      <c r="BB3317" s="846"/>
      <c r="BC3317" s="846"/>
      <c r="BD3317" s="846"/>
      <c r="BE3317" s="846"/>
      <c r="BF3317" s="846"/>
      <c r="BG3317" s="723" t="s">
        <v>28</v>
      </c>
      <c r="BH3317" s="846"/>
      <c r="BI3317" s="846"/>
      <c r="BJ3317" s="846"/>
      <c r="BK3317" s="846"/>
      <c r="BL3317" s="846"/>
      <c r="BM3317" s="846"/>
      <c r="BN3317" s="846"/>
      <c r="BO3317" s="846"/>
      <c r="BP3317" s="846"/>
      <c r="BQ3317" s="846"/>
      <c r="BR3317" s="846"/>
      <c r="BS3317" s="846"/>
      <c r="BT3317" s="846"/>
      <c r="BU3317" s="846"/>
      <c r="BV3317" s="846"/>
      <c r="BW3317" s="846"/>
      <c r="BX3317" s="846"/>
      <c r="BY3317" s="846"/>
      <c r="BZ3317" s="846"/>
      <c r="CA3317" s="270"/>
      <c r="CB3317" s="3" t="str">
        <f t="shared" si="612"/>
        <v>Riadok bude skrytý.</v>
      </c>
      <c r="CC3317" s="271" t="s">
        <v>937</v>
      </c>
      <c r="CW3317" s="30">
        <f t="shared" si="607"/>
        <v>0</v>
      </c>
      <c r="CX3317" s="30">
        <f t="shared" si="610"/>
        <v>1</v>
      </c>
      <c r="CZ3317" s="30">
        <f t="shared" si="600"/>
        <v>0</v>
      </c>
      <c r="DA3317" s="52">
        <f t="shared" si="611"/>
        <v>0</v>
      </c>
      <c r="DB3317" s="2">
        <f t="shared" si="599"/>
        <v>0</v>
      </c>
      <c r="DS3317" s="130">
        <f>SI!BY3317</f>
        <v>144</v>
      </c>
      <c r="DZ3317" s="131">
        <f>SI!BZ3317</f>
        <v>0</v>
      </c>
    </row>
    <row r="3318" spans="1:130" hidden="1" x14ac:dyDescent="0.25">
      <c r="A3318" s="141"/>
      <c r="B3318" s="555"/>
      <c r="C3318" s="556"/>
      <c r="D3318" s="556"/>
      <c r="E3318" s="556"/>
      <c r="F3318" s="556"/>
      <c r="G3318" s="556"/>
      <c r="H3318" s="556"/>
      <c r="I3318" s="556"/>
      <c r="J3318" s="556"/>
      <c r="K3318" s="556"/>
      <c r="L3318" s="556"/>
      <c r="M3318" s="556"/>
      <c r="N3318" s="556"/>
      <c r="O3318" s="556"/>
      <c r="P3318" s="556"/>
      <c r="Q3318" s="556"/>
      <c r="R3318" s="556"/>
      <c r="S3318" s="556"/>
      <c r="T3318" s="556"/>
      <c r="U3318" s="556"/>
      <c r="V3318" s="556"/>
      <c r="W3318" s="556"/>
      <c r="X3318" s="556"/>
      <c r="Y3318" s="556"/>
      <c r="Z3318" s="556"/>
      <c r="AA3318" s="556"/>
      <c r="AB3318" s="556"/>
      <c r="AC3318" s="556"/>
      <c r="AD3318" s="556"/>
      <c r="AE3318" s="556"/>
      <c r="AF3318" s="1015"/>
      <c r="AG3318" s="582"/>
      <c r="AH3318" s="583"/>
      <c r="AI3318" s="583"/>
      <c r="AJ3318" s="583"/>
      <c r="AK3318" s="583"/>
      <c r="AL3318" s="583"/>
      <c r="AM3318" s="583"/>
      <c r="AN3318" s="583"/>
      <c r="AO3318" s="585"/>
      <c r="AP3318" s="586"/>
      <c r="AQ3318" s="583"/>
      <c r="AR3318" s="583"/>
      <c r="AS3318" s="583"/>
      <c r="AT3318" s="583"/>
      <c r="AU3318" s="583"/>
      <c r="AV3318" s="583"/>
      <c r="AW3318" s="583"/>
      <c r="AX3318" s="583"/>
      <c r="AY3318" s="583"/>
      <c r="AZ3318" s="583"/>
      <c r="BA3318" s="583"/>
      <c r="BB3318" s="583"/>
      <c r="BC3318" s="583"/>
      <c r="BD3318" s="583"/>
      <c r="BE3318" s="583"/>
      <c r="BF3318" s="585"/>
      <c r="BG3318" s="1014"/>
      <c r="BH3318" s="536"/>
      <c r="BI3318" s="536"/>
      <c r="BJ3318" s="536"/>
      <c r="BK3318" s="536"/>
      <c r="BL3318" s="536"/>
      <c r="BM3318" s="536"/>
      <c r="BN3318" s="536"/>
      <c r="BO3318" s="536"/>
      <c r="BP3318" s="536"/>
      <c r="BQ3318" s="536"/>
      <c r="BR3318" s="536"/>
      <c r="BS3318" s="536"/>
      <c r="BT3318" s="536"/>
      <c r="BU3318" s="536"/>
      <c r="BV3318" s="536"/>
      <c r="BW3318" s="536"/>
      <c r="BX3318" s="536"/>
      <c r="BY3318" s="536"/>
      <c r="BZ3318" s="537"/>
      <c r="CA3318" s="270"/>
      <c r="CB3318" s="3" t="str">
        <f t="shared" si="612"/>
        <v>Riadok bude skrytý.</v>
      </c>
      <c r="CC3318" s="271" t="s">
        <v>937</v>
      </c>
      <c r="CW3318" s="30">
        <f t="shared" si="607"/>
        <v>0</v>
      </c>
      <c r="CX3318" s="30">
        <f t="shared" si="610"/>
        <v>1</v>
      </c>
      <c r="CZ3318" s="30">
        <f t="shared" si="600"/>
        <v>0</v>
      </c>
      <c r="DA3318" s="52">
        <f t="shared" si="611"/>
        <v>0</v>
      </c>
      <c r="DB3318" s="2">
        <f t="shared" ref="DB3318:DB3341" si="613">+IF($CD$1="malé",0,DA3318)</f>
        <v>0</v>
      </c>
      <c r="DS3318" s="130">
        <f>SI!BY3318</f>
        <v>132</v>
      </c>
      <c r="DZ3318" s="131">
        <f>SI!BZ3318</f>
        <v>0</v>
      </c>
    </row>
    <row r="3319" spans="1:130" hidden="1" x14ac:dyDescent="0.25">
      <c r="A3319" s="141"/>
      <c r="B3319" s="515"/>
      <c r="C3319" s="516"/>
      <c r="D3319" s="516"/>
      <c r="E3319" s="516"/>
      <c r="F3319" s="516"/>
      <c r="G3319" s="516"/>
      <c r="H3319" s="516"/>
      <c r="I3319" s="516"/>
      <c r="J3319" s="516"/>
      <c r="K3319" s="516"/>
      <c r="L3319" s="516"/>
      <c r="M3319" s="516"/>
      <c r="N3319" s="516"/>
      <c r="O3319" s="516"/>
      <c r="P3319" s="516"/>
      <c r="Q3319" s="516"/>
      <c r="R3319" s="516"/>
      <c r="S3319" s="516"/>
      <c r="T3319" s="516"/>
      <c r="U3319" s="516"/>
      <c r="V3319" s="516"/>
      <c r="W3319" s="516"/>
      <c r="X3319" s="516"/>
      <c r="Y3319" s="516"/>
      <c r="Z3319" s="516"/>
      <c r="AA3319" s="516"/>
      <c r="AB3319" s="516"/>
      <c r="AC3319" s="516"/>
      <c r="AD3319" s="516"/>
      <c r="AE3319" s="516"/>
      <c r="AF3319" s="1001"/>
      <c r="AG3319" s="407"/>
      <c r="AH3319" s="408"/>
      <c r="AI3319" s="408"/>
      <c r="AJ3319" s="408"/>
      <c r="AK3319" s="408"/>
      <c r="AL3319" s="408"/>
      <c r="AM3319" s="408"/>
      <c r="AN3319" s="408"/>
      <c r="AO3319" s="409"/>
      <c r="AP3319" s="541"/>
      <c r="AQ3319" s="408"/>
      <c r="AR3319" s="408"/>
      <c r="AS3319" s="408"/>
      <c r="AT3319" s="408"/>
      <c r="AU3319" s="408"/>
      <c r="AV3319" s="408"/>
      <c r="AW3319" s="408"/>
      <c r="AX3319" s="408"/>
      <c r="AY3319" s="408"/>
      <c r="AZ3319" s="408"/>
      <c r="BA3319" s="408"/>
      <c r="BB3319" s="408"/>
      <c r="BC3319" s="408"/>
      <c r="BD3319" s="408"/>
      <c r="BE3319" s="408"/>
      <c r="BF3319" s="409"/>
      <c r="BG3319" s="386"/>
      <c r="BH3319" s="364"/>
      <c r="BI3319" s="364"/>
      <c r="BJ3319" s="364"/>
      <c r="BK3319" s="364"/>
      <c r="BL3319" s="364"/>
      <c r="BM3319" s="364"/>
      <c r="BN3319" s="364"/>
      <c r="BO3319" s="364"/>
      <c r="BP3319" s="364"/>
      <c r="BQ3319" s="364"/>
      <c r="BR3319" s="364"/>
      <c r="BS3319" s="364"/>
      <c r="BT3319" s="364"/>
      <c r="BU3319" s="364"/>
      <c r="BV3319" s="364"/>
      <c r="BW3319" s="364"/>
      <c r="BX3319" s="364"/>
      <c r="BY3319" s="364"/>
      <c r="BZ3319" s="387"/>
      <c r="CA3319" s="270"/>
      <c r="CB3319" s="3" t="str">
        <f t="shared" si="612"/>
        <v>Riadok bude skrytý.</v>
      </c>
      <c r="CC3319" s="271" t="s">
        <v>937</v>
      </c>
      <c r="CW3319" s="30">
        <f t="shared" si="607"/>
        <v>0</v>
      </c>
      <c r="CX3319" s="30">
        <f t="shared" si="610"/>
        <v>1</v>
      </c>
      <c r="CY3319" s="30">
        <f t="shared" ref="CY3319:CY3336" si="614">+IF(B3319="",0,1)</f>
        <v>0</v>
      </c>
      <c r="CZ3319" s="30">
        <f t="shared" ref="CZ3319:CZ3382" si="615">IF(CC3319="",1,IF(CC3319="Chcem skryť riadok.",0,1))</f>
        <v>0</v>
      </c>
      <c r="DA3319" s="53">
        <f t="shared" ref="DA3319:DA3336" si="616">+IF(CW3319*CX3319*CY3319=0,0,IF(CZ3319=0,0,1))</f>
        <v>0</v>
      </c>
      <c r="DB3319" s="2">
        <f t="shared" si="613"/>
        <v>0</v>
      </c>
      <c r="DS3319" s="130">
        <f>SI!BY3319</f>
        <v>150</v>
      </c>
      <c r="DZ3319" s="131">
        <f>SI!BZ3319</f>
        <v>0</v>
      </c>
    </row>
    <row r="3320" spans="1:130" hidden="1" x14ac:dyDescent="0.25">
      <c r="A3320" s="141"/>
      <c r="B3320" s="515"/>
      <c r="C3320" s="516"/>
      <c r="D3320" s="516"/>
      <c r="E3320" s="516"/>
      <c r="F3320" s="516"/>
      <c r="G3320" s="516"/>
      <c r="H3320" s="516"/>
      <c r="I3320" s="516"/>
      <c r="J3320" s="516"/>
      <c r="K3320" s="516"/>
      <c r="L3320" s="516"/>
      <c r="M3320" s="516"/>
      <c r="N3320" s="516"/>
      <c r="O3320" s="516"/>
      <c r="P3320" s="516"/>
      <c r="Q3320" s="516"/>
      <c r="R3320" s="516"/>
      <c r="S3320" s="516"/>
      <c r="T3320" s="516"/>
      <c r="U3320" s="516"/>
      <c r="V3320" s="516"/>
      <c r="W3320" s="516"/>
      <c r="X3320" s="516"/>
      <c r="Y3320" s="516"/>
      <c r="Z3320" s="516"/>
      <c r="AA3320" s="516"/>
      <c r="AB3320" s="516"/>
      <c r="AC3320" s="516"/>
      <c r="AD3320" s="516"/>
      <c r="AE3320" s="516"/>
      <c r="AF3320" s="1001"/>
      <c r="AG3320" s="407"/>
      <c r="AH3320" s="408"/>
      <c r="AI3320" s="408"/>
      <c r="AJ3320" s="408"/>
      <c r="AK3320" s="408"/>
      <c r="AL3320" s="408"/>
      <c r="AM3320" s="408"/>
      <c r="AN3320" s="408"/>
      <c r="AO3320" s="409"/>
      <c r="AP3320" s="541"/>
      <c r="AQ3320" s="408"/>
      <c r="AR3320" s="408"/>
      <c r="AS3320" s="408"/>
      <c r="AT3320" s="408"/>
      <c r="AU3320" s="408"/>
      <c r="AV3320" s="408"/>
      <c r="AW3320" s="408"/>
      <c r="AX3320" s="408"/>
      <c r="AY3320" s="408"/>
      <c r="AZ3320" s="408"/>
      <c r="BA3320" s="408"/>
      <c r="BB3320" s="408"/>
      <c r="BC3320" s="408"/>
      <c r="BD3320" s="408"/>
      <c r="BE3320" s="408"/>
      <c r="BF3320" s="409"/>
      <c r="BG3320" s="386"/>
      <c r="BH3320" s="364"/>
      <c r="BI3320" s="364"/>
      <c r="BJ3320" s="364"/>
      <c r="BK3320" s="364"/>
      <c r="BL3320" s="364"/>
      <c r="BM3320" s="364"/>
      <c r="BN3320" s="364"/>
      <c r="BO3320" s="364"/>
      <c r="BP3320" s="364"/>
      <c r="BQ3320" s="364"/>
      <c r="BR3320" s="364"/>
      <c r="BS3320" s="364"/>
      <c r="BT3320" s="364"/>
      <c r="BU3320" s="364"/>
      <c r="BV3320" s="364"/>
      <c r="BW3320" s="364"/>
      <c r="BX3320" s="364"/>
      <c r="BY3320" s="364"/>
      <c r="BZ3320" s="387"/>
      <c r="CA3320" s="270"/>
      <c r="CB3320" s="3" t="str">
        <f t="shared" si="612"/>
        <v>Riadok bude skrytý.</v>
      </c>
      <c r="CC3320" s="271" t="s">
        <v>937</v>
      </c>
      <c r="CW3320" s="30">
        <f t="shared" si="607"/>
        <v>0</v>
      </c>
      <c r="CX3320" s="30">
        <f t="shared" si="610"/>
        <v>1</v>
      </c>
      <c r="CY3320" s="30">
        <f t="shared" si="614"/>
        <v>0</v>
      </c>
      <c r="CZ3320" s="30">
        <f t="shared" si="615"/>
        <v>0</v>
      </c>
      <c r="DA3320" s="53">
        <f t="shared" si="616"/>
        <v>0</v>
      </c>
      <c r="DB3320" s="2">
        <f t="shared" si="613"/>
        <v>0</v>
      </c>
      <c r="DS3320" s="130">
        <f>SI!BY3320</f>
        <v>137</v>
      </c>
      <c r="DZ3320" s="131">
        <f>SI!BZ3320</f>
        <v>0</v>
      </c>
    </row>
    <row r="3321" spans="1:130" hidden="1" x14ac:dyDescent="0.25">
      <c r="A3321" s="141"/>
      <c r="B3321" s="515"/>
      <c r="C3321" s="516"/>
      <c r="D3321" s="516"/>
      <c r="E3321" s="516"/>
      <c r="F3321" s="516"/>
      <c r="G3321" s="516"/>
      <c r="H3321" s="516"/>
      <c r="I3321" s="516"/>
      <c r="J3321" s="516"/>
      <c r="K3321" s="516"/>
      <c r="L3321" s="516"/>
      <c r="M3321" s="516"/>
      <c r="N3321" s="516"/>
      <c r="O3321" s="516"/>
      <c r="P3321" s="516"/>
      <c r="Q3321" s="516"/>
      <c r="R3321" s="516"/>
      <c r="S3321" s="516"/>
      <c r="T3321" s="516"/>
      <c r="U3321" s="516"/>
      <c r="V3321" s="516"/>
      <c r="W3321" s="516"/>
      <c r="X3321" s="516"/>
      <c r="Y3321" s="516"/>
      <c r="Z3321" s="516"/>
      <c r="AA3321" s="516"/>
      <c r="AB3321" s="516"/>
      <c r="AC3321" s="516"/>
      <c r="AD3321" s="516"/>
      <c r="AE3321" s="516"/>
      <c r="AF3321" s="1001"/>
      <c r="AG3321" s="407"/>
      <c r="AH3321" s="408"/>
      <c r="AI3321" s="408"/>
      <c r="AJ3321" s="408"/>
      <c r="AK3321" s="408"/>
      <c r="AL3321" s="408"/>
      <c r="AM3321" s="408"/>
      <c r="AN3321" s="408"/>
      <c r="AO3321" s="409"/>
      <c r="AP3321" s="541"/>
      <c r="AQ3321" s="408"/>
      <c r="AR3321" s="408"/>
      <c r="AS3321" s="408"/>
      <c r="AT3321" s="408"/>
      <c r="AU3321" s="408"/>
      <c r="AV3321" s="408"/>
      <c r="AW3321" s="408"/>
      <c r="AX3321" s="408"/>
      <c r="AY3321" s="408"/>
      <c r="AZ3321" s="408"/>
      <c r="BA3321" s="408"/>
      <c r="BB3321" s="408"/>
      <c r="BC3321" s="408"/>
      <c r="BD3321" s="408"/>
      <c r="BE3321" s="408"/>
      <c r="BF3321" s="409"/>
      <c r="BG3321" s="386"/>
      <c r="BH3321" s="364"/>
      <c r="BI3321" s="364"/>
      <c r="BJ3321" s="364"/>
      <c r="BK3321" s="364"/>
      <c r="BL3321" s="364"/>
      <c r="BM3321" s="364"/>
      <c r="BN3321" s="364"/>
      <c r="BO3321" s="364"/>
      <c r="BP3321" s="364"/>
      <c r="BQ3321" s="364"/>
      <c r="BR3321" s="364"/>
      <c r="BS3321" s="364"/>
      <c r="BT3321" s="364"/>
      <c r="BU3321" s="364"/>
      <c r="BV3321" s="364"/>
      <c r="BW3321" s="364"/>
      <c r="BX3321" s="364"/>
      <c r="BY3321" s="364"/>
      <c r="BZ3321" s="387"/>
      <c r="CA3321" s="270"/>
      <c r="CB3321" s="3" t="str">
        <f t="shared" si="612"/>
        <v>Riadok bude skrytý.</v>
      </c>
      <c r="CC3321" s="271" t="s">
        <v>937</v>
      </c>
      <c r="CW3321" s="30">
        <f t="shared" si="607"/>
        <v>0</v>
      </c>
      <c r="CX3321" s="30">
        <f t="shared" si="610"/>
        <v>1</v>
      </c>
      <c r="CY3321" s="30">
        <f t="shared" si="614"/>
        <v>0</v>
      </c>
      <c r="CZ3321" s="30">
        <f t="shared" si="615"/>
        <v>0</v>
      </c>
      <c r="DA3321" s="53">
        <f t="shared" si="616"/>
        <v>0</v>
      </c>
      <c r="DB3321" s="2">
        <f t="shared" si="613"/>
        <v>0</v>
      </c>
      <c r="DS3321" s="130">
        <f>SI!BY3321</f>
        <v>136</v>
      </c>
      <c r="DZ3321" s="131">
        <f>SI!BZ3321</f>
        <v>0</v>
      </c>
    </row>
    <row r="3322" spans="1:130" hidden="1" x14ac:dyDescent="0.25">
      <c r="A3322" s="141"/>
      <c r="B3322" s="515"/>
      <c r="C3322" s="516"/>
      <c r="D3322" s="516"/>
      <c r="E3322" s="516"/>
      <c r="F3322" s="516"/>
      <c r="G3322" s="516"/>
      <c r="H3322" s="516"/>
      <c r="I3322" s="516"/>
      <c r="J3322" s="516"/>
      <c r="K3322" s="516"/>
      <c r="L3322" s="516"/>
      <c r="M3322" s="516"/>
      <c r="N3322" s="516"/>
      <c r="O3322" s="516"/>
      <c r="P3322" s="516"/>
      <c r="Q3322" s="516"/>
      <c r="R3322" s="516"/>
      <c r="S3322" s="516"/>
      <c r="T3322" s="516"/>
      <c r="U3322" s="516"/>
      <c r="V3322" s="516"/>
      <c r="W3322" s="516"/>
      <c r="X3322" s="516"/>
      <c r="Y3322" s="516"/>
      <c r="Z3322" s="516"/>
      <c r="AA3322" s="516"/>
      <c r="AB3322" s="516"/>
      <c r="AC3322" s="516"/>
      <c r="AD3322" s="516"/>
      <c r="AE3322" s="516"/>
      <c r="AF3322" s="1001"/>
      <c r="AG3322" s="407"/>
      <c r="AH3322" s="408"/>
      <c r="AI3322" s="408"/>
      <c r="AJ3322" s="408"/>
      <c r="AK3322" s="408"/>
      <c r="AL3322" s="408"/>
      <c r="AM3322" s="408"/>
      <c r="AN3322" s="408"/>
      <c r="AO3322" s="409"/>
      <c r="AP3322" s="541"/>
      <c r="AQ3322" s="408"/>
      <c r="AR3322" s="408"/>
      <c r="AS3322" s="408"/>
      <c r="AT3322" s="408"/>
      <c r="AU3322" s="408"/>
      <c r="AV3322" s="408"/>
      <c r="AW3322" s="408"/>
      <c r="AX3322" s="408"/>
      <c r="AY3322" s="408"/>
      <c r="AZ3322" s="408"/>
      <c r="BA3322" s="408"/>
      <c r="BB3322" s="408"/>
      <c r="BC3322" s="408"/>
      <c r="BD3322" s="408"/>
      <c r="BE3322" s="408"/>
      <c r="BF3322" s="409"/>
      <c r="BG3322" s="386"/>
      <c r="BH3322" s="364"/>
      <c r="BI3322" s="364"/>
      <c r="BJ3322" s="364"/>
      <c r="BK3322" s="364"/>
      <c r="BL3322" s="364"/>
      <c r="BM3322" s="364"/>
      <c r="BN3322" s="364"/>
      <c r="BO3322" s="364"/>
      <c r="BP3322" s="364"/>
      <c r="BQ3322" s="364"/>
      <c r="BR3322" s="364"/>
      <c r="BS3322" s="364"/>
      <c r="BT3322" s="364"/>
      <c r="BU3322" s="364"/>
      <c r="BV3322" s="364"/>
      <c r="BW3322" s="364"/>
      <c r="BX3322" s="364"/>
      <c r="BY3322" s="364"/>
      <c r="BZ3322" s="387"/>
      <c r="CA3322" s="270"/>
      <c r="CB3322" s="3" t="str">
        <f t="shared" si="612"/>
        <v>Riadok bude skrytý.</v>
      </c>
      <c r="CC3322" s="271" t="s">
        <v>937</v>
      </c>
      <c r="CW3322" s="30">
        <f t="shared" ref="CW3322:CW3337" si="617">+IF($J$3256="nie je",0,1)</f>
        <v>0</v>
      </c>
      <c r="CX3322" s="30">
        <f t="shared" si="610"/>
        <v>1</v>
      </c>
      <c r="CY3322" s="30">
        <f t="shared" si="614"/>
        <v>0</v>
      </c>
      <c r="CZ3322" s="30">
        <f t="shared" si="615"/>
        <v>0</v>
      </c>
      <c r="DA3322" s="53">
        <f t="shared" si="616"/>
        <v>0</v>
      </c>
      <c r="DB3322" s="2">
        <f t="shared" si="613"/>
        <v>0</v>
      </c>
      <c r="DS3322" s="130">
        <f>SI!BY3322</f>
        <v>146</v>
      </c>
      <c r="DZ3322" s="131">
        <f>SI!BZ3322</f>
        <v>0</v>
      </c>
    </row>
    <row r="3323" spans="1:130" hidden="1" x14ac:dyDescent="0.25">
      <c r="A3323" s="141"/>
      <c r="B3323" s="515"/>
      <c r="C3323" s="516"/>
      <c r="D3323" s="516"/>
      <c r="E3323" s="516"/>
      <c r="F3323" s="516"/>
      <c r="G3323" s="516"/>
      <c r="H3323" s="516"/>
      <c r="I3323" s="516"/>
      <c r="J3323" s="516"/>
      <c r="K3323" s="516"/>
      <c r="L3323" s="516"/>
      <c r="M3323" s="516"/>
      <c r="N3323" s="516"/>
      <c r="O3323" s="516"/>
      <c r="P3323" s="516"/>
      <c r="Q3323" s="516"/>
      <c r="R3323" s="516"/>
      <c r="S3323" s="516"/>
      <c r="T3323" s="516"/>
      <c r="U3323" s="516"/>
      <c r="V3323" s="516"/>
      <c r="W3323" s="516"/>
      <c r="X3323" s="516"/>
      <c r="Y3323" s="516"/>
      <c r="Z3323" s="516"/>
      <c r="AA3323" s="516"/>
      <c r="AB3323" s="516"/>
      <c r="AC3323" s="516"/>
      <c r="AD3323" s="516"/>
      <c r="AE3323" s="516"/>
      <c r="AF3323" s="1001"/>
      <c r="AG3323" s="407"/>
      <c r="AH3323" s="408"/>
      <c r="AI3323" s="408"/>
      <c r="AJ3323" s="408"/>
      <c r="AK3323" s="408"/>
      <c r="AL3323" s="408"/>
      <c r="AM3323" s="408"/>
      <c r="AN3323" s="408"/>
      <c r="AO3323" s="409"/>
      <c r="AP3323" s="541"/>
      <c r="AQ3323" s="408"/>
      <c r="AR3323" s="408"/>
      <c r="AS3323" s="408"/>
      <c r="AT3323" s="408"/>
      <c r="AU3323" s="408"/>
      <c r="AV3323" s="408"/>
      <c r="AW3323" s="408"/>
      <c r="AX3323" s="408"/>
      <c r="AY3323" s="408"/>
      <c r="AZ3323" s="408"/>
      <c r="BA3323" s="408"/>
      <c r="BB3323" s="408"/>
      <c r="BC3323" s="408"/>
      <c r="BD3323" s="408"/>
      <c r="BE3323" s="408"/>
      <c r="BF3323" s="409"/>
      <c r="BG3323" s="386"/>
      <c r="BH3323" s="364"/>
      <c r="BI3323" s="364"/>
      <c r="BJ3323" s="364"/>
      <c r="BK3323" s="364"/>
      <c r="BL3323" s="364"/>
      <c r="BM3323" s="364"/>
      <c r="BN3323" s="364"/>
      <c r="BO3323" s="364"/>
      <c r="BP3323" s="364"/>
      <c r="BQ3323" s="364"/>
      <c r="BR3323" s="364"/>
      <c r="BS3323" s="364"/>
      <c r="BT3323" s="364"/>
      <c r="BU3323" s="364"/>
      <c r="BV3323" s="364"/>
      <c r="BW3323" s="364"/>
      <c r="BX3323" s="364"/>
      <c r="BY3323" s="364"/>
      <c r="BZ3323" s="387"/>
      <c r="CA3323" s="270"/>
      <c r="CB3323" s="3" t="str">
        <f t="shared" si="612"/>
        <v>Riadok bude skrytý.</v>
      </c>
      <c r="CC3323" s="271" t="s">
        <v>937</v>
      </c>
      <c r="CW3323" s="30">
        <f t="shared" si="617"/>
        <v>0</v>
      </c>
      <c r="CX3323" s="30">
        <f t="shared" si="610"/>
        <v>1</v>
      </c>
      <c r="CY3323" s="30">
        <f t="shared" si="614"/>
        <v>0</v>
      </c>
      <c r="CZ3323" s="30">
        <f t="shared" si="615"/>
        <v>0</v>
      </c>
      <c r="DA3323" s="53">
        <f t="shared" si="616"/>
        <v>0</v>
      </c>
      <c r="DB3323" s="2">
        <f t="shared" si="613"/>
        <v>0</v>
      </c>
      <c r="DS3323" s="130">
        <f>SI!BY3323</f>
        <v>891</v>
      </c>
      <c r="DZ3323" s="131">
        <f>SI!BZ3323</f>
        <v>0</v>
      </c>
    </row>
    <row r="3324" spans="1:130" hidden="1" x14ac:dyDescent="0.25">
      <c r="A3324" s="141"/>
      <c r="B3324" s="515"/>
      <c r="C3324" s="516"/>
      <c r="D3324" s="516"/>
      <c r="E3324" s="516"/>
      <c r="F3324" s="516"/>
      <c r="G3324" s="516"/>
      <c r="H3324" s="516"/>
      <c r="I3324" s="516"/>
      <c r="J3324" s="516"/>
      <c r="K3324" s="516"/>
      <c r="L3324" s="516"/>
      <c r="M3324" s="516"/>
      <c r="N3324" s="516"/>
      <c r="O3324" s="516"/>
      <c r="P3324" s="516"/>
      <c r="Q3324" s="516"/>
      <c r="R3324" s="516"/>
      <c r="S3324" s="516"/>
      <c r="T3324" s="516"/>
      <c r="U3324" s="516"/>
      <c r="V3324" s="516"/>
      <c r="W3324" s="516"/>
      <c r="X3324" s="516"/>
      <c r="Y3324" s="516"/>
      <c r="Z3324" s="516"/>
      <c r="AA3324" s="516"/>
      <c r="AB3324" s="516"/>
      <c r="AC3324" s="516"/>
      <c r="AD3324" s="516"/>
      <c r="AE3324" s="516"/>
      <c r="AF3324" s="1001"/>
      <c r="AG3324" s="407"/>
      <c r="AH3324" s="408"/>
      <c r="AI3324" s="408"/>
      <c r="AJ3324" s="408"/>
      <c r="AK3324" s="408"/>
      <c r="AL3324" s="408"/>
      <c r="AM3324" s="408"/>
      <c r="AN3324" s="408"/>
      <c r="AO3324" s="409"/>
      <c r="AP3324" s="541"/>
      <c r="AQ3324" s="408"/>
      <c r="AR3324" s="408"/>
      <c r="AS3324" s="408"/>
      <c r="AT3324" s="408"/>
      <c r="AU3324" s="408"/>
      <c r="AV3324" s="408"/>
      <c r="AW3324" s="408"/>
      <c r="AX3324" s="408"/>
      <c r="AY3324" s="408"/>
      <c r="AZ3324" s="408"/>
      <c r="BA3324" s="408"/>
      <c r="BB3324" s="408"/>
      <c r="BC3324" s="408"/>
      <c r="BD3324" s="408"/>
      <c r="BE3324" s="408"/>
      <c r="BF3324" s="409"/>
      <c r="BG3324" s="386"/>
      <c r="BH3324" s="364"/>
      <c r="BI3324" s="364"/>
      <c r="BJ3324" s="364"/>
      <c r="BK3324" s="364"/>
      <c r="BL3324" s="364"/>
      <c r="BM3324" s="364"/>
      <c r="BN3324" s="364"/>
      <c r="BO3324" s="364"/>
      <c r="BP3324" s="364"/>
      <c r="BQ3324" s="364"/>
      <c r="BR3324" s="364"/>
      <c r="BS3324" s="364"/>
      <c r="BT3324" s="364"/>
      <c r="BU3324" s="364"/>
      <c r="BV3324" s="364"/>
      <c r="BW3324" s="364"/>
      <c r="BX3324" s="364"/>
      <c r="BY3324" s="364"/>
      <c r="BZ3324" s="387"/>
      <c r="CA3324" s="270"/>
      <c r="CB3324" s="3" t="str">
        <f t="shared" si="612"/>
        <v>Riadok bude skrytý.</v>
      </c>
      <c r="CC3324" s="271" t="s">
        <v>937</v>
      </c>
      <c r="CW3324" s="30">
        <f t="shared" si="617"/>
        <v>0</v>
      </c>
      <c r="CX3324" s="30">
        <f t="shared" si="610"/>
        <v>1</v>
      </c>
      <c r="CY3324" s="30">
        <f t="shared" si="614"/>
        <v>0</v>
      </c>
      <c r="CZ3324" s="30">
        <f t="shared" si="615"/>
        <v>0</v>
      </c>
      <c r="DA3324" s="53">
        <f t="shared" si="616"/>
        <v>0</v>
      </c>
      <c r="DB3324" s="2">
        <f t="shared" si="613"/>
        <v>0</v>
      </c>
      <c r="DS3324" s="130">
        <f>SI!BY3324</f>
        <v>124</v>
      </c>
      <c r="DZ3324" s="131">
        <f>SI!BZ3324</f>
        <v>0</v>
      </c>
    </row>
    <row r="3325" spans="1:130" hidden="1" x14ac:dyDescent="0.25">
      <c r="A3325" s="141"/>
      <c r="B3325" s="515"/>
      <c r="C3325" s="516"/>
      <c r="D3325" s="516"/>
      <c r="E3325" s="516"/>
      <c r="F3325" s="516"/>
      <c r="G3325" s="516"/>
      <c r="H3325" s="516"/>
      <c r="I3325" s="516"/>
      <c r="J3325" s="516"/>
      <c r="K3325" s="516"/>
      <c r="L3325" s="516"/>
      <c r="M3325" s="516"/>
      <c r="N3325" s="516"/>
      <c r="O3325" s="516"/>
      <c r="P3325" s="516"/>
      <c r="Q3325" s="516"/>
      <c r="R3325" s="516"/>
      <c r="S3325" s="516"/>
      <c r="T3325" s="516"/>
      <c r="U3325" s="516"/>
      <c r="V3325" s="516"/>
      <c r="W3325" s="516"/>
      <c r="X3325" s="516"/>
      <c r="Y3325" s="516"/>
      <c r="Z3325" s="516"/>
      <c r="AA3325" s="516"/>
      <c r="AB3325" s="516"/>
      <c r="AC3325" s="516"/>
      <c r="AD3325" s="516"/>
      <c r="AE3325" s="516"/>
      <c r="AF3325" s="1001"/>
      <c r="AG3325" s="407"/>
      <c r="AH3325" s="408"/>
      <c r="AI3325" s="408"/>
      <c r="AJ3325" s="408"/>
      <c r="AK3325" s="408"/>
      <c r="AL3325" s="408"/>
      <c r="AM3325" s="408"/>
      <c r="AN3325" s="408"/>
      <c r="AO3325" s="409"/>
      <c r="AP3325" s="541"/>
      <c r="AQ3325" s="408"/>
      <c r="AR3325" s="408"/>
      <c r="AS3325" s="408"/>
      <c r="AT3325" s="408"/>
      <c r="AU3325" s="408"/>
      <c r="AV3325" s="408"/>
      <c r="AW3325" s="408"/>
      <c r="AX3325" s="408"/>
      <c r="AY3325" s="408"/>
      <c r="AZ3325" s="408"/>
      <c r="BA3325" s="408"/>
      <c r="BB3325" s="408"/>
      <c r="BC3325" s="408"/>
      <c r="BD3325" s="408"/>
      <c r="BE3325" s="408"/>
      <c r="BF3325" s="409"/>
      <c r="BG3325" s="386"/>
      <c r="BH3325" s="364"/>
      <c r="BI3325" s="364"/>
      <c r="BJ3325" s="364"/>
      <c r="BK3325" s="364"/>
      <c r="BL3325" s="364"/>
      <c r="BM3325" s="364"/>
      <c r="BN3325" s="364"/>
      <c r="BO3325" s="364"/>
      <c r="BP3325" s="364"/>
      <c r="BQ3325" s="364"/>
      <c r="BR3325" s="364"/>
      <c r="BS3325" s="364"/>
      <c r="BT3325" s="364"/>
      <c r="BU3325" s="364"/>
      <c r="BV3325" s="364"/>
      <c r="BW3325" s="364"/>
      <c r="BX3325" s="364"/>
      <c r="BY3325" s="364"/>
      <c r="BZ3325" s="387"/>
      <c r="CA3325" s="270"/>
      <c r="CB3325" s="3" t="str">
        <f t="shared" si="612"/>
        <v>Riadok bude skrytý.</v>
      </c>
      <c r="CC3325" s="271" t="s">
        <v>937</v>
      </c>
      <c r="CW3325" s="30">
        <f t="shared" si="617"/>
        <v>0</v>
      </c>
      <c r="CX3325" s="30">
        <f t="shared" si="610"/>
        <v>1</v>
      </c>
      <c r="CY3325" s="30">
        <f t="shared" si="614"/>
        <v>0</v>
      </c>
      <c r="CZ3325" s="30">
        <f t="shared" si="615"/>
        <v>0</v>
      </c>
      <c r="DA3325" s="53">
        <f t="shared" si="616"/>
        <v>0</v>
      </c>
      <c r="DB3325" s="2">
        <f t="shared" si="613"/>
        <v>0</v>
      </c>
      <c r="DS3325" s="130">
        <f>SI!BY3325</f>
        <v>175</v>
      </c>
      <c r="DZ3325" s="131">
        <f>SI!BZ3325</f>
        <v>0</v>
      </c>
    </row>
    <row r="3326" spans="1:130" hidden="1" x14ac:dyDescent="0.25">
      <c r="A3326" s="141"/>
      <c r="B3326" s="515"/>
      <c r="C3326" s="516"/>
      <c r="D3326" s="516"/>
      <c r="E3326" s="516"/>
      <c r="F3326" s="516"/>
      <c r="G3326" s="516"/>
      <c r="H3326" s="516"/>
      <c r="I3326" s="516"/>
      <c r="J3326" s="516"/>
      <c r="K3326" s="516"/>
      <c r="L3326" s="516"/>
      <c r="M3326" s="516"/>
      <c r="N3326" s="516"/>
      <c r="O3326" s="516"/>
      <c r="P3326" s="516"/>
      <c r="Q3326" s="516"/>
      <c r="R3326" s="516"/>
      <c r="S3326" s="516"/>
      <c r="T3326" s="516"/>
      <c r="U3326" s="516"/>
      <c r="V3326" s="516"/>
      <c r="W3326" s="516"/>
      <c r="X3326" s="516"/>
      <c r="Y3326" s="516"/>
      <c r="Z3326" s="516"/>
      <c r="AA3326" s="516"/>
      <c r="AB3326" s="516"/>
      <c r="AC3326" s="516"/>
      <c r="AD3326" s="516"/>
      <c r="AE3326" s="516"/>
      <c r="AF3326" s="1001"/>
      <c r="AG3326" s="407"/>
      <c r="AH3326" s="408"/>
      <c r="AI3326" s="408"/>
      <c r="AJ3326" s="408"/>
      <c r="AK3326" s="408"/>
      <c r="AL3326" s="408"/>
      <c r="AM3326" s="408"/>
      <c r="AN3326" s="408"/>
      <c r="AO3326" s="409"/>
      <c r="AP3326" s="541"/>
      <c r="AQ3326" s="408"/>
      <c r="AR3326" s="408"/>
      <c r="AS3326" s="408"/>
      <c r="AT3326" s="408"/>
      <c r="AU3326" s="408"/>
      <c r="AV3326" s="408"/>
      <c r="AW3326" s="408"/>
      <c r="AX3326" s="408"/>
      <c r="AY3326" s="408"/>
      <c r="AZ3326" s="408"/>
      <c r="BA3326" s="408"/>
      <c r="BB3326" s="408"/>
      <c r="BC3326" s="408"/>
      <c r="BD3326" s="408"/>
      <c r="BE3326" s="408"/>
      <c r="BF3326" s="409"/>
      <c r="BG3326" s="386"/>
      <c r="BH3326" s="364"/>
      <c r="BI3326" s="364"/>
      <c r="BJ3326" s="364"/>
      <c r="BK3326" s="364"/>
      <c r="BL3326" s="364"/>
      <c r="BM3326" s="364"/>
      <c r="BN3326" s="364"/>
      <c r="BO3326" s="364"/>
      <c r="BP3326" s="364"/>
      <c r="BQ3326" s="364"/>
      <c r="BR3326" s="364"/>
      <c r="BS3326" s="364"/>
      <c r="BT3326" s="364"/>
      <c r="BU3326" s="364"/>
      <c r="BV3326" s="364"/>
      <c r="BW3326" s="364"/>
      <c r="BX3326" s="364"/>
      <c r="BY3326" s="364"/>
      <c r="BZ3326" s="387"/>
      <c r="CA3326" s="270"/>
      <c r="CB3326" s="3" t="str">
        <f t="shared" si="612"/>
        <v>Riadok bude skrytý.</v>
      </c>
      <c r="CC3326" s="271" t="s">
        <v>937</v>
      </c>
      <c r="CW3326" s="30">
        <f t="shared" si="617"/>
        <v>0</v>
      </c>
      <c r="CX3326" s="30">
        <f t="shared" si="610"/>
        <v>1</v>
      </c>
      <c r="CY3326" s="30">
        <f t="shared" si="614"/>
        <v>0</v>
      </c>
      <c r="CZ3326" s="30">
        <f t="shared" si="615"/>
        <v>0</v>
      </c>
      <c r="DA3326" s="53">
        <f t="shared" si="616"/>
        <v>0</v>
      </c>
      <c r="DB3326" s="2">
        <f t="shared" si="613"/>
        <v>0</v>
      </c>
      <c r="DS3326" s="130">
        <f>SI!BY3326</f>
        <v>4</v>
      </c>
      <c r="DZ3326" s="131">
        <f>SI!BZ3326</f>
        <v>0</v>
      </c>
    </row>
    <row r="3327" spans="1:130" hidden="1" x14ac:dyDescent="0.25">
      <c r="A3327" s="141"/>
      <c r="B3327" s="515"/>
      <c r="C3327" s="516"/>
      <c r="D3327" s="516"/>
      <c r="E3327" s="516"/>
      <c r="F3327" s="516"/>
      <c r="G3327" s="516"/>
      <c r="H3327" s="516"/>
      <c r="I3327" s="516"/>
      <c r="J3327" s="516"/>
      <c r="K3327" s="516"/>
      <c r="L3327" s="516"/>
      <c r="M3327" s="516"/>
      <c r="N3327" s="516"/>
      <c r="O3327" s="516"/>
      <c r="P3327" s="516"/>
      <c r="Q3327" s="516"/>
      <c r="R3327" s="516"/>
      <c r="S3327" s="516"/>
      <c r="T3327" s="516"/>
      <c r="U3327" s="516"/>
      <c r="V3327" s="516"/>
      <c r="W3327" s="516"/>
      <c r="X3327" s="516"/>
      <c r="Y3327" s="516"/>
      <c r="Z3327" s="516"/>
      <c r="AA3327" s="516"/>
      <c r="AB3327" s="516"/>
      <c r="AC3327" s="516"/>
      <c r="AD3327" s="516"/>
      <c r="AE3327" s="516"/>
      <c r="AF3327" s="1001"/>
      <c r="AG3327" s="407"/>
      <c r="AH3327" s="408"/>
      <c r="AI3327" s="408"/>
      <c r="AJ3327" s="408"/>
      <c r="AK3327" s="408"/>
      <c r="AL3327" s="408"/>
      <c r="AM3327" s="408"/>
      <c r="AN3327" s="408"/>
      <c r="AO3327" s="409"/>
      <c r="AP3327" s="541"/>
      <c r="AQ3327" s="408"/>
      <c r="AR3327" s="408"/>
      <c r="AS3327" s="408"/>
      <c r="AT3327" s="408"/>
      <c r="AU3327" s="408"/>
      <c r="AV3327" s="408"/>
      <c r="AW3327" s="408"/>
      <c r="AX3327" s="408"/>
      <c r="AY3327" s="408"/>
      <c r="AZ3327" s="408"/>
      <c r="BA3327" s="408"/>
      <c r="BB3327" s="408"/>
      <c r="BC3327" s="408"/>
      <c r="BD3327" s="408"/>
      <c r="BE3327" s="408"/>
      <c r="BF3327" s="409"/>
      <c r="BG3327" s="386"/>
      <c r="BH3327" s="364"/>
      <c r="BI3327" s="364"/>
      <c r="BJ3327" s="364"/>
      <c r="BK3327" s="364"/>
      <c r="BL3327" s="364"/>
      <c r="BM3327" s="364"/>
      <c r="BN3327" s="364"/>
      <c r="BO3327" s="364"/>
      <c r="BP3327" s="364"/>
      <c r="BQ3327" s="364"/>
      <c r="BR3327" s="364"/>
      <c r="BS3327" s="364"/>
      <c r="BT3327" s="364"/>
      <c r="BU3327" s="364"/>
      <c r="BV3327" s="364"/>
      <c r="BW3327" s="364"/>
      <c r="BX3327" s="364"/>
      <c r="BY3327" s="364"/>
      <c r="BZ3327" s="387"/>
      <c r="CA3327" s="270"/>
      <c r="CB3327" s="3" t="str">
        <f t="shared" si="612"/>
        <v>Riadok bude skrytý.</v>
      </c>
      <c r="CC3327" s="271" t="s">
        <v>937</v>
      </c>
      <c r="CW3327" s="30">
        <f t="shared" si="617"/>
        <v>0</v>
      </c>
      <c r="CX3327" s="30">
        <f t="shared" si="610"/>
        <v>1</v>
      </c>
      <c r="CY3327" s="30">
        <f t="shared" si="614"/>
        <v>0</v>
      </c>
      <c r="CZ3327" s="30">
        <f t="shared" si="615"/>
        <v>0</v>
      </c>
      <c r="DA3327" s="53">
        <f t="shared" si="616"/>
        <v>0</v>
      </c>
      <c r="DB3327" s="2">
        <f t="shared" si="613"/>
        <v>0</v>
      </c>
      <c r="DS3327" s="130">
        <f>SI!BY3327</f>
        <v>634</v>
      </c>
      <c r="DZ3327" s="131">
        <f>SI!BZ3327</f>
        <v>0</v>
      </c>
    </row>
    <row r="3328" spans="1:130" hidden="1" x14ac:dyDescent="0.25">
      <c r="A3328" s="141"/>
      <c r="B3328" s="515"/>
      <c r="C3328" s="516"/>
      <c r="D3328" s="516"/>
      <c r="E3328" s="516"/>
      <c r="F3328" s="516"/>
      <c r="G3328" s="516"/>
      <c r="H3328" s="516"/>
      <c r="I3328" s="516"/>
      <c r="J3328" s="516"/>
      <c r="K3328" s="516"/>
      <c r="L3328" s="516"/>
      <c r="M3328" s="516"/>
      <c r="N3328" s="516"/>
      <c r="O3328" s="516"/>
      <c r="P3328" s="516"/>
      <c r="Q3328" s="516"/>
      <c r="R3328" s="516"/>
      <c r="S3328" s="516"/>
      <c r="T3328" s="516"/>
      <c r="U3328" s="516"/>
      <c r="V3328" s="516"/>
      <c r="W3328" s="516"/>
      <c r="X3328" s="516"/>
      <c r="Y3328" s="516"/>
      <c r="Z3328" s="516"/>
      <c r="AA3328" s="516"/>
      <c r="AB3328" s="516"/>
      <c r="AC3328" s="516"/>
      <c r="AD3328" s="516"/>
      <c r="AE3328" s="516"/>
      <c r="AF3328" s="1001"/>
      <c r="AG3328" s="407"/>
      <c r="AH3328" s="408"/>
      <c r="AI3328" s="408"/>
      <c r="AJ3328" s="408"/>
      <c r="AK3328" s="408"/>
      <c r="AL3328" s="408"/>
      <c r="AM3328" s="408"/>
      <c r="AN3328" s="408"/>
      <c r="AO3328" s="409"/>
      <c r="AP3328" s="541"/>
      <c r="AQ3328" s="408"/>
      <c r="AR3328" s="408"/>
      <c r="AS3328" s="408"/>
      <c r="AT3328" s="408"/>
      <c r="AU3328" s="408"/>
      <c r="AV3328" s="408"/>
      <c r="AW3328" s="408"/>
      <c r="AX3328" s="408"/>
      <c r="AY3328" s="408"/>
      <c r="AZ3328" s="408"/>
      <c r="BA3328" s="408"/>
      <c r="BB3328" s="408"/>
      <c r="BC3328" s="408"/>
      <c r="BD3328" s="408"/>
      <c r="BE3328" s="408"/>
      <c r="BF3328" s="409"/>
      <c r="BG3328" s="386"/>
      <c r="BH3328" s="364"/>
      <c r="BI3328" s="364"/>
      <c r="BJ3328" s="364"/>
      <c r="BK3328" s="364"/>
      <c r="BL3328" s="364"/>
      <c r="BM3328" s="364"/>
      <c r="BN3328" s="364"/>
      <c r="BO3328" s="364"/>
      <c r="BP3328" s="364"/>
      <c r="BQ3328" s="364"/>
      <c r="BR3328" s="364"/>
      <c r="BS3328" s="364"/>
      <c r="BT3328" s="364"/>
      <c r="BU3328" s="364"/>
      <c r="BV3328" s="364"/>
      <c r="BW3328" s="364"/>
      <c r="BX3328" s="364"/>
      <c r="BY3328" s="364"/>
      <c r="BZ3328" s="387"/>
      <c r="CA3328" s="270"/>
      <c r="CB3328" s="3" t="str">
        <f t="shared" si="612"/>
        <v>Riadok bude skrytý.</v>
      </c>
      <c r="CC3328" s="271" t="s">
        <v>937</v>
      </c>
      <c r="CW3328" s="30">
        <f t="shared" si="617"/>
        <v>0</v>
      </c>
      <c r="CX3328" s="30">
        <f t="shared" si="610"/>
        <v>1</v>
      </c>
      <c r="CY3328" s="30">
        <f t="shared" si="614"/>
        <v>0</v>
      </c>
      <c r="CZ3328" s="30">
        <f t="shared" si="615"/>
        <v>0</v>
      </c>
      <c r="DA3328" s="53">
        <f t="shared" si="616"/>
        <v>0</v>
      </c>
      <c r="DB3328" s="2">
        <f t="shared" si="613"/>
        <v>0</v>
      </c>
      <c r="DS3328" s="130">
        <f>SI!BY3328</f>
        <v>179</v>
      </c>
      <c r="DZ3328" s="131">
        <f>SI!BZ3328</f>
        <v>0</v>
      </c>
    </row>
    <row r="3329" spans="1:130" hidden="1" x14ac:dyDescent="0.25">
      <c r="A3329" s="141"/>
      <c r="B3329" s="515"/>
      <c r="C3329" s="516"/>
      <c r="D3329" s="516"/>
      <c r="E3329" s="516"/>
      <c r="F3329" s="516"/>
      <c r="G3329" s="516"/>
      <c r="H3329" s="516"/>
      <c r="I3329" s="516"/>
      <c r="J3329" s="516"/>
      <c r="K3329" s="516"/>
      <c r="L3329" s="516"/>
      <c r="M3329" s="516"/>
      <c r="N3329" s="516"/>
      <c r="O3329" s="516"/>
      <c r="P3329" s="516"/>
      <c r="Q3329" s="516"/>
      <c r="R3329" s="516"/>
      <c r="S3329" s="516"/>
      <c r="T3329" s="516"/>
      <c r="U3329" s="516"/>
      <c r="V3329" s="516"/>
      <c r="W3329" s="516"/>
      <c r="X3329" s="516"/>
      <c r="Y3329" s="516"/>
      <c r="Z3329" s="516"/>
      <c r="AA3329" s="516"/>
      <c r="AB3329" s="516"/>
      <c r="AC3329" s="516"/>
      <c r="AD3329" s="516"/>
      <c r="AE3329" s="516"/>
      <c r="AF3329" s="1001"/>
      <c r="AG3329" s="407"/>
      <c r="AH3329" s="408"/>
      <c r="AI3329" s="408"/>
      <c r="AJ3329" s="408"/>
      <c r="AK3329" s="408"/>
      <c r="AL3329" s="408"/>
      <c r="AM3329" s="408"/>
      <c r="AN3329" s="408"/>
      <c r="AO3329" s="409"/>
      <c r="AP3329" s="541"/>
      <c r="AQ3329" s="408"/>
      <c r="AR3329" s="408"/>
      <c r="AS3329" s="408"/>
      <c r="AT3329" s="408"/>
      <c r="AU3329" s="408"/>
      <c r="AV3329" s="408"/>
      <c r="AW3329" s="408"/>
      <c r="AX3329" s="408"/>
      <c r="AY3329" s="408"/>
      <c r="AZ3329" s="408"/>
      <c r="BA3329" s="408"/>
      <c r="BB3329" s="408"/>
      <c r="BC3329" s="408"/>
      <c r="BD3329" s="408"/>
      <c r="BE3329" s="408"/>
      <c r="BF3329" s="409"/>
      <c r="BG3329" s="386"/>
      <c r="BH3329" s="364"/>
      <c r="BI3329" s="364"/>
      <c r="BJ3329" s="364"/>
      <c r="BK3329" s="364"/>
      <c r="BL3329" s="364"/>
      <c r="BM3329" s="364"/>
      <c r="BN3329" s="364"/>
      <c r="BO3329" s="364"/>
      <c r="BP3329" s="364"/>
      <c r="BQ3329" s="364"/>
      <c r="BR3329" s="364"/>
      <c r="BS3329" s="364"/>
      <c r="BT3329" s="364"/>
      <c r="BU3329" s="364"/>
      <c r="BV3329" s="364"/>
      <c r="BW3329" s="364"/>
      <c r="BX3329" s="364"/>
      <c r="BY3329" s="364"/>
      <c r="BZ3329" s="387"/>
      <c r="CA3329" s="270"/>
      <c r="CB3329" s="3" t="str">
        <f t="shared" si="612"/>
        <v>Riadok bude skrytý.</v>
      </c>
      <c r="CC3329" s="271" t="s">
        <v>937</v>
      </c>
      <c r="CW3329" s="30">
        <f t="shared" si="617"/>
        <v>0</v>
      </c>
      <c r="CX3329" s="30">
        <f t="shared" si="610"/>
        <v>1</v>
      </c>
      <c r="CY3329" s="30">
        <f t="shared" si="614"/>
        <v>0</v>
      </c>
      <c r="CZ3329" s="30">
        <f t="shared" si="615"/>
        <v>0</v>
      </c>
      <c r="DA3329" s="53">
        <f t="shared" si="616"/>
        <v>0</v>
      </c>
      <c r="DB3329" s="2">
        <f t="shared" si="613"/>
        <v>0</v>
      </c>
      <c r="DS3329" s="130">
        <f>SI!BY3329</f>
        <v>122</v>
      </c>
      <c r="DZ3329" s="131">
        <f>SI!BZ3329</f>
        <v>0</v>
      </c>
    </row>
    <row r="3330" spans="1:130" hidden="1" x14ac:dyDescent="0.25">
      <c r="A3330" s="141"/>
      <c r="B3330" s="515"/>
      <c r="C3330" s="516"/>
      <c r="D3330" s="516"/>
      <c r="E3330" s="516"/>
      <c r="F3330" s="516"/>
      <c r="G3330" s="516"/>
      <c r="H3330" s="516"/>
      <c r="I3330" s="516"/>
      <c r="J3330" s="516"/>
      <c r="K3330" s="516"/>
      <c r="L3330" s="516"/>
      <c r="M3330" s="516"/>
      <c r="N3330" s="516"/>
      <c r="O3330" s="516"/>
      <c r="P3330" s="516"/>
      <c r="Q3330" s="516"/>
      <c r="R3330" s="516"/>
      <c r="S3330" s="516"/>
      <c r="T3330" s="516"/>
      <c r="U3330" s="516"/>
      <c r="V3330" s="516"/>
      <c r="W3330" s="516"/>
      <c r="X3330" s="516"/>
      <c r="Y3330" s="516"/>
      <c r="Z3330" s="516"/>
      <c r="AA3330" s="516"/>
      <c r="AB3330" s="516"/>
      <c r="AC3330" s="516"/>
      <c r="AD3330" s="516"/>
      <c r="AE3330" s="516"/>
      <c r="AF3330" s="1001"/>
      <c r="AG3330" s="407"/>
      <c r="AH3330" s="408"/>
      <c r="AI3330" s="408"/>
      <c r="AJ3330" s="408"/>
      <c r="AK3330" s="408"/>
      <c r="AL3330" s="408"/>
      <c r="AM3330" s="408"/>
      <c r="AN3330" s="408"/>
      <c r="AO3330" s="409"/>
      <c r="AP3330" s="541"/>
      <c r="AQ3330" s="408"/>
      <c r="AR3330" s="408"/>
      <c r="AS3330" s="408"/>
      <c r="AT3330" s="408"/>
      <c r="AU3330" s="408"/>
      <c r="AV3330" s="408"/>
      <c r="AW3330" s="408"/>
      <c r="AX3330" s="408"/>
      <c r="AY3330" s="408"/>
      <c r="AZ3330" s="408"/>
      <c r="BA3330" s="408"/>
      <c r="BB3330" s="408"/>
      <c r="BC3330" s="408"/>
      <c r="BD3330" s="408"/>
      <c r="BE3330" s="408"/>
      <c r="BF3330" s="409"/>
      <c r="BG3330" s="386"/>
      <c r="BH3330" s="364"/>
      <c r="BI3330" s="364"/>
      <c r="BJ3330" s="364"/>
      <c r="BK3330" s="364"/>
      <c r="BL3330" s="364"/>
      <c r="BM3330" s="364"/>
      <c r="BN3330" s="364"/>
      <c r="BO3330" s="364"/>
      <c r="BP3330" s="364"/>
      <c r="BQ3330" s="364"/>
      <c r="BR3330" s="364"/>
      <c r="BS3330" s="364"/>
      <c r="BT3330" s="364"/>
      <c r="BU3330" s="364"/>
      <c r="BV3330" s="364"/>
      <c r="BW3330" s="364"/>
      <c r="BX3330" s="364"/>
      <c r="BY3330" s="364"/>
      <c r="BZ3330" s="387"/>
      <c r="CA3330" s="270"/>
      <c r="CB3330" s="3" t="str">
        <f t="shared" si="612"/>
        <v>Riadok bude skrytý.</v>
      </c>
      <c r="CC3330" s="271" t="s">
        <v>937</v>
      </c>
      <c r="CW3330" s="30">
        <f t="shared" si="617"/>
        <v>0</v>
      </c>
      <c r="CX3330" s="30">
        <f t="shared" si="610"/>
        <v>1</v>
      </c>
      <c r="CY3330" s="30">
        <f t="shared" si="614"/>
        <v>0</v>
      </c>
      <c r="CZ3330" s="30">
        <f t="shared" si="615"/>
        <v>0</v>
      </c>
      <c r="DA3330" s="53">
        <f t="shared" si="616"/>
        <v>0</v>
      </c>
      <c r="DB3330" s="2">
        <f t="shared" si="613"/>
        <v>0</v>
      </c>
      <c r="DS3330" s="130">
        <f>SI!BY3330</f>
        <v>181</v>
      </c>
      <c r="DZ3330" s="131">
        <f>SI!BZ3330</f>
        <v>0</v>
      </c>
    </row>
    <row r="3331" spans="1:130" hidden="1" x14ac:dyDescent="0.25">
      <c r="A3331" s="141"/>
      <c r="B3331" s="515"/>
      <c r="C3331" s="516"/>
      <c r="D3331" s="516"/>
      <c r="E3331" s="516"/>
      <c r="F3331" s="516"/>
      <c r="G3331" s="516"/>
      <c r="H3331" s="516"/>
      <c r="I3331" s="516"/>
      <c r="J3331" s="516"/>
      <c r="K3331" s="516"/>
      <c r="L3331" s="516"/>
      <c r="M3331" s="516"/>
      <c r="N3331" s="516"/>
      <c r="O3331" s="516"/>
      <c r="P3331" s="516"/>
      <c r="Q3331" s="516"/>
      <c r="R3331" s="516"/>
      <c r="S3331" s="516"/>
      <c r="T3331" s="516"/>
      <c r="U3331" s="516"/>
      <c r="V3331" s="516"/>
      <c r="W3331" s="516"/>
      <c r="X3331" s="516"/>
      <c r="Y3331" s="516"/>
      <c r="Z3331" s="516"/>
      <c r="AA3331" s="516"/>
      <c r="AB3331" s="516"/>
      <c r="AC3331" s="516"/>
      <c r="AD3331" s="516"/>
      <c r="AE3331" s="516"/>
      <c r="AF3331" s="1001"/>
      <c r="AG3331" s="407"/>
      <c r="AH3331" s="408"/>
      <c r="AI3331" s="408"/>
      <c r="AJ3331" s="408"/>
      <c r="AK3331" s="408"/>
      <c r="AL3331" s="408"/>
      <c r="AM3331" s="408"/>
      <c r="AN3331" s="408"/>
      <c r="AO3331" s="409"/>
      <c r="AP3331" s="541"/>
      <c r="AQ3331" s="408"/>
      <c r="AR3331" s="408"/>
      <c r="AS3331" s="408"/>
      <c r="AT3331" s="408"/>
      <c r="AU3331" s="408"/>
      <c r="AV3331" s="408"/>
      <c r="AW3331" s="408"/>
      <c r="AX3331" s="408"/>
      <c r="AY3331" s="408"/>
      <c r="AZ3331" s="408"/>
      <c r="BA3331" s="408"/>
      <c r="BB3331" s="408"/>
      <c r="BC3331" s="408"/>
      <c r="BD3331" s="408"/>
      <c r="BE3331" s="408"/>
      <c r="BF3331" s="409"/>
      <c r="BG3331" s="386"/>
      <c r="BH3331" s="364"/>
      <c r="BI3331" s="364"/>
      <c r="BJ3331" s="364"/>
      <c r="BK3331" s="364"/>
      <c r="BL3331" s="364"/>
      <c r="BM3331" s="364"/>
      <c r="BN3331" s="364"/>
      <c r="BO3331" s="364"/>
      <c r="BP3331" s="364"/>
      <c r="BQ3331" s="364"/>
      <c r="BR3331" s="364"/>
      <c r="BS3331" s="364"/>
      <c r="BT3331" s="364"/>
      <c r="BU3331" s="364"/>
      <c r="BV3331" s="364"/>
      <c r="BW3331" s="364"/>
      <c r="BX3331" s="364"/>
      <c r="BY3331" s="364"/>
      <c r="BZ3331" s="387"/>
      <c r="CA3331" s="270"/>
      <c r="CB3331" s="3" t="str">
        <f t="shared" si="612"/>
        <v>Riadok bude skrytý.</v>
      </c>
      <c r="CC3331" s="271" t="s">
        <v>937</v>
      </c>
      <c r="CW3331" s="30">
        <f t="shared" si="617"/>
        <v>0</v>
      </c>
      <c r="CX3331" s="30">
        <f t="shared" si="610"/>
        <v>1</v>
      </c>
      <c r="CY3331" s="30">
        <f t="shared" si="614"/>
        <v>0</v>
      </c>
      <c r="CZ3331" s="30">
        <f t="shared" si="615"/>
        <v>0</v>
      </c>
      <c r="DA3331" s="53">
        <f t="shared" si="616"/>
        <v>0</v>
      </c>
      <c r="DB3331" s="2">
        <f t="shared" si="613"/>
        <v>0</v>
      </c>
      <c r="DS3331" s="130">
        <f>SI!BY3331</f>
        <v>125</v>
      </c>
      <c r="DZ3331" s="131">
        <f>SI!BZ3331</f>
        <v>0</v>
      </c>
    </row>
    <row r="3332" spans="1:130" hidden="1" x14ac:dyDescent="0.25">
      <c r="A3332" s="141"/>
      <c r="B3332" s="515"/>
      <c r="C3332" s="516"/>
      <c r="D3332" s="516"/>
      <c r="E3332" s="516"/>
      <c r="F3332" s="516"/>
      <c r="G3332" s="516"/>
      <c r="H3332" s="516"/>
      <c r="I3332" s="516"/>
      <c r="J3332" s="516"/>
      <c r="K3332" s="516"/>
      <c r="L3332" s="516"/>
      <c r="M3332" s="516"/>
      <c r="N3332" s="516"/>
      <c r="O3332" s="516"/>
      <c r="P3332" s="516"/>
      <c r="Q3332" s="516"/>
      <c r="R3332" s="516"/>
      <c r="S3332" s="516"/>
      <c r="T3332" s="516"/>
      <c r="U3332" s="516"/>
      <c r="V3332" s="516"/>
      <c r="W3332" s="516"/>
      <c r="X3332" s="516"/>
      <c r="Y3332" s="516"/>
      <c r="Z3332" s="516"/>
      <c r="AA3332" s="516"/>
      <c r="AB3332" s="516"/>
      <c r="AC3332" s="516"/>
      <c r="AD3332" s="516"/>
      <c r="AE3332" s="516"/>
      <c r="AF3332" s="1001"/>
      <c r="AG3332" s="407"/>
      <c r="AH3332" s="408"/>
      <c r="AI3332" s="408"/>
      <c r="AJ3332" s="408"/>
      <c r="AK3332" s="408"/>
      <c r="AL3332" s="408"/>
      <c r="AM3332" s="408"/>
      <c r="AN3332" s="408"/>
      <c r="AO3332" s="409"/>
      <c r="AP3332" s="541"/>
      <c r="AQ3332" s="408"/>
      <c r="AR3332" s="408"/>
      <c r="AS3332" s="408"/>
      <c r="AT3332" s="408"/>
      <c r="AU3332" s="408"/>
      <c r="AV3332" s="408"/>
      <c r="AW3332" s="408"/>
      <c r="AX3332" s="408"/>
      <c r="AY3332" s="408"/>
      <c r="AZ3332" s="408"/>
      <c r="BA3332" s="408"/>
      <c r="BB3332" s="408"/>
      <c r="BC3332" s="408"/>
      <c r="BD3332" s="408"/>
      <c r="BE3332" s="408"/>
      <c r="BF3332" s="409"/>
      <c r="BG3332" s="386"/>
      <c r="BH3332" s="364"/>
      <c r="BI3332" s="364"/>
      <c r="BJ3332" s="364"/>
      <c r="BK3332" s="364"/>
      <c r="BL3332" s="364"/>
      <c r="BM3332" s="364"/>
      <c r="BN3332" s="364"/>
      <c r="BO3332" s="364"/>
      <c r="BP3332" s="364"/>
      <c r="BQ3332" s="364"/>
      <c r="BR3332" s="364"/>
      <c r="BS3332" s="364"/>
      <c r="BT3332" s="364"/>
      <c r="BU3332" s="364"/>
      <c r="BV3332" s="364"/>
      <c r="BW3332" s="364"/>
      <c r="BX3332" s="364"/>
      <c r="BY3332" s="364"/>
      <c r="BZ3332" s="387"/>
      <c r="CA3332" s="270"/>
      <c r="CB3332" s="3" t="str">
        <f t="shared" si="612"/>
        <v>Riadok bude skrytý.</v>
      </c>
      <c r="CC3332" s="271" t="s">
        <v>937</v>
      </c>
      <c r="CW3332" s="30">
        <f t="shared" si="617"/>
        <v>0</v>
      </c>
      <c r="CX3332" s="30">
        <f t="shared" si="610"/>
        <v>1</v>
      </c>
      <c r="CY3332" s="30">
        <f t="shared" si="614"/>
        <v>0</v>
      </c>
      <c r="CZ3332" s="30">
        <f t="shared" si="615"/>
        <v>0</v>
      </c>
      <c r="DA3332" s="53">
        <f t="shared" si="616"/>
        <v>0</v>
      </c>
      <c r="DB3332" s="2">
        <f t="shared" si="613"/>
        <v>0</v>
      </c>
      <c r="DS3332" s="130">
        <f>SI!BY3332</f>
        <v>1071</v>
      </c>
      <c r="DZ3332" s="131">
        <f>SI!BZ3332</f>
        <v>0</v>
      </c>
    </row>
    <row r="3333" spans="1:130" hidden="1" x14ac:dyDescent="0.25">
      <c r="A3333" s="141"/>
      <c r="B3333" s="515"/>
      <c r="C3333" s="516"/>
      <c r="D3333" s="516"/>
      <c r="E3333" s="516"/>
      <c r="F3333" s="516"/>
      <c r="G3333" s="516"/>
      <c r="H3333" s="516"/>
      <c r="I3333" s="516"/>
      <c r="J3333" s="516"/>
      <c r="K3333" s="516"/>
      <c r="L3333" s="516"/>
      <c r="M3333" s="516"/>
      <c r="N3333" s="516"/>
      <c r="O3333" s="516"/>
      <c r="P3333" s="516"/>
      <c r="Q3333" s="516"/>
      <c r="R3333" s="516"/>
      <c r="S3333" s="516"/>
      <c r="T3333" s="516"/>
      <c r="U3333" s="516"/>
      <c r="V3333" s="516"/>
      <c r="W3333" s="516"/>
      <c r="X3333" s="516"/>
      <c r="Y3333" s="516"/>
      <c r="Z3333" s="516"/>
      <c r="AA3333" s="516"/>
      <c r="AB3333" s="516"/>
      <c r="AC3333" s="516"/>
      <c r="AD3333" s="516"/>
      <c r="AE3333" s="516"/>
      <c r="AF3333" s="1001"/>
      <c r="AG3333" s="407"/>
      <c r="AH3333" s="408"/>
      <c r="AI3333" s="408"/>
      <c r="AJ3333" s="408"/>
      <c r="AK3333" s="408"/>
      <c r="AL3333" s="408"/>
      <c r="AM3333" s="408"/>
      <c r="AN3333" s="408"/>
      <c r="AO3333" s="409"/>
      <c r="AP3333" s="541"/>
      <c r="AQ3333" s="408"/>
      <c r="AR3333" s="408"/>
      <c r="AS3333" s="408"/>
      <c r="AT3333" s="408"/>
      <c r="AU3333" s="408"/>
      <c r="AV3333" s="408"/>
      <c r="AW3333" s="408"/>
      <c r="AX3333" s="408"/>
      <c r="AY3333" s="408"/>
      <c r="AZ3333" s="408"/>
      <c r="BA3333" s="408"/>
      <c r="BB3333" s="408"/>
      <c r="BC3333" s="408"/>
      <c r="BD3333" s="408"/>
      <c r="BE3333" s="408"/>
      <c r="BF3333" s="409"/>
      <c r="BG3333" s="386"/>
      <c r="BH3333" s="364"/>
      <c r="BI3333" s="364"/>
      <c r="BJ3333" s="364"/>
      <c r="BK3333" s="364"/>
      <c r="BL3333" s="364"/>
      <c r="BM3333" s="364"/>
      <c r="BN3333" s="364"/>
      <c r="BO3333" s="364"/>
      <c r="BP3333" s="364"/>
      <c r="BQ3333" s="364"/>
      <c r="BR3333" s="364"/>
      <c r="BS3333" s="364"/>
      <c r="BT3333" s="364"/>
      <c r="BU3333" s="364"/>
      <c r="BV3333" s="364"/>
      <c r="BW3333" s="364"/>
      <c r="BX3333" s="364"/>
      <c r="BY3333" s="364"/>
      <c r="BZ3333" s="387"/>
      <c r="CA3333" s="270"/>
      <c r="CB3333" s="3" t="str">
        <f t="shared" si="612"/>
        <v>Riadok bude skrytý.</v>
      </c>
      <c r="CC3333" s="271" t="s">
        <v>937</v>
      </c>
      <c r="CW3333" s="30">
        <f t="shared" si="617"/>
        <v>0</v>
      </c>
      <c r="CX3333" s="30">
        <f t="shared" si="610"/>
        <v>1</v>
      </c>
      <c r="CY3333" s="30">
        <f t="shared" si="614"/>
        <v>0</v>
      </c>
      <c r="CZ3333" s="30">
        <f t="shared" si="615"/>
        <v>0</v>
      </c>
      <c r="DA3333" s="53">
        <f t="shared" si="616"/>
        <v>0</v>
      </c>
      <c r="DB3333" s="2">
        <f t="shared" si="613"/>
        <v>0</v>
      </c>
      <c r="DS3333" s="130">
        <f>SI!BY3333</f>
        <v>179</v>
      </c>
      <c r="DZ3333" s="131">
        <f>SI!BZ3333</f>
        <v>0</v>
      </c>
    </row>
    <row r="3334" spans="1:130" hidden="1" x14ac:dyDescent="0.25">
      <c r="A3334" s="141"/>
      <c r="B3334" s="515"/>
      <c r="C3334" s="516"/>
      <c r="D3334" s="516"/>
      <c r="E3334" s="516"/>
      <c r="F3334" s="516"/>
      <c r="G3334" s="516"/>
      <c r="H3334" s="516"/>
      <c r="I3334" s="516"/>
      <c r="J3334" s="516"/>
      <c r="K3334" s="516"/>
      <c r="L3334" s="516"/>
      <c r="M3334" s="516"/>
      <c r="N3334" s="516"/>
      <c r="O3334" s="516"/>
      <c r="P3334" s="516"/>
      <c r="Q3334" s="516"/>
      <c r="R3334" s="516"/>
      <c r="S3334" s="516"/>
      <c r="T3334" s="516"/>
      <c r="U3334" s="516"/>
      <c r="V3334" s="516"/>
      <c r="W3334" s="516"/>
      <c r="X3334" s="516"/>
      <c r="Y3334" s="516"/>
      <c r="Z3334" s="516"/>
      <c r="AA3334" s="516"/>
      <c r="AB3334" s="516"/>
      <c r="AC3334" s="516"/>
      <c r="AD3334" s="516"/>
      <c r="AE3334" s="516"/>
      <c r="AF3334" s="1001"/>
      <c r="AG3334" s="407"/>
      <c r="AH3334" s="408"/>
      <c r="AI3334" s="408"/>
      <c r="AJ3334" s="408"/>
      <c r="AK3334" s="408"/>
      <c r="AL3334" s="408"/>
      <c r="AM3334" s="408"/>
      <c r="AN3334" s="408"/>
      <c r="AO3334" s="409"/>
      <c r="AP3334" s="541"/>
      <c r="AQ3334" s="408"/>
      <c r="AR3334" s="408"/>
      <c r="AS3334" s="408"/>
      <c r="AT3334" s="408"/>
      <c r="AU3334" s="408"/>
      <c r="AV3334" s="408"/>
      <c r="AW3334" s="408"/>
      <c r="AX3334" s="408"/>
      <c r="AY3334" s="408"/>
      <c r="AZ3334" s="408"/>
      <c r="BA3334" s="408"/>
      <c r="BB3334" s="408"/>
      <c r="BC3334" s="408"/>
      <c r="BD3334" s="408"/>
      <c r="BE3334" s="408"/>
      <c r="BF3334" s="409"/>
      <c r="BG3334" s="386"/>
      <c r="BH3334" s="364"/>
      <c r="BI3334" s="364"/>
      <c r="BJ3334" s="364"/>
      <c r="BK3334" s="364"/>
      <c r="BL3334" s="364"/>
      <c r="BM3334" s="364"/>
      <c r="BN3334" s="364"/>
      <c r="BO3334" s="364"/>
      <c r="BP3334" s="364"/>
      <c r="BQ3334" s="364"/>
      <c r="BR3334" s="364"/>
      <c r="BS3334" s="364"/>
      <c r="BT3334" s="364"/>
      <c r="BU3334" s="364"/>
      <c r="BV3334" s="364"/>
      <c r="BW3334" s="364"/>
      <c r="BX3334" s="364"/>
      <c r="BY3334" s="364"/>
      <c r="BZ3334" s="387"/>
      <c r="CA3334" s="270"/>
      <c r="CB3334" s="3" t="str">
        <f t="shared" si="612"/>
        <v>Riadok bude skrytý.</v>
      </c>
      <c r="CC3334" s="271" t="s">
        <v>937</v>
      </c>
      <c r="CW3334" s="30">
        <f t="shared" si="617"/>
        <v>0</v>
      </c>
      <c r="CX3334" s="30">
        <f t="shared" si="610"/>
        <v>1</v>
      </c>
      <c r="CY3334" s="30">
        <f t="shared" si="614"/>
        <v>0</v>
      </c>
      <c r="CZ3334" s="30">
        <f t="shared" si="615"/>
        <v>0</v>
      </c>
      <c r="DA3334" s="53">
        <f t="shared" si="616"/>
        <v>0</v>
      </c>
      <c r="DB3334" s="2">
        <f t="shared" si="613"/>
        <v>0</v>
      </c>
      <c r="DS3334" s="130">
        <f>SI!BY3334</f>
        <v>305</v>
      </c>
      <c r="DZ3334" s="131">
        <f>SI!BZ3334</f>
        <v>0</v>
      </c>
    </row>
    <row r="3335" spans="1:130" hidden="1" x14ac:dyDescent="0.25">
      <c r="A3335" s="141"/>
      <c r="B3335" s="515"/>
      <c r="C3335" s="516"/>
      <c r="D3335" s="516"/>
      <c r="E3335" s="516"/>
      <c r="F3335" s="516"/>
      <c r="G3335" s="516"/>
      <c r="H3335" s="516"/>
      <c r="I3335" s="516"/>
      <c r="J3335" s="516"/>
      <c r="K3335" s="516"/>
      <c r="L3335" s="516"/>
      <c r="M3335" s="516"/>
      <c r="N3335" s="516"/>
      <c r="O3335" s="516"/>
      <c r="P3335" s="516"/>
      <c r="Q3335" s="516"/>
      <c r="R3335" s="516"/>
      <c r="S3335" s="516"/>
      <c r="T3335" s="516"/>
      <c r="U3335" s="516"/>
      <c r="V3335" s="516"/>
      <c r="W3335" s="516"/>
      <c r="X3335" s="516"/>
      <c r="Y3335" s="516"/>
      <c r="Z3335" s="516"/>
      <c r="AA3335" s="516"/>
      <c r="AB3335" s="516"/>
      <c r="AC3335" s="516"/>
      <c r="AD3335" s="516"/>
      <c r="AE3335" s="516"/>
      <c r="AF3335" s="1001"/>
      <c r="AG3335" s="407"/>
      <c r="AH3335" s="408"/>
      <c r="AI3335" s="408"/>
      <c r="AJ3335" s="408"/>
      <c r="AK3335" s="408"/>
      <c r="AL3335" s="408"/>
      <c r="AM3335" s="408"/>
      <c r="AN3335" s="408"/>
      <c r="AO3335" s="409"/>
      <c r="AP3335" s="541"/>
      <c r="AQ3335" s="408"/>
      <c r="AR3335" s="408"/>
      <c r="AS3335" s="408"/>
      <c r="AT3335" s="408"/>
      <c r="AU3335" s="408"/>
      <c r="AV3335" s="408"/>
      <c r="AW3335" s="408"/>
      <c r="AX3335" s="408"/>
      <c r="AY3335" s="408"/>
      <c r="AZ3335" s="408"/>
      <c r="BA3335" s="408"/>
      <c r="BB3335" s="408"/>
      <c r="BC3335" s="408"/>
      <c r="BD3335" s="408"/>
      <c r="BE3335" s="408"/>
      <c r="BF3335" s="409"/>
      <c r="BG3335" s="386"/>
      <c r="BH3335" s="364"/>
      <c r="BI3335" s="364"/>
      <c r="BJ3335" s="364"/>
      <c r="BK3335" s="364"/>
      <c r="BL3335" s="364"/>
      <c r="BM3335" s="364"/>
      <c r="BN3335" s="364"/>
      <c r="BO3335" s="364"/>
      <c r="BP3335" s="364"/>
      <c r="BQ3335" s="364"/>
      <c r="BR3335" s="364"/>
      <c r="BS3335" s="364"/>
      <c r="BT3335" s="364"/>
      <c r="BU3335" s="364"/>
      <c r="BV3335" s="364"/>
      <c r="BW3335" s="364"/>
      <c r="BX3335" s="364"/>
      <c r="BY3335" s="364"/>
      <c r="BZ3335" s="387"/>
      <c r="CA3335" s="270"/>
      <c r="CB3335" s="3" t="str">
        <f t="shared" si="612"/>
        <v>Riadok bude skrytý.</v>
      </c>
      <c r="CC3335" s="271" t="s">
        <v>937</v>
      </c>
      <c r="CW3335" s="30">
        <f t="shared" si="617"/>
        <v>0</v>
      </c>
      <c r="CX3335" s="30">
        <f t="shared" si="610"/>
        <v>1</v>
      </c>
      <c r="CY3335" s="30">
        <f t="shared" si="614"/>
        <v>0</v>
      </c>
      <c r="CZ3335" s="30">
        <f t="shared" si="615"/>
        <v>0</v>
      </c>
      <c r="DA3335" s="53">
        <f t="shared" si="616"/>
        <v>0</v>
      </c>
      <c r="DB3335" s="2">
        <f t="shared" si="613"/>
        <v>0</v>
      </c>
      <c r="DS3335" s="130">
        <f>SI!BY3335</f>
        <v>158</v>
      </c>
      <c r="DZ3335" s="131">
        <f>SI!BZ3335</f>
        <v>0</v>
      </c>
    </row>
    <row r="3336" spans="1:130" hidden="1" x14ac:dyDescent="0.25">
      <c r="A3336" s="141"/>
      <c r="B3336" s="515"/>
      <c r="C3336" s="516"/>
      <c r="D3336" s="516"/>
      <c r="E3336" s="516"/>
      <c r="F3336" s="516"/>
      <c r="G3336" s="516"/>
      <c r="H3336" s="516"/>
      <c r="I3336" s="516"/>
      <c r="J3336" s="516"/>
      <c r="K3336" s="516"/>
      <c r="L3336" s="516"/>
      <c r="M3336" s="516"/>
      <c r="N3336" s="516"/>
      <c r="O3336" s="516"/>
      <c r="P3336" s="516"/>
      <c r="Q3336" s="516"/>
      <c r="R3336" s="516"/>
      <c r="S3336" s="516"/>
      <c r="T3336" s="516"/>
      <c r="U3336" s="516"/>
      <c r="V3336" s="516"/>
      <c r="W3336" s="516"/>
      <c r="X3336" s="516"/>
      <c r="Y3336" s="516"/>
      <c r="Z3336" s="516"/>
      <c r="AA3336" s="516"/>
      <c r="AB3336" s="516"/>
      <c r="AC3336" s="516"/>
      <c r="AD3336" s="516"/>
      <c r="AE3336" s="516"/>
      <c r="AF3336" s="1001"/>
      <c r="AG3336" s="407"/>
      <c r="AH3336" s="408"/>
      <c r="AI3336" s="408"/>
      <c r="AJ3336" s="408"/>
      <c r="AK3336" s="408"/>
      <c r="AL3336" s="408"/>
      <c r="AM3336" s="408"/>
      <c r="AN3336" s="408"/>
      <c r="AO3336" s="409"/>
      <c r="AP3336" s="541"/>
      <c r="AQ3336" s="408"/>
      <c r="AR3336" s="408"/>
      <c r="AS3336" s="408"/>
      <c r="AT3336" s="408"/>
      <c r="AU3336" s="408"/>
      <c r="AV3336" s="408"/>
      <c r="AW3336" s="408"/>
      <c r="AX3336" s="408"/>
      <c r="AY3336" s="408"/>
      <c r="AZ3336" s="408"/>
      <c r="BA3336" s="408"/>
      <c r="BB3336" s="408"/>
      <c r="BC3336" s="408"/>
      <c r="BD3336" s="408"/>
      <c r="BE3336" s="408"/>
      <c r="BF3336" s="409"/>
      <c r="BG3336" s="386"/>
      <c r="BH3336" s="364"/>
      <c r="BI3336" s="364"/>
      <c r="BJ3336" s="364"/>
      <c r="BK3336" s="364"/>
      <c r="BL3336" s="364"/>
      <c r="BM3336" s="364"/>
      <c r="BN3336" s="364"/>
      <c r="BO3336" s="364"/>
      <c r="BP3336" s="364"/>
      <c r="BQ3336" s="364"/>
      <c r="BR3336" s="364"/>
      <c r="BS3336" s="364"/>
      <c r="BT3336" s="364"/>
      <c r="BU3336" s="364"/>
      <c r="BV3336" s="364"/>
      <c r="BW3336" s="364"/>
      <c r="BX3336" s="364"/>
      <c r="BY3336" s="364"/>
      <c r="BZ3336" s="387"/>
      <c r="CA3336" s="270"/>
      <c r="CB3336" s="3" t="str">
        <f t="shared" si="612"/>
        <v>Riadok bude skrytý.</v>
      </c>
      <c r="CC3336" s="271" t="s">
        <v>937</v>
      </c>
      <c r="CW3336" s="30">
        <f t="shared" si="617"/>
        <v>0</v>
      </c>
      <c r="CX3336" s="30">
        <f t="shared" si="610"/>
        <v>1</v>
      </c>
      <c r="CY3336" s="30">
        <f t="shared" si="614"/>
        <v>0</v>
      </c>
      <c r="CZ3336" s="30">
        <f t="shared" si="615"/>
        <v>0</v>
      </c>
      <c r="DA3336" s="53">
        <f t="shared" si="616"/>
        <v>0</v>
      </c>
      <c r="DB3336" s="2">
        <f t="shared" si="613"/>
        <v>0</v>
      </c>
      <c r="DS3336" s="130">
        <f>SI!BY3336</f>
        <v>866</v>
      </c>
      <c r="DZ3336" s="131">
        <f>SI!BZ3336</f>
        <v>0</v>
      </c>
    </row>
    <row r="3337" spans="1:130" hidden="1" x14ac:dyDescent="0.25">
      <c r="A3337" s="141"/>
      <c r="B3337" s="521"/>
      <c r="C3337" s="522"/>
      <c r="D3337" s="522"/>
      <c r="E3337" s="522"/>
      <c r="F3337" s="522"/>
      <c r="G3337" s="522"/>
      <c r="H3337" s="522"/>
      <c r="I3337" s="522"/>
      <c r="J3337" s="522"/>
      <c r="K3337" s="522"/>
      <c r="L3337" s="522"/>
      <c r="M3337" s="522"/>
      <c r="N3337" s="522"/>
      <c r="O3337" s="522"/>
      <c r="P3337" s="522"/>
      <c r="Q3337" s="522"/>
      <c r="R3337" s="522"/>
      <c r="S3337" s="522"/>
      <c r="T3337" s="522"/>
      <c r="U3337" s="522"/>
      <c r="V3337" s="522"/>
      <c r="W3337" s="522"/>
      <c r="X3337" s="522"/>
      <c r="Y3337" s="522"/>
      <c r="Z3337" s="522"/>
      <c r="AA3337" s="522"/>
      <c r="AB3337" s="522"/>
      <c r="AC3337" s="522"/>
      <c r="AD3337" s="522"/>
      <c r="AE3337" s="522"/>
      <c r="AF3337" s="523"/>
      <c r="AG3337" s="576"/>
      <c r="AH3337" s="577"/>
      <c r="AI3337" s="577"/>
      <c r="AJ3337" s="577"/>
      <c r="AK3337" s="577"/>
      <c r="AL3337" s="577"/>
      <c r="AM3337" s="577"/>
      <c r="AN3337" s="577"/>
      <c r="AO3337" s="578"/>
      <c r="AP3337" s="587"/>
      <c r="AQ3337" s="577"/>
      <c r="AR3337" s="577"/>
      <c r="AS3337" s="577"/>
      <c r="AT3337" s="577"/>
      <c r="AU3337" s="577"/>
      <c r="AV3337" s="577"/>
      <c r="AW3337" s="577"/>
      <c r="AX3337" s="577"/>
      <c r="AY3337" s="577"/>
      <c r="AZ3337" s="577"/>
      <c r="BA3337" s="577"/>
      <c r="BB3337" s="577"/>
      <c r="BC3337" s="577"/>
      <c r="BD3337" s="577"/>
      <c r="BE3337" s="577"/>
      <c r="BF3337" s="578"/>
      <c r="BG3337" s="457"/>
      <c r="BH3337" s="368"/>
      <c r="BI3337" s="368"/>
      <c r="BJ3337" s="368"/>
      <c r="BK3337" s="368"/>
      <c r="BL3337" s="368"/>
      <c r="BM3337" s="368"/>
      <c r="BN3337" s="368"/>
      <c r="BO3337" s="368"/>
      <c r="BP3337" s="368"/>
      <c r="BQ3337" s="368"/>
      <c r="BR3337" s="368"/>
      <c r="BS3337" s="368"/>
      <c r="BT3337" s="368"/>
      <c r="BU3337" s="368"/>
      <c r="BV3337" s="368"/>
      <c r="BW3337" s="368"/>
      <c r="BX3337" s="368"/>
      <c r="BY3337" s="368"/>
      <c r="BZ3337" s="438"/>
      <c r="CA3337" s="270"/>
      <c r="CB3337" s="3" t="str">
        <f t="shared" si="612"/>
        <v>Riadok bude skrytý.</v>
      </c>
      <c r="CC3337" s="271" t="s">
        <v>937</v>
      </c>
      <c r="CW3337" s="30">
        <f t="shared" si="617"/>
        <v>0</v>
      </c>
      <c r="CX3337" s="30">
        <f t="shared" si="610"/>
        <v>1</v>
      </c>
      <c r="CZ3337" s="30">
        <f t="shared" si="615"/>
        <v>0</v>
      </c>
      <c r="DA3337" s="52">
        <f>+IF(CW3337*CX3337=0,0,IF(CZ3337=0,0,1))</f>
        <v>0</v>
      </c>
      <c r="DB3337" s="2">
        <f t="shared" si="613"/>
        <v>0</v>
      </c>
      <c r="DS3337" s="130">
        <f>SI!BY3337</f>
        <v>187</v>
      </c>
      <c r="DZ3337" s="131">
        <f>SI!BZ3337</f>
        <v>0</v>
      </c>
    </row>
    <row r="3338" spans="1:130" hidden="1" x14ac:dyDescent="0.25">
      <c r="A3338" s="141"/>
      <c r="CA3338" s="142"/>
      <c r="CB3338" s="3" t="str">
        <f t="shared" si="612"/>
        <v>Riadok bude skrytý.</v>
      </c>
      <c r="CC3338" s="271" t="s">
        <v>937</v>
      </c>
      <c r="CW3338" s="49">
        <v>1</v>
      </c>
      <c r="CZ3338" s="30">
        <f t="shared" si="615"/>
        <v>0</v>
      </c>
      <c r="DA3338" s="30">
        <f t="shared" si="609"/>
        <v>0</v>
      </c>
      <c r="DB3338" s="2">
        <f t="shared" si="613"/>
        <v>0</v>
      </c>
      <c r="DS3338" s="130">
        <f>SI!BY3338</f>
        <v>776</v>
      </c>
      <c r="DZ3338" s="131">
        <f>SI!BZ3338</f>
        <v>0</v>
      </c>
    </row>
    <row r="3339" spans="1:130" ht="16.3" hidden="1" x14ac:dyDescent="0.3">
      <c r="A3339" s="141"/>
      <c r="B3339" s="23"/>
      <c r="C3339" s="301"/>
      <c r="D3339" s="301"/>
      <c r="E3339" s="24" t="s">
        <v>427</v>
      </c>
      <c r="F3339" s="301"/>
      <c r="G3339" s="127"/>
      <c r="H3339" s="24"/>
      <c r="I3339" s="301"/>
      <c r="J3339" s="301"/>
      <c r="K3339" s="301"/>
      <c r="L3339" s="301"/>
      <c r="M3339" s="301"/>
      <c r="N3339" s="301"/>
      <c r="O3339" s="301"/>
      <c r="P3339" s="301"/>
      <c r="Q3339" s="301"/>
      <c r="R3339" s="301"/>
      <c r="S3339" s="301"/>
      <c r="T3339" s="301"/>
      <c r="U3339" s="301"/>
      <c r="V3339" s="301"/>
      <c r="W3339" s="301"/>
      <c r="X3339" s="301"/>
      <c r="Y3339" s="301"/>
      <c r="Z3339" s="301"/>
      <c r="AA3339" s="301"/>
      <c r="AB3339" s="301"/>
      <c r="AC3339" s="301"/>
      <c r="AD3339" s="301"/>
      <c r="AE3339" s="301"/>
      <c r="AF3339" s="301"/>
      <c r="AG3339" s="301"/>
      <c r="AH3339" s="301"/>
      <c r="AI3339" s="301"/>
      <c r="AJ3339" s="301"/>
      <c r="AK3339" s="301"/>
      <c r="AL3339" s="301"/>
      <c r="AM3339" s="301"/>
      <c r="AN3339" s="301"/>
      <c r="AO3339" s="301"/>
      <c r="AP3339" s="301"/>
      <c r="AQ3339" s="301"/>
      <c r="AR3339" s="301"/>
      <c r="AS3339" s="301"/>
      <c r="AT3339" s="301"/>
      <c r="AU3339" s="301"/>
      <c r="AV3339" s="301"/>
      <c r="AW3339" s="301"/>
      <c r="AX3339" s="301"/>
      <c r="AY3339" s="301"/>
      <c r="AZ3339" s="301"/>
      <c r="BA3339" s="301"/>
      <c r="BB3339" s="301"/>
      <c r="BC3339" s="301"/>
      <c r="BD3339" s="301"/>
      <c r="BE3339" s="301"/>
      <c r="BF3339" s="301"/>
      <c r="BG3339" s="301"/>
      <c r="BH3339" s="301"/>
      <c r="BI3339" s="301"/>
      <c r="BJ3339" s="301"/>
      <c r="BK3339" s="301"/>
      <c r="BL3339" s="301"/>
      <c r="BM3339" s="301"/>
      <c r="BN3339" s="301"/>
      <c r="BO3339" s="301"/>
      <c r="BP3339" s="301"/>
      <c r="BQ3339" s="301"/>
      <c r="BR3339" s="301"/>
      <c r="BS3339" s="301"/>
      <c r="BT3339" s="301"/>
      <c r="BU3339" s="301"/>
      <c r="BV3339" s="301"/>
      <c r="BW3339" s="301"/>
      <c r="BX3339" s="301"/>
      <c r="BY3339" s="301"/>
      <c r="BZ3339" s="304"/>
      <c r="CA3339" s="265" t="s">
        <v>773</v>
      </c>
      <c r="CB3339" s="3" t="str">
        <f t="shared" si="612"/>
        <v>Riadok bude skrytý.</v>
      </c>
      <c r="CW3339" s="49">
        <v>1</v>
      </c>
      <c r="CZ3339" s="30">
        <f t="shared" si="615"/>
        <v>1</v>
      </c>
      <c r="DA3339" s="30">
        <f t="shared" si="609"/>
        <v>1</v>
      </c>
      <c r="DB3339" s="2">
        <f t="shared" si="613"/>
        <v>0</v>
      </c>
      <c r="DS3339" s="130">
        <f>SI!BY3339</f>
        <v>157</v>
      </c>
      <c r="DZ3339" s="131">
        <f>SI!BZ3339</f>
        <v>0</v>
      </c>
    </row>
    <row r="3340" spans="1:130" ht="17" hidden="1" thickBot="1" x14ac:dyDescent="0.35">
      <c r="A3340" s="141"/>
      <c r="B3340" s="307"/>
      <c r="C3340" s="305"/>
      <c r="D3340" s="305"/>
      <c r="E3340" s="26" t="s">
        <v>428</v>
      </c>
      <c r="F3340" s="305"/>
      <c r="G3340" s="128"/>
      <c r="H3340" s="26"/>
      <c r="I3340" s="305"/>
      <c r="J3340" s="305"/>
      <c r="K3340" s="305"/>
      <c r="L3340" s="305"/>
      <c r="M3340" s="305"/>
      <c r="N3340" s="305"/>
      <c r="O3340" s="305"/>
      <c r="P3340" s="305"/>
      <c r="Q3340" s="305"/>
      <c r="R3340" s="305"/>
      <c r="S3340" s="305"/>
      <c r="T3340" s="305"/>
      <c r="U3340" s="305"/>
      <c r="V3340" s="305"/>
      <c r="W3340" s="305"/>
      <c r="X3340" s="305"/>
      <c r="Y3340" s="305"/>
      <c r="Z3340" s="305"/>
      <c r="AA3340" s="305"/>
      <c r="AB3340" s="305"/>
      <c r="AC3340" s="305"/>
      <c r="AD3340" s="305"/>
      <c r="AE3340" s="305"/>
      <c r="AF3340" s="305"/>
      <c r="AG3340" s="305"/>
      <c r="AH3340" s="305"/>
      <c r="AI3340" s="305"/>
      <c r="AJ3340" s="305"/>
      <c r="AK3340" s="305"/>
      <c r="AL3340" s="305"/>
      <c r="AM3340" s="305"/>
      <c r="AN3340" s="305"/>
      <c r="AO3340" s="305"/>
      <c r="AP3340" s="305"/>
      <c r="AQ3340" s="305"/>
      <c r="AR3340" s="305"/>
      <c r="AS3340" s="305"/>
      <c r="AT3340" s="305"/>
      <c r="AU3340" s="305"/>
      <c r="AV3340" s="305"/>
      <c r="AW3340" s="305"/>
      <c r="AX3340" s="305"/>
      <c r="AY3340" s="305"/>
      <c r="AZ3340" s="305"/>
      <c r="BA3340" s="305"/>
      <c r="BB3340" s="305"/>
      <c r="BC3340" s="305"/>
      <c r="BD3340" s="1396" t="str">
        <f>+SI!J2</f>
        <v>Resumo s.r.o.</v>
      </c>
      <c r="BE3340" s="1396"/>
      <c r="BF3340" s="1396"/>
      <c r="BG3340" s="1396"/>
      <c r="BH3340" s="1396"/>
      <c r="BI3340" s="1396"/>
      <c r="BJ3340" s="1396"/>
      <c r="BK3340" s="1396"/>
      <c r="BL3340" s="1396"/>
      <c r="BM3340" s="1396"/>
      <c r="BN3340" s="1396"/>
      <c r="BO3340" s="1396"/>
      <c r="BP3340" s="1396"/>
      <c r="BQ3340" s="1396"/>
      <c r="BR3340" s="1396"/>
      <c r="BS3340" s="1396"/>
      <c r="BT3340" s="1396"/>
      <c r="BU3340" s="1396"/>
      <c r="BV3340" s="1396"/>
      <c r="BW3340" s="1396"/>
      <c r="BX3340" s="1396"/>
      <c r="BY3340" s="1396"/>
      <c r="BZ3340" s="1397"/>
      <c r="CA3340" s="142"/>
      <c r="CB3340" s="3" t="str">
        <f t="shared" si="612"/>
        <v>Riadok bude skrytý.</v>
      </c>
      <c r="CW3340" s="49">
        <v>1</v>
      </c>
      <c r="CZ3340" s="30">
        <f t="shared" si="615"/>
        <v>1</v>
      </c>
      <c r="DA3340" s="30">
        <f t="shared" si="609"/>
        <v>1</v>
      </c>
      <c r="DB3340" s="2">
        <f t="shared" si="613"/>
        <v>0</v>
      </c>
      <c r="DS3340" s="130">
        <f>SI!BY3340</f>
        <v>900</v>
      </c>
      <c r="DZ3340" s="131">
        <f>SI!BZ3340</f>
        <v>0</v>
      </c>
    </row>
    <row r="3341" spans="1:130" hidden="1" x14ac:dyDescent="0.25">
      <c r="A3341" s="141"/>
      <c r="CA3341" s="142"/>
      <c r="CB3341" s="3" t="str">
        <f t="shared" si="612"/>
        <v>Riadok bude skrytý.</v>
      </c>
      <c r="CW3341" s="49">
        <v>1</v>
      </c>
      <c r="CZ3341" s="30">
        <f t="shared" si="615"/>
        <v>1</v>
      </c>
      <c r="DA3341" s="30">
        <f t="shared" si="609"/>
        <v>1</v>
      </c>
      <c r="DB3341" s="2">
        <f t="shared" si="613"/>
        <v>0</v>
      </c>
      <c r="DS3341" s="130">
        <f>SI!BY3341</f>
        <v>193</v>
      </c>
      <c r="DZ3341" s="131">
        <f>SI!BZ3341</f>
        <v>0</v>
      </c>
    </row>
    <row r="3342" spans="1:130" x14ac:dyDescent="0.25">
      <c r="A3342" s="141"/>
      <c r="B3342" s="137" t="s">
        <v>429</v>
      </c>
      <c r="E3342" s="542">
        <f>+DC4</f>
        <v>44561</v>
      </c>
      <c r="F3342" s="542"/>
      <c r="G3342" s="542"/>
      <c r="H3342" s="542"/>
      <c r="I3342" s="542"/>
      <c r="J3342" s="542"/>
      <c r="K3342" s="542"/>
      <c r="L3342" s="542"/>
      <c r="M3342" s="542"/>
      <c r="N3342" s="378" t="s">
        <v>935</v>
      </c>
      <c r="O3342" s="378"/>
      <c r="P3342" s="378"/>
      <c r="Q3342" s="378"/>
      <c r="R3342" s="378"/>
      <c r="S3342" s="378"/>
      <c r="T3342" s="378"/>
      <c r="U3342" s="137" t="str">
        <f>+IF($S$52&lt;&gt;"",IF((CODE(MID($S$52,1,1))/100)&lt;10,IF(COMBIN(LEN(SI!J3),2)=DS3342,"udalosti majúce významný vplyv na verné zobrazenie skutočností, ktoré sú ","NEPOVOLENÉ POUŽITIE !"),"NEPOVOLENÉ POUŽITIE!"),"NEPOVOLENÉ POUŽITIE !")</f>
        <v xml:space="preserve">udalosti majúce významný vplyv na verné zobrazenie skutočností, ktoré sú </v>
      </c>
      <c r="CA3342" s="142"/>
      <c r="CB3342" s="3" t="str">
        <f t="shared" si="612"/>
        <v>Riadok bude vidieť.</v>
      </c>
      <c r="CF3342" s="13"/>
      <c r="CW3342" s="49">
        <v>1</v>
      </c>
      <c r="CZ3342" s="30">
        <f t="shared" si="615"/>
        <v>1</v>
      </c>
      <c r="DA3342" s="30">
        <f t="shared" si="609"/>
        <v>1</v>
      </c>
      <c r="DB3342" s="140">
        <f t="shared" ref="DB3342:DB3365" si="618">+DA3342</f>
        <v>1</v>
      </c>
      <c r="DS3342" s="130">
        <f>SI!BY3342</f>
        <v>10</v>
      </c>
      <c r="DZ3342" s="131">
        <f>SI!BZ3342</f>
        <v>0</v>
      </c>
    </row>
    <row r="3343" spans="1:130" x14ac:dyDescent="0.25">
      <c r="A3343" s="141"/>
      <c r="B3343" s="137" t="str">
        <f>+IF($Q$52&lt;&gt;"",IF((CODE(MID($Q$52,1,1)))*(INT((PI()-3.1415)*10^5))*0+(LEN(SI!J5)-LEN(SI!J6))=DS3343,"predmetom účtovníctva.","NEPOVOLENÉ POUŽITIE!"),"NEPOVOLENÉ POUŽITIE!")</f>
        <v>predmetom účtovníctva.</v>
      </c>
      <c r="CA3343" s="142"/>
      <c r="CB3343" s="3" t="str">
        <f t="shared" si="612"/>
        <v>Riadok bude vidieť.</v>
      </c>
      <c r="CW3343" s="49">
        <v>1</v>
      </c>
      <c r="CZ3343" s="30">
        <f t="shared" si="615"/>
        <v>1</v>
      </c>
      <c r="DA3343" s="30">
        <f t="shared" si="609"/>
        <v>1</v>
      </c>
      <c r="DB3343" s="140">
        <f t="shared" si="618"/>
        <v>1</v>
      </c>
      <c r="DS3343" s="130">
        <f>SI!BY3343</f>
        <v>10</v>
      </c>
      <c r="DZ3343" s="131">
        <f>SI!BZ3343</f>
        <v>0</v>
      </c>
    </row>
    <row r="3344" spans="1:130" hidden="1" x14ac:dyDescent="0.25">
      <c r="A3344" s="141"/>
      <c r="B3344" s="1536" t="str">
        <f>+IF(N3342="nenastali","","Ide o tieto udalosti:")</f>
        <v/>
      </c>
      <c r="C3344" s="1536"/>
      <c r="D3344" s="1536"/>
      <c r="E3344" s="1536"/>
      <c r="F3344" s="1536"/>
      <c r="G3344" s="1536"/>
      <c r="H3344" s="1536"/>
      <c r="I3344" s="1536"/>
      <c r="J3344" s="1536"/>
      <c r="K3344" s="1536"/>
      <c r="L3344" s="1536"/>
      <c r="M3344" s="1536"/>
      <c r="N3344" s="1536"/>
      <c r="O3344" s="1536"/>
      <c r="P3344" s="1536"/>
      <c r="Q3344" s="1536"/>
      <c r="R3344" s="1536"/>
      <c r="S3344" s="1536"/>
      <c r="T3344" s="1536"/>
      <c r="U3344" s="1536"/>
      <c r="V3344" s="1536"/>
      <c r="W3344" s="1536"/>
      <c r="X3344" s="1536"/>
      <c r="Y3344" s="1536"/>
      <c r="Z3344" s="1536"/>
      <c r="AA3344" s="1536"/>
      <c r="AB3344" s="1536"/>
      <c r="AC3344" s="1536"/>
      <c r="AD3344" s="1536"/>
      <c r="AE3344" s="1536"/>
      <c r="AF3344" s="1536"/>
      <c r="AG3344" s="1536"/>
      <c r="AH3344" s="1536"/>
      <c r="AI3344" s="1536"/>
      <c r="AJ3344" s="1536"/>
      <c r="AK3344" s="1536"/>
      <c r="AL3344" s="1536"/>
      <c r="AM3344" s="1536"/>
      <c r="AN3344" s="1536"/>
      <c r="AO3344" s="1536"/>
      <c r="AP3344" s="1536"/>
      <c r="AQ3344" s="1536"/>
      <c r="AR3344" s="1536"/>
      <c r="AS3344" s="1536"/>
      <c r="AT3344" s="1536"/>
      <c r="AU3344" s="1536"/>
      <c r="AV3344" s="1536"/>
      <c r="AW3344" s="1536"/>
      <c r="AX3344" s="1536"/>
      <c r="AY3344" s="1536"/>
      <c r="AZ3344" s="1536"/>
      <c r="BA3344" s="1536"/>
      <c r="BB3344" s="1536"/>
      <c r="BC3344" s="1536"/>
      <c r="BD3344" s="1536"/>
      <c r="BE3344" s="1536"/>
      <c r="BF3344" s="1536"/>
      <c r="BG3344" s="1536"/>
      <c r="BH3344" s="1536"/>
      <c r="BI3344" s="1536"/>
      <c r="BJ3344" s="1536"/>
      <c r="BK3344" s="1536"/>
      <c r="BL3344" s="1536"/>
      <c r="BM3344" s="1536"/>
      <c r="BN3344" s="1536"/>
      <c r="BO3344" s="1536"/>
      <c r="BP3344" s="1536"/>
      <c r="BQ3344" s="1536"/>
      <c r="BR3344" s="1536"/>
      <c r="BS3344" s="1536"/>
      <c r="BT3344" s="1536"/>
      <c r="BU3344" s="1536"/>
      <c r="BV3344" s="1536"/>
      <c r="BW3344" s="1536"/>
      <c r="BX3344" s="1536"/>
      <c r="BY3344" s="1536"/>
      <c r="BZ3344" s="1536"/>
      <c r="CA3344" s="270"/>
      <c r="CB3344" s="3" t="str">
        <f t="shared" si="612"/>
        <v>Riadok bude skrytý.</v>
      </c>
      <c r="CC3344" s="271" t="s">
        <v>832</v>
      </c>
      <c r="CW3344" s="30">
        <f>+IF(N3342="nenastali",0,1)</f>
        <v>0</v>
      </c>
      <c r="CZ3344" s="30">
        <f t="shared" si="615"/>
        <v>1</v>
      </c>
      <c r="DA3344" s="30">
        <f t="shared" si="609"/>
        <v>0</v>
      </c>
      <c r="DB3344" s="140">
        <f t="shared" si="618"/>
        <v>0</v>
      </c>
      <c r="DS3344" s="130">
        <f>SI!BY3344</f>
        <v>774</v>
      </c>
      <c r="DZ3344" s="131">
        <f>SI!BZ3344</f>
        <v>0</v>
      </c>
    </row>
    <row r="3345" spans="1:130" hidden="1" x14ac:dyDescent="0.25">
      <c r="A3345" s="141"/>
      <c r="B3345" s="406"/>
      <c r="C3345" s="406"/>
      <c r="D3345" s="406"/>
      <c r="E3345" s="406"/>
      <c r="F3345" s="406"/>
      <c r="G3345" s="406"/>
      <c r="H3345" s="406"/>
      <c r="I3345" s="406"/>
      <c r="J3345" s="406"/>
      <c r="K3345" s="406"/>
      <c r="L3345" s="406"/>
      <c r="M3345" s="406"/>
      <c r="N3345" s="406"/>
      <c r="O3345" s="406"/>
      <c r="P3345" s="406"/>
      <c r="Q3345" s="406"/>
      <c r="R3345" s="406"/>
      <c r="S3345" s="406"/>
      <c r="T3345" s="406"/>
      <c r="U3345" s="406"/>
      <c r="V3345" s="406"/>
      <c r="W3345" s="406"/>
      <c r="X3345" s="406"/>
      <c r="Y3345" s="406"/>
      <c r="Z3345" s="406"/>
      <c r="AA3345" s="406"/>
      <c r="AB3345" s="406"/>
      <c r="AC3345" s="406"/>
      <c r="AD3345" s="406"/>
      <c r="AE3345" s="406"/>
      <c r="AF3345" s="406"/>
      <c r="AG3345" s="406"/>
      <c r="AH3345" s="406"/>
      <c r="AI3345" s="406"/>
      <c r="AJ3345" s="406"/>
      <c r="AK3345" s="406"/>
      <c r="AL3345" s="406"/>
      <c r="AM3345" s="406"/>
      <c r="AN3345" s="406"/>
      <c r="AO3345" s="406"/>
      <c r="AP3345" s="406"/>
      <c r="AQ3345" s="406"/>
      <c r="AR3345" s="406"/>
      <c r="AS3345" s="406"/>
      <c r="AT3345" s="406"/>
      <c r="AU3345" s="406"/>
      <c r="AV3345" s="406"/>
      <c r="AW3345" s="406"/>
      <c r="AX3345" s="406"/>
      <c r="AY3345" s="406"/>
      <c r="AZ3345" s="406"/>
      <c r="BA3345" s="406"/>
      <c r="BB3345" s="406"/>
      <c r="BC3345" s="406"/>
      <c r="BD3345" s="406"/>
      <c r="BE3345" s="406"/>
      <c r="BF3345" s="406"/>
      <c r="BG3345" s="406"/>
      <c r="BH3345" s="406"/>
      <c r="BI3345" s="406"/>
      <c r="BJ3345" s="406"/>
      <c r="BK3345" s="406"/>
      <c r="BL3345" s="406"/>
      <c r="BM3345" s="406"/>
      <c r="BN3345" s="406"/>
      <c r="BO3345" s="406"/>
      <c r="BP3345" s="406"/>
      <c r="BQ3345" s="406"/>
      <c r="BR3345" s="406"/>
      <c r="BS3345" s="406"/>
      <c r="BT3345" s="406"/>
      <c r="BU3345" s="406"/>
      <c r="BV3345" s="406"/>
      <c r="BW3345" s="406"/>
      <c r="BX3345" s="406"/>
      <c r="BY3345" s="406"/>
      <c r="BZ3345" s="406"/>
      <c r="CA3345" s="308"/>
      <c r="CB3345" s="3" t="str">
        <f t="shared" si="612"/>
        <v>Riadok bude skrytý.</v>
      </c>
      <c r="CC3345" s="271" t="s">
        <v>832</v>
      </c>
      <c r="CW3345" s="30">
        <f t="shared" ref="CW3345:CW3364" si="619">+IF(B3345="",0,1)</f>
        <v>0</v>
      </c>
      <c r="CZ3345" s="30">
        <f t="shared" si="615"/>
        <v>1</v>
      </c>
      <c r="DA3345" s="30">
        <f t="shared" si="609"/>
        <v>0</v>
      </c>
      <c r="DB3345" s="140">
        <f t="shared" si="618"/>
        <v>0</v>
      </c>
      <c r="DS3345" s="130">
        <f>SI!BY3345</f>
        <v>398</v>
      </c>
      <c r="DZ3345" s="131">
        <f>SI!BZ3345</f>
        <v>0</v>
      </c>
    </row>
    <row r="3346" spans="1:130" hidden="1" x14ac:dyDescent="0.25">
      <c r="A3346" s="141"/>
      <c r="B3346" s="406"/>
      <c r="C3346" s="406"/>
      <c r="D3346" s="406"/>
      <c r="E3346" s="406"/>
      <c r="F3346" s="406"/>
      <c r="G3346" s="406"/>
      <c r="H3346" s="406"/>
      <c r="I3346" s="406"/>
      <c r="J3346" s="406"/>
      <c r="K3346" s="406"/>
      <c r="L3346" s="406"/>
      <c r="M3346" s="406"/>
      <c r="N3346" s="406"/>
      <c r="O3346" s="406"/>
      <c r="P3346" s="406"/>
      <c r="Q3346" s="406"/>
      <c r="R3346" s="406"/>
      <c r="S3346" s="406"/>
      <c r="T3346" s="406"/>
      <c r="U3346" s="406"/>
      <c r="V3346" s="406"/>
      <c r="W3346" s="406"/>
      <c r="X3346" s="406"/>
      <c r="Y3346" s="406"/>
      <c r="Z3346" s="406"/>
      <c r="AA3346" s="406"/>
      <c r="AB3346" s="406"/>
      <c r="AC3346" s="406"/>
      <c r="AD3346" s="406"/>
      <c r="AE3346" s="406"/>
      <c r="AF3346" s="406"/>
      <c r="AG3346" s="406"/>
      <c r="AH3346" s="406"/>
      <c r="AI3346" s="406"/>
      <c r="AJ3346" s="406"/>
      <c r="AK3346" s="406"/>
      <c r="AL3346" s="406"/>
      <c r="AM3346" s="406"/>
      <c r="AN3346" s="406"/>
      <c r="AO3346" s="406"/>
      <c r="AP3346" s="406"/>
      <c r="AQ3346" s="406"/>
      <c r="AR3346" s="406"/>
      <c r="AS3346" s="406"/>
      <c r="AT3346" s="406"/>
      <c r="AU3346" s="406"/>
      <c r="AV3346" s="406"/>
      <c r="AW3346" s="406"/>
      <c r="AX3346" s="406"/>
      <c r="AY3346" s="406"/>
      <c r="AZ3346" s="406"/>
      <c r="BA3346" s="406"/>
      <c r="BB3346" s="406"/>
      <c r="BC3346" s="406"/>
      <c r="BD3346" s="406"/>
      <c r="BE3346" s="406"/>
      <c r="BF3346" s="406"/>
      <c r="BG3346" s="406"/>
      <c r="BH3346" s="406"/>
      <c r="BI3346" s="406"/>
      <c r="BJ3346" s="406"/>
      <c r="BK3346" s="406"/>
      <c r="BL3346" s="406"/>
      <c r="BM3346" s="406"/>
      <c r="BN3346" s="406"/>
      <c r="BO3346" s="406"/>
      <c r="BP3346" s="406"/>
      <c r="BQ3346" s="406"/>
      <c r="BR3346" s="406"/>
      <c r="BS3346" s="406"/>
      <c r="BT3346" s="406"/>
      <c r="BU3346" s="406"/>
      <c r="BV3346" s="406"/>
      <c r="BW3346" s="406"/>
      <c r="BX3346" s="406"/>
      <c r="BY3346" s="406"/>
      <c r="BZ3346" s="406"/>
      <c r="CA3346" s="308"/>
      <c r="CB3346" s="3" t="str">
        <f t="shared" si="612"/>
        <v>Riadok bude skrytý.</v>
      </c>
      <c r="CC3346" s="271" t="s">
        <v>832</v>
      </c>
      <c r="CW3346" s="30">
        <f t="shared" si="619"/>
        <v>0</v>
      </c>
      <c r="CZ3346" s="30">
        <f t="shared" si="615"/>
        <v>1</v>
      </c>
      <c r="DA3346" s="30">
        <f t="shared" si="609"/>
        <v>0</v>
      </c>
      <c r="DB3346" s="140">
        <f t="shared" si="618"/>
        <v>0</v>
      </c>
      <c r="DS3346" s="130">
        <f>SI!BY3346</f>
        <v>103</v>
      </c>
      <c r="DZ3346" s="131">
        <f>SI!BZ3346</f>
        <v>0</v>
      </c>
    </row>
    <row r="3347" spans="1:130" hidden="1" x14ac:dyDescent="0.25">
      <c r="A3347" s="141"/>
      <c r="B3347" s="406"/>
      <c r="C3347" s="406"/>
      <c r="D3347" s="406"/>
      <c r="E3347" s="406"/>
      <c r="F3347" s="406"/>
      <c r="G3347" s="406"/>
      <c r="H3347" s="406"/>
      <c r="I3347" s="406"/>
      <c r="J3347" s="406"/>
      <c r="K3347" s="406"/>
      <c r="L3347" s="406"/>
      <c r="M3347" s="406"/>
      <c r="N3347" s="406"/>
      <c r="O3347" s="406"/>
      <c r="P3347" s="406"/>
      <c r="Q3347" s="406"/>
      <c r="R3347" s="406"/>
      <c r="S3347" s="406"/>
      <c r="T3347" s="406"/>
      <c r="U3347" s="406"/>
      <c r="V3347" s="406"/>
      <c r="W3347" s="406"/>
      <c r="X3347" s="406"/>
      <c r="Y3347" s="406"/>
      <c r="Z3347" s="406"/>
      <c r="AA3347" s="406"/>
      <c r="AB3347" s="406"/>
      <c r="AC3347" s="406"/>
      <c r="AD3347" s="406"/>
      <c r="AE3347" s="406"/>
      <c r="AF3347" s="406"/>
      <c r="AG3347" s="406"/>
      <c r="AH3347" s="406"/>
      <c r="AI3347" s="406"/>
      <c r="AJ3347" s="406"/>
      <c r="AK3347" s="406"/>
      <c r="AL3347" s="406"/>
      <c r="AM3347" s="406"/>
      <c r="AN3347" s="406"/>
      <c r="AO3347" s="406"/>
      <c r="AP3347" s="406"/>
      <c r="AQ3347" s="406"/>
      <c r="AR3347" s="406"/>
      <c r="AS3347" s="406"/>
      <c r="AT3347" s="406"/>
      <c r="AU3347" s="406"/>
      <c r="AV3347" s="406"/>
      <c r="AW3347" s="406"/>
      <c r="AX3347" s="406"/>
      <c r="AY3347" s="406"/>
      <c r="AZ3347" s="406"/>
      <c r="BA3347" s="406"/>
      <c r="BB3347" s="406"/>
      <c r="BC3347" s="406"/>
      <c r="BD3347" s="406"/>
      <c r="BE3347" s="406"/>
      <c r="BF3347" s="406"/>
      <c r="BG3347" s="406"/>
      <c r="BH3347" s="406"/>
      <c r="BI3347" s="406"/>
      <c r="BJ3347" s="406"/>
      <c r="BK3347" s="406"/>
      <c r="BL3347" s="406"/>
      <c r="BM3347" s="406"/>
      <c r="BN3347" s="406"/>
      <c r="BO3347" s="406"/>
      <c r="BP3347" s="406"/>
      <c r="BQ3347" s="406"/>
      <c r="BR3347" s="406"/>
      <c r="BS3347" s="406"/>
      <c r="BT3347" s="406"/>
      <c r="BU3347" s="406"/>
      <c r="BV3347" s="406"/>
      <c r="BW3347" s="406"/>
      <c r="BX3347" s="406"/>
      <c r="BY3347" s="406"/>
      <c r="BZ3347" s="406"/>
      <c r="CA3347" s="308"/>
      <c r="CB3347" s="3" t="str">
        <f t="shared" si="612"/>
        <v>Riadok bude skrytý.</v>
      </c>
      <c r="CC3347" s="271" t="s">
        <v>832</v>
      </c>
      <c r="CW3347" s="30">
        <f t="shared" si="619"/>
        <v>0</v>
      </c>
      <c r="CZ3347" s="30">
        <f t="shared" si="615"/>
        <v>1</v>
      </c>
      <c r="DA3347" s="30">
        <f t="shared" si="609"/>
        <v>0</v>
      </c>
      <c r="DB3347" s="140">
        <f t="shared" si="618"/>
        <v>0</v>
      </c>
      <c r="DS3347" s="130">
        <f>SI!BY3347</f>
        <v>323</v>
      </c>
      <c r="DZ3347" s="131">
        <f>SI!BZ3347</f>
        <v>0</v>
      </c>
    </row>
    <row r="3348" spans="1:130" hidden="1" x14ac:dyDescent="0.25">
      <c r="A3348" s="141"/>
      <c r="B3348" s="406"/>
      <c r="C3348" s="406"/>
      <c r="D3348" s="406"/>
      <c r="E3348" s="406"/>
      <c r="F3348" s="406"/>
      <c r="G3348" s="406"/>
      <c r="H3348" s="406"/>
      <c r="I3348" s="406"/>
      <c r="J3348" s="406"/>
      <c r="K3348" s="406"/>
      <c r="L3348" s="406"/>
      <c r="M3348" s="406"/>
      <c r="N3348" s="406"/>
      <c r="O3348" s="406"/>
      <c r="P3348" s="406"/>
      <c r="Q3348" s="406"/>
      <c r="R3348" s="406"/>
      <c r="S3348" s="406"/>
      <c r="T3348" s="406"/>
      <c r="U3348" s="406"/>
      <c r="V3348" s="406"/>
      <c r="W3348" s="406"/>
      <c r="X3348" s="406"/>
      <c r="Y3348" s="406"/>
      <c r="Z3348" s="406"/>
      <c r="AA3348" s="406"/>
      <c r="AB3348" s="406"/>
      <c r="AC3348" s="406"/>
      <c r="AD3348" s="406"/>
      <c r="AE3348" s="406"/>
      <c r="AF3348" s="406"/>
      <c r="AG3348" s="406"/>
      <c r="AH3348" s="406"/>
      <c r="AI3348" s="406"/>
      <c r="AJ3348" s="406"/>
      <c r="AK3348" s="406"/>
      <c r="AL3348" s="406"/>
      <c r="AM3348" s="406"/>
      <c r="AN3348" s="406"/>
      <c r="AO3348" s="406"/>
      <c r="AP3348" s="406"/>
      <c r="AQ3348" s="406"/>
      <c r="AR3348" s="406"/>
      <c r="AS3348" s="406"/>
      <c r="AT3348" s="406"/>
      <c r="AU3348" s="406"/>
      <c r="AV3348" s="406"/>
      <c r="AW3348" s="406"/>
      <c r="AX3348" s="406"/>
      <c r="AY3348" s="406"/>
      <c r="AZ3348" s="406"/>
      <c r="BA3348" s="406"/>
      <c r="BB3348" s="406"/>
      <c r="BC3348" s="406"/>
      <c r="BD3348" s="406"/>
      <c r="BE3348" s="406"/>
      <c r="BF3348" s="406"/>
      <c r="BG3348" s="406"/>
      <c r="BH3348" s="406"/>
      <c r="BI3348" s="406"/>
      <c r="BJ3348" s="406"/>
      <c r="BK3348" s="406"/>
      <c r="BL3348" s="406"/>
      <c r="BM3348" s="406"/>
      <c r="BN3348" s="406"/>
      <c r="BO3348" s="406"/>
      <c r="BP3348" s="406"/>
      <c r="BQ3348" s="406"/>
      <c r="BR3348" s="406"/>
      <c r="BS3348" s="406"/>
      <c r="BT3348" s="406"/>
      <c r="BU3348" s="406"/>
      <c r="BV3348" s="406"/>
      <c r="BW3348" s="406"/>
      <c r="BX3348" s="406"/>
      <c r="BY3348" s="406"/>
      <c r="BZ3348" s="406"/>
      <c r="CA3348" s="308"/>
      <c r="CB3348" s="3" t="str">
        <f t="shared" si="612"/>
        <v>Riadok bude skrytý.</v>
      </c>
      <c r="CC3348" s="271" t="s">
        <v>832</v>
      </c>
      <c r="CW3348" s="30">
        <f t="shared" si="619"/>
        <v>0</v>
      </c>
      <c r="CZ3348" s="30">
        <f t="shared" si="615"/>
        <v>1</v>
      </c>
      <c r="DA3348" s="30">
        <f t="shared" si="609"/>
        <v>0</v>
      </c>
      <c r="DB3348" s="140">
        <f t="shared" si="618"/>
        <v>0</v>
      </c>
      <c r="DS3348" s="130">
        <f>SI!BY3348</f>
        <v>110</v>
      </c>
      <c r="DZ3348" s="131">
        <f>SI!BZ3348</f>
        <v>0</v>
      </c>
    </row>
    <row r="3349" spans="1:130" hidden="1" x14ac:dyDescent="0.25">
      <c r="A3349" s="141"/>
      <c r="B3349" s="406"/>
      <c r="C3349" s="406"/>
      <c r="D3349" s="406"/>
      <c r="E3349" s="406"/>
      <c r="F3349" s="406"/>
      <c r="G3349" s="406"/>
      <c r="H3349" s="406"/>
      <c r="I3349" s="406"/>
      <c r="J3349" s="406"/>
      <c r="K3349" s="406"/>
      <c r="L3349" s="406"/>
      <c r="M3349" s="406"/>
      <c r="N3349" s="406"/>
      <c r="O3349" s="406"/>
      <c r="P3349" s="406"/>
      <c r="Q3349" s="406"/>
      <c r="R3349" s="406"/>
      <c r="S3349" s="406"/>
      <c r="T3349" s="406"/>
      <c r="U3349" s="406"/>
      <c r="V3349" s="406"/>
      <c r="W3349" s="406"/>
      <c r="X3349" s="406"/>
      <c r="Y3349" s="406"/>
      <c r="Z3349" s="406"/>
      <c r="AA3349" s="406"/>
      <c r="AB3349" s="406"/>
      <c r="AC3349" s="406"/>
      <c r="AD3349" s="406"/>
      <c r="AE3349" s="406"/>
      <c r="AF3349" s="406"/>
      <c r="AG3349" s="406"/>
      <c r="AH3349" s="406"/>
      <c r="AI3349" s="406"/>
      <c r="AJ3349" s="406"/>
      <c r="AK3349" s="406"/>
      <c r="AL3349" s="406"/>
      <c r="AM3349" s="406"/>
      <c r="AN3349" s="406"/>
      <c r="AO3349" s="406"/>
      <c r="AP3349" s="406"/>
      <c r="AQ3349" s="406"/>
      <c r="AR3349" s="406"/>
      <c r="AS3349" s="406"/>
      <c r="AT3349" s="406"/>
      <c r="AU3349" s="406"/>
      <c r="AV3349" s="406"/>
      <c r="AW3349" s="406"/>
      <c r="AX3349" s="406"/>
      <c r="AY3349" s="406"/>
      <c r="AZ3349" s="406"/>
      <c r="BA3349" s="406"/>
      <c r="BB3349" s="406"/>
      <c r="BC3349" s="406"/>
      <c r="BD3349" s="406"/>
      <c r="BE3349" s="406"/>
      <c r="BF3349" s="406"/>
      <c r="BG3349" s="406"/>
      <c r="BH3349" s="406"/>
      <c r="BI3349" s="406"/>
      <c r="BJ3349" s="406"/>
      <c r="BK3349" s="406"/>
      <c r="BL3349" s="406"/>
      <c r="BM3349" s="406"/>
      <c r="BN3349" s="406"/>
      <c r="BO3349" s="406"/>
      <c r="BP3349" s="406"/>
      <c r="BQ3349" s="406"/>
      <c r="BR3349" s="406"/>
      <c r="BS3349" s="406"/>
      <c r="BT3349" s="406"/>
      <c r="BU3349" s="406"/>
      <c r="BV3349" s="406"/>
      <c r="BW3349" s="406"/>
      <c r="BX3349" s="406"/>
      <c r="BY3349" s="406"/>
      <c r="BZ3349" s="406"/>
      <c r="CA3349" s="308"/>
      <c r="CB3349" s="3" t="str">
        <f t="shared" si="612"/>
        <v>Riadok bude skrytý.</v>
      </c>
      <c r="CC3349" s="271" t="s">
        <v>832</v>
      </c>
      <c r="CW3349" s="30">
        <f t="shared" si="619"/>
        <v>0</v>
      </c>
      <c r="CZ3349" s="30">
        <f t="shared" si="615"/>
        <v>1</v>
      </c>
      <c r="DA3349" s="30">
        <f t="shared" si="609"/>
        <v>0</v>
      </c>
      <c r="DB3349" s="140">
        <f t="shared" si="618"/>
        <v>0</v>
      </c>
      <c r="DS3349" s="130">
        <f>SI!BY3349</f>
        <v>274</v>
      </c>
      <c r="DZ3349" s="131">
        <f>SI!BZ3349</f>
        <v>0</v>
      </c>
    </row>
    <row r="3350" spans="1:130" hidden="1" x14ac:dyDescent="0.25">
      <c r="A3350" s="141"/>
      <c r="B3350" s="406"/>
      <c r="C3350" s="406"/>
      <c r="D3350" s="406"/>
      <c r="E3350" s="406"/>
      <c r="F3350" s="406"/>
      <c r="G3350" s="406"/>
      <c r="H3350" s="406"/>
      <c r="I3350" s="406"/>
      <c r="J3350" s="406"/>
      <c r="K3350" s="406"/>
      <c r="L3350" s="406"/>
      <c r="M3350" s="406"/>
      <c r="N3350" s="406"/>
      <c r="O3350" s="406"/>
      <c r="P3350" s="406"/>
      <c r="Q3350" s="406"/>
      <c r="R3350" s="406"/>
      <c r="S3350" s="406"/>
      <c r="T3350" s="406"/>
      <c r="U3350" s="406"/>
      <c r="V3350" s="406"/>
      <c r="W3350" s="406"/>
      <c r="X3350" s="406"/>
      <c r="Y3350" s="406"/>
      <c r="Z3350" s="406"/>
      <c r="AA3350" s="406"/>
      <c r="AB3350" s="406"/>
      <c r="AC3350" s="406"/>
      <c r="AD3350" s="406"/>
      <c r="AE3350" s="406"/>
      <c r="AF3350" s="406"/>
      <c r="AG3350" s="406"/>
      <c r="AH3350" s="406"/>
      <c r="AI3350" s="406"/>
      <c r="AJ3350" s="406"/>
      <c r="AK3350" s="406"/>
      <c r="AL3350" s="406"/>
      <c r="AM3350" s="406"/>
      <c r="AN3350" s="406"/>
      <c r="AO3350" s="406"/>
      <c r="AP3350" s="406"/>
      <c r="AQ3350" s="406"/>
      <c r="AR3350" s="406"/>
      <c r="AS3350" s="406"/>
      <c r="AT3350" s="406"/>
      <c r="AU3350" s="406"/>
      <c r="AV3350" s="406"/>
      <c r="AW3350" s="406"/>
      <c r="AX3350" s="406"/>
      <c r="AY3350" s="406"/>
      <c r="AZ3350" s="406"/>
      <c r="BA3350" s="406"/>
      <c r="BB3350" s="406"/>
      <c r="BC3350" s="406"/>
      <c r="BD3350" s="406"/>
      <c r="BE3350" s="406"/>
      <c r="BF3350" s="406"/>
      <c r="BG3350" s="406"/>
      <c r="BH3350" s="406"/>
      <c r="BI3350" s="406"/>
      <c r="BJ3350" s="406"/>
      <c r="BK3350" s="406"/>
      <c r="BL3350" s="406"/>
      <c r="BM3350" s="406"/>
      <c r="BN3350" s="406"/>
      <c r="BO3350" s="406"/>
      <c r="BP3350" s="406"/>
      <c r="BQ3350" s="406"/>
      <c r="BR3350" s="406"/>
      <c r="BS3350" s="406"/>
      <c r="BT3350" s="406"/>
      <c r="BU3350" s="406"/>
      <c r="BV3350" s="406"/>
      <c r="BW3350" s="406"/>
      <c r="BX3350" s="406"/>
      <c r="BY3350" s="406"/>
      <c r="BZ3350" s="406"/>
      <c r="CA3350" s="308"/>
      <c r="CB3350" s="3" t="str">
        <f t="shared" si="612"/>
        <v>Riadok bude skrytý.</v>
      </c>
      <c r="CC3350" s="271" t="s">
        <v>832</v>
      </c>
      <c r="CW3350" s="30">
        <f t="shared" si="619"/>
        <v>0</v>
      </c>
      <c r="CZ3350" s="30">
        <f t="shared" si="615"/>
        <v>1</v>
      </c>
      <c r="DA3350" s="30">
        <f t="shared" si="609"/>
        <v>0</v>
      </c>
      <c r="DB3350" s="140">
        <f t="shared" si="618"/>
        <v>0</v>
      </c>
      <c r="DS3350" s="130">
        <f>SI!BY3350</f>
        <v>108</v>
      </c>
      <c r="DZ3350" s="131">
        <f>SI!BZ3350</f>
        <v>0</v>
      </c>
    </row>
    <row r="3351" spans="1:130" hidden="1" x14ac:dyDescent="0.25">
      <c r="A3351" s="141"/>
      <c r="B3351" s="406"/>
      <c r="C3351" s="406"/>
      <c r="D3351" s="406"/>
      <c r="E3351" s="406"/>
      <c r="F3351" s="406"/>
      <c r="G3351" s="406"/>
      <c r="H3351" s="406"/>
      <c r="I3351" s="406"/>
      <c r="J3351" s="406"/>
      <c r="K3351" s="406"/>
      <c r="L3351" s="406"/>
      <c r="M3351" s="406"/>
      <c r="N3351" s="406"/>
      <c r="O3351" s="406"/>
      <c r="P3351" s="406"/>
      <c r="Q3351" s="406"/>
      <c r="R3351" s="406"/>
      <c r="S3351" s="406"/>
      <c r="T3351" s="406"/>
      <c r="U3351" s="406"/>
      <c r="V3351" s="406"/>
      <c r="W3351" s="406"/>
      <c r="X3351" s="406"/>
      <c r="Y3351" s="406"/>
      <c r="Z3351" s="406"/>
      <c r="AA3351" s="406"/>
      <c r="AB3351" s="406"/>
      <c r="AC3351" s="406"/>
      <c r="AD3351" s="406"/>
      <c r="AE3351" s="406"/>
      <c r="AF3351" s="406"/>
      <c r="AG3351" s="406"/>
      <c r="AH3351" s="406"/>
      <c r="AI3351" s="406"/>
      <c r="AJ3351" s="406"/>
      <c r="AK3351" s="406"/>
      <c r="AL3351" s="406"/>
      <c r="AM3351" s="406"/>
      <c r="AN3351" s="406"/>
      <c r="AO3351" s="406"/>
      <c r="AP3351" s="406"/>
      <c r="AQ3351" s="406"/>
      <c r="AR3351" s="406"/>
      <c r="AS3351" s="406"/>
      <c r="AT3351" s="406"/>
      <c r="AU3351" s="406"/>
      <c r="AV3351" s="406"/>
      <c r="AW3351" s="406"/>
      <c r="AX3351" s="406"/>
      <c r="AY3351" s="406"/>
      <c r="AZ3351" s="406"/>
      <c r="BA3351" s="406"/>
      <c r="BB3351" s="406"/>
      <c r="BC3351" s="406"/>
      <c r="BD3351" s="406"/>
      <c r="BE3351" s="406"/>
      <c r="BF3351" s="406"/>
      <c r="BG3351" s="406"/>
      <c r="BH3351" s="406"/>
      <c r="BI3351" s="406"/>
      <c r="BJ3351" s="406"/>
      <c r="BK3351" s="406"/>
      <c r="BL3351" s="406"/>
      <c r="BM3351" s="406"/>
      <c r="BN3351" s="406"/>
      <c r="BO3351" s="406"/>
      <c r="BP3351" s="406"/>
      <c r="BQ3351" s="406"/>
      <c r="BR3351" s="406"/>
      <c r="BS3351" s="406"/>
      <c r="BT3351" s="406"/>
      <c r="BU3351" s="406"/>
      <c r="BV3351" s="406"/>
      <c r="BW3351" s="406"/>
      <c r="BX3351" s="406"/>
      <c r="BY3351" s="406"/>
      <c r="BZ3351" s="406"/>
      <c r="CA3351" s="308"/>
      <c r="CB3351" s="3" t="str">
        <f t="shared" si="612"/>
        <v>Riadok bude skrytý.</v>
      </c>
      <c r="CC3351" s="271" t="s">
        <v>832</v>
      </c>
      <c r="CW3351" s="30">
        <f t="shared" si="619"/>
        <v>0</v>
      </c>
      <c r="CZ3351" s="30">
        <f t="shared" si="615"/>
        <v>1</v>
      </c>
      <c r="DA3351" s="30">
        <f t="shared" si="609"/>
        <v>0</v>
      </c>
      <c r="DB3351" s="140">
        <f t="shared" si="618"/>
        <v>0</v>
      </c>
      <c r="DS3351" s="130">
        <f>SI!BY3351</f>
        <v>503</v>
      </c>
      <c r="DZ3351" s="131">
        <f>SI!BZ3351</f>
        <v>0</v>
      </c>
    </row>
    <row r="3352" spans="1:130" hidden="1" x14ac:dyDescent="0.25">
      <c r="A3352" s="141"/>
      <c r="B3352" s="406"/>
      <c r="C3352" s="406"/>
      <c r="D3352" s="406"/>
      <c r="E3352" s="406"/>
      <c r="F3352" s="406"/>
      <c r="G3352" s="406"/>
      <c r="H3352" s="406"/>
      <c r="I3352" s="406"/>
      <c r="J3352" s="406"/>
      <c r="K3352" s="406"/>
      <c r="L3352" s="406"/>
      <c r="M3352" s="406"/>
      <c r="N3352" s="406"/>
      <c r="O3352" s="406"/>
      <c r="P3352" s="406"/>
      <c r="Q3352" s="406"/>
      <c r="R3352" s="406"/>
      <c r="S3352" s="406"/>
      <c r="T3352" s="406"/>
      <c r="U3352" s="406"/>
      <c r="V3352" s="406"/>
      <c r="W3352" s="406"/>
      <c r="X3352" s="406"/>
      <c r="Y3352" s="406"/>
      <c r="Z3352" s="406"/>
      <c r="AA3352" s="406"/>
      <c r="AB3352" s="406"/>
      <c r="AC3352" s="406"/>
      <c r="AD3352" s="406"/>
      <c r="AE3352" s="406"/>
      <c r="AF3352" s="406"/>
      <c r="AG3352" s="406"/>
      <c r="AH3352" s="406"/>
      <c r="AI3352" s="406"/>
      <c r="AJ3352" s="406"/>
      <c r="AK3352" s="406"/>
      <c r="AL3352" s="406"/>
      <c r="AM3352" s="406"/>
      <c r="AN3352" s="406"/>
      <c r="AO3352" s="406"/>
      <c r="AP3352" s="406"/>
      <c r="AQ3352" s="406"/>
      <c r="AR3352" s="406"/>
      <c r="AS3352" s="406"/>
      <c r="AT3352" s="406"/>
      <c r="AU3352" s="406"/>
      <c r="AV3352" s="406"/>
      <c r="AW3352" s="406"/>
      <c r="AX3352" s="406"/>
      <c r="AY3352" s="406"/>
      <c r="AZ3352" s="406"/>
      <c r="BA3352" s="406"/>
      <c r="BB3352" s="406"/>
      <c r="BC3352" s="406"/>
      <c r="BD3352" s="406"/>
      <c r="BE3352" s="406"/>
      <c r="BF3352" s="406"/>
      <c r="BG3352" s="406"/>
      <c r="BH3352" s="406"/>
      <c r="BI3352" s="406"/>
      <c r="BJ3352" s="406"/>
      <c r="BK3352" s="406"/>
      <c r="BL3352" s="406"/>
      <c r="BM3352" s="406"/>
      <c r="BN3352" s="406"/>
      <c r="BO3352" s="406"/>
      <c r="BP3352" s="406"/>
      <c r="BQ3352" s="406"/>
      <c r="BR3352" s="406"/>
      <c r="BS3352" s="406"/>
      <c r="BT3352" s="406"/>
      <c r="BU3352" s="406"/>
      <c r="BV3352" s="406"/>
      <c r="BW3352" s="406"/>
      <c r="BX3352" s="406"/>
      <c r="BY3352" s="406"/>
      <c r="BZ3352" s="406"/>
      <c r="CA3352" s="308"/>
      <c r="CB3352" s="3" t="str">
        <f t="shared" si="612"/>
        <v>Riadok bude skrytý.</v>
      </c>
      <c r="CC3352" s="271" t="s">
        <v>832</v>
      </c>
      <c r="CW3352" s="30">
        <f t="shared" si="619"/>
        <v>0</v>
      </c>
      <c r="CZ3352" s="30">
        <f t="shared" si="615"/>
        <v>1</v>
      </c>
      <c r="DA3352" s="30">
        <f t="shared" si="609"/>
        <v>0</v>
      </c>
      <c r="DB3352" s="140">
        <f t="shared" si="618"/>
        <v>0</v>
      </c>
      <c r="DS3352" s="130">
        <f>SI!BY3352</f>
        <v>145</v>
      </c>
      <c r="DZ3352" s="131">
        <f>SI!BZ3352</f>
        <v>0</v>
      </c>
    </row>
    <row r="3353" spans="1:130" hidden="1" x14ac:dyDescent="0.25">
      <c r="A3353" s="141"/>
      <c r="B3353" s="406"/>
      <c r="C3353" s="406"/>
      <c r="D3353" s="406"/>
      <c r="E3353" s="406"/>
      <c r="F3353" s="406"/>
      <c r="G3353" s="406"/>
      <c r="H3353" s="406"/>
      <c r="I3353" s="406"/>
      <c r="J3353" s="406"/>
      <c r="K3353" s="406"/>
      <c r="L3353" s="406"/>
      <c r="M3353" s="406"/>
      <c r="N3353" s="406"/>
      <c r="O3353" s="406"/>
      <c r="P3353" s="406"/>
      <c r="Q3353" s="406"/>
      <c r="R3353" s="406"/>
      <c r="S3353" s="406"/>
      <c r="T3353" s="406"/>
      <c r="U3353" s="406"/>
      <c r="V3353" s="406"/>
      <c r="W3353" s="406"/>
      <c r="X3353" s="406"/>
      <c r="Y3353" s="406"/>
      <c r="Z3353" s="406"/>
      <c r="AA3353" s="406"/>
      <c r="AB3353" s="406"/>
      <c r="AC3353" s="406"/>
      <c r="AD3353" s="406"/>
      <c r="AE3353" s="406"/>
      <c r="AF3353" s="406"/>
      <c r="AG3353" s="406"/>
      <c r="AH3353" s="406"/>
      <c r="AI3353" s="406"/>
      <c r="AJ3353" s="406"/>
      <c r="AK3353" s="406"/>
      <c r="AL3353" s="406"/>
      <c r="AM3353" s="406"/>
      <c r="AN3353" s="406"/>
      <c r="AO3353" s="406"/>
      <c r="AP3353" s="406"/>
      <c r="AQ3353" s="406"/>
      <c r="AR3353" s="406"/>
      <c r="AS3353" s="406"/>
      <c r="AT3353" s="406"/>
      <c r="AU3353" s="406"/>
      <c r="AV3353" s="406"/>
      <c r="AW3353" s="406"/>
      <c r="AX3353" s="406"/>
      <c r="AY3353" s="406"/>
      <c r="AZ3353" s="406"/>
      <c r="BA3353" s="406"/>
      <c r="BB3353" s="406"/>
      <c r="BC3353" s="406"/>
      <c r="BD3353" s="406"/>
      <c r="BE3353" s="406"/>
      <c r="BF3353" s="406"/>
      <c r="BG3353" s="406"/>
      <c r="BH3353" s="406"/>
      <c r="BI3353" s="406"/>
      <c r="BJ3353" s="406"/>
      <c r="BK3353" s="406"/>
      <c r="BL3353" s="406"/>
      <c r="BM3353" s="406"/>
      <c r="BN3353" s="406"/>
      <c r="BO3353" s="406"/>
      <c r="BP3353" s="406"/>
      <c r="BQ3353" s="406"/>
      <c r="BR3353" s="406"/>
      <c r="BS3353" s="406"/>
      <c r="BT3353" s="406"/>
      <c r="BU3353" s="406"/>
      <c r="BV3353" s="406"/>
      <c r="BW3353" s="406"/>
      <c r="BX3353" s="406"/>
      <c r="BY3353" s="406"/>
      <c r="BZ3353" s="406"/>
      <c r="CA3353" s="308"/>
      <c r="CB3353" s="3" t="str">
        <f t="shared" si="612"/>
        <v>Riadok bude skrytý.</v>
      </c>
      <c r="CC3353" s="271" t="s">
        <v>832</v>
      </c>
      <c r="CW3353" s="30">
        <f t="shared" si="619"/>
        <v>0</v>
      </c>
      <c r="CZ3353" s="30">
        <f t="shared" si="615"/>
        <v>1</v>
      </c>
      <c r="DA3353" s="30">
        <f t="shared" si="609"/>
        <v>0</v>
      </c>
      <c r="DB3353" s="140">
        <f t="shared" si="618"/>
        <v>0</v>
      </c>
      <c r="DS3353" s="130">
        <f>SI!BY3353</f>
        <v>644</v>
      </c>
      <c r="DZ3353" s="131">
        <f>SI!BZ3353</f>
        <v>0</v>
      </c>
    </row>
    <row r="3354" spans="1:130" hidden="1" x14ac:dyDescent="0.25">
      <c r="A3354" s="141"/>
      <c r="B3354" s="406"/>
      <c r="C3354" s="406"/>
      <c r="D3354" s="406"/>
      <c r="E3354" s="406"/>
      <c r="F3354" s="406"/>
      <c r="G3354" s="406"/>
      <c r="H3354" s="406"/>
      <c r="I3354" s="406"/>
      <c r="J3354" s="406"/>
      <c r="K3354" s="406"/>
      <c r="L3354" s="406"/>
      <c r="M3354" s="406"/>
      <c r="N3354" s="406"/>
      <c r="O3354" s="406"/>
      <c r="P3354" s="406"/>
      <c r="Q3354" s="406"/>
      <c r="R3354" s="406"/>
      <c r="S3354" s="406"/>
      <c r="T3354" s="406"/>
      <c r="U3354" s="406"/>
      <c r="V3354" s="406"/>
      <c r="W3354" s="406"/>
      <c r="X3354" s="406"/>
      <c r="Y3354" s="406"/>
      <c r="Z3354" s="406"/>
      <c r="AA3354" s="406"/>
      <c r="AB3354" s="406"/>
      <c r="AC3354" s="406"/>
      <c r="AD3354" s="406"/>
      <c r="AE3354" s="406"/>
      <c r="AF3354" s="406"/>
      <c r="AG3354" s="406"/>
      <c r="AH3354" s="406"/>
      <c r="AI3354" s="406"/>
      <c r="AJ3354" s="406"/>
      <c r="AK3354" s="406"/>
      <c r="AL3354" s="406"/>
      <c r="AM3354" s="406"/>
      <c r="AN3354" s="406"/>
      <c r="AO3354" s="406"/>
      <c r="AP3354" s="406"/>
      <c r="AQ3354" s="406"/>
      <c r="AR3354" s="406"/>
      <c r="AS3354" s="406"/>
      <c r="AT3354" s="406"/>
      <c r="AU3354" s="406"/>
      <c r="AV3354" s="406"/>
      <c r="AW3354" s="406"/>
      <c r="AX3354" s="406"/>
      <c r="AY3354" s="406"/>
      <c r="AZ3354" s="406"/>
      <c r="BA3354" s="406"/>
      <c r="BB3354" s="406"/>
      <c r="BC3354" s="406"/>
      <c r="BD3354" s="406"/>
      <c r="BE3354" s="406"/>
      <c r="BF3354" s="406"/>
      <c r="BG3354" s="406"/>
      <c r="BH3354" s="406"/>
      <c r="BI3354" s="406"/>
      <c r="BJ3354" s="406"/>
      <c r="BK3354" s="406"/>
      <c r="BL3354" s="406"/>
      <c r="BM3354" s="406"/>
      <c r="BN3354" s="406"/>
      <c r="BO3354" s="406"/>
      <c r="BP3354" s="406"/>
      <c r="BQ3354" s="406"/>
      <c r="BR3354" s="406"/>
      <c r="BS3354" s="406"/>
      <c r="BT3354" s="406"/>
      <c r="BU3354" s="406"/>
      <c r="BV3354" s="406"/>
      <c r="BW3354" s="406"/>
      <c r="BX3354" s="406"/>
      <c r="BY3354" s="406"/>
      <c r="BZ3354" s="406"/>
      <c r="CA3354" s="308"/>
      <c r="CB3354" s="3" t="str">
        <f t="shared" si="612"/>
        <v>Riadok bude skrytý.</v>
      </c>
      <c r="CC3354" s="271" t="s">
        <v>832</v>
      </c>
      <c r="CW3354" s="30">
        <f t="shared" si="619"/>
        <v>0</v>
      </c>
      <c r="CZ3354" s="30">
        <f t="shared" si="615"/>
        <v>1</v>
      </c>
      <c r="DA3354" s="30">
        <f t="shared" si="609"/>
        <v>0</v>
      </c>
      <c r="DB3354" s="140">
        <f t="shared" si="618"/>
        <v>0</v>
      </c>
      <c r="DS3354" s="130">
        <f>SI!BY3354</f>
        <v>134</v>
      </c>
      <c r="DZ3354" s="131">
        <f>SI!BZ3354</f>
        <v>0</v>
      </c>
    </row>
    <row r="3355" spans="1:130" hidden="1" x14ac:dyDescent="0.25">
      <c r="A3355" s="141"/>
      <c r="B3355" s="406"/>
      <c r="C3355" s="406"/>
      <c r="D3355" s="406"/>
      <c r="E3355" s="406"/>
      <c r="F3355" s="406"/>
      <c r="G3355" s="406"/>
      <c r="H3355" s="406"/>
      <c r="I3355" s="406"/>
      <c r="J3355" s="406"/>
      <c r="K3355" s="406"/>
      <c r="L3355" s="406"/>
      <c r="M3355" s="406"/>
      <c r="N3355" s="406"/>
      <c r="O3355" s="406"/>
      <c r="P3355" s="406"/>
      <c r="Q3355" s="406"/>
      <c r="R3355" s="406"/>
      <c r="S3355" s="406"/>
      <c r="T3355" s="406"/>
      <c r="U3355" s="406"/>
      <c r="V3355" s="406"/>
      <c r="W3355" s="406"/>
      <c r="X3355" s="406"/>
      <c r="Y3355" s="406"/>
      <c r="Z3355" s="406"/>
      <c r="AA3355" s="406"/>
      <c r="AB3355" s="406"/>
      <c r="AC3355" s="406"/>
      <c r="AD3355" s="406"/>
      <c r="AE3355" s="406"/>
      <c r="AF3355" s="406"/>
      <c r="AG3355" s="406"/>
      <c r="AH3355" s="406"/>
      <c r="AI3355" s="406"/>
      <c r="AJ3355" s="406"/>
      <c r="AK3355" s="406"/>
      <c r="AL3355" s="406"/>
      <c r="AM3355" s="406"/>
      <c r="AN3355" s="406"/>
      <c r="AO3355" s="406"/>
      <c r="AP3355" s="406"/>
      <c r="AQ3355" s="406"/>
      <c r="AR3355" s="406"/>
      <c r="AS3355" s="406"/>
      <c r="AT3355" s="406"/>
      <c r="AU3355" s="406"/>
      <c r="AV3355" s="406"/>
      <c r="AW3355" s="406"/>
      <c r="AX3355" s="406"/>
      <c r="AY3355" s="406"/>
      <c r="AZ3355" s="406"/>
      <c r="BA3355" s="406"/>
      <c r="BB3355" s="406"/>
      <c r="BC3355" s="406"/>
      <c r="BD3355" s="406"/>
      <c r="BE3355" s="406"/>
      <c r="BF3355" s="406"/>
      <c r="BG3355" s="406"/>
      <c r="BH3355" s="406"/>
      <c r="BI3355" s="406"/>
      <c r="BJ3355" s="406"/>
      <c r="BK3355" s="406"/>
      <c r="BL3355" s="406"/>
      <c r="BM3355" s="406"/>
      <c r="BN3355" s="406"/>
      <c r="BO3355" s="406"/>
      <c r="BP3355" s="406"/>
      <c r="BQ3355" s="406"/>
      <c r="BR3355" s="406"/>
      <c r="BS3355" s="406"/>
      <c r="BT3355" s="406"/>
      <c r="BU3355" s="406"/>
      <c r="BV3355" s="406"/>
      <c r="BW3355" s="406"/>
      <c r="BX3355" s="406"/>
      <c r="BY3355" s="406"/>
      <c r="BZ3355" s="406"/>
      <c r="CA3355" s="308"/>
      <c r="CB3355" s="3" t="str">
        <f t="shared" si="612"/>
        <v>Riadok bude skrytý.</v>
      </c>
      <c r="CC3355" s="271" t="s">
        <v>832</v>
      </c>
      <c r="CW3355" s="30">
        <f t="shared" si="619"/>
        <v>0</v>
      </c>
      <c r="CZ3355" s="30">
        <f t="shared" si="615"/>
        <v>1</v>
      </c>
      <c r="DA3355" s="30">
        <f t="shared" si="609"/>
        <v>0</v>
      </c>
      <c r="DB3355" s="140">
        <f t="shared" si="618"/>
        <v>0</v>
      </c>
      <c r="DS3355" s="130">
        <f>SI!BY3355</f>
        <v>944</v>
      </c>
      <c r="DZ3355" s="131">
        <f>SI!BZ3355</f>
        <v>0</v>
      </c>
    </row>
    <row r="3356" spans="1:130" hidden="1" x14ac:dyDescent="0.25">
      <c r="A3356" s="141"/>
      <c r="B3356" s="406"/>
      <c r="C3356" s="406"/>
      <c r="D3356" s="406"/>
      <c r="E3356" s="406"/>
      <c r="F3356" s="406"/>
      <c r="G3356" s="406"/>
      <c r="H3356" s="406"/>
      <c r="I3356" s="406"/>
      <c r="J3356" s="406"/>
      <c r="K3356" s="406"/>
      <c r="L3356" s="406"/>
      <c r="M3356" s="406"/>
      <c r="N3356" s="406"/>
      <c r="O3356" s="406"/>
      <c r="P3356" s="406"/>
      <c r="Q3356" s="406"/>
      <c r="R3356" s="406"/>
      <c r="S3356" s="406"/>
      <c r="T3356" s="406"/>
      <c r="U3356" s="406"/>
      <c r="V3356" s="406"/>
      <c r="W3356" s="406"/>
      <c r="X3356" s="406"/>
      <c r="Y3356" s="406"/>
      <c r="Z3356" s="406"/>
      <c r="AA3356" s="406"/>
      <c r="AB3356" s="406"/>
      <c r="AC3356" s="406"/>
      <c r="AD3356" s="406"/>
      <c r="AE3356" s="406"/>
      <c r="AF3356" s="406"/>
      <c r="AG3356" s="406"/>
      <c r="AH3356" s="406"/>
      <c r="AI3356" s="406"/>
      <c r="AJ3356" s="406"/>
      <c r="AK3356" s="406"/>
      <c r="AL3356" s="406"/>
      <c r="AM3356" s="406"/>
      <c r="AN3356" s="406"/>
      <c r="AO3356" s="406"/>
      <c r="AP3356" s="406"/>
      <c r="AQ3356" s="406"/>
      <c r="AR3356" s="406"/>
      <c r="AS3356" s="406"/>
      <c r="AT3356" s="406"/>
      <c r="AU3356" s="406"/>
      <c r="AV3356" s="406"/>
      <c r="AW3356" s="406"/>
      <c r="AX3356" s="406"/>
      <c r="AY3356" s="406"/>
      <c r="AZ3356" s="406"/>
      <c r="BA3356" s="406"/>
      <c r="BB3356" s="406"/>
      <c r="BC3356" s="406"/>
      <c r="BD3356" s="406"/>
      <c r="BE3356" s="406"/>
      <c r="BF3356" s="406"/>
      <c r="BG3356" s="406"/>
      <c r="BH3356" s="406"/>
      <c r="BI3356" s="406"/>
      <c r="BJ3356" s="406"/>
      <c r="BK3356" s="406"/>
      <c r="BL3356" s="406"/>
      <c r="BM3356" s="406"/>
      <c r="BN3356" s="406"/>
      <c r="BO3356" s="406"/>
      <c r="BP3356" s="406"/>
      <c r="BQ3356" s="406"/>
      <c r="BR3356" s="406"/>
      <c r="BS3356" s="406"/>
      <c r="BT3356" s="406"/>
      <c r="BU3356" s="406"/>
      <c r="BV3356" s="406"/>
      <c r="BW3356" s="406"/>
      <c r="BX3356" s="406"/>
      <c r="BY3356" s="406"/>
      <c r="BZ3356" s="406"/>
      <c r="CA3356" s="308"/>
      <c r="CB3356" s="3" t="str">
        <f t="shared" si="612"/>
        <v>Riadok bude skrytý.</v>
      </c>
      <c r="CC3356" s="271" t="s">
        <v>832</v>
      </c>
      <c r="CW3356" s="30">
        <f t="shared" si="619"/>
        <v>0</v>
      </c>
      <c r="CZ3356" s="30">
        <f t="shared" si="615"/>
        <v>1</v>
      </c>
      <c r="DA3356" s="30">
        <f t="shared" si="609"/>
        <v>0</v>
      </c>
      <c r="DB3356" s="140">
        <f t="shared" si="618"/>
        <v>0</v>
      </c>
      <c r="DS3356" s="130">
        <f>SI!BY3356</f>
        <v>118</v>
      </c>
      <c r="DZ3356" s="131">
        <f>SI!BZ3356</f>
        <v>0</v>
      </c>
    </row>
    <row r="3357" spans="1:130" hidden="1" x14ac:dyDescent="0.25">
      <c r="A3357" s="141"/>
      <c r="B3357" s="406"/>
      <c r="C3357" s="406"/>
      <c r="D3357" s="406"/>
      <c r="E3357" s="406"/>
      <c r="F3357" s="406"/>
      <c r="G3357" s="406"/>
      <c r="H3357" s="406"/>
      <c r="I3357" s="406"/>
      <c r="J3357" s="406"/>
      <c r="K3357" s="406"/>
      <c r="L3357" s="406"/>
      <c r="M3357" s="406"/>
      <c r="N3357" s="406"/>
      <c r="O3357" s="406"/>
      <c r="P3357" s="406"/>
      <c r="Q3357" s="406"/>
      <c r="R3357" s="406"/>
      <c r="S3357" s="406"/>
      <c r="T3357" s="406"/>
      <c r="U3357" s="406"/>
      <c r="V3357" s="406"/>
      <c r="W3357" s="406"/>
      <c r="X3357" s="406"/>
      <c r="Y3357" s="406"/>
      <c r="Z3357" s="406"/>
      <c r="AA3357" s="406"/>
      <c r="AB3357" s="406"/>
      <c r="AC3357" s="406"/>
      <c r="AD3357" s="406"/>
      <c r="AE3357" s="406"/>
      <c r="AF3357" s="406"/>
      <c r="AG3357" s="406"/>
      <c r="AH3357" s="406"/>
      <c r="AI3357" s="406"/>
      <c r="AJ3357" s="406"/>
      <c r="AK3357" s="406"/>
      <c r="AL3357" s="406"/>
      <c r="AM3357" s="406"/>
      <c r="AN3357" s="406"/>
      <c r="AO3357" s="406"/>
      <c r="AP3357" s="406"/>
      <c r="AQ3357" s="406"/>
      <c r="AR3357" s="406"/>
      <c r="AS3357" s="406"/>
      <c r="AT3357" s="406"/>
      <c r="AU3357" s="406"/>
      <c r="AV3357" s="406"/>
      <c r="AW3357" s="406"/>
      <c r="AX3357" s="406"/>
      <c r="AY3357" s="406"/>
      <c r="AZ3357" s="406"/>
      <c r="BA3357" s="406"/>
      <c r="BB3357" s="406"/>
      <c r="BC3357" s="406"/>
      <c r="BD3357" s="406"/>
      <c r="BE3357" s="406"/>
      <c r="BF3357" s="406"/>
      <c r="BG3357" s="406"/>
      <c r="BH3357" s="406"/>
      <c r="BI3357" s="406"/>
      <c r="BJ3357" s="406"/>
      <c r="BK3357" s="406"/>
      <c r="BL3357" s="406"/>
      <c r="BM3357" s="406"/>
      <c r="BN3357" s="406"/>
      <c r="BO3357" s="406"/>
      <c r="BP3357" s="406"/>
      <c r="BQ3357" s="406"/>
      <c r="BR3357" s="406"/>
      <c r="BS3357" s="406"/>
      <c r="BT3357" s="406"/>
      <c r="BU3357" s="406"/>
      <c r="BV3357" s="406"/>
      <c r="BW3357" s="406"/>
      <c r="BX3357" s="406"/>
      <c r="BY3357" s="406"/>
      <c r="BZ3357" s="406"/>
      <c r="CA3357" s="308"/>
      <c r="CB3357" s="3" t="str">
        <f t="shared" si="612"/>
        <v>Riadok bude skrytý.</v>
      </c>
      <c r="CC3357" s="271" t="s">
        <v>832</v>
      </c>
      <c r="CW3357" s="30">
        <f t="shared" si="619"/>
        <v>0</v>
      </c>
      <c r="CZ3357" s="30">
        <f t="shared" si="615"/>
        <v>1</v>
      </c>
      <c r="DA3357" s="30">
        <f t="shared" si="609"/>
        <v>0</v>
      </c>
      <c r="DB3357" s="140">
        <f t="shared" si="618"/>
        <v>0</v>
      </c>
      <c r="DS3357" s="130">
        <f>SI!BY3357</f>
        <v>175</v>
      </c>
      <c r="DZ3357" s="131">
        <f>SI!BZ3357</f>
        <v>0</v>
      </c>
    </row>
    <row r="3358" spans="1:130" hidden="1" x14ac:dyDescent="0.25">
      <c r="A3358" s="141"/>
      <c r="B3358" s="406"/>
      <c r="C3358" s="406"/>
      <c r="D3358" s="406"/>
      <c r="E3358" s="406"/>
      <c r="F3358" s="406"/>
      <c r="G3358" s="406"/>
      <c r="H3358" s="406"/>
      <c r="I3358" s="406"/>
      <c r="J3358" s="406"/>
      <c r="K3358" s="406"/>
      <c r="L3358" s="406"/>
      <c r="M3358" s="406"/>
      <c r="N3358" s="406"/>
      <c r="O3358" s="406"/>
      <c r="P3358" s="406"/>
      <c r="Q3358" s="406"/>
      <c r="R3358" s="406"/>
      <c r="S3358" s="406"/>
      <c r="T3358" s="406"/>
      <c r="U3358" s="406"/>
      <c r="V3358" s="406"/>
      <c r="W3358" s="406"/>
      <c r="X3358" s="406"/>
      <c r="Y3358" s="406"/>
      <c r="Z3358" s="406"/>
      <c r="AA3358" s="406"/>
      <c r="AB3358" s="406"/>
      <c r="AC3358" s="406"/>
      <c r="AD3358" s="406"/>
      <c r="AE3358" s="406"/>
      <c r="AF3358" s="406"/>
      <c r="AG3358" s="406"/>
      <c r="AH3358" s="406"/>
      <c r="AI3358" s="406"/>
      <c r="AJ3358" s="406"/>
      <c r="AK3358" s="406"/>
      <c r="AL3358" s="406"/>
      <c r="AM3358" s="406"/>
      <c r="AN3358" s="406"/>
      <c r="AO3358" s="406"/>
      <c r="AP3358" s="406"/>
      <c r="AQ3358" s="406"/>
      <c r="AR3358" s="406"/>
      <c r="AS3358" s="406"/>
      <c r="AT3358" s="406"/>
      <c r="AU3358" s="406"/>
      <c r="AV3358" s="406"/>
      <c r="AW3358" s="406"/>
      <c r="AX3358" s="406"/>
      <c r="AY3358" s="406"/>
      <c r="AZ3358" s="406"/>
      <c r="BA3358" s="406"/>
      <c r="BB3358" s="406"/>
      <c r="BC3358" s="406"/>
      <c r="BD3358" s="406"/>
      <c r="BE3358" s="406"/>
      <c r="BF3358" s="406"/>
      <c r="BG3358" s="406"/>
      <c r="BH3358" s="406"/>
      <c r="BI3358" s="406"/>
      <c r="BJ3358" s="406"/>
      <c r="BK3358" s="406"/>
      <c r="BL3358" s="406"/>
      <c r="BM3358" s="406"/>
      <c r="BN3358" s="406"/>
      <c r="BO3358" s="406"/>
      <c r="BP3358" s="406"/>
      <c r="BQ3358" s="406"/>
      <c r="BR3358" s="406"/>
      <c r="BS3358" s="406"/>
      <c r="BT3358" s="406"/>
      <c r="BU3358" s="406"/>
      <c r="BV3358" s="406"/>
      <c r="BW3358" s="406"/>
      <c r="BX3358" s="406"/>
      <c r="BY3358" s="406"/>
      <c r="BZ3358" s="406"/>
      <c r="CA3358" s="308"/>
      <c r="CB3358" s="3" t="str">
        <f t="shared" si="612"/>
        <v>Riadok bude skrytý.</v>
      </c>
      <c r="CC3358" s="271" t="s">
        <v>832</v>
      </c>
      <c r="CW3358" s="30">
        <f t="shared" si="619"/>
        <v>0</v>
      </c>
      <c r="CZ3358" s="30">
        <f t="shared" si="615"/>
        <v>1</v>
      </c>
      <c r="DA3358" s="30">
        <f t="shared" si="609"/>
        <v>0</v>
      </c>
      <c r="DB3358" s="140">
        <f t="shared" si="618"/>
        <v>0</v>
      </c>
      <c r="DS3358" s="130">
        <f>SI!BY3358</f>
        <v>162</v>
      </c>
      <c r="DZ3358" s="131">
        <f>SI!BZ3358</f>
        <v>0</v>
      </c>
    </row>
    <row r="3359" spans="1:130" hidden="1" x14ac:dyDescent="0.25">
      <c r="A3359" s="141"/>
      <c r="B3359" s="406"/>
      <c r="C3359" s="406"/>
      <c r="D3359" s="406"/>
      <c r="E3359" s="406"/>
      <c r="F3359" s="406"/>
      <c r="G3359" s="406"/>
      <c r="H3359" s="406"/>
      <c r="I3359" s="406"/>
      <c r="J3359" s="406"/>
      <c r="K3359" s="406"/>
      <c r="L3359" s="406"/>
      <c r="M3359" s="406"/>
      <c r="N3359" s="406"/>
      <c r="O3359" s="406"/>
      <c r="P3359" s="406"/>
      <c r="Q3359" s="406"/>
      <c r="R3359" s="406"/>
      <c r="S3359" s="406"/>
      <c r="T3359" s="406"/>
      <c r="U3359" s="406"/>
      <c r="V3359" s="406"/>
      <c r="W3359" s="406"/>
      <c r="X3359" s="406"/>
      <c r="Y3359" s="406"/>
      <c r="Z3359" s="406"/>
      <c r="AA3359" s="406"/>
      <c r="AB3359" s="406"/>
      <c r="AC3359" s="406"/>
      <c r="AD3359" s="406"/>
      <c r="AE3359" s="406"/>
      <c r="AF3359" s="406"/>
      <c r="AG3359" s="406"/>
      <c r="AH3359" s="406"/>
      <c r="AI3359" s="406"/>
      <c r="AJ3359" s="406"/>
      <c r="AK3359" s="406"/>
      <c r="AL3359" s="406"/>
      <c r="AM3359" s="406"/>
      <c r="AN3359" s="406"/>
      <c r="AO3359" s="406"/>
      <c r="AP3359" s="406"/>
      <c r="AQ3359" s="406"/>
      <c r="AR3359" s="406"/>
      <c r="AS3359" s="406"/>
      <c r="AT3359" s="406"/>
      <c r="AU3359" s="406"/>
      <c r="AV3359" s="406"/>
      <c r="AW3359" s="406"/>
      <c r="AX3359" s="406"/>
      <c r="AY3359" s="406"/>
      <c r="AZ3359" s="406"/>
      <c r="BA3359" s="406"/>
      <c r="BB3359" s="406"/>
      <c r="BC3359" s="406"/>
      <c r="BD3359" s="406"/>
      <c r="BE3359" s="406"/>
      <c r="BF3359" s="406"/>
      <c r="BG3359" s="406"/>
      <c r="BH3359" s="406"/>
      <c r="BI3359" s="406"/>
      <c r="BJ3359" s="406"/>
      <c r="BK3359" s="406"/>
      <c r="BL3359" s="406"/>
      <c r="BM3359" s="406"/>
      <c r="BN3359" s="406"/>
      <c r="BO3359" s="406"/>
      <c r="BP3359" s="406"/>
      <c r="BQ3359" s="406"/>
      <c r="BR3359" s="406"/>
      <c r="BS3359" s="406"/>
      <c r="BT3359" s="406"/>
      <c r="BU3359" s="406"/>
      <c r="BV3359" s="406"/>
      <c r="BW3359" s="406"/>
      <c r="BX3359" s="406"/>
      <c r="BY3359" s="406"/>
      <c r="BZ3359" s="406"/>
      <c r="CA3359" s="308"/>
      <c r="CB3359" s="3" t="str">
        <f t="shared" si="612"/>
        <v>Riadok bude skrytý.</v>
      </c>
      <c r="CC3359" s="271" t="s">
        <v>832</v>
      </c>
      <c r="CW3359" s="30">
        <f t="shared" si="619"/>
        <v>0</v>
      </c>
      <c r="CZ3359" s="30">
        <f t="shared" si="615"/>
        <v>1</v>
      </c>
      <c r="DA3359" s="30">
        <f t="shared" si="609"/>
        <v>0</v>
      </c>
      <c r="DB3359" s="140">
        <f t="shared" si="618"/>
        <v>0</v>
      </c>
      <c r="DS3359" s="130">
        <f>SI!BY3359</f>
        <v>931</v>
      </c>
      <c r="DZ3359" s="131">
        <f>SI!BZ3359</f>
        <v>0</v>
      </c>
    </row>
    <row r="3360" spans="1:130" hidden="1" x14ac:dyDescent="0.25">
      <c r="A3360" s="141"/>
      <c r="B3360" s="406"/>
      <c r="C3360" s="406"/>
      <c r="D3360" s="406"/>
      <c r="E3360" s="406"/>
      <c r="F3360" s="406"/>
      <c r="G3360" s="406"/>
      <c r="H3360" s="406"/>
      <c r="I3360" s="406"/>
      <c r="J3360" s="406"/>
      <c r="K3360" s="406"/>
      <c r="L3360" s="406"/>
      <c r="M3360" s="406"/>
      <c r="N3360" s="406"/>
      <c r="O3360" s="406"/>
      <c r="P3360" s="406"/>
      <c r="Q3360" s="406"/>
      <c r="R3360" s="406"/>
      <c r="S3360" s="406"/>
      <c r="T3360" s="406"/>
      <c r="U3360" s="406"/>
      <c r="V3360" s="406"/>
      <c r="W3360" s="406"/>
      <c r="X3360" s="406"/>
      <c r="Y3360" s="406"/>
      <c r="Z3360" s="406"/>
      <c r="AA3360" s="406"/>
      <c r="AB3360" s="406"/>
      <c r="AC3360" s="406"/>
      <c r="AD3360" s="406"/>
      <c r="AE3360" s="406"/>
      <c r="AF3360" s="406"/>
      <c r="AG3360" s="406"/>
      <c r="AH3360" s="406"/>
      <c r="AI3360" s="406"/>
      <c r="AJ3360" s="406"/>
      <c r="AK3360" s="406"/>
      <c r="AL3360" s="406"/>
      <c r="AM3360" s="406"/>
      <c r="AN3360" s="406"/>
      <c r="AO3360" s="406"/>
      <c r="AP3360" s="406"/>
      <c r="AQ3360" s="406"/>
      <c r="AR3360" s="406"/>
      <c r="AS3360" s="406"/>
      <c r="AT3360" s="406"/>
      <c r="AU3360" s="406"/>
      <c r="AV3360" s="406"/>
      <c r="AW3360" s="406"/>
      <c r="AX3360" s="406"/>
      <c r="AY3360" s="406"/>
      <c r="AZ3360" s="406"/>
      <c r="BA3360" s="406"/>
      <c r="BB3360" s="406"/>
      <c r="BC3360" s="406"/>
      <c r="BD3360" s="406"/>
      <c r="BE3360" s="406"/>
      <c r="BF3360" s="406"/>
      <c r="BG3360" s="406"/>
      <c r="BH3360" s="406"/>
      <c r="BI3360" s="406"/>
      <c r="BJ3360" s="406"/>
      <c r="BK3360" s="406"/>
      <c r="BL3360" s="406"/>
      <c r="BM3360" s="406"/>
      <c r="BN3360" s="406"/>
      <c r="BO3360" s="406"/>
      <c r="BP3360" s="406"/>
      <c r="BQ3360" s="406"/>
      <c r="BR3360" s="406"/>
      <c r="BS3360" s="406"/>
      <c r="BT3360" s="406"/>
      <c r="BU3360" s="406"/>
      <c r="BV3360" s="406"/>
      <c r="BW3360" s="406"/>
      <c r="BX3360" s="406"/>
      <c r="BY3360" s="406"/>
      <c r="BZ3360" s="406"/>
      <c r="CA3360" s="308"/>
      <c r="CB3360" s="3" t="str">
        <f t="shared" si="612"/>
        <v>Riadok bude skrytý.</v>
      </c>
      <c r="CC3360" s="271" t="s">
        <v>832</v>
      </c>
      <c r="CW3360" s="30">
        <f t="shared" si="619"/>
        <v>0</v>
      </c>
      <c r="CZ3360" s="30">
        <f t="shared" si="615"/>
        <v>1</v>
      </c>
      <c r="DA3360" s="30">
        <f t="shared" si="609"/>
        <v>0</v>
      </c>
      <c r="DB3360" s="140">
        <f t="shared" si="618"/>
        <v>0</v>
      </c>
      <c r="DS3360" s="130">
        <f>SI!BY3360</f>
        <v>177</v>
      </c>
      <c r="DZ3360" s="131">
        <f>SI!BZ3360</f>
        <v>0</v>
      </c>
    </row>
    <row r="3361" spans="1:130" hidden="1" x14ac:dyDescent="0.25">
      <c r="A3361" s="141"/>
      <c r="B3361" s="406"/>
      <c r="C3361" s="406"/>
      <c r="D3361" s="406"/>
      <c r="E3361" s="406"/>
      <c r="F3361" s="406"/>
      <c r="G3361" s="406"/>
      <c r="H3361" s="406"/>
      <c r="I3361" s="406"/>
      <c r="J3361" s="406"/>
      <c r="K3361" s="406"/>
      <c r="L3361" s="406"/>
      <c r="M3361" s="406"/>
      <c r="N3361" s="406"/>
      <c r="O3361" s="406"/>
      <c r="P3361" s="406"/>
      <c r="Q3361" s="406"/>
      <c r="R3361" s="406"/>
      <c r="S3361" s="406"/>
      <c r="T3361" s="406"/>
      <c r="U3361" s="406"/>
      <c r="V3361" s="406"/>
      <c r="W3361" s="406"/>
      <c r="X3361" s="406"/>
      <c r="Y3361" s="406"/>
      <c r="Z3361" s="406"/>
      <c r="AA3361" s="406"/>
      <c r="AB3361" s="406"/>
      <c r="AC3361" s="406"/>
      <c r="AD3361" s="406"/>
      <c r="AE3361" s="406"/>
      <c r="AF3361" s="406"/>
      <c r="AG3361" s="406"/>
      <c r="AH3361" s="406"/>
      <c r="AI3361" s="406"/>
      <c r="AJ3361" s="406"/>
      <c r="AK3361" s="406"/>
      <c r="AL3361" s="406"/>
      <c r="AM3361" s="406"/>
      <c r="AN3361" s="406"/>
      <c r="AO3361" s="406"/>
      <c r="AP3361" s="406"/>
      <c r="AQ3361" s="406"/>
      <c r="AR3361" s="406"/>
      <c r="AS3361" s="406"/>
      <c r="AT3361" s="406"/>
      <c r="AU3361" s="406"/>
      <c r="AV3361" s="406"/>
      <c r="AW3361" s="406"/>
      <c r="AX3361" s="406"/>
      <c r="AY3361" s="406"/>
      <c r="AZ3361" s="406"/>
      <c r="BA3361" s="406"/>
      <c r="BB3361" s="406"/>
      <c r="BC3361" s="406"/>
      <c r="BD3361" s="406"/>
      <c r="BE3361" s="406"/>
      <c r="BF3361" s="406"/>
      <c r="BG3361" s="406"/>
      <c r="BH3361" s="406"/>
      <c r="BI3361" s="406"/>
      <c r="BJ3361" s="406"/>
      <c r="BK3361" s="406"/>
      <c r="BL3361" s="406"/>
      <c r="BM3361" s="406"/>
      <c r="BN3361" s="406"/>
      <c r="BO3361" s="406"/>
      <c r="BP3361" s="406"/>
      <c r="BQ3361" s="406"/>
      <c r="BR3361" s="406"/>
      <c r="BS3361" s="406"/>
      <c r="BT3361" s="406"/>
      <c r="BU3361" s="406"/>
      <c r="BV3361" s="406"/>
      <c r="BW3361" s="406"/>
      <c r="BX3361" s="406"/>
      <c r="BY3361" s="406"/>
      <c r="BZ3361" s="406"/>
      <c r="CA3361" s="308"/>
      <c r="CB3361" s="3" t="str">
        <f t="shared" si="612"/>
        <v>Riadok bude skrytý.</v>
      </c>
      <c r="CC3361" s="271" t="s">
        <v>832</v>
      </c>
      <c r="CW3361" s="30">
        <f t="shared" si="619"/>
        <v>0</v>
      </c>
      <c r="CZ3361" s="30">
        <f t="shared" si="615"/>
        <v>1</v>
      </c>
      <c r="DA3361" s="30">
        <f t="shared" si="609"/>
        <v>0</v>
      </c>
      <c r="DB3361" s="140">
        <f t="shared" si="618"/>
        <v>0</v>
      </c>
      <c r="DS3361" s="130">
        <f>SI!BY3361</f>
        <v>263</v>
      </c>
      <c r="DZ3361" s="131">
        <f>SI!BZ3361</f>
        <v>0</v>
      </c>
    </row>
    <row r="3362" spans="1:130" hidden="1" x14ac:dyDescent="0.25">
      <c r="A3362" s="141"/>
      <c r="B3362" s="406"/>
      <c r="C3362" s="406"/>
      <c r="D3362" s="406"/>
      <c r="E3362" s="406"/>
      <c r="F3362" s="406"/>
      <c r="G3362" s="406"/>
      <c r="H3362" s="406"/>
      <c r="I3362" s="406"/>
      <c r="J3362" s="406"/>
      <c r="K3362" s="406"/>
      <c r="L3362" s="406"/>
      <c r="M3362" s="406"/>
      <c r="N3362" s="406"/>
      <c r="O3362" s="406"/>
      <c r="P3362" s="406"/>
      <c r="Q3362" s="406"/>
      <c r="R3362" s="406"/>
      <c r="S3362" s="406"/>
      <c r="T3362" s="406"/>
      <c r="U3362" s="406"/>
      <c r="V3362" s="406"/>
      <c r="W3362" s="406"/>
      <c r="X3362" s="406"/>
      <c r="Y3362" s="406"/>
      <c r="Z3362" s="406"/>
      <c r="AA3362" s="406"/>
      <c r="AB3362" s="406"/>
      <c r="AC3362" s="406"/>
      <c r="AD3362" s="406"/>
      <c r="AE3362" s="406"/>
      <c r="AF3362" s="406"/>
      <c r="AG3362" s="406"/>
      <c r="AH3362" s="406"/>
      <c r="AI3362" s="406"/>
      <c r="AJ3362" s="406"/>
      <c r="AK3362" s="406"/>
      <c r="AL3362" s="406"/>
      <c r="AM3362" s="406"/>
      <c r="AN3362" s="406"/>
      <c r="AO3362" s="406"/>
      <c r="AP3362" s="406"/>
      <c r="AQ3362" s="406"/>
      <c r="AR3362" s="406"/>
      <c r="AS3362" s="406"/>
      <c r="AT3362" s="406"/>
      <c r="AU3362" s="406"/>
      <c r="AV3362" s="406"/>
      <c r="AW3362" s="406"/>
      <c r="AX3362" s="406"/>
      <c r="AY3362" s="406"/>
      <c r="AZ3362" s="406"/>
      <c r="BA3362" s="406"/>
      <c r="BB3362" s="406"/>
      <c r="BC3362" s="406"/>
      <c r="BD3362" s="406"/>
      <c r="BE3362" s="406"/>
      <c r="BF3362" s="406"/>
      <c r="BG3362" s="406"/>
      <c r="BH3362" s="406"/>
      <c r="BI3362" s="406"/>
      <c r="BJ3362" s="406"/>
      <c r="BK3362" s="406"/>
      <c r="BL3362" s="406"/>
      <c r="BM3362" s="406"/>
      <c r="BN3362" s="406"/>
      <c r="BO3362" s="406"/>
      <c r="BP3362" s="406"/>
      <c r="BQ3362" s="406"/>
      <c r="BR3362" s="406"/>
      <c r="BS3362" s="406"/>
      <c r="BT3362" s="406"/>
      <c r="BU3362" s="406"/>
      <c r="BV3362" s="406"/>
      <c r="BW3362" s="406"/>
      <c r="BX3362" s="406"/>
      <c r="BY3362" s="406"/>
      <c r="BZ3362" s="406"/>
      <c r="CA3362" s="308"/>
      <c r="CB3362" s="3" t="str">
        <f t="shared" si="612"/>
        <v>Riadok bude skrytý.</v>
      </c>
      <c r="CC3362" s="271" t="s">
        <v>832</v>
      </c>
      <c r="CW3362" s="30">
        <f t="shared" si="619"/>
        <v>0</v>
      </c>
      <c r="CZ3362" s="30">
        <f t="shared" si="615"/>
        <v>1</v>
      </c>
      <c r="DA3362" s="30">
        <f t="shared" si="609"/>
        <v>0</v>
      </c>
      <c r="DB3362" s="140">
        <f t="shared" si="618"/>
        <v>0</v>
      </c>
      <c r="DS3362" s="130">
        <f>SI!BY3362</f>
        <v>140</v>
      </c>
      <c r="DZ3362" s="131">
        <f>SI!BZ3362</f>
        <v>0</v>
      </c>
    </row>
    <row r="3363" spans="1:130" hidden="1" x14ac:dyDescent="0.25">
      <c r="A3363" s="141"/>
      <c r="B3363" s="406"/>
      <c r="C3363" s="406"/>
      <c r="D3363" s="406"/>
      <c r="E3363" s="406"/>
      <c r="F3363" s="406"/>
      <c r="G3363" s="406"/>
      <c r="H3363" s="406"/>
      <c r="I3363" s="406"/>
      <c r="J3363" s="406"/>
      <c r="K3363" s="406"/>
      <c r="L3363" s="406"/>
      <c r="M3363" s="406"/>
      <c r="N3363" s="406"/>
      <c r="O3363" s="406"/>
      <c r="P3363" s="406"/>
      <c r="Q3363" s="406"/>
      <c r="R3363" s="406"/>
      <c r="S3363" s="406"/>
      <c r="T3363" s="406"/>
      <c r="U3363" s="406"/>
      <c r="V3363" s="406"/>
      <c r="W3363" s="406"/>
      <c r="X3363" s="406"/>
      <c r="Y3363" s="406"/>
      <c r="Z3363" s="406"/>
      <c r="AA3363" s="406"/>
      <c r="AB3363" s="406"/>
      <c r="AC3363" s="406"/>
      <c r="AD3363" s="406"/>
      <c r="AE3363" s="406"/>
      <c r="AF3363" s="406"/>
      <c r="AG3363" s="406"/>
      <c r="AH3363" s="406"/>
      <c r="AI3363" s="406"/>
      <c r="AJ3363" s="406"/>
      <c r="AK3363" s="406"/>
      <c r="AL3363" s="406"/>
      <c r="AM3363" s="406"/>
      <c r="AN3363" s="406"/>
      <c r="AO3363" s="406"/>
      <c r="AP3363" s="406"/>
      <c r="AQ3363" s="406"/>
      <c r="AR3363" s="406"/>
      <c r="AS3363" s="406"/>
      <c r="AT3363" s="406"/>
      <c r="AU3363" s="406"/>
      <c r="AV3363" s="406"/>
      <c r="AW3363" s="406"/>
      <c r="AX3363" s="406"/>
      <c r="AY3363" s="406"/>
      <c r="AZ3363" s="406"/>
      <c r="BA3363" s="406"/>
      <c r="BB3363" s="406"/>
      <c r="BC3363" s="406"/>
      <c r="BD3363" s="406"/>
      <c r="BE3363" s="406"/>
      <c r="BF3363" s="406"/>
      <c r="BG3363" s="406"/>
      <c r="BH3363" s="406"/>
      <c r="BI3363" s="406"/>
      <c r="BJ3363" s="406"/>
      <c r="BK3363" s="406"/>
      <c r="BL3363" s="406"/>
      <c r="BM3363" s="406"/>
      <c r="BN3363" s="406"/>
      <c r="BO3363" s="406"/>
      <c r="BP3363" s="406"/>
      <c r="BQ3363" s="406"/>
      <c r="BR3363" s="406"/>
      <c r="BS3363" s="406"/>
      <c r="BT3363" s="406"/>
      <c r="BU3363" s="406"/>
      <c r="BV3363" s="406"/>
      <c r="BW3363" s="406"/>
      <c r="BX3363" s="406"/>
      <c r="BY3363" s="406"/>
      <c r="BZ3363" s="406"/>
      <c r="CA3363" s="308"/>
      <c r="CB3363" s="3" t="str">
        <f t="shared" si="612"/>
        <v>Riadok bude skrytý.</v>
      </c>
      <c r="CC3363" s="271" t="s">
        <v>832</v>
      </c>
      <c r="CW3363" s="30">
        <f t="shared" si="619"/>
        <v>0</v>
      </c>
      <c r="CZ3363" s="30">
        <f t="shared" si="615"/>
        <v>1</v>
      </c>
      <c r="DA3363" s="30">
        <f t="shared" si="609"/>
        <v>0</v>
      </c>
      <c r="DB3363" s="140">
        <f t="shared" si="618"/>
        <v>0</v>
      </c>
      <c r="DS3363" s="130">
        <f>SI!BY3363</f>
        <v>369</v>
      </c>
      <c r="DZ3363" s="131">
        <f>SI!BZ3363</f>
        <v>0</v>
      </c>
    </row>
    <row r="3364" spans="1:130" hidden="1" x14ac:dyDescent="0.25">
      <c r="A3364" s="141"/>
      <c r="B3364" s="406"/>
      <c r="C3364" s="406"/>
      <c r="D3364" s="406"/>
      <c r="E3364" s="406"/>
      <c r="F3364" s="406"/>
      <c r="G3364" s="406"/>
      <c r="H3364" s="406"/>
      <c r="I3364" s="406"/>
      <c r="J3364" s="406"/>
      <c r="K3364" s="406"/>
      <c r="L3364" s="406"/>
      <c r="M3364" s="406"/>
      <c r="N3364" s="406"/>
      <c r="O3364" s="406"/>
      <c r="P3364" s="406"/>
      <c r="Q3364" s="406"/>
      <c r="R3364" s="406"/>
      <c r="S3364" s="406"/>
      <c r="T3364" s="406"/>
      <c r="U3364" s="406"/>
      <c r="V3364" s="406"/>
      <c r="W3364" s="406"/>
      <c r="X3364" s="406"/>
      <c r="Y3364" s="406"/>
      <c r="Z3364" s="406"/>
      <c r="AA3364" s="406"/>
      <c r="AB3364" s="406"/>
      <c r="AC3364" s="406"/>
      <c r="AD3364" s="406"/>
      <c r="AE3364" s="406"/>
      <c r="AF3364" s="406"/>
      <c r="AG3364" s="406"/>
      <c r="AH3364" s="406"/>
      <c r="AI3364" s="406"/>
      <c r="AJ3364" s="406"/>
      <c r="AK3364" s="406"/>
      <c r="AL3364" s="406"/>
      <c r="AM3364" s="406"/>
      <c r="AN3364" s="406"/>
      <c r="AO3364" s="406"/>
      <c r="AP3364" s="406"/>
      <c r="AQ3364" s="406"/>
      <c r="AR3364" s="406"/>
      <c r="AS3364" s="406"/>
      <c r="AT3364" s="406"/>
      <c r="AU3364" s="406"/>
      <c r="AV3364" s="406"/>
      <c r="AW3364" s="406"/>
      <c r="AX3364" s="406"/>
      <c r="AY3364" s="406"/>
      <c r="AZ3364" s="406"/>
      <c r="BA3364" s="406"/>
      <c r="BB3364" s="406"/>
      <c r="BC3364" s="406"/>
      <c r="BD3364" s="406"/>
      <c r="BE3364" s="406"/>
      <c r="BF3364" s="406"/>
      <c r="BG3364" s="406"/>
      <c r="BH3364" s="406"/>
      <c r="BI3364" s="406"/>
      <c r="BJ3364" s="406"/>
      <c r="BK3364" s="406"/>
      <c r="BL3364" s="406"/>
      <c r="BM3364" s="406"/>
      <c r="BN3364" s="406"/>
      <c r="BO3364" s="406"/>
      <c r="BP3364" s="406"/>
      <c r="BQ3364" s="406"/>
      <c r="BR3364" s="406"/>
      <c r="BS3364" s="406"/>
      <c r="BT3364" s="406"/>
      <c r="BU3364" s="406"/>
      <c r="BV3364" s="406"/>
      <c r="BW3364" s="406"/>
      <c r="BX3364" s="406"/>
      <c r="BY3364" s="406"/>
      <c r="BZ3364" s="406"/>
      <c r="CA3364" s="308"/>
      <c r="CB3364" s="3" t="str">
        <f t="shared" si="612"/>
        <v>Riadok bude skrytý.</v>
      </c>
      <c r="CC3364" s="271" t="s">
        <v>832</v>
      </c>
      <c r="CW3364" s="30">
        <f t="shared" si="619"/>
        <v>0</v>
      </c>
      <c r="CZ3364" s="30">
        <f t="shared" si="615"/>
        <v>1</v>
      </c>
      <c r="DA3364" s="30">
        <f t="shared" si="609"/>
        <v>0</v>
      </c>
      <c r="DB3364" s="140">
        <f t="shared" si="618"/>
        <v>0</v>
      </c>
      <c r="DS3364" s="130">
        <f>SI!BY3364</f>
        <v>166</v>
      </c>
      <c r="DZ3364" s="131">
        <f>SI!BZ3364</f>
        <v>0</v>
      </c>
    </row>
    <row r="3365" spans="1:130" x14ac:dyDescent="0.25">
      <c r="A3365" s="141"/>
      <c r="CA3365" s="142"/>
      <c r="CB3365" s="3" t="str">
        <f t="shared" si="612"/>
        <v>Riadok bude vidieť.</v>
      </c>
      <c r="CC3365" s="271" t="s">
        <v>832</v>
      </c>
      <c r="CW3365" s="49">
        <v>1</v>
      </c>
      <c r="CZ3365" s="30">
        <f t="shared" si="615"/>
        <v>1</v>
      </c>
      <c r="DA3365" s="30">
        <f t="shared" si="609"/>
        <v>1</v>
      </c>
      <c r="DB3365" s="140">
        <f t="shared" si="618"/>
        <v>1</v>
      </c>
      <c r="DS3365" s="130">
        <f>SI!BY3365</f>
        <v>1161</v>
      </c>
      <c r="DZ3365" s="131">
        <f>SI!BZ3365</f>
        <v>0</v>
      </c>
    </row>
    <row r="3366" spans="1:130" ht="17" hidden="1" thickBot="1" x14ac:dyDescent="0.35">
      <c r="A3366" s="141"/>
      <c r="B3366" s="21"/>
      <c r="C3366" s="268"/>
      <c r="D3366" s="268"/>
      <c r="E3366" s="22" t="s">
        <v>431</v>
      </c>
      <c r="F3366" s="268"/>
      <c r="G3366" s="125"/>
      <c r="H3366" s="22"/>
      <c r="I3366" s="268"/>
      <c r="J3366" s="268"/>
      <c r="K3366" s="268"/>
      <c r="L3366" s="268"/>
      <c r="M3366" s="268"/>
      <c r="N3366" s="268"/>
      <c r="O3366" s="268"/>
      <c r="P3366" s="268"/>
      <c r="Q3366" s="268"/>
      <c r="R3366" s="268"/>
      <c r="S3366" s="268"/>
      <c r="T3366" s="268"/>
      <c r="U3366" s="268"/>
      <c r="V3366" s="268"/>
      <c r="W3366" s="268"/>
      <c r="X3366" s="268"/>
      <c r="Y3366" s="268"/>
      <c r="Z3366" s="268"/>
      <c r="AA3366" s="268"/>
      <c r="AB3366" s="268"/>
      <c r="AC3366" s="268"/>
      <c r="AD3366" s="268"/>
      <c r="AE3366" s="268"/>
      <c r="AF3366" s="268"/>
      <c r="AG3366" s="268"/>
      <c r="AH3366" s="268"/>
      <c r="AI3366" s="268"/>
      <c r="AJ3366" s="268"/>
      <c r="AK3366" s="268"/>
      <c r="AL3366" s="268"/>
      <c r="AM3366" s="268"/>
      <c r="AN3366" s="268"/>
      <c r="AO3366" s="268"/>
      <c r="AP3366" s="268"/>
      <c r="AQ3366" s="268"/>
      <c r="AR3366" s="268"/>
      <c r="AS3366" s="268"/>
      <c r="AT3366" s="268"/>
      <c r="AU3366" s="268"/>
      <c r="AV3366" s="268"/>
      <c r="AW3366" s="268"/>
      <c r="AX3366" s="268"/>
      <c r="AY3366" s="268"/>
      <c r="AZ3366" s="268"/>
      <c r="BA3366" s="268"/>
      <c r="BB3366" s="268"/>
      <c r="BC3366" s="268"/>
      <c r="BD3366" s="932" t="str">
        <f>+SI!J2</f>
        <v>Resumo s.r.o.</v>
      </c>
      <c r="BE3366" s="932"/>
      <c r="BF3366" s="932"/>
      <c r="BG3366" s="932"/>
      <c r="BH3366" s="932"/>
      <c r="BI3366" s="932"/>
      <c r="BJ3366" s="932"/>
      <c r="BK3366" s="932"/>
      <c r="BL3366" s="932"/>
      <c r="BM3366" s="932"/>
      <c r="BN3366" s="932"/>
      <c r="BO3366" s="932"/>
      <c r="BP3366" s="932"/>
      <c r="BQ3366" s="932"/>
      <c r="BR3366" s="932"/>
      <c r="BS3366" s="932"/>
      <c r="BT3366" s="932"/>
      <c r="BU3366" s="932"/>
      <c r="BV3366" s="932"/>
      <c r="BW3366" s="932"/>
      <c r="BX3366" s="932"/>
      <c r="BY3366" s="932"/>
      <c r="BZ3366" s="933"/>
      <c r="CA3366" s="265" t="s">
        <v>773</v>
      </c>
      <c r="CB3366" s="3" t="str">
        <f t="shared" si="612"/>
        <v>Riadok bude skrytý.</v>
      </c>
      <c r="CW3366" s="49">
        <v>1</v>
      </c>
      <c r="CZ3366" s="30">
        <f t="shared" si="615"/>
        <v>1</v>
      </c>
      <c r="DA3366" s="30">
        <f t="shared" si="609"/>
        <v>1</v>
      </c>
      <c r="DB3366" s="2">
        <f t="shared" ref="DB3366:DB3429" si="620">+IF($CD$1="malé",0,DA3366)</f>
        <v>0</v>
      </c>
      <c r="DS3366" s="130">
        <f>SI!BY3366</f>
        <v>163</v>
      </c>
      <c r="DZ3366" s="131">
        <f>SI!BZ3366</f>
        <v>0</v>
      </c>
    </row>
    <row r="3367" spans="1:130" ht="16.3" hidden="1" x14ac:dyDescent="0.3">
      <c r="A3367" s="141"/>
      <c r="B3367" s="16"/>
      <c r="G3367" s="16"/>
      <c r="H3367" s="16"/>
      <c r="CA3367" s="142"/>
      <c r="CB3367" s="3" t="str">
        <f t="shared" si="612"/>
        <v>Riadok bude skrytý.</v>
      </c>
      <c r="CW3367" s="49">
        <v>1</v>
      </c>
      <c r="CZ3367" s="30">
        <f t="shared" si="615"/>
        <v>1</v>
      </c>
      <c r="DA3367" s="30">
        <f t="shared" si="609"/>
        <v>1</v>
      </c>
      <c r="DB3367" s="2">
        <f t="shared" si="620"/>
        <v>0</v>
      </c>
      <c r="DS3367" s="130">
        <f>SI!BY3367</f>
        <v>186</v>
      </c>
      <c r="DZ3367" s="131">
        <f>SI!BZ3367</f>
        <v>0</v>
      </c>
    </row>
    <row r="3368" spans="1:130" hidden="1" x14ac:dyDescent="0.25">
      <c r="A3368" s="141"/>
      <c r="B3368" s="137" t="str">
        <f>+IF($Q$52&lt;&gt;"",IF((CODE(MID($Q$52,1,1)))*(INT((PI()-3.1415)*10^5))*0+(LEN(SI!J5)-LEN(SI!J6))=DS3368,"Prehľad o pohybe vlastného imania v priebehu účtovného obdobia je uvedený v tabuľke:","NEPOVOLENÉ POUŽITIE!"),"NEPOVOLENÉ POUŽITIE!")</f>
        <v>Prehľad o pohybe vlastného imania v priebehu účtovného obdobia je uvedený v tabuľke:</v>
      </c>
      <c r="CA3368" s="142"/>
      <c r="CB3368" s="3" t="str">
        <f t="shared" si="612"/>
        <v>Riadok bude skrytý.</v>
      </c>
      <c r="CW3368" s="134">
        <f>+IF(SUM(CW3374:CW3392)=0,0,1)</f>
        <v>0</v>
      </c>
      <c r="CZ3368" s="30">
        <f t="shared" si="615"/>
        <v>1</v>
      </c>
      <c r="DA3368" s="30">
        <f t="shared" si="609"/>
        <v>0</v>
      </c>
      <c r="DB3368" s="2">
        <f t="shared" si="620"/>
        <v>0</v>
      </c>
      <c r="DS3368" s="130">
        <f>SI!BY3368</f>
        <v>10</v>
      </c>
      <c r="DZ3368" s="131">
        <f>SI!BZ3368</f>
        <v>0</v>
      </c>
    </row>
    <row r="3369" spans="1:130" hidden="1" x14ac:dyDescent="0.25">
      <c r="A3369" s="141"/>
      <c r="CA3369" s="270"/>
      <c r="CB3369" s="3" t="str">
        <f t="shared" si="612"/>
        <v>Riadok bude skrytý.</v>
      </c>
      <c r="CW3369" s="134">
        <f>+IF(SUM(CW3374:CW3392)=0,0,1)</f>
        <v>0</v>
      </c>
      <c r="CZ3369" s="30">
        <f t="shared" si="615"/>
        <v>1</v>
      </c>
      <c r="DA3369" s="30">
        <f t="shared" ref="DA3369:DA3432" si="621">+IF(CW3369+CX3369+CY3369=0,0,IF(CZ3369=0,0,1))</f>
        <v>0</v>
      </c>
      <c r="DB3369" s="2">
        <f t="shared" si="620"/>
        <v>0</v>
      </c>
      <c r="DS3369" s="130">
        <f>SI!BY3369</f>
        <v>134</v>
      </c>
      <c r="DZ3369" s="131">
        <f>SI!BZ3369</f>
        <v>0</v>
      </c>
    </row>
    <row r="3370" spans="1:130" ht="14.95" hidden="1" customHeight="1" x14ac:dyDescent="0.25">
      <c r="A3370" s="141"/>
      <c r="B3370" s="439" t="s">
        <v>430</v>
      </c>
      <c r="C3370" s="440"/>
      <c r="D3370" s="440"/>
      <c r="E3370" s="440"/>
      <c r="F3370" s="440"/>
      <c r="G3370" s="440"/>
      <c r="H3370" s="440"/>
      <c r="I3370" s="440"/>
      <c r="J3370" s="440"/>
      <c r="K3370" s="440"/>
      <c r="L3370" s="440"/>
      <c r="M3370" s="440"/>
      <c r="N3370" s="440"/>
      <c r="O3370" s="440"/>
      <c r="P3370" s="440"/>
      <c r="Q3370" s="440"/>
      <c r="R3370" s="440"/>
      <c r="S3370" s="441"/>
      <c r="T3370" s="650">
        <f>+AJ141</f>
        <v>2021</v>
      </c>
      <c r="U3370" s="391"/>
      <c r="V3370" s="391"/>
      <c r="W3370" s="391"/>
      <c r="X3370" s="391"/>
      <c r="Y3370" s="391"/>
      <c r="Z3370" s="391"/>
      <c r="AA3370" s="391"/>
      <c r="AB3370" s="391"/>
      <c r="AC3370" s="391"/>
      <c r="AD3370" s="391"/>
      <c r="AE3370" s="391"/>
      <c r="AF3370" s="391"/>
      <c r="AG3370" s="391"/>
      <c r="AH3370" s="391"/>
      <c r="AI3370" s="391"/>
      <c r="AJ3370" s="391"/>
      <c r="AK3370" s="391"/>
      <c r="AL3370" s="391"/>
      <c r="AM3370" s="391"/>
      <c r="AN3370" s="391"/>
      <c r="AO3370" s="391"/>
      <c r="AP3370" s="391"/>
      <c r="AQ3370" s="391"/>
      <c r="AR3370" s="391"/>
      <c r="AS3370" s="391"/>
      <c r="AT3370" s="391"/>
      <c r="AU3370" s="391"/>
      <c r="AV3370" s="391"/>
      <c r="AW3370" s="391"/>
      <c r="AX3370" s="391"/>
      <c r="AY3370" s="391"/>
      <c r="AZ3370" s="391"/>
      <c r="BA3370" s="391"/>
      <c r="BB3370" s="391"/>
      <c r="BC3370" s="391"/>
      <c r="BD3370" s="391"/>
      <c r="BE3370" s="391"/>
      <c r="BF3370" s="391"/>
      <c r="BG3370" s="391"/>
      <c r="BH3370" s="391"/>
      <c r="BI3370" s="391"/>
      <c r="BJ3370" s="391"/>
      <c r="BK3370" s="391"/>
      <c r="BL3370" s="391"/>
      <c r="BM3370" s="391"/>
      <c r="BN3370" s="391"/>
      <c r="BO3370" s="391"/>
      <c r="BP3370" s="391"/>
      <c r="BQ3370" s="391"/>
      <c r="BR3370" s="391"/>
      <c r="BS3370" s="391"/>
      <c r="BT3370" s="391"/>
      <c r="BU3370" s="391"/>
      <c r="BV3370" s="391"/>
      <c r="BW3370" s="391"/>
      <c r="BX3370" s="391"/>
      <c r="BY3370" s="391"/>
      <c r="BZ3370" s="392"/>
      <c r="CA3370" s="265" t="s">
        <v>773</v>
      </c>
      <c r="CB3370" s="3" t="str">
        <f t="shared" si="612"/>
        <v>Riadok bude skrytý.</v>
      </c>
      <c r="CD3370" s="4"/>
      <c r="CW3370" s="134">
        <f>+IF(SUM(CW3374:CW3392)=0,0,1)</f>
        <v>0</v>
      </c>
      <c r="CZ3370" s="30">
        <f t="shared" si="615"/>
        <v>1</v>
      </c>
      <c r="DA3370" s="30">
        <f t="shared" si="621"/>
        <v>0</v>
      </c>
      <c r="DB3370" s="2">
        <f t="shared" si="620"/>
        <v>0</v>
      </c>
      <c r="DS3370" s="130">
        <f>SI!BY3370</f>
        <v>151</v>
      </c>
      <c r="DZ3370" s="131">
        <f>SI!BZ3370</f>
        <v>0</v>
      </c>
    </row>
    <row r="3371" spans="1:130" ht="14.95" hidden="1" customHeight="1" x14ac:dyDescent="0.25">
      <c r="A3371" s="141"/>
      <c r="B3371" s="1019"/>
      <c r="C3371" s="1020"/>
      <c r="D3371" s="1020"/>
      <c r="E3371" s="1020"/>
      <c r="F3371" s="1020"/>
      <c r="G3371" s="1020"/>
      <c r="H3371" s="1020"/>
      <c r="I3371" s="1020"/>
      <c r="J3371" s="1020"/>
      <c r="K3371" s="1020"/>
      <c r="L3371" s="1020"/>
      <c r="M3371" s="1020"/>
      <c r="N3371" s="1020"/>
      <c r="O3371" s="1020"/>
      <c r="P3371" s="1020"/>
      <c r="Q3371" s="1020"/>
      <c r="R3371" s="1020"/>
      <c r="S3371" s="1020"/>
      <c r="T3371" s="543" t="s">
        <v>112</v>
      </c>
      <c r="U3371" s="544"/>
      <c r="V3371" s="544"/>
      <c r="W3371" s="544"/>
      <c r="X3371" s="544"/>
      <c r="Y3371" s="544"/>
      <c r="Z3371" s="544"/>
      <c r="AA3371" s="544"/>
      <c r="AB3371" s="544"/>
      <c r="AC3371" s="544"/>
      <c r="AD3371" s="544"/>
      <c r="AE3371" s="544"/>
      <c r="AF3371" s="545"/>
      <c r="AG3371" s="543" t="s">
        <v>113</v>
      </c>
      <c r="AH3371" s="544"/>
      <c r="AI3371" s="544"/>
      <c r="AJ3371" s="544"/>
      <c r="AK3371" s="544"/>
      <c r="AL3371" s="544"/>
      <c r="AM3371" s="544"/>
      <c r="AN3371" s="544"/>
      <c r="AO3371" s="544"/>
      <c r="AP3371" s="544"/>
      <c r="AQ3371" s="544"/>
      <c r="AR3371" s="545"/>
      <c r="AS3371" s="543" t="s">
        <v>114</v>
      </c>
      <c r="AT3371" s="544"/>
      <c r="AU3371" s="544"/>
      <c r="AV3371" s="544"/>
      <c r="AW3371" s="544"/>
      <c r="AX3371" s="544"/>
      <c r="AY3371" s="544"/>
      <c r="AZ3371" s="544"/>
      <c r="BA3371" s="544"/>
      <c r="BB3371" s="544"/>
      <c r="BC3371" s="544"/>
      <c r="BD3371" s="544"/>
      <c r="BE3371" s="543" t="s">
        <v>115</v>
      </c>
      <c r="BF3371" s="544"/>
      <c r="BG3371" s="544"/>
      <c r="BH3371" s="544"/>
      <c r="BI3371" s="544"/>
      <c r="BJ3371" s="544"/>
      <c r="BK3371" s="544"/>
      <c r="BL3371" s="544"/>
      <c r="BM3371" s="544"/>
      <c r="BN3371" s="544"/>
      <c r="BO3371" s="544"/>
      <c r="BP3371" s="543" t="s">
        <v>146</v>
      </c>
      <c r="BQ3371" s="544"/>
      <c r="BR3371" s="544"/>
      <c r="BS3371" s="544"/>
      <c r="BT3371" s="544"/>
      <c r="BU3371" s="544"/>
      <c r="BV3371" s="544"/>
      <c r="BW3371" s="544"/>
      <c r="BX3371" s="544"/>
      <c r="BY3371" s="544"/>
      <c r="BZ3371" s="545"/>
      <c r="CA3371" s="142"/>
      <c r="CB3371" s="3" t="str">
        <f t="shared" si="612"/>
        <v>Riadok bude skrytý.</v>
      </c>
      <c r="CW3371" s="134">
        <f>+IF(SUM(CW3374:CW3392)=0,0,1)</f>
        <v>0</v>
      </c>
      <c r="CZ3371" s="30">
        <f t="shared" si="615"/>
        <v>1</v>
      </c>
      <c r="DA3371" s="30">
        <f t="shared" si="621"/>
        <v>0</v>
      </c>
      <c r="DB3371" s="2">
        <f t="shared" si="620"/>
        <v>0</v>
      </c>
      <c r="DS3371" s="130">
        <f>SI!BY3371</f>
        <v>128</v>
      </c>
      <c r="DZ3371" s="131">
        <f>SI!BZ3371</f>
        <v>0</v>
      </c>
    </row>
    <row r="3372" spans="1:130" hidden="1" x14ac:dyDescent="0.25">
      <c r="A3372" s="141"/>
      <c r="B3372" s="442"/>
      <c r="C3372" s="443"/>
      <c r="D3372" s="443"/>
      <c r="E3372" s="443"/>
      <c r="F3372" s="443"/>
      <c r="G3372" s="443"/>
      <c r="H3372" s="443"/>
      <c r="I3372" s="443"/>
      <c r="J3372" s="443"/>
      <c r="K3372" s="443"/>
      <c r="L3372" s="443"/>
      <c r="M3372" s="443"/>
      <c r="N3372" s="443"/>
      <c r="O3372" s="443"/>
      <c r="P3372" s="443"/>
      <c r="Q3372" s="443"/>
      <c r="R3372" s="443"/>
      <c r="S3372" s="443"/>
      <c r="T3372" s="546"/>
      <c r="U3372" s="547"/>
      <c r="V3372" s="547"/>
      <c r="W3372" s="547"/>
      <c r="X3372" s="547"/>
      <c r="Y3372" s="547"/>
      <c r="Z3372" s="547"/>
      <c r="AA3372" s="547"/>
      <c r="AB3372" s="547"/>
      <c r="AC3372" s="547"/>
      <c r="AD3372" s="547"/>
      <c r="AE3372" s="547"/>
      <c r="AF3372" s="548"/>
      <c r="AG3372" s="546"/>
      <c r="AH3372" s="547"/>
      <c r="AI3372" s="547"/>
      <c r="AJ3372" s="547"/>
      <c r="AK3372" s="547"/>
      <c r="AL3372" s="547"/>
      <c r="AM3372" s="547"/>
      <c r="AN3372" s="547"/>
      <c r="AO3372" s="547"/>
      <c r="AP3372" s="547"/>
      <c r="AQ3372" s="547"/>
      <c r="AR3372" s="548"/>
      <c r="AS3372" s="546"/>
      <c r="AT3372" s="547"/>
      <c r="AU3372" s="547"/>
      <c r="AV3372" s="547"/>
      <c r="AW3372" s="547"/>
      <c r="AX3372" s="547"/>
      <c r="AY3372" s="547"/>
      <c r="AZ3372" s="547"/>
      <c r="BA3372" s="547"/>
      <c r="BB3372" s="547"/>
      <c r="BC3372" s="547"/>
      <c r="BD3372" s="547"/>
      <c r="BE3372" s="546"/>
      <c r="BF3372" s="547"/>
      <c r="BG3372" s="547"/>
      <c r="BH3372" s="547"/>
      <c r="BI3372" s="547"/>
      <c r="BJ3372" s="547"/>
      <c r="BK3372" s="547"/>
      <c r="BL3372" s="547"/>
      <c r="BM3372" s="547"/>
      <c r="BN3372" s="547"/>
      <c r="BO3372" s="547"/>
      <c r="BP3372" s="546"/>
      <c r="BQ3372" s="547"/>
      <c r="BR3372" s="547"/>
      <c r="BS3372" s="547"/>
      <c r="BT3372" s="547"/>
      <c r="BU3372" s="547"/>
      <c r="BV3372" s="547"/>
      <c r="BW3372" s="547"/>
      <c r="BX3372" s="547"/>
      <c r="BY3372" s="547"/>
      <c r="BZ3372" s="548"/>
      <c r="CA3372" s="142"/>
      <c r="CB3372" s="3" t="str">
        <f t="shared" si="612"/>
        <v>Riadok bude skrytý.</v>
      </c>
      <c r="CW3372" s="134">
        <f>+IF(SUM(CW3374:CW3392)=0,0,1)</f>
        <v>0</v>
      </c>
      <c r="CZ3372" s="30">
        <f t="shared" si="615"/>
        <v>1</v>
      </c>
      <c r="DA3372" s="30">
        <f t="shared" si="621"/>
        <v>0</v>
      </c>
      <c r="DB3372" s="2">
        <f t="shared" si="620"/>
        <v>0</v>
      </c>
      <c r="DS3372" s="130">
        <f>SI!BY3372</f>
        <v>196</v>
      </c>
      <c r="DZ3372" s="131">
        <f>SI!BZ3372</f>
        <v>0</v>
      </c>
    </row>
    <row r="3373" spans="1:130" hidden="1" x14ac:dyDescent="0.25">
      <c r="A3373" s="141"/>
      <c r="B3373" s="524" t="s">
        <v>0</v>
      </c>
      <c r="C3373" s="525"/>
      <c r="D3373" s="525"/>
      <c r="E3373" s="525"/>
      <c r="F3373" s="525"/>
      <c r="G3373" s="525"/>
      <c r="H3373" s="525"/>
      <c r="I3373" s="525"/>
      <c r="J3373" s="525"/>
      <c r="K3373" s="525"/>
      <c r="L3373" s="525"/>
      <c r="M3373" s="525"/>
      <c r="N3373" s="525"/>
      <c r="O3373" s="525"/>
      <c r="P3373" s="525"/>
      <c r="Q3373" s="525"/>
      <c r="R3373" s="525"/>
      <c r="S3373" s="525"/>
      <c r="T3373" s="524" t="s">
        <v>1</v>
      </c>
      <c r="U3373" s="525"/>
      <c r="V3373" s="525"/>
      <c r="W3373" s="525"/>
      <c r="X3373" s="525"/>
      <c r="Y3373" s="525"/>
      <c r="Z3373" s="525"/>
      <c r="AA3373" s="525"/>
      <c r="AB3373" s="525"/>
      <c r="AC3373" s="525"/>
      <c r="AD3373" s="525"/>
      <c r="AE3373" s="525"/>
      <c r="AF3373" s="525"/>
      <c r="AG3373" s="524" t="s">
        <v>2</v>
      </c>
      <c r="AH3373" s="525"/>
      <c r="AI3373" s="525"/>
      <c r="AJ3373" s="525"/>
      <c r="AK3373" s="525"/>
      <c r="AL3373" s="525"/>
      <c r="AM3373" s="525"/>
      <c r="AN3373" s="525"/>
      <c r="AO3373" s="525"/>
      <c r="AP3373" s="525"/>
      <c r="AQ3373" s="525"/>
      <c r="AR3373" s="525"/>
      <c r="AS3373" s="524" t="s">
        <v>28</v>
      </c>
      <c r="AT3373" s="525"/>
      <c r="AU3373" s="525"/>
      <c r="AV3373" s="525"/>
      <c r="AW3373" s="525"/>
      <c r="AX3373" s="525"/>
      <c r="AY3373" s="525"/>
      <c r="AZ3373" s="525"/>
      <c r="BA3373" s="525"/>
      <c r="BB3373" s="525"/>
      <c r="BC3373" s="525"/>
      <c r="BD3373" s="525"/>
      <c r="BE3373" s="524" t="s">
        <v>29</v>
      </c>
      <c r="BF3373" s="525"/>
      <c r="BG3373" s="525"/>
      <c r="BH3373" s="525"/>
      <c r="BI3373" s="525"/>
      <c r="BJ3373" s="525"/>
      <c r="BK3373" s="525"/>
      <c r="BL3373" s="525"/>
      <c r="BM3373" s="525"/>
      <c r="BN3373" s="525"/>
      <c r="BO3373" s="525"/>
      <c r="BP3373" s="524" t="s">
        <v>103</v>
      </c>
      <c r="BQ3373" s="525"/>
      <c r="BR3373" s="525"/>
      <c r="BS3373" s="525"/>
      <c r="BT3373" s="525"/>
      <c r="BU3373" s="525"/>
      <c r="BV3373" s="525"/>
      <c r="BW3373" s="525"/>
      <c r="BX3373" s="525"/>
      <c r="BY3373" s="525"/>
      <c r="BZ3373" s="723"/>
      <c r="CA3373" s="142"/>
      <c r="CB3373" s="3" t="str">
        <f t="shared" si="612"/>
        <v>Riadok bude skrytý.</v>
      </c>
      <c r="CD3373" s="4" t="s">
        <v>764</v>
      </c>
      <c r="CW3373" s="134">
        <f>+IF(SUM(CW3374:CW3392)=0,0,1)</f>
        <v>0</v>
      </c>
      <c r="CZ3373" s="30">
        <f t="shared" si="615"/>
        <v>1</v>
      </c>
      <c r="DA3373" s="30">
        <f t="shared" si="621"/>
        <v>0</v>
      </c>
      <c r="DB3373" s="2">
        <f t="shared" si="620"/>
        <v>0</v>
      </c>
      <c r="DS3373" s="130">
        <f>SI!BY3373</f>
        <v>157</v>
      </c>
      <c r="DZ3373" s="131">
        <f>SI!BZ3373</f>
        <v>0</v>
      </c>
    </row>
    <row r="3374" spans="1:130" hidden="1" x14ac:dyDescent="0.25">
      <c r="A3374" s="141"/>
      <c r="B3374" s="1016" t="str">
        <f>+IF(LEN(SI!$J$5)=Poznamky_k_UZ!DZ3374,"Základné imanie","")</f>
        <v>Základné imanie</v>
      </c>
      <c r="C3374" s="1017"/>
      <c r="D3374" s="1017"/>
      <c r="E3374" s="1017"/>
      <c r="F3374" s="1017"/>
      <c r="G3374" s="1017"/>
      <c r="H3374" s="1017"/>
      <c r="I3374" s="1017"/>
      <c r="J3374" s="1017"/>
      <c r="K3374" s="1017"/>
      <c r="L3374" s="1017"/>
      <c r="M3374" s="1017"/>
      <c r="N3374" s="1017"/>
      <c r="O3374" s="1017"/>
      <c r="P3374" s="1017"/>
      <c r="Q3374" s="1017"/>
      <c r="R3374" s="1017"/>
      <c r="S3374" s="1018"/>
      <c r="T3374" s="535"/>
      <c r="U3374" s="536"/>
      <c r="V3374" s="536"/>
      <c r="W3374" s="536"/>
      <c r="X3374" s="536"/>
      <c r="Y3374" s="536"/>
      <c r="Z3374" s="536"/>
      <c r="AA3374" s="536"/>
      <c r="AB3374" s="536"/>
      <c r="AC3374" s="536"/>
      <c r="AD3374" s="536"/>
      <c r="AE3374" s="536"/>
      <c r="AF3374" s="713"/>
      <c r="AG3374" s="535"/>
      <c r="AH3374" s="536"/>
      <c r="AI3374" s="536"/>
      <c r="AJ3374" s="536"/>
      <c r="AK3374" s="536"/>
      <c r="AL3374" s="536"/>
      <c r="AM3374" s="536"/>
      <c r="AN3374" s="536"/>
      <c r="AO3374" s="536"/>
      <c r="AP3374" s="536"/>
      <c r="AQ3374" s="536"/>
      <c r="AR3374" s="537"/>
      <c r="AS3374" s="1014"/>
      <c r="AT3374" s="536"/>
      <c r="AU3374" s="536"/>
      <c r="AV3374" s="536"/>
      <c r="AW3374" s="536"/>
      <c r="AX3374" s="536"/>
      <c r="AY3374" s="536"/>
      <c r="AZ3374" s="536"/>
      <c r="BA3374" s="536"/>
      <c r="BB3374" s="536"/>
      <c r="BC3374" s="536"/>
      <c r="BD3374" s="713"/>
      <c r="BE3374" s="535"/>
      <c r="BF3374" s="536"/>
      <c r="BG3374" s="536"/>
      <c r="BH3374" s="536"/>
      <c r="BI3374" s="536"/>
      <c r="BJ3374" s="536"/>
      <c r="BK3374" s="536"/>
      <c r="BL3374" s="536"/>
      <c r="BM3374" s="536"/>
      <c r="BN3374" s="536"/>
      <c r="BO3374" s="537"/>
      <c r="BP3374" s="1370">
        <f t="shared" ref="BP3374:BP3393" si="622">+SUM(T3374:BO3374)</f>
        <v>0</v>
      </c>
      <c r="BQ3374" s="1371"/>
      <c r="BR3374" s="1371"/>
      <c r="BS3374" s="1371"/>
      <c r="BT3374" s="1371"/>
      <c r="BU3374" s="1371"/>
      <c r="BV3374" s="1371"/>
      <c r="BW3374" s="1371"/>
      <c r="BX3374" s="1371"/>
      <c r="BY3374" s="1371"/>
      <c r="BZ3374" s="1372"/>
      <c r="CA3374" s="142"/>
      <c r="CB3374" s="3" t="str">
        <f t="shared" si="612"/>
        <v>Riadok bude skrytý.</v>
      </c>
      <c r="CC3374" s="271" t="s">
        <v>832</v>
      </c>
      <c r="CW3374" s="134">
        <f>+IF(T3374="",IF(AG3374="",IF(AS3374="",IF(BE3374="",0,1),1),1),1)</f>
        <v>0</v>
      </c>
      <c r="CZ3374" s="30">
        <f t="shared" si="615"/>
        <v>1</v>
      </c>
      <c r="DA3374" s="30">
        <f t="shared" si="621"/>
        <v>0</v>
      </c>
      <c r="DB3374" s="2">
        <f t="shared" si="620"/>
        <v>0</v>
      </c>
      <c r="DS3374" s="130">
        <f>SI!BY3374</f>
        <v>119</v>
      </c>
      <c r="DZ3374" s="131">
        <f>SI!BZ3374</f>
        <v>15</v>
      </c>
    </row>
    <row r="3375" spans="1:130" ht="25.5" hidden="1" customHeight="1" x14ac:dyDescent="0.25">
      <c r="A3375" s="141"/>
      <c r="B3375" s="529" t="str">
        <f>+IF(LEN(SI!$J$5)=Poznamky_k_UZ!DZ3375,"Vlastné akcie a vlastné obchodné podiely","")</f>
        <v>Vlastné akcie a vlastné obchodné podiely</v>
      </c>
      <c r="C3375" s="530"/>
      <c r="D3375" s="530"/>
      <c r="E3375" s="530"/>
      <c r="F3375" s="530"/>
      <c r="G3375" s="530"/>
      <c r="H3375" s="530"/>
      <c r="I3375" s="530"/>
      <c r="J3375" s="530"/>
      <c r="K3375" s="530"/>
      <c r="L3375" s="530"/>
      <c r="M3375" s="530"/>
      <c r="N3375" s="530"/>
      <c r="O3375" s="530"/>
      <c r="P3375" s="530"/>
      <c r="Q3375" s="530"/>
      <c r="R3375" s="530"/>
      <c r="S3375" s="531"/>
      <c r="T3375" s="363"/>
      <c r="U3375" s="364"/>
      <c r="V3375" s="364"/>
      <c r="W3375" s="364"/>
      <c r="X3375" s="364"/>
      <c r="Y3375" s="364"/>
      <c r="Z3375" s="364"/>
      <c r="AA3375" s="364"/>
      <c r="AB3375" s="364"/>
      <c r="AC3375" s="364"/>
      <c r="AD3375" s="364"/>
      <c r="AE3375" s="364"/>
      <c r="AF3375" s="475"/>
      <c r="AG3375" s="363"/>
      <c r="AH3375" s="364"/>
      <c r="AI3375" s="364"/>
      <c r="AJ3375" s="364"/>
      <c r="AK3375" s="364"/>
      <c r="AL3375" s="364"/>
      <c r="AM3375" s="364"/>
      <c r="AN3375" s="364"/>
      <c r="AO3375" s="364"/>
      <c r="AP3375" s="364"/>
      <c r="AQ3375" s="364"/>
      <c r="AR3375" s="387"/>
      <c r="AS3375" s="386"/>
      <c r="AT3375" s="364"/>
      <c r="AU3375" s="364"/>
      <c r="AV3375" s="364"/>
      <c r="AW3375" s="364"/>
      <c r="AX3375" s="364"/>
      <c r="AY3375" s="364"/>
      <c r="AZ3375" s="364"/>
      <c r="BA3375" s="364"/>
      <c r="BB3375" s="364"/>
      <c r="BC3375" s="364"/>
      <c r="BD3375" s="475"/>
      <c r="BE3375" s="363"/>
      <c r="BF3375" s="364"/>
      <c r="BG3375" s="364"/>
      <c r="BH3375" s="364"/>
      <c r="BI3375" s="364"/>
      <c r="BJ3375" s="364"/>
      <c r="BK3375" s="364"/>
      <c r="BL3375" s="364"/>
      <c r="BM3375" s="364"/>
      <c r="BN3375" s="364"/>
      <c r="BO3375" s="387"/>
      <c r="BP3375" s="398">
        <f t="shared" si="622"/>
        <v>0</v>
      </c>
      <c r="BQ3375" s="399"/>
      <c r="BR3375" s="399"/>
      <c r="BS3375" s="399"/>
      <c r="BT3375" s="399"/>
      <c r="BU3375" s="399"/>
      <c r="BV3375" s="399"/>
      <c r="BW3375" s="399"/>
      <c r="BX3375" s="399"/>
      <c r="BY3375" s="399"/>
      <c r="BZ3375" s="400"/>
      <c r="CA3375" s="142"/>
      <c r="CB3375" s="3" t="str">
        <f t="shared" si="612"/>
        <v>Riadok bude skrytý.</v>
      </c>
      <c r="CC3375" s="271" t="s">
        <v>937</v>
      </c>
      <c r="CD3375" s="121" t="s">
        <v>1040</v>
      </c>
      <c r="CE3375" s="121"/>
      <c r="CF3375" s="105"/>
      <c r="CG3375" s="105"/>
      <c r="CW3375" s="134">
        <f t="shared" ref="CW3375:CW3392" si="623">+IF(T3375="",IF(AG3375="",IF(AS3375="",IF(BE3375="",0,1),1),1),1)</f>
        <v>0</v>
      </c>
      <c r="CZ3375" s="30">
        <f t="shared" si="615"/>
        <v>0</v>
      </c>
      <c r="DA3375" s="30">
        <f t="shared" si="621"/>
        <v>0</v>
      </c>
      <c r="DB3375" s="2">
        <f t="shared" si="620"/>
        <v>0</v>
      </c>
      <c r="DS3375" s="130">
        <f>SI!BY3375</f>
        <v>196</v>
      </c>
      <c r="DZ3375" s="131">
        <f>SI!BZ3375</f>
        <v>15</v>
      </c>
    </row>
    <row r="3376" spans="1:130" hidden="1" x14ac:dyDescent="0.25">
      <c r="A3376" s="141"/>
      <c r="B3376" s="532" t="str">
        <f>+IF(LEN(SI!$J$5)=Poznamky_k_UZ!DZ3376,"Zmena základného imania","")</f>
        <v>Zmena základného imania</v>
      </c>
      <c r="C3376" s="533"/>
      <c r="D3376" s="533"/>
      <c r="E3376" s="533"/>
      <c r="F3376" s="533"/>
      <c r="G3376" s="533"/>
      <c r="H3376" s="533"/>
      <c r="I3376" s="533"/>
      <c r="J3376" s="533"/>
      <c r="K3376" s="533"/>
      <c r="L3376" s="533"/>
      <c r="M3376" s="533"/>
      <c r="N3376" s="533"/>
      <c r="O3376" s="533"/>
      <c r="P3376" s="533"/>
      <c r="Q3376" s="533"/>
      <c r="R3376" s="533"/>
      <c r="S3376" s="534"/>
      <c r="T3376" s="363"/>
      <c r="U3376" s="364"/>
      <c r="V3376" s="364"/>
      <c r="W3376" s="364"/>
      <c r="X3376" s="364"/>
      <c r="Y3376" s="364"/>
      <c r="Z3376" s="364"/>
      <c r="AA3376" s="364"/>
      <c r="AB3376" s="364"/>
      <c r="AC3376" s="364"/>
      <c r="AD3376" s="364"/>
      <c r="AE3376" s="364"/>
      <c r="AF3376" s="475"/>
      <c r="AG3376" s="363"/>
      <c r="AH3376" s="364"/>
      <c r="AI3376" s="364"/>
      <c r="AJ3376" s="364"/>
      <c r="AK3376" s="364"/>
      <c r="AL3376" s="364"/>
      <c r="AM3376" s="364"/>
      <c r="AN3376" s="364"/>
      <c r="AO3376" s="364"/>
      <c r="AP3376" s="364"/>
      <c r="AQ3376" s="364"/>
      <c r="AR3376" s="387"/>
      <c r="AS3376" s="386"/>
      <c r="AT3376" s="364"/>
      <c r="AU3376" s="364"/>
      <c r="AV3376" s="364"/>
      <c r="AW3376" s="364"/>
      <c r="AX3376" s="364"/>
      <c r="AY3376" s="364"/>
      <c r="AZ3376" s="364"/>
      <c r="BA3376" s="364"/>
      <c r="BB3376" s="364"/>
      <c r="BC3376" s="364"/>
      <c r="BD3376" s="475"/>
      <c r="BE3376" s="363"/>
      <c r="BF3376" s="364"/>
      <c r="BG3376" s="364"/>
      <c r="BH3376" s="364"/>
      <c r="BI3376" s="364"/>
      <c r="BJ3376" s="364"/>
      <c r="BK3376" s="364"/>
      <c r="BL3376" s="364"/>
      <c r="BM3376" s="364"/>
      <c r="BN3376" s="364"/>
      <c r="BO3376" s="387"/>
      <c r="BP3376" s="398">
        <f t="shared" si="622"/>
        <v>0</v>
      </c>
      <c r="BQ3376" s="399"/>
      <c r="BR3376" s="399"/>
      <c r="BS3376" s="399"/>
      <c r="BT3376" s="399"/>
      <c r="BU3376" s="399"/>
      <c r="BV3376" s="399"/>
      <c r="BW3376" s="399"/>
      <c r="BX3376" s="399"/>
      <c r="BY3376" s="399"/>
      <c r="BZ3376" s="400"/>
      <c r="CA3376" s="142"/>
      <c r="CB3376" s="3" t="str">
        <f t="shared" si="612"/>
        <v>Riadok bude skrytý.</v>
      </c>
      <c r="CC3376" s="271" t="s">
        <v>832</v>
      </c>
      <c r="CW3376" s="134">
        <f t="shared" si="623"/>
        <v>0</v>
      </c>
      <c r="CZ3376" s="30">
        <f t="shared" si="615"/>
        <v>1</v>
      </c>
      <c r="DA3376" s="30">
        <f t="shared" si="621"/>
        <v>0</v>
      </c>
      <c r="DB3376" s="2">
        <f t="shared" si="620"/>
        <v>0</v>
      </c>
      <c r="DS3376" s="130">
        <f>SI!BY3376</f>
        <v>131</v>
      </c>
      <c r="DZ3376" s="131">
        <f>SI!BZ3376</f>
        <v>15</v>
      </c>
    </row>
    <row r="3377" spans="1:130" ht="25.5" hidden="1" customHeight="1" x14ac:dyDescent="0.25">
      <c r="A3377" s="141"/>
      <c r="B3377" s="529" t="str">
        <f>+IF(LEN(SI!$J$5)=Poznamky_k_UZ!DZ3377,"Pohľadávky za upísané vlastné imanie","")</f>
        <v>Pohľadávky za upísané vlastné imanie</v>
      </c>
      <c r="C3377" s="530"/>
      <c r="D3377" s="530"/>
      <c r="E3377" s="530"/>
      <c r="F3377" s="530"/>
      <c r="G3377" s="530"/>
      <c r="H3377" s="530"/>
      <c r="I3377" s="530"/>
      <c r="J3377" s="530"/>
      <c r="K3377" s="530"/>
      <c r="L3377" s="530"/>
      <c r="M3377" s="530"/>
      <c r="N3377" s="530"/>
      <c r="O3377" s="530"/>
      <c r="P3377" s="530"/>
      <c r="Q3377" s="530"/>
      <c r="R3377" s="530"/>
      <c r="S3377" s="531"/>
      <c r="T3377" s="363"/>
      <c r="U3377" s="364"/>
      <c r="V3377" s="364"/>
      <c r="W3377" s="364"/>
      <c r="X3377" s="364"/>
      <c r="Y3377" s="364"/>
      <c r="Z3377" s="364"/>
      <c r="AA3377" s="364"/>
      <c r="AB3377" s="364"/>
      <c r="AC3377" s="364"/>
      <c r="AD3377" s="364"/>
      <c r="AE3377" s="364"/>
      <c r="AF3377" s="475"/>
      <c r="AG3377" s="363"/>
      <c r="AH3377" s="364"/>
      <c r="AI3377" s="364"/>
      <c r="AJ3377" s="364"/>
      <c r="AK3377" s="364"/>
      <c r="AL3377" s="364"/>
      <c r="AM3377" s="364"/>
      <c r="AN3377" s="364"/>
      <c r="AO3377" s="364"/>
      <c r="AP3377" s="364"/>
      <c r="AQ3377" s="364"/>
      <c r="AR3377" s="387"/>
      <c r="AS3377" s="386"/>
      <c r="AT3377" s="364"/>
      <c r="AU3377" s="364"/>
      <c r="AV3377" s="364"/>
      <c r="AW3377" s="364"/>
      <c r="AX3377" s="364"/>
      <c r="AY3377" s="364"/>
      <c r="AZ3377" s="364"/>
      <c r="BA3377" s="364"/>
      <c r="BB3377" s="364"/>
      <c r="BC3377" s="364"/>
      <c r="BD3377" s="475"/>
      <c r="BE3377" s="363"/>
      <c r="BF3377" s="364"/>
      <c r="BG3377" s="364"/>
      <c r="BH3377" s="364"/>
      <c r="BI3377" s="364"/>
      <c r="BJ3377" s="364"/>
      <c r="BK3377" s="364"/>
      <c r="BL3377" s="364"/>
      <c r="BM3377" s="364"/>
      <c r="BN3377" s="364"/>
      <c r="BO3377" s="387"/>
      <c r="BP3377" s="398">
        <f t="shared" si="622"/>
        <v>0</v>
      </c>
      <c r="BQ3377" s="399"/>
      <c r="BR3377" s="399"/>
      <c r="BS3377" s="399"/>
      <c r="BT3377" s="399"/>
      <c r="BU3377" s="399"/>
      <c r="BV3377" s="399"/>
      <c r="BW3377" s="399"/>
      <c r="BX3377" s="399"/>
      <c r="BY3377" s="399"/>
      <c r="BZ3377" s="400"/>
      <c r="CA3377" s="142"/>
      <c r="CB3377" s="3" t="str">
        <f t="shared" si="612"/>
        <v>Riadok bude skrytý.</v>
      </c>
      <c r="CC3377" s="271" t="s">
        <v>832</v>
      </c>
      <c r="CW3377" s="134">
        <f t="shared" si="623"/>
        <v>0</v>
      </c>
      <c r="CZ3377" s="30">
        <f t="shared" si="615"/>
        <v>1</v>
      </c>
      <c r="DA3377" s="30">
        <f t="shared" si="621"/>
        <v>0</v>
      </c>
      <c r="DB3377" s="2">
        <f t="shared" si="620"/>
        <v>0</v>
      </c>
      <c r="DS3377" s="130">
        <f>SI!BY3377</f>
        <v>169</v>
      </c>
      <c r="DZ3377" s="131">
        <f>SI!BZ3377</f>
        <v>15</v>
      </c>
    </row>
    <row r="3378" spans="1:130" hidden="1" x14ac:dyDescent="0.25">
      <c r="A3378" s="141"/>
      <c r="B3378" s="532" t="str">
        <f>+IF(LEN(SI!$J$5)=Poznamky_k_UZ!DZ3378,"Emisné ážio","")</f>
        <v>Emisné ážio</v>
      </c>
      <c r="C3378" s="533"/>
      <c r="D3378" s="533"/>
      <c r="E3378" s="533"/>
      <c r="F3378" s="533"/>
      <c r="G3378" s="533"/>
      <c r="H3378" s="533"/>
      <c r="I3378" s="533"/>
      <c r="J3378" s="533"/>
      <c r="K3378" s="533"/>
      <c r="L3378" s="533"/>
      <c r="M3378" s="533"/>
      <c r="N3378" s="533"/>
      <c r="O3378" s="533"/>
      <c r="P3378" s="533"/>
      <c r="Q3378" s="533"/>
      <c r="R3378" s="533"/>
      <c r="S3378" s="534"/>
      <c r="T3378" s="363"/>
      <c r="U3378" s="364"/>
      <c r="V3378" s="364"/>
      <c r="W3378" s="364"/>
      <c r="X3378" s="364"/>
      <c r="Y3378" s="364"/>
      <c r="Z3378" s="364"/>
      <c r="AA3378" s="364"/>
      <c r="AB3378" s="364"/>
      <c r="AC3378" s="364"/>
      <c r="AD3378" s="364"/>
      <c r="AE3378" s="364"/>
      <c r="AF3378" s="475"/>
      <c r="AG3378" s="363"/>
      <c r="AH3378" s="364"/>
      <c r="AI3378" s="364"/>
      <c r="AJ3378" s="364"/>
      <c r="AK3378" s="364"/>
      <c r="AL3378" s="364"/>
      <c r="AM3378" s="364"/>
      <c r="AN3378" s="364"/>
      <c r="AO3378" s="364"/>
      <c r="AP3378" s="364"/>
      <c r="AQ3378" s="364"/>
      <c r="AR3378" s="387"/>
      <c r="AS3378" s="386"/>
      <c r="AT3378" s="364"/>
      <c r="AU3378" s="364"/>
      <c r="AV3378" s="364"/>
      <c r="AW3378" s="364"/>
      <c r="AX3378" s="364"/>
      <c r="AY3378" s="364"/>
      <c r="AZ3378" s="364"/>
      <c r="BA3378" s="364"/>
      <c r="BB3378" s="364"/>
      <c r="BC3378" s="364"/>
      <c r="BD3378" s="475"/>
      <c r="BE3378" s="363"/>
      <c r="BF3378" s="364"/>
      <c r="BG3378" s="364"/>
      <c r="BH3378" s="364"/>
      <c r="BI3378" s="364"/>
      <c r="BJ3378" s="364"/>
      <c r="BK3378" s="364"/>
      <c r="BL3378" s="364"/>
      <c r="BM3378" s="364"/>
      <c r="BN3378" s="364"/>
      <c r="BO3378" s="387"/>
      <c r="BP3378" s="398">
        <f t="shared" si="622"/>
        <v>0</v>
      </c>
      <c r="BQ3378" s="399"/>
      <c r="BR3378" s="399"/>
      <c r="BS3378" s="399"/>
      <c r="BT3378" s="399"/>
      <c r="BU3378" s="399"/>
      <c r="BV3378" s="399"/>
      <c r="BW3378" s="399"/>
      <c r="BX3378" s="399"/>
      <c r="BY3378" s="399"/>
      <c r="BZ3378" s="400"/>
      <c r="CA3378" s="142"/>
      <c r="CB3378" s="3" t="str">
        <f t="shared" si="612"/>
        <v>Riadok bude skrytý.</v>
      </c>
      <c r="CC3378" s="271" t="s">
        <v>832</v>
      </c>
      <c r="CW3378" s="134">
        <f t="shared" si="623"/>
        <v>0</v>
      </c>
      <c r="CZ3378" s="30">
        <f t="shared" si="615"/>
        <v>1</v>
      </c>
      <c r="DA3378" s="30">
        <f t="shared" si="621"/>
        <v>0</v>
      </c>
      <c r="DB3378" s="2">
        <f t="shared" si="620"/>
        <v>0</v>
      </c>
      <c r="DS3378" s="130">
        <f>SI!BY3378</f>
        <v>175</v>
      </c>
      <c r="DZ3378" s="131">
        <f>SI!BZ3378</f>
        <v>15</v>
      </c>
    </row>
    <row r="3379" spans="1:130" hidden="1" x14ac:dyDescent="0.25">
      <c r="A3379" s="141"/>
      <c r="B3379" s="532" t="str">
        <f>+IF(LEN(SI!$J$5)=Poznamky_k_UZ!DZ3379,"Ostatné kapitálové fondy","")</f>
        <v>Ostatné kapitálové fondy</v>
      </c>
      <c r="C3379" s="533"/>
      <c r="D3379" s="533"/>
      <c r="E3379" s="533"/>
      <c r="F3379" s="533"/>
      <c r="G3379" s="533"/>
      <c r="H3379" s="533"/>
      <c r="I3379" s="533"/>
      <c r="J3379" s="533"/>
      <c r="K3379" s="533"/>
      <c r="L3379" s="533"/>
      <c r="M3379" s="533"/>
      <c r="N3379" s="533"/>
      <c r="O3379" s="533"/>
      <c r="P3379" s="533"/>
      <c r="Q3379" s="533"/>
      <c r="R3379" s="533"/>
      <c r="S3379" s="534"/>
      <c r="T3379" s="363"/>
      <c r="U3379" s="364"/>
      <c r="V3379" s="364"/>
      <c r="W3379" s="364"/>
      <c r="X3379" s="364"/>
      <c r="Y3379" s="364"/>
      <c r="Z3379" s="364"/>
      <c r="AA3379" s="364"/>
      <c r="AB3379" s="364"/>
      <c r="AC3379" s="364"/>
      <c r="AD3379" s="364"/>
      <c r="AE3379" s="364"/>
      <c r="AF3379" s="475"/>
      <c r="AG3379" s="363"/>
      <c r="AH3379" s="364"/>
      <c r="AI3379" s="364"/>
      <c r="AJ3379" s="364"/>
      <c r="AK3379" s="364"/>
      <c r="AL3379" s="364"/>
      <c r="AM3379" s="364"/>
      <c r="AN3379" s="364"/>
      <c r="AO3379" s="364"/>
      <c r="AP3379" s="364"/>
      <c r="AQ3379" s="364"/>
      <c r="AR3379" s="387"/>
      <c r="AS3379" s="386"/>
      <c r="AT3379" s="364"/>
      <c r="AU3379" s="364"/>
      <c r="AV3379" s="364"/>
      <c r="AW3379" s="364"/>
      <c r="AX3379" s="364"/>
      <c r="AY3379" s="364"/>
      <c r="AZ3379" s="364"/>
      <c r="BA3379" s="364"/>
      <c r="BB3379" s="364"/>
      <c r="BC3379" s="364"/>
      <c r="BD3379" s="475"/>
      <c r="BE3379" s="363"/>
      <c r="BF3379" s="364"/>
      <c r="BG3379" s="364"/>
      <c r="BH3379" s="364"/>
      <c r="BI3379" s="364"/>
      <c r="BJ3379" s="364"/>
      <c r="BK3379" s="364"/>
      <c r="BL3379" s="364"/>
      <c r="BM3379" s="364"/>
      <c r="BN3379" s="364"/>
      <c r="BO3379" s="387"/>
      <c r="BP3379" s="398">
        <f t="shared" si="622"/>
        <v>0</v>
      </c>
      <c r="BQ3379" s="399"/>
      <c r="BR3379" s="399"/>
      <c r="BS3379" s="399"/>
      <c r="BT3379" s="399"/>
      <c r="BU3379" s="399"/>
      <c r="BV3379" s="399"/>
      <c r="BW3379" s="399"/>
      <c r="BX3379" s="399"/>
      <c r="BY3379" s="399"/>
      <c r="BZ3379" s="400"/>
      <c r="CA3379" s="142"/>
      <c r="CB3379" s="3" t="str">
        <f t="shared" ref="CB3379:CB3442" si="624">+IF(DB3379=0,"Riadok bude skrytý.","Riadok bude vidieť.")</f>
        <v>Riadok bude skrytý.</v>
      </c>
      <c r="CC3379" s="271" t="s">
        <v>832</v>
      </c>
      <c r="CW3379" s="134">
        <f t="shared" si="623"/>
        <v>0</v>
      </c>
      <c r="CZ3379" s="30">
        <f t="shared" si="615"/>
        <v>1</v>
      </c>
      <c r="DA3379" s="30">
        <f t="shared" si="621"/>
        <v>0</v>
      </c>
      <c r="DB3379" s="2">
        <f t="shared" si="620"/>
        <v>0</v>
      </c>
      <c r="DS3379" s="130">
        <f>SI!BY3379</f>
        <v>180</v>
      </c>
      <c r="DZ3379" s="131">
        <f>SI!BZ3379</f>
        <v>15</v>
      </c>
    </row>
    <row r="3380" spans="1:130" ht="37.549999999999997" hidden="1" customHeight="1" x14ac:dyDescent="0.25">
      <c r="A3380" s="141"/>
      <c r="B3380" s="529" t="str">
        <f>+IF(LEN(SI!$J$5)=Poznamky_k_UZ!DZ3380,"Zákonný rezervný fond (nedeliteľný fond) z kapitálových vkladov","")</f>
        <v>Zákonný rezervný fond (nedeliteľný fond) z kapitálových vkladov</v>
      </c>
      <c r="C3380" s="530"/>
      <c r="D3380" s="530"/>
      <c r="E3380" s="530"/>
      <c r="F3380" s="530"/>
      <c r="G3380" s="530"/>
      <c r="H3380" s="530"/>
      <c r="I3380" s="530"/>
      <c r="J3380" s="530"/>
      <c r="K3380" s="530"/>
      <c r="L3380" s="530"/>
      <c r="M3380" s="530"/>
      <c r="N3380" s="530"/>
      <c r="O3380" s="530"/>
      <c r="P3380" s="530"/>
      <c r="Q3380" s="530"/>
      <c r="R3380" s="530"/>
      <c r="S3380" s="531"/>
      <c r="T3380" s="363"/>
      <c r="U3380" s="364"/>
      <c r="V3380" s="364"/>
      <c r="W3380" s="364"/>
      <c r="X3380" s="364"/>
      <c r="Y3380" s="364"/>
      <c r="Z3380" s="364"/>
      <c r="AA3380" s="364"/>
      <c r="AB3380" s="364"/>
      <c r="AC3380" s="364"/>
      <c r="AD3380" s="364"/>
      <c r="AE3380" s="364"/>
      <c r="AF3380" s="475"/>
      <c r="AG3380" s="363"/>
      <c r="AH3380" s="364"/>
      <c r="AI3380" s="364"/>
      <c r="AJ3380" s="364"/>
      <c r="AK3380" s="364"/>
      <c r="AL3380" s="364"/>
      <c r="AM3380" s="364"/>
      <c r="AN3380" s="364"/>
      <c r="AO3380" s="364"/>
      <c r="AP3380" s="364"/>
      <c r="AQ3380" s="364"/>
      <c r="AR3380" s="387"/>
      <c r="AS3380" s="386"/>
      <c r="AT3380" s="364"/>
      <c r="AU3380" s="364"/>
      <c r="AV3380" s="364"/>
      <c r="AW3380" s="364"/>
      <c r="AX3380" s="364"/>
      <c r="AY3380" s="364"/>
      <c r="AZ3380" s="364"/>
      <c r="BA3380" s="364"/>
      <c r="BB3380" s="364"/>
      <c r="BC3380" s="364"/>
      <c r="BD3380" s="475"/>
      <c r="BE3380" s="363"/>
      <c r="BF3380" s="364"/>
      <c r="BG3380" s="364"/>
      <c r="BH3380" s="364"/>
      <c r="BI3380" s="364"/>
      <c r="BJ3380" s="364"/>
      <c r="BK3380" s="364"/>
      <c r="BL3380" s="364"/>
      <c r="BM3380" s="364"/>
      <c r="BN3380" s="364"/>
      <c r="BO3380" s="387"/>
      <c r="BP3380" s="398">
        <f t="shared" si="622"/>
        <v>0</v>
      </c>
      <c r="BQ3380" s="399"/>
      <c r="BR3380" s="399"/>
      <c r="BS3380" s="399"/>
      <c r="BT3380" s="399"/>
      <c r="BU3380" s="399"/>
      <c r="BV3380" s="399"/>
      <c r="BW3380" s="399"/>
      <c r="BX3380" s="399"/>
      <c r="BY3380" s="399"/>
      <c r="BZ3380" s="400"/>
      <c r="CA3380" s="142"/>
      <c r="CB3380" s="3" t="str">
        <f t="shared" si="624"/>
        <v>Riadok bude skrytý.</v>
      </c>
      <c r="CC3380" s="271" t="s">
        <v>832</v>
      </c>
      <c r="CW3380" s="134">
        <f t="shared" si="623"/>
        <v>0</v>
      </c>
      <c r="CZ3380" s="30">
        <f t="shared" si="615"/>
        <v>1</v>
      </c>
      <c r="DA3380" s="30">
        <f t="shared" si="621"/>
        <v>0</v>
      </c>
      <c r="DB3380" s="2">
        <f t="shared" si="620"/>
        <v>0</v>
      </c>
      <c r="DS3380" s="130">
        <f>SI!BY3380</f>
        <v>158</v>
      </c>
      <c r="DZ3380" s="131">
        <f>SI!BZ3380</f>
        <v>15</v>
      </c>
    </row>
    <row r="3381" spans="1:130" ht="38.25" hidden="1" customHeight="1" x14ac:dyDescent="0.25">
      <c r="A3381" s="141"/>
      <c r="B3381" s="529" t="str">
        <f>+IF(LEN(SI!$J$5)=Poznamky_k_UZ!DZ3381,"Oceňovacie rozdiely z precenenia majetku a záväzkov","")</f>
        <v>Oceňovacie rozdiely z precenenia majetku a záväzkov</v>
      </c>
      <c r="C3381" s="530"/>
      <c r="D3381" s="530"/>
      <c r="E3381" s="530"/>
      <c r="F3381" s="530"/>
      <c r="G3381" s="530"/>
      <c r="H3381" s="530"/>
      <c r="I3381" s="530"/>
      <c r="J3381" s="530"/>
      <c r="K3381" s="530"/>
      <c r="L3381" s="530"/>
      <c r="M3381" s="530"/>
      <c r="N3381" s="530"/>
      <c r="O3381" s="530"/>
      <c r="P3381" s="530"/>
      <c r="Q3381" s="530"/>
      <c r="R3381" s="530"/>
      <c r="S3381" s="531"/>
      <c r="T3381" s="363"/>
      <c r="U3381" s="364"/>
      <c r="V3381" s="364"/>
      <c r="W3381" s="364"/>
      <c r="X3381" s="364"/>
      <c r="Y3381" s="364"/>
      <c r="Z3381" s="364"/>
      <c r="AA3381" s="364"/>
      <c r="AB3381" s="364"/>
      <c r="AC3381" s="364"/>
      <c r="AD3381" s="364"/>
      <c r="AE3381" s="364"/>
      <c r="AF3381" s="475"/>
      <c r="AG3381" s="363"/>
      <c r="AH3381" s="364"/>
      <c r="AI3381" s="364"/>
      <c r="AJ3381" s="364"/>
      <c r="AK3381" s="364"/>
      <c r="AL3381" s="364"/>
      <c r="AM3381" s="364"/>
      <c r="AN3381" s="364"/>
      <c r="AO3381" s="364"/>
      <c r="AP3381" s="364"/>
      <c r="AQ3381" s="364"/>
      <c r="AR3381" s="387"/>
      <c r="AS3381" s="386"/>
      <c r="AT3381" s="364"/>
      <c r="AU3381" s="364"/>
      <c r="AV3381" s="364"/>
      <c r="AW3381" s="364"/>
      <c r="AX3381" s="364"/>
      <c r="AY3381" s="364"/>
      <c r="AZ3381" s="364"/>
      <c r="BA3381" s="364"/>
      <c r="BB3381" s="364"/>
      <c r="BC3381" s="364"/>
      <c r="BD3381" s="475"/>
      <c r="BE3381" s="363"/>
      <c r="BF3381" s="364"/>
      <c r="BG3381" s="364"/>
      <c r="BH3381" s="364"/>
      <c r="BI3381" s="364"/>
      <c r="BJ3381" s="364"/>
      <c r="BK3381" s="364"/>
      <c r="BL3381" s="364"/>
      <c r="BM3381" s="364"/>
      <c r="BN3381" s="364"/>
      <c r="BO3381" s="387"/>
      <c r="BP3381" s="398">
        <f t="shared" si="622"/>
        <v>0</v>
      </c>
      <c r="BQ3381" s="399"/>
      <c r="BR3381" s="399"/>
      <c r="BS3381" s="399"/>
      <c r="BT3381" s="399"/>
      <c r="BU3381" s="399"/>
      <c r="BV3381" s="399"/>
      <c r="BW3381" s="399"/>
      <c r="BX3381" s="399"/>
      <c r="BY3381" s="399"/>
      <c r="BZ3381" s="400"/>
      <c r="CA3381" s="142"/>
      <c r="CB3381" s="3" t="str">
        <f t="shared" si="624"/>
        <v>Riadok bude skrytý.</v>
      </c>
      <c r="CC3381" s="271" t="s">
        <v>832</v>
      </c>
      <c r="CW3381" s="134">
        <f t="shared" si="623"/>
        <v>0</v>
      </c>
      <c r="CZ3381" s="30">
        <f t="shared" si="615"/>
        <v>1</v>
      </c>
      <c r="DA3381" s="30">
        <f t="shared" si="621"/>
        <v>0</v>
      </c>
      <c r="DB3381" s="2">
        <f t="shared" si="620"/>
        <v>0</v>
      </c>
      <c r="DS3381" s="130">
        <f>SI!BY3381</f>
        <v>199</v>
      </c>
      <c r="DZ3381" s="131">
        <f>SI!BZ3381</f>
        <v>15</v>
      </c>
    </row>
    <row r="3382" spans="1:130" ht="29.25" hidden="1" customHeight="1" x14ac:dyDescent="0.25">
      <c r="A3382" s="141"/>
      <c r="B3382" s="529" t="str">
        <f>+IF(LEN(SI!$J$5)=Poznamky_k_UZ!DZ3382,"Oceňovacie rozdiely z kapitálových účastín","")</f>
        <v>Oceňovacie rozdiely z kapitálových účastín</v>
      </c>
      <c r="C3382" s="530"/>
      <c r="D3382" s="530"/>
      <c r="E3382" s="530"/>
      <c r="F3382" s="530"/>
      <c r="G3382" s="530"/>
      <c r="H3382" s="530"/>
      <c r="I3382" s="530"/>
      <c r="J3382" s="530"/>
      <c r="K3382" s="530"/>
      <c r="L3382" s="530"/>
      <c r="M3382" s="530"/>
      <c r="N3382" s="530"/>
      <c r="O3382" s="530"/>
      <c r="P3382" s="530"/>
      <c r="Q3382" s="530"/>
      <c r="R3382" s="530"/>
      <c r="S3382" s="531"/>
      <c r="T3382" s="363"/>
      <c r="U3382" s="364"/>
      <c r="V3382" s="364"/>
      <c r="W3382" s="364"/>
      <c r="X3382" s="364"/>
      <c r="Y3382" s="364"/>
      <c r="Z3382" s="364"/>
      <c r="AA3382" s="364"/>
      <c r="AB3382" s="364"/>
      <c r="AC3382" s="364"/>
      <c r="AD3382" s="364"/>
      <c r="AE3382" s="364"/>
      <c r="AF3382" s="475"/>
      <c r="AG3382" s="363"/>
      <c r="AH3382" s="364"/>
      <c r="AI3382" s="364"/>
      <c r="AJ3382" s="364"/>
      <c r="AK3382" s="364"/>
      <c r="AL3382" s="364"/>
      <c r="AM3382" s="364"/>
      <c r="AN3382" s="364"/>
      <c r="AO3382" s="364"/>
      <c r="AP3382" s="364"/>
      <c r="AQ3382" s="364"/>
      <c r="AR3382" s="387"/>
      <c r="AS3382" s="386"/>
      <c r="AT3382" s="364"/>
      <c r="AU3382" s="364"/>
      <c r="AV3382" s="364"/>
      <c r="AW3382" s="364"/>
      <c r="AX3382" s="364"/>
      <c r="AY3382" s="364"/>
      <c r="AZ3382" s="364"/>
      <c r="BA3382" s="364"/>
      <c r="BB3382" s="364"/>
      <c r="BC3382" s="364"/>
      <c r="BD3382" s="475"/>
      <c r="BE3382" s="363"/>
      <c r="BF3382" s="364"/>
      <c r="BG3382" s="364"/>
      <c r="BH3382" s="364"/>
      <c r="BI3382" s="364"/>
      <c r="BJ3382" s="364"/>
      <c r="BK3382" s="364"/>
      <c r="BL3382" s="364"/>
      <c r="BM3382" s="364"/>
      <c r="BN3382" s="364"/>
      <c r="BO3382" s="387"/>
      <c r="BP3382" s="398">
        <f t="shared" si="622"/>
        <v>0</v>
      </c>
      <c r="BQ3382" s="399"/>
      <c r="BR3382" s="399"/>
      <c r="BS3382" s="399"/>
      <c r="BT3382" s="399"/>
      <c r="BU3382" s="399"/>
      <c r="BV3382" s="399"/>
      <c r="BW3382" s="399"/>
      <c r="BX3382" s="399"/>
      <c r="BY3382" s="399"/>
      <c r="BZ3382" s="400"/>
      <c r="CA3382" s="142"/>
      <c r="CB3382" s="3" t="str">
        <f t="shared" si="624"/>
        <v>Riadok bude skrytý.</v>
      </c>
      <c r="CC3382" s="271" t="s">
        <v>832</v>
      </c>
      <c r="CW3382" s="134">
        <f t="shared" si="623"/>
        <v>0</v>
      </c>
      <c r="CZ3382" s="30">
        <f t="shared" si="615"/>
        <v>1</v>
      </c>
      <c r="DA3382" s="30">
        <f t="shared" si="621"/>
        <v>0</v>
      </c>
      <c r="DB3382" s="2">
        <f t="shared" si="620"/>
        <v>0</v>
      </c>
      <c r="DS3382" s="130">
        <f>SI!BY3382</f>
        <v>167</v>
      </c>
      <c r="DZ3382" s="131">
        <f>SI!BZ3382</f>
        <v>15</v>
      </c>
    </row>
    <row r="3383" spans="1:130" ht="38.25" hidden="1" customHeight="1" x14ac:dyDescent="0.25">
      <c r="A3383" s="141"/>
      <c r="B3383" s="529" t="str">
        <f>+IF(LEN(SI!$J$5)=Poznamky_k_UZ!DZ3383,"Oceňovacie rozdiely z precenenia pri zlúčení, splynutí a rozdelení","")</f>
        <v>Oceňovacie rozdiely z precenenia pri zlúčení, splynutí a rozdelení</v>
      </c>
      <c r="C3383" s="530"/>
      <c r="D3383" s="530"/>
      <c r="E3383" s="530"/>
      <c r="F3383" s="530"/>
      <c r="G3383" s="530"/>
      <c r="H3383" s="530"/>
      <c r="I3383" s="530"/>
      <c r="J3383" s="530"/>
      <c r="K3383" s="530"/>
      <c r="L3383" s="530"/>
      <c r="M3383" s="530"/>
      <c r="N3383" s="530"/>
      <c r="O3383" s="530"/>
      <c r="P3383" s="530"/>
      <c r="Q3383" s="530"/>
      <c r="R3383" s="530"/>
      <c r="S3383" s="531"/>
      <c r="T3383" s="363"/>
      <c r="U3383" s="364"/>
      <c r="V3383" s="364"/>
      <c r="W3383" s="364"/>
      <c r="X3383" s="364"/>
      <c r="Y3383" s="364"/>
      <c r="Z3383" s="364"/>
      <c r="AA3383" s="364"/>
      <c r="AB3383" s="364"/>
      <c r="AC3383" s="364"/>
      <c r="AD3383" s="364"/>
      <c r="AE3383" s="364"/>
      <c r="AF3383" s="475"/>
      <c r="AG3383" s="363"/>
      <c r="AH3383" s="364"/>
      <c r="AI3383" s="364"/>
      <c r="AJ3383" s="364"/>
      <c r="AK3383" s="364"/>
      <c r="AL3383" s="364"/>
      <c r="AM3383" s="364"/>
      <c r="AN3383" s="364"/>
      <c r="AO3383" s="364"/>
      <c r="AP3383" s="364"/>
      <c r="AQ3383" s="364"/>
      <c r="AR3383" s="387"/>
      <c r="AS3383" s="386"/>
      <c r="AT3383" s="364"/>
      <c r="AU3383" s="364"/>
      <c r="AV3383" s="364"/>
      <c r="AW3383" s="364"/>
      <c r="AX3383" s="364"/>
      <c r="AY3383" s="364"/>
      <c r="AZ3383" s="364"/>
      <c r="BA3383" s="364"/>
      <c r="BB3383" s="364"/>
      <c r="BC3383" s="364"/>
      <c r="BD3383" s="475"/>
      <c r="BE3383" s="363"/>
      <c r="BF3383" s="364"/>
      <c r="BG3383" s="364"/>
      <c r="BH3383" s="364"/>
      <c r="BI3383" s="364"/>
      <c r="BJ3383" s="364"/>
      <c r="BK3383" s="364"/>
      <c r="BL3383" s="364"/>
      <c r="BM3383" s="364"/>
      <c r="BN3383" s="364"/>
      <c r="BO3383" s="387"/>
      <c r="BP3383" s="398">
        <f t="shared" si="622"/>
        <v>0</v>
      </c>
      <c r="BQ3383" s="399"/>
      <c r="BR3383" s="399"/>
      <c r="BS3383" s="399"/>
      <c r="BT3383" s="399"/>
      <c r="BU3383" s="399"/>
      <c r="BV3383" s="399"/>
      <c r="BW3383" s="399"/>
      <c r="BX3383" s="399"/>
      <c r="BY3383" s="399"/>
      <c r="BZ3383" s="400"/>
      <c r="CA3383" s="142"/>
      <c r="CB3383" s="3" t="str">
        <f t="shared" si="624"/>
        <v>Riadok bude skrytý.</v>
      </c>
      <c r="CC3383" s="271" t="s">
        <v>832</v>
      </c>
      <c r="CW3383" s="134">
        <f t="shared" si="623"/>
        <v>0</v>
      </c>
      <c r="CZ3383" s="30">
        <f t="shared" ref="CZ3383:CZ3446" si="625">IF(CC3383="",1,IF(CC3383="Chcem skryť riadok.",0,1))</f>
        <v>1</v>
      </c>
      <c r="DA3383" s="30">
        <f t="shared" si="621"/>
        <v>0</v>
      </c>
      <c r="DB3383" s="2">
        <f t="shared" si="620"/>
        <v>0</v>
      </c>
      <c r="DS3383" s="130">
        <f>SI!BY3383</f>
        <v>180</v>
      </c>
      <c r="DZ3383" s="131">
        <f>SI!BZ3383</f>
        <v>15</v>
      </c>
    </row>
    <row r="3384" spans="1:130" hidden="1" x14ac:dyDescent="0.25">
      <c r="A3384" s="141"/>
      <c r="B3384" s="532" t="str">
        <f>+IF(LEN(SI!$J$5)=Poznamky_k_UZ!DZ3384,"Zákonný rezervný fond","")</f>
        <v>Zákonný rezervný fond</v>
      </c>
      <c r="C3384" s="533"/>
      <c r="D3384" s="533"/>
      <c r="E3384" s="533"/>
      <c r="F3384" s="533"/>
      <c r="G3384" s="533"/>
      <c r="H3384" s="533"/>
      <c r="I3384" s="533"/>
      <c r="J3384" s="533"/>
      <c r="K3384" s="533"/>
      <c r="L3384" s="533"/>
      <c r="M3384" s="533"/>
      <c r="N3384" s="533"/>
      <c r="O3384" s="533"/>
      <c r="P3384" s="533"/>
      <c r="Q3384" s="533"/>
      <c r="R3384" s="533"/>
      <c r="S3384" s="534"/>
      <c r="T3384" s="363"/>
      <c r="U3384" s="364"/>
      <c r="V3384" s="364"/>
      <c r="W3384" s="364"/>
      <c r="X3384" s="364"/>
      <c r="Y3384" s="364"/>
      <c r="Z3384" s="364"/>
      <c r="AA3384" s="364"/>
      <c r="AB3384" s="364"/>
      <c r="AC3384" s="364"/>
      <c r="AD3384" s="364"/>
      <c r="AE3384" s="364"/>
      <c r="AF3384" s="475"/>
      <c r="AG3384" s="363"/>
      <c r="AH3384" s="364"/>
      <c r="AI3384" s="364"/>
      <c r="AJ3384" s="364"/>
      <c r="AK3384" s="364"/>
      <c r="AL3384" s="364"/>
      <c r="AM3384" s="364"/>
      <c r="AN3384" s="364"/>
      <c r="AO3384" s="364"/>
      <c r="AP3384" s="364"/>
      <c r="AQ3384" s="364"/>
      <c r="AR3384" s="387"/>
      <c r="AS3384" s="386"/>
      <c r="AT3384" s="364"/>
      <c r="AU3384" s="364"/>
      <c r="AV3384" s="364"/>
      <c r="AW3384" s="364"/>
      <c r="AX3384" s="364"/>
      <c r="AY3384" s="364"/>
      <c r="AZ3384" s="364"/>
      <c r="BA3384" s="364"/>
      <c r="BB3384" s="364"/>
      <c r="BC3384" s="364"/>
      <c r="BD3384" s="475"/>
      <c r="BE3384" s="363"/>
      <c r="BF3384" s="364"/>
      <c r="BG3384" s="364"/>
      <c r="BH3384" s="364"/>
      <c r="BI3384" s="364"/>
      <c r="BJ3384" s="364"/>
      <c r="BK3384" s="364"/>
      <c r="BL3384" s="364"/>
      <c r="BM3384" s="364"/>
      <c r="BN3384" s="364"/>
      <c r="BO3384" s="387"/>
      <c r="BP3384" s="398">
        <f t="shared" si="622"/>
        <v>0</v>
      </c>
      <c r="BQ3384" s="399"/>
      <c r="BR3384" s="399"/>
      <c r="BS3384" s="399"/>
      <c r="BT3384" s="399"/>
      <c r="BU3384" s="399"/>
      <c r="BV3384" s="399"/>
      <c r="BW3384" s="399"/>
      <c r="BX3384" s="399"/>
      <c r="BY3384" s="399"/>
      <c r="BZ3384" s="400"/>
      <c r="CA3384" s="142"/>
      <c r="CB3384" s="3" t="str">
        <f t="shared" si="624"/>
        <v>Riadok bude skrytý.</v>
      </c>
      <c r="CC3384" s="271" t="s">
        <v>832</v>
      </c>
      <c r="CW3384" s="134">
        <f t="shared" si="623"/>
        <v>0</v>
      </c>
      <c r="CZ3384" s="30">
        <f t="shared" si="625"/>
        <v>1</v>
      </c>
      <c r="DA3384" s="30">
        <f t="shared" si="621"/>
        <v>0</v>
      </c>
      <c r="DB3384" s="2">
        <f t="shared" si="620"/>
        <v>0</v>
      </c>
      <c r="DS3384" s="130">
        <f>SI!BY3384</f>
        <v>202</v>
      </c>
      <c r="DZ3384" s="131">
        <f>SI!BZ3384</f>
        <v>15</v>
      </c>
    </row>
    <row r="3385" spans="1:130" hidden="1" x14ac:dyDescent="0.25">
      <c r="A3385" s="141"/>
      <c r="B3385" s="532" t="str">
        <f>+IF(LEN(SI!$J$5)=Poznamky_k_UZ!DZ3385,"Nedeliteľný fond","")</f>
        <v>Nedeliteľný fond</v>
      </c>
      <c r="C3385" s="533"/>
      <c r="D3385" s="533"/>
      <c r="E3385" s="533"/>
      <c r="F3385" s="533"/>
      <c r="G3385" s="533"/>
      <c r="H3385" s="533"/>
      <c r="I3385" s="533"/>
      <c r="J3385" s="533"/>
      <c r="K3385" s="533"/>
      <c r="L3385" s="533"/>
      <c r="M3385" s="533"/>
      <c r="N3385" s="533"/>
      <c r="O3385" s="533"/>
      <c r="P3385" s="533"/>
      <c r="Q3385" s="533"/>
      <c r="R3385" s="533"/>
      <c r="S3385" s="534"/>
      <c r="T3385" s="363"/>
      <c r="U3385" s="364"/>
      <c r="V3385" s="364"/>
      <c r="W3385" s="364"/>
      <c r="X3385" s="364"/>
      <c r="Y3385" s="364"/>
      <c r="Z3385" s="364"/>
      <c r="AA3385" s="364"/>
      <c r="AB3385" s="364"/>
      <c r="AC3385" s="364"/>
      <c r="AD3385" s="364"/>
      <c r="AE3385" s="364"/>
      <c r="AF3385" s="475"/>
      <c r="AG3385" s="363"/>
      <c r="AH3385" s="364"/>
      <c r="AI3385" s="364"/>
      <c r="AJ3385" s="364"/>
      <c r="AK3385" s="364"/>
      <c r="AL3385" s="364"/>
      <c r="AM3385" s="364"/>
      <c r="AN3385" s="364"/>
      <c r="AO3385" s="364"/>
      <c r="AP3385" s="364"/>
      <c r="AQ3385" s="364"/>
      <c r="AR3385" s="387"/>
      <c r="AS3385" s="386"/>
      <c r="AT3385" s="364"/>
      <c r="AU3385" s="364"/>
      <c r="AV3385" s="364"/>
      <c r="AW3385" s="364"/>
      <c r="AX3385" s="364"/>
      <c r="AY3385" s="364"/>
      <c r="AZ3385" s="364"/>
      <c r="BA3385" s="364"/>
      <c r="BB3385" s="364"/>
      <c r="BC3385" s="364"/>
      <c r="BD3385" s="475"/>
      <c r="BE3385" s="363"/>
      <c r="BF3385" s="364"/>
      <c r="BG3385" s="364"/>
      <c r="BH3385" s="364"/>
      <c r="BI3385" s="364"/>
      <c r="BJ3385" s="364"/>
      <c r="BK3385" s="364"/>
      <c r="BL3385" s="364"/>
      <c r="BM3385" s="364"/>
      <c r="BN3385" s="364"/>
      <c r="BO3385" s="387"/>
      <c r="BP3385" s="398">
        <f t="shared" si="622"/>
        <v>0</v>
      </c>
      <c r="BQ3385" s="399"/>
      <c r="BR3385" s="399"/>
      <c r="BS3385" s="399"/>
      <c r="BT3385" s="399"/>
      <c r="BU3385" s="399"/>
      <c r="BV3385" s="399"/>
      <c r="BW3385" s="399"/>
      <c r="BX3385" s="399"/>
      <c r="BY3385" s="399"/>
      <c r="BZ3385" s="400"/>
      <c r="CA3385" s="142"/>
      <c r="CB3385" s="3" t="str">
        <f t="shared" si="624"/>
        <v>Riadok bude skrytý.</v>
      </c>
      <c r="CC3385" s="271" t="s">
        <v>832</v>
      </c>
      <c r="CW3385" s="134">
        <f t="shared" si="623"/>
        <v>0</v>
      </c>
      <c r="CZ3385" s="30">
        <f t="shared" si="625"/>
        <v>1</v>
      </c>
      <c r="DA3385" s="30">
        <f t="shared" si="621"/>
        <v>0</v>
      </c>
      <c r="DB3385" s="2">
        <f t="shared" si="620"/>
        <v>0</v>
      </c>
      <c r="DS3385" s="130">
        <f>SI!BY3385</f>
        <v>171</v>
      </c>
      <c r="DZ3385" s="131">
        <f>SI!BZ3385</f>
        <v>15</v>
      </c>
    </row>
    <row r="3386" spans="1:130" ht="25.5" hidden="1" customHeight="1" x14ac:dyDescent="0.25">
      <c r="A3386" s="141"/>
      <c r="B3386" s="529" t="str">
        <f>+IF(LEN(SI!$J$5)=Poznamky_k_UZ!DZ3386,"Štatutárne fondy a ostatné fondy","")</f>
        <v>Štatutárne fondy a ostatné fondy</v>
      </c>
      <c r="C3386" s="530"/>
      <c r="D3386" s="530"/>
      <c r="E3386" s="530"/>
      <c r="F3386" s="530"/>
      <c r="G3386" s="530"/>
      <c r="H3386" s="530"/>
      <c r="I3386" s="530"/>
      <c r="J3386" s="530"/>
      <c r="K3386" s="530"/>
      <c r="L3386" s="530"/>
      <c r="M3386" s="530"/>
      <c r="N3386" s="530"/>
      <c r="O3386" s="530"/>
      <c r="P3386" s="530"/>
      <c r="Q3386" s="530"/>
      <c r="R3386" s="530"/>
      <c r="S3386" s="531"/>
      <c r="T3386" s="363"/>
      <c r="U3386" s="364"/>
      <c r="V3386" s="364"/>
      <c r="W3386" s="364"/>
      <c r="X3386" s="364"/>
      <c r="Y3386" s="364"/>
      <c r="Z3386" s="364"/>
      <c r="AA3386" s="364"/>
      <c r="AB3386" s="364"/>
      <c r="AC3386" s="364"/>
      <c r="AD3386" s="364"/>
      <c r="AE3386" s="364"/>
      <c r="AF3386" s="475"/>
      <c r="AG3386" s="363"/>
      <c r="AH3386" s="364"/>
      <c r="AI3386" s="364"/>
      <c r="AJ3386" s="364"/>
      <c r="AK3386" s="364"/>
      <c r="AL3386" s="364"/>
      <c r="AM3386" s="364"/>
      <c r="AN3386" s="364"/>
      <c r="AO3386" s="364"/>
      <c r="AP3386" s="364"/>
      <c r="AQ3386" s="364"/>
      <c r="AR3386" s="387"/>
      <c r="AS3386" s="386"/>
      <c r="AT3386" s="364"/>
      <c r="AU3386" s="364"/>
      <c r="AV3386" s="364"/>
      <c r="AW3386" s="364"/>
      <c r="AX3386" s="364"/>
      <c r="AY3386" s="364"/>
      <c r="AZ3386" s="364"/>
      <c r="BA3386" s="364"/>
      <c r="BB3386" s="364"/>
      <c r="BC3386" s="364"/>
      <c r="BD3386" s="475"/>
      <c r="BE3386" s="363"/>
      <c r="BF3386" s="364"/>
      <c r="BG3386" s="364"/>
      <c r="BH3386" s="364"/>
      <c r="BI3386" s="364"/>
      <c r="BJ3386" s="364"/>
      <c r="BK3386" s="364"/>
      <c r="BL3386" s="364"/>
      <c r="BM3386" s="364"/>
      <c r="BN3386" s="364"/>
      <c r="BO3386" s="387"/>
      <c r="BP3386" s="398">
        <f t="shared" si="622"/>
        <v>0</v>
      </c>
      <c r="BQ3386" s="399"/>
      <c r="BR3386" s="399"/>
      <c r="BS3386" s="399"/>
      <c r="BT3386" s="399"/>
      <c r="BU3386" s="399"/>
      <c r="BV3386" s="399"/>
      <c r="BW3386" s="399"/>
      <c r="BX3386" s="399"/>
      <c r="BY3386" s="399"/>
      <c r="BZ3386" s="400"/>
      <c r="CA3386" s="142"/>
      <c r="CB3386" s="3" t="str">
        <f t="shared" si="624"/>
        <v>Riadok bude skrytý.</v>
      </c>
      <c r="CC3386" s="271" t="s">
        <v>832</v>
      </c>
      <c r="CW3386" s="134">
        <f t="shared" si="623"/>
        <v>0</v>
      </c>
      <c r="CZ3386" s="30">
        <f t="shared" si="625"/>
        <v>1</v>
      </c>
      <c r="DA3386" s="30">
        <f t="shared" si="621"/>
        <v>0</v>
      </c>
      <c r="DB3386" s="2">
        <f t="shared" si="620"/>
        <v>0</v>
      </c>
      <c r="DS3386" s="130">
        <f>SI!BY3386</f>
        <v>133</v>
      </c>
      <c r="DZ3386" s="131">
        <f>SI!BZ3386</f>
        <v>15</v>
      </c>
    </row>
    <row r="3387" spans="1:130" ht="25.5" hidden="1" customHeight="1" x14ac:dyDescent="0.25">
      <c r="A3387" s="141"/>
      <c r="B3387" s="529" t="str">
        <f>+IF(LEN(SI!$J$5)=Poznamky_k_UZ!DZ3387,"Nerozdelený zisk minulých rokov","")</f>
        <v>Nerozdelený zisk minulých rokov</v>
      </c>
      <c r="C3387" s="530"/>
      <c r="D3387" s="530"/>
      <c r="E3387" s="530"/>
      <c r="F3387" s="530"/>
      <c r="G3387" s="530"/>
      <c r="H3387" s="530"/>
      <c r="I3387" s="530"/>
      <c r="J3387" s="530"/>
      <c r="K3387" s="530"/>
      <c r="L3387" s="530"/>
      <c r="M3387" s="530"/>
      <c r="N3387" s="530"/>
      <c r="O3387" s="530"/>
      <c r="P3387" s="530"/>
      <c r="Q3387" s="530"/>
      <c r="R3387" s="530"/>
      <c r="S3387" s="531"/>
      <c r="T3387" s="363"/>
      <c r="U3387" s="364"/>
      <c r="V3387" s="364"/>
      <c r="W3387" s="364"/>
      <c r="X3387" s="364"/>
      <c r="Y3387" s="364"/>
      <c r="Z3387" s="364"/>
      <c r="AA3387" s="364"/>
      <c r="AB3387" s="364"/>
      <c r="AC3387" s="364"/>
      <c r="AD3387" s="364"/>
      <c r="AE3387" s="364"/>
      <c r="AF3387" s="475"/>
      <c r="AG3387" s="363"/>
      <c r="AH3387" s="364"/>
      <c r="AI3387" s="364"/>
      <c r="AJ3387" s="364"/>
      <c r="AK3387" s="364"/>
      <c r="AL3387" s="364"/>
      <c r="AM3387" s="364"/>
      <c r="AN3387" s="364"/>
      <c r="AO3387" s="364"/>
      <c r="AP3387" s="364"/>
      <c r="AQ3387" s="364"/>
      <c r="AR3387" s="387"/>
      <c r="AS3387" s="386"/>
      <c r="AT3387" s="364"/>
      <c r="AU3387" s="364"/>
      <c r="AV3387" s="364"/>
      <c r="AW3387" s="364"/>
      <c r="AX3387" s="364"/>
      <c r="AY3387" s="364"/>
      <c r="AZ3387" s="364"/>
      <c r="BA3387" s="364"/>
      <c r="BB3387" s="364"/>
      <c r="BC3387" s="364"/>
      <c r="BD3387" s="475"/>
      <c r="BE3387" s="363"/>
      <c r="BF3387" s="364"/>
      <c r="BG3387" s="364"/>
      <c r="BH3387" s="364"/>
      <c r="BI3387" s="364"/>
      <c r="BJ3387" s="364"/>
      <c r="BK3387" s="364"/>
      <c r="BL3387" s="364"/>
      <c r="BM3387" s="364"/>
      <c r="BN3387" s="364"/>
      <c r="BO3387" s="387"/>
      <c r="BP3387" s="398">
        <f t="shared" si="622"/>
        <v>0</v>
      </c>
      <c r="BQ3387" s="399"/>
      <c r="BR3387" s="399"/>
      <c r="BS3387" s="399"/>
      <c r="BT3387" s="399"/>
      <c r="BU3387" s="399"/>
      <c r="BV3387" s="399"/>
      <c r="BW3387" s="399"/>
      <c r="BX3387" s="399"/>
      <c r="BY3387" s="399"/>
      <c r="BZ3387" s="400"/>
      <c r="CA3387" s="142"/>
      <c r="CB3387" s="3" t="str">
        <f t="shared" si="624"/>
        <v>Riadok bude skrytý.</v>
      </c>
      <c r="CC3387" s="271" t="s">
        <v>832</v>
      </c>
      <c r="CW3387" s="134">
        <f t="shared" si="623"/>
        <v>0</v>
      </c>
      <c r="CZ3387" s="30">
        <f t="shared" si="625"/>
        <v>1</v>
      </c>
      <c r="DA3387" s="30">
        <f t="shared" si="621"/>
        <v>0</v>
      </c>
      <c r="DB3387" s="2">
        <f t="shared" si="620"/>
        <v>0</v>
      </c>
      <c r="DS3387" s="130">
        <f>SI!BY3387</f>
        <v>129</v>
      </c>
      <c r="DZ3387" s="131">
        <f>SI!BZ3387</f>
        <v>15</v>
      </c>
    </row>
    <row r="3388" spans="1:130" ht="25.5" hidden="1" customHeight="1" x14ac:dyDescent="0.25">
      <c r="A3388" s="141"/>
      <c r="B3388" s="529" t="str">
        <f>+IF(LEN(SI!$J$5)=Poznamky_k_UZ!DZ3388,"Neuhradená strata minulých rokov","")</f>
        <v>Neuhradená strata minulých rokov</v>
      </c>
      <c r="C3388" s="530"/>
      <c r="D3388" s="530"/>
      <c r="E3388" s="530"/>
      <c r="F3388" s="530"/>
      <c r="G3388" s="530"/>
      <c r="H3388" s="530"/>
      <c r="I3388" s="530"/>
      <c r="J3388" s="530"/>
      <c r="K3388" s="530"/>
      <c r="L3388" s="530"/>
      <c r="M3388" s="530"/>
      <c r="N3388" s="530"/>
      <c r="O3388" s="530"/>
      <c r="P3388" s="530"/>
      <c r="Q3388" s="530"/>
      <c r="R3388" s="530"/>
      <c r="S3388" s="531"/>
      <c r="T3388" s="363"/>
      <c r="U3388" s="364"/>
      <c r="V3388" s="364"/>
      <c r="W3388" s="364"/>
      <c r="X3388" s="364"/>
      <c r="Y3388" s="364"/>
      <c r="Z3388" s="364"/>
      <c r="AA3388" s="364"/>
      <c r="AB3388" s="364"/>
      <c r="AC3388" s="364"/>
      <c r="AD3388" s="364"/>
      <c r="AE3388" s="364"/>
      <c r="AF3388" s="475"/>
      <c r="AG3388" s="363"/>
      <c r="AH3388" s="364"/>
      <c r="AI3388" s="364"/>
      <c r="AJ3388" s="364"/>
      <c r="AK3388" s="364"/>
      <c r="AL3388" s="364"/>
      <c r="AM3388" s="364"/>
      <c r="AN3388" s="364"/>
      <c r="AO3388" s="364"/>
      <c r="AP3388" s="364"/>
      <c r="AQ3388" s="364"/>
      <c r="AR3388" s="387"/>
      <c r="AS3388" s="386"/>
      <c r="AT3388" s="364"/>
      <c r="AU3388" s="364"/>
      <c r="AV3388" s="364"/>
      <c r="AW3388" s="364"/>
      <c r="AX3388" s="364"/>
      <c r="AY3388" s="364"/>
      <c r="AZ3388" s="364"/>
      <c r="BA3388" s="364"/>
      <c r="BB3388" s="364"/>
      <c r="BC3388" s="364"/>
      <c r="BD3388" s="475"/>
      <c r="BE3388" s="363"/>
      <c r="BF3388" s="364"/>
      <c r="BG3388" s="364"/>
      <c r="BH3388" s="364"/>
      <c r="BI3388" s="364"/>
      <c r="BJ3388" s="364"/>
      <c r="BK3388" s="364"/>
      <c r="BL3388" s="364"/>
      <c r="BM3388" s="364"/>
      <c r="BN3388" s="364"/>
      <c r="BO3388" s="387"/>
      <c r="BP3388" s="398">
        <f t="shared" si="622"/>
        <v>0</v>
      </c>
      <c r="BQ3388" s="399"/>
      <c r="BR3388" s="399"/>
      <c r="BS3388" s="399"/>
      <c r="BT3388" s="399"/>
      <c r="BU3388" s="399"/>
      <c r="BV3388" s="399"/>
      <c r="BW3388" s="399"/>
      <c r="BX3388" s="399"/>
      <c r="BY3388" s="399"/>
      <c r="BZ3388" s="400"/>
      <c r="CA3388" s="142"/>
      <c r="CB3388" s="3" t="str">
        <f t="shared" si="624"/>
        <v>Riadok bude skrytý.</v>
      </c>
      <c r="CC3388" s="271" t="s">
        <v>832</v>
      </c>
      <c r="CW3388" s="134">
        <f t="shared" si="623"/>
        <v>0</v>
      </c>
      <c r="CZ3388" s="30">
        <f t="shared" si="625"/>
        <v>1</v>
      </c>
      <c r="DA3388" s="30">
        <f t="shared" si="621"/>
        <v>0</v>
      </c>
      <c r="DB3388" s="2">
        <f t="shared" si="620"/>
        <v>0</v>
      </c>
      <c r="DS3388" s="130">
        <f>SI!BY3388</f>
        <v>150</v>
      </c>
      <c r="DZ3388" s="131">
        <f>SI!BZ3388</f>
        <v>15</v>
      </c>
    </row>
    <row r="3389" spans="1:130" ht="25.5" hidden="1" customHeight="1" x14ac:dyDescent="0.25">
      <c r="A3389" s="141"/>
      <c r="B3389" s="529" t="str">
        <f>+IF(LEN(SI!$J$5)=Poznamky_k_UZ!DZ3389,"Výsledok hospodárenia bežného účtovného obdobia","")</f>
        <v>Výsledok hospodárenia bežného účtovného obdobia</v>
      </c>
      <c r="C3389" s="530"/>
      <c r="D3389" s="530"/>
      <c r="E3389" s="530"/>
      <c r="F3389" s="530"/>
      <c r="G3389" s="530"/>
      <c r="H3389" s="530"/>
      <c r="I3389" s="530"/>
      <c r="J3389" s="530"/>
      <c r="K3389" s="530"/>
      <c r="L3389" s="530"/>
      <c r="M3389" s="530"/>
      <c r="N3389" s="530"/>
      <c r="O3389" s="530"/>
      <c r="P3389" s="530"/>
      <c r="Q3389" s="530"/>
      <c r="R3389" s="530"/>
      <c r="S3389" s="531"/>
      <c r="T3389" s="363"/>
      <c r="U3389" s="364"/>
      <c r="V3389" s="364"/>
      <c r="W3389" s="364"/>
      <c r="X3389" s="364"/>
      <c r="Y3389" s="364"/>
      <c r="Z3389" s="364"/>
      <c r="AA3389" s="364"/>
      <c r="AB3389" s="364"/>
      <c r="AC3389" s="364"/>
      <c r="AD3389" s="364"/>
      <c r="AE3389" s="364"/>
      <c r="AF3389" s="475"/>
      <c r="AG3389" s="363"/>
      <c r="AH3389" s="364"/>
      <c r="AI3389" s="364"/>
      <c r="AJ3389" s="364"/>
      <c r="AK3389" s="364"/>
      <c r="AL3389" s="364"/>
      <c r="AM3389" s="364"/>
      <c r="AN3389" s="364"/>
      <c r="AO3389" s="364"/>
      <c r="AP3389" s="364"/>
      <c r="AQ3389" s="364"/>
      <c r="AR3389" s="387"/>
      <c r="AS3389" s="386"/>
      <c r="AT3389" s="364"/>
      <c r="AU3389" s="364"/>
      <c r="AV3389" s="364"/>
      <c r="AW3389" s="364"/>
      <c r="AX3389" s="364"/>
      <c r="AY3389" s="364"/>
      <c r="AZ3389" s="364"/>
      <c r="BA3389" s="364"/>
      <c r="BB3389" s="364"/>
      <c r="BC3389" s="364"/>
      <c r="BD3389" s="475"/>
      <c r="BE3389" s="363"/>
      <c r="BF3389" s="364"/>
      <c r="BG3389" s="364"/>
      <c r="BH3389" s="364"/>
      <c r="BI3389" s="364"/>
      <c r="BJ3389" s="364"/>
      <c r="BK3389" s="364"/>
      <c r="BL3389" s="364"/>
      <c r="BM3389" s="364"/>
      <c r="BN3389" s="364"/>
      <c r="BO3389" s="387"/>
      <c r="BP3389" s="398">
        <f t="shared" si="622"/>
        <v>0</v>
      </c>
      <c r="BQ3389" s="399"/>
      <c r="BR3389" s="399"/>
      <c r="BS3389" s="399"/>
      <c r="BT3389" s="399"/>
      <c r="BU3389" s="399"/>
      <c r="BV3389" s="399"/>
      <c r="BW3389" s="399"/>
      <c r="BX3389" s="399"/>
      <c r="BY3389" s="399"/>
      <c r="BZ3389" s="400"/>
      <c r="CA3389" s="142"/>
      <c r="CB3389" s="3" t="str">
        <f t="shared" si="624"/>
        <v>Riadok bude skrytý.</v>
      </c>
      <c r="CC3389" s="271" t="s">
        <v>832</v>
      </c>
      <c r="CW3389" s="134">
        <f t="shared" si="623"/>
        <v>0</v>
      </c>
      <c r="CZ3389" s="30">
        <f t="shared" si="625"/>
        <v>1</v>
      </c>
      <c r="DA3389" s="30">
        <f t="shared" si="621"/>
        <v>0</v>
      </c>
      <c r="DB3389" s="2">
        <f t="shared" si="620"/>
        <v>0</v>
      </c>
      <c r="DS3389" s="130">
        <f>SI!BY3389</f>
        <v>124</v>
      </c>
      <c r="DZ3389" s="131">
        <f>SI!BZ3389</f>
        <v>15</v>
      </c>
    </row>
    <row r="3390" spans="1:130" ht="14.95" hidden="1" customHeight="1" x14ac:dyDescent="0.25">
      <c r="A3390" s="141"/>
      <c r="B3390" s="529" t="str">
        <f>+IF(LEN(SI!$J$5)=Poznamky_k_UZ!DZ3390,"Vyplatené dividendy","")</f>
        <v>Vyplatené dividendy</v>
      </c>
      <c r="C3390" s="530"/>
      <c r="D3390" s="530"/>
      <c r="E3390" s="530"/>
      <c r="F3390" s="530"/>
      <c r="G3390" s="530"/>
      <c r="H3390" s="530"/>
      <c r="I3390" s="530"/>
      <c r="J3390" s="530"/>
      <c r="K3390" s="530"/>
      <c r="L3390" s="530"/>
      <c r="M3390" s="530"/>
      <c r="N3390" s="530"/>
      <c r="O3390" s="530"/>
      <c r="P3390" s="530"/>
      <c r="Q3390" s="530"/>
      <c r="R3390" s="530"/>
      <c r="S3390" s="531"/>
      <c r="T3390" s="363"/>
      <c r="U3390" s="364"/>
      <c r="V3390" s="364"/>
      <c r="W3390" s="364"/>
      <c r="X3390" s="364"/>
      <c r="Y3390" s="364"/>
      <c r="Z3390" s="364"/>
      <c r="AA3390" s="364"/>
      <c r="AB3390" s="364"/>
      <c r="AC3390" s="364"/>
      <c r="AD3390" s="364"/>
      <c r="AE3390" s="364"/>
      <c r="AF3390" s="475"/>
      <c r="AG3390" s="363"/>
      <c r="AH3390" s="364"/>
      <c r="AI3390" s="364"/>
      <c r="AJ3390" s="364"/>
      <c r="AK3390" s="364"/>
      <c r="AL3390" s="364"/>
      <c r="AM3390" s="364"/>
      <c r="AN3390" s="364"/>
      <c r="AO3390" s="364"/>
      <c r="AP3390" s="364"/>
      <c r="AQ3390" s="364"/>
      <c r="AR3390" s="387"/>
      <c r="AS3390" s="386"/>
      <c r="AT3390" s="364"/>
      <c r="AU3390" s="364"/>
      <c r="AV3390" s="364"/>
      <c r="AW3390" s="364"/>
      <c r="AX3390" s="364"/>
      <c r="AY3390" s="364"/>
      <c r="AZ3390" s="364"/>
      <c r="BA3390" s="364"/>
      <c r="BB3390" s="364"/>
      <c r="BC3390" s="364"/>
      <c r="BD3390" s="475"/>
      <c r="BE3390" s="363"/>
      <c r="BF3390" s="364"/>
      <c r="BG3390" s="364"/>
      <c r="BH3390" s="364"/>
      <c r="BI3390" s="364"/>
      <c r="BJ3390" s="364"/>
      <c r="BK3390" s="364"/>
      <c r="BL3390" s="364"/>
      <c r="BM3390" s="364"/>
      <c r="BN3390" s="364"/>
      <c r="BO3390" s="387"/>
      <c r="BP3390" s="398">
        <f t="shared" si="622"/>
        <v>0</v>
      </c>
      <c r="BQ3390" s="399"/>
      <c r="BR3390" s="399"/>
      <c r="BS3390" s="399"/>
      <c r="BT3390" s="399"/>
      <c r="BU3390" s="399"/>
      <c r="BV3390" s="399"/>
      <c r="BW3390" s="399"/>
      <c r="BX3390" s="399"/>
      <c r="BY3390" s="399"/>
      <c r="BZ3390" s="400"/>
      <c r="CA3390" s="142"/>
      <c r="CB3390" s="3" t="str">
        <f t="shared" si="624"/>
        <v>Riadok bude skrytý.</v>
      </c>
      <c r="CC3390" s="271" t="s">
        <v>832</v>
      </c>
      <c r="CW3390" s="134">
        <f t="shared" si="623"/>
        <v>0</v>
      </c>
      <c r="CZ3390" s="30">
        <f t="shared" si="625"/>
        <v>1</v>
      </c>
      <c r="DA3390" s="30">
        <f t="shared" si="621"/>
        <v>0</v>
      </c>
      <c r="DB3390" s="2">
        <f t="shared" si="620"/>
        <v>0</v>
      </c>
      <c r="DS3390" s="130">
        <f>SI!BY3390</f>
        <v>120</v>
      </c>
      <c r="DZ3390" s="131">
        <f>SI!BZ3390</f>
        <v>15</v>
      </c>
    </row>
    <row r="3391" spans="1:130" ht="25.5" hidden="1" customHeight="1" x14ac:dyDescent="0.25">
      <c r="A3391" s="141"/>
      <c r="B3391" s="529" t="str">
        <f>+IF(LEN(SI!$J$5)=Poznamky_k_UZ!DZ3391,"Ostatné položky vlastného imania","")</f>
        <v>Ostatné položky vlastného imania</v>
      </c>
      <c r="C3391" s="530"/>
      <c r="D3391" s="530"/>
      <c r="E3391" s="530"/>
      <c r="F3391" s="530"/>
      <c r="G3391" s="530"/>
      <c r="H3391" s="530"/>
      <c r="I3391" s="530"/>
      <c r="J3391" s="530"/>
      <c r="K3391" s="530"/>
      <c r="L3391" s="530"/>
      <c r="M3391" s="530"/>
      <c r="N3391" s="530"/>
      <c r="O3391" s="530"/>
      <c r="P3391" s="530"/>
      <c r="Q3391" s="530"/>
      <c r="R3391" s="530"/>
      <c r="S3391" s="531"/>
      <c r="T3391" s="363"/>
      <c r="U3391" s="364"/>
      <c r="V3391" s="364"/>
      <c r="W3391" s="364"/>
      <c r="X3391" s="364"/>
      <c r="Y3391" s="364"/>
      <c r="Z3391" s="364"/>
      <c r="AA3391" s="364"/>
      <c r="AB3391" s="364"/>
      <c r="AC3391" s="364"/>
      <c r="AD3391" s="364"/>
      <c r="AE3391" s="364"/>
      <c r="AF3391" s="475"/>
      <c r="AG3391" s="363"/>
      <c r="AH3391" s="364"/>
      <c r="AI3391" s="364"/>
      <c r="AJ3391" s="364"/>
      <c r="AK3391" s="364"/>
      <c r="AL3391" s="364"/>
      <c r="AM3391" s="364"/>
      <c r="AN3391" s="364"/>
      <c r="AO3391" s="364"/>
      <c r="AP3391" s="364"/>
      <c r="AQ3391" s="364"/>
      <c r="AR3391" s="387"/>
      <c r="AS3391" s="386"/>
      <c r="AT3391" s="364"/>
      <c r="AU3391" s="364"/>
      <c r="AV3391" s="364"/>
      <c r="AW3391" s="364"/>
      <c r="AX3391" s="364"/>
      <c r="AY3391" s="364"/>
      <c r="AZ3391" s="364"/>
      <c r="BA3391" s="364"/>
      <c r="BB3391" s="364"/>
      <c r="BC3391" s="364"/>
      <c r="BD3391" s="475"/>
      <c r="BE3391" s="363"/>
      <c r="BF3391" s="364"/>
      <c r="BG3391" s="364"/>
      <c r="BH3391" s="364"/>
      <c r="BI3391" s="364"/>
      <c r="BJ3391" s="364"/>
      <c r="BK3391" s="364"/>
      <c r="BL3391" s="364"/>
      <c r="BM3391" s="364"/>
      <c r="BN3391" s="364"/>
      <c r="BO3391" s="387"/>
      <c r="BP3391" s="398">
        <f t="shared" si="622"/>
        <v>0</v>
      </c>
      <c r="BQ3391" s="399"/>
      <c r="BR3391" s="399"/>
      <c r="BS3391" s="399"/>
      <c r="BT3391" s="399"/>
      <c r="BU3391" s="399"/>
      <c r="BV3391" s="399"/>
      <c r="BW3391" s="399"/>
      <c r="BX3391" s="399"/>
      <c r="BY3391" s="399"/>
      <c r="BZ3391" s="400"/>
      <c r="CA3391" s="142"/>
      <c r="CB3391" s="3" t="str">
        <f t="shared" si="624"/>
        <v>Riadok bude skrytý.</v>
      </c>
      <c r="CC3391" s="271" t="s">
        <v>832</v>
      </c>
      <c r="CD3391" s="137"/>
      <c r="CW3391" s="134">
        <f t="shared" si="623"/>
        <v>0</v>
      </c>
      <c r="CZ3391" s="30">
        <f t="shared" si="625"/>
        <v>1</v>
      </c>
      <c r="DA3391" s="30">
        <f t="shared" si="621"/>
        <v>0</v>
      </c>
      <c r="DB3391" s="2">
        <f t="shared" si="620"/>
        <v>0</v>
      </c>
      <c r="DS3391" s="130">
        <f>SI!BY3391</f>
        <v>113</v>
      </c>
      <c r="DZ3391" s="131">
        <f>SI!BZ3391</f>
        <v>15</v>
      </c>
    </row>
    <row r="3392" spans="1:130" ht="25.5" hidden="1" customHeight="1" x14ac:dyDescent="0.25">
      <c r="A3392" s="141"/>
      <c r="B3392" s="1507" t="str">
        <f>+IF(LEN(SI!$J$5)=Poznamky_k_UZ!DZ3392,"Účet 491 - Vlastné imanie fyzickej osoby - podnikateľa","")</f>
        <v>Účet 491 - Vlastné imanie fyzickej osoby - podnikateľa</v>
      </c>
      <c r="C3392" s="1508"/>
      <c r="D3392" s="1508"/>
      <c r="E3392" s="1508"/>
      <c r="F3392" s="1508"/>
      <c r="G3392" s="1508"/>
      <c r="H3392" s="1508"/>
      <c r="I3392" s="1508"/>
      <c r="J3392" s="1508"/>
      <c r="K3392" s="1508"/>
      <c r="L3392" s="1508"/>
      <c r="M3392" s="1508"/>
      <c r="N3392" s="1508"/>
      <c r="O3392" s="1508"/>
      <c r="P3392" s="1508"/>
      <c r="Q3392" s="1508"/>
      <c r="R3392" s="1508"/>
      <c r="S3392" s="1509"/>
      <c r="T3392" s="367"/>
      <c r="U3392" s="368"/>
      <c r="V3392" s="368"/>
      <c r="W3392" s="368"/>
      <c r="X3392" s="368"/>
      <c r="Y3392" s="368"/>
      <c r="Z3392" s="368"/>
      <c r="AA3392" s="368"/>
      <c r="AB3392" s="368"/>
      <c r="AC3392" s="368"/>
      <c r="AD3392" s="368"/>
      <c r="AE3392" s="368"/>
      <c r="AF3392" s="458"/>
      <c r="AG3392" s="367"/>
      <c r="AH3392" s="368"/>
      <c r="AI3392" s="368"/>
      <c r="AJ3392" s="368"/>
      <c r="AK3392" s="368"/>
      <c r="AL3392" s="368"/>
      <c r="AM3392" s="368"/>
      <c r="AN3392" s="368"/>
      <c r="AO3392" s="368"/>
      <c r="AP3392" s="368"/>
      <c r="AQ3392" s="368"/>
      <c r="AR3392" s="438"/>
      <c r="AS3392" s="457"/>
      <c r="AT3392" s="368"/>
      <c r="AU3392" s="368"/>
      <c r="AV3392" s="368"/>
      <c r="AW3392" s="368"/>
      <c r="AX3392" s="368"/>
      <c r="AY3392" s="368"/>
      <c r="AZ3392" s="368"/>
      <c r="BA3392" s="368"/>
      <c r="BB3392" s="368"/>
      <c r="BC3392" s="368"/>
      <c r="BD3392" s="458"/>
      <c r="BE3392" s="367"/>
      <c r="BF3392" s="368"/>
      <c r="BG3392" s="368"/>
      <c r="BH3392" s="368"/>
      <c r="BI3392" s="368"/>
      <c r="BJ3392" s="368"/>
      <c r="BK3392" s="368"/>
      <c r="BL3392" s="368"/>
      <c r="BM3392" s="368"/>
      <c r="BN3392" s="368"/>
      <c r="BO3392" s="438"/>
      <c r="BP3392" s="398">
        <f t="shared" si="622"/>
        <v>0</v>
      </c>
      <c r="BQ3392" s="399"/>
      <c r="BR3392" s="399"/>
      <c r="BS3392" s="399"/>
      <c r="BT3392" s="399"/>
      <c r="BU3392" s="399"/>
      <c r="BV3392" s="399"/>
      <c r="BW3392" s="399"/>
      <c r="BX3392" s="399"/>
      <c r="BY3392" s="399"/>
      <c r="BZ3392" s="400"/>
      <c r="CA3392" s="142"/>
      <c r="CB3392" s="3" t="str">
        <f t="shared" si="624"/>
        <v>Riadok bude skrytý.</v>
      </c>
      <c r="CC3392" s="271" t="s">
        <v>832</v>
      </c>
      <c r="CW3392" s="134">
        <f t="shared" si="623"/>
        <v>0</v>
      </c>
      <c r="CZ3392" s="30">
        <f t="shared" si="625"/>
        <v>1</v>
      </c>
      <c r="DA3392" s="30">
        <f t="shared" si="621"/>
        <v>0</v>
      </c>
      <c r="DB3392" s="2">
        <f t="shared" si="620"/>
        <v>0</v>
      </c>
      <c r="DS3392" s="130">
        <f>SI!BY3392</f>
        <v>146</v>
      </c>
      <c r="DZ3392" s="131">
        <f>SI!BZ3392</f>
        <v>15</v>
      </c>
    </row>
    <row r="3393" spans="1:130" ht="25.5" hidden="1" customHeight="1" x14ac:dyDescent="0.25">
      <c r="A3393" s="141"/>
      <c r="B3393" s="1488" t="s">
        <v>45</v>
      </c>
      <c r="C3393" s="1489"/>
      <c r="D3393" s="1489"/>
      <c r="E3393" s="1489"/>
      <c r="F3393" s="1489"/>
      <c r="G3393" s="1489"/>
      <c r="H3393" s="1489"/>
      <c r="I3393" s="1489"/>
      <c r="J3393" s="1489"/>
      <c r="K3393" s="1489"/>
      <c r="L3393" s="1489"/>
      <c r="M3393" s="1489"/>
      <c r="N3393" s="1489"/>
      <c r="O3393" s="1489"/>
      <c r="P3393" s="1489"/>
      <c r="Q3393" s="1489"/>
      <c r="R3393" s="1489"/>
      <c r="S3393" s="1490"/>
      <c r="T3393" s="411">
        <f>+SUM(T3374:AF3392)</f>
        <v>0</v>
      </c>
      <c r="U3393" s="412"/>
      <c r="V3393" s="412"/>
      <c r="W3393" s="412"/>
      <c r="X3393" s="412"/>
      <c r="Y3393" s="412"/>
      <c r="Z3393" s="412"/>
      <c r="AA3393" s="412"/>
      <c r="AB3393" s="412"/>
      <c r="AC3393" s="412"/>
      <c r="AD3393" s="412"/>
      <c r="AE3393" s="412"/>
      <c r="AF3393" s="477"/>
      <c r="AG3393" s="411">
        <f>+SUM(AG3374:AR3392)</f>
        <v>0</v>
      </c>
      <c r="AH3393" s="412"/>
      <c r="AI3393" s="412"/>
      <c r="AJ3393" s="412"/>
      <c r="AK3393" s="412"/>
      <c r="AL3393" s="412"/>
      <c r="AM3393" s="412"/>
      <c r="AN3393" s="412"/>
      <c r="AO3393" s="412"/>
      <c r="AP3393" s="412"/>
      <c r="AQ3393" s="412"/>
      <c r="AR3393" s="413"/>
      <c r="AS3393" s="411">
        <f>+SUM(AS3374:BD3392)</f>
        <v>0</v>
      </c>
      <c r="AT3393" s="412"/>
      <c r="AU3393" s="412"/>
      <c r="AV3393" s="412"/>
      <c r="AW3393" s="412"/>
      <c r="AX3393" s="412"/>
      <c r="AY3393" s="412"/>
      <c r="AZ3393" s="412"/>
      <c r="BA3393" s="412"/>
      <c r="BB3393" s="412"/>
      <c r="BC3393" s="412"/>
      <c r="BD3393" s="413"/>
      <c r="BE3393" s="411">
        <f>+SUM(BE3374:BO3392)</f>
        <v>0</v>
      </c>
      <c r="BF3393" s="412"/>
      <c r="BG3393" s="412"/>
      <c r="BH3393" s="412"/>
      <c r="BI3393" s="412"/>
      <c r="BJ3393" s="412"/>
      <c r="BK3393" s="412"/>
      <c r="BL3393" s="412"/>
      <c r="BM3393" s="412"/>
      <c r="BN3393" s="412"/>
      <c r="BO3393" s="413"/>
      <c r="BP3393" s="411">
        <f t="shared" si="622"/>
        <v>0</v>
      </c>
      <c r="BQ3393" s="412"/>
      <c r="BR3393" s="412"/>
      <c r="BS3393" s="412"/>
      <c r="BT3393" s="412"/>
      <c r="BU3393" s="412"/>
      <c r="BV3393" s="412"/>
      <c r="BW3393" s="412"/>
      <c r="BX3393" s="412"/>
      <c r="BY3393" s="412"/>
      <c r="BZ3393" s="413"/>
      <c r="CA3393" s="142"/>
      <c r="CB3393" s="3" t="str">
        <f t="shared" si="624"/>
        <v>Riadok bude skrytý.</v>
      </c>
      <c r="CC3393" s="271" t="s">
        <v>832</v>
      </c>
      <c r="CD3393" s="137"/>
      <c r="CE3393" s="137"/>
      <c r="CF3393" s="137"/>
      <c r="CG3393" s="137"/>
      <c r="CW3393" s="134">
        <f>+IF(SUM(CW3374:CW3392)=0,0,1)</f>
        <v>0</v>
      </c>
      <c r="CZ3393" s="30">
        <f t="shared" si="625"/>
        <v>1</v>
      </c>
      <c r="DA3393" s="30">
        <f t="shared" si="621"/>
        <v>0</v>
      </c>
      <c r="DB3393" s="2">
        <f t="shared" si="620"/>
        <v>0</v>
      </c>
      <c r="DS3393" s="130">
        <f>SI!BY3393</f>
        <v>141</v>
      </c>
      <c r="DZ3393" s="131">
        <f>SI!BZ3393</f>
        <v>0</v>
      </c>
    </row>
    <row r="3394" spans="1:130" hidden="1" x14ac:dyDescent="0.25">
      <c r="A3394" s="141"/>
      <c r="O3394" s="309"/>
      <c r="P3394" s="309"/>
      <c r="Q3394" s="309"/>
      <c r="R3394" s="309"/>
      <c r="S3394" s="309"/>
      <c r="T3394" s="309"/>
      <c r="U3394" s="309"/>
      <c r="V3394" s="309"/>
      <c r="W3394" s="309"/>
      <c r="X3394" s="309"/>
      <c r="Y3394" s="309"/>
      <c r="Z3394" s="309"/>
      <c r="AA3394" s="309"/>
      <c r="AB3394" s="309"/>
      <c r="AC3394" s="309"/>
      <c r="AD3394" s="309"/>
      <c r="AE3394" s="309"/>
      <c r="AF3394" s="309"/>
      <c r="AG3394" s="309"/>
      <c r="AH3394" s="309"/>
      <c r="AI3394" s="309"/>
      <c r="AJ3394" s="309"/>
      <c r="AK3394" s="309"/>
      <c r="AL3394" s="309"/>
      <c r="AM3394" s="309"/>
      <c r="AN3394" s="309"/>
      <c r="AO3394" s="309"/>
      <c r="AP3394" s="309"/>
      <c r="AQ3394" s="309"/>
      <c r="AR3394" s="309"/>
      <c r="AS3394" s="309"/>
      <c r="AT3394" s="309"/>
      <c r="AU3394" s="309"/>
      <c r="AV3394" s="309"/>
      <c r="AW3394" s="309"/>
      <c r="AX3394" s="309"/>
      <c r="AY3394" s="309"/>
      <c r="AZ3394" s="309"/>
      <c r="BA3394" s="309"/>
      <c r="BB3394" s="309"/>
      <c r="BC3394" s="309"/>
      <c r="BD3394" s="309"/>
      <c r="BE3394" s="309"/>
      <c r="BF3394" s="309"/>
      <c r="BG3394" s="309"/>
      <c r="BH3394" s="309"/>
      <c r="BI3394" s="309"/>
      <c r="BJ3394" s="309"/>
      <c r="BK3394" s="309"/>
      <c r="BL3394" s="309"/>
      <c r="BM3394" s="309"/>
      <c r="BN3394" s="309"/>
      <c r="BO3394" s="309"/>
      <c r="BP3394" s="309"/>
      <c r="BQ3394" s="309"/>
      <c r="BR3394" s="309"/>
      <c r="BS3394" s="309"/>
      <c r="BT3394" s="309"/>
      <c r="BU3394" s="309"/>
      <c r="BV3394" s="309"/>
      <c r="BW3394" s="309"/>
      <c r="BX3394" s="309"/>
      <c r="BY3394" s="309"/>
      <c r="BZ3394" s="309"/>
      <c r="CA3394" s="142"/>
      <c r="CB3394" s="3" t="str">
        <f t="shared" si="624"/>
        <v>Riadok bude skrytý.</v>
      </c>
      <c r="CW3394" s="134">
        <f>+IF(SUM(CW3374:CW3392)=0,0,1)</f>
        <v>0</v>
      </c>
      <c r="CZ3394" s="30">
        <f t="shared" si="625"/>
        <v>1</v>
      </c>
      <c r="DA3394" s="30">
        <f t="shared" si="621"/>
        <v>0</v>
      </c>
      <c r="DB3394" s="2">
        <f t="shared" si="620"/>
        <v>0</v>
      </c>
      <c r="DS3394" s="130">
        <f>SI!BY3394</f>
        <v>140</v>
      </c>
      <c r="DZ3394" s="131">
        <f>SI!BZ3394</f>
        <v>0</v>
      </c>
    </row>
    <row r="3395" spans="1:130" hidden="1" x14ac:dyDescent="0.25">
      <c r="A3395" s="141"/>
      <c r="B3395" s="137" t="str">
        <f>+IF($E$52&lt;&gt;"",IF(ROUNDDOWN(CODE(MID($E$52,1,1))/10,0)*0+(LEN(SI!J2)+2)=DS3395,"Prehľad o pohybe vlastného imania v priebehu bezprostredne predchádzajúceho účtovného obdobia ","NEPOVOLENÉ POUŽITIE!"),"NEPOVOLENÉ POUŽITIE!")</f>
        <v xml:space="preserve">Prehľad o pohybe vlastného imania v priebehu bezprostredne predchádzajúceho účtovného obdobia </v>
      </c>
      <c r="CA3395" s="265" t="s">
        <v>773</v>
      </c>
      <c r="CB3395" s="3" t="str">
        <f t="shared" si="624"/>
        <v>Riadok bude skrytý.</v>
      </c>
      <c r="CC3395" s="271" t="s">
        <v>832</v>
      </c>
      <c r="CW3395" s="134">
        <f>+IF(SUM(CW3402:CW3420)=0,0,1)</f>
        <v>0</v>
      </c>
      <c r="CZ3395" s="30">
        <f t="shared" si="625"/>
        <v>1</v>
      </c>
      <c r="DA3395" s="30">
        <f t="shared" si="621"/>
        <v>0</v>
      </c>
      <c r="DB3395" s="2">
        <f t="shared" si="620"/>
        <v>0</v>
      </c>
      <c r="DS3395" s="130">
        <f>SI!BY3395</f>
        <v>15</v>
      </c>
      <c r="DZ3395" s="131">
        <f>SI!BZ3395</f>
        <v>0</v>
      </c>
    </row>
    <row r="3396" spans="1:130" hidden="1" x14ac:dyDescent="0.25">
      <c r="A3396" s="141"/>
      <c r="B3396" s="137" t="str">
        <f>+IF($Q$52&lt;&gt;"",IF((CODE(MID($Q$52,1,1)))*(INT((PI()-3.1415)*10^5))*0+(LEN(SI!J5)-LEN(SI!J6))=DS3396,"je uvedený v tabuľke:","NEPOVOLENÉ POUŽITIE!"),"NEPOVOLENÉ POUŽITIE!")</f>
        <v>je uvedený v tabuľke:</v>
      </c>
      <c r="CA3396" s="270"/>
      <c r="CB3396" s="3" t="str">
        <f t="shared" si="624"/>
        <v>Riadok bude skrytý.</v>
      </c>
      <c r="CC3396" s="271" t="s">
        <v>832</v>
      </c>
      <c r="CW3396" s="134">
        <f>+IF(SUM(CW3402:CW3420)=0,0,1)</f>
        <v>0</v>
      </c>
      <c r="CZ3396" s="30">
        <f t="shared" si="625"/>
        <v>1</v>
      </c>
      <c r="DA3396" s="30">
        <f t="shared" si="621"/>
        <v>0</v>
      </c>
      <c r="DB3396" s="2">
        <f t="shared" si="620"/>
        <v>0</v>
      </c>
      <c r="DS3396" s="130">
        <f>SI!BY3396</f>
        <v>10</v>
      </c>
      <c r="DZ3396" s="131">
        <f>SI!BZ3396</f>
        <v>0</v>
      </c>
    </row>
    <row r="3397" spans="1:130" hidden="1" x14ac:dyDescent="0.25">
      <c r="A3397" s="141"/>
      <c r="CA3397" s="270"/>
      <c r="CB3397" s="3" t="str">
        <f t="shared" si="624"/>
        <v>Riadok bude skrytý.</v>
      </c>
      <c r="CC3397" s="271" t="s">
        <v>832</v>
      </c>
      <c r="CW3397" s="134">
        <f>+IF(SUM(CW3402:CW3420)=0,0,1)</f>
        <v>0</v>
      </c>
      <c r="CZ3397" s="30">
        <f t="shared" si="625"/>
        <v>1</v>
      </c>
      <c r="DA3397" s="30">
        <f t="shared" si="621"/>
        <v>0</v>
      </c>
      <c r="DB3397" s="2">
        <f t="shared" si="620"/>
        <v>0</v>
      </c>
      <c r="DS3397" s="130">
        <f>SI!BY3397</f>
        <v>141</v>
      </c>
      <c r="DZ3397" s="131">
        <f>SI!BZ3397</f>
        <v>0</v>
      </c>
    </row>
    <row r="3398" spans="1:130" ht="14.95" hidden="1" customHeight="1" x14ac:dyDescent="0.25">
      <c r="A3398" s="141"/>
      <c r="B3398" s="439" t="s">
        <v>430</v>
      </c>
      <c r="C3398" s="440"/>
      <c r="D3398" s="440"/>
      <c r="E3398" s="440"/>
      <c r="F3398" s="440"/>
      <c r="G3398" s="440"/>
      <c r="H3398" s="440"/>
      <c r="I3398" s="440"/>
      <c r="J3398" s="440"/>
      <c r="K3398" s="440"/>
      <c r="L3398" s="440"/>
      <c r="M3398" s="440"/>
      <c r="N3398" s="440"/>
      <c r="O3398" s="440"/>
      <c r="P3398" s="440"/>
      <c r="Q3398" s="440"/>
      <c r="R3398" s="440"/>
      <c r="S3398" s="441"/>
      <c r="T3398" s="650">
        <f>+BE141</f>
        <v>2020</v>
      </c>
      <c r="U3398" s="391"/>
      <c r="V3398" s="391"/>
      <c r="W3398" s="391"/>
      <c r="X3398" s="391"/>
      <c r="Y3398" s="391"/>
      <c r="Z3398" s="391"/>
      <c r="AA3398" s="391"/>
      <c r="AB3398" s="391"/>
      <c r="AC3398" s="391"/>
      <c r="AD3398" s="391"/>
      <c r="AE3398" s="391"/>
      <c r="AF3398" s="391"/>
      <c r="AG3398" s="391"/>
      <c r="AH3398" s="391"/>
      <c r="AI3398" s="391"/>
      <c r="AJ3398" s="391"/>
      <c r="AK3398" s="391"/>
      <c r="AL3398" s="391"/>
      <c r="AM3398" s="391"/>
      <c r="AN3398" s="391"/>
      <c r="AO3398" s="391"/>
      <c r="AP3398" s="391"/>
      <c r="AQ3398" s="391"/>
      <c r="AR3398" s="391"/>
      <c r="AS3398" s="391"/>
      <c r="AT3398" s="391"/>
      <c r="AU3398" s="391"/>
      <c r="AV3398" s="391"/>
      <c r="AW3398" s="391"/>
      <c r="AX3398" s="391"/>
      <c r="AY3398" s="391"/>
      <c r="AZ3398" s="391"/>
      <c r="BA3398" s="391"/>
      <c r="BB3398" s="391"/>
      <c r="BC3398" s="391"/>
      <c r="BD3398" s="391"/>
      <c r="BE3398" s="391"/>
      <c r="BF3398" s="391"/>
      <c r="BG3398" s="391"/>
      <c r="BH3398" s="391"/>
      <c r="BI3398" s="391"/>
      <c r="BJ3398" s="391"/>
      <c r="BK3398" s="391"/>
      <c r="BL3398" s="391"/>
      <c r="BM3398" s="391"/>
      <c r="BN3398" s="391"/>
      <c r="BO3398" s="391"/>
      <c r="BP3398" s="391"/>
      <c r="BQ3398" s="391"/>
      <c r="BR3398" s="391"/>
      <c r="BS3398" s="391"/>
      <c r="BT3398" s="391"/>
      <c r="BU3398" s="391"/>
      <c r="BV3398" s="391"/>
      <c r="BW3398" s="391"/>
      <c r="BX3398" s="391"/>
      <c r="BY3398" s="391"/>
      <c r="BZ3398" s="392"/>
      <c r="CA3398" s="265" t="s">
        <v>773</v>
      </c>
      <c r="CB3398" s="3" t="str">
        <f t="shared" si="624"/>
        <v>Riadok bude skrytý.</v>
      </c>
      <c r="CC3398" s="271" t="s">
        <v>832</v>
      </c>
      <c r="CD3398" s="4" t="s">
        <v>764</v>
      </c>
      <c r="CW3398" s="134">
        <f>+IF(SUM(CW3402:CW3420)=0,0,1)</f>
        <v>0</v>
      </c>
      <c r="CZ3398" s="30">
        <f t="shared" si="625"/>
        <v>1</v>
      </c>
      <c r="DA3398" s="30">
        <f t="shared" si="621"/>
        <v>0</v>
      </c>
      <c r="DB3398" s="2">
        <f t="shared" si="620"/>
        <v>0</v>
      </c>
      <c r="DS3398" s="130">
        <f>SI!BY3398</f>
        <v>132</v>
      </c>
      <c r="DZ3398" s="131">
        <f>SI!BZ3398</f>
        <v>0</v>
      </c>
    </row>
    <row r="3399" spans="1:130" ht="14.95" hidden="1" customHeight="1" x14ac:dyDescent="0.25">
      <c r="A3399" s="141"/>
      <c r="B3399" s="1019"/>
      <c r="C3399" s="1020"/>
      <c r="D3399" s="1020"/>
      <c r="E3399" s="1020"/>
      <c r="F3399" s="1020"/>
      <c r="G3399" s="1020"/>
      <c r="H3399" s="1020"/>
      <c r="I3399" s="1020"/>
      <c r="J3399" s="1020"/>
      <c r="K3399" s="1020"/>
      <c r="L3399" s="1020"/>
      <c r="M3399" s="1020"/>
      <c r="N3399" s="1020"/>
      <c r="O3399" s="1020"/>
      <c r="P3399" s="1020"/>
      <c r="Q3399" s="1020"/>
      <c r="R3399" s="1020"/>
      <c r="S3399" s="1020"/>
      <c r="T3399" s="543" t="s">
        <v>112</v>
      </c>
      <c r="U3399" s="544"/>
      <c r="V3399" s="544"/>
      <c r="W3399" s="544"/>
      <c r="X3399" s="544"/>
      <c r="Y3399" s="544"/>
      <c r="Z3399" s="544"/>
      <c r="AA3399" s="544"/>
      <c r="AB3399" s="544"/>
      <c r="AC3399" s="544"/>
      <c r="AD3399" s="544"/>
      <c r="AE3399" s="544"/>
      <c r="AF3399" s="545"/>
      <c r="AG3399" s="543" t="s">
        <v>113</v>
      </c>
      <c r="AH3399" s="544"/>
      <c r="AI3399" s="544"/>
      <c r="AJ3399" s="544"/>
      <c r="AK3399" s="544"/>
      <c r="AL3399" s="544"/>
      <c r="AM3399" s="544"/>
      <c r="AN3399" s="544"/>
      <c r="AO3399" s="544"/>
      <c r="AP3399" s="544"/>
      <c r="AQ3399" s="544"/>
      <c r="AR3399" s="545"/>
      <c r="AS3399" s="543" t="s">
        <v>114</v>
      </c>
      <c r="AT3399" s="544"/>
      <c r="AU3399" s="544"/>
      <c r="AV3399" s="544"/>
      <c r="AW3399" s="544"/>
      <c r="AX3399" s="544"/>
      <c r="AY3399" s="544"/>
      <c r="AZ3399" s="544"/>
      <c r="BA3399" s="544"/>
      <c r="BB3399" s="544"/>
      <c r="BC3399" s="544"/>
      <c r="BD3399" s="544"/>
      <c r="BE3399" s="543" t="s">
        <v>115</v>
      </c>
      <c r="BF3399" s="544"/>
      <c r="BG3399" s="544"/>
      <c r="BH3399" s="544"/>
      <c r="BI3399" s="544"/>
      <c r="BJ3399" s="544"/>
      <c r="BK3399" s="544"/>
      <c r="BL3399" s="544"/>
      <c r="BM3399" s="544"/>
      <c r="BN3399" s="544"/>
      <c r="BO3399" s="544"/>
      <c r="BP3399" s="543" t="s">
        <v>146</v>
      </c>
      <c r="BQ3399" s="544"/>
      <c r="BR3399" s="544"/>
      <c r="BS3399" s="544"/>
      <c r="BT3399" s="544"/>
      <c r="BU3399" s="544"/>
      <c r="BV3399" s="544"/>
      <c r="BW3399" s="544"/>
      <c r="BX3399" s="544"/>
      <c r="BY3399" s="544"/>
      <c r="BZ3399" s="545"/>
      <c r="CA3399" s="270"/>
      <c r="CB3399" s="3" t="str">
        <f t="shared" si="624"/>
        <v>Riadok bude skrytý.</v>
      </c>
      <c r="CC3399" s="271" t="s">
        <v>832</v>
      </c>
      <c r="CW3399" s="134">
        <f>+IF(SUM(CW3402:CW3420)=0,0,1)</f>
        <v>0</v>
      </c>
      <c r="CZ3399" s="30">
        <f t="shared" si="625"/>
        <v>1</v>
      </c>
      <c r="DA3399" s="30">
        <f t="shared" si="621"/>
        <v>0</v>
      </c>
      <c r="DB3399" s="2">
        <f t="shared" si="620"/>
        <v>0</v>
      </c>
      <c r="DS3399" s="130">
        <f>SI!BY3399</f>
        <v>157</v>
      </c>
      <c r="DZ3399" s="131">
        <f>SI!BZ3399</f>
        <v>0</v>
      </c>
    </row>
    <row r="3400" spans="1:130" hidden="1" x14ac:dyDescent="0.25">
      <c r="A3400" s="141"/>
      <c r="B3400" s="442"/>
      <c r="C3400" s="443"/>
      <c r="D3400" s="443"/>
      <c r="E3400" s="443"/>
      <c r="F3400" s="443"/>
      <c r="G3400" s="443"/>
      <c r="H3400" s="443"/>
      <c r="I3400" s="443"/>
      <c r="J3400" s="443"/>
      <c r="K3400" s="443"/>
      <c r="L3400" s="443"/>
      <c r="M3400" s="443"/>
      <c r="N3400" s="443"/>
      <c r="O3400" s="443"/>
      <c r="P3400" s="443"/>
      <c r="Q3400" s="443"/>
      <c r="R3400" s="443"/>
      <c r="S3400" s="443"/>
      <c r="T3400" s="546"/>
      <c r="U3400" s="547"/>
      <c r="V3400" s="547"/>
      <c r="W3400" s="547"/>
      <c r="X3400" s="547"/>
      <c r="Y3400" s="547"/>
      <c r="Z3400" s="547"/>
      <c r="AA3400" s="547"/>
      <c r="AB3400" s="547"/>
      <c r="AC3400" s="547"/>
      <c r="AD3400" s="547"/>
      <c r="AE3400" s="547"/>
      <c r="AF3400" s="548"/>
      <c r="AG3400" s="546"/>
      <c r="AH3400" s="547"/>
      <c r="AI3400" s="547"/>
      <c r="AJ3400" s="547"/>
      <c r="AK3400" s="547"/>
      <c r="AL3400" s="547"/>
      <c r="AM3400" s="547"/>
      <c r="AN3400" s="547"/>
      <c r="AO3400" s="547"/>
      <c r="AP3400" s="547"/>
      <c r="AQ3400" s="547"/>
      <c r="AR3400" s="548"/>
      <c r="AS3400" s="546"/>
      <c r="AT3400" s="547"/>
      <c r="AU3400" s="547"/>
      <c r="AV3400" s="547"/>
      <c r="AW3400" s="547"/>
      <c r="AX3400" s="547"/>
      <c r="AY3400" s="547"/>
      <c r="AZ3400" s="547"/>
      <c r="BA3400" s="547"/>
      <c r="BB3400" s="547"/>
      <c r="BC3400" s="547"/>
      <c r="BD3400" s="547"/>
      <c r="BE3400" s="546"/>
      <c r="BF3400" s="547"/>
      <c r="BG3400" s="547"/>
      <c r="BH3400" s="547"/>
      <c r="BI3400" s="547"/>
      <c r="BJ3400" s="547"/>
      <c r="BK3400" s="547"/>
      <c r="BL3400" s="547"/>
      <c r="BM3400" s="547"/>
      <c r="BN3400" s="547"/>
      <c r="BO3400" s="547"/>
      <c r="BP3400" s="546"/>
      <c r="BQ3400" s="547"/>
      <c r="BR3400" s="547"/>
      <c r="BS3400" s="547"/>
      <c r="BT3400" s="547"/>
      <c r="BU3400" s="547"/>
      <c r="BV3400" s="547"/>
      <c r="BW3400" s="547"/>
      <c r="BX3400" s="547"/>
      <c r="BY3400" s="547"/>
      <c r="BZ3400" s="548"/>
      <c r="CA3400" s="270"/>
      <c r="CB3400" s="3" t="str">
        <f t="shared" si="624"/>
        <v>Riadok bude skrytý.</v>
      </c>
      <c r="CC3400" s="271" t="s">
        <v>832</v>
      </c>
      <c r="CW3400" s="134">
        <f>+IF(SUM(CW3402:CW3420)=0,0,1)</f>
        <v>0</v>
      </c>
      <c r="CZ3400" s="30">
        <f t="shared" si="625"/>
        <v>1</v>
      </c>
      <c r="DA3400" s="30">
        <f t="shared" si="621"/>
        <v>0</v>
      </c>
      <c r="DB3400" s="2">
        <f t="shared" si="620"/>
        <v>0</v>
      </c>
      <c r="DS3400" s="130">
        <f>SI!BY3400</f>
        <v>0</v>
      </c>
      <c r="DZ3400" s="131">
        <f>SI!BZ3400</f>
        <v>0</v>
      </c>
    </row>
    <row r="3401" spans="1:130" hidden="1" x14ac:dyDescent="0.25">
      <c r="A3401" s="141"/>
      <c r="B3401" s="524" t="s">
        <v>0</v>
      </c>
      <c r="C3401" s="525"/>
      <c r="D3401" s="525"/>
      <c r="E3401" s="525"/>
      <c r="F3401" s="525"/>
      <c r="G3401" s="525"/>
      <c r="H3401" s="525"/>
      <c r="I3401" s="525"/>
      <c r="J3401" s="525"/>
      <c r="K3401" s="525"/>
      <c r="L3401" s="525"/>
      <c r="M3401" s="525"/>
      <c r="N3401" s="525"/>
      <c r="O3401" s="525"/>
      <c r="P3401" s="525"/>
      <c r="Q3401" s="525"/>
      <c r="R3401" s="525"/>
      <c r="S3401" s="525"/>
      <c r="T3401" s="524" t="s">
        <v>1</v>
      </c>
      <c r="U3401" s="525"/>
      <c r="V3401" s="525"/>
      <c r="W3401" s="525"/>
      <c r="X3401" s="525"/>
      <c r="Y3401" s="525"/>
      <c r="Z3401" s="525"/>
      <c r="AA3401" s="525"/>
      <c r="AB3401" s="525"/>
      <c r="AC3401" s="525"/>
      <c r="AD3401" s="525"/>
      <c r="AE3401" s="525"/>
      <c r="AF3401" s="525"/>
      <c r="AG3401" s="524" t="s">
        <v>2</v>
      </c>
      <c r="AH3401" s="525"/>
      <c r="AI3401" s="525"/>
      <c r="AJ3401" s="525"/>
      <c r="AK3401" s="525"/>
      <c r="AL3401" s="525"/>
      <c r="AM3401" s="525"/>
      <c r="AN3401" s="525"/>
      <c r="AO3401" s="525"/>
      <c r="AP3401" s="525"/>
      <c r="AQ3401" s="525"/>
      <c r="AR3401" s="525"/>
      <c r="AS3401" s="524" t="s">
        <v>28</v>
      </c>
      <c r="AT3401" s="525"/>
      <c r="AU3401" s="525"/>
      <c r="AV3401" s="525"/>
      <c r="AW3401" s="525"/>
      <c r="AX3401" s="525"/>
      <c r="AY3401" s="525"/>
      <c r="AZ3401" s="525"/>
      <c r="BA3401" s="525"/>
      <c r="BB3401" s="525"/>
      <c r="BC3401" s="525"/>
      <c r="BD3401" s="525"/>
      <c r="BE3401" s="524" t="s">
        <v>29</v>
      </c>
      <c r="BF3401" s="525"/>
      <c r="BG3401" s="525"/>
      <c r="BH3401" s="525"/>
      <c r="BI3401" s="525"/>
      <c r="BJ3401" s="525"/>
      <c r="BK3401" s="525"/>
      <c r="BL3401" s="525"/>
      <c r="BM3401" s="525"/>
      <c r="BN3401" s="525"/>
      <c r="BO3401" s="525"/>
      <c r="BP3401" s="524" t="s">
        <v>103</v>
      </c>
      <c r="BQ3401" s="525"/>
      <c r="BR3401" s="525"/>
      <c r="BS3401" s="525"/>
      <c r="BT3401" s="525"/>
      <c r="BU3401" s="525"/>
      <c r="BV3401" s="525"/>
      <c r="BW3401" s="525"/>
      <c r="BX3401" s="525"/>
      <c r="BY3401" s="525"/>
      <c r="BZ3401" s="723"/>
      <c r="CA3401" s="270"/>
      <c r="CB3401" s="3" t="str">
        <f t="shared" si="624"/>
        <v>Riadok bude skrytý.</v>
      </c>
      <c r="CC3401" s="271" t="s">
        <v>832</v>
      </c>
      <c r="CW3401" s="134">
        <f>+IF(SUM(CW3402:CW3420)=0,0,1)</f>
        <v>0</v>
      </c>
      <c r="CZ3401" s="30">
        <f t="shared" si="625"/>
        <v>1</v>
      </c>
      <c r="DA3401" s="30">
        <f t="shared" si="621"/>
        <v>0</v>
      </c>
      <c r="DB3401" s="2">
        <f t="shared" si="620"/>
        <v>0</v>
      </c>
      <c r="DS3401" s="130">
        <f>SI!BY3401</f>
        <v>153</v>
      </c>
      <c r="DZ3401" s="131">
        <f>SI!BZ3401</f>
        <v>0</v>
      </c>
    </row>
    <row r="3402" spans="1:130" hidden="1" x14ac:dyDescent="0.25">
      <c r="A3402" s="141"/>
      <c r="B3402" s="1016" t="str">
        <f>+IF(LEN(SI!$J$5)=Poznamky_k_UZ!DZ3402,"Základné imanie","")</f>
        <v>Základné imanie</v>
      </c>
      <c r="C3402" s="1017"/>
      <c r="D3402" s="1017"/>
      <c r="E3402" s="1017"/>
      <c r="F3402" s="1017"/>
      <c r="G3402" s="1017"/>
      <c r="H3402" s="1017"/>
      <c r="I3402" s="1017"/>
      <c r="J3402" s="1017"/>
      <c r="K3402" s="1017"/>
      <c r="L3402" s="1017"/>
      <c r="M3402" s="1017"/>
      <c r="N3402" s="1017"/>
      <c r="O3402" s="1017"/>
      <c r="P3402" s="1017"/>
      <c r="Q3402" s="1017"/>
      <c r="R3402" s="1017"/>
      <c r="S3402" s="1018"/>
      <c r="T3402" s="535"/>
      <c r="U3402" s="536"/>
      <c r="V3402" s="536"/>
      <c r="W3402" s="536"/>
      <c r="X3402" s="536"/>
      <c r="Y3402" s="536"/>
      <c r="Z3402" s="536"/>
      <c r="AA3402" s="536"/>
      <c r="AB3402" s="536"/>
      <c r="AC3402" s="536"/>
      <c r="AD3402" s="536"/>
      <c r="AE3402" s="536"/>
      <c r="AF3402" s="713"/>
      <c r="AG3402" s="535"/>
      <c r="AH3402" s="536"/>
      <c r="AI3402" s="536"/>
      <c r="AJ3402" s="536"/>
      <c r="AK3402" s="536"/>
      <c r="AL3402" s="536"/>
      <c r="AM3402" s="536"/>
      <c r="AN3402" s="536"/>
      <c r="AO3402" s="536"/>
      <c r="AP3402" s="536"/>
      <c r="AQ3402" s="536"/>
      <c r="AR3402" s="537"/>
      <c r="AS3402" s="1014"/>
      <c r="AT3402" s="536"/>
      <c r="AU3402" s="536"/>
      <c r="AV3402" s="536"/>
      <c r="AW3402" s="536"/>
      <c r="AX3402" s="536"/>
      <c r="AY3402" s="536"/>
      <c r="AZ3402" s="536"/>
      <c r="BA3402" s="536"/>
      <c r="BB3402" s="536"/>
      <c r="BC3402" s="536"/>
      <c r="BD3402" s="713"/>
      <c r="BE3402" s="535"/>
      <c r="BF3402" s="536"/>
      <c r="BG3402" s="536"/>
      <c r="BH3402" s="536"/>
      <c r="BI3402" s="536"/>
      <c r="BJ3402" s="536"/>
      <c r="BK3402" s="536"/>
      <c r="BL3402" s="536"/>
      <c r="BM3402" s="536"/>
      <c r="BN3402" s="536"/>
      <c r="BO3402" s="537"/>
      <c r="BP3402" s="1370">
        <f t="shared" ref="BP3402:BP3421" si="626">+SUM(T3402:BO3402)</f>
        <v>0</v>
      </c>
      <c r="BQ3402" s="1371"/>
      <c r="BR3402" s="1371"/>
      <c r="BS3402" s="1371"/>
      <c r="BT3402" s="1371"/>
      <c r="BU3402" s="1371"/>
      <c r="BV3402" s="1371"/>
      <c r="BW3402" s="1371"/>
      <c r="BX3402" s="1371"/>
      <c r="BY3402" s="1371"/>
      <c r="BZ3402" s="1372"/>
      <c r="CA3402" s="270"/>
      <c r="CB3402" s="3" t="str">
        <f t="shared" si="624"/>
        <v>Riadok bude skrytý.</v>
      </c>
      <c r="CC3402" s="271" t="s">
        <v>832</v>
      </c>
      <c r="CW3402" s="134">
        <f>+IF(T3402="",IF(AG3402="",IF(AS3402="",IF(BE3402="",0,1),1),1),1)</f>
        <v>0</v>
      </c>
      <c r="CZ3402" s="30">
        <f t="shared" si="625"/>
        <v>1</v>
      </c>
      <c r="DA3402" s="30">
        <f t="shared" si="621"/>
        <v>0</v>
      </c>
      <c r="DB3402" s="2">
        <f t="shared" si="620"/>
        <v>0</v>
      </c>
      <c r="DS3402" s="130">
        <f>SI!BY3402</f>
        <v>117</v>
      </c>
      <c r="DZ3402" s="131">
        <f>SI!BZ3402</f>
        <v>15</v>
      </c>
    </row>
    <row r="3403" spans="1:130" ht="25.5" hidden="1" customHeight="1" x14ac:dyDescent="0.25">
      <c r="A3403" s="141"/>
      <c r="B3403" s="529" t="str">
        <f>+IF(LEN(SI!$J$5)=Poznamky_k_UZ!DZ3403,"Vlastné akcie a vlastné obchodné podiely","")</f>
        <v>Vlastné akcie a vlastné obchodné podiely</v>
      </c>
      <c r="C3403" s="530"/>
      <c r="D3403" s="530"/>
      <c r="E3403" s="530"/>
      <c r="F3403" s="530"/>
      <c r="G3403" s="530"/>
      <c r="H3403" s="530"/>
      <c r="I3403" s="530"/>
      <c r="J3403" s="530"/>
      <c r="K3403" s="530"/>
      <c r="L3403" s="530"/>
      <c r="M3403" s="530"/>
      <c r="N3403" s="530"/>
      <c r="O3403" s="530"/>
      <c r="P3403" s="530"/>
      <c r="Q3403" s="530"/>
      <c r="R3403" s="530"/>
      <c r="S3403" s="531"/>
      <c r="T3403" s="363"/>
      <c r="U3403" s="364"/>
      <c r="V3403" s="364"/>
      <c r="W3403" s="364"/>
      <c r="X3403" s="364"/>
      <c r="Y3403" s="364"/>
      <c r="Z3403" s="364"/>
      <c r="AA3403" s="364"/>
      <c r="AB3403" s="364"/>
      <c r="AC3403" s="364"/>
      <c r="AD3403" s="364"/>
      <c r="AE3403" s="364"/>
      <c r="AF3403" s="475"/>
      <c r="AG3403" s="363"/>
      <c r="AH3403" s="364"/>
      <c r="AI3403" s="364"/>
      <c r="AJ3403" s="364"/>
      <c r="AK3403" s="364"/>
      <c r="AL3403" s="364"/>
      <c r="AM3403" s="364"/>
      <c r="AN3403" s="364"/>
      <c r="AO3403" s="364"/>
      <c r="AP3403" s="364"/>
      <c r="AQ3403" s="364"/>
      <c r="AR3403" s="387"/>
      <c r="AS3403" s="386"/>
      <c r="AT3403" s="364"/>
      <c r="AU3403" s="364"/>
      <c r="AV3403" s="364"/>
      <c r="AW3403" s="364"/>
      <c r="AX3403" s="364"/>
      <c r="AY3403" s="364"/>
      <c r="AZ3403" s="364"/>
      <c r="BA3403" s="364"/>
      <c r="BB3403" s="364"/>
      <c r="BC3403" s="364"/>
      <c r="BD3403" s="475"/>
      <c r="BE3403" s="363"/>
      <c r="BF3403" s="364"/>
      <c r="BG3403" s="364"/>
      <c r="BH3403" s="364"/>
      <c r="BI3403" s="364"/>
      <c r="BJ3403" s="364"/>
      <c r="BK3403" s="364"/>
      <c r="BL3403" s="364"/>
      <c r="BM3403" s="364"/>
      <c r="BN3403" s="364"/>
      <c r="BO3403" s="387"/>
      <c r="BP3403" s="526">
        <f t="shared" si="626"/>
        <v>0</v>
      </c>
      <c r="BQ3403" s="527"/>
      <c r="BR3403" s="527"/>
      <c r="BS3403" s="527"/>
      <c r="BT3403" s="527"/>
      <c r="BU3403" s="527"/>
      <c r="BV3403" s="527"/>
      <c r="BW3403" s="527"/>
      <c r="BX3403" s="527"/>
      <c r="BY3403" s="527"/>
      <c r="BZ3403" s="528"/>
      <c r="CA3403" s="270"/>
      <c r="CB3403" s="3" t="str">
        <f t="shared" si="624"/>
        <v>Riadok bude skrytý.</v>
      </c>
      <c r="CC3403" s="271" t="s">
        <v>937</v>
      </c>
      <c r="CD3403" s="121" t="s">
        <v>1040</v>
      </c>
      <c r="CE3403" s="121"/>
      <c r="CF3403" s="105"/>
      <c r="CG3403" s="105"/>
      <c r="CW3403" s="134">
        <f t="shared" ref="CW3403:CW3420" si="627">+IF(T3403="",IF(AG3403="",IF(AS3403="",IF(BE3403="",0,1),1),1),1)</f>
        <v>0</v>
      </c>
      <c r="CZ3403" s="30">
        <f t="shared" si="625"/>
        <v>0</v>
      </c>
      <c r="DA3403" s="30">
        <f t="shared" si="621"/>
        <v>0</v>
      </c>
      <c r="DB3403" s="2">
        <f t="shared" si="620"/>
        <v>0</v>
      </c>
      <c r="DS3403" s="130">
        <f>SI!BY3403</f>
        <v>178</v>
      </c>
      <c r="DZ3403" s="131">
        <f>SI!BZ3403</f>
        <v>15</v>
      </c>
    </row>
    <row r="3404" spans="1:130" hidden="1" x14ac:dyDescent="0.25">
      <c r="A3404" s="141"/>
      <c r="B3404" s="532" t="str">
        <f>+IF(LEN(SI!$J$5)=Poznamky_k_UZ!DZ3404,"Zmena základného imania","")</f>
        <v>Zmena základného imania</v>
      </c>
      <c r="C3404" s="533"/>
      <c r="D3404" s="533"/>
      <c r="E3404" s="533"/>
      <c r="F3404" s="533"/>
      <c r="G3404" s="533"/>
      <c r="H3404" s="533"/>
      <c r="I3404" s="533"/>
      <c r="J3404" s="533"/>
      <c r="K3404" s="533"/>
      <c r="L3404" s="533"/>
      <c r="M3404" s="533"/>
      <c r="N3404" s="533"/>
      <c r="O3404" s="533"/>
      <c r="P3404" s="533"/>
      <c r="Q3404" s="533"/>
      <c r="R3404" s="533"/>
      <c r="S3404" s="534"/>
      <c r="T3404" s="363"/>
      <c r="U3404" s="364"/>
      <c r="V3404" s="364"/>
      <c r="W3404" s="364"/>
      <c r="X3404" s="364"/>
      <c r="Y3404" s="364"/>
      <c r="Z3404" s="364"/>
      <c r="AA3404" s="364"/>
      <c r="AB3404" s="364"/>
      <c r="AC3404" s="364"/>
      <c r="AD3404" s="364"/>
      <c r="AE3404" s="364"/>
      <c r="AF3404" s="475"/>
      <c r="AG3404" s="363"/>
      <c r="AH3404" s="364"/>
      <c r="AI3404" s="364"/>
      <c r="AJ3404" s="364"/>
      <c r="AK3404" s="364"/>
      <c r="AL3404" s="364"/>
      <c r="AM3404" s="364"/>
      <c r="AN3404" s="364"/>
      <c r="AO3404" s="364"/>
      <c r="AP3404" s="364"/>
      <c r="AQ3404" s="364"/>
      <c r="AR3404" s="387"/>
      <c r="AS3404" s="386"/>
      <c r="AT3404" s="364"/>
      <c r="AU3404" s="364"/>
      <c r="AV3404" s="364"/>
      <c r="AW3404" s="364"/>
      <c r="AX3404" s="364"/>
      <c r="AY3404" s="364"/>
      <c r="AZ3404" s="364"/>
      <c r="BA3404" s="364"/>
      <c r="BB3404" s="364"/>
      <c r="BC3404" s="364"/>
      <c r="BD3404" s="475"/>
      <c r="BE3404" s="363"/>
      <c r="BF3404" s="364"/>
      <c r="BG3404" s="364"/>
      <c r="BH3404" s="364"/>
      <c r="BI3404" s="364"/>
      <c r="BJ3404" s="364"/>
      <c r="BK3404" s="364"/>
      <c r="BL3404" s="364"/>
      <c r="BM3404" s="364"/>
      <c r="BN3404" s="364"/>
      <c r="BO3404" s="387"/>
      <c r="BP3404" s="526">
        <f t="shared" si="626"/>
        <v>0</v>
      </c>
      <c r="BQ3404" s="527"/>
      <c r="BR3404" s="527"/>
      <c r="BS3404" s="527"/>
      <c r="BT3404" s="527"/>
      <c r="BU3404" s="527"/>
      <c r="BV3404" s="527"/>
      <c r="BW3404" s="527"/>
      <c r="BX3404" s="527"/>
      <c r="BY3404" s="527"/>
      <c r="BZ3404" s="528"/>
      <c r="CA3404" s="270"/>
      <c r="CB3404" s="3" t="str">
        <f t="shared" si="624"/>
        <v>Riadok bude skrytý.</v>
      </c>
      <c r="CC3404" s="271" t="s">
        <v>832</v>
      </c>
      <c r="CW3404" s="134">
        <f t="shared" si="627"/>
        <v>0</v>
      </c>
      <c r="CZ3404" s="30">
        <f t="shared" si="625"/>
        <v>1</v>
      </c>
      <c r="DA3404" s="30">
        <f t="shared" si="621"/>
        <v>0</v>
      </c>
      <c r="DB3404" s="2">
        <f t="shared" si="620"/>
        <v>0</v>
      </c>
      <c r="DS3404" s="130">
        <f>SI!BY3404</f>
        <v>160</v>
      </c>
      <c r="DZ3404" s="131">
        <f>SI!BZ3404</f>
        <v>15</v>
      </c>
    </row>
    <row r="3405" spans="1:130" ht="25.5" hidden="1" customHeight="1" x14ac:dyDescent="0.25">
      <c r="A3405" s="141"/>
      <c r="B3405" s="529" t="str">
        <f>+IF(LEN(SI!$J$5)=Poznamky_k_UZ!DZ3405,"Pohľadávky za upísané vlastné imanie","")</f>
        <v>Pohľadávky za upísané vlastné imanie</v>
      </c>
      <c r="C3405" s="530"/>
      <c r="D3405" s="530"/>
      <c r="E3405" s="530"/>
      <c r="F3405" s="530"/>
      <c r="G3405" s="530"/>
      <c r="H3405" s="530"/>
      <c r="I3405" s="530"/>
      <c r="J3405" s="530"/>
      <c r="K3405" s="530"/>
      <c r="L3405" s="530"/>
      <c r="M3405" s="530"/>
      <c r="N3405" s="530"/>
      <c r="O3405" s="530"/>
      <c r="P3405" s="530"/>
      <c r="Q3405" s="530"/>
      <c r="R3405" s="530"/>
      <c r="S3405" s="531"/>
      <c r="T3405" s="363"/>
      <c r="U3405" s="364"/>
      <c r="V3405" s="364"/>
      <c r="W3405" s="364"/>
      <c r="X3405" s="364"/>
      <c r="Y3405" s="364"/>
      <c r="Z3405" s="364"/>
      <c r="AA3405" s="364"/>
      <c r="AB3405" s="364"/>
      <c r="AC3405" s="364"/>
      <c r="AD3405" s="364"/>
      <c r="AE3405" s="364"/>
      <c r="AF3405" s="475"/>
      <c r="AG3405" s="363"/>
      <c r="AH3405" s="364"/>
      <c r="AI3405" s="364"/>
      <c r="AJ3405" s="364"/>
      <c r="AK3405" s="364"/>
      <c r="AL3405" s="364"/>
      <c r="AM3405" s="364"/>
      <c r="AN3405" s="364"/>
      <c r="AO3405" s="364"/>
      <c r="AP3405" s="364"/>
      <c r="AQ3405" s="364"/>
      <c r="AR3405" s="387"/>
      <c r="AS3405" s="386"/>
      <c r="AT3405" s="364"/>
      <c r="AU3405" s="364"/>
      <c r="AV3405" s="364"/>
      <c r="AW3405" s="364"/>
      <c r="AX3405" s="364"/>
      <c r="AY3405" s="364"/>
      <c r="AZ3405" s="364"/>
      <c r="BA3405" s="364"/>
      <c r="BB3405" s="364"/>
      <c r="BC3405" s="364"/>
      <c r="BD3405" s="475"/>
      <c r="BE3405" s="363"/>
      <c r="BF3405" s="364"/>
      <c r="BG3405" s="364"/>
      <c r="BH3405" s="364"/>
      <c r="BI3405" s="364"/>
      <c r="BJ3405" s="364"/>
      <c r="BK3405" s="364"/>
      <c r="BL3405" s="364"/>
      <c r="BM3405" s="364"/>
      <c r="BN3405" s="364"/>
      <c r="BO3405" s="387"/>
      <c r="BP3405" s="526">
        <f t="shared" si="626"/>
        <v>0</v>
      </c>
      <c r="BQ3405" s="527"/>
      <c r="BR3405" s="527"/>
      <c r="BS3405" s="527"/>
      <c r="BT3405" s="527"/>
      <c r="BU3405" s="527"/>
      <c r="BV3405" s="527"/>
      <c r="BW3405" s="527"/>
      <c r="BX3405" s="527"/>
      <c r="BY3405" s="527"/>
      <c r="BZ3405" s="528"/>
      <c r="CA3405" s="270"/>
      <c r="CB3405" s="3" t="str">
        <f t="shared" si="624"/>
        <v>Riadok bude skrytý.</v>
      </c>
      <c r="CC3405" s="271" t="s">
        <v>832</v>
      </c>
      <c r="CW3405" s="134">
        <f t="shared" si="627"/>
        <v>0</v>
      </c>
      <c r="CZ3405" s="30">
        <f t="shared" si="625"/>
        <v>1</v>
      </c>
      <c r="DA3405" s="30">
        <f t="shared" si="621"/>
        <v>0</v>
      </c>
      <c r="DB3405" s="2">
        <f t="shared" si="620"/>
        <v>0</v>
      </c>
      <c r="DS3405" s="130">
        <f>SI!BY3405</f>
        <v>155</v>
      </c>
      <c r="DZ3405" s="131">
        <f>SI!BZ3405</f>
        <v>15</v>
      </c>
    </row>
    <row r="3406" spans="1:130" hidden="1" x14ac:dyDescent="0.25">
      <c r="A3406" s="141"/>
      <c r="B3406" s="532" t="str">
        <f>+IF(LEN(SI!$J$5)=Poznamky_k_UZ!DZ3406,"Emisné ážio","")</f>
        <v>Emisné ážio</v>
      </c>
      <c r="C3406" s="533"/>
      <c r="D3406" s="533"/>
      <c r="E3406" s="533"/>
      <c r="F3406" s="533"/>
      <c r="G3406" s="533"/>
      <c r="H3406" s="533"/>
      <c r="I3406" s="533"/>
      <c r="J3406" s="533"/>
      <c r="K3406" s="533"/>
      <c r="L3406" s="533"/>
      <c r="M3406" s="533"/>
      <c r="N3406" s="533"/>
      <c r="O3406" s="533"/>
      <c r="P3406" s="533"/>
      <c r="Q3406" s="533"/>
      <c r="R3406" s="533"/>
      <c r="S3406" s="534"/>
      <c r="T3406" s="363"/>
      <c r="U3406" s="364"/>
      <c r="V3406" s="364"/>
      <c r="W3406" s="364"/>
      <c r="X3406" s="364"/>
      <c r="Y3406" s="364"/>
      <c r="Z3406" s="364"/>
      <c r="AA3406" s="364"/>
      <c r="AB3406" s="364"/>
      <c r="AC3406" s="364"/>
      <c r="AD3406" s="364"/>
      <c r="AE3406" s="364"/>
      <c r="AF3406" s="475"/>
      <c r="AG3406" s="363"/>
      <c r="AH3406" s="364"/>
      <c r="AI3406" s="364"/>
      <c r="AJ3406" s="364"/>
      <c r="AK3406" s="364"/>
      <c r="AL3406" s="364"/>
      <c r="AM3406" s="364"/>
      <c r="AN3406" s="364"/>
      <c r="AO3406" s="364"/>
      <c r="AP3406" s="364"/>
      <c r="AQ3406" s="364"/>
      <c r="AR3406" s="387"/>
      <c r="AS3406" s="386"/>
      <c r="AT3406" s="364"/>
      <c r="AU3406" s="364"/>
      <c r="AV3406" s="364"/>
      <c r="AW3406" s="364"/>
      <c r="AX3406" s="364"/>
      <c r="AY3406" s="364"/>
      <c r="AZ3406" s="364"/>
      <c r="BA3406" s="364"/>
      <c r="BB3406" s="364"/>
      <c r="BC3406" s="364"/>
      <c r="BD3406" s="475"/>
      <c r="BE3406" s="363"/>
      <c r="BF3406" s="364"/>
      <c r="BG3406" s="364"/>
      <c r="BH3406" s="364"/>
      <c r="BI3406" s="364"/>
      <c r="BJ3406" s="364"/>
      <c r="BK3406" s="364"/>
      <c r="BL3406" s="364"/>
      <c r="BM3406" s="364"/>
      <c r="BN3406" s="364"/>
      <c r="BO3406" s="387"/>
      <c r="BP3406" s="526">
        <f t="shared" si="626"/>
        <v>0</v>
      </c>
      <c r="BQ3406" s="527"/>
      <c r="BR3406" s="527"/>
      <c r="BS3406" s="527"/>
      <c r="BT3406" s="527"/>
      <c r="BU3406" s="527"/>
      <c r="BV3406" s="527"/>
      <c r="BW3406" s="527"/>
      <c r="BX3406" s="527"/>
      <c r="BY3406" s="527"/>
      <c r="BZ3406" s="528"/>
      <c r="CA3406" s="270"/>
      <c r="CB3406" s="3" t="str">
        <f t="shared" si="624"/>
        <v>Riadok bude skrytý.</v>
      </c>
      <c r="CC3406" s="271" t="s">
        <v>832</v>
      </c>
      <c r="CW3406" s="134">
        <f t="shared" si="627"/>
        <v>0</v>
      </c>
      <c r="CZ3406" s="30">
        <f t="shared" si="625"/>
        <v>1</v>
      </c>
      <c r="DA3406" s="30">
        <f t="shared" si="621"/>
        <v>0</v>
      </c>
      <c r="DB3406" s="2">
        <f t="shared" si="620"/>
        <v>0</v>
      </c>
      <c r="DS3406" s="130">
        <f>SI!BY3406</f>
        <v>119</v>
      </c>
      <c r="DZ3406" s="131">
        <f>SI!BZ3406</f>
        <v>15</v>
      </c>
    </row>
    <row r="3407" spans="1:130" hidden="1" x14ac:dyDescent="0.25">
      <c r="A3407" s="141"/>
      <c r="B3407" s="532" t="str">
        <f>+IF(LEN(SI!$J$5)=Poznamky_k_UZ!DZ3407,"Ostatné kapitálové fondy","")</f>
        <v>Ostatné kapitálové fondy</v>
      </c>
      <c r="C3407" s="533"/>
      <c r="D3407" s="533"/>
      <c r="E3407" s="533"/>
      <c r="F3407" s="533"/>
      <c r="G3407" s="533"/>
      <c r="H3407" s="533"/>
      <c r="I3407" s="533"/>
      <c r="J3407" s="533"/>
      <c r="K3407" s="533"/>
      <c r="L3407" s="533"/>
      <c r="M3407" s="533"/>
      <c r="N3407" s="533"/>
      <c r="O3407" s="533"/>
      <c r="P3407" s="533"/>
      <c r="Q3407" s="533"/>
      <c r="R3407" s="533"/>
      <c r="S3407" s="534"/>
      <c r="T3407" s="363"/>
      <c r="U3407" s="364"/>
      <c r="V3407" s="364"/>
      <c r="W3407" s="364"/>
      <c r="X3407" s="364"/>
      <c r="Y3407" s="364"/>
      <c r="Z3407" s="364"/>
      <c r="AA3407" s="364"/>
      <c r="AB3407" s="364"/>
      <c r="AC3407" s="364"/>
      <c r="AD3407" s="364"/>
      <c r="AE3407" s="364"/>
      <c r="AF3407" s="475"/>
      <c r="AG3407" s="363"/>
      <c r="AH3407" s="364"/>
      <c r="AI3407" s="364"/>
      <c r="AJ3407" s="364"/>
      <c r="AK3407" s="364"/>
      <c r="AL3407" s="364"/>
      <c r="AM3407" s="364"/>
      <c r="AN3407" s="364"/>
      <c r="AO3407" s="364"/>
      <c r="AP3407" s="364"/>
      <c r="AQ3407" s="364"/>
      <c r="AR3407" s="387"/>
      <c r="AS3407" s="386"/>
      <c r="AT3407" s="364"/>
      <c r="AU3407" s="364"/>
      <c r="AV3407" s="364"/>
      <c r="AW3407" s="364"/>
      <c r="AX3407" s="364"/>
      <c r="AY3407" s="364"/>
      <c r="AZ3407" s="364"/>
      <c r="BA3407" s="364"/>
      <c r="BB3407" s="364"/>
      <c r="BC3407" s="364"/>
      <c r="BD3407" s="475"/>
      <c r="BE3407" s="363"/>
      <c r="BF3407" s="364"/>
      <c r="BG3407" s="364"/>
      <c r="BH3407" s="364"/>
      <c r="BI3407" s="364"/>
      <c r="BJ3407" s="364"/>
      <c r="BK3407" s="364"/>
      <c r="BL3407" s="364"/>
      <c r="BM3407" s="364"/>
      <c r="BN3407" s="364"/>
      <c r="BO3407" s="387"/>
      <c r="BP3407" s="526">
        <f t="shared" si="626"/>
        <v>0</v>
      </c>
      <c r="BQ3407" s="527"/>
      <c r="BR3407" s="527"/>
      <c r="BS3407" s="527"/>
      <c r="BT3407" s="527"/>
      <c r="BU3407" s="527"/>
      <c r="BV3407" s="527"/>
      <c r="BW3407" s="527"/>
      <c r="BX3407" s="527"/>
      <c r="BY3407" s="527"/>
      <c r="BZ3407" s="528"/>
      <c r="CA3407" s="270"/>
      <c r="CB3407" s="3" t="str">
        <f t="shared" si="624"/>
        <v>Riadok bude skrytý.</v>
      </c>
      <c r="CC3407" s="271" t="s">
        <v>832</v>
      </c>
      <c r="CW3407" s="134">
        <f t="shared" si="627"/>
        <v>0</v>
      </c>
      <c r="CZ3407" s="30">
        <f t="shared" si="625"/>
        <v>1</v>
      </c>
      <c r="DA3407" s="30">
        <f t="shared" si="621"/>
        <v>0</v>
      </c>
      <c r="DB3407" s="2">
        <f t="shared" si="620"/>
        <v>0</v>
      </c>
      <c r="DS3407" s="130">
        <f>SI!BY3407</f>
        <v>150</v>
      </c>
      <c r="DZ3407" s="131">
        <f>SI!BZ3407</f>
        <v>15</v>
      </c>
    </row>
    <row r="3408" spans="1:130" ht="37.549999999999997" hidden="1" customHeight="1" x14ac:dyDescent="0.25">
      <c r="A3408" s="141"/>
      <c r="B3408" s="529" t="str">
        <f>+IF(LEN(SI!$J$5)=Poznamky_k_UZ!DZ3408,"Zákonný rezervný fond (nedeliteľný fond) z kapitálových vkladov","")</f>
        <v>Zákonný rezervný fond (nedeliteľný fond) z kapitálových vkladov</v>
      </c>
      <c r="C3408" s="530"/>
      <c r="D3408" s="530"/>
      <c r="E3408" s="530"/>
      <c r="F3408" s="530"/>
      <c r="G3408" s="530"/>
      <c r="H3408" s="530"/>
      <c r="I3408" s="530"/>
      <c r="J3408" s="530"/>
      <c r="K3408" s="530"/>
      <c r="L3408" s="530"/>
      <c r="M3408" s="530"/>
      <c r="N3408" s="530"/>
      <c r="O3408" s="530"/>
      <c r="P3408" s="530"/>
      <c r="Q3408" s="530"/>
      <c r="R3408" s="530"/>
      <c r="S3408" s="531"/>
      <c r="T3408" s="363"/>
      <c r="U3408" s="364"/>
      <c r="V3408" s="364"/>
      <c r="W3408" s="364"/>
      <c r="X3408" s="364"/>
      <c r="Y3408" s="364"/>
      <c r="Z3408" s="364"/>
      <c r="AA3408" s="364"/>
      <c r="AB3408" s="364"/>
      <c r="AC3408" s="364"/>
      <c r="AD3408" s="364"/>
      <c r="AE3408" s="364"/>
      <c r="AF3408" s="475"/>
      <c r="AG3408" s="363"/>
      <c r="AH3408" s="364"/>
      <c r="AI3408" s="364"/>
      <c r="AJ3408" s="364"/>
      <c r="AK3408" s="364"/>
      <c r="AL3408" s="364"/>
      <c r="AM3408" s="364"/>
      <c r="AN3408" s="364"/>
      <c r="AO3408" s="364"/>
      <c r="AP3408" s="364"/>
      <c r="AQ3408" s="364"/>
      <c r="AR3408" s="387"/>
      <c r="AS3408" s="386"/>
      <c r="AT3408" s="364"/>
      <c r="AU3408" s="364"/>
      <c r="AV3408" s="364"/>
      <c r="AW3408" s="364"/>
      <c r="AX3408" s="364"/>
      <c r="AY3408" s="364"/>
      <c r="AZ3408" s="364"/>
      <c r="BA3408" s="364"/>
      <c r="BB3408" s="364"/>
      <c r="BC3408" s="364"/>
      <c r="BD3408" s="475"/>
      <c r="BE3408" s="363"/>
      <c r="BF3408" s="364"/>
      <c r="BG3408" s="364"/>
      <c r="BH3408" s="364"/>
      <c r="BI3408" s="364"/>
      <c r="BJ3408" s="364"/>
      <c r="BK3408" s="364"/>
      <c r="BL3408" s="364"/>
      <c r="BM3408" s="364"/>
      <c r="BN3408" s="364"/>
      <c r="BO3408" s="387"/>
      <c r="BP3408" s="526">
        <f t="shared" si="626"/>
        <v>0</v>
      </c>
      <c r="BQ3408" s="527"/>
      <c r="BR3408" s="527"/>
      <c r="BS3408" s="527"/>
      <c r="BT3408" s="527"/>
      <c r="BU3408" s="527"/>
      <c r="BV3408" s="527"/>
      <c r="BW3408" s="527"/>
      <c r="BX3408" s="527"/>
      <c r="BY3408" s="527"/>
      <c r="BZ3408" s="528"/>
      <c r="CA3408" s="270"/>
      <c r="CB3408" s="3" t="str">
        <f t="shared" si="624"/>
        <v>Riadok bude skrytý.</v>
      </c>
      <c r="CC3408" s="271" t="s">
        <v>832</v>
      </c>
      <c r="CW3408" s="134">
        <f t="shared" si="627"/>
        <v>0</v>
      </c>
      <c r="CZ3408" s="30">
        <f t="shared" si="625"/>
        <v>1</v>
      </c>
      <c r="DA3408" s="30">
        <f t="shared" si="621"/>
        <v>0</v>
      </c>
      <c r="DB3408" s="2">
        <f t="shared" si="620"/>
        <v>0</v>
      </c>
      <c r="DS3408" s="130">
        <f>SI!BY3408</f>
        <v>188</v>
      </c>
      <c r="DZ3408" s="131">
        <f>SI!BZ3408</f>
        <v>15</v>
      </c>
    </row>
    <row r="3409" spans="1:130" ht="38.25" hidden="1" customHeight="1" x14ac:dyDescent="0.25">
      <c r="A3409" s="141"/>
      <c r="B3409" s="529" t="str">
        <f>+IF(LEN(SI!$J$5)=Poznamky_k_UZ!DZ3409,"Oceňovacie rozdiely z precenenia majetku a záväzkov","")</f>
        <v>Oceňovacie rozdiely z precenenia majetku a záväzkov</v>
      </c>
      <c r="C3409" s="530"/>
      <c r="D3409" s="530"/>
      <c r="E3409" s="530"/>
      <c r="F3409" s="530"/>
      <c r="G3409" s="530"/>
      <c r="H3409" s="530"/>
      <c r="I3409" s="530"/>
      <c r="J3409" s="530"/>
      <c r="K3409" s="530"/>
      <c r="L3409" s="530"/>
      <c r="M3409" s="530"/>
      <c r="N3409" s="530"/>
      <c r="O3409" s="530"/>
      <c r="P3409" s="530"/>
      <c r="Q3409" s="530"/>
      <c r="R3409" s="530"/>
      <c r="S3409" s="531"/>
      <c r="T3409" s="363"/>
      <c r="U3409" s="364"/>
      <c r="V3409" s="364"/>
      <c r="W3409" s="364"/>
      <c r="X3409" s="364"/>
      <c r="Y3409" s="364"/>
      <c r="Z3409" s="364"/>
      <c r="AA3409" s="364"/>
      <c r="AB3409" s="364"/>
      <c r="AC3409" s="364"/>
      <c r="AD3409" s="364"/>
      <c r="AE3409" s="364"/>
      <c r="AF3409" s="475"/>
      <c r="AG3409" s="363"/>
      <c r="AH3409" s="364"/>
      <c r="AI3409" s="364"/>
      <c r="AJ3409" s="364"/>
      <c r="AK3409" s="364"/>
      <c r="AL3409" s="364"/>
      <c r="AM3409" s="364"/>
      <c r="AN3409" s="364"/>
      <c r="AO3409" s="364"/>
      <c r="AP3409" s="364"/>
      <c r="AQ3409" s="364"/>
      <c r="AR3409" s="387"/>
      <c r="AS3409" s="386"/>
      <c r="AT3409" s="364"/>
      <c r="AU3409" s="364"/>
      <c r="AV3409" s="364"/>
      <c r="AW3409" s="364"/>
      <c r="AX3409" s="364"/>
      <c r="AY3409" s="364"/>
      <c r="AZ3409" s="364"/>
      <c r="BA3409" s="364"/>
      <c r="BB3409" s="364"/>
      <c r="BC3409" s="364"/>
      <c r="BD3409" s="475"/>
      <c r="BE3409" s="363"/>
      <c r="BF3409" s="364"/>
      <c r="BG3409" s="364"/>
      <c r="BH3409" s="364"/>
      <c r="BI3409" s="364"/>
      <c r="BJ3409" s="364"/>
      <c r="BK3409" s="364"/>
      <c r="BL3409" s="364"/>
      <c r="BM3409" s="364"/>
      <c r="BN3409" s="364"/>
      <c r="BO3409" s="387"/>
      <c r="BP3409" s="526">
        <f t="shared" si="626"/>
        <v>0</v>
      </c>
      <c r="BQ3409" s="527"/>
      <c r="BR3409" s="527"/>
      <c r="BS3409" s="527"/>
      <c r="BT3409" s="527"/>
      <c r="BU3409" s="527"/>
      <c r="BV3409" s="527"/>
      <c r="BW3409" s="527"/>
      <c r="BX3409" s="527"/>
      <c r="BY3409" s="527"/>
      <c r="BZ3409" s="528"/>
      <c r="CA3409" s="270"/>
      <c r="CB3409" s="3" t="str">
        <f t="shared" si="624"/>
        <v>Riadok bude skrytý.</v>
      </c>
      <c r="CC3409" s="271" t="s">
        <v>832</v>
      </c>
      <c r="CW3409" s="134">
        <f t="shared" si="627"/>
        <v>0</v>
      </c>
      <c r="CZ3409" s="30">
        <f t="shared" si="625"/>
        <v>1</v>
      </c>
      <c r="DA3409" s="30">
        <f t="shared" si="621"/>
        <v>0</v>
      </c>
      <c r="DB3409" s="2">
        <f t="shared" si="620"/>
        <v>0</v>
      </c>
      <c r="DS3409" s="130">
        <f>SI!BY3409</f>
        <v>132</v>
      </c>
      <c r="DZ3409" s="131">
        <f>SI!BZ3409</f>
        <v>15</v>
      </c>
    </row>
    <row r="3410" spans="1:130" ht="29.25" hidden="1" customHeight="1" x14ac:dyDescent="0.25">
      <c r="A3410" s="141"/>
      <c r="B3410" s="529" t="str">
        <f>+IF(LEN(SI!$J$5)=Poznamky_k_UZ!DZ3410,"Oceňovacie rozdiely z kapitálových účastín","")</f>
        <v>Oceňovacie rozdiely z kapitálových účastín</v>
      </c>
      <c r="C3410" s="530"/>
      <c r="D3410" s="530"/>
      <c r="E3410" s="530"/>
      <c r="F3410" s="530"/>
      <c r="G3410" s="530"/>
      <c r="H3410" s="530"/>
      <c r="I3410" s="530"/>
      <c r="J3410" s="530"/>
      <c r="K3410" s="530"/>
      <c r="L3410" s="530"/>
      <c r="M3410" s="530"/>
      <c r="N3410" s="530"/>
      <c r="O3410" s="530"/>
      <c r="P3410" s="530"/>
      <c r="Q3410" s="530"/>
      <c r="R3410" s="530"/>
      <c r="S3410" s="531"/>
      <c r="T3410" s="363"/>
      <c r="U3410" s="364"/>
      <c r="V3410" s="364"/>
      <c r="W3410" s="364"/>
      <c r="X3410" s="364"/>
      <c r="Y3410" s="364"/>
      <c r="Z3410" s="364"/>
      <c r="AA3410" s="364"/>
      <c r="AB3410" s="364"/>
      <c r="AC3410" s="364"/>
      <c r="AD3410" s="364"/>
      <c r="AE3410" s="364"/>
      <c r="AF3410" s="475"/>
      <c r="AG3410" s="363"/>
      <c r="AH3410" s="364"/>
      <c r="AI3410" s="364"/>
      <c r="AJ3410" s="364"/>
      <c r="AK3410" s="364"/>
      <c r="AL3410" s="364"/>
      <c r="AM3410" s="364"/>
      <c r="AN3410" s="364"/>
      <c r="AO3410" s="364"/>
      <c r="AP3410" s="364"/>
      <c r="AQ3410" s="364"/>
      <c r="AR3410" s="387"/>
      <c r="AS3410" s="386"/>
      <c r="AT3410" s="364"/>
      <c r="AU3410" s="364"/>
      <c r="AV3410" s="364"/>
      <c r="AW3410" s="364"/>
      <c r="AX3410" s="364"/>
      <c r="AY3410" s="364"/>
      <c r="AZ3410" s="364"/>
      <c r="BA3410" s="364"/>
      <c r="BB3410" s="364"/>
      <c r="BC3410" s="364"/>
      <c r="BD3410" s="475"/>
      <c r="BE3410" s="363"/>
      <c r="BF3410" s="364"/>
      <c r="BG3410" s="364"/>
      <c r="BH3410" s="364"/>
      <c r="BI3410" s="364"/>
      <c r="BJ3410" s="364"/>
      <c r="BK3410" s="364"/>
      <c r="BL3410" s="364"/>
      <c r="BM3410" s="364"/>
      <c r="BN3410" s="364"/>
      <c r="BO3410" s="387"/>
      <c r="BP3410" s="526">
        <f t="shared" si="626"/>
        <v>0</v>
      </c>
      <c r="BQ3410" s="527"/>
      <c r="BR3410" s="527"/>
      <c r="BS3410" s="527"/>
      <c r="BT3410" s="527"/>
      <c r="BU3410" s="527"/>
      <c r="BV3410" s="527"/>
      <c r="BW3410" s="527"/>
      <c r="BX3410" s="527"/>
      <c r="BY3410" s="527"/>
      <c r="BZ3410" s="528"/>
      <c r="CA3410" s="270"/>
      <c r="CB3410" s="3" t="str">
        <f t="shared" si="624"/>
        <v>Riadok bude skrytý.</v>
      </c>
      <c r="CC3410" s="271" t="s">
        <v>832</v>
      </c>
      <c r="CW3410" s="134">
        <f t="shared" si="627"/>
        <v>0</v>
      </c>
      <c r="CZ3410" s="30">
        <f t="shared" si="625"/>
        <v>1</v>
      </c>
      <c r="DA3410" s="30">
        <f t="shared" si="621"/>
        <v>0</v>
      </c>
      <c r="DB3410" s="2">
        <f t="shared" si="620"/>
        <v>0</v>
      </c>
      <c r="DS3410" s="130">
        <f>SI!BY3410</f>
        <v>180</v>
      </c>
      <c r="DZ3410" s="131">
        <f>SI!BZ3410</f>
        <v>15</v>
      </c>
    </row>
    <row r="3411" spans="1:130" ht="38.25" hidden="1" customHeight="1" x14ac:dyDescent="0.25">
      <c r="A3411" s="141"/>
      <c r="B3411" s="529" t="str">
        <f>+IF(LEN(SI!$J$5)=Poznamky_k_UZ!DZ3411,"Oceňovacie rozdiely z precenenia pri zlúčení, splynutí a rozdelení","")</f>
        <v>Oceňovacie rozdiely z precenenia pri zlúčení, splynutí a rozdelení</v>
      </c>
      <c r="C3411" s="530"/>
      <c r="D3411" s="530"/>
      <c r="E3411" s="530"/>
      <c r="F3411" s="530"/>
      <c r="G3411" s="530"/>
      <c r="H3411" s="530"/>
      <c r="I3411" s="530"/>
      <c r="J3411" s="530"/>
      <c r="K3411" s="530"/>
      <c r="L3411" s="530"/>
      <c r="M3411" s="530"/>
      <c r="N3411" s="530"/>
      <c r="O3411" s="530"/>
      <c r="P3411" s="530"/>
      <c r="Q3411" s="530"/>
      <c r="R3411" s="530"/>
      <c r="S3411" s="531"/>
      <c r="T3411" s="363"/>
      <c r="U3411" s="364"/>
      <c r="V3411" s="364"/>
      <c r="W3411" s="364"/>
      <c r="X3411" s="364"/>
      <c r="Y3411" s="364"/>
      <c r="Z3411" s="364"/>
      <c r="AA3411" s="364"/>
      <c r="AB3411" s="364"/>
      <c r="AC3411" s="364"/>
      <c r="AD3411" s="364"/>
      <c r="AE3411" s="364"/>
      <c r="AF3411" s="475"/>
      <c r="AG3411" s="363"/>
      <c r="AH3411" s="364"/>
      <c r="AI3411" s="364"/>
      <c r="AJ3411" s="364"/>
      <c r="AK3411" s="364"/>
      <c r="AL3411" s="364"/>
      <c r="AM3411" s="364"/>
      <c r="AN3411" s="364"/>
      <c r="AO3411" s="364"/>
      <c r="AP3411" s="364"/>
      <c r="AQ3411" s="364"/>
      <c r="AR3411" s="387"/>
      <c r="AS3411" s="386"/>
      <c r="AT3411" s="364"/>
      <c r="AU3411" s="364"/>
      <c r="AV3411" s="364"/>
      <c r="AW3411" s="364"/>
      <c r="AX3411" s="364"/>
      <c r="AY3411" s="364"/>
      <c r="AZ3411" s="364"/>
      <c r="BA3411" s="364"/>
      <c r="BB3411" s="364"/>
      <c r="BC3411" s="364"/>
      <c r="BD3411" s="475"/>
      <c r="BE3411" s="363"/>
      <c r="BF3411" s="364"/>
      <c r="BG3411" s="364"/>
      <c r="BH3411" s="364"/>
      <c r="BI3411" s="364"/>
      <c r="BJ3411" s="364"/>
      <c r="BK3411" s="364"/>
      <c r="BL3411" s="364"/>
      <c r="BM3411" s="364"/>
      <c r="BN3411" s="364"/>
      <c r="BO3411" s="387"/>
      <c r="BP3411" s="526">
        <f t="shared" si="626"/>
        <v>0</v>
      </c>
      <c r="BQ3411" s="527"/>
      <c r="BR3411" s="527"/>
      <c r="BS3411" s="527"/>
      <c r="BT3411" s="527"/>
      <c r="BU3411" s="527"/>
      <c r="BV3411" s="527"/>
      <c r="BW3411" s="527"/>
      <c r="BX3411" s="527"/>
      <c r="BY3411" s="527"/>
      <c r="BZ3411" s="528"/>
      <c r="CA3411" s="270"/>
      <c r="CB3411" s="3" t="str">
        <f t="shared" si="624"/>
        <v>Riadok bude skrytý.</v>
      </c>
      <c r="CC3411" s="271" t="s">
        <v>832</v>
      </c>
      <c r="CW3411" s="134">
        <f t="shared" si="627"/>
        <v>0</v>
      </c>
      <c r="CZ3411" s="30">
        <f t="shared" si="625"/>
        <v>1</v>
      </c>
      <c r="DA3411" s="30">
        <f t="shared" si="621"/>
        <v>0</v>
      </c>
      <c r="DB3411" s="2">
        <f t="shared" si="620"/>
        <v>0</v>
      </c>
      <c r="DS3411" s="130">
        <f>SI!BY3411</f>
        <v>171</v>
      </c>
      <c r="DZ3411" s="131">
        <f>SI!BZ3411</f>
        <v>15</v>
      </c>
    </row>
    <row r="3412" spans="1:130" hidden="1" x14ac:dyDescent="0.25">
      <c r="A3412" s="141"/>
      <c r="B3412" s="532" t="str">
        <f>+IF(LEN(SI!$J$5)=Poznamky_k_UZ!DZ3412,"Zákonný rezervný fond","")</f>
        <v>Zákonný rezervný fond</v>
      </c>
      <c r="C3412" s="533"/>
      <c r="D3412" s="533"/>
      <c r="E3412" s="533"/>
      <c r="F3412" s="533"/>
      <c r="G3412" s="533"/>
      <c r="H3412" s="533"/>
      <c r="I3412" s="533"/>
      <c r="J3412" s="533"/>
      <c r="K3412" s="533"/>
      <c r="L3412" s="533"/>
      <c r="M3412" s="533"/>
      <c r="N3412" s="533"/>
      <c r="O3412" s="533"/>
      <c r="P3412" s="533"/>
      <c r="Q3412" s="533"/>
      <c r="R3412" s="533"/>
      <c r="S3412" s="534"/>
      <c r="T3412" s="363"/>
      <c r="U3412" s="364"/>
      <c r="V3412" s="364"/>
      <c r="W3412" s="364"/>
      <c r="X3412" s="364"/>
      <c r="Y3412" s="364"/>
      <c r="Z3412" s="364"/>
      <c r="AA3412" s="364"/>
      <c r="AB3412" s="364"/>
      <c r="AC3412" s="364"/>
      <c r="AD3412" s="364"/>
      <c r="AE3412" s="364"/>
      <c r="AF3412" s="475"/>
      <c r="AG3412" s="363"/>
      <c r="AH3412" s="364"/>
      <c r="AI3412" s="364"/>
      <c r="AJ3412" s="364"/>
      <c r="AK3412" s="364"/>
      <c r="AL3412" s="364"/>
      <c r="AM3412" s="364"/>
      <c r="AN3412" s="364"/>
      <c r="AO3412" s="364"/>
      <c r="AP3412" s="364"/>
      <c r="AQ3412" s="364"/>
      <c r="AR3412" s="387"/>
      <c r="AS3412" s="386"/>
      <c r="AT3412" s="364"/>
      <c r="AU3412" s="364"/>
      <c r="AV3412" s="364"/>
      <c r="AW3412" s="364"/>
      <c r="AX3412" s="364"/>
      <c r="AY3412" s="364"/>
      <c r="AZ3412" s="364"/>
      <c r="BA3412" s="364"/>
      <c r="BB3412" s="364"/>
      <c r="BC3412" s="364"/>
      <c r="BD3412" s="475"/>
      <c r="BE3412" s="363"/>
      <c r="BF3412" s="364"/>
      <c r="BG3412" s="364"/>
      <c r="BH3412" s="364"/>
      <c r="BI3412" s="364"/>
      <c r="BJ3412" s="364"/>
      <c r="BK3412" s="364"/>
      <c r="BL3412" s="364"/>
      <c r="BM3412" s="364"/>
      <c r="BN3412" s="364"/>
      <c r="BO3412" s="387"/>
      <c r="BP3412" s="526">
        <f t="shared" si="626"/>
        <v>0</v>
      </c>
      <c r="BQ3412" s="527"/>
      <c r="BR3412" s="527"/>
      <c r="BS3412" s="527"/>
      <c r="BT3412" s="527"/>
      <c r="BU3412" s="527"/>
      <c r="BV3412" s="527"/>
      <c r="BW3412" s="527"/>
      <c r="BX3412" s="527"/>
      <c r="BY3412" s="527"/>
      <c r="BZ3412" s="528"/>
      <c r="CA3412" s="270"/>
      <c r="CB3412" s="3" t="str">
        <f t="shared" si="624"/>
        <v>Riadok bude skrytý.</v>
      </c>
      <c r="CC3412" s="271" t="s">
        <v>832</v>
      </c>
      <c r="CW3412" s="134">
        <f t="shared" si="627"/>
        <v>0</v>
      </c>
      <c r="CZ3412" s="30">
        <f t="shared" si="625"/>
        <v>1</v>
      </c>
      <c r="DA3412" s="30">
        <f t="shared" si="621"/>
        <v>0</v>
      </c>
      <c r="DB3412" s="2">
        <f t="shared" si="620"/>
        <v>0</v>
      </c>
      <c r="DS3412" s="130">
        <f>SI!BY3412</f>
        <v>163</v>
      </c>
      <c r="DZ3412" s="131">
        <f>SI!BZ3412</f>
        <v>15</v>
      </c>
    </row>
    <row r="3413" spans="1:130" hidden="1" x14ac:dyDescent="0.25">
      <c r="A3413" s="141"/>
      <c r="B3413" s="532" t="str">
        <f>+IF(LEN(SI!$J$5)=Poznamky_k_UZ!DZ3413,"Nedeliteľný fond","")</f>
        <v>Nedeliteľný fond</v>
      </c>
      <c r="C3413" s="533"/>
      <c r="D3413" s="533"/>
      <c r="E3413" s="533"/>
      <c r="F3413" s="533"/>
      <c r="G3413" s="533"/>
      <c r="H3413" s="533"/>
      <c r="I3413" s="533"/>
      <c r="J3413" s="533"/>
      <c r="K3413" s="533"/>
      <c r="L3413" s="533"/>
      <c r="M3413" s="533"/>
      <c r="N3413" s="533"/>
      <c r="O3413" s="533"/>
      <c r="P3413" s="533"/>
      <c r="Q3413" s="533"/>
      <c r="R3413" s="533"/>
      <c r="S3413" s="534"/>
      <c r="T3413" s="363"/>
      <c r="U3413" s="364"/>
      <c r="V3413" s="364"/>
      <c r="W3413" s="364"/>
      <c r="X3413" s="364"/>
      <c r="Y3413" s="364"/>
      <c r="Z3413" s="364"/>
      <c r="AA3413" s="364"/>
      <c r="AB3413" s="364"/>
      <c r="AC3413" s="364"/>
      <c r="AD3413" s="364"/>
      <c r="AE3413" s="364"/>
      <c r="AF3413" s="475"/>
      <c r="AG3413" s="363"/>
      <c r="AH3413" s="364"/>
      <c r="AI3413" s="364"/>
      <c r="AJ3413" s="364"/>
      <c r="AK3413" s="364"/>
      <c r="AL3413" s="364"/>
      <c r="AM3413" s="364"/>
      <c r="AN3413" s="364"/>
      <c r="AO3413" s="364"/>
      <c r="AP3413" s="364"/>
      <c r="AQ3413" s="364"/>
      <c r="AR3413" s="387"/>
      <c r="AS3413" s="386"/>
      <c r="AT3413" s="364"/>
      <c r="AU3413" s="364"/>
      <c r="AV3413" s="364"/>
      <c r="AW3413" s="364"/>
      <c r="AX3413" s="364"/>
      <c r="AY3413" s="364"/>
      <c r="AZ3413" s="364"/>
      <c r="BA3413" s="364"/>
      <c r="BB3413" s="364"/>
      <c r="BC3413" s="364"/>
      <c r="BD3413" s="475"/>
      <c r="BE3413" s="363"/>
      <c r="BF3413" s="364"/>
      <c r="BG3413" s="364"/>
      <c r="BH3413" s="364"/>
      <c r="BI3413" s="364"/>
      <c r="BJ3413" s="364"/>
      <c r="BK3413" s="364"/>
      <c r="BL3413" s="364"/>
      <c r="BM3413" s="364"/>
      <c r="BN3413" s="364"/>
      <c r="BO3413" s="387"/>
      <c r="BP3413" s="526">
        <f t="shared" si="626"/>
        <v>0</v>
      </c>
      <c r="BQ3413" s="527"/>
      <c r="BR3413" s="527"/>
      <c r="BS3413" s="527"/>
      <c r="BT3413" s="527"/>
      <c r="BU3413" s="527"/>
      <c r="BV3413" s="527"/>
      <c r="BW3413" s="527"/>
      <c r="BX3413" s="527"/>
      <c r="BY3413" s="527"/>
      <c r="BZ3413" s="528"/>
      <c r="CA3413" s="270"/>
      <c r="CB3413" s="3" t="str">
        <f t="shared" si="624"/>
        <v>Riadok bude skrytý.</v>
      </c>
      <c r="CC3413" s="271" t="s">
        <v>832</v>
      </c>
      <c r="CW3413" s="134">
        <f t="shared" si="627"/>
        <v>0</v>
      </c>
      <c r="CZ3413" s="30">
        <f t="shared" si="625"/>
        <v>1</v>
      </c>
      <c r="DA3413" s="30">
        <f t="shared" si="621"/>
        <v>0</v>
      </c>
      <c r="DB3413" s="2">
        <f t="shared" si="620"/>
        <v>0</v>
      </c>
      <c r="DS3413" s="130">
        <f>SI!BY3413</f>
        <v>199</v>
      </c>
      <c r="DZ3413" s="131">
        <f>SI!BZ3413</f>
        <v>15</v>
      </c>
    </row>
    <row r="3414" spans="1:130" ht="25.5" hidden="1" customHeight="1" x14ac:dyDescent="0.25">
      <c r="A3414" s="141"/>
      <c r="B3414" s="529" t="str">
        <f>+IF(LEN(SI!$J$5)=Poznamky_k_UZ!DZ3414,"Štatutárne fondy a ostatné fondy","")</f>
        <v>Štatutárne fondy a ostatné fondy</v>
      </c>
      <c r="C3414" s="530"/>
      <c r="D3414" s="530"/>
      <c r="E3414" s="530"/>
      <c r="F3414" s="530"/>
      <c r="G3414" s="530"/>
      <c r="H3414" s="530"/>
      <c r="I3414" s="530"/>
      <c r="J3414" s="530"/>
      <c r="K3414" s="530"/>
      <c r="L3414" s="530"/>
      <c r="M3414" s="530"/>
      <c r="N3414" s="530"/>
      <c r="O3414" s="530"/>
      <c r="P3414" s="530"/>
      <c r="Q3414" s="530"/>
      <c r="R3414" s="530"/>
      <c r="S3414" s="531"/>
      <c r="T3414" s="363"/>
      <c r="U3414" s="364"/>
      <c r="V3414" s="364"/>
      <c r="W3414" s="364"/>
      <c r="X3414" s="364"/>
      <c r="Y3414" s="364"/>
      <c r="Z3414" s="364"/>
      <c r="AA3414" s="364"/>
      <c r="AB3414" s="364"/>
      <c r="AC3414" s="364"/>
      <c r="AD3414" s="364"/>
      <c r="AE3414" s="364"/>
      <c r="AF3414" s="475"/>
      <c r="AG3414" s="363"/>
      <c r="AH3414" s="364"/>
      <c r="AI3414" s="364"/>
      <c r="AJ3414" s="364"/>
      <c r="AK3414" s="364"/>
      <c r="AL3414" s="364"/>
      <c r="AM3414" s="364"/>
      <c r="AN3414" s="364"/>
      <c r="AO3414" s="364"/>
      <c r="AP3414" s="364"/>
      <c r="AQ3414" s="364"/>
      <c r="AR3414" s="387"/>
      <c r="AS3414" s="386"/>
      <c r="AT3414" s="364"/>
      <c r="AU3414" s="364"/>
      <c r="AV3414" s="364"/>
      <c r="AW3414" s="364"/>
      <c r="AX3414" s="364"/>
      <c r="AY3414" s="364"/>
      <c r="AZ3414" s="364"/>
      <c r="BA3414" s="364"/>
      <c r="BB3414" s="364"/>
      <c r="BC3414" s="364"/>
      <c r="BD3414" s="475"/>
      <c r="BE3414" s="363"/>
      <c r="BF3414" s="364"/>
      <c r="BG3414" s="364"/>
      <c r="BH3414" s="364"/>
      <c r="BI3414" s="364"/>
      <c r="BJ3414" s="364"/>
      <c r="BK3414" s="364"/>
      <c r="BL3414" s="364"/>
      <c r="BM3414" s="364"/>
      <c r="BN3414" s="364"/>
      <c r="BO3414" s="387"/>
      <c r="BP3414" s="526">
        <f t="shared" si="626"/>
        <v>0</v>
      </c>
      <c r="BQ3414" s="527"/>
      <c r="BR3414" s="527"/>
      <c r="BS3414" s="527"/>
      <c r="BT3414" s="527"/>
      <c r="BU3414" s="527"/>
      <c r="BV3414" s="527"/>
      <c r="BW3414" s="527"/>
      <c r="BX3414" s="527"/>
      <c r="BY3414" s="527"/>
      <c r="BZ3414" s="528"/>
      <c r="CA3414" s="270"/>
      <c r="CB3414" s="3" t="str">
        <f t="shared" si="624"/>
        <v>Riadok bude skrytý.</v>
      </c>
      <c r="CC3414" s="271" t="s">
        <v>832</v>
      </c>
      <c r="CW3414" s="134">
        <f t="shared" si="627"/>
        <v>0</v>
      </c>
      <c r="CZ3414" s="30">
        <f t="shared" si="625"/>
        <v>1</v>
      </c>
      <c r="DA3414" s="30">
        <f t="shared" si="621"/>
        <v>0</v>
      </c>
      <c r="DB3414" s="2">
        <f t="shared" si="620"/>
        <v>0</v>
      </c>
      <c r="DS3414" s="130">
        <f>SI!BY3414</f>
        <v>128</v>
      </c>
      <c r="DZ3414" s="131">
        <f>SI!BZ3414</f>
        <v>15</v>
      </c>
    </row>
    <row r="3415" spans="1:130" ht="25.5" hidden="1" customHeight="1" x14ac:dyDescent="0.25">
      <c r="A3415" s="141"/>
      <c r="B3415" s="529" t="str">
        <f>+IF(LEN(SI!$J$5)=Poznamky_k_UZ!DZ3415,"Nerozdelený zisk minulých rokov","")</f>
        <v>Nerozdelený zisk minulých rokov</v>
      </c>
      <c r="C3415" s="530"/>
      <c r="D3415" s="530"/>
      <c r="E3415" s="530"/>
      <c r="F3415" s="530"/>
      <c r="G3415" s="530"/>
      <c r="H3415" s="530"/>
      <c r="I3415" s="530"/>
      <c r="J3415" s="530"/>
      <c r="K3415" s="530"/>
      <c r="L3415" s="530"/>
      <c r="M3415" s="530"/>
      <c r="N3415" s="530"/>
      <c r="O3415" s="530"/>
      <c r="P3415" s="530"/>
      <c r="Q3415" s="530"/>
      <c r="R3415" s="530"/>
      <c r="S3415" s="531"/>
      <c r="T3415" s="363"/>
      <c r="U3415" s="364"/>
      <c r="V3415" s="364"/>
      <c r="W3415" s="364"/>
      <c r="X3415" s="364"/>
      <c r="Y3415" s="364"/>
      <c r="Z3415" s="364"/>
      <c r="AA3415" s="364"/>
      <c r="AB3415" s="364"/>
      <c r="AC3415" s="364"/>
      <c r="AD3415" s="364"/>
      <c r="AE3415" s="364"/>
      <c r="AF3415" s="475"/>
      <c r="AG3415" s="363"/>
      <c r="AH3415" s="364"/>
      <c r="AI3415" s="364"/>
      <c r="AJ3415" s="364"/>
      <c r="AK3415" s="364"/>
      <c r="AL3415" s="364"/>
      <c r="AM3415" s="364"/>
      <c r="AN3415" s="364"/>
      <c r="AO3415" s="364"/>
      <c r="AP3415" s="364"/>
      <c r="AQ3415" s="364"/>
      <c r="AR3415" s="387"/>
      <c r="AS3415" s="386"/>
      <c r="AT3415" s="364"/>
      <c r="AU3415" s="364"/>
      <c r="AV3415" s="364"/>
      <c r="AW3415" s="364"/>
      <c r="AX3415" s="364"/>
      <c r="AY3415" s="364"/>
      <c r="AZ3415" s="364"/>
      <c r="BA3415" s="364"/>
      <c r="BB3415" s="364"/>
      <c r="BC3415" s="364"/>
      <c r="BD3415" s="475"/>
      <c r="BE3415" s="363"/>
      <c r="BF3415" s="364"/>
      <c r="BG3415" s="364"/>
      <c r="BH3415" s="364"/>
      <c r="BI3415" s="364"/>
      <c r="BJ3415" s="364"/>
      <c r="BK3415" s="364"/>
      <c r="BL3415" s="364"/>
      <c r="BM3415" s="364"/>
      <c r="BN3415" s="364"/>
      <c r="BO3415" s="387"/>
      <c r="BP3415" s="526">
        <f t="shared" si="626"/>
        <v>0</v>
      </c>
      <c r="BQ3415" s="527"/>
      <c r="BR3415" s="527"/>
      <c r="BS3415" s="527"/>
      <c r="BT3415" s="527"/>
      <c r="BU3415" s="527"/>
      <c r="BV3415" s="527"/>
      <c r="BW3415" s="527"/>
      <c r="BX3415" s="527"/>
      <c r="BY3415" s="527"/>
      <c r="BZ3415" s="528"/>
      <c r="CA3415" s="270"/>
      <c r="CB3415" s="3" t="str">
        <f t="shared" si="624"/>
        <v>Riadok bude skrytý.</v>
      </c>
      <c r="CC3415" s="271" t="s">
        <v>832</v>
      </c>
      <c r="CW3415" s="134">
        <f t="shared" si="627"/>
        <v>0</v>
      </c>
      <c r="CZ3415" s="30">
        <f t="shared" si="625"/>
        <v>1</v>
      </c>
      <c r="DA3415" s="30">
        <f t="shared" si="621"/>
        <v>0</v>
      </c>
      <c r="DB3415" s="2">
        <f t="shared" si="620"/>
        <v>0</v>
      </c>
      <c r="DS3415" s="130">
        <f>SI!BY3415</f>
        <v>146</v>
      </c>
      <c r="DZ3415" s="131">
        <f>SI!BZ3415</f>
        <v>15</v>
      </c>
    </row>
    <row r="3416" spans="1:130" ht="25.5" hidden="1" customHeight="1" x14ac:dyDescent="0.25">
      <c r="A3416" s="141"/>
      <c r="B3416" s="529" t="str">
        <f>+IF(LEN(SI!$J$5)=Poznamky_k_UZ!DZ3416,"Neuhradená strata minulých rokov","")</f>
        <v>Neuhradená strata minulých rokov</v>
      </c>
      <c r="C3416" s="530"/>
      <c r="D3416" s="530"/>
      <c r="E3416" s="530"/>
      <c r="F3416" s="530"/>
      <c r="G3416" s="530"/>
      <c r="H3416" s="530"/>
      <c r="I3416" s="530"/>
      <c r="J3416" s="530"/>
      <c r="K3416" s="530"/>
      <c r="L3416" s="530"/>
      <c r="M3416" s="530"/>
      <c r="N3416" s="530"/>
      <c r="O3416" s="530"/>
      <c r="P3416" s="530"/>
      <c r="Q3416" s="530"/>
      <c r="R3416" s="530"/>
      <c r="S3416" s="531"/>
      <c r="T3416" s="363"/>
      <c r="U3416" s="364"/>
      <c r="V3416" s="364"/>
      <c r="W3416" s="364"/>
      <c r="X3416" s="364"/>
      <c r="Y3416" s="364"/>
      <c r="Z3416" s="364"/>
      <c r="AA3416" s="364"/>
      <c r="AB3416" s="364"/>
      <c r="AC3416" s="364"/>
      <c r="AD3416" s="364"/>
      <c r="AE3416" s="364"/>
      <c r="AF3416" s="475"/>
      <c r="AG3416" s="363"/>
      <c r="AH3416" s="364"/>
      <c r="AI3416" s="364"/>
      <c r="AJ3416" s="364"/>
      <c r="AK3416" s="364"/>
      <c r="AL3416" s="364"/>
      <c r="AM3416" s="364"/>
      <c r="AN3416" s="364"/>
      <c r="AO3416" s="364"/>
      <c r="AP3416" s="364"/>
      <c r="AQ3416" s="364"/>
      <c r="AR3416" s="387"/>
      <c r="AS3416" s="386"/>
      <c r="AT3416" s="364"/>
      <c r="AU3416" s="364"/>
      <c r="AV3416" s="364"/>
      <c r="AW3416" s="364"/>
      <c r="AX3416" s="364"/>
      <c r="AY3416" s="364"/>
      <c r="AZ3416" s="364"/>
      <c r="BA3416" s="364"/>
      <c r="BB3416" s="364"/>
      <c r="BC3416" s="364"/>
      <c r="BD3416" s="475"/>
      <c r="BE3416" s="363"/>
      <c r="BF3416" s="364"/>
      <c r="BG3416" s="364"/>
      <c r="BH3416" s="364"/>
      <c r="BI3416" s="364"/>
      <c r="BJ3416" s="364"/>
      <c r="BK3416" s="364"/>
      <c r="BL3416" s="364"/>
      <c r="BM3416" s="364"/>
      <c r="BN3416" s="364"/>
      <c r="BO3416" s="387"/>
      <c r="BP3416" s="526">
        <f t="shared" si="626"/>
        <v>0</v>
      </c>
      <c r="BQ3416" s="527"/>
      <c r="BR3416" s="527"/>
      <c r="BS3416" s="527"/>
      <c r="BT3416" s="527"/>
      <c r="BU3416" s="527"/>
      <c r="BV3416" s="527"/>
      <c r="BW3416" s="527"/>
      <c r="BX3416" s="527"/>
      <c r="BY3416" s="527"/>
      <c r="BZ3416" s="528"/>
      <c r="CA3416" s="270"/>
      <c r="CB3416" s="3" t="str">
        <f t="shared" si="624"/>
        <v>Riadok bude skrytý.</v>
      </c>
      <c r="CC3416" s="271" t="s">
        <v>832</v>
      </c>
      <c r="CW3416" s="134">
        <f t="shared" si="627"/>
        <v>0</v>
      </c>
      <c r="CZ3416" s="30">
        <f t="shared" si="625"/>
        <v>1</v>
      </c>
      <c r="DA3416" s="30">
        <f t="shared" si="621"/>
        <v>0</v>
      </c>
      <c r="DB3416" s="2">
        <f t="shared" si="620"/>
        <v>0</v>
      </c>
      <c r="DS3416" s="130">
        <f>SI!BY3416</f>
        <v>120</v>
      </c>
      <c r="DZ3416" s="131">
        <f>SI!BZ3416</f>
        <v>15</v>
      </c>
    </row>
    <row r="3417" spans="1:130" ht="25.5" hidden="1" customHeight="1" x14ac:dyDescent="0.25">
      <c r="A3417" s="141"/>
      <c r="B3417" s="529" t="str">
        <f>+IF(LEN(SI!$J$5)=Poznamky_k_UZ!DZ3417,"Výsledok hospodárenia bežného účtovného obdobia","")</f>
        <v>Výsledok hospodárenia bežného účtovného obdobia</v>
      </c>
      <c r="C3417" s="530"/>
      <c r="D3417" s="530"/>
      <c r="E3417" s="530"/>
      <c r="F3417" s="530"/>
      <c r="G3417" s="530"/>
      <c r="H3417" s="530"/>
      <c r="I3417" s="530"/>
      <c r="J3417" s="530"/>
      <c r="K3417" s="530"/>
      <c r="L3417" s="530"/>
      <c r="M3417" s="530"/>
      <c r="N3417" s="530"/>
      <c r="O3417" s="530"/>
      <c r="P3417" s="530"/>
      <c r="Q3417" s="530"/>
      <c r="R3417" s="530"/>
      <c r="S3417" s="531"/>
      <c r="T3417" s="363"/>
      <c r="U3417" s="364"/>
      <c r="V3417" s="364"/>
      <c r="W3417" s="364"/>
      <c r="X3417" s="364"/>
      <c r="Y3417" s="364"/>
      <c r="Z3417" s="364"/>
      <c r="AA3417" s="364"/>
      <c r="AB3417" s="364"/>
      <c r="AC3417" s="364"/>
      <c r="AD3417" s="364"/>
      <c r="AE3417" s="364"/>
      <c r="AF3417" s="475"/>
      <c r="AG3417" s="363"/>
      <c r="AH3417" s="364"/>
      <c r="AI3417" s="364"/>
      <c r="AJ3417" s="364"/>
      <c r="AK3417" s="364"/>
      <c r="AL3417" s="364"/>
      <c r="AM3417" s="364"/>
      <c r="AN3417" s="364"/>
      <c r="AO3417" s="364"/>
      <c r="AP3417" s="364"/>
      <c r="AQ3417" s="364"/>
      <c r="AR3417" s="387"/>
      <c r="AS3417" s="386"/>
      <c r="AT3417" s="364"/>
      <c r="AU3417" s="364"/>
      <c r="AV3417" s="364"/>
      <c r="AW3417" s="364"/>
      <c r="AX3417" s="364"/>
      <c r="AY3417" s="364"/>
      <c r="AZ3417" s="364"/>
      <c r="BA3417" s="364"/>
      <c r="BB3417" s="364"/>
      <c r="BC3417" s="364"/>
      <c r="BD3417" s="475"/>
      <c r="BE3417" s="363"/>
      <c r="BF3417" s="364"/>
      <c r="BG3417" s="364"/>
      <c r="BH3417" s="364"/>
      <c r="BI3417" s="364"/>
      <c r="BJ3417" s="364"/>
      <c r="BK3417" s="364"/>
      <c r="BL3417" s="364"/>
      <c r="BM3417" s="364"/>
      <c r="BN3417" s="364"/>
      <c r="BO3417" s="387"/>
      <c r="BP3417" s="526">
        <f t="shared" si="626"/>
        <v>0</v>
      </c>
      <c r="BQ3417" s="527"/>
      <c r="BR3417" s="527"/>
      <c r="BS3417" s="527"/>
      <c r="BT3417" s="527"/>
      <c r="BU3417" s="527"/>
      <c r="BV3417" s="527"/>
      <c r="BW3417" s="527"/>
      <c r="BX3417" s="527"/>
      <c r="BY3417" s="527"/>
      <c r="BZ3417" s="528"/>
      <c r="CA3417" s="270"/>
      <c r="CB3417" s="3" t="str">
        <f t="shared" si="624"/>
        <v>Riadok bude skrytý.</v>
      </c>
      <c r="CC3417" s="271" t="s">
        <v>832</v>
      </c>
      <c r="CW3417" s="134">
        <f t="shared" si="627"/>
        <v>0</v>
      </c>
      <c r="CZ3417" s="30">
        <f t="shared" si="625"/>
        <v>1</v>
      </c>
      <c r="DA3417" s="30">
        <f t="shared" si="621"/>
        <v>0</v>
      </c>
      <c r="DB3417" s="2">
        <f t="shared" si="620"/>
        <v>0</v>
      </c>
      <c r="DS3417" s="130">
        <f>SI!BY3417</f>
        <v>195</v>
      </c>
      <c r="DZ3417" s="131">
        <f>SI!BZ3417</f>
        <v>15</v>
      </c>
    </row>
    <row r="3418" spans="1:130" ht="14.95" hidden="1" customHeight="1" x14ac:dyDescent="0.25">
      <c r="A3418" s="141"/>
      <c r="B3418" s="529" t="str">
        <f>+IF(LEN(SI!$J$5)=Poznamky_k_UZ!DZ3418,"Vyplatené dividendy","")</f>
        <v>Vyplatené dividendy</v>
      </c>
      <c r="C3418" s="530"/>
      <c r="D3418" s="530"/>
      <c r="E3418" s="530"/>
      <c r="F3418" s="530"/>
      <c r="G3418" s="530"/>
      <c r="H3418" s="530"/>
      <c r="I3418" s="530"/>
      <c r="J3418" s="530"/>
      <c r="K3418" s="530"/>
      <c r="L3418" s="530"/>
      <c r="M3418" s="530"/>
      <c r="N3418" s="530"/>
      <c r="O3418" s="530"/>
      <c r="P3418" s="530"/>
      <c r="Q3418" s="530"/>
      <c r="R3418" s="530"/>
      <c r="S3418" s="531"/>
      <c r="T3418" s="363"/>
      <c r="U3418" s="364"/>
      <c r="V3418" s="364"/>
      <c r="W3418" s="364"/>
      <c r="X3418" s="364"/>
      <c r="Y3418" s="364"/>
      <c r="Z3418" s="364"/>
      <c r="AA3418" s="364"/>
      <c r="AB3418" s="364"/>
      <c r="AC3418" s="364"/>
      <c r="AD3418" s="364"/>
      <c r="AE3418" s="364"/>
      <c r="AF3418" s="475"/>
      <c r="AG3418" s="363"/>
      <c r="AH3418" s="364"/>
      <c r="AI3418" s="364"/>
      <c r="AJ3418" s="364"/>
      <c r="AK3418" s="364"/>
      <c r="AL3418" s="364"/>
      <c r="AM3418" s="364"/>
      <c r="AN3418" s="364"/>
      <c r="AO3418" s="364"/>
      <c r="AP3418" s="364"/>
      <c r="AQ3418" s="364"/>
      <c r="AR3418" s="387"/>
      <c r="AS3418" s="386"/>
      <c r="AT3418" s="364"/>
      <c r="AU3418" s="364"/>
      <c r="AV3418" s="364"/>
      <c r="AW3418" s="364"/>
      <c r="AX3418" s="364"/>
      <c r="AY3418" s="364"/>
      <c r="AZ3418" s="364"/>
      <c r="BA3418" s="364"/>
      <c r="BB3418" s="364"/>
      <c r="BC3418" s="364"/>
      <c r="BD3418" s="475"/>
      <c r="BE3418" s="363"/>
      <c r="BF3418" s="364"/>
      <c r="BG3418" s="364"/>
      <c r="BH3418" s="364"/>
      <c r="BI3418" s="364"/>
      <c r="BJ3418" s="364"/>
      <c r="BK3418" s="364"/>
      <c r="BL3418" s="364"/>
      <c r="BM3418" s="364"/>
      <c r="BN3418" s="364"/>
      <c r="BO3418" s="387"/>
      <c r="BP3418" s="526">
        <f t="shared" si="626"/>
        <v>0</v>
      </c>
      <c r="BQ3418" s="527"/>
      <c r="BR3418" s="527"/>
      <c r="BS3418" s="527"/>
      <c r="BT3418" s="527"/>
      <c r="BU3418" s="527"/>
      <c r="BV3418" s="527"/>
      <c r="BW3418" s="527"/>
      <c r="BX3418" s="527"/>
      <c r="BY3418" s="527"/>
      <c r="BZ3418" s="528"/>
      <c r="CA3418" s="270"/>
      <c r="CB3418" s="3" t="str">
        <f t="shared" si="624"/>
        <v>Riadok bude skrytý.</v>
      </c>
      <c r="CC3418" s="271" t="s">
        <v>832</v>
      </c>
      <c r="CD3418" s="137"/>
      <c r="CE3418" s="137"/>
      <c r="CF3418" s="137"/>
      <c r="CG3418" s="137"/>
      <c r="CH3418" s="137"/>
      <c r="CW3418" s="134">
        <f t="shared" si="627"/>
        <v>0</v>
      </c>
      <c r="CZ3418" s="30">
        <f t="shared" si="625"/>
        <v>1</v>
      </c>
      <c r="DA3418" s="30">
        <f t="shared" si="621"/>
        <v>0</v>
      </c>
      <c r="DB3418" s="2">
        <f t="shared" si="620"/>
        <v>0</v>
      </c>
      <c r="DS3418" s="130">
        <f>SI!BY3418</f>
        <v>205</v>
      </c>
      <c r="DZ3418" s="131">
        <f>SI!BZ3418</f>
        <v>15</v>
      </c>
    </row>
    <row r="3419" spans="1:130" ht="25.5" hidden="1" customHeight="1" x14ac:dyDescent="0.25">
      <c r="A3419" s="141"/>
      <c r="B3419" s="529" t="str">
        <f>+IF(LEN(SI!$J$5)=Poznamky_k_UZ!DZ3419,"Ostatné položky vlastného imania","")</f>
        <v>Ostatné položky vlastného imania</v>
      </c>
      <c r="C3419" s="530"/>
      <c r="D3419" s="530"/>
      <c r="E3419" s="530"/>
      <c r="F3419" s="530"/>
      <c r="G3419" s="530"/>
      <c r="H3419" s="530"/>
      <c r="I3419" s="530"/>
      <c r="J3419" s="530"/>
      <c r="K3419" s="530"/>
      <c r="L3419" s="530"/>
      <c r="M3419" s="530"/>
      <c r="N3419" s="530"/>
      <c r="O3419" s="530"/>
      <c r="P3419" s="530"/>
      <c r="Q3419" s="530"/>
      <c r="R3419" s="530"/>
      <c r="S3419" s="531"/>
      <c r="T3419" s="363"/>
      <c r="U3419" s="364"/>
      <c r="V3419" s="364"/>
      <c r="W3419" s="364"/>
      <c r="X3419" s="364"/>
      <c r="Y3419" s="364"/>
      <c r="Z3419" s="364"/>
      <c r="AA3419" s="364"/>
      <c r="AB3419" s="364"/>
      <c r="AC3419" s="364"/>
      <c r="AD3419" s="364"/>
      <c r="AE3419" s="364"/>
      <c r="AF3419" s="475"/>
      <c r="AG3419" s="363"/>
      <c r="AH3419" s="364"/>
      <c r="AI3419" s="364"/>
      <c r="AJ3419" s="364"/>
      <c r="AK3419" s="364"/>
      <c r="AL3419" s="364"/>
      <c r="AM3419" s="364"/>
      <c r="AN3419" s="364"/>
      <c r="AO3419" s="364"/>
      <c r="AP3419" s="364"/>
      <c r="AQ3419" s="364"/>
      <c r="AR3419" s="387"/>
      <c r="AS3419" s="386"/>
      <c r="AT3419" s="364"/>
      <c r="AU3419" s="364"/>
      <c r="AV3419" s="364"/>
      <c r="AW3419" s="364"/>
      <c r="AX3419" s="364"/>
      <c r="AY3419" s="364"/>
      <c r="AZ3419" s="364"/>
      <c r="BA3419" s="364"/>
      <c r="BB3419" s="364"/>
      <c r="BC3419" s="364"/>
      <c r="BD3419" s="475"/>
      <c r="BE3419" s="363"/>
      <c r="BF3419" s="364"/>
      <c r="BG3419" s="364"/>
      <c r="BH3419" s="364"/>
      <c r="BI3419" s="364"/>
      <c r="BJ3419" s="364"/>
      <c r="BK3419" s="364"/>
      <c r="BL3419" s="364"/>
      <c r="BM3419" s="364"/>
      <c r="BN3419" s="364"/>
      <c r="BO3419" s="387"/>
      <c r="BP3419" s="526">
        <f t="shared" si="626"/>
        <v>0</v>
      </c>
      <c r="BQ3419" s="527"/>
      <c r="BR3419" s="527"/>
      <c r="BS3419" s="527"/>
      <c r="BT3419" s="527"/>
      <c r="BU3419" s="527"/>
      <c r="BV3419" s="527"/>
      <c r="BW3419" s="527"/>
      <c r="BX3419" s="527"/>
      <c r="BY3419" s="527"/>
      <c r="BZ3419" s="528"/>
      <c r="CA3419" s="270"/>
      <c r="CB3419" s="3" t="str">
        <f t="shared" si="624"/>
        <v>Riadok bude skrytý.</v>
      </c>
      <c r="CC3419" s="271" t="s">
        <v>832</v>
      </c>
      <c r="CW3419" s="134">
        <f t="shared" si="627"/>
        <v>0</v>
      </c>
      <c r="CZ3419" s="30">
        <f t="shared" si="625"/>
        <v>1</v>
      </c>
      <c r="DA3419" s="30">
        <f t="shared" si="621"/>
        <v>0</v>
      </c>
      <c r="DB3419" s="2">
        <f t="shared" si="620"/>
        <v>0</v>
      </c>
      <c r="DS3419" s="130">
        <f>SI!BY3419</f>
        <v>177</v>
      </c>
      <c r="DZ3419" s="131">
        <f>SI!BZ3419</f>
        <v>15</v>
      </c>
    </row>
    <row r="3420" spans="1:130" ht="25.5" hidden="1" customHeight="1" x14ac:dyDescent="0.25">
      <c r="A3420" s="141"/>
      <c r="B3420" s="1507" t="str">
        <f>+IF(LEN(SI!$J$5)=Poznamky_k_UZ!DZ3420,"Účet 491 - Vlastné imanie fyzickej osoby - podnikateľa","")</f>
        <v>Účet 491 - Vlastné imanie fyzickej osoby - podnikateľa</v>
      </c>
      <c r="C3420" s="1508"/>
      <c r="D3420" s="1508"/>
      <c r="E3420" s="1508"/>
      <c r="F3420" s="1508"/>
      <c r="G3420" s="1508"/>
      <c r="H3420" s="1508"/>
      <c r="I3420" s="1508"/>
      <c r="J3420" s="1508"/>
      <c r="K3420" s="1508"/>
      <c r="L3420" s="1508"/>
      <c r="M3420" s="1508"/>
      <c r="N3420" s="1508"/>
      <c r="O3420" s="1508"/>
      <c r="P3420" s="1508"/>
      <c r="Q3420" s="1508"/>
      <c r="R3420" s="1508"/>
      <c r="S3420" s="1509"/>
      <c r="T3420" s="367"/>
      <c r="U3420" s="368"/>
      <c r="V3420" s="368"/>
      <c r="W3420" s="368"/>
      <c r="X3420" s="368"/>
      <c r="Y3420" s="368"/>
      <c r="Z3420" s="368"/>
      <c r="AA3420" s="368"/>
      <c r="AB3420" s="368"/>
      <c r="AC3420" s="368"/>
      <c r="AD3420" s="368"/>
      <c r="AE3420" s="368"/>
      <c r="AF3420" s="458"/>
      <c r="AG3420" s="367"/>
      <c r="AH3420" s="368"/>
      <c r="AI3420" s="368"/>
      <c r="AJ3420" s="368"/>
      <c r="AK3420" s="368"/>
      <c r="AL3420" s="368"/>
      <c r="AM3420" s="368"/>
      <c r="AN3420" s="368"/>
      <c r="AO3420" s="368"/>
      <c r="AP3420" s="368"/>
      <c r="AQ3420" s="368"/>
      <c r="AR3420" s="438"/>
      <c r="AS3420" s="457"/>
      <c r="AT3420" s="368"/>
      <c r="AU3420" s="368"/>
      <c r="AV3420" s="368"/>
      <c r="AW3420" s="368"/>
      <c r="AX3420" s="368"/>
      <c r="AY3420" s="368"/>
      <c r="AZ3420" s="368"/>
      <c r="BA3420" s="368"/>
      <c r="BB3420" s="368"/>
      <c r="BC3420" s="368"/>
      <c r="BD3420" s="458"/>
      <c r="BE3420" s="367"/>
      <c r="BF3420" s="368"/>
      <c r="BG3420" s="368"/>
      <c r="BH3420" s="368"/>
      <c r="BI3420" s="368"/>
      <c r="BJ3420" s="368"/>
      <c r="BK3420" s="368"/>
      <c r="BL3420" s="368"/>
      <c r="BM3420" s="368"/>
      <c r="BN3420" s="368"/>
      <c r="BO3420" s="438"/>
      <c r="BP3420" s="526">
        <f t="shared" si="626"/>
        <v>0</v>
      </c>
      <c r="BQ3420" s="527"/>
      <c r="BR3420" s="527"/>
      <c r="BS3420" s="527"/>
      <c r="BT3420" s="527"/>
      <c r="BU3420" s="527"/>
      <c r="BV3420" s="527"/>
      <c r="BW3420" s="527"/>
      <c r="BX3420" s="527"/>
      <c r="BY3420" s="527"/>
      <c r="BZ3420" s="528"/>
      <c r="CA3420" s="270"/>
      <c r="CB3420" s="3" t="str">
        <f t="shared" si="624"/>
        <v>Riadok bude skrytý.</v>
      </c>
      <c r="CC3420" s="271" t="s">
        <v>832</v>
      </c>
      <c r="CW3420" s="134">
        <f t="shared" si="627"/>
        <v>0</v>
      </c>
      <c r="CZ3420" s="30">
        <f t="shared" si="625"/>
        <v>1</v>
      </c>
      <c r="DA3420" s="30">
        <f t="shared" si="621"/>
        <v>0</v>
      </c>
      <c r="DB3420" s="2">
        <f t="shared" si="620"/>
        <v>0</v>
      </c>
      <c r="DS3420" s="130">
        <f>SI!BY3420</f>
        <v>181</v>
      </c>
      <c r="DZ3420" s="131">
        <f>SI!BZ3420</f>
        <v>15</v>
      </c>
    </row>
    <row r="3421" spans="1:130" ht="25.5" hidden="1" customHeight="1" x14ac:dyDescent="0.25">
      <c r="A3421" s="141"/>
      <c r="B3421" s="1488" t="s">
        <v>45</v>
      </c>
      <c r="C3421" s="1489"/>
      <c r="D3421" s="1489"/>
      <c r="E3421" s="1489"/>
      <c r="F3421" s="1489"/>
      <c r="G3421" s="1489"/>
      <c r="H3421" s="1489"/>
      <c r="I3421" s="1489"/>
      <c r="J3421" s="1489"/>
      <c r="K3421" s="1489"/>
      <c r="L3421" s="1489"/>
      <c r="M3421" s="1489"/>
      <c r="N3421" s="1489"/>
      <c r="O3421" s="1489"/>
      <c r="P3421" s="1489"/>
      <c r="Q3421" s="1489"/>
      <c r="R3421" s="1489"/>
      <c r="S3421" s="1490"/>
      <c r="T3421" s="411">
        <f>+SUM(T3402:AF3420)</f>
        <v>0</v>
      </c>
      <c r="U3421" s="412"/>
      <c r="V3421" s="412"/>
      <c r="W3421" s="412"/>
      <c r="X3421" s="412"/>
      <c r="Y3421" s="412"/>
      <c r="Z3421" s="412"/>
      <c r="AA3421" s="412"/>
      <c r="AB3421" s="412"/>
      <c r="AC3421" s="412"/>
      <c r="AD3421" s="412"/>
      <c r="AE3421" s="412"/>
      <c r="AF3421" s="477"/>
      <c r="AG3421" s="411">
        <f>+SUM(AG3402:AR3420)</f>
        <v>0</v>
      </c>
      <c r="AH3421" s="412"/>
      <c r="AI3421" s="412"/>
      <c r="AJ3421" s="412"/>
      <c r="AK3421" s="412"/>
      <c r="AL3421" s="412"/>
      <c r="AM3421" s="412"/>
      <c r="AN3421" s="412"/>
      <c r="AO3421" s="412"/>
      <c r="AP3421" s="412"/>
      <c r="AQ3421" s="412"/>
      <c r="AR3421" s="413"/>
      <c r="AS3421" s="411">
        <f>+SUM(AS3402:BD3420)</f>
        <v>0</v>
      </c>
      <c r="AT3421" s="412"/>
      <c r="AU3421" s="412"/>
      <c r="AV3421" s="412"/>
      <c r="AW3421" s="412"/>
      <c r="AX3421" s="412"/>
      <c r="AY3421" s="412"/>
      <c r="AZ3421" s="412"/>
      <c r="BA3421" s="412"/>
      <c r="BB3421" s="412"/>
      <c r="BC3421" s="412"/>
      <c r="BD3421" s="413"/>
      <c r="BE3421" s="411">
        <f>+SUM(BE3402:BO3420)</f>
        <v>0</v>
      </c>
      <c r="BF3421" s="412"/>
      <c r="BG3421" s="412"/>
      <c r="BH3421" s="412"/>
      <c r="BI3421" s="412"/>
      <c r="BJ3421" s="412"/>
      <c r="BK3421" s="412"/>
      <c r="BL3421" s="412"/>
      <c r="BM3421" s="412"/>
      <c r="BN3421" s="412"/>
      <c r="BO3421" s="413"/>
      <c r="BP3421" s="411">
        <f t="shared" si="626"/>
        <v>0</v>
      </c>
      <c r="BQ3421" s="412"/>
      <c r="BR3421" s="412"/>
      <c r="BS3421" s="412"/>
      <c r="BT3421" s="412"/>
      <c r="BU3421" s="412"/>
      <c r="BV3421" s="412"/>
      <c r="BW3421" s="412"/>
      <c r="BX3421" s="412"/>
      <c r="BY3421" s="412"/>
      <c r="BZ3421" s="413"/>
      <c r="CA3421" s="270"/>
      <c r="CB3421" s="3" t="str">
        <f t="shared" si="624"/>
        <v>Riadok bude skrytý.</v>
      </c>
      <c r="CC3421" s="271" t="s">
        <v>832</v>
      </c>
      <c r="CD3421" s="137"/>
      <c r="CE3421" s="137"/>
      <c r="CF3421" s="137"/>
      <c r="CG3421" s="137"/>
      <c r="CW3421" s="134">
        <f>+IF(SUM(CW3402:CW3420)=0,0,1)</f>
        <v>0</v>
      </c>
      <c r="CZ3421" s="30">
        <f t="shared" si="625"/>
        <v>1</v>
      </c>
      <c r="DA3421" s="30">
        <f t="shared" si="621"/>
        <v>0</v>
      </c>
      <c r="DB3421" s="2">
        <f t="shared" si="620"/>
        <v>0</v>
      </c>
      <c r="DS3421" s="130">
        <f>SI!BY3421</f>
        <v>121</v>
      </c>
      <c r="DZ3421" s="131">
        <f>SI!BZ3421</f>
        <v>0</v>
      </c>
    </row>
    <row r="3422" spans="1:130" hidden="1" x14ac:dyDescent="0.25">
      <c r="A3422" s="141"/>
      <c r="B3422" s="19"/>
      <c r="CA3422" s="270"/>
      <c r="CB3422" s="3" t="str">
        <f t="shared" si="624"/>
        <v>Riadok bude skrytý.</v>
      </c>
      <c r="CC3422" s="271" t="s">
        <v>832</v>
      </c>
      <c r="CW3422" s="134">
        <f>+IF(SUM(CW3402:CW3420)=0,0,1)</f>
        <v>0</v>
      </c>
      <c r="CZ3422" s="30">
        <f t="shared" si="625"/>
        <v>1</v>
      </c>
      <c r="DA3422" s="30">
        <f t="shared" si="621"/>
        <v>0</v>
      </c>
      <c r="DB3422" s="2">
        <f t="shared" si="620"/>
        <v>0</v>
      </c>
      <c r="DS3422" s="130">
        <f>SI!BY3422</f>
        <v>161</v>
      </c>
      <c r="DZ3422" s="131">
        <f>SI!BZ3422</f>
        <v>0</v>
      </c>
    </row>
    <row r="3423" spans="1:130" hidden="1" x14ac:dyDescent="0.25">
      <c r="A3423" s="141"/>
      <c r="B3423" s="19" t="s">
        <v>828</v>
      </c>
      <c r="CA3423" s="270" t="s">
        <v>773</v>
      </c>
      <c r="CB3423" s="3" t="str">
        <f t="shared" si="624"/>
        <v>Riadok bude skrytý.</v>
      </c>
      <c r="CC3423" s="271" t="s">
        <v>832</v>
      </c>
      <c r="CW3423" s="30">
        <f>+IF(SUM(CW3424:CW3443)=0,0,1)</f>
        <v>0</v>
      </c>
      <c r="CZ3423" s="30">
        <f t="shared" si="625"/>
        <v>1</v>
      </c>
      <c r="DA3423" s="30">
        <f t="shared" si="621"/>
        <v>0</v>
      </c>
      <c r="DB3423" s="2">
        <f t="shared" si="620"/>
        <v>0</v>
      </c>
      <c r="DS3423" s="130">
        <f>SI!BY3423</f>
        <v>159</v>
      </c>
      <c r="DZ3423" s="131">
        <f>SI!BZ3423</f>
        <v>0</v>
      </c>
    </row>
    <row r="3424" spans="1:130" hidden="1" x14ac:dyDescent="0.25">
      <c r="A3424" s="141"/>
      <c r="B3424" s="406"/>
      <c r="C3424" s="406"/>
      <c r="D3424" s="406"/>
      <c r="E3424" s="406"/>
      <c r="F3424" s="406"/>
      <c r="G3424" s="406"/>
      <c r="H3424" s="406"/>
      <c r="I3424" s="406"/>
      <c r="J3424" s="406"/>
      <c r="K3424" s="406"/>
      <c r="L3424" s="406"/>
      <c r="M3424" s="406"/>
      <c r="N3424" s="406"/>
      <c r="O3424" s="406"/>
      <c r="P3424" s="406"/>
      <c r="Q3424" s="406"/>
      <c r="R3424" s="406"/>
      <c r="S3424" s="406"/>
      <c r="T3424" s="406"/>
      <c r="U3424" s="406"/>
      <c r="V3424" s="406"/>
      <c r="W3424" s="406"/>
      <c r="X3424" s="406"/>
      <c r="Y3424" s="406"/>
      <c r="Z3424" s="406"/>
      <c r="AA3424" s="406"/>
      <c r="AB3424" s="406"/>
      <c r="AC3424" s="406"/>
      <c r="AD3424" s="406"/>
      <c r="AE3424" s="406"/>
      <c r="AF3424" s="406"/>
      <c r="AG3424" s="406"/>
      <c r="AH3424" s="406"/>
      <c r="AI3424" s="406"/>
      <c r="AJ3424" s="406"/>
      <c r="AK3424" s="406"/>
      <c r="AL3424" s="406"/>
      <c r="AM3424" s="406"/>
      <c r="AN3424" s="406"/>
      <c r="AO3424" s="406"/>
      <c r="AP3424" s="406"/>
      <c r="AQ3424" s="406"/>
      <c r="AR3424" s="406"/>
      <c r="AS3424" s="406"/>
      <c r="AT3424" s="406"/>
      <c r="AU3424" s="406"/>
      <c r="AV3424" s="406"/>
      <c r="AW3424" s="406"/>
      <c r="AX3424" s="406"/>
      <c r="AY3424" s="406"/>
      <c r="AZ3424" s="406"/>
      <c r="BA3424" s="406"/>
      <c r="BB3424" s="406"/>
      <c r="BC3424" s="406"/>
      <c r="BD3424" s="406"/>
      <c r="BE3424" s="406"/>
      <c r="BF3424" s="406"/>
      <c r="BG3424" s="406"/>
      <c r="BH3424" s="406"/>
      <c r="BI3424" s="406"/>
      <c r="BJ3424" s="406"/>
      <c r="BK3424" s="406"/>
      <c r="BL3424" s="406"/>
      <c r="BM3424" s="406"/>
      <c r="BN3424" s="406"/>
      <c r="BO3424" s="406"/>
      <c r="BP3424" s="406"/>
      <c r="BQ3424" s="406"/>
      <c r="BR3424" s="406"/>
      <c r="BS3424" s="406"/>
      <c r="BT3424" s="406"/>
      <c r="BU3424" s="406"/>
      <c r="BV3424" s="406"/>
      <c r="BW3424" s="406"/>
      <c r="BX3424" s="406"/>
      <c r="BY3424" s="406"/>
      <c r="BZ3424" s="406"/>
      <c r="CA3424" s="308"/>
      <c r="CB3424" s="3" t="str">
        <f t="shared" si="624"/>
        <v>Riadok bude skrytý.</v>
      </c>
      <c r="CC3424" s="271" t="s">
        <v>832</v>
      </c>
      <c r="CW3424" s="30">
        <f t="shared" ref="CW3424:CW3443" si="628">+IF(B3424="",0,1)</f>
        <v>0</v>
      </c>
      <c r="CZ3424" s="30">
        <f t="shared" si="625"/>
        <v>1</v>
      </c>
      <c r="DA3424" s="30">
        <f t="shared" si="621"/>
        <v>0</v>
      </c>
      <c r="DB3424" s="2">
        <f t="shared" si="620"/>
        <v>0</v>
      </c>
      <c r="DS3424" s="130">
        <f>SI!BY3424</f>
        <v>206</v>
      </c>
      <c r="DZ3424" s="131">
        <f>SI!BZ3424</f>
        <v>0</v>
      </c>
    </row>
    <row r="3425" spans="1:130" hidden="1" x14ac:dyDescent="0.25">
      <c r="A3425" s="141"/>
      <c r="B3425" s="406"/>
      <c r="C3425" s="406"/>
      <c r="D3425" s="406"/>
      <c r="E3425" s="406"/>
      <c r="F3425" s="406"/>
      <c r="G3425" s="406"/>
      <c r="H3425" s="406"/>
      <c r="I3425" s="406"/>
      <c r="J3425" s="406"/>
      <c r="K3425" s="406"/>
      <c r="L3425" s="406"/>
      <c r="M3425" s="406"/>
      <c r="N3425" s="406"/>
      <c r="O3425" s="406"/>
      <c r="P3425" s="406"/>
      <c r="Q3425" s="406"/>
      <c r="R3425" s="406"/>
      <c r="S3425" s="406"/>
      <c r="T3425" s="406"/>
      <c r="U3425" s="406"/>
      <c r="V3425" s="406"/>
      <c r="W3425" s="406"/>
      <c r="X3425" s="406"/>
      <c r="Y3425" s="406"/>
      <c r="Z3425" s="406"/>
      <c r="AA3425" s="406"/>
      <c r="AB3425" s="406"/>
      <c r="AC3425" s="406"/>
      <c r="AD3425" s="406"/>
      <c r="AE3425" s="406"/>
      <c r="AF3425" s="406"/>
      <c r="AG3425" s="406"/>
      <c r="AH3425" s="406"/>
      <c r="AI3425" s="406"/>
      <c r="AJ3425" s="406"/>
      <c r="AK3425" s="406"/>
      <c r="AL3425" s="406"/>
      <c r="AM3425" s="406"/>
      <c r="AN3425" s="406"/>
      <c r="AO3425" s="406"/>
      <c r="AP3425" s="406"/>
      <c r="AQ3425" s="406"/>
      <c r="AR3425" s="406"/>
      <c r="AS3425" s="406"/>
      <c r="AT3425" s="406"/>
      <c r="AU3425" s="406"/>
      <c r="AV3425" s="406"/>
      <c r="AW3425" s="406"/>
      <c r="AX3425" s="406"/>
      <c r="AY3425" s="406"/>
      <c r="AZ3425" s="406"/>
      <c r="BA3425" s="406"/>
      <c r="BB3425" s="406"/>
      <c r="BC3425" s="406"/>
      <c r="BD3425" s="406"/>
      <c r="BE3425" s="406"/>
      <c r="BF3425" s="406"/>
      <c r="BG3425" s="406"/>
      <c r="BH3425" s="406"/>
      <c r="BI3425" s="406"/>
      <c r="BJ3425" s="406"/>
      <c r="BK3425" s="406"/>
      <c r="BL3425" s="406"/>
      <c r="BM3425" s="406"/>
      <c r="BN3425" s="406"/>
      <c r="BO3425" s="406"/>
      <c r="BP3425" s="406"/>
      <c r="BQ3425" s="406"/>
      <c r="BR3425" s="406"/>
      <c r="BS3425" s="406"/>
      <c r="BT3425" s="406"/>
      <c r="BU3425" s="406"/>
      <c r="BV3425" s="406"/>
      <c r="BW3425" s="406"/>
      <c r="BX3425" s="406"/>
      <c r="BY3425" s="406"/>
      <c r="BZ3425" s="406"/>
      <c r="CA3425" s="308"/>
      <c r="CB3425" s="3" t="str">
        <f t="shared" si="624"/>
        <v>Riadok bude skrytý.</v>
      </c>
      <c r="CC3425" s="271" t="s">
        <v>832</v>
      </c>
      <c r="CW3425" s="30">
        <f t="shared" si="628"/>
        <v>0</v>
      </c>
      <c r="CZ3425" s="30">
        <f t="shared" si="625"/>
        <v>1</v>
      </c>
      <c r="DA3425" s="30">
        <f t="shared" si="621"/>
        <v>0</v>
      </c>
      <c r="DB3425" s="2">
        <f t="shared" si="620"/>
        <v>0</v>
      </c>
      <c r="DS3425" s="130">
        <f>SI!BY3425</f>
        <v>178</v>
      </c>
      <c r="DZ3425" s="131">
        <f>SI!BZ3425</f>
        <v>0</v>
      </c>
    </row>
    <row r="3426" spans="1:130" hidden="1" x14ac:dyDescent="0.25">
      <c r="A3426" s="141"/>
      <c r="B3426" s="406"/>
      <c r="C3426" s="406"/>
      <c r="D3426" s="406"/>
      <c r="E3426" s="406"/>
      <c r="F3426" s="406"/>
      <c r="G3426" s="406"/>
      <c r="H3426" s="406"/>
      <c r="I3426" s="406"/>
      <c r="J3426" s="406"/>
      <c r="K3426" s="406"/>
      <c r="L3426" s="406"/>
      <c r="M3426" s="406"/>
      <c r="N3426" s="406"/>
      <c r="O3426" s="406"/>
      <c r="P3426" s="406"/>
      <c r="Q3426" s="406"/>
      <c r="R3426" s="406"/>
      <c r="S3426" s="406"/>
      <c r="T3426" s="406"/>
      <c r="U3426" s="406"/>
      <c r="V3426" s="406"/>
      <c r="W3426" s="406"/>
      <c r="X3426" s="406"/>
      <c r="Y3426" s="406"/>
      <c r="Z3426" s="406"/>
      <c r="AA3426" s="406"/>
      <c r="AB3426" s="406"/>
      <c r="AC3426" s="406"/>
      <c r="AD3426" s="406"/>
      <c r="AE3426" s="406"/>
      <c r="AF3426" s="406"/>
      <c r="AG3426" s="406"/>
      <c r="AH3426" s="406"/>
      <c r="AI3426" s="406"/>
      <c r="AJ3426" s="406"/>
      <c r="AK3426" s="406"/>
      <c r="AL3426" s="406"/>
      <c r="AM3426" s="406"/>
      <c r="AN3426" s="406"/>
      <c r="AO3426" s="406"/>
      <c r="AP3426" s="406"/>
      <c r="AQ3426" s="406"/>
      <c r="AR3426" s="406"/>
      <c r="AS3426" s="406"/>
      <c r="AT3426" s="406"/>
      <c r="AU3426" s="406"/>
      <c r="AV3426" s="406"/>
      <c r="AW3426" s="406"/>
      <c r="AX3426" s="406"/>
      <c r="AY3426" s="406"/>
      <c r="AZ3426" s="406"/>
      <c r="BA3426" s="406"/>
      <c r="BB3426" s="406"/>
      <c r="BC3426" s="406"/>
      <c r="BD3426" s="406"/>
      <c r="BE3426" s="406"/>
      <c r="BF3426" s="406"/>
      <c r="BG3426" s="406"/>
      <c r="BH3426" s="406"/>
      <c r="BI3426" s="406"/>
      <c r="BJ3426" s="406"/>
      <c r="BK3426" s="406"/>
      <c r="BL3426" s="406"/>
      <c r="BM3426" s="406"/>
      <c r="BN3426" s="406"/>
      <c r="BO3426" s="406"/>
      <c r="BP3426" s="406"/>
      <c r="BQ3426" s="406"/>
      <c r="BR3426" s="406"/>
      <c r="BS3426" s="406"/>
      <c r="BT3426" s="406"/>
      <c r="BU3426" s="406"/>
      <c r="BV3426" s="406"/>
      <c r="BW3426" s="406"/>
      <c r="BX3426" s="406"/>
      <c r="BY3426" s="406"/>
      <c r="BZ3426" s="406"/>
      <c r="CA3426" s="308"/>
      <c r="CB3426" s="3" t="str">
        <f t="shared" si="624"/>
        <v>Riadok bude skrytý.</v>
      </c>
      <c r="CC3426" s="271" t="s">
        <v>832</v>
      </c>
      <c r="CW3426" s="30">
        <f t="shared" si="628"/>
        <v>0</v>
      </c>
      <c r="CZ3426" s="30">
        <f t="shared" si="625"/>
        <v>1</v>
      </c>
      <c r="DA3426" s="30">
        <f t="shared" si="621"/>
        <v>0</v>
      </c>
      <c r="DB3426" s="2">
        <f t="shared" si="620"/>
        <v>0</v>
      </c>
      <c r="DS3426" s="130">
        <f>SI!BY3426</f>
        <v>143</v>
      </c>
      <c r="DZ3426" s="131">
        <f>SI!BZ3426</f>
        <v>0</v>
      </c>
    </row>
    <row r="3427" spans="1:130" hidden="1" x14ac:dyDescent="0.25">
      <c r="A3427" s="141"/>
      <c r="B3427" s="406"/>
      <c r="C3427" s="406"/>
      <c r="D3427" s="406"/>
      <c r="E3427" s="406"/>
      <c r="F3427" s="406"/>
      <c r="G3427" s="406"/>
      <c r="H3427" s="406"/>
      <c r="I3427" s="406"/>
      <c r="J3427" s="406"/>
      <c r="K3427" s="406"/>
      <c r="L3427" s="406"/>
      <c r="M3427" s="406"/>
      <c r="N3427" s="406"/>
      <c r="O3427" s="406"/>
      <c r="P3427" s="406"/>
      <c r="Q3427" s="406"/>
      <c r="R3427" s="406"/>
      <c r="S3427" s="406"/>
      <c r="T3427" s="406"/>
      <c r="U3427" s="406"/>
      <c r="V3427" s="406"/>
      <c r="W3427" s="406"/>
      <c r="X3427" s="406"/>
      <c r="Y3427" s="406"/>
      <c r="Z3427" s="406"/>
      <c r="AA3427" s="406"/>
      <c r="AB3427" s="406"/>
      <c r="AC3427" s="406"/>
      <c r="AD3427" s="406"/>
      <c r="AE3427" s="406"/>
      <c r="AF3427" s="406"/>
      <c r="AG3427" s="406"/>
      <c r="AH3427" s="406"/>
      <c r="AI3427" s="406"/>
      <c r="AJ3427" s="406"/>
      <c r="AK3427" s="406"/>
      <c r="AL3427" s="406"/>
      <c r="AM3427" s="406"/>
      <c r="AN3427" s="406"/>
      <c r="AO3427" s="406"/>
      <c r="AP3427" s="406"/>
      <c r="AQ3427" s="406"/>
      <c r="AR3427" s="406"/>
      <c r="AS3427" s="406"/>
      <c r="AT3427" s="406"/>
      <c r="AU3427" s="406"/>
      <c r="AV3427" s="406"/>
      <c r="AW3427" s="406"/>
      <c r="AX3427" s="406"/>
      <c r="AY3427" s="406"/>
      <c r="AZ3427" s="406"/>
      <c r="BA3427" s="406"/>
      <c r="BB3427" s="406"/>
      <c r="BC3427" s="406"/>
      <c r="BD3427" s="406"/>
      <c r="BE3427" s="406"/>
      <c r="BF3427" s="406"/>
      <c r="BG3427" s="406"/>
      <c r="BH3427" s="406"/>
      <c r="BI3427" s="406"/>
      <c r="BJ3427" s="406"/>
      <c r="BK3427" s="406"/>
      <c r="BL3427" s="406"/>
      <c r="BM3427" s="406"/>
      <c r="BN3427" s="406"/>
      <c r="BO3427" s="406"/>
      <c r="BP3427" s="406"/>
      <c r="BQ3427" s="406"/>
      <c r="BR3427" s="406"/>
      <c r="BS3427" s="406"/>
      <c r="BT3427" s="406"/>
      <c r="BU3427" s="406"/>
      <c r="BV3427" s="406"/>
      <c r="BW3427" s="406"/>
      <c r="BX3427" s="406"/>
      <c r="BY3427" s="406"/>
      <c r="BZ3427" s="406"/>
      <c r="CA3427" s="308"/>
      <c r="CB3427" s="3" t="str">
        <f t="shared" si="624"/>
        <v>Riadok bude skrytý.</v>
      </c>
      <c r="CC3427" s="271" t="s">
        <v>832</v>
      </c>
      <c r="CW3427" s="30">
        <f t="shared" si="628"/>
        <v>0</v>
      </c>
      <c r="CZ3427" s="30">
        <f t="shared" si="625"/>
        <v>1</v>
      </c>
      <c r="DA3427" s="30">
        <f t="shared" si="621"/>
        <v>0</v>
      </c>
      <c r="DB3427" s="2">
        <f t="shared" si="620"/>
        <v>0</v>
      </c>
      <c r="DS3427" s="130">
        <f>SI!BY3427</f>
        <v>167</v>
      </c>
      <c r="DZ3427" s="131">
        <f>SI!BZ3427</f>
        <v>0</v>
      </c>
    </row>
    <row r="3428" spans="1:130" hidden="1" x14ac:dyDescent="0.25">
      <c r="A3428" s="141"/>
      <c r="B3428" s="406"/>
      <c r="C3428" s="406"/>
      <c r="D3428" s="406"/>
      <c r="E3428" s="406"/>
      <c r="F3428" s="406"/>
      <c r="G3428" s="406"/>
      <c r="H3428" s="406"/>
      <c r="I3428" s="406"/>
      <c r="J3428" s="406"/>
      <c r="K3428" s="406"/>
      <c r="L3428" s="406"/>
      <c r="M3428" s="406"/>
      <c r="N3428" s="406"/>
      <c r="O3428" s="406"/>
      <c r="P3428" s="406"/>
      <c r="Q3428" s="406"/>
      <c r="R3428" s="406"/>
      <c r="S3428" s="406"/>
      <c r="T3428" s="406"/>
      <c r="U3428" s="406"/>
      <c r="V3428" s="406"/>
      <c r="W3428" s="406"/>
      <c r="X3428" s="406"/>
      <c r="Y3428" s="406"/>
      <c r="Z3428" s="406"/>
      <c r="AA3428" s="406"/>
      <c r="AB3428" s="406"/>
      <c r="AC3428" s="406"/>
      <c r="AD3428" s="406"/>
      <c r="AE3428" s="406"/>
      <c r="AF3428" s="406"/>
      <c r="AG3428" s="406"/>
      <c r="AH3428" s="406"/>
      <c r="AI3428" s="406"/>
      <c r="AJ3428" s="406"/>
      <c r="AK3428" s="406"/>
      <c r="AL3428" s="406"/>
      <c r="AM3428" s="406"/>
      <c r="AN3428" s="406"/>
      <c r="AO3428" s="406"/>
      <c r="AP3428" s="406"/>
      <c r="AQ3428" s="406"/>
      <c r="AR3428" s="406"/>
      <c r="AS3428" s="406"/>
      <c r="AT3428" s="406"/>
      <c r="AU3428" s="406"/>
      <c r="AV3428" s="406"/>
      <c r="AW3428" s="406"/>
      <c r="AX3428" s="406"/>
      <c r="AY3428" s="406"/>
      <c r="AZ3428" s="406"/>
      <c r="BA3428" s="406"/>
      <c r="BB3428" s="406"/>
      <c r="BC3428" s="406"/>
      <c r="BD3428" s="406"/>
      <c r="BE3428" s="406"/>
      <c r="BF3428" s="406"/>
      <c r="BG3428" s="406"/>
      <c r="BH3428" s="406"/>
      <c r="BI3428" s="406"/>
      <c r="BJ3428" s="406"/>
      <c r="BK3428" s="406"/>
      <c r="BL3428" s="406"/>
      <c r="BM3428" s="406"/>
      <c r="BN3428" s="406"/>
      <c r="BO3428" s="406"/>
      <c r="BP3428" s="406"/>
      <c r="BQ3428" s="406"/>
      <c r="BR3428" s="406"/>
      <c r="BS3428" s="406"/>
      <c r="BT3428" s="406"/>
      <c r="BU3428" s="406"/>
      <c r="BV3428" s="406"/>
      <c r="BW3428" s="406"/>
      <c r="BX3428" s="406"/>
      <c r="BY3428" s="406"/>
      <c r="BZ3428" s="406"/>
      <c r="CA3428" s="308"/>
      <c r="CB3428" s="3" t="str">
        <f t="shared" si="624"/>
        <v>Riadok bude skrytý.</v>
      </c>
      <c r="CC3428" s="271" t="s">
        <v>832</v>
      </c>
      <c r="CW3428" s="30">
        <f t="shared" si="628"/>
        <v>0</v>
      </c>
      <c r="CZ3428" s="30">
        <f t="shared" si="625"/>
        <v>1</v>
      </c>
      <c r="DA3428" s="30">
        <f t="shared" si="621"/>
        <v>0</v>
      </c>
      <c r="DB3428" s="2">
        <f t="shared" si="620"/>
        <v>0</v>
      </c>
      <c r="DS3428" s="130">
        <f>SI!BY3428</f>
        <v>115</v>
      </c>
      <c r="DZ3428" s="131">
        <f>SI!BZ3428</f>
        <v>0</v>
      </c>
    </row>
    <row r="3429" spans="1:130" hidden="1" x14ac:dyDescent="0.25">
      <c r="A3429" s="141"/>
      <c r="B3429" s="406"/>
      <c r="C3429" s="406"/>
      <c r="D3429" s="406"/>
      <c r="E3429" s="406"/>
      <c r="F3429" s="406"/>
      <c r="G3429" s="406"/>
      <c r="H3429" s="406"/>
      <c r="I3429" s="406"/>
      <c r="J3429" s="406"/>
      <c r="K3429" s="406"/>
      <c r="L3429" s="406"/>
      <c r="M3429" s="406"/>
      <c r="N3429" s="406"/>
      <c r="O3429" s="406"/>
      <c r="P3429" s="406"/>
      <c r="Q3429" s="406"/>
      <c r="R3429" s="406"/>
      <c r="S3429" s="406"/>
      <c r="T3429" s="406"/>
      <c r="U3429" s="406"/>
      <c r="V3429" s="406"/>
      <c r="W3429" s="406"/>
      <c r="X3429" s="406"/>
      <c r="Y3429" s="406"/>
      <c r="Z3429" s="406"/>
      <c r="AA3429" s="406"/>
      <c r="AB3429" s="406"/>
      <c r="AC3429" s="406"/>
      <c r="AD3429" s="406"/>
      <c r="AE3429" s="406"/>
      <c r="AF3429" s="406"/>
      <c r="AG3429" s="406"/>
      <c r="AH3429" s="406"/>
      <c r="AI3429" s="406"/>
      <c r="AJ3429" s="406"/>
      <c r="AK3429" s="406"/>
      <c r="AL3429" s="406"/>
      <c r="AM3429" s="406"/>
      <c r="AN3429" s="406"/>
      <c r="AO3429" s="406"/>
      <c r="AP3429" s="406"/>
      <c r="AQ3429" s="406"/>
      <c r="AR3429" s="406"/>
      <c r="AS3429" s="406"/>
      <c r="AT3429" s="406"/>
      <c r="AU3429" s="406"/>
      <c r="AV3429" s="406"/>
      <c r="AW3429" s="406"/>
      <c r="AX3429" s="406"/>
      <c r="AY3429" s="406"/>
      <c r="AZ3429" s="406"/>
      <c r="BA3429" s="406"/>
      <c r="BB3429" s="406"/>
      <c r="BC3429" s="406"/>
      <c r="BD3429" s="406"/>
      <c r="BE3429" s="406"/>
      <c r="BF3429" s="406"/>
      <c r="BG3429" s="406"/>
      <c r="BH3429" s="406"/>
      <c r="BI3429" s="406"/>
      <c r="BJ3429" s="406"/>
      <c r="BK3429" s="406"/>
      <c r="BL3429" s="406"/>
      <c r="BM3429" s="406"/>
      <c r="BN3429" s="406"/>
      <c r="BO3429" s="406"/>
      <c r="BP3429" s="406"/>
      <c r="BQ3429" s="406"/>
      <c r="BR3429" s="406"/>
      <c r="BS3429" s="406"/>
      <c r="BT3429" s="406"/>
      <c r="BU3429" s="406"/>
      <c r="BV3429" s="406"/>
      <c r="BW3429" s="406"/>
      <c r="BX3429" s="406"/>
      <c r="BY3429" s="406"/>
      <c r="BZ3429" s="406"/>
      <c r="CA3429" s="308"/>
      <c r="CB3429" s="3" t="str">
        <f t="shared" si="624"/>
        <v>Riadok bude skrytý.</v>
      </c>
      <c r="CC3429" s="271" t="s">
        <v>832</v>
      </c>
      <c r="CW3429" s="30">
        <f t="shared" si="628"/>
        <v>0</v>
      </c>
      <c r="CZ3429" s="30">
        <f t="shared" si="625"/>
        <v>1</v>
      </c>
      <c r="DA3429" s="30">
        <f t="shared" si="621"/>
        <v>0</v>
      </c>
      <c r="DB3429" s="2">
        <f t="shared" si="620"/>
        <v>0</v>
      </c>
      <c r="DS3429" s="130">
        <f>SI!BY3429</f>
        <v>116</v>
      </c>
      <c r="DZ3429" s="131">
        <f>SI!BZ3429</f>
        <v>0</v>
      </c>
    </row>
    <row r="3430" spans="1:130" hidden="1" x14ac:dyDescent="0.25">
      <c r="A3430" s="141"/>
      <c r="B3430" s="406"/>
      <c r="C3430" s="406"/>
      <c r="D3430" s="406"/>
      <c r="E3430" s="406"/>
      <c r="F3430" s="406"/>
      <c r="G3430" s="406"/>
      <c r="H3430" s="406"/>
      <c r="I3430" s="406"/>
      <c r="J3430" s="406"/>
      <c r="K3430" s="406"/>
      <c r="L3430" s="406"/>
      <c r="M3430" s="406"/>
      <c r="N3430" s="406"/>
      <c r="O3430" s="406"/>
      <c r="P3430" s="406"/>
      <c r="Q3430" s="406"/>
      <c r="R3430" s="406"/>
      <c r="S3430" s="406"/>
      <c r="T3430" s="406"/>
      <c r="U3430" s="406"/>
      <c r="V3430" s="406"/>
      <c r="W3430" s="406"/>
      <c r="X3430" s="406"/>
      <c r="Y3430" s="406"/>
      <c r="Z3430" s="406"/>
      <c r="AA3430" s="406"/>
      <c r="AB3430" s="406"/>
      <c r="AC3430" s="406"/>
      <c r="AD3430" s="406"/>
      <c r="AE3430" s="406"/>
      <c r="AF3430" s="406"/>
      <c r="AG3430" s="406"/>
      <c r="AH3430" s="406"/>
      <c r="AI3430" s="406"/>
      <c r="AJ3430" s="406"/>
      <c r="AK3430" s="406"/>
      <c r="AL3430" s="406"/>
      <c r="AM3430" s="406"/>
      <c r="AN3430" s="406"/>
      <c r="AO3430" s="406"/>
      <c r="AP3430" s="406"/>
      <c r="AQ3430" s="406"/>
      <c r="AR3430" s="406"/>
      <c r="AS3430" s="406"/>
      <c r="AT3430" s="406"/>
      <c r="AU3430" s="406"/>
      <c r="AV3430" s="406"/>
      <c r="AW3430" s="406"/>
      <c r="AX3430" s="406"/>
      <c r="AY3430" s="406"/>
      <c r="AZ3430" s="406"/>
      <c r="BA3430" s="406"/>
      <c r="BB3430" s="406"/>
      <c r="BC3430" s="406"/>
      <c r="BD3430" s="406"/>
      <c r="BE3430" s="406"/>
      <c r="BF3430" s="406"/>
      <c r="BG3430" s="406"/>
      <c r="BH3430" s="406"/>
      <c r="BI3430" s="406"/>
      <c r="BJ3430" s="406"/>
      <c r="BK3430" s="406"/>
      <c r="BL3430" s="406"/>
      <c r="BM3430" s="406"/>
      <c r="BN3430" s="406"/>
      <c r="BO3430" s="406"/>
      <c r="BP3430" s="406"/>
      <c r="BQ3430" s="406"/>
      <c r="BR3430" s="406"/>
      <c r="BS3430" s="406"/>
      <c r="BT3430" s="406"/>
      <c r="BU3430" s="406"/>
      <c r="BV3430" s="406"/>
      <c r="BW3430" s="406"/>
      <c r="BX3430" s="406"/>
      <c r="BY3430" s="406"/>
      <c r="BZ3430" s="406"/>
      <c r="CA3430" s="308"/>
      <c r="CB3430" s="3" t="str">
        <f t="shared" si="624"/>
        <v>Riadok bude skrytý.</v>
      </c>
      <c r="CC3430" s="271" t="s">
        <v>832</v>
      </c>
      <c r="CW3430" s="30">
        <f t="shared" si="628"/>
        <v>0</v>
      </c>
      <c r="CZ3430" s="30">
        <f t="shared" si="625"/>
        <v>1</v>
      </c>
      <c r="DA3430" s="30">
        <f t="shared" si="621"/>
        <v>0</v>
      </c>
      <c r="DB3430" s="2">
        <f t="shared" ref="DB3430:DB3493" si="629">+IF($CD$1="malé",0,DA3430)</f>
        <v>0</v>
      </c>
      <c r="DS3430" s="130">
        <f>SI!BY3430</f>
        <v>181</v>
      </c>
      <c r="DZ3430" s="131">
        <f>SI!BZ3430</f>
        <v>0</v>
      </c>
    </row>
    <row r="3431" spans="1:130" hidden="1" x14ac:dyDescent="0.25">
      <c r="A3431" s="141"/>
      <c r="B3431" s="406"/>
      <c r="C3431" s="406"/>
      <c r="D3431" s="406"/>
      <c r="E3431" s="406"/>
      <c r="F3431" s="406"/>
      <c r="G3431" s="406"/>
      <c r="H3431" s="406"/>
      <c r="I3431" s="406"/>
      <c r="J3431" s="406"/>
      <c r="K3431" s="406"/>
      <c r="L3431" s="406"/>
      <c r="M3431" s="406"/>
      <c r="N3431" s="406"/>
      <c r="O3431" s="406"/>
      <c r="P3431" s="406"/>
      <c r="Q3431" s="406"/>
      <c r="R3431" s="406"/>
      <c r="S3431" s="406"/>
      <c r="T3431" s="406"/>
      <c r="U3431" s="406"/>
      <c r="V3431" s="406"/>
      <c r="W3431" s="406"/>
      <c r="X3431" s="406"/>
      <c r="Y3431" s="406"/>
      <c r="Z3431" s="406"/>
      <c r="AA3431" s="406"/>
      <c r="AB3431" s="406"/>
      <c r="AC3431" s="406"/>
      <c r="AD3431" s="406"/>
      <c r="AE3431" s="406"/>
      <c r="AF3431" s="406"/>
      <c r="AG3431" s="406"/>
      <c r="AH3431" s="406"/>
      <c r="AI3431" s="406"/>
      <c r="AJ3431" s="406"/>
      <c r="AK3431" s="406"/>
      <c r="AL3431" s="406"/>
      <c r="AM3431" s="406"/>
      <c r="AN3431" s="406"/>
      <c r="AO3431" s="406"/>
      <c r="AP3431" s="406"/>
      <c r="AQ3431" s="406"/>
      <c r="AR3431" s="406"/>
      <c r="AS3431" s="406"/>
      <c r="AT3431" s="406"/>
      <c r="AU3431" s="406"/>
      <c r="AV3431" s="406"/>
      <c r="AW3431" s="406"/>
      <c r="AX3431" s="406"/>
      <c r="AY3431" s="406"/>
      <c r="AZ3431" s="406"/>
      <c r="BA3431" s="406"/>
      <c r="BB3431" s="406"/>
      <c r="BC3431" s="406"/>
      <c r="BD3431" s="406"/>
      <c r="BE3431" s="406"/>
      <c r="BF3431" s="406"/>
      <c r="BG3431" s="406"/>
      <c r="BH3431" s="406"/>
      <c r="BI3431" s="406"/>
      <c r="BJ3431" s="406"/>
      <c r="BK3431" s="406"/>
      <c r="BL3431" s="406"/>
      <c r="BM3431" s="406"/>
      <c r="BN3431" s="406"/>
      <c r="BO3431" s="406"/>
      <c r="BP3431" s="406"/>
      <c r="BQ3431" s="406"/>
      <c r="BR3431" s="406"/>
      <c r="BS3431" s="406"/>
      <c r="BT3431" s="406"/>
      <c r="BU3431" s="406"/>
      <c r="BV3431" s="406"/>
      <c r="BW3431" s="406"/>
      <c r="BX3431" s="406"/>
      <c r="BY3431" s="406"/>
      <c r="BZ3431" s="406"/>
      <c r="CA3431" s="308"/>
      <c r="CB3431" s="3" t="str">
        <f t="shared" si="624"/>
        <v>Riadok bude skrytý.</v>
      </c>
      <c r="CC3431" s="271" t="s">
        <v>832</v>
      </c>
      <c r="CW3431" s="30">
        <f t="shared" si="628"/>
        <v>0</v>
      </c>
      <c r="CZ3431" s="30">
        <f t="shared" si="625"/>
        <v>1</v>
      </c>
      <c r="DA3431" s="30">
        <f t="shared" si="621"/>
        <v>0</v>
      </c>
      <c r="DB3431" s="2">
        <f t="shared" si="629"/>
        <v>0</v>
      </c>
      <c r="DS3431" s="130">
        <f>SI!BY3431</f>
        <v>160</v>
      </c>
      <c r="DZ3431" s="131">
        <f>SI!BZ3431</f>
        <v>0</v>
      </c>
    </row>
    <row r="3432" spans="1:130" hidden="1" x14ac:dyDescent="0.25">
      <c r="A3432" s="141"/>
      <c r="B3432" s="406"/>
      <c r="C3432" s="406"/>
      <c r="D3432" s="406"/>
      <c r="E3432" s="406"/>
      <c r="F3432" s="406"/>
      <c r="G3432" s="406"/>
      <c r="H3432" s="406"/>
      <c r="I3432" s="406"/>
      <c r="J3432" s="406"/>
      <c r="K3432" s="406"/>
      <c r="L3432" s="406"/>
      <c r="M3432" s="406"/>
      <c r="N3432" s="406"/>
      <c r="O3432" s="406"/>
      <c r="P3432" s="406"/>
      <c r="Q3432" s="406"/>
      <c r="R3432" s="406"/>
      <c r="S3432" s="406"/>
      <c r="T3432" s="406"/>
      <c r="U3432" s="406"/>
      <c r="V3432" s="406"/>
      <c r="W3432" s="406"/>
      <c r="X3432" s="406"/>
      <c r="Y3432" s="406"/>
      <c r="Z3432" s="406"/>
      <c r="AA3432" s="406"/>
      <c r="AB3432" s="406"/>
      <c r="AC3432" s="406"/>
      <c r="AD3432" s="406"/>
      <c r="AE3432" s="406"/>
      <c r="AF3432" s="406"/>
      <c r="AG3432" s="406"/>
      <c r="AH3432" s="406"/>
      <c r="AI3432" s="406"/>
      <c r="AJ3432" s="406"/>
      <c r="AK3432" s="406"/>
      <c r="AL3432" s="406"/>
      <c r="AM3432" s="406"/>
      <c r="AN3432" s="406"/>
      <c r="AO3432" s="406"/>
      <c r="AP3432" s="406"/>
      <c r="AQ3432" s="406"/>
      <c r="AR3432" s="406"/>
      <c r="AS3432" s="406"/>
      <c r="AT3432" s="406"/>
      <c r="AU3432" s="406"/>
      <c r="AV3432" s="406"/>
      <c r="AW3432" s="406"/>
      <c r="AX3432" s="406"/>
      <c r="AY3432" s="406"/>
      <c r="AZ3432" s="406"/>
      <c r="BA3432" s="406"/>
      <c r="BB3432" s="406"/>
      <c r="BC3432" s="406"/>
      <c r="BD3432" s="406"/>
      <c r="BE3432" s="406"/>
      <c r="BF3432" s="406"/>
      <c r="BG3432" s="406"/>
      <c r="BH3432" s="406"/>
      <c r="BI3432" s="406"/>
      <c r="BJ3432" s="406"/>
      <c r="BK3432" s="406"/>
      <c r="BL3432" s="406"/>
      <c r="BM3432" s="406"/>
      <c r="BN3432" s="406"/>
      <c r="BO3432" s="406"/>
      <c r="BP3432" s="406"/>
      <c r="BQ3432" s="406"/>
      <c r="BR3432" s="406"/>
      <c r="BS3432" s="406"/>
      <c r="BT3432" s="406"/>
      <c r="BU3432" s="406"/>
      <c r="BV3432" s="406"/>
      <c r="BW3432" s="406"/>
      <c r="BX3432" s="406"/>
      <c r="BY3432" s="406"/>
      <c r="BZ3432" s="406"/>
      <c r="CA3432" s="308"/>
      <c r="CB3432" s="3" t="str">
        <f t="shared" si="624"/>
        <v>Riadok bude skrytý.</v>
      </c>
      <c r="CC3432" s="271" t="s">
        <v>832</v>
      </c>
      <c r="CW3432" s="30">
        <f t="shared" si="628"/>
        <v>0</v>
      </c>
      <c r="CZ3432" s="30">
        <f t="shared" si="625"/>
        <v>1</v>
      </c>
      <c r="DA3432" s="30">
        <f t="shared" si="621"/>
        <v>0</v>
      </c>
      <c r="DB3432" s="2">
        <f t="shared" si="629"/>
        <v>0</v>
      </c>
      <c r="DS3432" s="130">
        <f>SI!BY3432</f>
        <v>197</v>
      </c>
      <c r="DZ3432" s="131">
        <f>SI!BZ3432</f>
        <v>0</v>
      </c>
    </row>
    <row r="3433" spans="1:130" hidden="1" x14ac:dyDescent="0.25">
      <c r="A3433" s="141"/>
      <c r="B3433" s="406"/>
      <c r="C3433" s="406"/>
      <c r="D3433" s="406"/>
      <c r="E3433" s="406"/>
      <c r="F3433" s="406"/>
      <c r="G3433" s="406"/>
      <c r="H3433" s="406"/>
      <c r="I3433" s="406"/>
      <c r="J3433" s="406"/>
      <c r="K3433" s="406"/>
      <c r="L3433" s="406"/>
      <c r="M3433" s="406"/>
      <c r="N3433" s="406"/>
      <c r="O3433" s="406"/>
      <c r="P3433" s="406"/>
      <c r="Q3433" s="406"/>
      <c r="R3433" s="406"/>
      <c r="S3433" s="406"/>
      <c r="T3433" s="406"/>
      <c r="U3433" s="406"/>
      <c r="V3433" s="406"/>
      <c r="W3433" s="406"/>
      <c r="X3433" s="406"/>
      <c r="Y3433" s="406"/>
      <c r="Z3433" s="406"/>
      <c r="AA3433" s="406"/>
      <c r="AB3433" s="406"/>
      <c r="AC3433" s="406"/>
      <c r="AD3433" s="406"/>
      <c r="AE3433" s="406"/>
      <c r="AF3433" s="406"/>
      <c r="AG3433" s="406"/>
      <c r="AH3433" s="406"/>
      <c r="AI3433" s="406"/>
      <c r="AJ3433" s="406"/>
      <c r="AK3433" s="406"/>
      <c r="AL3433" s="406"/>
      <c r="AM3433" s="406"/>
      <c r="AN3433" s="406"/>
      <c r="AO3433" s="406"/>
      <c r="AP3433" s="406"/>
      <c r="AQ3433" s="406"/>
      <c r="AR3433" s="406"/>
      <c r="AS3433" s="406"/>
      <c r="AT3433" s="406"/>
      <c r="AU3433" s="406"/>
      <c r="AV3433" s="406"/>
      <c r="AW3433" s="406"/>
      <c r="AX3433" s="406"/>
      <c r="AY3433" s="406"/>
      <c r="AZ3433" s="406"/>
      <c r="BA3433" s="406"/>
      <c r="BB3433" s="406"/>
      <c r="BC3433" s="406"/>
      <c r="BD3433" s="406"/>
      <c r="BE3433" s="406"/>
      <c r="BF3433" s="406"/>
      <c r="BG3433" s="406"/>
      <c r="BH3433" s="406"/>
      <c r="BI3433" s="406"/>
      <c r="BJ3433" s="406"/>
      <c r="BK3433" s="406"/>
      <c r="BL3433" s="406"/>
      <c r="BM3433" s="406"/>
      <c r="BN3433" s="406"/>
      <c r="BO3433" s="406"/>
      <c r="BP3433" s="406"/>
      <c r="BQ3433" s="406"/>
      <c r="BR3433" s="406"/>
      <c r="BS3433" s="406"/>
      <c r="BT3433" s="406"/>
      <c r="BU3433" s="406"/>
      <c r="BV3433" s="406"/>
      <c r="BW3433" s="406"/>
      <c r="BX3433" s="406"/>
      <c r="BY3433" s="406"/>
      <c r="BZ3433" s="406"/>
      <c r="CA3433" s="308"/>
      <c r="CB3433" s="3" t="str">
        <f t="shared" si="624"/>
        <v>Riadok bude skrytý.</v>
      </c>
      <c r="CC3433" s="271" t="s">
        <v>832</v>
      </c>
      <c r="CW3433" s="30">
        <f t="shared" si="628"/>
        <v>0</v>
      </c>
      <c r="CZ3433" s="30">
        <f t="shared" si="625"/>
        <v>1</v>
      </c>
      <c r="DA3433" s="30">
        <f t="shared" ref="DA3433:DA3496" si="630">+IF(CW3433+CX3433+CY3433=0,0,IF(CZ3433=0,0,1))</f>
        <v>0</v>
      </c>
      <c r="DB3433" s="2">
        <f t="shared" si="629"/>
        <v>0</v>
      </c>
      <c r="DS3433" s="130">
        <f>SI!BY3433</f>
        <v>139</v>
      </c>
      <c r="DZ3433" s="131">
        <f>SI!BZ3433</f>
        <v>0</v>
      </c>
    </row>
    <row r="3434" spans="1:130" hidden="1" x14ac:dyDescent="0.25">
      <c r="A3434" s="141"/>
      <c r="B3434" s="406"/>
      <c r="C3434" s="406"/>
      <c r="D3434" s="406"/>
      <c r="E3434" s="406"/>
      <c r="F3434" s="406"/>
      <c r="G3434" s="406"/>
      <c r="H3434" s="406"/>
      <c r="I3434" s="406"/>
      <c r="J3434" s="406"/>
      <c r="K3434" s="406"/>
      <c r="L3434" s="406"/>
      <c r="M3434" s="406"/>
      <c r="N3434" s="406"/>
      <c r="O3434" s="406"/>
      <c r="P3434" s="406"/>
      <c r="Q3434" s="406"/>
      <c r="R3434" s="406"/>
      <c r="S3434" s="406"/>
      <c r="T3434" s="406"/>
      <c r="U3434" s="406"/>
      <c r="V3434" s="406"/>
      <c r="W3434" s="406"/>
      <c r="X3434" s="406"/>
      <c r="Y3434" s="406"/>
      <c r="Z3434" s="406"/>
      <c r="AA3434" s="406"/>
      <c r="AB3434" s="406"/>
      <c r="AC3434" s="406"/>
      <c r="AD3434" s="406"/>
      <c r="AE3434" s="406"/>
      <c r="AF3434" s="406"/>
      <c r="AG3434" s="406"/>
      <c r="AH3434" s="406"/>
      <c r="AI3434" s="406"/>
      <c r="AJ3434" s="406"/>
      <c r="AK3434" s="406"/>
      <c r="AL3434" s="406"/>
      <c r="AM3434" s="406"/>
      <c r="AN3434" s="406"/>
      <c r="AO3434" s="406"/>
      <c r="AP3434" s="406"/>
      <c r="AQ3434" s="406"/>
      <c r="AR3434" s="406"/>
      <c r="AS3434" s="406"/>
      <c r="AT3434" s="406"/>
      <c r="AU3434" s="406"/>
      <c r="AV3434" s="406"/>
      <c r="AW3434" s="406"/>
      <c r="AX3434" s="406"/>
      <c r="AY3434" s="406"/>
      <c r="AZ3434" s="406"/>
      <c r="BA3434" s="406"/>
      <c r="BB3434" s="406"/>
      <c r="BC3434" s="406"/>
      <c r="BD3434" s="406"/>
      <c r="BE3434" s="406"/>
      <c r="BF3434" s="406"/>
      <c r="BG3434" s="406"/>
      <c r="BH3434" s="406"/>
      <c r="BI3434" s="406"/>
      <c r="BJ3434" s="406"/>
      <c r="BK3434" s="406"/>
      <c r="BL3434" s="406"/>
      <c r="BM3434" s="406"/>
      <c r="BN3434" s="406"/>
      <c r="BO3434" s="406"/>
      <c r="BP3434" s="406"/>
      <c r="BQ3434" s="406"/>
      <c r="BR3434" s="406"/>
      <c r="BS3434" s="406"/>
      <c r="BT3434" s="406"/>
      <c r="BU3434" s="406"/>
      <c r="BV3434" s="406"/>
      <c r="BW3434" s="406"/>
      <c r="BX3434" s="406"/>
      <c r="BY3434" s="406"/>
      <c r="BZ3434" s="406"/>
      <c r="CA3434" s="308"/>
      <c r="CB3434" s="3" t="str">
        <f t="shared" si="624"/>
        <v>Riadok bude skrytý.</v>
      </c>
      <c r="CC3434" s="271" t="s">
        <v>832</v>
      </c>
      <c r="CW3434" s="30">
        <f t="shared" si="628"/>
        <v>0</v>
      </c>
      <c r="CZ3434" s="30">
        <f t="shared" si="625"/>
        <v>1</v>
      </c>
      <c r="DA3434" s="30">
        <f t="shared" si="630"/>
        <v>0</v>
      </c>
      <c r="DB3434" s="2">
        <f t="shared" si="629"/>
        <v>0</v>
      </c>
      <c r="DS3434" s="130">
        <f>SI!BY3434</f>
        <v>115</v>
      </c>
      <c r="DZ3434" s="131">
        <f>SI!BZ3434</f>
        <v>0</v>
      </c>
    </row>
    <row r="3435" spans="1:130" hidden="1" x14ac:dyDescent="0.25">
      <c r="A3435" s="141"/>
      <c r="B3435" s="406"/>
      <c r="C3435" s="406"/>
      <c r="D3435" s="406"/>
      <c r="E3435" s="406"/>
      <c r="F3435" s="406"/>
      <c r="G3435" s="406"/>
      <c r="H3435" s="406"/>
      <c r="I3435" s="406"/>
      <c r="J3435" s="406"/>
      <c r="K3435" s="406"/>
      <c r="L3435" s="406"/>
      <c r="M3435" s="406"/>
      <c r="N3435" s="406"/>
      <c r="O3435" s="406"/>
      <c r="P3435" s="406"/>
      <c r="Q3435" s="406"/>
      <c r="R3435" s="406"/>
      <c r="S3435" s="406"/>
      <c r="T3435" s="406"/>
      <c r="U3435" s="406"/>
      <c r="V3435" s="406"/>
      <c r="W3435" s="406"/>
      <c r="X3435" s="406"/>
      <c r="Y3435" s="406"/>
      <c r="Z3435" s="406"/>
      <c r="AA3435" s="406"/>
      <c r="AB3435" s="406"/>
      <c r="AC3435" s="406"/>
      <c r="AD3435" s="406"/>
      <c r="AE3435" s="406"/>
      <c r="AF3435" s="406"/>
      <c r="AG3435" s="406"/>
      <c r="AH3435" s="406"/>
      <c r="AI3435" s="406"/>
      <c r="AJ3435" s="406"/>
      <c r="AK3435" s="406"/>
      <c r="AL3435" s="406"/>
      <c r="AM3435" s="406"/>
      <c r="AN3435" s="406"/>
      <c r="AO3435" s="406"/>
      <c r="AP3435" s="406"/>
      <c r="AQ3435" s="406"/>
      <c r="AR3435" s="406"/>
      <c r="AS3435" s="406"/>
      <c r="AT3435" s="406"/>
      <c r="AU3435" s="406"/>
      <c r="AV3435" s="406"/>
      <c r="AW3435" s="406"/>
      <c r="AX3435" s="406"/>
      <c r="AY3435" s="406"/>
      <c r="AZ3435" s="406"/>
      <c r="BA3435" s="406"/>
      <c r="BB3435" s="406"/>
      <c r="BC3435" s="406"/>
      <c r="BD3435" s="406"/>
      <c r="BE3435" s="406"/>
      <c r="BF3435" s="406"/>
      <c r="BG3435" s="406"/>
      <c r="BH3435" s="406"/>
      <c r="BI3435" s="406"/>
      <c r="BJ3435" s="406"/>
      <c r="BK3435" s="406"/>
      <c r="BL3435" s="406"/>
      <c r="BM3435" s="406"/>
      <c r="BN3435" s="406"/>
      <c r="BO3435" s="406"/>
      <c r="BP3435" s="406"/>
      <c r="BQ3435" s="406"/>
      <c r="BR3435" s="406"/>
      <c r="BS3435" s="406"/>
      <c r="BT3435" s="406"/>
      <c r="BU3435" s="406"/>
      <c r="BV3435" s="406"/>
      <c r="BW3435" s="406"/>
      <c r="BX3435" s="406"/>
      <c r="BY3435" s="406"/>
      <c r="BZ3435" s="406"/>
      <c r="CA3435" s="308"/>
      <c r="CB3435" s="3" t="str">
        <f t="shared" si="624"/>
        <v>Riadok bude skrytý.</v>
      </c>
      <c r="CC3435" s="271" t="s">
        <v>832</v>
      </c>
      <c r="CW3435" s="30">
        <f t="shared" si="628"/>
        <v>0</v>
      </c>
      <c r="CZ3435" s="30">
        <f t="shared" si="625"/>
        <v>1</v>
      </c>
      <c r="DA3435" s="30">
        <f t="shared" si="630"/>
        <v>0</v>
      </c>
      <c r="DB3435" s="2">
        <f t="shared" si="629"/>
        <v>0</v>
      </c>
      <c r="DS3435" s="130">
        <f>SI!BY3435</f>
        <v>169</v>
      </c>
      <c r="DZ3435" s="131">
        <f>SI!BZ3435</f>
        <v>0</v>
      </c>
    </row>
    <row r="3436" spans="1:130" hidden="1" x14ac:dyDescent="0.25">
      <c r="A3436" s="141"/>
      <c r="B3436" s="406"/>
      <c r="C3436" s="406"/>
      <c r="D3436" s="406"/>
      <c r="E3436" s="406"/>
      <c r="F3436" s="406"/>
      <c r="G3436" s="406"/>
      <c r="H3436" s="406"/>
      <c r="I3436" s="406"/>
      <c r="J3436" s="406"/>
      <c r="K3436" s="406"/>
      <c r="L3436" s="406"/>
      <c r="M3436" s="406"/>
      <c r="N3436" s="406"/>
      <c r="O3436" s="406"/>
      <c r="P3436" s="406"/>
      <c r="Q3436" s="406"/>
      <c r="R3436" s="406"/>
      <c r="S3436" s="406"/>
      <c r="T3436" s="406"/>
      <c r="U3436" s="406"/>
      <c r="V3436" s="406"/>
      <c r="W3436" s="406"/>
      <c r="X3436" s="406"/>
      <c r="Y3436" s="406"/>
      <c r="Z3436" s="406"/>
      <c r="AA3436" s="406"/>
      <c r="AB3436" s="406"/>
      <c r="AC3436" s="406"/>
      <c r="AD3436" s="406"/>
      <c r="AE3436" s="406"/>
      <c r="AF3436" s="406"/>
      <c r="AG3436" s="406"/>
      <c r="AH3436" s="406"/>
      <c r="AI3436" s="406"/>
      <c r="AJ3436" s="406"/>
      <c r="AK3436" s="406"/>
      <c r="AL3436" s="406"/>
      <c r="AM3436" s="406"/>
      <c r="AN3436" s="406"/>
      <c r="AO3436" s="406"/>
      <c r="AP3436" s="406"/>
      <c r="AQ3436" s="406"/>
      <c r="AR3436" s="406"/>
      <c r="AS3436" s="406"/>
      <c r="AT3436" s="406"/>
      <c r="AU3436" s="406"/>
      <c r="AV3436" s="406"/>
      <c r="AW3436" s="406"/>
      <c r="AX3436" s="406"/>
      <c r="AY3436" s="406"/>
      <c r="AZ3436" s="406"/>
      <c r="BA3436" s="406"/>
      <c r="BB3436" s="406"/>
      <c r="BC3436" s="406"/>
      <c r="BD3436" s="406"/>
      <c r="BE3436" s="406"/>
      <c r="BF3436" s="406"/>
      <c r="BG3436" s="406"/>
      <c r="BH3436" s="406"/>
      <c r="BI3436" s="406"/>
      <c r="BJ3436" s="406"/>
      <c r="BK3436" s="406"/>
      <c r="BL3436" s="406"/>
      <c r="BM3436" s="406"/>
      <c r="BN3436" s="406"/>
      <c r="BO3436" s="406"/>
      <c r="BP3436" s="406"/>
      <c r="BQ3436" s="406"/>
      <c r="BR3436" s="406"/>
      <c r="BS3436" s="406"/>
      <c r="BT3436" s="406"/>
      <c r="BU3436" s="406"/>
      <c r="BV3436" s="406"/>
      <c r="BW3436" s="406"/>
      <c r="BX3436" s="406"/>
      <c r="BY3436" s="406"/>
      <c r="BZ3436" s="406"/>
      <c r="CA3436" s="308"/>
      <c r="CB3436" s="3" t="str">
        <f t="shared" si="624"/>
        <v>Riadok bude skrytý.</v>
      </c>
      <c r="CC3436" s="271" t="s">
        <v>832</v>
      </c>
      <c r="CW3436" s="30">
        <f t="shared" si="628"/>
        <v>0</v>
      </c>
      <c r="CZ3436" s="30">
        <f t="shared" si="625"/>
        <v>1</v>
      </c>
      <c r="DA3436" s="30">
        <f t="shared" si="630"/>
        <v>0</v>
      </c>
      <c r="DB3436" s="2">
        <f t="shared" si="629"/>
        <v>0</v>
      </c>
      <c r="DS3436" s="130">
        <f>SI!BY3436</f>
        <v>200</v>
      </c>
      <c r="DZ3436" s="131">
        <f>SI!BZ3436</f>
        <v>0</v>
      </c>
    </row>
    <row r="3437" spans="1:130" hidden="1" x14ac:dyDescent="0.25">
      <c r="A3437" s="141"/>
      <c r="B3437" s="406"/>
      <c r="C3437" s="406"/>
      <c r="D3437" s="406"/>
      <c r="E3437" s="406"/>
      <c r="F3437" s="406"/>
      <c r="G3437" s="406"/>
      <c r="H3437" s="406"/>
      <c r="I3437" s="406"/>
      <c r="J3437" s="406"/>
      <c r="K3437" s="406"/>
      <c r="L3437" s="406"/>
      <c r="M3437" s="406"/>
      <c r="N3437" s="406"/>
      <c r="O3437" s="406"/>
      <c r="P3437" s="406"/>
      <c r="Q3437" s="406"/>
      <c r="R3437" s="406"/>
      <c r="S3437" s="406"/>
      <c r="T3437" s="406"/>
      <c r="U3437" s="406"/>
      <c r="V3437" s="406"/>
      <c r="W3437" s="406"/>
      <c r="X3437" s="406"/>
      <c r="Y3437" s="406"/>
      <c r="Z3437" s="406"/>
      <c r="AA3437" s="406"/>
      <c r="AB3437" s="406"/>
      <c r="AC3437" s="406"/>
      <c r="AD3437" s="406"/>
      <c r="AE3437" s="406"/>
      <c r="AF3437" s="406"/>
      <c r="AG3437" s="406"/>
      <c r="AH3437" s="406"/>
      <c r="AI3437" s="406"/>
      <c r="AJ3437" s="406"/>
      <c r="AK3437" s="406"/>
      <c r="AL3437" s="406"/>
      <c r="AM3437" s="406"/>
      <c r="AN3437" s="406"/>
      <c r="AO3437" s="406"/>
      <c r="AP3437" s="406"/>
      <c r="AQ3437" s="406"/>
      <c r="AR3437" s="406"/>
      <c r="AS3437" s="406"/>
      <c r="AT3437" s="406"/>
      <c r="AU3437" s="406"/>
      <c r="AV3437" s="406"/>
      <c r="AW3437" s="406"/>
      <c r="AX3437" s="406"/>
      <c r="AY3437" s="406"/>
      <c r="AZ3437" s="406"/>
      <c r="BA3437" s="406"/>
      <c r="BB3437" s="406"/>
      <c r="BC3437" s="406"/>
      <c r="BD3437" s="406"/>
      <c r="BE3437" s="406"/>
      <c r="BF3437" s="406"/>
      <c r="BG3437" s="406"/>
      <c r="BH3437" s="406"/>
      <c r="BI3437" s="406"/>
      <c r="BJ3437" s="406"/>
      <c r="BK3437" s="406"/>
      <c r="BL3437" s="406"/>
      <c r="BM3437" s="406"/>
      <c r="BN3437" s="406"/>
      <c r="BO3437" s="406"/>
      <c r="BP3437" s="406"/>
      <c r="BQ3437" s="406"/>
      <c r="BR3437" s="406"/>
      <c r="BS3437" s="406"/>
      <c r="BT3437" s="406"/>
      <c r="BU3437" s="406"/>
      <c r="BV3437" s="406"/>
      <c r="BW3437" s="406"/>
      <c r="BX3437" s="406"/>
      <c r="BY3437" s="406"/>
      <c r="BZ3437" s="406"/>
      <c r="CA3437" s="308"/>
      <c r="CB3437" s="3" t="str">
        <f t="shared" si="624"/>
        <v>Riadok bude skrytý.</v>
      </c>
      <c r="CC3437" s="271" t="s">
        <v>832</v>
      </c>
      <c r="CW3437" s="30">
        <f t="shared" si="628"/>
        <v>0</v>
      </c>
      <c r="CZ3437" s="30">
        <f t="shared" si="625"/>
        <v>1</v>
      </c>
      <c r="DA3437" s="30">
        <f t="shared" si="630"/>
        <v>0</v>
      </c>
      <c r="DB3437" s="2">
        <f t="shared" si="629"/>
        <v>0</v>
      </c>
      <c r="DS3437" s="130">
        <f>SI!BY3437</f>
        <v>182</v>
      </c>
      <c r="DZ3437" s="131">
        <f>SI!BZ3437</f>
        <v>0</v>
      </c>
    </row>
    <row r="3438" spans="1:130" hidden="1" x14ac:dyDescent="0.25">
      <c r="A3438" s="141"/>
      <c r="B3438" s="406"/>
      <c r="C3438" s="406"/>
      <c r="D3438" s="406"/>
      <c r="E3438" s="406"/>
      <c r="F3438" s="406"/>
      <c r="G3438" s="406"/>
      <c r="H3438" s="406"/>
      <c r="I3438" s="406"/>
      <c r="J3438" s="406"/>
      <c r="K3438" s="406"/>
      <c r="L3438" s="406"/>
      <c r="M3438" s="406"/>
      <c r="N3438" s="406"/>
      <c r="O3438" s="406"/>
      <c r="P3438" s="406"/>
      <c r="Q3438" s="406"/>
      <c r="R3438" s="406"/>
      <c r="S3438" s="406"/>
      <c r="T3438" s="406"/>
      <c r="U3438" s="406"/>
      <c r="V3438" s="406"/>
      <c r="W3438" s="406"/>
      <c r="X3438" s="406"/>
      <c r="Y3438" s="406"/>
      <c r="Z3438" s="406"/>
      <c r="AA3438" s="406"/>
      <c r="AB3438" s="406"/>
      <c r="AC3438" s="406"/>
      <c r="AD3438" s="406"/>
      <c r="AE3438" s="406"/>
      <c r="AF3438" s="406"/>
      <c r="AG3438" s="406"/>
      <c r="AH3438" s="406"/>
      <c r="AI3438" s="406"/>
      <c r="AJ3438" s="406"/>
      <c r="AK3438" s="406"/>
      <c r="AL3438" s="406"/>
      <c r="AM3438" s="406"/>
      <c r="AN3438" s="406"/>
      <c r="AO3438" s="406"/>
      <c r="AP3438" s="406"/>
      <c r="AQ3438" s="406"/>
      <c r="AR3438" s="406"/>
      <c r="AS3438" s="406"/>
      <c r="AT3438" s="406"/>
      <c r="AU3438" s="406"/>
      <c r="AV3438" s="406"/>
      <c r="AW3438" s="406"/>
      <c r="AX3438" s="406"/>
      <c r="AY3438" s="406"/>
      <c r="AZ3438" s="406"/>
      <c r="BA3438" s="406"/>
      <c r="BB3438" s="406"/>
      <c r="BC3438" s="406"/>
      <c r="BD3438" s="406"/>
      <c r="BE3438" s="406"/>
      <c r="BF3438" s="406"/>
      <c r="BG3438" s="406"/>
      <c r="BH3438" s="406"/>
      <c r="BI3438" s="406"/>
      <c r="BJ3438" s="406"/>
      <c r="BK3438" s="406"/>
      <c r="BL3438" s="406"/>
      <c r="BM3438" s="406"/>
      <c r="BN3438" s="406"/>
      <c r="BO3438" s="406"/>
      <c r="BP3438" s="406"/>
      <c r="BQ3438" s="406"/>
      <c r="BR3438" s="406"/>
      <c r="BS3438" s="406"/>
      <c r="BT3438" s="406"/>
      <c r="BU3438" s="406"/>
      <c r="BV3438" s="406"/>
      <c r="BW3438" s="406"/>
      <c r="BX3438" s="406"/>
      <c r="BY3438" s="406"/>
      <c r="BZ3438" s="406"/>
      <c r="CA3438" s="308"/>
      <c r="CB3438" s="3" t="str">
        <f t="shared" si="624"/>
        <v>Riadok bude skrytý.</v>
      </c>
      <c r="CC3438" s="271" t="s">
        <v>832</v>
      </c>
      <c r="CW3438" s="30">
        <f t="shared" si="628"/>
        <v>0</v>
      </c>
      <c r="CZ3438" s="30">
        <f t="shared" si="625"/>
        <v>1</v>
      </c>
      <c r="DA3438" s="30">
        <f t="shared" si="630"/>
        <v>0</v>
      </c>
      <c r="DB3438" s="2">
        <f t="shared" si="629"/>
        <v>0</v>
      </c>
      <c r="DS3438" s="130">
        <f>SI!BY3438</f>
        <v>187</v>
      </c>
      <c r="DZ3438" s="131">
        <f>SI!BZ3438</f>
        <v>0</v>
      </c>
    </row>
    <row r="3439" spans="1:130" hidden="1" x14ac:dyDescent="0.25">
      <c r="A3439" s="141"/>
      <c r="B3439" s="406"/>
      <c r="C3439" s="406"/>
      <c r="D3439" s="406"/>
      <c r="E3439" s="406"/>
      <c r="F3439" s="406"/>
      <c r="G3439" s="406"/>
      <c r="H3439" s="406"/>
      <c r="I3439" s="406"/>
      <c r="J3439" s="406"/>
      <c r="K3439" s="406"/>
      <c r="L3439" s="406"/>
      <c r="M3439" s="406"/>
      <c r="N3439" s="406"/>
      <c r="O3439" s="406"/>
      <c r="P3439" s="406"/>
      <c r="Q3439" s="406"/>
      <c r="R3439" s="406"/>
      <c r="S3439" s="406"/>
      <c r="T3439" s="406"/>
      <c r="U3439" s="406"/>
      <c r="V3439" s="406"/>
      <c r="W3439" s="406"/>
      <c r="X3439" s="406"/>
      <c r="Y3439" s="406"/>
      <c r="Z3439" s="406"/>
      <c r="AA3439" s="406"/>
      <c r="AB3439" s="406"/>
      <c r="AC3439" s="406"/>
      <c r="AD3439" s="406"/>
      <c r="AE3439" s="406"/>
      <c r="AF3439" s="406"/>
      <c r="AG3439" s="406"/>
      <c r="AH3439" s="406"/>
      <c r="AI3439" s="406"/>
      <c r="AJ3439" s="406"/>
      <c r="AK3439" s="406"/>
      <c r="AL3439" s="406"/>
      <c r="AM3439" s="406"/>
      <c r="AN3439" s="406"/>
      <c r="AO3439" s="406"/>
      <c r="AP3439" s="406"/>
      <c r="AQ3439" s="406"/>
      <c r="AR3439" s="406"/>
      <c r="AS3439" s="406"/>
      <c r="AT3439" s="406"/>
      <c r="AU3439" s="406"/>
      <c r="AV3439" s="406"/>
      <c r="AW3439" s="406"/>
      <c r="AX3439" s="406"/>
      <c r="AY3439" s="406"/>
      <c r="AZ3439" s="406"/>
      <c r="BA3439" s="406"/>
      <c r="BB3439" s="406"/>
      <c r="BC3439" s="406"/>
      <c r="BD3439" s="406"/>
      <c r="BE3439" s="406"/>
      <c r="BF3439" s="406"/>
      <c r="BG3439" s="406"/>
      <c r="BH3439" s="406"/>
      <c r="BI3439" s="406"/>
      <c r="BJ3439" s="406"/>
      <c r="BK3439" s="406"/>
      <c r="BL3439" s="406"/>
      <c r="BM3439" s="406"/>
      <c r="BN3439" s="406"/>
      <c r="BO3439" s="406"/>
      <c r="BP3439" s="406"/>
      <c r="BQ3439" s="406"/>
      <c r="BR3439" s="406"/>
      <c r="BS3439" s="406"/>
      <c r="BT3439" s="406"/>
      <c r="BU3439" s="406"/>
      <c r="BV3439" s="406"/>
      <c r="BW3439" s="406"/>
      <c r="BX3439" s="406"/>
      <c r="BY3439" s="406"/>
      <c r="BZ3439" s="406"/>
      <c r="CA3439" s="308"/>
      <c r="CB3439" s="3" t="str">
        <f t="shared" si="624"/>
        <v>Riadok bude skrytý.</v>
      </c>
      <c r="CC3439" s="271" t="s">
        <v>832</v>
      </c>
      <c r="CW3439" s="30">
        <f t="shared" si="628"/>
        <v>0</v>
      </c>
      <c r="CZ3439" s="30">
        <f t="shared" si="625"/>
        <v>1</v>
      </c>
      <c r="DA3439" s="30">
        <f t="shared" si="630"/>
        <v>0</v>
      </c>
      <c r="DB3439" s="2">
        <f t="shared" si="629"/>
        <v>0</v>
      </c>
      <c r="DS3439" s="130">
        <f>SI!BY3439</f>
        <v>132</v>
      </c>
      <c r="DZ3439" s="131">
        <f>SI!BZ3439</f>
        <v>0</v>
      </c>
    </row>
    <row r="3440" spans="1:130" hidden="1" x14ac:dyDescent="0.25">
      <c r="A3440" s="141"/>
      <c r="B3440" s="406"/>
      <c r="C3440" s="406"/>
      <c r="D3440" s="406"/>
      <c r="E3440" s="406"/>
      <c r="F3440" s="406"/>
      <c r="G3440" s="406"/>
      <c r="H3440" s="406"/>
      <c r="I3440" s="406"/>
      <c r="J3440" s="406"/>
      <c r="K3440" s="406"/>
      <c r="L3440" s="406"/>
      <c r="M3440" s="406"/>
      <c r="N3440" s="406"/>
      <c r="O3440" s="406"/>
      <c r="P3440" s="406"/>
      <c r="Q3440" s="406"/>
      <c r="R3440" s="406"/>
      <c r="S3440" s="406"/>
      <c r="T3440" s="406"/>
      <c r="U3440" s="406"/>
      <c r="V3440" s="406"/>
      <c r="W3440" s="406"/>
      <c r="X3440" s="406"/>
      <c r="Y3440" s="406"/>
      <c r="Z3440" s="406"/>
      <c r="AA3440" s="406"/>
      <c r="AB3440" s="406"/>
      <c r="AC3440" s="406"/>
      <c r="AD3440" s="406"/>
      <c r="AE3440" s="406"/>
      <c r="AF3440" s="406"/>
      <c r="AG3440" s="406"/>
      <c r="AH3440" s="406"/>
      <c r="AI3440" s="406"/>
      <c r="AJ3440" s="406"/>
      <c r="AK3440" s="406"/>
      <c r="AL3440" s="406"/>
      <c r="AM3440" s="406"/>
      <c r="AN3440" s="406"/>
      <c r="AO3440" s="406"/>
      <c r="AP3440" s="406"/>
      <c r="AQ3440" s="406"/>
      <c r="AR3440" s="406"/>
      <c r="AS3440" s="406"/>
      <c r="AT3440" s="406"/>
      <c r="AU3440" s="406"/>
      <c r="AV3440" s="406"/>
      <c r="AW3440" s="406"/>
      <c r="AX3440" s="406"/>
      <c r="AY3440" s="406"/>
      <c r="AZ3440" s="406"/>
      <c r="BA3440" s="406"/>
      <c r="BB3440" s="406"/>
      <c r="BC3440" s="406"/>
      <c r="BD3440" s="406"/>
      <c r="BE3440" s="406"/>
      <c r="BF3440" s="406"/>
      <c r="BG3440" s="406"/>
      <c r="BH3440" s="406"/>
      <c r="BI3440" s="406"/>
      <c r="BJ3440" s="406"/>
      <c r="BK3440" s="406"/>
      <c r="BL3440" s="406"/>
      <c r="BM3440" s="406"/>
      <c r="BN3440" s="406"/>
      <c r="BO3440" s="406"/>
      <c r="BP3440" s="406"/>
      <c r="BQ3440" s="406"/>
      <c r="BR3440" s="406"/>
      <c r="BS3440" s="406"/>
      <c r="BT3440" s="406"/>
      <c r="BU3440" s="406"/>
      <c r="BV3440" s="406"/>
      <c r="BW3440" s="406"/>
      <c r="BX3440" s="406"/>
      <c r="BY3440" s="406"/>
      <c r="BZ3440" s="406"/>
      <c r="CA3440" s="308"/>
      <c r="CB3440" s="3" t="str">
        <f t="shared" si="624"/>
        <v>Riadok bude skrytý.</v>
      </c>
      <c r="CC3440" s="271" t="s">
        <v>832</v>
      </c>
      <c r="CW3440" s="30">
        <f t="shared" si="628"/>
        <v>0</v>
      </c>
      <c r="CZ3440" s="30">
        <f t="shared" si="625"/>
        <v>1</v>
      </c>
      <c r="DA3440" s="30">
        <f t="shared" si="630"/>
        <v>0</v>
      </c>
      <c r="DB3440" s="2">
        <f t="shared" si="629"/>
        <v>0</v>
      </c>
      <c r="DS3440" s="130">
        <f>SI!BY3440</f>
        <v>611</v>
      </c>
      <c r="DZ3440" s="131">
        <f>SI!BZ3440</f>
        <v>0</v>
      </c>
    </row>
    <row r="3441" spans="1:130" hidden="1" x14ac:dyDescent="0.25">
      <c r="A3441" s="141"/>
      <c r="B3441" s="406"/>
      <c r="C3441" s="406"/>
      <c r="D3441" s="406"/>
      <c r="E3441" s="406"/>
      <c r="F3441" s="406"/>
      <c r="G3441" s="406"/>
      <c r="H3441" s="406"/>
      <c r="I3441" s="406"/>
      <c r="J3441" s="406"/>
      <c r="K3441" s="406"/>
      <c r="L3441" s="406"/>
      <c r="M3441" s="406"/>
      <c r="N3441" s="406"/>
      <c r="O3441" s="406"/>
      <c r="P3441" s="406"/>
      <c r="Q3441" s="406"/>
      <c r="R3441" s="406"/>
      <c r="S3441" s="406"/>
      <c r="T3441" s="406"/>
      <c r="U3441" s="406"/>
      <c r="V3441" s="406"/>
      <c r="W3441" s="406"/>
      <c r="X3441" s="406"/>
      <c r="Y3441" s="406"/>
      <c r="Z3441" s="406"/>
      <c r="AA3441" s="406"/>
      <c r="AB3441" s="406"/>
      <c r="AC3441" s="406"/>
      <c r="AD3441" s="406"/>
      <c r="AE3441" s="406"/>
      <c r="AF3441" s="406"/>
      <c r="AG3441" s="406"/>
      <c r="AH3441" s="406"/>
      <c r="AI3441" s="406"/>
      <c r="AJ3441" s="406"/>
      <c r="AK3441" s="406"/>
      <c r="AL3441" s="406"/>
      <c r="AM3441" s="406"/>
      <c r="AN3441" s="406"/>
      <c r="AO3441" s="406"/>
      <c r="AP3441" s="406"/>
      <c r="AQ3441" s="406"/>
      <c r="AR3441" s="406"/>
      <c r="AS3441" s="406"/>
      <c r="AT3441" s="406"/>
      <c r="AU3441" s="406"/>
      <c r="AV3441" s="406"/>
      <c r="AW3441" s="406"/>
      <c r="AX3441" s="406"/>
      <c r="AY3441" s="406"/>
      <c r="AZ3441" s="406"/>
      <c r="BA3441" s="406"/>
      <c r="BB3441" s="406"/>
      <c r="BC3441" s="406"/>
      <c r="BD3441" s="406"/>
      <c r="BE3441" s="406"/>
      <c r="BF3441" s="406"/>
      <c r="BG3441" s="406"/>
      <c r="BH3441" s="406"/>
      <c r="BI3441" s="406"/>
      <c r="BJ3441" s="406"/>
      <c r="BK3441" s="406"/>
      <c r="BL3441" s="406"/>
      <c r="BM3441" s="406"/>
      <c r="BN3441" s="406"/>
      <c r="BO3441" s="406"/>
      <c r="BP3441" s="406"/>
      <c r="BQ3441" s="406"/>
      <c r="BR3441" s="406"/>
      <c r="BS3441" s="406"/>
      <c r="BT3441" s="406"/>
      <c r="BU3441" s="406"/>
      <c r="BV3441" s="406"/>
      <c r="BW3441" s="406"/>
      <c r="BX3441" s="406"/>
      <c r="BY3441" s="406"/>
      <c r="BZ3441" s="406"/>
      <c r="CA3441" s="308"/>
      <c r="CB3441" s="3" t="str">
        <f t="shared" si="624"/>
        <v>Riadok bude skrytý.</v>
      </c>
      <c r="CC3441" s="271" t="s">
        <v>832</v>
      </c>
      <c r="CW3441" s="30">
        <f t="shared" si="628"/>
        <v>0</v>
      </c>
      <c r="CZ3441" s="30">
        <f t="shared" si="625"/>
        <v>1</v>
      </c>
      <c r="DA3441" s="30">
        <f t="shared" si="630"/>
        <v>0</v>
      </c>
      <c r="DB3441" s="2">
        <f t="shared" si="629"/>
        <v>0</v>
      </c>
      <c r="DS3441" s="130">
        <f>SI!BY3441</f>
        <v>176</v>
      </c>
      <c r="DZ3441" s="131">
        <f>SI!BZ3441</f>
        <v>0</v>
      </c>
    </row>
    <row r="3442" spans="1:130" hidden="1" x14ac:dyDescent="0.25">
      <c r="A3442" s="141"/>
      <c r="B3442" s="406"/>
      <c r="C3442" s="406"/>
      <c r="D3442" s="406"/>
      <c r="E3442" s="406"/>
      <c r="F3442" s="406"/>
      <c r="G3442" s="406"/>
      <c r="H3442" s="406"/>
      <c r="I3442" s="406"/>
      <c r="J3442" s="406"/>
      <c r="K3442" s="406"/>
      <c r="L3442" s="406"/>
      <c r="M3442" s="406"/>
      <c r="N3442" s="406"/>
      <c r="O3442" s="406"/>
      <c r="P3442" s="406"/>
      <c r="Q3442" s="406"/>
      <c r="R3442" s="406"/>
      <c r="S3442" s="406"/>
      <c r="T3442" s="406"/>
      <c r="U3442" s="406"/>
      <c r="V3442" s="406"/>
      <c r="W3442" s="406"/>
      <c r="X3442" s="406"/>
      <c r="Y3442" s="406"/>
      <c r="Z3442" s="406"/>
      <c r="AA3442" s="406"/>
      <c r="AB3442" s="406"/>
      <c r="AC3442" s="406"/>
      <c r="AD3442" s="406"/>
      <c r="AE3442" s="406"/>
      <c r="AF3442" s="406"/>
      <c r="AG3442" s="406"/>
      <c r="AH3442" s="406"/>
      <c r="AI3442" s="406"/>
      <c r="AJ3442" s="406"/>
      <c r="AK3442" s="406"/>
      <c r="AL3442" s="406"/>
      <c r="AM3442" s="406"/>
      <c r="AN3442" s="406"/>
      <c r="AO3442" s="406"/>
      <c r="AP3442" s="406"/>
      <c r="AQ3442" s="406"/>
      <c r="AR3442" s="406"/>
      <c r="AS3442" s="406"/>
      <c r="AT3442" s="406"/>
      <c r="AU3442" s="406"/>
      <c r="AV3442" s="406"/>
      <c r="AW3442" s="406"/>
      <c r="AX3442" s="406"/>
      <c r="AY3442" s="406"/>
      <c r="AZ3442" s="406"/>
      <c r="BA3442" s="406"/>
      <c r="BB3442" s="406"/>
      <c r="BC3442" s="406"/>
      <c r="BD3442" s="406"/>
      <c r="BE3442" s="406"/>
      <c r="BF3442" s="406"/>
      <c r="BG3442" s="406"/>
      <c r="BH3442" s="406"/>
      <c r="BI3442" s="406"/>
      <c r="BJ3442" s="406"/>
      <c r="BK3442" s="406"/>
      <c r="BL3442" s="406"/>
      <c r="BM3442" s="406"/>
      <c r="BN3442" s="406"/>
      <c r="BO3442" s="406"/>
      <c r="BP3442" s="406"/>
      <c r="BQ3442" s="406"/>
      <c r="BR3442" s="406"/>
      <c r="BS3442" s="406"/>
      <c r="BT3442" s="406"/>
      <c r="BU3442" s="406"/>
      <c r="BV3442" s="406"/>
      <c r="BW3442" s="406"/>
      <c r="BX3442" s="406"/>
      <c r="BY3442" s="406"/>
      <c r="BZ3442" s="406"/>
      <c r="CA3442" s="308"/>
      <c r="CB3442" s="3" t="str">
        <f t="shared" si="624"/>
        <v>Riadok bude skrytý.</v>
      </c>
      <c r="CC3442" s="271" t="s">
        <v>832</v>
      </c>
      <c r="CW3442" s="30">
        <f t="shared" si="628"/>
        <v>0</v>
      </c>
      <c r="CZ3442" s="30">
        <f t="shared" si="625"/>
        <v>1</v>
      </c>
      <c r="DA3442" s="30">
        <f t="shared" si="630"/>
        <v>0</v>
      </c>
      <c r="DB3442" s="2">
        <f t="shared" si="629"/>
        <v>0</v>
      </c>
      <c r="DS3442" s="130">
        <f>SI!BY3442</f>
        <v>485</v>
      </c>
      <c r="DZ3442" s="131">
        <f>SI!BZ3442</f>
        <v>0</v>
      </c>
    </row>
    <row r="3443" spans="1:130" hidden="1" x14ac:dyDescent="0.25">
      <c r="A3443" s="141"/>
      <c r="B3443" s="406"/>
      <c r="C3443" s="406"/>
      <c r="D3443" s="406"/>
      <c r="E3443" s="406"/>
      <c r="F3443" s="406"/>
      <c r="G3443" s="406"/>
      <c r="H3443" s="406"/>
      <c r="I3443" s="406"/>
      <c r="J3443" s="406"/>
      <c r="K3443" s="406"/>
      <c r="L3443" s="406"/>
      <c r="M3443" s="406"/>
      <c r="N3443" s="406"/>
      <c r="O3443" s="406"/>
      <c r="P3443" s="406"/>
      <c r="Q3443" s="406"/>
      <c r="R3443" s="406"/>
      <c r="S3443" s="406"/>
      <c r="T3443" s="406"/>
      <c r="U3443" s="406"/>
      <c r="V3443" s="406"/>
      <c r="W3443" s="406"/>
      <c r="X3443" s="406"/>
      <c r="Y3443" s="406"/>
      <c r="Z3443" s="406"/>
      <c r="AA3443" s="406"/>
      <c r="AB3443" s="406"/>
      <c r="AC3443" s="406"/>
      <c r="AD3443" s="406"/>
      <c r="AE3443" s="406"/>
      <c r="AF3443" s="406"/>
      <c r="AG3443" s="406"/>
      <c r="AH3443" s="406"/>
      <c r="AI3443" s="406"/>
      <c r="AJ3443" s="406"/>
      <c r="AK3443" s="406"/>
      <c r="AL3443" s="406"/>
      <c r="AM3443" s="406"/>
      <c r="AN3443" s="406"/>
      <c r="AO3443" s="406"/>
      <c r="AP3443" s="406"/>
      <c r="AQ3443" s="406"/>
      <c r="AR3443" s="406"/>
      <c r="AS3443" s="406"/>
      <c r="AT3443" s="406"/>
      <c r="AU3443" s="406"/>
      <c r="AV3443" s="406"/>
      <c r="AW3443" s="406"/>
      <c r="AX3443" s="406"/>
      <c r="AY3443" s="406"/>
      <c r="AZ3443" s="406"/>
      <c r="BA3443" s="406"/>
      <c r="BB3443" s="406"/>
      <c r="BC3443" s="406"/>
      <c r="BD3443" s="406"/>
      <c r="BE3443" s="406"/>
      <c r="BF3443" s="406"/>
      <c r="BG3443" s="406"/>
      <c r="BH3443" s="406"/>
      <c r="BI3443" s="406"/>
      <c r="BJ3443" s="406"/>
      <c r="BK3443" s="406"/>
      <c r="BL3443" s="406"/>
      <c r="BM3443" s="406"/>
      <c r="BN3443" s="406"/>
      <c r="BO3443" s="406"/>
      <c r="BP3443" s="406"/>
      <c r="BQ3443" s="406"/>
      <c r="BR3443" s="406"/>
      <c r="BS3443" s="406"/>
      <c r="BT3443" s="406"/>
      <c r="BU3443" s="406"/>
      <c r="BV3443" s="406"/>
      <c r="BW3443" s="406"/>
      <c r="BX3443" s="406"/>
      <c r="BY3443" s="406"/>
      <c r="BZ3443" s="406"/>
      <c r="CA3443" s="308"/>
      <c r="CB3443" s="3" t="str">
        <f t="shared" ref="CB3443:CB3506" si="631">+IF(DB3443=0,"Riadok bude skrytý.","Riadok bude vidieť.")</f>
        <v>Riadok bude skrytý.</v>
      </c>
      <c r="CC3443" s="271" t="s">
        <v>832</v>
      </c>
      <c r="CW3443" s="30">
        <f t="shared" si="628"/>
        <v>0</v>
      </c>
      <c r="CZ3443" s="30">
        <f t="shared" si="625"/>
        <v>1</v>
      </c>
      <c r="DA3443" s="30">
        <f t="shared" si="630"/>
        <v>0</v>
      </c>
      <c r="DB3443" s="2">
        <f t="shared" si="629"/>
        <v>0</v>
      </c>
      <c r="DS3443" s="130">
        <f>SI!BY3443</f>
        <v>189</v>
      </c>
      <c r="DZ3443" s="131">
        <f>SI!BZ3443</f>
        <v>0</v>
      </c>
    </row>
    <row r="3444" spans="1:130" hidden="1" x14ac:dyDescent="0.25">
      <c r="A3444" s="141"/>
      <c r="CA3444" s="270"/>
      <c r="CB3444" s="3" t="str">
        <f t="shared" si="631"/>
        <v>Riadok bude skrytý.</v>
      </c>
      <c r="CW3444" s="134">
        <f>+IF(SUM(CW3424:CW3443)=0,0,1)</f>
        <v>0</v>
      </c>
      <c r="CZ3444" s="30">
        <f t="shared" si="625"/>
        <v>1</v>
      </c>
      <c r="DA3444" s="30">
        <f t="shared" si="630"/>
        <v>0</v>
      </c>
      <c r="DB3444" s="2">
        <f t="shared" si="629"/>
        <v>0</v>
      </c>
      <c r="DS3444" s="130">
        <f>SI!BY3444</f>
        <v>188</v>
      </c>
      <c r="DZ3444" s="131">
        <f>SI!BZ3444</f>
        <v>0</v>
      </c>
    </row>
    <row r="3445" spans="1:130" ht="17" hidden="1" thickBot="1" x14ac:dyDescent="0.35">
      <c r="A3445" s="141"/>
      <c r="B3445" s="27"/>
      <c r="C3445" s="268"/>
      <c r="D3445" s="268"/>
      <c r="E3445" s="268"/>
      <c r="F3445" s="268"/>
      <c r="G3445" s="22" t="str">
        <f>+IF($S$52&lt;&gt;"",IF((CODE(MID($S$52,1,1))/100)&lt;10,IF(COMBIN(LEN(SI!J3),2)=DS3445,"Prehľad o peňažných tokoch k","NEPOVOLENÉ POUŽITIE !"),"NEPOVOLENÉ POUŽITIE!"),"NEPOVOLENÉ POUŽITIE !")</f>
        <v>Prehľad o peňažných tokoch k</v>
      </c>
      <c r="H3445" s="22"/>
      <c r="I3445" s="268"/>
      <c r="J3445" s="268"/>
      <c r="K3445" s="268"/>
      <c r="L3445" s="268"/>
      <c r="M3445" s="268"/>
      <c r="N3445" s="268"/>
      <c r="O3445" s="268"/>
      <c r="P3445" s="268"/>
      <c r="Q3445" s="268"/>
      <c r="R3445" s="268"/>
      <c r="S3445" s="268"/>
      <c r="T3445" s="268"/>
      <c r="U3445" s="268"/>
      <c r="V3445" s="268"/>
      <c r="W3445" s="268"/>
      <c r="X3445" s="268"/>
      <c r="Y3445" s="268"/>
      <c r="Z3445" s="268"/>
      <c r="AA3445" s="268"/>
      <c r="AB3445" s="268"/>
      <c r="AC3445" s="268"/>
      <c r="AD3445" s="268"/>
      <c r="AE3445" s="268"/>
      <c r="AF3445" s="268"/>
      <c r="AG3445" s="268"/>
      <c r="AH3445" s="268"/>
      <c r="AI3445" s="1486">
        <f>+DC4</f>
        <v>44561</v>
      </c>
      <c r="AJ3445" s="1486"/>
      <c r="AK3445" s="1487"/>
      <c r="AL3445" s="1487"/>
      <c r="AM3445" s="1487"/>
      <c r="AN3445" s="1487"/>
      <c r="AO3445" s="1487"/>
      <c r="AP3445" s="1487"/>
      <c r="AQ3445" s="1487"/>
      <c r="AR3445" s="1487"/>
      <c r="AS3445" s="1487"/>
      <c r="AT3445" s="1487"/>
      <c r="AU3445" s="124"/>
      <c r="AV3445" s="268"/>
      <c r="AW3445" s="268"/>
      <c r="AX3445" s="268"/>
      <c r="AY3445" s="268"/>
      <c r="AZ3445" s="268"/>
      <c r="BA3445" s="268"/>
      <c r="BB3445" s="268"/>
      <c r="BC3445" s="268"/>
      <c r="BD3445" s="932" t="str">
        <f>+SI!J2</f>
        <v>Resumo s.r.o.</v>
      </c>
      <c r="BE3445" s="932"/>
      <c r="BF3445" s="932"/>
      <c r="BG3445" s="932"/>
      <c r="BH3445" s="932"/>
      <c r="BI3445" s="932"/>
      <c r="BJ3445" s="932"/>
      <c r="BK3445" s="932"/>
      <c r="BL3445" s="932"/>
      <c r="BM3445" s="932"/>
      <c r="BN3445" s="932"/>
      <c r="BO3445" s="932"/>
      <c r="BP3445" s="932"/>
      <c r="BQ3445" s="932"/>
      <c r="BR3445" s="932"/>
      <c r="BS3445" s="932"/>
      <c r="BT3445" s="932"/>
      <c r="BU3445" s="932"/>
      <c r="BV3445" s="932"/>
      <c r="BW3445" s="932"/>
      <c r="BX3445" s="932"/>
      <c r="BY3445" s="932"/>
      <c r="BZ3445" s="933"/>
      <c r="CA3445" s="265" t="s">
        <v>773</v>
      </c>
      <c r="CB3445" s="3" t="str">
        <f t="shared" si="631"/>
        <v>Riadok bude skrytý.</v>
      </c>
      <c r="CW3445" s="49">
        <v>1</v>
      </c>
      <c r="CZ3445" s="30">
        <f t="shared" si="625"/>
        <v>1</v>
      </c>
      <c r="DA3445" s="30">
        <f t="shared" si="630"/>
        <v>1</v>
      </c>
      <c r="DB3445" s="2">
        <f t="shared" si="629"/>
        <v>0</v>
      </c>
      <c r="DS3445" s="130">
        <f>SI!BY3445</f>
        <v>10</v>
      </c>
      <c r="DZ3445" s="131">
        <f>SI!BZ3445</f>
        <v>0</v>
      </c>
    </row>
    <row r="3446" spans="1:130" hidden="1" x14ac:dyDescent="0.25">
      <c r="A3446" s="141"/>
      <c r="CA3446" s="142"/>
      <c r="CB3446" s="3" t="str">
        <f t="shared" si="631"/>
        <v>Riadok bude skrytý.</v>
      </c>
      <c r="CW3446" s="49">
        <v>1</v>
      </c>
      <c r="CZ3446" s="30">
        <f t="shared" si="625"/>
        <v>1</v>
      </c>
      <c r="DA3446" s="30">
        <f t="shared" si="630"/>
        <v>1</v>
      </c>
      <c r="DB3446" s="2">
        <f t="shared" si="629"/>
        <v>0</v>
      </c>
      <c r="DS3446" s="130">
        <f>SI!BY3446</f>
        <v>187</v>
      </c>
      <c r="DZ3446" s="131">
        <f>SI!BZ3446</f>
        <v>0</v>
      </c>
    </row>
    <row r="3447" spans="1:130" hidden="1" x14ac:dyDescent="0.25">
      <c r="A3447" s="141"/>
      <c r="B3447" s="137" t="s">
        <v>96</v>
      </c>
      <c r="J3447" s="378" t="s">
        <v>872</v>
      </c>
      <c r="K3447" s="378"/>
      <c r="L3447" s="378"/>
      <c r="M3447" s="378"/>
      <c r="N3447" s="378"/>
      <c r="O3447" s="137" t="s">
        <v>736</v>
      </c>
      <c r="P3447" s="38"/>
      <c r="AN3447" s="137" t="s">
        <v>737</v>
      </c>
      <c r="BJ3447" s="378" t="s">
        <v>840</v>
      </c>
      <c r="BK3447" s="378"/>
      <c r="BL3447" s="378"/>
      <c r="BM3447" s="378"/>
      <c r="BN3447" s="378"/>
      <c r="BO3447" s="378"/>
      <c r="BP3447" s="378"/>
      <c r="BQ3447" s="378"/>
      <c r="BR3447" s="378"/>
      <c r="BV3447" s="38"/>
      <c r="CA3447" s="142"/>
      <c r="CB3447" s="3" t="str">
        <f t="shared" si="631"/>
        <v>Riadok bude skrytý.</v>
      </c>
      <c r="CW3447" s="49">
        <v>1</v>
      </c>
      <c r="CZ3447" s="30">
        <f t="shared" ref="CZ3447:CZ3510" si="632">IF(CC3447="",1,IF(CC3447="Chcem skryť riadok.",0,1))</f>
        <v>1</v>
      </c>
      <c r="DA3447" s="30">
        <f t="shared" si="630"/>
        <v>1</v>
      </c>
      <c r="DB3447" s="2">
        <f t="shared" si="629"/>
        <v>0</v>
      </c>
      <c r="DS3447" s="130">
        <f>SI!BY3447</f>
        <v>158</v>
      </c>
      <c r="DZ3447" s="131">
        <f>SI!BZ3447</f>
        <v>0</v>
      </c>
    </row>
    <row r="3448" spans="1:130" hidden="1" x14ac:dyDescent="0.25">
      <c r="A3448" s="141"/>
      <c r="B3448" s="137" t="str">
        <f>+IF($Q$52&lt;&gt;"",IF((CODE(MID($Q$52,1,1)))*(INT((PI()-3.1415)*10^5))*0+(LEN(SI!J5)-LEN(SI!J6))=DS3448,IF(BJ3447="zostavila.","Spoločnosť zostavila prehľad o peňažných tokoch použitím ",""),"NEPOVOLENÉ POUŽITIE!"),"NEPOVOLENÉ POUŽITIE!")</f>
        <v xml:space="preserve">Spoločnosť zostavila prehľad o peňažných tokoch použitím </v>
      </c>
      <c r="AR3448" s="385" t="s">
        <v>844</v>
      </c>
      <c r="AS3448" s="385"/>
      <c r="AT3448" s="385"/>
      <c r="AU3448" s="385"/>
      <c r="AV3448" s="385"/>
      <c r="AW3448" s="385"/>
      <c r="AX3448" s="385"/>
      <c r="AY3448" s="385"/>
      <c r="AZ3448" s="385"/>
      <c r="BA3448" s="137" t="str">
        <f>+IF(BJ3447="zostavila.","metódy. ","")</f>
        <v xml:space="preserve">metódy. </v>
      </c>
      <c r="BE3448" s="38"/>
      <c r="CA3448" s="270"/>
      <c r="CB3448" s="3" t="str">
        <f t="shared" si="631"/>
        <v>Riadok bude skrytý.</v>
      </c>
      <c r="CC3448" s="271" t="s">
        <v>832</v>
      </c>
      <c r="CW3448" s="30">
        <f>+IF(BJ3447="nezostavila.",0,1)</f>
        <v>1</v>
      </c>
      <c r="CZ3448" s="30">
        <f t="shared" si="632"/>
        <v>1</v>
      </c>
      <c r="DA3448" s="30">
        <f t="shared" si="630"/>
        <v>1</v>
      </c>
      <c r="DB3448" s="2">
        <f t="shared" si="629"/>
        <v>0</v>
      </c>
      <c r="DS3448" s="130">
        <f>SI!BY3448</f>
        <v>10</v>
      </c>
      <c r="DZ3448" s="131">
        <f>SI!BZ3448</f>
        <v>0</v>
      </c>
    </row>
    <row r="3449" spans="1:130" hidden="1" x14ac:dyDescent="0.25">
      <c r="A3449" s="141"/>
      <c r="CA3449" s="270"/>
      <c r="CB3449" s="3" t="str">
        <f t="shared" si="631"/>
        <v>Riadok bude skrytý.</v>
      </c>
      <c r="CC3449" s="271" t="s">
        <v>832</v>
      </c>
      <c r="CW3449" s="30">
        <f>+IF(BJ3447="nezostavila.",0,1)</f>
        <v>1</v>
      </c>
      <c r="CZ3449" s="30">
        <f t="shared" si="632"/>
        <v>1</v>
      </c>
      <c r="DA3449" s="30">
        <f t="shared" si="630"/>
        <v>1</v>
      </c>
      <c r="DB3449" s="2">
        <f t="shared" si="629"/>
        <v>0</v>
      </c>
      <c r="DS3449" s="130">
        <f>SI!BY3449</f>
        <v>176</v>
      </c>
      <c r="DZ3449" s="131">
        <f>SI!BZ3449</f>
        <v>0</v>
      </c>
    </row>
    <row r="3450" spans="1:130" ht="16.5" hidden="1" customHeight="1" x14ac:dyDescent="0.25">
      <c r="A3450" s="141"/>
      <c r="B3450" s="1494" t="s">
        <v>441</v>
      </c>
      <c r="C3450" s="1495"/>
      <c r="D3450" s="1495"/>
      <c r="E3450" s="1495"/>
      <c r="F3450" s="1495"/>
      <c r="G3450" s="1495"/>
      <c r="H3450" s="1495"/>
      <c r="I3450" s="1496"/>
      <c r="J3450" s="1500" t="s">
        <v>442</v>
      </c>
      <c r="K3450" s="1501"/>
      <c r="L3450" s="1501"/>
      <c r="M3450" s="1501"/>
      <c r="N3450" s="1501"/>
      <c r="O3450" s="1501"/>
      <c r="P3450" s="1501"/>
      <c r="Q3450" s="1501"/>
      <c r="R3450" s="1501"/>
      <c r="S3450" s="1501"/>
      <c r="T3450" s="1501"/>
      <c r="U3450" s="1501"/>
      <c r="V3450" s="1501"/>
      <c r="W3450" s="1501"/>
      <c r="X3450" s="1501"/>
      <c r="Y3450" s="1501"/>
      <c r="Z3450" s="1501"/>
      <c r="AA3450" s="1501"/>
      <c r="AB3450" s="1501"/>
      <c r="AC3450" s="1501"/>
      <c r="AD3450" s="1501"/>
      <c r="AE3450" s="1501"/>
      <c r="AF3450" s="1501"/>
      <c r="AG3450" s="1501"/>
      <c r="AH3450" s="1501"/>
      <c r="AI3450" s="1501"/>
      <c r="AJ3450" s="1501"/>
      <c r="AK3450" s="1501"/>
      <c r="AL3450" s="1501"/>
      <c r="AM3450" s="1501"/>
      <c r="AN3450" s="1501"/>
      <c r="AO3450" s="1501"/>
      <c r="AP3450" s="1501"/>
      <c r="AQ3450" s="1501"/>
      <c r="AR3450" s="1501"/>
      <c r="AS3450" s="1501"/>
      <c r="AT3450" s="1501"/>
      <c r="AU3450" s="1501"/>
      <c r="AV3450" s="1501"/>
      <c r="AW3450" s="1501"/>
      <c r="AX3450" s="1501"/>
      <c r="AY3450" s="1501"/>
      <c r="AZ3450" s="1501"/>
      <c r="BA3450" s="1501"/>
      <c r="BB3450" s="1501"/>
      <c r="BC3450" s="1501"/>
      <c r="BD3450" s="1501"/>
      <c r="BE3450" s="1501"/>
      <c r="BF3450" s="1501"/>
      <c r="BG3450" s="1501"/>
      <c r="BH3450" s="1502"/>
      <c r="BI3450" s="492">
        <f>+AJ141</f>
        <v>2021</v>
      </c>
      <c r="BJ3450" s="493"/>
      <c r="BK3450" s="493"/>
      <c r="BL3450" s="493"/>
      <c r="BM3450" s="493"/>
      <c r="BN3450" s="493"/>
      <c r="BO3450" s="493"/>
      <c r="BP3450" s="493"/>
      <c r="BQ3450" s="494"/>
      <c r="BR3450" s="492">
        <f>+BE141</f>
        <v>2020</v>
      </c>
      <c r="BS3450" s="493"/>
      <c r="BT3450" s="493"/>
      <c r="BU3450" s="493"/>
      <c r="BV3450" s="493"/>
      <c r="BW3450" s="493"/>
      <c r="BX3450" s="493"/>
      <c r="BY3450" s="493"/>
      <c r="BZ3450" s="494"/>
      <c r="CA3450" s="265" t="s">
        <v>773</v>
      </c>
      <c r="CB3450" s="3" t="str">
        <f t="shared" si="631"/>
        <v>Riadok bude skrytý.</v>
      </c>
      <c r="CC3450" s="271" t="s">
        <v>832</v>
      </c>
      <c r="CD3450" s="137"/>
      <c r="CE3450" s="137"/>
      <c r="CF3450" s="137"/>
      <c r="CG3450" s="137"/>
      <c r="CH3450" s="137"/>
      <c r="CI3450" s="137"/>
      <c r="CJ3450" s="137"/>
      <c r="CK3450" s="137"/>
      <c r="CL3450" s="137"/>
      <c r="CM3450" s="137"/>
      <c r="CN3450" s="137"/>
      <c r="CO3450" s="137"/>
      <c r="CW3450" s="32">
        <f t="shared" ref="CW3450:CW3481" si="633">+IF($BJ$3447="nezostavila.",0,IF($AR$3448="nepriamej",0,1))</f>
        <v>0</v>
      </c>
      <c r="CZ3450" s="30">
        <f t="shared" si="632"/>
        <v>1</v>
      </c>
      <c r="DA3450" s="30">
        <f t="shared" si="630"/>
        <v>0</v>
      </c>
      <c r="DB3450" s="2">
        <f t="shared" si="629"/>
        <v>0</v>
      </c>
      <c r="DS3450" s="130">
        <f>SI!BY3450</f>
        <v>343</v>
      </c>
      <c r="DZ3450" s="131">
        <f>SI!BZ3450</f>
        <v>0</v>
      </c>
    </row>
    <row r="3451" spans="1:130" ht="16.5" hidden="1" customHeight="1" x14ac:dyDescent="0.25">
      <c r="A3451" s="141"/>
      <c r="B3451" s="1497"/>
      <c r="C3451" s="1498"/>
      <c r="D3451" s="1498"/>
      <c r="E3451" s="1498"/>
      <c r="F3451" s="1498"/>
      <c r="G3451" s="1498"/>
      <c r="H3451" s="1498"/>
      <c r="I3451" s="1499"/>
      <c r="J3451" s="1503"/>
      <c r="K3451" s="1504"/>
      <c r="L3451" s="1504"/>
      <c r="M3451" s="1504"/>
      <c r="N3451" s="1504"/>
      <c r="O3451" s="1504"/>
      <c r="P3451" s="1504"/>
      <c r="Q3451" s="1504"/>
      <c r="R3451" s="1504"/>
      <c r="S3451" s="1504"/>
      <c r="T3451" s="1504"/>
      <c r="U3451" s="1504"/>
      <c r="V3451" s="1504"/>
      <c r="W3451" s="1504"/>
      <c r="X3451" s="1504"/>
      <c r="Y3451" s="1504"/>
      <c r="Z3451" s="1504"/>
      <c r="AA3451" s="1504"/>
      <c r="AB3451" s="1504"/>
      <c r="AC3451" s="1504"/>
      <c r="AD3451" s="1504"/>
      <c r="AE3451" s="1504"/>
      <c r="AF3451" s="1504"/>
      <c r="AG3451" s="1504"/>
      <c r="AH3451" s="1504"/>
      <c r="AI3451" s="1504"/>
      <c r="AJ3451" s="1504"/>
      <c r="AK3451" s="1504"/>
      <c r="AL3451" s="1504"/>
      <c r="AM3451" s="1504"/>
      <c r="AN3451" s="1504"/>
      <c r="AO3451" s="1504"/>
      <c r="AP3451" s="1504"/>
      <c r="AQ3451" s="1504"/>
      <c r="AR3451" s="1504"/>
      <c r="AS3451" s="1504"/>
      <c r="AT3451" s="1504"/>
      <c r="AU3451" s="1504"/>
      <c r="AV3451" s="1504"/>
      <c r="AW3451" s="1504"/>
      <c r="AX3451" s="1504"/>
      <c r="AY3451" s="1504"/>
      <c r="AZ3451" s="1504"/>
      <c r="BA3451" s="1504"/>
      <c r="BB3451" s="1504"/>
      <c r="BC3451" s="1504"/>
      <c r="BD3451" s="1504"/>
      <c r="BE3451" s="1504"/>
      <c r="BF3451" s="1504"/>
      <c r="BG3451" s="1504"/>
      <c r="BH3451" s="1505"/>
      <c r="BI3451" s="495"/>
      <c r="BJ3451" s="496"/>
      <c r="BK3451" s="496"/>
      <c r="BL3451" s="496"/>
      <c r="BM3451" s="496"/>
      <c r="BN3451" s="496"/>
      <c r="BO3451" s="496"/>
      <c r="BP3451" s="496"/>
      <c r="BQ3451" s="497"/>
      <c r="BR3451" s="508"/>
      <c r="BS3451" s="509"/>
      <c r="BT3451" s="509"/>
      <c r="BU3451" s="509"/>
      <c r="BV3451" s="509"/>
      <c r="BW3451" s="509"/>
      <c r="BX3451" s="509"/>
      <c r="BY3451" s="509"/>
      <c r="BZ3451" s="510"/>
      <c r="CA3451" s="270"/>
      <c r="CB3451" s="3" t="str">
        <f t="shared" si="631"/>
        <v>Riadok bude skrytý.</v>
      </c>
      <c r="CC3451" s="271" t="s">
        <v>832</v>
      </c>
      <c r="CW3451" s="32">
        <f t="shared" si="633"/>
        <v>0</v>
      </c>
      <c r="CZ3451" s="30">
        <f t="shared" si="632"/>
        <v>1</v>
      </c>
      <c r="DA3451" s="30">
        <f t="shared" si="630"/>
        <v>0</v>
      </c>
      <c r="DB3451" s="2">
        <f t="shared" si="629"/>
        <v>0</v>
      </c>
      <c r="DS3451" s="130">
        <f>SI!BY3451</f>
        <v>148</v>
      </c>
      <c r="DZ3451" s="131">
        <f>SI!BZ3451</f>
        <v>0</v>
      </c>
    </row>
    <row r="3452" spans="1:130" ht="14.95" hidden="1" customHeight="1" x14ac:dyDescent="0.25">
      <c r="A3452" s="141"/>
      <c r="B3452" s="1506"/>
      <c r="C3452" s="1506"/>
      <c r="D3452" s="1506"/>
      <c r="E3452" s="1506"/>
      <c r="F3452" s="1506"/>
      <c r="G3452" s="1506"/>
      <c r="H3452" s="1506"/>
      <c r="I3452" s="1506"/>
      <c r="J3452" s="426" t="s">
        <v>438</v>
      </c>
      <c r="K3452" s="427"/>
      <c r="L3452" s="427"/>
      <c r="M3452" s="427"/>
      <c r="N3452" s="427"/>
      <c r="O3452" s="427"/>
      <c r="P3452" s="427"/>
      <c r="Q3452" s="427"/>
      <c r="R3452" s="427"/>
      <c r="S3452" s="427"/>
      <c r="T3452" s="427"/>
      <c r="U3452" s="427"/>
      <c r="V3452" s="427"/>
      <c r="W3452" s="427"/>
      <c r="X3452" s="427"/>
      <c r="Y3452" s="427"/>
      <c r="Z3452" s="427"/>
      <c r="AA3452" s="427"/>
      <c r="AB3452" s="427"/>
      <c r="AC3452" s="427"/>
      <c r="AD3452" s="427"/>
      <c r="AE3452" s="427"/>
      <c r="AF3452" s="427"/>
      <c r="AG3452" s="427"/>
      <c r="AH3452" s="427"/>
      <c r="AI3452" s="427"/>
      <c r="AJ3452" s="427"/>
      <c r="AK3452" s="427"/>
      <c r="AL3452" s="427"/>
      <c r="AM3452" s="427"/>
      <c r="AN3452" s="427"/>
      <c r="AO3452" s="427"/>
      <c r="AP3452" s="427"/>
      <c r="AQ3452" s="427"/>
      <c r="AR3452" s="427"/>
      <c r="AS3452" s="427"/>
      <c r="AT3452" s="427"/>
      <c r="AU3452" s="427"/>
      <c r="AV3452" s="427"/>
      <c r="AW3452" s="427"/>
      <c r="AX3452" s="427"/>
      <c r="AY3452" s="427"/>
      <c r="AZ3452" s="427"/>
      <c r="BA3452" s="427"/>
      <c r="BB3452" s="427"/>
      <c r="BC3452" s="427"/>
      <c r="BD3452" s="427"/>
      <c r="BE3452" s="427"/>
      <c r="BF3452" s="427"/>
      <c r="BG3452" s="427"/>
      <c r="BH3452" s="428"/>
      <c r="BI3452" s="518"/>
      <c r="BJ3452" s="519"/>
      <c r="BK3452" s="1492"/>
      <c r="BL3452" s="1492"/>
      <c r="BM3452" s="1492"/>
      <c r="BN3452" s="1492"/>
      <c r="BO3452" s="1492"/>
      <c r="BP3452" s="1492"/>
      <c r="BQ3452" s="1493"/>
      <c r="BR3452" s="518"/>
      <c r="BS3452" s="519"/>
      <c r="BT3452" s="519"/>
      <c r="BU3452" s="519"/>
      <c r="BV3452" s="519"/>
      <c r="BW3452" s="519"/>
      <c r="BX3452" s="519"/>
      <c r="BY3452" s="519"/>
      <c r="BZ3452" s="520"/>
      <c r="CA3452" s="270"/>
      <c r="CB3452" s="3" t="str">
        <f t="shared" si="631"/>
        <v>Riadok bude skrytý.</v>
      </c>
      <c r="CC3452" s="271" t="s">
        <v>832</v>
      </c>
      <c r="CW3452" s="32">
        <f t="shared" si="633"/>
        <v>0</v>
      </c>
      <c r="CZ3452" s="30">
        <f t="shared" si="632"/>
        <v>1</v>
      </c>
      <c r="DA3452" s="30">
        <f t="shared" si="630"/>
        <v>0</v>
      </c>
      <c r="DB3452" s="2">
        <f t="shared" si="629"/>
        <v>0</v>
      </c>
      <c r="DS3452" s="130">
        <f>SI!BY3452</f>
        <v>464</v>
      </c>
      <c r="DZ3452" s="131">
        <f>SI!BZ3452</f>
        <v>0</v>
      </c>
    </row>
    <row r="3453" spans="1:130" ht="14.95" hidden="1" customHeight="1" x14ac:dyDescent="0.25">
      <c r="A3453" s="141"/>
      <c r="B3453" s="1485" t="s">
        <v>443</v>
      </c>
      <c r="C3453" s="1485"/>
      <c r="D3453" s="1485"/>
      <c r="E3453" s="1485"/>
      <c r="F3453" s="1485"/>
      <c r="G3453" s="1485"/>
      <c r="H3453" s="1485"/>
      <c r="I3453" s="1485"/>
      <c r="J3453" s="1406" t="s">
        <v>515</v>
      </c>
      <c r="K3453" s="1407"/>
      <c r="L3453" s="1407"/>
      <c r="M3453" s="1407"/>
      <c r="N3453" s="1407"/>
      <c r="O3453" s="1407"/>
      <c r="P3453" s="1407"/>
      <c r="Q3453" s="1407"/>
      <c r="R3453" s="1407"/>
      <c r="S3453" s="1407"/>
      <c r="T3453" s="1407"/>
      <c r="U3453" s="1407"/>
      <c r="V3453" s="1407"/>
      <c r="W3453" s="1407"/>
      <c r="X3453" s="1407"/>
      <c r="Y3453" s="1407"/>
      <c r="Z3453" s="1407"/>
      <c r="AA3453" s="1407"/>
      <c r="AB3453" s="1407"/>
      <c r="AC3453" s="1407"/>
      <c r="AD3453" s="1407"/>
      <c r="AE3453" s="1407"/>
      <c r="AF3453" s="1407"/>
      <c r="AG3453" s="1407"/>
      <c r="AH3453" s="1407"/>
      <c r="AI3453" s="1407"/>
      <c r="AJ3453" s="1407"/>
      <c r="AK3453" s="1407"/>
      <c r="AL3453" s="1407"/>
      <c r="AM3453" s="1407"/>
      <c r="AN3453" s="1407"/>
      <c r="AO3453" s="1407"/>
      <c r="AP3453" s="1407"/>
      <c r="AQ3453" s="1407"/>
      <c r="AR3453" s="1407"/>
      <c r="AS3453" s="1407"/>
      <c r="AT3453" s="1407"/>
      <c r="AU3453" s="1407"/>
      <c r="AV3453" s="1407"/>
      <c r="AW3453" s="1407"/>
      <c r="AX3453" s="1407"/>
      <c r="AY3453" s="1407"/>
      <c r="AZ3453" s="1407"/>
      <c r="BA3453" s="1407"/>
      <c r="BB3453" s="1407"/>
      <c r="BC3453" s="1407"/>
      <c r="BD3453" s="1407"/>
      <c r="BE3453" s="1407"/>
      <c r="BF3453" s="1407"/>
      <c r="BG3453" s="1407"/>
      <c r="BH3453" s="1408"/>
      <c r="BI3453" s="1228"/>
      <c r="BJ3453" s="503"/>
      <c r="BK3453" s="1404"/>
      <c r="BL3453" s="1404"/>
      <c r="BM3453" s="1404"/>
      <c r="BN3453" s="1404"/>
      <c r="BO3453" s="1404"/>
      <c r="BP3453" s="1404"/>
      <c r="BQ3453" s="1404"/>
      <c r="BR3453" s="417"/>
      <c r="BS3453" s="418"/>
      <c r="BT3453" s="418"/>
      <c r="BU3453" s="418"/>
      <c r="BV3453" s="418"/>
      <c r="BW3453" s="418"/>
      <c r="BX3453" s="418"/>
      <c r="BY3453" s="418"/>
      <c r="BZ3453" s="419"/>
      <c r="CA3453" s="270"/>
      <c r="CB3453" s="3" t="str">
        <f t="shared" si="631"/>
        <v>Riadok bude skrytý.</v>
      </c>
      <c r="CC3453" s="271" t="s">
        <v>832</v>
      </c>
      <c r="CW3453" s="32">
        <f t="shared" si="633"/>
        <v>0</v>
      </c>
      <c r="CZ3453" s="30">
        <f t="shared" si="632"/>
        <v>1</v>
      </c>
      <c r="DA3453" s="30">
        <f t="shared" si="630"/>
        <v>0</v>
      </c>
      <c r="DB3453" s="2">
        <f t="shared" si="629"/>
        <v>0</v>
      </c>
      <c r="DS3453" s="130">
        <f>SI!BY3453</f>
        <v>1103</v>
      </c>
      <c r="DZ3453" s="131">
        <f>SI!BZ3453</f>
        <v>0</v>
      </c>
    </row>
    <row r="3454" spans="1:130" ht="14.95" hidden="1" customHeight="1" x14ac:dyDescent="0.25">
      <c r="A3454" s="141"/>
      <c r="B3454" s="1475" t="s">
        <v>444</v>
      </c>
      <c r="C3454" s="1475"/>
      <c r="D3454" s="1475"/>
      <c r="E3454" s="1475"/>
      <c r="F3454" s="1475"/>
      <c r="G3454" s="1475"/>
      <c r="H3454" s="1475"/>
      <c r="I3454" s="1475"/>
      <c r="J3454" s="429" t="s">
        <v>586</v>
      </c>
      <c r="K3454" s="430"/>
      <c r="L3454" s="430"/>
      <c r="M3454" s="430"/>
      <c r="N3454" s="430"/>
      <c r="O3454" s="430"/>
      <c r="P3454" s="430"/>
      <c r="Q3454" s="430"/>
      <c r="R3454" s="430"/>
      <c r="S3454" s="430"/>
      <c r="T3454" s="430"/>
      <c r="U3454" s="430"/>
      <c r="V3454" s="430"/>
      <c r="W3454" s="430"/>
      <c r="X3454" s="430"/>
      <c r="Y3454" s="430"/>
      <c r="Z3454" s="430"/>
      <c r="AA3454" s="430"/>
      <c r="AB3454" s="430"/>
      <c r="AC3454" s="430"/>
      <c r="AD3454" s="430"/>
      <c r="AE3454" s="430"/>
      <c r="AF3454" s="430"/>
      <c r="AG3454" s="430"/>
      <c r="AH3454" s="430"/>
      <c r="AI3454" s="430"/>
      <c r="AJ3454" s="430"/>
      <c r="AK3454" s="430"/>
      <c r="AL3454" s="430"/>
      <c r="AM3454" s="430"/>
      <c r="AN3454" s="430"/>
      <c r="AO3454" s="430"/>
      <c r="AP3454" s="430"/>
      <c r="AQ3454" s="430"/>
      <c r="AR3454" s="430"/>
      <c r="AS3454" s="430"/>
      <c r="AT3454" s="430"/>
      <c r="AU3454" s="430"/>
      <c r="AV3454" s="430"/>
      <c r="AW3454" s="430"/>
      <c r="AX3454" s="430"/>
      <c r="AY3454" s="430"/>
      <c r="AZ3454" s="430"/>
      <c r="BA3454" s="430"/>
      <c r="BB3454" s="430"/>
      <c r="BC3454" s="430"/>
      <c r="BD3454" s="430"/>
      <c r="BE3454" s="430"/>
      <c r="BF3454" s="430"/>
      <c r="BG3454" s="430"/>
      <c r="BH3454" s="431"/>
      <c r="BI3454" s="511"/>
      <c r="BJ3454" s="482"/>
      <c r="BK3454" s="512"/>
      <c r="BL3454" s="512"/>
      <c r="BM3454" s="512"/>
      <c r="BN3454" s="512"/>
      <c r="BO3454" s="512"/>
      <c r="BP3454" s="512"/>
      <c r="BQ3454" s="512"/>
      <c r="BR3454" s="511"/>
      <c r="BS3454" s="482"/>
      <c r="BT3454" s="482"/>
      <c r="BU3454" s="482"/>
      <c r="BV3454" s="482"/>
      <c r="BW3454" s="482"/>
      <c r="BX3454" s="482"/>
      <c r="BY3454" s="482"/>
      <c r="BZ3454" s="483"/>
      <c r="CA3454" s="270"/>
      <c r="CB3454" s="3" t="str">
        <f t="shared" si="631"/>
        <v>Riadok bude skrytý.</v>
      </c>
      <c r="CC3454" s="271" t="s">
        <v>832</v>
      </c>
      <c r="CW3454" s="32">
        <f t="shared" si="633"/>
        <v>0</v>
      </c>
      <c r="CZ3454" s="30">
        <f t="shared" si="632"/>
        <v>1</v>
      </c>
      <c r="DA3454" s="30">
        <f t="shared" si="630"/>
        <v>0</v>
      </c>
      <c r="DB3454" s="2">
        <f t="shared" si="629"/>
        <v>0</v>
      </c>
      <c r="DS3454" s="130">
        <f>SI!BY3454</f>
        <v>108</v>
      </c>
      <c r="DZ3454" s="131">
        <f>SI!BZ3454</f>
        <v>0</v>
      </c>
    </row>
    <row r="3455" spans="1:130" ht="14.95" hidden="1" customHeight="1" x14ac:dyDescent="0.25">
      <c r="A3455" s="141"/>
      <c r="B3455" s="1491" t="s">
        <v>445</v>
      </c>
      <c r="C3455" s="1491"/>
      <c r="D3455" s="1491"/>
      <c r="E3455" s="1491"/>
      <c r="F3455" s="1491"/>
      <c r="G3455" s="1491"/>
      <c r="H3455" s="1491"/>
      <c r="I3455" s="1491"/>
      <c r="J3455" s="429" t="s">
        <v>516</v>
      </c>
      <c r="K3455" s="430"/>
      <c r="L3455" s="430"/>
      <c r="M3455" s="430"/>
      <c r="N3455" s="430"/>
      <c r="O3455" s="430"/>
      <c r="P3455" s="430"/>
      <c r="Q3455" s="430"/>
      <c r="R3455" s="430"/>
      <c r="S3455" s="430"/>
      <c r="T3455" s="430"/>
      <c r="U3455" s="430"/>
      <c r="V3455" s="430"/>
      <c r="W3455" s="430"/>
      <c r="X3455" s="430"/>
      <c r="Y3455" s="430"/>
      <c r="Z3455" s="430"/>
      <c r="AA3455" s="430"/>
      <c r="AB3455" s="430"/>
      <c r="AC3455" s="430"/>
      <c r="AD3455" s="430"/>
      <c r="AE3455" s="430"/>
      <c r="AF3455" s="430"/>
      <c r="AG3455" s="430"/>
      <c r="AH3455" s="430"/>
      <c r="AI3455" s="430"/>
      <c r="AJ3455" s="430"/>
      <c r="AK3455" s="430"/>
      <c r="AL3455" s="430"/>
      <c r="AM3455" s="430"/>
      <c r="AN3455" s="430"/>
      <c r="AO3455" s="430"/>
      <c r="AP3455" s="430"/>
      <c r="AQ3455" s="430"/>
      <c r="AR3455" s="430"/>
      <c r="AS3455" s="430"/>
      <c r="AT3455" s="430"/>
      <c r="AU3455" s="430"/>
      <c r="AV3455" s="430"/>
      <c r="AW3455" s="430"/>
      <c r="AX3455" s="430"/>
      <c r="AY3455" s="430"/>
      <c r="AZ3455" s="430"/>
      <c r="BA3455" s="430"/>
      <c r="BB3455" s="430"/>
      <c r="BC3455" s="430"/>
      <c r="BD3455" s="430"/>
      <c r="BE3455" s="430"/>
      <c r="BF3455" s="430"/>
      <c r="BG3455" s="430"/>
      <c r="BH3455" s="431"/>
      <c r="BI3455" s="511"/>
      <c r="BJ3455" s="482"/>
      <c r="BK3455" s="512"/>
      <c r="BL3455" s="512"/>
      <c r="BM3455" s="512"/>
      <c r="BN3455" s="512"/>
      <c r="BO3455" s="512"/>
      <c r="BP3455" s="512"/>
      <c r="BQ3455" s="513"/>
      <c r="BR3455" s="475"/>
      <c r="BS3455" s="482"/>
      <c r="BT3455" s="482"/>
      <c r="BU3455" s="482"/>
      <c r="BV3455" s="482"/>
      <c r="BW3455" s="482"/>
      <c r="BX3455" s="482"/>
      <c r="BY3455" s="482"/>
      <c r="BZ3455" s="483"/>
      <c r="CA3455" s="270"/>
      <c r="CB3455" s="3" t="str">
        <f t="shared" si="631"/>
        <v>Riadok bude skrytý.</v>
      </c>
      <c r="CC3455" s="271" t="s">
        <v>832</v>
      </c>
      <c r="CW3455" s="32">
        <f t="shared" si="633"/>
        <v>0</v>
      </c>
      <c r="CZ3455" s="30">
        <f t="shared" si="632"/>
        <v>1</v>
      </c>
      <c r="DA3455" s="30">
        <f t="shared" si="630"/>
        <v>0</v>
      </c>
      <c r="DB3455" s="2">
        <f t="shared" si="629"/>
        <v>0</v>
      </c>
      <c r="DS3455" s="130">
        <f>SI!BY3455</f>
        <v>221</v>
      </c>
      <c r="DZ3455" s="131">
        <f>SI!BZ3455</f>
        <v>0</v>
      </c>
    </row>
    <row r="3456" spans="1:130" ht="14.95" hidden="1" customHeight="1" x14ac:dyDescent="0.25">
      <c r="A3456" s="141"/>
      <c r="B3456" s="1491" t="s">
        <v>446</v>
      </c>
      <c r="C3456" s="1491"/>
      <c r="D3456" s="1491"/>
      <c r="E3456" s="1491"/>
      <c r="F3456" s="1491"/>
      <c r="G3456" s="1491"/>
      <c r="H3456" s="1491"/>
      <c r="I3456" s="1491"/>
      <c r="J3456" s="429" t="s">
        <v>517</v>
      </c>
      <c r="K3456" s="430"/>
      <c r="L3456" s="430"/>
      <c r="M3456" s="430"/>
      <c r="N3456" s="430"/>
      <c r="O3456" s="430"/>
      <c r="P3456" s="430"/>
      <c r="Q3456" s="430"/>
      <c r="R3456" s="430"/>
      <c r="S3456" s="430"/>
      <c r="T3456" s="430"/>
      <c r="U3456" s="430"/>
      <c r="V3456" s="430"/>
      <c r="W3456" s="430"/>
      <c r="X3456" s="430"/>
      <c r="Y3456" s="430"/>
      <c r="Z3456" s="430"/>
      <c r="AA3456" s="430"/>
      <c r="AB3456" s="430"/>
      <c r="AC3456" s="430"/>
      <c r="AD3456" s="430"/>
      <c r="AE3456" s="430"/>
      <c r="AF3456" s="430"/>
      <c r="AG3456" s="430"/>
      <c r="AH3456" s="430"/>
      <c r="AI3456" s="430"/>
      <c r="AJ3456" s="430"/>
      <c r="AK3456" s="430"/>
      <c r="AL3456" s="430"/>
      <c r="AM3456" s="430"/>
      <c r="AN3456" s="430"/>
      <c r="AO3456" s="430"/>
      <c r="AP3456" s="430"/>
      <c r="AQ3456" s="430"/>
      <c r="AR3456" s="430"/>
      <c r="AS3456" s="430"/>
      <c r="AT3456" s="430"/>
      <c r="AU3456" s="430"/>
      <c r="AV3456" s="430"/>
      <c r="AW3456" s="430"/>
      <c r="AX3456" s="430"/>
      <c r="AY3456" s="430"/>
      <c r="AZ3456" s="430"/>
      <c r="BA3456" s="430"/>
      <c r="BB3456" s="430"/>
      <c r="BC3456" s="430"/>
      <c r="BD3456" s="430"/>
      <c r="BE3456" s="430"/>
      <c r="BF3456" s="430"/>
      <c r="BG3456" s="430"/>
      <c r="BH3456" s="431"/>
      <c r="BI3456" s="511"/>
      <c r="BJ3456" s="482"/>
      <c r="BK3456" s="512"/>
      <c r="BL3456" s="512"/>
      <c r="BM3456" s="512"/>
      <c r="BN3456" s="512"/>
      <c r="BO3456" s="512"/>
      <c r="BP3456" s="512"/>
      <c r="BQ3456" s="513"/>
      <c r="BR3456" s="475"/>
      <c r="BS3456" s="482"/>
      <c r="BT3456" s="482"/>
      <c r="BU3456" s="482"/>
      <c r="BV3456" s="482"/>
      <c r="BW3456" s="482"/>
      <c r="BX3456" s="482"/>
      <c r="BY3456" s="482"/>
      <c r="BZ3456" s="483"/>
      <c r="CA3456" s="270"/>
      <c r="CB3456" s="3" t="str">
        <f t="shared" si="631"/>
        <v>Riadok bude skrytý.</v>
      </c>
      <c r="CC3456" s="271" t="s">
        <v>832</v>
      </c>
      <c r="CW3456" s="32">
        <f t="shared" si="633"/>
        <v>0</v>
      </c>
      <c r="CZ3456" s="30">
        <f t="shared" si="632"/>
        <v>1</v>
      </c>
      <c r="DA3456" s="30">
        <f t="shared" si="630"/>
        <v>0</v>
      </c>
      <c r="DB3456" s="2">
        <f t="shared" si="629"/>
        <v>0</v>
      </c>
      <c r="DS3456" s="130">
        <f>SI!BY3456</f>
        <v>177</v>
      </c>
      <c r="DZ3456" s="131">
        <f>SI!BZ3456</f>
        <v>0</v>
      </c>
    </row>
    <row r="3457" spans="1:130" ht="24.8" hidden="1" customHeight="1" x14ac:dyDescent="0.25">
      <c r="A3457" s="141"/>
      <c r="B3457" s="1491" t="s">
        <v>447</v>
      </c>
      <c r="C3457" s="1491"/>
      <c r="D3457" s="1491"/>
      <c r="E3457" s="1491"/>
      <c r="F3457" s="1491"/>
      <c r="G3457" s="1491"/>
      <c r="H3457" s="1491"/>
      <c r="I3457" s="1491"/>
      <c r="J3457" s="429" t="s">
        <v>581</v>
      </c>
      <c r="K3457" s="430"/>
      <c r="L3457" s="430"/>
      <c r="M3457" s="430"/>
      <c r="N3457" s="430"/>
      <c r="O3457" s="430"/>
      <c r="P3457" s="430"/>
      <c r="Q3457" s="430"/>
      <c r="R3457" s="430"/>
      <c r="S3457" s="430"/>
      <c r="T3457" s="430"/>
      <c r="U3457" s="430"/>
      <c r="V3457" s="430"/>
      <c r="W3457" s="430"/>
      <c r="X3457" s="430"/>
      <c r="Y3457" s="430"/>
      <c r="Z3457" s="430"/>
      <c r="AA3457" s="430"/>
      <c r="AB3457" s="430"/>
      <c r="AC3457" s="430"/>
      <c r="AD3457" s="430"/>
      <c r="AE3457" s="430"/>
      <c r="AF3457" s="430"/>
      <c r="AG3457" s="430"/>
      <c r="AH3457" s="430"/>
      <c r="AI3457" s="430"/>
      <c r="AJ3457" s="430"/>
      <c r="AK3457" s="430"/>
      <c r="AL3457" s="430"/>
      <c r="AM3457" s="430"/>
      <c r="AN3457" s="430"/>
      <c r="AO3457" s="430"/>
      <c r="AP3457" s="430"/>
      <c r="AQ3457" s="430"/>
      <c r="AR3457" s="430"/>
      <c r="AS3457" s="430"/>
      <c r="AT3457" s="430"/>
      <c r="AU3457" s="430"/>
      <c r="AV3457" s="430"/>
      <c r="AW3457" s="430"/>
      <c r="AX3457" s="430"/>
      <c r="AY3457" s="430"/>
      <c r="AZ3457" s="430"/>
      <c r="BA3457" s="430"/>
      <c r="BB3457" s="430"/>
      <c r="BC3457" s="430"/>
      <c r="BD3457" s="430"/>
      <c r="BE3457" s="430"/>
      <c r="BF3457" s="430"/>
      <c r="BG3457" s="430"/>
      <c r="BH3457" s="431"/>
      <c r="BI3457" s="511"/>
      <c r="BJ3457" s="482"/>
      <c r="BK3457" s="512"/>
      <c r="BL3457" s="512"/>
      <c r="BM3457" s="512"/>
      <c r="BN3457" s="512"/>
      <c r="BO3457" s="512"/>
      <c r="BP3457" s="512"/>
      <c r="BQ3457" s="513"/>
      <c r="BR3457" s="475"/>
      <c r="BS3457" s="482"/>
      <c r="BT3457" s="482"/>
      <c r="BU3457" s="482"/>
      <c r="BV3457" s="482"/>
      <c r="BW3457" s="482"/>
      <c r="BX3457" s="482"/>
      <c r="BY3457" s="482"/>
      <c r="BZ3457" s="483"/>
      <c r="CA3457" s="270"/>
      <c r="CB3457" s="3" t="str">
        <f t="shared" si="631"/>
        <v>Riadok bude skrytý.</v>
      </c>
      <c r="CC3457" s="271" t="s">
        <v>832</v>
      </c>
      <c r="CW3457" s="32">
        <f t="shared" si="633"/>
        <v>0</v>
      </c>
      <c r="CZ3457" s="30">
        <f t="shared" si="632"/>
        <v>1</v>
      </c>
      <c r="DA3457" s="30">
        <f t="shared" si="630"/>
        <v>0</v>
      </c>
      <c r="DB3457" s="2">
        <f t="shared" si="629"/>
        <v>0</v>
      </c>
      <c r="DS3457" s="130">
        <f>SI!BY3457</f>
        <v>884</v>
      </c>
      <c r="DZ3457" s="131">
        <f>SI!BZ3457</f>
        <v>0</v>
      </c>
    </row>
    <row r="3458" spans="1:130" ht="14.95" hidden="1" customHeight="1" x14ac:dyDescent="0.25">
      <c r="A3458" s="141"/>
      <c r="B3458" s="1491" t="s">
        <v>448</v>
      </c>
      <c r="C3458" s="1491"/>
      <c r="D3458" s="1491"/>
      <c r="E3458" s="1491"/>
      <c r="F3458" s="1491"/>
      <c r="G3458" s="1491"/>
      <c r="H3458" s="1491"/>
      <c r="I3458" s="1491"/>
      <c r="J3458" s="429" t="s">
        <v>518</v>
      </c>
      <c r="K3458" s="430"/>
      <c r="L3458" s="430"/>
      <c r="M3458" s="430"/>
      <c r="N3458" s="430"/>
      <c r="O3458" s="430"/>
      <c r="P3458" s="430"/>
      <c r="Q3458" s="430"/>
      <c r="R3458" s="430"/>
      <c r="S3458" s="430"/>
      <c r="T3458" s="430"/>
      <c r="U3458" s="430"/>
      <c r="V3458" s="430"/>
      <c r="W3458" s="430"/>
      <c r="X3458" s="430"/>
      <c r="Y3458" s="430"/>
      <c r="Z3458" s="430"/>
      <c r="AA3458" s="430"/>
      <c r="AB3458" s="430"/>
      <c r="AC3458" s="430"/>
      <c r="AD3458" s="430"/>
      <c r="AE3458" s="430"/>
      <c r="AF3458" s="430"/>
      <c r="AG3458" s="430"/>
      <c r="AH3458" s="430"/>
      <c r="AI3458" s="430"/>
      <c r="AJ3458" s="430"/>
      <c r="AK3458" s="430"/>
      <c r="AL3458" s="430"/>
      <c r="AM3458" s="430"/>
      <c r="AN3458" s="430"/>
      <c r="AO3458" s="430"/>
      <c r="AP3458" s="430"/>
      <c r="AQ3458" s="430"/>
      <c r="AR3458" s="430"/>
      <c r="AS3458" s="430"/>
      <c r="AT3458" s="430"/>
      <c r="AU3458" s="430"/>
      <c r="AV3458" s="430"/>
      <c r="AW3458" s="430"/>
      <c r="AX3458" s="430"/>
      <c r="AY3458" s="430"/>
      <c r="AZ3458" s="430"/>
      <c r="BA3458" s="430"/>
      <c r="BB3458" s="430"/>
      <c r="BC3458" s="430"/>
      <c r="BD3458" s="430"/>
      <c r="BE3458" s="430"/>
      <c r="BF3458" s="430"/>
      <c r="BG3458" s="430"/>
      <c r="BH3458" s="431"/>
      <c r="BI3458" s="511"/>
      <c r="BJ3458" s="482"/>
      <c r="BK3458" s="512"/>
      <c r="BL3458" s="512"/>
      <c r="BM3458" s="512"/>
      <c r="BN3458" s="512"/>
      <c r="BO3458" s="512"/>
      <c r="BP3458" s="512"/>
      <c r="BQ3458" s="513"/>
      <c r="BR3458" s="475"/>
      <c r="BS3458" s="482"/>
      <c r="BT3458" s="482"/>
      <c r="BU3458" s="482"/>
      <c r="BV3458" s="482"/>
      <c r="BW3458" s="482"/>
      <c r="BX3458" s="482"/>
      <c r="BY3458" s="482"/>
      <c r="BZ3458" s="483"/>
      <c r="CA3458" s="270"/>
      <c r="CB3458" s="3" t="str">
        <f t="shared" si="631"/>
        <v>Riadok bude skrytý.</v>
      </c>
      <c r="CC3458" s="271" t="s">
        <v>832</v>
      </c>
      <c r="CW3458" s="32">
        <f t="shared" si="633"/>
        <v>0</v>
      </c>
      <c r="CZ3458" s="30">
        <f t="shared" si="632"/>
        <v>1</v>
      </c>
      <c r="DA3458" s="30">
        <f t="shared" si="630"/>
        <v>0</v>
      </c>
      <c r="DB3458" s="2">
        <f t="shared" si="629"/>
        <v>0</v>
      </c>
      <c r="DS3458" s="130">
        <f>SI!BY3458</f>
        <v>151</v>
      </c>
      <c r="DZ3458" s="131">
        <f>SI!BZ3458</f>
        <v>0</v>
      </c>
    </row>
    <row r="3459" spans="1:130" ht="14.95" hidden="1" customHeight="1" x14ac:dyDescent="0.25">
      <c r="A3459" s="141"/>
      <c r="B3459" s="1491" t="s">
        <v>449</v>
      </c>
      <c r="C3459" s="1491"/>
      <c r="D3459" s="1491"/>
      <c r="E3459" s="1491"/>
      <c r="F3459" s="1491"/>
      <c r="G3459" s="1491"/>
      <c r="H3459" s="1491"/>
      <c r="I3459" s="1491"/>
      <c r="J3459" s="429" t="s">
        <v>519</v>
      </c>
      <c r="K3459" s="430"/>
      <c r="L3459" s="430"/>
      <c r="M3459" s="430"/>
      <c r="N3459" s="430"/>
      <c r="O3459" s="430"/>
      <c r="P3459" s="430"/>
      <c r="Q3459" s="430"/>
      <c r="R3459" s="430"/>
      <c r="S3459" s="430"/>
      <c r="T3459" s="430"/>
      <c r="U3459" s="430"/>
      <c r="V3459" s="430"/>
      <c r="W3459" s="430"/>
      <c r="X3459" s="430"/>
      <c r="Y3459" s="430"/>
      <c r="Z3459" s="430"/>
      <c r="AA3459" s="430"/>
      <c r="AB3459" s="430"/>
      <c r="AC3459" s="430"/>
      <c r="AD3459" s="430"/>
      <c r="AE3459" s="430"/>
      <c r="AF3459" s="430"/>
      <c r="AG3459" s="430"/>
      <c r="AH3459" s="430"/>
      <c r="AI3459" s="430"/>
      <c r="AJ3459" s="430"/>
      <c r="AK3459" s="430"/>
      <c r="AL3459" s="430"/>
      <c r="AM3459" s="430"/>
      <c r="AN3459" s="430"/>
      <c r="AO3459" s="430"/>
      <c r="AP3459" s="430"/>
      <c r="AQ3459" s="430"/>
      <c r="AR3459" s="430"/>
      <c r="AS3459" s="430"/>
      <c r="AT3459" s="430"/>
      <c r="AU3459" s="430"/>
      <c r="AV3459" s="430"/>
      <c r="AW3459" s="430"/>
      <c r="AX3459" s="430"/>
      <c r="AY3459" s="430"/>
      <c r="AZ3459" s="430"/>
      <c r="BA3459" s="430"/>
      <c r="BB3459" s="430"/>
      <c r="BC3459" s="430"/>
      <c r="BD3459" s="430"/>
      <c r="BE3459" s="430"/>
      <c r="BF3459" s="430"/>
      <c r="BG3459" s="430"/>
      <c r="BH3459" s="431"/>
      <c r="BI3459" s="511"/>
      <c r="BJ3459" s="482"/>
      <c r="BK3459" s="512"/>
      <c r="BL3459" s="512"/>
      <c r="BM3459" s="512"/>
      <c r="BN3459" s="512"/>
      <c r="BO3459" s="512"/>
      <c r="BP3459" s="512"/>
      <c r="BQ3459" s="513"/>
      <c r="BR3459" s="475"/>
      <c r="BS3459" s="482"/>
      <c r="BT3459" s="482"/>
      <c r="BU3459" s="482"/>
      <c r="BV3459" s="482"/>
      <c r="BW3459" s="482"/>
      <c r="BX3459" s="482"/>
      <c r="BY3459" s="482"/>
      <c r="BZ3459" s="483"/>
      <c r="CA3459" s="270"/>
      <c r="CB3459" s="3" t="str">
        <f t="shared" si="631"/>
        <v>Riadok bude skrytý.</v>
      </c>
      <c r="CC3459" s="271" t="s">
        <v>832</v>
      </c>
      <c r="CW3459" s="32">
        <f t="shared" si="633"/>
        <v>0</v>
      </c>
      <c r="CZ3459" s="30">
        <f t="shared" si="632"/>
        <v>1</v>
      </c>
      <c r="DA3459" s="30">
        <f t="shared" si="630"/>
        <v>0</v>
      </c>
      <c r="DB3459" s="2">
        <f t="shared" si="629"/>
        <v>0</v>
      </c>
      <c r="DS3459" s="130">
        <f>SI!BY3459</f>
        <v>155</v>
      </c>
      <c r="DZ3459" s="131">
        <f>SI!BZ3459</f>
        <v>0</v>
      </c>
    </row>
    <row r="3460" spans="1:130" ht="24.8" hidden="1" customHeight="1" x14ac:dyDescent="0.25">
      <c r="A3460" s="141"/>
      <c r="B3460" s="1491" t="s">
        <v>450</v>
      </c>
      <c r="C3460" s="1491"/>
      <c r="D3460" s="1491"/>
      <c r="E3460" s="1491"/>
      <c r="F3460" s="1491"/>
      <c r="G3460" s="1491"/>
      <c r="H3460" s="1491"/>
      <c r="I3460" s="1491"/>
      <c r="J3460" s="429" t="s">
        <v>520</v>
      </c>
      <c r="K3460" s="430"/>
      <c r="L3460" s="430"/>
      <c r="M3460" s="430"/>
      <c r="N3460" s="430"/>
      <c r="O3460" s="430"/>
      <c r="P3460" s="430"/>
      <c r="Q3460" s="430"/>
      <c r="R3460" s="430"/>
      <c r="S3460" s="430"/>
      <c r="T3460" s="430"/>
      <c r="U3460" s="430"/>
      <c r="V3460" s="430"/>
      <c r="W3460" s="430"/>
      <c r="X3460" s="430"/>
      <c r="Y3460" s="430"/>
      <c r="Z3460" s="430"/>
      <c r="AA3460" s="430"/>
      <c r="AB3460" s="430"/>
      <c r="AC3460" s="430"/>
      <c r="AD3460" s="430"/>
      <c r="AE3460" s="430"/>
      <c r="AF3460" s="430"/>
      <c r="AG3460" s="430"/>
      <c r="AH3460" s="430"/>
      <c r="AI3460" s="430"/>
      <c r="AJ3460" s="430"/>
      <c r="AK3460" s="430"/>
      <c r="AL3460" s="430"/>
      <c r="AM3460" s="430"/>
      <c r="AN3460" s="430"/>
      <c r="AO3460" s="430"/>
      <c r="AP3460" s="430"/>
      <c r="AQ3460" s="430"/>
      <c r="AR3460" s="430"/>
      <c r="AS3460" s="430"/>
      <c r="AT3460" s="430"/>
      <c r="AU3460" s="430"/>
      <c r="AV3460" s="430"/>
      <c r="AW3460" s="430"/>
      <c r="AX3460" s="430"/>
      <c r="AY3460" s="430"/>
      <c r="AZ3460" s="430"/>
      <c r="BA3460" s="430"/>
      <c r="BB3460" s="430"/>
      <c r="BC3460" s="430"/>
      <c r="BD3460" s="430"/>
      <c r="BE3460" s="430"/>
      <c r="BF3460" s="430"/>
      <c r="BG3460" s="430"/>
      <c r="BH3460" s="431"/>
      <c r="BI3460" s="511"/>
      <c r="BJ3460" s="482"/>
      <c r="BK3460" s="512"/>
      <c r="BL3460" s="512"/>
      <c r="BM3460" s="512"/>
      <c r="BN3460" s="512"/>
      <c r="BO3460" s="512"/>
      <c r="BP3460" s="512"/>
      <c r="BQ3460" s="513"/>
      <c r="BR3460" s="475"/>
      <c r="BS3460" s="482"/>
      <c r="BT3460" s="482"/>
      <c r="BU3460" s="482"/>
      <c r="BV3460" s="482"/>
      <c r="BW3460" s="482"/>
      <c r="BX3460" s="482"/>
      <c r="BY3460" s="482"/>
      <c r="BZ3460" s="483"/>
      <c r="CA3460" s="270"/>
      <c r="CB3460" s="3" t="str">
        <f t="shared" si="631"/>
        <v>Riadok bude skrytý.</v>
      </c>
      <c r="CC3460" s="271" t="s">
        <v>832</v>
      </c>
      <c r="CW3460" s="32">
        <f t="shared" si="633"/>
        <v>0</v>
      </c>
      <c r="CZ3460" s="30">
        <f t="shared" si="632"/>
        <v>1</v>
      </c>
      <c r="DA3460" s="30">
        <f t="shared" si="630"/>
        <v>0</v>
      </c>
      <c r="DB3460" s="2">
        <f t="shared" si="629"/>
        <v>0</v>
      </c>
      <c r="DS3460" s="130">
        <f>SI!BY3460</f>
        <v>117</v>
      </c>
      <c r="DZ3460" s="131">
        <f>SI!BZ3460</f>
        <v>0</v>
      </c>
    </row>
    <row r="3461" spans="1:130" ht="25.5" hidden="1" customHeight="1" x14ac:dyDescent="0.25">
      <c r="A3461" s="141"/>
      <c r="B3461" s="1491" t="s">
        <v>451</v>
      </c>
      <c r="C3461" s="1491"/>
      <c r="D3461" s="1491"/>
      <c r="E3461" s="1491"/>
      <c r="F3461" s="1491"/>
      <c r="G3461" s="1491"/>
      <c r="H3461" s="1491"/>
      <c r="I3461" s="1491"/>
      <c r="J3461" s="429" t="s">
        <v>521</v>
      </c>
      <c r="K3461" s="430"/>
      <c r="L3461" s="430"/>
      <c r="M3461" s="430"/>
      <c r="N3461" s="430"/>
      <c r="O3461" s="430"/>
      <c r="P3461" s="430"/>
      <c r="Q3461" s="430"/>
      <c r="R3461" s="430"/>
      <c r="S3461" s="430"/>
      <c r="T3461" s="430"/>
      <c r="U3461" s="430"/>
      <c r="V3461" s="430"/>
      <c r="W3461" s="430"/>
      <c r="X3461" s="430"/>
      <c r="Y3461" s="430"/>
      <c r="Z3461" s="430"/>
      <c r="AA3461" s="430"/>
      <c r="AB3461" s="430"/>
      <c r="AC3461" s="430"/>
      <c r="AD3461" s="430"/>
      <c r="AE3461" s="430"/>
      <c r="AF3461" s="430"/>
      <c r="AG3461" s="430"/>
      <c r="AH3461" s="430"/>
      <c r="AI3461" s="430"/>
      <c r="AJ3461" s="430"/>
      <c r="AK3461" s="430"/>
      <c r="AL3461" s="430"/>
      <c r="AM3461" s="430"/>
      <c r="AN3461" s="430"/>
      <c r="AO3461" s="430"/>
      <c r="AP3461" s="430"/>
      <c r="AQ3461" s="430"/>
      <c r="AR3461" s="430"/>
      <c r="AS3461" s="430"/>
      <c r="AT3461" s="430"/>
      <c r="AU3461" s="430"/>
      <c r="AV3461" s="430"/>
      <c r="AW3461" s="430"/>
      <c r="AX3461" s="430"/>
      <c r="AY3461" s="430"/>
      <c r="AZ3461" s="430"/>
      <c r="BA3461" s="430"/>
      <c r="BB3461" s="430"/>
      <c r="BC3461" s="430"/>
      <c r="BD3461" s="430"/>
      <c r="BE3461" s="430"/>
      <c r="BF3461" s="430"/>
      <c r="BG3461" s="430"/>
      <c r="BH3461" s="431"/>
      <c r="BI3461" s="511"/>
      <c r="BJ3461" s="482"/>
      <c r="BK3461" s="512"/>
      <c r="BL3461" s="512"/>
      <c r="BM3461" s="512"/>
      <c r="BN3461" s="512"/>
      <c r="BO3461" s="512"/>
      <c r="BP3461" s="512"/>
      <c r="BQ3461" s="513"/>
      <c r="BR3461" s="475"/>
      <c r="BS3461" s="482"/>
      <c r="BT3461" s="482"/>
      <c r="BU3461" s="482"/>
      <c r="BV3461" s="482"/>
      <c r="BW3461" s="482"/>
      <c r="BX3461" s="482"/>
      <c r="BY3461" s="482"/>
      <c r="BZ3461" s="483"/>
      <c r="CA3461" s="270"/>
      <c r="CB3461" s="3" t="str">
        <f t="shared" si="631"/>
        <v>Riadok bude skrytý.</v>
      </c>
      <c r="CC3461" s="271" t="s">
        <v>832</v>
      </c>
      <c r="CW3461" s="32">
        <f t="shared" si="633"/>
        <v>0</v>
      </c>
      <c r="CZ3461" s="30">
        <f t="shared" si="632"/>
        <v>1</v>
      </c>
      <c r="DA3461" s="30">
        <f t="shared" si="630"/>
        <v>0</v>
      </c>
      <c r="DB3461" s="2">
        <f t="shared" si="629"/>
        <v>0</v>
      </c>
      <c r="DS3461" s="130">
        <f>SI!BY3461</f>
        <v>887</v>
      </c>
      <c r="DZ3461" s="131">
        <f>SI!BZ3461</f>
        <v>0</v>
      </c>
    </row>
    <row r="3462" spans="1:130" ht="24.8" hidden="1" customHeight="1" x14ac:dyDescent="0.25">
      <c r="A3462" s="141"/>
      <c r="B3462" s="1491" t="s">
        <v>452</v>
      </c>
      <c r="C3462" s="1491"/>
      <c r="D3462" s="1491"/>
      <c r="E3462" s="1491"/>
      <c r="F3462" s="1491"/>
      <c r="G3462" s="1491"/>
      <c r="H3462" s="1491"/>
      <c r="I3462" s="1491"/>
      <c r="J3462" s="429" t="s">
        <v>522</v>
      </c>
      <c r="K3462" s="430"/>
      <c r="L3462" s="430"/>
      <c r="M3462" s="430"/>
      <c r="N3462" s="430"/>
      <c r="O3462" s="430"/>
      <c r="P3462" s="430"/>
      <c r="Q3462" s="430"/>
      <c r="R3462" s="430"/>
      <c r="S3462" s="430"/>
      <c r="T3462" s="430"/>
      <c r="U3462" s="430"/>
      <c r="V3462" s="430"/>
      <c r="W3462" s="430"/>
      <c r="X3462" s="430"/>
      <c r="Y3462" s="430"/>
      <c r="Z3462" s="430"/>
      <c r="AA3462" s="430"/>
      <c r="AB3462" s="430"/>
      <c r="AC3462" s="430"/>
      <c r="AD3462" s="430"/>
      <c r="AE3462" s="430"/>
      <c r="AF3462" s="430"/>
      <c r="AG3462" s="430"/>
      <c r="AH3462" s="430"/>
      <c r="AI3462" s="430"/>
      <c r="AJ3462" s="430"/>
      <c r="AK3462" s="430"/>
      <c r="AL3462" s="430"/>
      <c r="AM3462" s="430"/>
      <c r="AN3462" s="430"/>
      <c r="AO3462" s="430"/>
      <c r="AP3462" s="430"/>
      <c r="AQ3462" s="430"/>
      <c r="AR3462" s="430"/>
      <c r="AS3462" s="430"/>
      <c r="AT3462" s="430"/>
      <c r="AU3462" s="430"/>
      <c r="AV3462" s="430"/>
      <c r="AW3462" s="430"/>
      <c r="AX3462" s="430"/>
      <c r="AY3462" s="430"/>
      <c r="AZ3462" s="430"/>
      <c r="BA3462" s="430"/>
      <c r="BB3462" s="430"/>
      <c r="BC3462" s="430"/>
      <c r="BD3462" s="430"/>
      <c r="BE3462" s="430"/>
      <c r="BF3462" s="430"/>
      <c r="BG3462" s="430"/>
      <c r="BH3462" s="431"/>
      <c r="BI3462" s="511"/>
      <c r="BJ3462" s="482"/>
      <c r="BK3462" s="512"/>
      <c r="BL3462" s="512"/>
      <c r="BM3462" s="512"/>
      <c r="BN3462" s="512"/>
      <c r="BO3462" s="512"/>
      <c r="BP3462" s="512"/>
      <c r="BQ3462" s="513"/>
      <c r="BR3462" s="475"/>
      <c r="BS3462" s="482"/>
      <c r="BT3462" s="482"/>
      <c r="BU3462" s="482"/>
      <c r="BV3462" s="482"/>
      <c r="BW3462" s="482"/>
      <c r="BX3462" s="482"/>
      <c r="BY3462" s="482"/>
      <c r="BZ3462" s="483"/>
      <c r="CA3462" s="270"/>
      <c r="CB3462" s="3" t="str">
        <f t="shared" si="631"/>
        <v>Riadok bude skrytý.</v>
      </c>
      <c r="CC3462" s="271" t="s">
        <v>832</v>
      </c>
      <c r="CW3462" s="32">
        <f t="shared" si="633"/>
        <v>0</v>
      </c>
      <c r="CZ3462" s="30">
        <f t="shared" si="632"/>
        <v>1</v>
      </c>
      <c r="DA3462" s="30">
        <f t="shared" si="630"/>
        <v>0</v>
      </c>
      <c r="DB3462" s="2">
        <f t="shared" si="629"/>
        <v>0</v>
      </c>
      <c r="DS3462" s="130">
        <f>SI!BY3462</f>
        <v>139</v>
      </c>
      <c r="DZ3462" s="131">
        <f>SI!BZ3462</f>
        <v>0</v>
      </c>
    </row>
    <row r="3463" spans="1:130" ht="24.8" hidden="1" customHeight="1" x14ac:dyDescent="0.25">
      <c r="A3463" s="141"/>
      <c r="B3463" s="1491" t="s">
        <v>454</v>
      </c>
      <c r="C3463" s="1491"/>
      <c r="D3463" s="1491"/>
      <c r="E3463" s="1491"/>
      <c r="F3463" s="1491"/>
      <c r="G3463" s="1491"/>
      <c r="H3463" s="1491"/>
      <c r="I3463" s="1491"/>
      <c r="J3463" s="429" t="s">
        <v>523</v>
      </c>
      <c r="K3463" s="430"/>
      <c r="L3463" s="430"/>
      <c r="M3463" s="430"/>
      <c r="N3463" s="430"/>
      <c r="O3463" s="430"/>
      <c r="P3463" s="430"/>
      <c r="Q3463" s="430"/>
      <c r="R3463" s="430"/>
      <c r="S3463" s="430"/>
      <c r="T3463" s="430"/>
      <c r="U3463" s="430"/>
      <c r="V3463" s="430"/>
      <c r="W3463" s="430"/>
      <c r="X3463" s="430"/>
      <c r="Y3463" s="430"/>
      <c r="Z3463" s="430"/>
      <c r="AA3463" s="430"/>
      <c r="AB3463" s="430"/>
      <c r="AC3463" s="430"/>
      <c r="AD3463" s="430"/>
      <c r="AE3463" s="430"/>
      <c r="AF3463" s="430"/>
      <c r="AG3463" s="430"/>
      <c r="AH3463" s="430"/>
      <c r="AI3463" s="430"/>
      <c r="AJ3463" s="430"/>
      <c r="AK3463" s="430"/>
      <c r="AL3463" s="430"/>
      <c r="AM3463" s="430"/>
      <c r="AN3463" s="430"/>
      <c r="AO3463" s="430"/>
      <c r="AP3463" s="430"/>
      <c r="AQ3463" s="430"/>
      <c r="AR3463" s="430"/>
      <c r="AS3463" s="430"/>
      <c r="AT3463" s="430"/>
      <c r="AU3463" s="430"/>
      <c r="AV3463" s="430"/>
      <c r="AW3463" s="430"/>
      <c r="AX3463" s="430"/>
      <c r="AY3463" s="430"/>
      <c r="AZ3463" s="430"/>
      <c r="BA3463" s="430"/>
      <c r="BB3463" s="430"/>
      <c r="BC3463" s="430"/>
      <c r="BD3463" s="430"/>
      <c r="BE3463" s="430"/>
      <c r="BF3463" s="430"/>
      <c r="BG3463" s="430"/>
      <c r="BH3463" s="431"/>
      <c r="BI3463" s="511"/>
      <c r="BJ3463" s="482"/>
      <c r="BK3463" s="512"/>
      <c r="BL3463" s="512"/>
      <c r="BM3463" s="512"/>
      <c r="BN3463" s="512"/>
      <c r="BO3463" s="512"/>
      <c r="BP3463" s="512"/>
      <c r="BQ3463" s="513"/>
      <c r="BR3463" s="475"/>
      <c r="BS3463" s="482"/>
      <c r="BT3463" s="482"/>
      <c r="BU3463" s="482"/>
      <c r="BV3463" s="482"/>
      <c r="BW3463" s="482"/>
      <c r="BX3463" s="482"/>
      <c r="BY3463" s="482"/>
      <c r="BZ3463" s="483"/>
      <c r="CA3463" s="270"/>
      <c r="CB3463" s="3" t="str">
        <f t="shared" si="631"/>
        <v>Riadok bude skrytý.</v>
      </c>
      <c r="CC3463" s="271" t="s">
        <v>832</v>
      </c>
      <c r="CW3463" s="32">
        <f t="shared" si="633"/>
        <v>0</v>
      </c>
      <c r="CZ3463" s="30">
        <f t="shared" si="632"/>
        <v>1</v>
      </c>
      <c r="DA3463" s="30">
        <f t="shared" si="630"/>
        <v>0</v>
      </c>
      <c r="DB3463" s="2">
        <f t="shared" si="629"/>
        <v>0</v>
      </c>
      <c r="DS3463" s="130">
        <f>SI!BY3463</f>
        <v>679</v>
      </c>
      <c r="DZ3463" s="131">
        <f>SI!BZ3463</f>
        <v>0</v>
      </c>
    </row>
    <row r="3464" spans="1:130" ht="24.8" hidden="1" customHeight="1" x14ac:dyDescent="0.25">
      <c r="A3464" s="141"/>
      <c r="B3464" s="1491" t="s">
        <v>453</v>
      </c>
      <c r="C3464" s="1491"/>
      <c r="D3464" s="1491"/>
      <c r="E3464" s="1491"/>
      <c r="F3464" s="1491"/>
      <c r="G3464" s="1491"/>
      <c r="H3464" s="1491"/>
      <c r="I3464" s="1491"/>
      <c r="J3464" s="429" t="s">
        <v>524</v>
      </c>
      <c r="K3464" s="430"/>
      <c r="L3464" s="430"/>
      <c r="M3464" s="430"/>
      <c r="N3464" s="430"/>
      <c r="O3464" s="430"/>
      <c r="P3464" s="430"/>
      <c r="Q3464" s="430"/>
      <c r="R3464" s="430"/>
      <c r="S3464" s="430"/>
      <c r="T3464" s="430"/>
      <c r="U3464" s="430"/>
      <c r="V3464" s="430"/>
      <c r="W3464" s="430"/>
      <c r="X3464" s="430"/>
      <c r="Y3464" s="430"/>
      <c r="Z3464" s="430"/>
      <c r="AA3464" s="430"/>
      <c r="AB3464" s="430"/>
      <c r="AC3464" s="430"/>
      <c r="AD3464" s="430"/>
      <c r="AE3464" s="430"/>
      <c r="AF3464" s="430"/>
      <c r="AG3464" s="430"/>
      <c r="AH3464" s="430"/>
      <c r="AI3464" s="430"/>
      <c r="AJ3464" s="430"/>
      <c r="AK3464" s="430"/>
      <c r="AL3464" s="430"/>
      <c r="AM3464" s="430"/>
      <c r="AN3464" s="430"/>
      <c r="AO3464" s="430"/>
      <c r="AP3464" s="430"/>
      <c r="AQ3464" s="430"/>
      <c r="AR3464" s="430"/>
      <c r="AS3464" s="430"/>
      <c r="AT3464" s="430"/>
      <c r="AU3464" s="430"/>
      <c r="AV3464" s="430"/>
      <c r="AW3464" s="430"/>
      <c r="AX3464" s="430"/>
      <c r="AY3464" s="430"/>
      <c r="AZ3464" s="430"/>
      <c r="BA3464" s="430"/>
      <c r="BB3464" s="430"/>
      <c r="BC3464" s="430"/>
      <c r="BD3464" s="430"/>
      <c r="BE3464" s="430"/>
      <c r="BF3464" s="430"/>
      <c r="BG3464" s="430"/>
      <c r="BH3464" s="431"/>
      <c r="BI3464" s="511"/>
      <c r="BJ3464" s="482"/>
      <c r="BK3464" s="512"/>
      <c r="BL3464" s="512"/>
      <c r="BM3464" s="512"/>
      <c r="BN3464" s="512"/>
      <c r="BO3464" s="512"/>
      <c r="BP3464" s="512"/>
      <c r="BQ3464" s="513"/>
      <c r="BR3464" s="475"/>
      <c r="BS3464" s="482"/>
      <c r="BT3464" s="482"/>
      <c r="BU3464" s="482"/>
      <c r="BV3464" s="482"/>
      <c r="BW3464" s="482"/>
      <c r="BX3464" s="482"/>
      <c r="BY3464" s="482"/>
      <c r="BZ3464" s="483"/>
      <c r="CA3464" s="270"/>
      <c r="CB3464" s="3" t="str">
        <f t="shared" si="631"/>
        <v>Riadok bude skrytý.</v>
      </c>
      <c r="CC3464" s="271" t="s">
        <v>832</v>
      </c>
      <c r="CW3464" s="32">
        <f t="shared" si="633"/>
        <v>0</v>
      </c>
      <c r="CZ3464" s="30">
        <f t="shared" si="632"/>
        <v>1</v>
      </c>
      <c r="DA3464" s="30">
        <f t="shared" si="630"/>
        <v>0</v>
      </c>
      <c r="DB3464" s="2">
        <f t="shared" si="629"/>
        <v>0</v>
      </c>
      <c r="DS3464" s="130">
        <f>SI!BY3464</f>
        <v>187</v>
      </c>
      <c r="DZ3464" s="131">
        <f>SI!BZ3464</f>
        <v>0</v>
      </c>
    </row>
    <row r="3465" spans="1:130" ht="38.25" hidden="1" customHeight="1" x14ac:dyDescent="0.25">
      <c r="A3465" s="141"/>
      <c r="B3465" s="1491" t="s">
        <v>455</v>
      </c>
      <c r="C3465" s="1491"/>
      <c r="D3465" s="1491"/>
      <c r="E3465" s="1491"/>
      <c r="F3465" s="1491"/>
      <c r="G3465" s="1491"/>
      <c r="H3465" s="1491"/>
      <c r="I3465" s="1491"/>
      <c r="J3465" s="429" t="s">
        <v>525</v>
      </c>
      <c r="K3465" s="430"/>
      <c r="L3465" s="430"/>
      <c r="M3465" s="430"/>
      <c r="N3465" s="430"/>
      <c r="O3465" s="430"/>
      <c r="P3465" s="430"/>
      <c r="Q3465" s="430"/>
      <c r="R3465" s="430"/>
      <c r="S3465" s="430"/>
      <c r="T3465" s="430"/>
      <c r="U3465" s="430"/>
      <c r="V3465" s="430"/>
      <c r="W3465" s="430"/>
      <c r="X3465" s="430"/>
      <c r="Y3465" s="430"/>
      <c r="Z3465" s="430"/>
      <c r="AA3465" s="430"/>
      <c r="AB3465" s="430"/>
      <c r="AC3465" s="430"/>
      <c r="AD3465" s="430"/>
      <c r="AE3465" s="430"/>
      <c r="AF3465" s="430"/>
      <c r="AG3465" s="430"/>
      <c r="AH3465" s="430"/>
      <c r="AI3465" s="430"/>
      <c r="AJ3465" s="430"/>
      <c r="AK3465" s="430"/>
      <c r="AL3465" s="430"/>
      <c r="AM3465" s="430"/>
      <c r="AN3465" s="430"/>
      <c r="AO3465" s="430"/>
      <c r="AP3465" s="430"/>
      <c r="AQ3465" s="430"/>
      <c r="AR3465" s="430"/>
      <c r="AS3465" s="430"/>
      <c r="AT3465" s="430"/>
      <c r="AU3465" s="430"/>
      <c r="AV3465" s="430"/>
      <c r="AW3465" s="430"/>
      <c r="AX3465" s="430"/>
      <c r="AY3465" s="430"/>
      <c r="AZ3465" s="430"/>
      <c r="BA3465" s="430"/>
      <c r="BB3465" s="430"/>
      <c r="BC3465" s="430"/>
      <c r="BD3465" s="430"/>
      <c r="BE3465" s="430"/>
      <c r="BF3465" s="430"/>
      <c r="BG3465" s="430"/>
      <c r="BH3465" s="431"/>
      <c r="BI3465" s="511"/>
      <c r="BJ3465" s="482"/>
      <c r="BK3465" s="512"/>
      <c r="BL3465" s="512"/>
      <c r="BM3465" s="512"/>
      <c r="BN3465" s="512"/>
      <c r="BO3465" s="512"/>
      <c r="BP3465" s="512"/>
      <c r="BQ3465" s="513"/>
      <c r="BR3465" s="475"/>
      <c r="BS3465" s="482"/>
      <c r="BT3465" s="482"/>
      <c r="BU3465" s="482"/>
      <c r="BV3465" s="482"/>
      <c r="BW3465" s="482"/>
      <c r="BX3465" s="482"/>
      <c r="BY3465" s="482"/>
      <c r="BZ3465" s="483"/>
      <c r="CA3465" s="270"/>
      <c r="CB3465" s="3" t="str">
        <f t="shared" si="631"/>
        <v>Riadok bude skrytý.</v>
      </c>
      <c r="CC3465" s="271" t="s">
        <v>832</v>
      </c>
      <c r="CW3465" s="32">
        <f t="shared" si="633"/>
        <v>0</v>
      </c>
      <c r="CZ3465" s="30">
        <f t="shared" si="632"/>
        <v>1</v>
      </c>
      <c r="DA3465" s="30">
        <f t="shared" si="630"/>
        <v>0</v>
      </c>
      <c r="DB3465" s="2">
        <f t="shared" si="629"/>
        <v>0</v>
      </c>
      <c r="DS3465" s="130">
        <f>SI!BY3465</f>
        <v>119</v>
      </c>
      <c r="DZ3465" s="131">
        <f>SI!BZ3465</f>
        <v>0</v>
      </c>
    </row>
    <row r="3466" spans="1:130" ht="37.549999999999997" hidden="1" customHeight="1" x14ac:dyDescent="0.25">
      <c r="A3466" s="141"/>
      <c r="B3466" s="1491" t="s">
        <v>456</v>
      </c>
      <c r="C3466" s="1491"/>
      <c r="D3466" s="1491"/>
      <c r="E3466" s="1491"/>
      <c r="F3466" s="1491"/>
      <c r="G3466" s="1491"/>
      <c r="H3466" s="1491"/>
      <c r="I3466" s="1491"/>
      <c r="J3466" s="429" t="s">
        <v>526</v>
      </c>
      <c r="K3466" s="430"/>
      <c r="L3466" s="430"/>
      <c r="M3466" s="430"/>
      <c r="N3466" s="430"/>
      <c r="O3466" s="430"/>
      <c r="P3466" s="430"/>
      <c r="Q3466" s="430"/>
      <c r="R3466" s="430"/>
      <c r="S3466" s="430"/>
      <c r="T3466" s="430"/>
      <c r="U3466" s="430"/>
      <c r="V3466" s="430"/>
      <c r="W3466" s="430"/>
      <c r="X3466" s="430"/>
      <c r="Y3466" s="430"/>
      <c r="Z3466" s="430"/>
      <c r="AA3466" s="430"/>
      <c r="AB3466" s="430"/>
      <c r="AC3466" s="430"/>
      <c r="AD3466" s="430"/>
      <c r="AE3466" s="430"/>
      <c r="AF3466" s="430"/>
      <c r="AG3466" s="430"/>
      <c r="AH3466" s="430"/>
      <c r="AI3466" s="430"/>
      <c r="AJ3466" s="430"/>
      <c r="AK3466" s="430"/>
      <c r="AL3466" s="430"/>
      <c r="AM3466" s="430"/>
      <c r="AN3466" s="430"/>
      <c r="AO3466" s="430"/>
      <c r="AP3466" s="430"/>
      <c r="AQ3466" s="430"/>
      <c r="AR3466" s="430"/>
      <c r="AS3466" s="430"/>
      <c r="AT3466" s="430"/>
      <c r="AU3466" s="430"/>
      <c r="AV3466" s="430"/>
      <c r="AW3466" s="430"/>
      <c r="AX3466" s="430"/>
      <c r="AY3466" s="430"/>
      <c r="AZ3466" s="430"/>
      <c r="BA3466" s="430"/>
      <c r="BB3466" s="430"/>
      <c r="BC3466" s="430"/>
      <c r="BD3466" s="430"/>
      <c r="BE3466" s="430"/>
      <c r="BF3466" s="430"/>
      <c r="BG3466" s="430"/>
      <c r="BH3466" s="431"/>
      <c r="BI3466" s="511"/>
      <c r="BJ3466" s="482"/>
      <c r="BK3466" s="512"/>
      <c r="BL3466" s="512"/>
      <c r="BM3466" s="512"/>
      <c r="BN3466" s="512"/>
      <c r="BO3466" s="512"/>
      <c r="BP3466" s="512"/>
      <c r="BQ3466" s="513"/>
      <c r="BR3466" s="475"/>
      <c r="BS3466" s="482"/>
      <c r="BT3466" s="482"/>
      <c r="BU3466" s="482"/>
      <c r="BV3466" s="482"/>
      <c r="BW3466" s="482"/>
      <c r="BX3466" s="482"/>
      <c r="BY3466" s="482"/>
      <c r="BZ3466" s="483"/>
      <c r="CA3466" s="270"/>
      <c r="CB3466" s="3" t="str">
        <f t="shared" si="631"/>
        <v>Riadok bude skrytý.</v>
      </c>
      <c r="CC3466" s="271" t="s">
        <v>832</v>
      </c>
      <c r="CW3466" s="32">
        <f t="shared" si="633"/>
        <v>0</v>
      </c>
      <c r="CZ3466" s="30">
        <f t="shared" si="632"/>
        <v>1</v>
      </c>
      <c r="DA3466" s="30">
        <f t="shared" si="630"/>
        <v>0</v>
      </c>
      <c r="DB3466" s="2">
        <f t="shared" si="629"/>
        <v>0</v>
      </c>
      <c r="DS3466" s="130">
        <f>SI!BY3466</f>
        <v>102</v>
      </c>
      <c r="DZ3466" s="131">
        <f>SI!BZ3466</f>
        <v>0</v>
      </c>
    </row>
    <row r="3467" spans="1:130" ht="24.8" hidden="1" customHeight="1" x14ac:dyDescent="0.25">
      <c r="A3467" s="141"/>
      <c r="B3467" s="1491" t="s">
        <v>457</v>
      </c>
      <c r="C3467" s="1491"/>
      <c r="D3467" s="1491"/>
      <c r="E3467" s="1491"/>
      <c r="F3467" s="1491"/>
      <c r="G3467" s="1491"/>
      <c r="H3467" s="1491"/>
      <c r="I3467" s="1491"/>
      <c r="J3467" s="429" t="s">
        <v>527</v>
      </c>
      <c r="K3467" s="430"/>
      <c r="L3467" s="430"/>
      <c r="M3467" s="430"/>
      <c r="N3467" s="430"/>
      <c r="O3467" s="430"/>
      <c r="P3467" s="430"/>
      <c r="Q3467" s="430"/>
      <c r="R3467" s="430"/>
      <c r="S3467" s="430"/>
      <c r="T3467" s="430"/>
      <c r="U3467" s="430"/>
      <c r="V3467" s="430"/>
      <c r="W3467" s="430"/>
      <c r="X3467" s="430"/>
      <c r="Y3467" s="430"/>
      <c r="Z3467" s="430"/>
      <c r="AA3467" s="430"/>
      <c r="AB3467" s="430"/>
      <c r="AC3467" s="430"/>
      <c r="AD3467" s="430"/>
      <c r="AE3467" s="430"/>
      <c r="AF3467" s="430"/>
      <c r="AG3467" s="430"/>
      <c r="AH3467" s="430"/>
      <c r="AI3467" s="430"/>
      <c r="AJ3467" s="430"/>
      <c r="AK3467" s="430"/>
      <c r="AL3467" s="430"/>
      <c r="AM3467" s="430"/>
      <c r="AN3467" s="430"/>
      <c r="AO3467" s="430"/>
      <c r="AP3467" s="430"/>
      <c r="AQ3467" s="430"/>
      <c r="AR3467" s="430"/>
      <c r="AS3467" s="430"/>
      <c r="AT3467" s="430"/>
      <c r="AU3467" s="430"/>
      <c r="AV3467" s="430"/>
      <c r="AW3467" s="430"/>
      <c r="AX3467" s="430"/>
      <c r="AY3467" s="430"/>
      <c r="AZ3467" s="430"/>
      <c r="BA3467" s="430"/>
      <c r="BB3467" s="430"/>
      <c r="BC3467" s="430"/>
      <c r="BD3467" s="430"/>
      <c r="BE3467" s="430"/>
      <c r="BF3467" s="430"/>
      <c r="BG3467" s="430"/>
      <c r="BH3467" s="431"/>
      <c r="BI3467" s="511"/>
      <c r="BJ3467" s="482"/>
      <c r="BK3467" s="512"/>
      <c r="BL3467" s="512"/>
      <c r="BM3467" s="512"/>
      <c r="BN3467" s="512"/>
      <c r="BO3467" s="512"/>
      <c r="BP3467" s="512"/>
      <c r="BQ3467" s="513"/>
      <c r="BR3467" s="475"/>
      <c r="BS3467" s="482"/>
      <c r="BT3467" s="482"/>
      <c r="BU3467" s="482"/>
      <c r="BV3467" s="482"/>
      <c r="BW3467" s="482"/>
      <c r="BX3467" s="482"/>
      <c r="BY3467" s="482"/>
      <c r="BZ3467" s="483"/>
      <c r="CA3467" s="270"/>
      <c r="CB3467" s="3" t="str">
        <f t="shared" si="631"/>
        <v>Riadok bude skrytý.</v>
      </c>
      <c r="CC3467" s="271" t="s">
        <v>832</v>
      </c>
      <c r="CW3467" s="32">
        <f t="shared" si="633"/>
        <v>0</v>
      </c>
      <c r="CZ3467" s="30">
        <f t="shared" si="632"/>
        <v>1</v>
      </c>
      <c r="DA3467" s="30">
        <f t="shared" si="630"/>
        <v>0</v>
      </c>
      <c r="DB3467" s="2">
        <f t="shared" si="629"/>
        <v>0</v>
      </c>
      <c r="DS3467" s="130">
        <f>SI!BY3467</f>
        <v>904</v>
      </c>
      <c r="DZ3467" s="131">
        <f>SI!BZ3467</f>
        <v>0</v>
      </c>
    </row>
    <row r="3468" spans="1:130" ht="24.8" hidden="1" customHeight="1" x14ac:dyDescent="0.25">
      <c r="A3468" s="141"/>
      <c r="B3468" s="1491" t="s">
        <v>458</v>
      </c>
      <c r="C3468" s="1491"/>
      <c r="D3468" s="1491"/>
      <c r="E3468" s="1491"/>
      <c r="F3468" s="1491"/>
      <c r="G3468" s="1491"/>
      <c r="H3468" s="1491"/>
      <c r="I3468" s="1491"/>
      <c r="J3468" s="1377" t="s">
        <v>528</v>
      </c>
      <c r="K3468" s="1378"/>
      <c r="L3468" s="1378"/>
      <c r="M3468" s="1378"/>
      <c r="N3468" s="1378"/>
      <c r="O3468" s="1378"/>
      <c r="P3468" s="1378"/>
      <c r="Q3468" s="1378"/>
      <c r="R3468" s="1378"/>
      <c r="S3468" s="1378"/>
      <c r="T3468" s="1378"/>
      <c r="U3468" s="1378"/>
      <c r="V3468" s="1378"/>
      <c r="W3468" s="1378"/>
      <c r="X3468" s="1378"/>
      <c r="Y3468" s="1378"/>
      <c r="Z3468" s="1378"/>
      <c r="AA3468" s="1378"/>
      <c r="AB3468" s="1378"/>
      <c r="AC3468" s="1378"/>
      <c r="AD3468" s="1378"/>
      <c r="AE3468" s="1378"/>
      <c r="AF3468" s="1378"/>
      <c r="AG3468" s="1378"/>
      <c r="AH3468" s="1378"/>
      <c r="AI3468" s="1378"/>
      <c r="AJ3468" s="1378"/>
      <c r="AK3468" s="1378"/>
      <c r="AL3468" s="1378"/>
      <c r="AM3468" s="1378"/>
      <c r="AN3468" s="1378"/>
      <c r="AO3468" s="1378"/>
      <c r="AP3468" s="1378"/>
      <c r="AQ3468" s="1378"/>
      <c r="AR3468" s="1378"/>
      <c r="AS3468" s="1378"/>
      <c r="AT3468" s="1378"/>
      <c r="AU3468" s="1378"/>
      <c r="AV3468" s="1378"/>
      <c r="AW3468" s="1378"/>
      <c r="AX3468" s="1378"/>
      <c r="AY3468" s="1378"/>
      <c r="AZ3468" s="1378"/>
      <c r="BA3468" s="1378"/>
      <c r="BB3468" s="1378"/>
      <c r="BC3468" s="1378"/>
      <c r="BD3468" s="1378"/>
      <c r="BE3468" s="1378"/>
      <c r="BF3468" s="1378"/>
      <c r="BG3468" s="1378"/>
      <c r="BH3468" s="1379"/>
      <c r="BI3468" s="454"/>
      <c r="BJ3468" s="455"/>
      <c r="BK3468" s="506"/>
      <c r="BL3468" s="506"/>
      <c r="BM3468" s="506"/>
      <c r="BN3468" s="506"/>
      <c r="BO3468" s="506"/>
      <c r="BP3468" s="506"/>
      <c r="BQ3468" s="507"/>
      <c r="BR3468" s="462"/>
      <c r="BS3468" s="421"/>
      <c r="BT3468" s="421"/>
      <c r="BU3468" s="421"/>
      <c r="BV3468" s="421"/>
      <c r="BW3468" s="421"/>
      <c r="BX3468" s="421"/>
      <c r="BY3468" s="421"/>
      <c r="BZ3468" s="422"/>
      <c r="CA3468" s="270"/>
      <c r="CB3468" s="3" t="str">
        <f t="shared" si="631"/>
        <v>Riadok bude skrytý.</v>
      </c>
      <c r="CC3468" s="271" t="s">
        <v>832</v>
      </c>
      <c r="CW3468" s="32">
        <f t="shared" si="633"/>
        <v>0</v>
      </c>
      <c r="CZ3468" s="30">
        <f t="shared" si="632"/>
        <v>1</v>
      </c>
      <c r="DA3468" s="30">
        <f t="shared" si="630"/>
        <v>0</v>
      </c>
      <c r="DB3468" s="2">
        <f t="shared" si="629"/>
        <v>0</v>
      </c>
      <c r="DS3468" s="130">
        <f>SI!BY3468</f>
        <v>193</v>
      </c>
      <c r="DZ3468" s="131">
        <f>SI!BZ3468</f>
        <v>0</v>
      </c>
    </row>
    <row r="3469" spans="1:130" ht="40.6" hidden="1" customHeight="1" x14ac:dyDescent="0.25">
      <c r="A3469" s="141"/>
      <c r="B3469" s="514" t="s">
        <v>579</v>
      </c>
      <c r="C3469" s="514"/>
      <c r="D3469" s="514"/>
      <c r="E3469" s="514"/>
      <c r="F3469" s="514"/>
      <c r="G3469" s="514"/>
      <c r="H3469" s="514"/>
      <c r="I3469" s="514"/>
      <c r="J3469" s="426" t="s">
        <v>580</v>
      </c>
      <c r="K3469" s="427"/>
      <c r="L3469" s="427"/>
      <c r="M3469" s="427"/>
      <c r="N3469" s="427"/>
      <c r="O3469" s="427"/>
      <c r="P3469" s="427"/>
      <c r="Q3469" s="427"/>
      <c r="R3469" s="427"/>
      <c r="S3469" s="427"/>
      <c r="T3469" s="427"/>
      <c r="U3469" s="427"/>
      <c r="V3469" s="427"/>
      <c r="W3469" s="427"/>
      <c r="X3469" s="427"/>
      <c r="Y3469" s="427"/>
      <c r="Z3469" s="427"/>
      <c r="AA3469" s="427"/>
      <c r="AB3469" s="427"/>
      <c r="AC3469" s="427"/>
      <c r="AD3469" s="427"/>
      <c r="AE3469" s="427"/>
      <c r="AF3469" s="427"/>
      <c r="AG3469" s="427"/>
      <c r="AH3469" s="427"/>
      <c r="AI3469" s="427"/>
      <c r="AJ3469" s="427"/>
      <c r="AK3469" s="427"/>
      <c r="AL3469" s="427"/>
      <c r="AM3469" s="427"/>
      <c r="AN3469" s="427"/>
      <c r="AO3469" s="427"/>
      <c r="AP3469" s="427"/>
      <c r="AQ3469" s="427"/>
      <c r="AR3469" s="427"/>
      <c r="AS3469" s="427"/>
      <c r="AT3469" s="427"/>
      <c r="AU3469" s="427"/>
      <c r="AV3469" s="427"/>
      <c r="AW3469" s="427"/>
      <c r="AX3469" s="427"/>
      <c r="AY3469" s="427"/>
      <c r="AZ3469" s="427"/>
      <c r="BA3469" s="427"/>
      <c r="BB3469" s="427"/>
      <c r="BC3469" s="427"/>
      <c r="BD3469" s="427"/>
      <c r="BE3469" s="427"/>
      <c r="BF3469" s="427"/>
      <c r="BG3469" s="427"/>
      <c r="BH3469" s="428"/>
      <c r="BI3469" s="423">
        <f>+SUM(BI3453:BQ3468)</f>
        <v>0</v>
      </c>
      <c r="BJ3469" s="424"/>
      <c r="BK3469" s="490"/>
      <c r="BL3469" s="490"/>
      <c r="BM3469" s="490"/>
      <c r="BN3469" s="490"/>
      <c r="BO3469" s="490"/>
      <c r="BP3469" s="490"/>
      <c r="BQ3469" s="491"/>
      <c r="BR3469" s="423">
        <f>+SUM(BR3453:BZ3468)</f>
        <v>0</v>
      </c>
      <c r="BS3469" s="424"/>
      <c r="BT3469" s="424"/>
      <c r="BU3469" s="424"/>
      <c r="BV3469" s="424"/>
      <c r="BW3469" s="424"/>
      <c r="BX3469" s="424"/>
      <c r="BY3469" s="424"/>
      <c r="BZ3469" s="425"/>
      <c r="CA3469" s="270"/>
      <c r="CB3469" s="3" t="str">
        <f t="shared" si="631"/>
        <v>Riadok bude skrytý.</v>
      </c>
      <c r="CC3469" s="271" t="s">
        <v>832</v>
      </c>
      <c r="CW3469" s="32">
        <f t="shared" si="633"/>
        <v>0</v>
      </c>
      <c r="CZ3469" s="30">
        <f t="shared" si="632"/>
        <v>1</v>
      </c>
      <c r="DA3469" s="30">
        <f t="shared" si="630"/>
        <v>0</v>
      </c>
      <c r="DB3469" s="2">
        <f t="shared" si="629"/>
        <v>0</v>
      </c>
      <c r="DS3469" s="130">
        <f>SI!BY3469</f>
        <v>762</v>
      </c>
      <c r="DZ3469" s="131">
        <f>SI!BZ3469</f>
        <v>0</v>
      </c>
    </row>
    <row r="3470" spans="1:130" ht="24.8" hidden="1" customHeight="1" x14ac:dyDescent="0.25">
      <c r="A3470" s="141"/>
      <c r="B3470" s="1485" t="s">
        <v>459</v>
      </c>
      <c r="C3470" s="1485"/>
      <c r="D3470" s="1485"/>
      <c r="E3470" s="1485"/>
      <c r="F3470" s="1485"/>
      <c r="G3470" s="1485"/>
      <c r="H3470" s="1485"/>
      <c r="I3470" s="1485"/>
      <c r="J3470" s="1406" t="s">
        <v>529</v>
      </c>
      <c r="K3470" s="1407"/>
      <c r="L3470" s="1407"/>
      <c r="M3470" s="1407"/>
      <c r="N3470" s="1407"/>
      <c r="O3470" s="1407"/>
      <c r="P3470" s="1407"/>
      <c r="Q3470" s="1407"/>
      <c r="R3470" s="1407"/>
      <c r="S3470" s="1407"/>
      <c r="T3470" s="1407"/>
      <c r="U3470" s="1407"/>
      <c r="V3470" s="1407"/>
      <c r="W3470" s="1407"/>
      <c r="X3470" s="1407"/>
      <c r="Y3470" s="1407"/>
      <c r="Z3470" s="1407"/>
      <c r="AA3470" s="1407"/>
      <c r="AB3470" s="1407"/>
      <c r="AC3470" s="1407"/>
      <c r="AD3470" s="1407"/>
      <c r="AE3470" s="1407"/>
      <c r="AF3470" s="1407"/>
      <c r="AG3470" s="1407"/>
      <c r="AH3470" s="1407"/>
      <c r="AI3470" s="1407"/>
      <c r="AJ3470" s="1407"/>
      <c r="AK3470" s="1407"/>
      <c r="AL3470" s="1407"/>
      <c r="AM3470" s="1407"/>
      <c r="AN3470" s="1407"/>
      <c r="AO3470" s="1407"/>
      <c r="AP3470" s="1407"/>
      <c r="AQ3470" s="1407"/>
      <c r="AR3470" s="1407"/>
      <c r="AS3470" s="1407"/>
      <c r="AT3470" s="1407"/>
      <c r="AU3470" s="1407"/>
      <c r="AV3470" s="1407"/>
      <c r="AW3470" s="1407"/>
      <c r="AX3470" s="1407"/>
      <c r="AY3470" s="1407"/>
      <c r="AZ3470" s="1407"/>
      <c r="BA3470" s="1407"/>
      <c r="BB3470" s="1407"/>
      <c r="BC3470" s="1407"/>
      <c r="BD3470" s="1407"/>
      <c r="BE3470" s="1407"/>
      <c r="BF3470" s="1407"/>
      <c r="BG3470" s="1407"/>
      <c r="BH3470" s="1408"/>
      <c r="BI3470" s="1228"/>
      <c r="BJ3470" s="503"/>
      <c r="BK3470" s="1404"/>
      <c r="BL3470" s="1404"/>
      <c r="BM3470" s="1404"/>
      <c r="BN3470" s="1404"/>
      <c r="BO3470" s="1404"/>
      <c r="BP3470" s="1404"/>
      <c r="BQ3470" s="1405"/>
      <c r="BR3470" s="475"/>
      <c r="BS3470" s="482"/>
      <c r="BT3470" s="482"/>
      <c r="BU3470" s="482"/>
      <c r="BV3470" s="482"/>
      <c r="BW3470" s="482"/>
      <c r="BX3470" s="482"/>
      <c r="BY3470" s="482"/>
      <c r="BZ3470" s="483"/>
      <c r="CA3470" s="265" t="s">
        <v>773</v>
      </c>
      <c r="CB3470" s="3" t="str">
        <f t="shared" si="631"/>
        <v>Riadok bude skrytý.</v>
      </c>
      <c r="CC3470" s="271" t="s">
        <v>832</v>
      </c>
      <c r="CW3470" s="32">
        <f t="shared" si="633"/>
        <v>0</v>
      </c>
      <c r="CZ3470" s="30">
        <f t="shared" si="632"/>
        <v>1</v>
      </c>
      <c r="DA3470" s="30">
        <f t="shared" si="630"/>
        <v>0</v>
      </c>
      <c r="DB3470" s="2">
        <f t="shared" si="629"/>
        <v>0</v>
      </c>
      <c r="DS3470" s="130">
        <f>SI!BY3470</f>
        <v>132</v>
      </c>
      <c r="DZ3470" s="131">
        <f>SI!BZ3470</f>
        <v>0</v>
      </c>
    </row>
    <row r="3471" spans="1:130" ht="24.8" hidden="1" customHeight="1" x14ac:dyDescent="0.25">
      <c r="A3471" s="141"/>
      <c r="B3471" s="1380" t="s">
        <v>460</v>
      </c>
      <c r="C3471" s="1380"/>
      <c r="D3471" s="1380"/>
      <c r="E3471" s="1380"/>
      <c r="F3471" s="1380"/>
      <c r="G3471" s="1380"/>
      <c r="H3471" s="1380"/>
      <c r="I3471" s="1380"/>
      <c r="J3471" s="429" t="s">
        <v>530</v>
      </c>
      <c r="K3471" s="430"/>
      <c r="L3471" s="430"/>
      <c r="M3471" s="430"/>
      <c r="N3471" s="430"/>
      <c r="O3471" s="430"/>
      <c r="P3471" s="430"/>
      <c r="Q3471" s="430"/>
      <c r="R3471" s="430"/>
      <c r="S3471" s="430"/>
      <c r="T3471" s="430"/>
      <c r="U3471" s="430"/>
      <c r="V3471" s="430"/>
      <c r="W3471" s="430"/>
      <c r="X3471" s="430"/>
      <c r="Y3471" s="430"/>
      <c r="Z3471" s="430"/>
      <c r="AA3471" s="430"/>
      <c r="AB3471" s="430"/>
      <c r="AC3471" s="430"/>
      <c r="AD3471" s="430"/>
      <c r="AE3471" s="430"/>
      <c r="AF3471" s="430"/>
      <c r="AG3471" s="430"/>
      <c r="AH3471" s="430"/>
      <c r="AI3471" s="430"/>
      <c r="AJ3471" s="430"/>
      <c r="AK3471" s="430"/>
      <c r="AL3471" s="430"/>
      <c r="AM3471" s="430"/>
      <c r="AN3471" s="430"/>
      <c r="AO3471" s="430"/>
      <c r="AP3471" s="430"/>
      <c r="AQ3471" s="430"/>
      <c r="AR3471" s="430"/>
      <c r="AS3471" s="430"/>
      <c r="AT3471" s="430"/>
      <c r="AU3471" s="430"/>
      <c r="AV3471" s="430"/>
      <c r="AW3471" s="430"/>
      <c r="AX3471" s="430"/>
      <c r="AY3471" s="430"/>
      <c r="AZ3471" s="430"/>
      <c r="BA3471" s="430"/>
      <c r="BB3471" s="430"/>
      <c r="BC3471" s="430"/>
      <c r="BD3471" s="430"/>
      <c r="BE3471" s="430"/>
      <c r="BF3471" s="430"/>
      <c r="BG3471" s="430"/>
      <c r="BH3471" s="431"/>
      <c r="BI3471" s="511"/>
      <c r="BJ3471" s="482"/>
      <c r="BK3471" s="512"/>
      <c r="BL3471" s="512"/>
      <c r="BM3471" s="512"/>
      <c r="BN3471" s="512"/>
      <c r="BO3471" s="512"/>
      <c r="BP3471" s="512"/>
      <c r="BQ3471" s="513"/>
      <c r="BR3471" s="475"/>
      <c r="BS3471" s="482"/>
      <c r="BT3471" s="482"/>
      <c r="BU3471" s="482"/>
      <c r="BV3471" s="482"/>
      <c r="BW3471" s="482"/>
      <c r="BX3471" s="482"/>
      <c r="BY3471" s="482"/>
      <c r="BZ3471" s="483"/>
      <c r="CA3471" s="270"/>
      <c r="CB3471" s="3" t="str">
        <f t="shared" si="631"/>
        <v>Riadok bude skrytý.</v>
      </c>
      <c r="CC3471" s="271" t="s">
        <v>832</v>
      </c>
      <c r="CW3471" s="32">
        <f t="shared" si="633"/>
        <v>0</v>
      </c>
      <c r="CZ3471" s="30">
        <f t="shared" si="632"/>
        <v>1</v>
      </c>
      <c r="DA3471" s="30">
        <f t="shared" si="630"/>
        <v>0</v>
      </c>
      <c r="DB3471" s="2">
        <f t="shared" si="629"/>
        <v>0</v>
      </c>
      <c r="DS3471" s="130">
        <f>SI!BY3471</f>
        <v>924</v>
      </c>
      <c r="DZ3471" s="131">
        <f>SI!BZ3471</f>
        <v>0</v>
      </c>
    </row>
    <row r="3472" spans="1:130" ht="24.8" hidden="1" customHeight="1" x14ac:dyDescent="0.25">
      <c r="A3472" s="141"/>
      <c r="B3472" s="1380" t="s">
        <v>461</v>
      </c>
      <c r="C3472" s="1380"/>
      <c r="D3472" s="1380"/>
      <c r="E3472" s="1380"/>
      <c r="F3472" s="1380"/>
      <c r="G3472" s="1380"/>
      <c r="H3472" s="1380"/>
      <c r="I3472" s="1380"/>
      <c r="J3472" s="429" t="s">
        <v>531</v>
      </c>
      <c r="K3472" s="430"/>
      <c r="L3472" s="430"/>
      <c r="M3472" s="430"/>
      <c r="N3472" s="430"/>
      <c r="O3472" s="430"/>
      <c r="P3472" s="430"/>
      <c r="Q3472" s="430"/>
      <c r="R3472" s="430"/>
      <c r="S3472" s="430"/>
      <c r="T3472" s="430"/>
      <c r="U3472" s="430"/>
      <c r="V3472" s="430"/>
      <c r="W3472" s="430"/>
      <c r="X3472" s="430"/>
      <c r="Y3472" s="430"/>
      <c r="Z3472" s="430"/>
      <c r="AA3472" s="430"/>
      <c r="AB3472" s="430"/>
      <c r="AC3472" s="430"/>
      <c r="AD3472" s="430"/>
      <c r="AE3472" s="430"/>
      <c r="AF3472" s="430"/>
      <c r="AG3472" s="430"/>
      <c r="AH3472" s="430"/>
      <c r="AI3472" s="430"/>
      <c r="AJ3472" s="430"/>
      <c r="AK3472" s="430"/>
      <c r="AL3472" s="430"/>
      <c r="AM3472" s="430"/>
      <c r="AN3472" s="430"/>
      <c r="AO3472" s="430"/>
      <c r="AP3472" s="430"/>
      <c r="AQ3472" s="430"/>
      <c r="AR3472" s="430"/>
      <c r="AS3472" s="430"/>
      <c r="AT3472" s="430"/>
      <c r="AU3472" s="430"/>
      <c r="AV3472" s="430"/>
      <c r="AW3472" s="430"/>
      <c r="AX3472" s="430"/>
      <c r="AY3472" s="430"/>
      <c r="AZ3472" s="430"/>
      <c r="BA3472" s="430"/>
      <c r="BB3472" s="430"/>
      <c r="BC3472" s="430"/>
      <c r="BD3472" s="430"/>
      <c r="BE3472" s="430"/>
      <c r="BF3472" s="430"/>
      <c r="BG3472" s="430"/>
      <c r="BH3472" s="431"/>
      <c r="BI3472" s="511"/>
      <c r="BJ3472" s="482"/>
      <c r="BK3472" s="512"/>
      <c r="BL3472" s="512"/>
      <c r="BM3472" s="512"/>
      <c r="BN3472" s="512"/>
      <c r="BO3472" s="512"/>
      <c r="BP3472" s="512"/>
      <c r="BQ3472" s="513"/>
      <c r="BR3472" s="475"/>
      <c r="BS3472" s="482"/>
      <c r="BT3472" s="482"/>
      <c r="BU3472" s="482"/>
      <c r="BV3472" s="482"/>
      <c r="BW3472" s="482"/>
      <c r="BX3472" s="482"/>
      <c r="BY3472" s="482"/>
      <c r="BZ3472" s="483"/>
      <c r="CA3472" s="270"/>
      <c r="CB3472" s="3" t="str">
        <f t="shared" si="631"/>
        <v>Riadok bude skrytý.</v>
      </c>
      <c r="CC3472" s="271" t="s">
        <v>832</v>
      </c>
      <c r="CW3472" s="32">
        <f t="shared" si="633"/>
        <v>0</v>
      </c>
      <c r="CZ3472" s="30">
        <f t="shared" si="632"/>
        <v>1</v>
      </c>
      <c r="DA3472" s="30">
        <f t="shared" si="630"/>
        <v>0</v>
      </c>
      <c r="DB3472" s="2">
        <f t="shared" si="629"/>
        <v>0</v>
      </c>
      <c r="DS3472" s="130">
        <f>SI!BY3472</f>
        <v>165</v>
      </c>
      <c r="DZ3472" s="131">
        <f>SI!BZ3472</f>
        <v>0</v>
      </c>
    </row>
    <row r="3473" spans="1:130" ht="24.8" hidden="1" customHeight="1" x14ac:dyDescent="0.25">
      <c r="A3473" s="141"/>
      <c r="B3473" s="505" t="s">
        <v>462</v>
      </c>
      <c r="C3473" s="505"/>
      <c r="D3473" s="505"/>
      <c r="E3473" s="505"/>
      <c r="F3473" s="505"/>
      <c r="G3473" s="505"/>
      <c r="H3473" s="505"/>
      <c r="I3473" s="505"/>
      <c r="J3473" s="1377" t="s">
        <v>532</v>
      </c>
      <c r="K3473" s="1378"/>
      <c r="L3473" s="1378"/>
      <c r="M3473" s="1378"/>
      <c r="N3473" s="1378"/>
      <c r="O3473" s="1378"/>
      <c r="P3473" s="1378"/>
      <c r="Q3473" s="1378"/>
      <c r="R3473" s="1378"/>
      <c r="S3473" s="1378"/>
      <c r="T3473" s="1378"/>
      <c r="U3473" s="1378"/>
      <c r="V3473" s="1378"/>
      <c r="W3473" s="1378"/>
      <c r="X3473" s="1378"/>
      <c r="Y3473" s="1378"/>
      <c r="Z3473" s="1378"/>
      <c r="AA3473" s="1378"/>
      <c r="AB3473" s="1378"/>
      <c r="AC3473" s="1378"/>
      <c r="AD3473" s="1378"/>
      <c r="AE3473" s="1378"/>
      <c r="AF3473" s="1378"/>
      <c r="AG3473" s="1378"/>
      <c r="AH3473" s="1378"/>
      <c r="AI3473" s="1378"/>
      <c r="AJ3473" s="1378"/>
      <c r="AK3473" s="1378"/>
      <c r="AL3473" s="1378"/>
      <c r="AM3473" s="1378"/>
      <c r="AN3473" s="1378"/>
      <c r="AO3473" s="1378"/>
      <c r="AP3473" s="1378"/>
      <c r="AQ3473" s="1378"/>
      <c r="AR3473" s="1378"/>
      <c r="AS3473" s="1378"/>
      <c r="AT3473" s="1378"/>
      <c r="AU3473" s="1378"/>
      <c r="AV3473" s="1378"/>
      <c r="AW3473" s="1378"/>
      <c r="AX3473" s="1378"/>
      <c r="AY3473" s="1378"/>
      <c r="AZ3473" s="1378"/>
      <c r="BA3473" s="1378"/>
      <c r="BB3473" s="1378"/>
      <c r="BC3473" s="1378"/>
      <c r="BD3473" s="1378"/>
      <c r="BE3473" s="1378"/>
      <c r="BF3473" s="1378"/>
      <c r="BG3473" s="1378"/>
      <c r="BH3473" s="1379"/>
      <c r="BI3473" s="454"/>
      <c r="BJ3473" s="455"/>
      <c r="BK3473" s="506"/>
      <c r="BL3473" s="506"/>
      <c r="BM3473" s="506"/>
      <c r="BN3473" s="506"/>
      <c r="BO3473" s="506"/>
      <c r="BP3473" s="506"/>
      <c r="BQ3473" s="507"/>
      <c r="BR3473" s="475"/>
      <c r="BS3473" s="482"/>
      <c r="BT3473" s="482"/>
      <c r="BU3473" s="482"/>
      <c r="BV3473" s="482"/>
      <c r="BW3473" s="482"/>
      <c r="BX3473" s="482"/>
      <c r="BY3473" s="482"/>
      <c r="BZ3473" s="483"/>
      <c r="CA3473" s="270"/>
      <c r="CB3473" s="3" t="str">
        <f t="shared" si="631"/>
        <v>Riadok bude skrytý.</v>
      </c>
      <c r="CC3473" s="271" t="s">
        <v>832</v>
      </c>
      <c r="CW3473" s="32">
        <f t="shared" si="633"/>
        <v>0</v>
      </c>
      <c r="CZ3473" s="30">
        <f t="shared" si="632"/>
        <v>1</v>
      </c>
      <c r="DA3473" s="30">
        <f t="shared" si="630"/>
        <v>0</v>
      </c>
      <c r="DB3473" s="2">
        <f t="shared" si="629"/>
        <v>0</v>
      </c>
      <c r="DS3473" s="130">
        <f>SI!BY3473</f>
        <v>728</v>
      </c>
      <c r="DZ3473" s="131">
        <f>SI!BZ3473</f>
        <v>0</v>
      </c>
    </row>
    <row r="3474" spans="1:130" ht="14.95" hidden="1" customHeight="1" x14ac:dyDescent="0.25">
      <c r="A3474" s="141"/>
      <c r="B3474" s="1376"/>
      <c r="C3474" s="1376"/>
      <c r="D3474" s="1376"/>
      <c r="E3474" s="1376"/>
      <c r="F3474" s="1376"/>
      <c r="G3474" s="1376"/>
      <c r="H3474" s="1376"/>
      <c r="I3474" s="1376"/>
      <c r="J3474" s="426" t="s">
        <v>514</v>
      </c>
      <c r="K3474" s="427"/>
      <c r="L3474" s="427"/>
      <c r="M3474" s="427"/>
      <c r="N3474" s="427"/>
      <c r="O3474" s="427"/>
      <c r="P3474" s="427"/>
      <c r="Q3474" s="427"/>
      <c r="R3474" s="427"/>
      <c r="S3474" s="427"/>
      <c r="T3474" s="427"/>
      <c r="U3474" s="427"/>
      <c r="V3474" s="427"/>
      <c r="W3474" s="427"/>
      <c r="X3474" s="427"/>
      <c r="Y3474" s="427"/>
      <c r="Z3474" s="427"/>
      <c r="AA3474" s="427"/>
      <c r="AB3474" s="427"/>
      <c r="AC3474" s="427"/>
      <c r="AD3474" s="427"/>
      <c r="AE3474" s="427"/>
      <c r="AF3474" s="427"/>
      <c r="AG3474" s="427"/>
      <c r="AH3474" s="427"/>
      <c r="AI3474" s="427"/>
      <c r="AJ3474" s="427"/>
      <c r="AK3474" s="427"/>
      <c r="AL3474" s="427"/>
      <c r="AM3474" s="427"/>
      <c r="AN3474" s="427"/>
      <c r="AO3474" s="427"/>
      <c r="AP3474" s="427"/>
      <c r="AQ3474" s="427"/>
      <c r="AR3474" s="427"/>
      <c r="AS3474" s="427"/>
      <c r="AT3474" s="427"/>
      <c r="AU3474" s="427"/>
      <c r="AV3474" s="427"/>
      <c r="AW3474" s="427"/>
      <c r="AX3474" s="427"/>
      <c r="AY3474" s="427"/>
      <c r="AZ3474" s="427"/>
      <c r="BA3474" s="427"/>
      <c r="BB3474" s="427"/>
      <c r="BC3474" s="427"/>
      <c r="BD3474" s="427"/>
      <c r="BE3474" s="427"/>
      <c r="BF3474" s="427"/>
      <c r="BG3474" s="427"/>
      <c r="BH3474" s="428"/>
      <c r="BI3474" s="423">
        <f>+SUM(BI3469:BQ3473)</f>
        <v>0</v>
      </c>
      <c r="BJ3474" s="424"/>
      <c r="BK3474" s="490"/>
      <c r="BL3474" s="490"/>
      <c r="BM3474" s="490"/>
      <c r="BN3474" s="490"/>
      <c r="BO3474" s="490"/>
      <c r="BP3474" s="490"/>
      <c r="BQ3474" s="491"/>
      <c r="BR3474" s="423">
        <f>+SUM(BR3469:BZ3473)</f>
        <v>0</v>
      </c>
      <c r="BS3474" s="424"/>
      <c r="BT3474" s="424"/>
      <c r="BU3474" s="424"/>
      <c r="BV3474" s="424"/>
      <c r="BW3474" s="424"/>
      <c r="BX3474" s="424"/>
      <c r="BY3474" s="424"/>
      <c r="BZ3474" s="425"/>
      <c r="CA3474" s="270"/>
      <c r="CB3474" s="3" t="str">
        <f t="shared" si="631"/>
        <v>Riadok bude skrytý.</v>
      </c>
      <c r="CC3474" s="271" t="s">
        <v>832</v>
      </c>
      <c r="CW3474" s="32">
        <f t="shared" si="633"/>
        <v>0</v>
      </c>
      <c r="CZ3474" s="30">
        <f t="shared" si="632"/>
        <v>1</v>
      </c>
      <c r="DA3474" s="30">
        <f t="shared" si="630"/>
        <v>0</v>
      </c>
      <c r="DB3474" s="2">
        <f t="shared" si="629"/>
        <v>0</v>
      </c>
      <c r="DS3474" s="130">
        <f>SI!BY3474</f>
        <v>1</v>
      </c>
      <c r="DZ3474" s="131">
        <f>SI!BZ3474</f>
        <v>0</v>
      </c>
    </row>
    <row r="3475" spans="1:130" ht="24.8" hidden="1" customHeight="1" x14ac:dyDescent="0.25">
      <c r="A3475" s="141"/>
      <c r="B3475" s="1485" t="s">
        <v>463</v>
      </c>
      <c r="C3475" s="1485"/>
      <c r="D3475" s="1485"/>
      <c r="E3475" s="1485"/>
      <c r="F3475" s="1485"/>
      <c r="G3475" s="1485"/>
      <c r="H3475" s="1485"/>
      <c r="I3475" s="1485"/>
      <c r="J3475" s="1406" t="s">
        <v>533</v>
      </c>
      <c r="K3475" s="1407"/>
      <c r="L3475" s="1407"/>
      <c r="M3475" s="1407"/>
      <c r="N3475" s="1407"/>
      <c r="O3475" s="1407"/>
      <c r="P3475" s="1407"/>
      <c r="Q3475" s="1407"/>
      <c r="R3475" s="1407"/>
      <c r="S3475" s="1407"/>
      <c r="T3475" s="1407"/>
      <c r="U3475" s="1407"/>
      <c r="V3475" s="1407"/>
      <c r="W3475" s="1407"/>
      <c r="X3475" s="1407"/>
      <c r="Y3475" s="1407"/>
      <c r="Z3475" s="1407"/>
      <c r="AA3475" s="1407"/>
      <c r="AB3475" s="1407"/>
      <c r="AC3475" s="1407"/>
      <c r="AD3475" s="1407"/>
      <c r="AE3475" s="1407"/>
      <c r="AF3475" s="1407"/>
      <c r="AG3475" s="1407"/>
      <c r="AH3475" s="1407"/>
      <c r="AI3475" s="1407"/>
      <c r="AJ3475" s="1407"/>
      <c r="AK3475" s="1407"/>
      <c r="AL3475" s="1407"/>
      <c r="AM3475" s="1407"/>
      <c r="AN3475" s="1407"/>
      <c r="AO3475" s="1407"/>
      <c r="AP3475" s="1407"/>
      <c r="AQ3475" s="1407"/>
      <c r="AR3475" s="1407"/>
      <c r="AS3475" s="1407"/>
      <c r="AT3475" s="1407"/>
      <c r="AU3475" s="1407"/>
      <c r="AV3475" s="1407"/>
      <c r="AW3475" s="1407"/>
      <c r="AX3475" s="1407"/>
      <c r="AY3475" s="1407"/>
      <c r="AZ3475" s="1407"/>
      <c r="BA3475" s="1407"/>
      <c r="BB3475" s="1407"/>
      <c r="BC3475" s="1407"/>
      <c r="BD3475" s="1407"/>
      <c r="BE3475" s="1407"/>
      <c r="BF3475" s="1407"/>
      <c r="BG3475" s="1407"/>
      <c r="BH3475" s="1408"/>
      <c r="BI3475" s="1228"/>
      <c r="BJ3475" s="503"/>
      <c r="BK3475" s="1404"/>
      <c r="BL3475" s="1404"/>
      <c r="BM3475" s="1404"/>
      <c r="BN3475" s="1404"/>
      <c r="BO3475" s="1404"/>
      <c r="BP3475" s="1404"/>
      <c r="BQ3475" s="1405"/>
      <c r="BR3475" s="475"/>
      <c r="BS3475" s="482"/>
      <c r="BT3475" s="482"/>
      <c r="BU3475" s="482"/>
      <c r="BV3475" s="482"/>
      <c r="BW3475" s="482"/>
      <c r="BX3475" s="482"/>
      <c r="BY3475" s="482"/>
      <c r="BZ3475" s="483"/>
      <c r="CA3475" s="265" t="s">
        <v>773</v>
      </c>
      <c r="CB3475" s="3" t="str">
        <f t="shared" si="631"/>
        <v>Riadok bude skrytý.</v>
      </c>
      <c r="CC3475" s="271" t="s">
        <v>832</v>
      </c>
      <c r="CW3475" s="32">
        <f t="shared" si="633"/>
        <v>0</v>
      </c>
      <c r="CZ3475" s="30">
        <f t="shared" si="632"/>
        <v>1</v>
      </c>
      <c r="DA3475" s="30">
        <f t="shared" si="630"/>
        <v>0</v>
      </c>
      <c r="DB3475" s="2">
        <f t="shared" si="629"/>
        <v>0</v>
      </c>
      <c r="DS3475" s="130">
        <f>SI!BY3475</f>
        <v>929</v>
      </c>
      <c r="DZ3475" s="131">
        <f>SI!BZ3475</f>
        <v>0</v>
      </c>
    </row>
    <row r="3476" spans="1:130" ht="24.8" hidden="1" customHeight="1" x14ac:dyDescent="0.25">
      <c r="A3476" s="141"/>
      <c r="B3476" s="1380" t="s">
        <v>464</v>
      </c>
      <c r="C3476" s="1380"/>
      <c r="D3476" s="1380"/>
      <c r="E3476" s="1380"/>
      <c r="F3476" s="1380"/>
      <c r="G3476" s="1380"/>
      <c r="H3476" s="1380"/>
      <c r="I3476" s="1380"/>
      <c r="J3476" s="429" t="s">
        <v>1041</v>
      </c>
      <c r="K3476" s="430"/>
      <c r="L3476" s="430"/>
      <c r="M3476" s="430"/>
      <c r="N3476" s="430"/>
      <c r="O3476" s="430"/>
      <c r="P3476" s="430"/>
      <c r="Q3476" s="430"/>
      <c r="R3476" s="430"/>
      <c r="S3476" s="430"/>
      <c r="T3476" s="430"/>
      <c r="U3476" s="430"/>
      <c r="V3476" s="430"/>
      <c r="W3476" s="430"/>
      <c r="X3476" s="430"/>
      <c r="Y3476" s="430"/>
      <c r="Z3476" s="430"/>
      <c r="AA3476" s="430"/>
      <c r="AB3476" s="430"/>
      <c r="AC3476" s="430"/>
      <c r="AD3476" s="430"/>
      <c r="AE3476" s="430"/>
      <c r="AF3476" s="430"/>
      <c r="AG3476" s="430"/>
      <c r="AH3476" s="430"/>
      <c r="AI3476" s="430"/>
      <c r="AJ3476" s="430"/>
      <c r="AK3476" s="430"/>
      <c r="AL3476" s="430"/>
      <c r="AM3476" s="430"/>
      <c r="AN3476" s="430"/>
      <c r="AO3476" s="430"/>
      <c r="AP3476" s="430"/>
      <c r="AQ3476" s="430"/>
      <c r="AR3476" s="430"/>
      <c r="AS3476" s="430"/>
      <c r="AT3476" s="430"/>
      <c r="AU3476" s="430"/>
      <c r="AV3476" s="430"/>
      <c r="AW3476" s="430"/>
      <c r="AX3476" s="430"/>
      <c r="AY3476" s="430"/>
      <c r="AZ3476" s="430"/>
      <c r="BA3476" s="430"/>
      <c r="BB3476" s="430"/>
      <c r="BC3476" s="430"/>
      <c r="BD3476" s="430"/>
      <c r="BE3476" s="430"/>
      <c r="BF3476" s="430"/>
      <c r="BG3476" s="430"/>
      <c r="BH3476" s="431"/>
      <c r="BI3476" s="511"/>
      <c r="BJ3476" s="482"/>
      <c r="BK3476" s="512"/>
      <c r="BL3476" s="512"/>
      <c r="BM3476" s="512"/>
      <c r="BN3476" s="512"/>
      <c r="BO3476" s="512"/>
      <c r="BP3476" s="512"/>
      <c r="BQ3476" s="513"/>
      <c r="BR3476" s="475"/>
      <c r="BS3476" s="482"/>
      <c r="BT3476" s="482"/>
      <c r="BU3476" s="482"/>
      <c r="BV3476" s="482"/>
      <c r="BW3476" s="482"/>
      <c r="BX3476" s="482"/>
      <c r="BY3476" s="482"/>
      <c r="BZ3476" s="483"/>
      <c r="CA3476" s="270"/>
      <c r="CB3476" s="3" t="str">
        <f t="shared" si="631"/>
        <v>Riadok bude skrytý.</v>
      </c>
      <c r="CC3476" s="271" t="s">
        <v>832</v>
      </c>
      <c r="CD3476" s="137"/>
      <c r="CE3476" s="137"/>
      <c r="CW3476" s="32">
        <f t="shared" si="633"/>
        <v>0</v>
      </c>
      <c r="CZ3476" s="30">
        <f t="shared" si="632"/>
        <v>1</v>
      </c>
      <c r="DA3476" s="30">
        <f t="shared" si="630"/>
        <v>0</v>
      </c>
      <c r="DB3476" s="2">
        <f t="shared" si="629"/>
        <v>0</v>
      </c>
      <c r="DS3476" s="130">
        <f>SI!BY3476</f>
        <v>197</v>
      </c>
      <c r="DZ3476" s="131">
        <f>SI!BZ3476</f>
        <v>0</v>
      </c>
    </row>
    <row r="3477" spans="1:130" ht="24.8" hidden="1" customHeight="1" x14ac:dyDescent="0.25">
      <c r="A3477" s="141"/>
      <c r="B3477" s="505" t="s">
        <v>466</v>
      </c>
      <c r="C3477" s="505"/>
      <c r="D3477" s="505"/>
      <c r="E3477" s="505"/>
      <c r="F3477" s="505"/>
      <c r="G3477" s="505"/>
      <c r="H3477" s="505"/>
      <c r="I3477" s="505"/>
      <c r="J3477" s="1377" t="s">
        <v>1042</v>
      </c>
      <c r="K3477" s="1378"/>
      <c r="L3477" s="1378"/>
      <c r="M3477" s="1378"/>
      <c r="N3477" s="1378"/>
      <c r="O3477" s="1378"/>
      <c r="P3477" s="1378"/>
      <c r="Q3477" s="1378"/>
      <c r="R3477" s="1378"/>
      <c r="S3477" s="1378"/>
      <c r="T3477" s="1378"/>
      <c r="U3477" s="1378"/>
      <c r="V3477" s="1378"/>
      <c r="W3477" s="1378"/>
      <c r="X3477" s="1378"/>
      <c r="Y3477" s="1378"/>
      <c r="Z3477" s="1378"/>
      <c r="AA3477" s="1378"/>
      <c r="AB3477" s="1378"/>
      <c r="AC3477" s="1378"/>
      <c r="AD3477" s="1378"/>
      <c r="AE3477" s="1378"/>
      <c r="AF3477" s="1378"/>
      <c r="AG3477" s="1378"/>
      <c r="AH3477" s="1378"/>
      <c r="AI3477" s="1378"/>
      <c r="AJ3477" s="1378"/>
      <c r="AK3477" s="1378"/>
      <c r="AL3477" s="1378"/>
      <c r="AM3477" s="1378"/>
      <c r="AN3477" s="1378"/>
      <c r="AO3477" s="1378"/>
      <c r="AP3477" s="1378"/>
      <c r="AQ3477" s="1378"/>
      <c r="AR3477" s="1378"/>
      <c r="AS3477" s="1378"/>
      <c r="AT3477" s="1378"/>
      <c r="AU3477" s="1378"/>
      <c r="AV3477" s="1378"/>
      <c r="AW3477" s="1378"/>
      <c r="AX3477" s="1378"/>
      <c r="AY3477" s="1378"/>
      <c r="AZ3477" s="1378"/>
      <c r="BA3477" s="1378"/>
      <c r="BB3477" s="1378"/>
      <c r="BC3477" s="1378"/>
      <c r="BD3477" s="1378"/>
      <c r="BE3477" s="1378"/>
      <c r="BF3477" s="1378"/>
      <c r="BG3477" s="1378"/>
      <c r="BH3477" s="1379"/>
      <c r="BI3477" s="420"/>
      <c r="BJ3477" s="421"/>
      <c r="BK3477" s="1476"/>
      <c r="BL3477" s="1476"/>
      <c r="BM3477" s="1476"/>
      <c r="BN3477" s="1476"/>
      <c r="BO3477" s="1476"/>
      <c r="BP3477" s="1476"/>
      <c r="BQ3477" s="1477"/>
      <c r="BR3477" s="475"/>
      <c r="BS3477" s="482"/>
      <c r="BT3477" s="482"/>
      <c r="BU3477" s="482"/>
      <c r="BV3477" s="482"/>
      <c r="BW3477" s="482"/>
      <c r="BX3477" s="482"/>
      <c r="BY3477" s="482"/>
      <c r="BZ3477" s="483"/>
      <c r="CA3477" s="270"/>
      <c r="CB3477" s="3" t="str">
        <f t="shared" si="631"/>
        <v>Riadok bude skrytý.</v>
      </c>
      <c r="CC3477" s="271" t="s">
        <v>832</v>
      </c>
      <c r="CD3477" s="137"/>
      <c r="CE3477" s="137"/>
      <c r="CW3477" s="32">
        <f t="shared" si="633"/>
        <v>0</v>
      </c>
      <c r="CZ3477" s="30">
        <f t="shared" si="632"/>
        <v>1</v>
      </c>
      <c r="DA3477" s="30">
        <f t="shared" si="630"/>
        <v>0</v>
      </c>
      <c r="DB3477" s="2">
        <f t="shared" si="629"/>
        <v>0</v>
      </c>
      <c r="DS3477" s="130">
        <f>SI!BY3477</f>
        <v>178</v>
      </c>
      <c r="DZ3477" s="131">
        <f>SI!BZ3477</f>
        <v>0</v>
      </c>
    </row>
    <row r="3478" spans="1:130" ht="14.95" hidden="1" customHeight="1" x14ac:dyDescent="0.25">
      <c r="A3478" s="141"/>
      <c r="B3478" s="514" t="s">
        <v>465</v>
      </c>
      <c r="C3478" s="514"/>
      <c r="D3478" s="514"/>
      <c r="E3478" s="514"/>
      <c r="F3478" s="514"/>
      <c r="G3478" s="514"/>
      <c r="H3478" s="514"/>
      <c r="I3478" s="514"/>
      <c r="J3478" s="426" t="s">
        <v>534</v>
      </c>
      <c r="K3478" s="427"/>
      <c r="L3478" s="427"/>
      <c r="M3478" s="427"/>
      <c r="N3478" s="427"/>
      <c r="O3478" s="427"/>
      <c r="P3478" s="427"/>
      <c r="Q3478" s="427"/>
      <c r="R3478" s="427"/>
      <c r="S3478" s="427"/>
      <c r="T3478" s="427"/>
      <c r="U3478" s="427"/>
      <c r="V3478" s="427"/>
      <c r="W3478" s="427"/>
      <c r="X3478" s="427"/>
      <c r="Y3478" s="427"/>
      <c r="Z3478" s="427"/>
      <c r="AA3478" s="427"/>
      <c r="AB3478" s="427"/>
      <c r="AC3478" s="427"/>
      <c r="AD3478" s="427"/>
      <c r="AE3478" s="427"/>
      <c r="AF3478" s="427"/>
      <c r="AG3478" s="427"/>
      <c r="AH3478" s="427"/>
      <c r="AI3478" s="427"/>
      <c r="AJ3478" s="427"/>
      <c r="AK3478" s="427"/>
      <c r="AL3478" s="427"/>
      <c r="AM3478" s="427"/>
      <c r="AN3478" s="427"/>
      <c r="AO3478" s="427"/>
      <c r="AP3478" s="427"/>
      <c r="AQ3478" s="427"/>
      <c r="AR3478" s="427"/>
      <c r="AS3478" s="427"/>
      <c r="AT3478" s="427"/>
      <c r="AU3478" s="427"/>
      <c r="AV3478" s="427"/>
      <c r="AW3478" s="427"/>
      <c r="AX3478" s="427"/>
      <c r="AY3478" s="427"/>
      <c r="AZ3478" s="427"/>
      <c r="BA3478" s="427"/>
      <c r="BB3478" s="427"/>
      <c r="BC3478" s="427"/>
      <c r="BD3478" s="427"/>
      <c r="BE3478" s="427"/>
      <c r="BF3478" s="427"/>
      <c r="BG3478" s="427"/>
      <c r="BH3478" s="428"/>
      <c r="BI3478" s="423">
        <f>+SUM(BI3474:BQ3477)</f>
        <v>0</v>
      </c>
      <c r="BJ3478" s="424"/>
      <c r="BK3478" s="490"/>
      <c r="BL3478" s="490"/>
      <c r="BM3478" s="490"/>
      <c r="BN3478" s="490"/>
      <c r="BO3478" s="490"/>
      <c r="BP3478" s="490"/>
      <c r="BQ3478" s="491"/>
      <c r="BR3478" s="423">
        <f>+SUM(BR3474:BZ3477)</f>
        <v>0</v>
      </c>
      <c r="BS3478" s="424"/>
      <c r="BT3478" s="424"/>
      <c r="BU3478" s="424"/>
      <c r="BV3478" s="424"/>
      <c r="BW3478" s="424"/>
      <c r="BX3478" s="424"/>
      <c r="BY3478" s="424"/>
      <c r="BZ3478" s="425"/>
      <c r="CA3478" s="270"/>
      <c r="CB3478" s="3" t="str">
        <f t="shared" si="631"/>
        <v>Riadok bude skrytý.</v>
      </c>
      <c r="CC3478" s="271" t="s">
        <v>832</v>
      </c>
      <c r="CW3478" s="32">
        <f t="shared" si="633"/>
        <v>0</v>
      </c>
      <c r="CZ3478" s="30">
        <f t="shared" si="632"/>
        <v>1</v>
      </c>
      <c r="DA3478" s="30">
        <f t="shared" si="630"/>
        <v>0</v>
      </c>
      <c r="DB3478" s="2">
        <f t="shared" si="629"/>
        <v>0</v>
      </c>
      <c r="DS3478" s="130">
        <f>SI!BY3478</f>
        <v>179</v>
      </c>
      <c r="DZ3478" s="131">
        <f>SI!BZ3478</f>
        <v>0</v>
      </c>
    </row>
    <row r="3479" spans="1:130" ht="14.95" hidden="1" customHeight="1" x14ac:dyDescent="0.25">
      <c r="A3479" s="141"/>
      <c r="B3479" s="514"/>
      <c r="C3479" s="514"/>
      <c r="D3479" s="514"/>
      <c r="E3479" s="514"/>
      <c r="F3479" s="514"/>
      <c r="G3479" s="514"/>
      <c r="H3479" s="514"/>
      <c r="I3479" s="514"/>
      <c r="J3479" s="426" t="s">
        <v>439</v>
      </c>
      <c r="K3479" s="427"/>
      <c r="L3479" s="427"/>
      <c r="M3479" s="427"/>
      <c r="N3479" s="427"/>
      <c r="O3479" s="427"/>
      <c r="P3479" s="427"/>
      <c r="Q3479" s="427"/>
      <c r="R3479" s="427"/>
      <c r="S3479" s="427"/>
      <c r="T3479" s="427"/>
      <c r="U3479" s="427"/>
      <c r="V3479" s="427"/>
      <c r="W3479" s="427"/>
      <c r="X3479" s="427"/>
      <c r="Y3479" s="427"/>
      <c r="Z3479" s="427"/>
      <c r="AA3479" s="427"/>
      <c r="AB3479" s="427"/>
      <c r="AC3479" s="427"/>
      <c r="AD3479" s="427"/>
      <c r="AE3479" s="427"/>
      <c r="AF3479" s="427"/>
      <c r="AG3479" s="427"/>
      <c r="AH3479" s="427"/>
      <c r="AI3479" s="427"/>
      <c r="AJ3479" s="427"/>
      <c r="AK3479" s="427"/>
      <c r="AL3479" s="427"/>
      <c r="AM3479" s="427"/>
      <c r="AN3479" s="427"/>
      <c r="AO3479" s="427"/>
      <c r="AP3479" s="427"/>
      <c r="AQ3479" s="427"/>
      <c r="AR3479" s="427"/>
      <c r="AS3479" s="427"/>
      <c r="AT3479" s="427"/>
      <c r="AU3479" s="427"/>
      <c r="AV3479" s="427"/>
      <c r="AW3479" s="427"/>
      <c r="AX3479" s="427"/>
      <c r="AY3479" s="427"/>
      <c r="AZ3479" s="427"/>
      <c r="BA3479" s="427"/>
      <c r="BB3479" s="427"/>
      <c r="BC3479" s="427"/>
      <c r="BD3479" s="427"/>
      <c r="BE3479" s="427"/>
      <c r="BF3479" s="427"/>
      <c r="BG3479" s="427"/>
      <c r="BH3479" s="428"/>
      <c r="BI3479" s="499"/>
      <c r="BJ3479" s="500"/>
      <c r="BK3479" s="1480"/>
      <c r="BL3479" s="1480"/>
      <c r="BM3479" s="1480"/>
      <c r="BN3479" s="1480"/>
      <c r="BO3479" s="1480"/>
      <c r="BP3479" s="1480"/>
      <c r="BQ3479" s="1481"/>
      <c r="BR3479" s="499"/>
      <c r="BS3479" s="500"/>
      <c r="BT3479" s="500"/>
      <c r="BU3479" s="500"/>
      <c r="BV3479" s="500"/>
      <c r="BW3479" s="500"/>
      <c r="BX3479" s="500"/>
      <c r="BY3479" s="500"/>
      <c r="BZ3479" s="501"/>
      <c r="CA3479" s="265" t="s">
        <v>773</v>
      </c>
      <c r="CB3479" s="3" t="str">
        <f t="shared" si="631"/>
        <v>Riadok bude skrytý.</v>
      </c>
      <c r="CC3479" s="271" t="s">
        <v>832</v>
      </c>
      <c r="CW3479" s="32">
        <f t="shared" si="633"/>
        <v>0</v>
      </c>
      <c r="CZ3479" s="30">
        <f t="shared" si="632"/>
        <v>1</v>
      </c>
      <c r="DA3479" s="30">
        <f t="shared" si="630"/>
        <v>0</v>
      </c>
      <c r="DB3479" s="2">
        <f t="shared" si="629"/>
        <v>0</v>
      </c>
      <c r="DS3479" s="130">
        <f>SI!BY3479</f>
        <v>151</v>
      </c>
      <c r="DZ3479" s="131">
        <f>SI!BZ3479</f>
        <v>0</v>
      </c>
    </row>
    <row r="3480" spans="1:130" ht="14.95" hidden="1" customHeight="1" x14ac:dyDescent="0.25">
      <c r="A3480" s="141"/>
      <c r="B3480" s="1485" t="s">
        <v>467</v>
      </c>
      <c r="C3480" s="1485"/>
      <c r="D3480" s="1485"/>
      <c r="E3480" s="1485"/>
      <c r="F3480" s="1485"/>
      <c r="G3480" s="1485"/>
      <c r="H3480" s="1485"/>
      <c r="I3480" s="1485"/>
      <c r="J3480" s="1406" t="s">
        <v>535</v>
      </c>
      <c r="K3480" s="1407"/>
      <c r="L3480" s="1407"/>
      <c r="M3480" s="1407"/>
      <c r="N3480" s="1407"/>
      <c r="O3480" s="1407"/>
      <c r="P3480" s="1407"/>
      <c r="Q3480" s="1407"/>
      <c r="R3480" s="1407"/>
      <c r="S3480" s="1407"/>
      <c r="T3480" s="1407"/>
      <c r="U3480" s="1407"/>
      <c r="V3480" s="1407"/>
      <c r="W3480" s="1407"/>
      <c r="X3480" s="1407"/>
      <c r="Y3480" s="1407"/>
      <c r="Z3480" s="1407"/>
      <c r="AA3480" s="1407"/>
      <c r="AB3480" s="1407"/>
      <c r="AC3480" s="1407"/>
      <c r="AD3480" s="1407"/>
      <c r="AE3480" s="1407"/>
      <c r="AF3480" s="1407"/>
      <c r="AG3480" s="1407"/>
      <c r="AH3480" s="1407"/>
      <c r="AI3480" s="1407"/>
      <c r="AJ3480" s="1407"/>
      <c r="AK3480" s="1407"/>
      <c r="AL3480" s="1407"/>
      <c r="AM3480" s="1407"/>
      <c r="AN3480" s="1407"/>
      <c r="AO3480" s="1407"/>
      <c r="AP3480" s="1407"/>
      <c r="AQ3480" s="1407"/>
      <c r="AR3480" s="1407"/>
      <c r="AS3480" s="1407"/>
      <c r="AT3480" s="1407"/>
      <c r="AU3480" s="1407"/>
      <c r="AV3480" s="1407"/>
      <c r="AW3480" s="1407"/>
      <c r="AX3480" s="1407"/>
      <c r="AY3480" s="1407"/>
      <c r="AZ3480" s="1407"/>
      <c r="BA3480" s="1407"/>
      <c r="BB3480" s="1407"/>
      <c r="BC3480" s="1407"/>
      <c r="BD3480" s="1407"/>
      <c r="BE3480" s="1407"/>
      <c r="BF3480" s="1407"/>
      <c r="BG3480" s="1407"/>
      <c r="BH3480" s="1408"/>
      <c r="BI3480" s="1228"/>
      <c r="BJ3480" s="503"/>
      <c r="BK3480" s="1404"/>
      <c r="BL3480" s="1404"/>
      <c r="BM3480" s="1404"/>
      <c r="BN3480" s="1404"/>
      <c r="BO3480" s="1404"/>
      <c r="BP3480" s="1404"/>
      <c r="BQ3480" s="1405"/>
      <c r="BR3480" s="502"/>
      <c r="BS3480" s="503"/>
      <c r="BT3480" s="503"/>
      <c r="BU3480" s="503"/>
      <c r="BV3480" s="503"/>
      <c r="BW3480" s="503"/>
      <c r="BX3480" s="503"/>
      <c r="BY3480" s="503"/>
      <c r="BZ3480" s="504"/>
      <c r="CA3480" s="265"/>
      <c r="CB3480" s="3" t="str">
        <f t="shared" si="631"/>
        <v>Riadok bude skrytý.</v>
      </c>
      <c r="CC3480" s="271" t="s">
        <v>832</v>
      </c>
      <c r="CW3480" s="32">
        <f t="shared" si="633"/>
        <v>0</v>
      </c>
      <c r="CZ3480" s="30">
        <f t="shared" si="632"/>
        <v>1</v>
      </c>
      <c r="DA3480" s="30">
        <f t="shared" si="630"/>
        <v>0</v>
      </c>
      <c r="DB3480" s="2">
        <f t="shared" si="629"/>
        <v>0</v>
      </c>
      <c r="DS3480" s="130">
        <f>SI!BY3480</f>
        <v>344</v>
      </c>
      <c r="DZ3480" s="131">
        <f>SI!BZ3480</f>
        <v>0</v>
      </c>
    </row>
    <row r="3481" spans="1:130" ht="14.95" hidden="1" customHeight="1" x14ac:dyDescent="0.25">
      <c r="A3481" s="141"/>
      <c r="B3481" s="1380" t="s">
        <v>468</v>
      </c>
      <c r="C3481" s="1380"/>
      <c r="D3481" s="1380"/>
      <c r="E3481" s="1380"/>
      <c r="F3481" s="1380"/>
      <c r="G3481" s="1380"/>
      <c r="H3481" s="1380"/>
      <c r="I3481" s="1380"/>
      <c r="J3481" s="429" t="s">
        <v>536</v>
      </c>
      <c r="K3481" s="430"/>
      <c r="L3481" s="430"/>
      <c r="M3481" s="430"/>
      <c r="N3481" s="430"/>
      <c r="O3481" s="430"/>
      <c r="P3481" s="430"/>
      <c r="Q3481" s="430"/>
      <c r="R3481" s="430"/>
      <c r="S3481" s="430"/>
      <c r="T3481" s="430"/>
      <c r="U3481" s="430"/>
      <c r="V3481" s="430"/>
      <c r="W3481" s="430"/>
      <c r="X3481" s="430"/>
      <c r="Y3481" s="430"/>
      <c r="Z3481" s="430"/>
      <c r="AA3481" s="430"/>
      <c r="AB3481" s="430"/>
      <c r="AC3481" s="430"/>
      <c r="AD3481" s="430"/>
      <c r="AE3481" s="430"/>
      <c r="AF3481" s="430"/>
      <c r="AG3481" s="430"/>
      <c r="AH3481" s="430"/>
      <c r="AI3481" s="430"/>
      <c r="AJ3481" s="430"/>
      <c r="AK3481" s="430"/>
      <c r="AL3481" s="430"/>
      <c r="AM3481" s="430"/>
      <c r="AN3481" s="430"/>
      <c r="AO3481" s="430"/>
      <c r="AP3481" s="430"/>
      <c r="AQ3481" s="430"/>
      <c r="AR3481" s="430"/>
      <c r="AS3481" s="430"/>
      <c r="AT3481" s="430"/>
      <c r="AU3481" s="430"/>
      <c r="AV3481" s="430"/>
      <c r="AW3481" s="430"/>
      <c r="AX3481" s="430"/>
      <c r="AY3481" s="430"/>
      <c r="AZ3481" s="430"/>
      <c r="BA3481" s="430"/>
      <c r="BB3481" s="430"/>
      <c r="BC3481" s="430"/>
      <c r="BD3481" s="430"/>
      <c r="BE3481" s="430"/>
      <c r="BF3481" s="430"/>
      <c r="BG3481" s="430"/>
      <c r="BH3481" s="431"/>
      <c r="BI3481" s="511"/>
      <c r="BJ3481" s="482"/>
      <c r="BK3481" s="512"/>
      <c r="BL3481" s="512"/>
      <c r="BM3481" s="512"/>
      <c r="BN3481" s="512"/>
      <c r="BO3481" s="512"/>
      <c r="BP3481" s="512"/>
      <c r="BQ3481" s="513"/>
      <c r="BR3481" s="475"/>
      <c r="BS3481" s="482"/>
      <c r="BT3481" s="482"/>
      <c r="BU3481" s="482"/>
      <c r="BV3481" s="482"/>
      <c r="BW3481" s="482"/>
      <c r="BX3481" s="482"/>
      <c r="BY3481" s="482"/>
      <c r="BZ3481" s="483"/>
      <c r="CA3481" s="270"/>
      <c r="CB3481" s="3" t="str">
        <f t="shared" si="631"/>
        <v>Riadok bude skrytý.</v>
      </c>
      <c r="CC3481" s="271" t="s">
        <v>832</v>
      </c>
      <c r="CW3481" s="32">
        <f t="shared" si="633"/>
        <v>0</v>
      </c>
      <c r="CZ3481" s="30">
        <f t="shared" si="632"/>
        <v>1</v>
      </c>
      <c r="DA3481" s="30">
        <f t="shared" si="630"/>
        <v>0</v>
      </c>
      <c r="DB3481" s="2">
        <f t="shared" si="629"/>
        <v>0</v>
      </c>
      <c r="DS3481" s="130">
        <f>SI!BY3481</f>
        <v>169</v>
      </c>
      <c r="DZ3481" s="131">
        <f>SI!BZ3481</f>
        <v>0</v>
      </c>
    </row>
    <row r="3482" spans="1:130" ht="41.3" hidden="1" customHeight="1" x14ac:dyDescent="0.25">
      <c r="A3482" s="141"/>
      <c r="B3482" s="1380" t="s">
        <v>469</v>
      </c>
      <c r="C3482" s="1380"/>
      <c r="D3482" s="1380"/>
      <c r="E3482" s="1380"/>
      <c r="F3482" s="1380"/>
      <c r="G3482" s="1380"/>
      <c r="H3482" s="1380"/>
      <c r="I3482" s="1380"/>
      <c r="J3482" s="429" t="s">
        <v>537</v>
      </c>
      <c r="K3482" s="430"/>
      <c r="L3482" s="430"/>
      <c r="M3482" s="430"/>
      <c r="N3482" s="430"/>
      <c r="O3482" s="430"/>
      <c r="P3482" s="430"/>
      <c r="Q3482" s="430"/>
      <c r="R3482" s="430"/>
      <c r="S3482" s="430"/>
      <c r="T3482" s="430"/>
      <c r="U3482" s="430"/>
      <c r="V3482" s="430"/>
      <c r="W3482" s="430"/>
      <c r="X3482" s="430"/>
      <c r="Y3482" s="430"/>
      <c r="Z3482" s="430"/>
      <c r="AA3482" s="430"/>
      <c r="AB3482" s="430"/>
      <c r="AC3482" s="430"/>
      <c r="AD3482" s="430"/>
      <c r="AE3482" s="430"/>
      <c r="AF3482" s="430"/>
      <c r="AG3482" s="430"/>
      <c r="AH3482" s="430"/>
      <c r="AI3482" s="430"/>
      <c r="AJ3482" s="430"/>
      <c r="AK3482" s="430"/>
      <c r="AL3482" s="430"/>
      <c r="AM3482" s="430"/>
      <c r="AN3482" s="430"/>
      <c r="AO3482" s="430"/>
      <c r="AP3482" s="430"/>
      <c r="AQ3482" s="430"/>
      <c r="AR3482" s="430"/>
      <c r="AS3482" s="430"/>
      <c r="AT3482" s="430"/>
      <c r="AU3482" s="430"/>
      <c r="AV3482" s="430"/>
      <c r="AW3482" s="430"/>
      <c r="AX3482" s="430"/>
      <c r="AY3482" s="430"/>
      <c r="AZ3482" s="430"/>
      <c r="BA3482" s="430"/>
      <c r="BB3482" s="430"/>
      <c r="BC3482" s="430"/>
      <c r="BD3482" s="430"/>
      <c r="BE3482" s="430"/>
      <c r="BF3482" s="430"/>
      <c r="BG3482" s="430"/>
      <c r="BH3482" s="431"/>
      <c r="BI3482" s="511"/>
      <c r="BJ3482" s="482"/>
      <c r="BK3482" s="512"/>
      <c r="BL3482" s="512"/>
      <c r="BM3482" s="512"/>
      <c r="BN3482" s="512"/>
      <c r="BO3482" s="512"/>
      <c r="BP3482" s="512"/>
      <c r="BQ3482" s="513"/>
      <c r="BR3482" s="475"/>
      <c r="BS3482" s="482"/>
      <c r="BT3482" s="482"/>
      <c r="BU3482" s="482"/>
      <c r="BV3482" s="482"/>
      <c r="BW3482" s="482"/>
      <c r="BX3482" s="482"/>
      <c r="BY3482" s="482"/>
      <c r="BZ3482" s="483"/>
      <c r="CA3482" s="270"/>
      <c r="CB3482" s="3" t="str">
        <f t="shared" si="631"/>
        <v>Riadok bude skrytý.</v>
      </c>
      <c r="CC3482" s="271" t="s">
        <v>832</v>
      </c>
      <c r="CW3482" s="32">
        <f t="shared" ref="CW3482:CW3513" si="634">+IF($BJ$3447="nezostavila.",0,IF($AR$3448="nepriamej",0,1))</f>
        <v>0</v>
      </c>
      <c r="CZ3482" s="30">
        <f t="shared" si="632"/>
        <v>1</v>
      </c>
      <c r="DA3482" s="30">
        <f t="shared" si="630"/>
        <v>0</v>
      </c>
      <c r="DB3482" s="2">
        <f t="shared" si="629"/>
        <v>0</v>
      </c>
      <c r="DS3482" s="130">
        <f>SI!BY3482</f>
        <v>858</v>
      </c>
      <c r="DZ3482" s="131">
        <f>SI!BZ3482</f>
        <v>0</v>
      </c>
    </row>
    <row r="3483" spans="1:130" ht="14.95" hidden="1" customHeight="1" x14ac:dyDescent="0.25">
      <c r="A3483" s="141"/>
      <c r="B3483" s="1380" t="s">
        <v>470</v>
      </c>
      <c r="C3483" s="1380"/>
      <c r="D3483" s="1380"/>
      <c r="E3483" s="1380"/>
      <c r="F3483" s="1380"/>
      <c r="G3483" s="1380"/>
      <c r="H3483" s="1380"/>
      <c r="I3483" s="1380"/>
      <c r="J3483" s="429" t="s">
        <v>538</v>
      </c>
      <c r="K3483" s="430"/>
      <c r="L3483" s="430"/>
      <c r="M3483" s="430"/>
      <c r="N3483" s="430"/>
      <c r="O3483" s="430"/>
      <c r="P3483" s="430"/>
      <c r="Q3483" s="430"/>
      <c r="R3483" s="430"/>
      <c r="S3483" s="430"/>
      <c r="T3483" s="430"/>
      <c r="U3483" s="430"/>
      <c r="V3483" s="430"/>
      <c r="W3483" s="430"/>
      <c r="X3483" s="430"/>
      <c r="Y3483" s="430"/>
      <c r="Z3483" s="430"/>
      <c r="AA3483" s="430"/>
      <c r="AB3483" s="430"/>
      <c r="AC3483" s="430"/>
      <c r="AD3483" s="430"/>
      <c r="AE3483" s="430"/>
      <c r="AF3483" s="430"/>
      <c r="AG3483" s="430"/>
      <c r="AH3483" s="430"/>
      <c r="AI3483" s="430"/>
      <c r="AJ3483" s="430"/>
      <c r="AK3483" s="430"/>
      <c r="AL3483" s="430"/>
      <c r="AM3483" s="430"/>
      <c r="AN3483" s="430"/>
      <c r="AO3483" s="430"/>
      <c r="AP3483" s="430"/>
      <c r="AQ3483" s="430"/>
      <c r="AR3483" s="430"/>
      <c r="AS3483" s="430"/>
      <c r="AT3483" s="430"/>
      <c r="AU3483" s="430"/>
      <c r="AV3483" s="430"/>
      <c r="AW3483" s="430"/>
      <c r="AX3483" s="430"/>
      <c r="AY3483" s="430"/>
      <c r="AZ3483" s="430"/>
      <c r="BA3483" s="430"/>
      <c r="BB3483" s="430"/>
      <c r="BC3483" s="430"/>
      <c r="BD3483" s="430"/>
      <c r="BE3483" s="430"/>
      <c r="BF3483" s="430"/>
      <c r="BG3483" s="430"/>
      <c r="BH3483" s="431"/>
      <c r="BI3483" s="511"/>
      <c r="BJ3483" s="482"/>
      <c r="BK3483" s="512"/>
      <c r="BL3483" s="512"/>
      <c r="BM3483" s="512"/>
      <c r="BN3483" s="512"/>
      <c r="BO3483" s="512"/>
      <c r="BP3483" s="512"/>
      <c r="BQ3483" s="513"/>
      <c r="BR3483" s="475"/>
      <c r="BS3483" s="482"/>
      <c r="BT3483" s="482"/>
      <c r="BU3483" s="482"/>
      <c r="BV3483" s="482"/>
      <c r="BW3483" s="482"/>
      <c r="BX3483" s="482"/>
      <c r="BY3483" s="482"/>
      <c r="BZ3483" s="483"/>
      <c r="CA3483" s="270"/>
      <c r="CB3483" s="3" t="str">
        <f t="shared" si="631"/>
        <v>Riadok bude skrytý.</v>
      </c>
      <c r="CC3483" s="271" t="s">
        <v>832</v>
      </c>
      <c r="CW3483" s="32">
        <f t="shared" si="634"/>
        <v>0</v>
      </c>
      <c r="CZ3483" s="30">
        <f t="shared" si="632"/>
        <v>1</v>
      </c>
      <c r="DA3483" s="30">
        <f t="shared" si="630"/>
        <v>0</v>
      </c>
      <c r="DB3483" s="2">
        <f t="shared" si="629"/>
        <v>0</v>
      </c>
      <c r="DS3483" s="130">
        <f>SI!BY3483</f>
        <v>133</v>
      </c>
      <c r="DZ3483" s="131">
        <f>SI!BZ3483</f>
        <v>0</v>
      </c>
    </row>
    <row r="3484" spans="1:130" ht="14.95" hidden="1" customHeight="1" x14ac:dyDescent="0.25">
      <c r="A3484" s="141"/>
      <c r="B3484" s="1380" t="s">
        <v>471</v>
      </c>
      <c r="C3484" s="1380"/>
      <c r="D3484" s="1380"/>
      <c r="E3484" s="1380"/>
      <c r="F3484" s="1380"/>
      <c r="G3484" s="1380"/>
      <c r="H3484" s="1380"/>
      <c r="I3484" s="1380"/>
      <c r="J3484" s="429" t="s">
        <v>539</v>
      </c>
      <c r="K3484" s="430"/>
      <c r="L3484" s="430"/>
      <c r="M3484" s="430"/>
      <c r="N3484" s="430"/>
      <c r="O3484" s="430"/>
      <c r="P3484" s="430"/>
      <c r="Q3484" s="430"/>
      <c r="R3484" s="430"/>
      <c r="S3484" s="430"/>
      <c r="T3484" s="430"/>
      <c r="U3484" s="430"/>
      <c r="V3484" s="430"/>
      <c r="W3484" s="430"/>
      <c r="X3484" s="430"/>
      <c r="Y3484" s="430"/>
      <c r="Z3484" s="430"/>
      <c r="AA3484" s="430"/>
      <c r="AB3484" s="430"/>
      <c r="AC3484" s="430"/>
      <c r="AD3484" s="430"/>
      <c r="AE3484" s="430"/>
      <c r="AF3484" s="430"/>
      <c r="AG3484" s="430"/>
      <c r="AH3484" s="430"/>
      <c r="AI3484" s="430"/>
      <c r="AJ3484" s="430"/>
      <c r="AK3484" s="430"/>
      <c r="AL3484" s="430"/>
      <c r="AM3484" s="430"/>
      <c r="AN3484" s="430"/>
      <c r="AO3484" s="430"/>
      <c r="AP3484" s="430"/>
      <c r="AQ3484" s="430"/>
      <c r="AR3484" s="430"/>
      <c r="AS3484" s="430"/>
      <c r="AT3484" s="430"/>
      <c r="AU3484" s="430"/>
      <c r="AV3484" s="430"/>
      <c r="AW3484" s="430"/>
      <c r="AX3484" s="430"/>
      <c r="AY3484" s="430"/>
      <c r="AZ3484" s="430"/>
      <c r="BA3484" s="430"/>
      <c r="BB3484" s="430"/>
      <c r="BC3484" s="430"/>
      <c r="BD3484" s="430"/>
      <c r="BE3484" s="430"/>
      <c r="BF3484" s="430"/>
      <c r="BG3484" s="430"/>
      <c r="BH3484" s="431"/>
      <c r="BI3484" s="511"/>
      <c r="BJ3484" s="482"/>
      <c r="BK3484" s="512"/>
      <c r="BL3484" s="512"/>
      <c r="BM3484" s="512"/>
      <c r="BN3484" s="512"/>
      <c r="BO3484" s="512"/>
      <c r="BP3484" s="512"/>
      <c r="BQ3484" s="513"/>
      <c r="BR3484" s="475"/>
      <c r="BS3484" s="482"/>
      <c r="BT3484" s="482"/>
      <c r="BU3484" s="482"/>
      <c r="BV3484" s="482"/>
      <c r="BW3484" s="482"/>
      <c r="BX3484" s="482"/>
      <c r="BY3484" s="482"/>
      <c r="BZ3484" s="483"/>
      <c r="CA3484" s="270"/>
      <c r="CB3484" s="3" t="str">
        <f t="shared" si="631"/>
        <v>Riadok bude skrytý.</v>
      </c>
      <c r="CC3484" s="271" t="s">
        <v>832</v>
      </c>
      <c r="CW3484" s="32">
        <f t="shared" si="634"/>
        <v>0</v>
      </c>
      <c r="CZ3484" s="30">
        <f t="shared" si="632"/>
        <v>1</v>
      </c>
      <c r="DA3484" s="30">
        <f t="shared" si="630"/>
        <v>0</v>
      </c>
      <c r="DB3484" s="2">
        <f t="shared" si="629"/>
        <v>0</v>
      </c>
      <c r="DS3484" s="130">
        <f>SI!BY3484</f>
        <v>279</v>
      </c>
      <c r="DZ3484" s="131">
        <f>SI!BZ3484</f>
        <v>0</v>
      </c>
    </row>
    <row r="3485" spans="1:130" ht="50.95" hidden="1" customHeight="1" x14ac:dyDescent="0.25">
      <c r="A3485" s="141"/>
      <c r="B3485" s="1380" t="s">
        <v>472</v>
      </c>
      <c r="C3485" s="1380"/>
      <c r="D3485" s="1380"/>
      <c r="E3485" s="1380"/>
      <c r="F3485" s="1380"/>
      <c r="G3485" s="1380"/>
      <c r="H3485" s="1380"/>
      <c r="I3485" s="1380"/>
      <c r="J3485" s="429" t="s">
        <v>540</v>
      </c>
      <c r="K3485" s="430"/>
      <c r="L3485" s="430"/>
      <c r="M3485" s="430"/>
      <c r="N3485" s="430"/>
      <c r="O3485" s="430"/>
      <c r="P3485" s="430"/>
      <c r="Q3485" s="430"/>
      <c r="R3485" s="430"/>
      <c r="S3485" s="430"/>
      <c r="T3485" s="430"/>
      <c r="U3485" s="430"/>
      <c r="V3485" s="430"/>
      <c r="W3485" s="430"/>
      <c r="X3485" s="430"/>
      <c r="Y3485" s="430"/>
      <c r="Z3485" s="430"/>
      <c r="AA3485" s="430"/>
      <c r="AB3485" s="430"/>
      <c r="AC3485" s="430"/>
      <c r="AD3485" s="430"/>
      <c r="AE3485" s="430"/>
      <c r="AF3485" s="430"/>
      <c r="AG3485" s="430"/>
      <c r="AH3485" s="430"/>
      <c r="AI3485" s="430"/>
      <c r="AJ3485" s="430"/>
      <c r="AK3485" s="430"/>
      <c r="AL3485" s="430"/>
      <c r="AM3485" s="430"/>
      <c r="AN3485" s="430"/>
      <c r="AO3485" s="430"/>
      <c r="AP3485" s="430"/>
      <c r="AQ3485" s="430"/>
      <c r="AR3485" s="430"/>
      <c r="AS3485" s="430"/>
      <c r="AT3485" s="430"/>
      <c r="AU3485" s="430"/>
      <c r="AV3485" s="430"/>
      <c r="AW3485" s="430"/>
      <c r="AX3485" s="430"/>
      <c r="AY3485" s="430"/>
      <c r="AZ3485" s="430"/>
      <c r="BA3485" s="430"/>
      <c r="BB3485" s="430"/>
      <c r="BC3485" s="430"/>
      <c r="BD3485" s="430"/>
      <c r="BE3485" s="430"/>
      <c r="BF3485" s="430"/>
      <c r="BG3485" s="430"/>
      <c r="BH3485" s="431"/>
      <c r="BI3485" s="511"/>
      <c r="BJ3485" s="482"/>
      <c r="BK3485" s="512"/>
      <c r="BL3485" s="512"/>
      <c r="BM3485" s="512"/>
      <c r="BN3485" s="512"/>
      <c r="BO3485" s="512"/>
      <c r="BP3485" s="512"/>
      <c r="BQ3485" s="513"/>
      <c r="BR3485" s="475"/>
      <c r="BS3485" s="482"/>
      <c r="BT3485" s="482"/>
      <c r="BU3485" s="482"/>
      <c r="BV3485" s="482"/>
      <c r="BW3485" s="482"/>
      <c r="BX3485" s="482"/>
      <c r="BY3485" s="482"/>
      <c r="BZ3485" s="483"/>
      <c r="CA3485" s="270"/>
      <c r="CB3485" s="3" t="str">
        <f t="shared" si="631"/>
        <v>Riadok bude skrytý.</v>
      </c>
      <c r="CC3485" s="271" t="s">
        <v>832</v>
      </c>
      <c r="CW3485" s="32">
        <f t="shared" si="634"/>
        <v>0</v>
      </c>
      <c r="CZ3485" s="30">
        <f t="shared" si="632"/>
        <v>1</v>
      </c>
      <c r="DA3485" s="30">
        <f t="shared" si="630"/>
        <v>0</v>
      </c>
      <c r="DB3485" s="2">
        <f t="shared" si="629"/>
        <v>0</v>
      </c>
      <c r="DS3485" s="130">
        <f>SI!BY3485</f>
        <v>112</v>
      </c>
      <c r="DZ3485" s="131">
        <f>SI!BZ3485</f>
        <v>0</v>
      </c>
    </row>
    <row r="3486" spans="1:130" ht="28.55" hidden="1" customHeight="1" x14ac:dyDescent="0.25">
      <c r="A3486" s="141"/>
      <c r="B3486" s="1380" t="s">
        <v>473</v>
      </c>
      <c r="C3486" s="1380"/>
      <c r="D3486" s="1380"/>
      <c r="E3486" s="1380"/>
      <c r="F3486" s="1380"/>
      <c r="G3486" s="1380"/>
      <c r="H3486" s="1380"/>
      <c r="I3486" s="1380"/>
      <c r="J3486" s="429" t="s">
        <v>541</v>
      </c>
      <c r="K3486" s="430"/>
      <c r="L3486" s="430"/>
      <c r="M3486" s="430"/>
      <c r="N3486" s="430"/>
      <c r="O3486" s="430"/>
      <c r="P3486" s="430"/>
      <c r="Q3486" s="430"/>
      <c r="R3486" s="430"/>
      <c r="S3486" s="430"/>
      <c r="T3486" s="430"/>
      <c r="U3486" s="430"/>
      <c r="V3486" s="430"/>
      <c r="W3486" s="430"/>
      <c r="X3486" s="430"/>
      <c r="Y3486" s="430"/>
      <c r="Z3486" s="430"/>
      <c r="AA3486" s="430"/>
      <c r="AB3486" s="430"/>
      <c r="AC3486" s="430"/>
      <c r="AD3486" s="430"/>
      <c r="AE3486" s="430"/>
      <c r="AF3486" s="430"/>
      <c r="AG3486" s="430"/>
      <c r="AH3486" s="430"/>
      <c r="AI3486" s="430"/>
      <c r="AJ3486" s="430"/>
      <c r="AK3486" s="430"/>
      <c r="AL3486" s="430"/>
      <c r="AM3486" s="430"/>
      <c r="AN3486" s="430"/>
      <c r="AO3486" s="430"/>
      <c r="AP3486" s="430"/>
      <c r="AQ3486" s="430"/>
      <c r="AR3486" s="430"/>
      <c r="AS3486" s="430"/>
      <c r="AT3486" s="430"/>
      <c r="AU3486" s="430"/>
      <c r="AV3486" s="430"/>
      <c r="AW3486" s="430"/>
      <c r="AX3486" s="430"/>
      <c r="AY3486" s="430"/>
      <c r="AZ3486" s="430"/>
      <c r="BA3486" s="430"/>
      <c r="BB3486" s="430"/>
      <c r="BC3486" s="430"/>
      <c r="BD3486" s="430"/>
      <c r="BE3486" s="430"/>
      <c r="BF3486" s="430"/>
      <c r="BG3486" s="430"/>
      <c r="BH3486" s="431"/>
      <c r="BI3486" s="511"/>
      <c r="BJ3486" s="482"/>
      <c r="BK3486" s="512"/>
      <c r="BL3486" s="512"/>
      <c r="BM3486" s="512"/>
      <c r="BN3486" s="512"/>
      <c r="BO3486" s="512"/>
      <c r="BP3486" s="512"/>
      <c r="BQ3486" s="513"/>
      <c r="BR3486" s="475"/>
      <c r="BS3486" s="482"/>
      <c r="BT3486" s="482"/>
      <c r="BU3486" s="482"/>
      <c r="BV3486" s="482"/>
      <c r="BW3486" s="482"/>
      <c r="BX3486" s="482"/>
      <c r="BY3486" s="482"/>
      <c r="BZ3486" s="483"/>
      <c r="CA3486" s="270"/>
      <c r="CB3486" s="3" t="str">
        <f t="shared" si="631"/>
        <v>Riadok bude skrytý.</v>
      </c>
      <c r="CC3486" s="271" t="s">
        <v>832</v>
      </c>
      <c r="CW3486" s="32">
        <f t="shared" si="634"/>
        <v>0</v>
      </c>
      <c r="CZ3486" s="30">
        <f t="shared" si="632"/>
        <v>1</v>
      </c>
      <c r="DA3486" s="30">
        <f t="shared" si="630"/>
        <v>0</v>
      </c>
      <c r="DB3486" s="2">
        <f t="shared" si="629"/>
        <v>0</v>
      </c>
      <c r="DS3486" s="130">
        <f>SI!BY3486</f>
        <v>874</v>
      </c>
      <c r="DZ3486" s="131">
        <f>SI!BZ3486</f>
        <v>0</v>
      </c>
    </row>
    <row r="3487" spans="1:130" ht="41.95" hidden="1" customHeight="1" x14ac:dyDescent="0.25">
      <c r="A3487" s="141"/>
      <c r="B3487" s="1380" t="s">
        <v>474</v>
      </c>
      <c r="C3487" s="1380"/>
      <c r="D3487" s="1380"/>
      <c r="E3487" s="1380"/>
      <c r="F3487" s="1380"/>
      <c r="G3487" s="1380"/>
      <c r="H3487" s="1380"/>
      <c r="I3487" s="1380"/>
      <c r="J3487" s="429" t="s">
        <v>542</v>
      </c>
      <c r="K3487" s="430"/>
      <c r="L3487" s="430"/>
      <c r="M3487" s="430"/>
      <c r="N3487" s="430"/>
      <c r="O3487" s="430"/>
      <c r="P3487" s="430"/>
      <c r="Q3487" s="430"/>
      <c r="R3487" s="430"/>
      <c r="S3487" s="430"/>
      <c r="T3487" s="430"/>
      <c r="U3487" s="430"/>
      <c r="V3487" s="430"/>
      <c r="W3487" s="430"/>
      <c r="X3487" s="430"/>
      <c r="Y3487" s="430"/>
      <c r="Z3487" s="430"/>
      <c r="AA3487" s="430"/>
      <c r="AB3487" s="430"/>
      <c r="AC3487" s="430"/>
      <c r="AD3487" s="430"/>
      <c r="AE3487" s="430"/>
      <c r="AF3487" s="430"/>
      <c r="AG3487" s="430"/>
      <c r="AH3487" s="430"/>
      <c r="AI3487" s="430"/>
      <c r="AJ3487" s="430"/>
      <c r="AK3487" s="430"/>
      <c r="AL3487" s="430"/>
      <c r="AM3487" s="430"/>
      <c r="AN3487" s="430"/>
      <c r="AO3487" s="430"/>
      <c r="AP3487" s="430"/>
      <c r="AQ3487" s="430"/>
      <c r="AR3487" s="430"/>
      <c r="AS3487" s="430"/>
      <c r="AT3487" s="430"/>
      <c r="AU3487" s="430"/>
      <c r="AV3487" s="430"/>
      <c r="AW3487" s="430"/>
      <c r="AX3487" s="430"/>
      <c r="AY3487" s="430"/>
      <c r="AZ3487" s="430"/>
      <c r="BA3487" s="430"/>
      <c r="BB3487" s="430"/>
      <c r="BC3487" s="430"/>
      <c r="BD3487" s="430"/>
      <c r="BE3487" s="430"/>
      <c r="BF3487" s="430"/>
      <c r="BG3487" s="430"/>
      <c r="BH3487" s="431"/>
      <c r="BI3487" s="511"/>
      <c r="BJ3487" s="482"/>
      <c r="BK3487" s="512"/>
      <c r="BL3487" s="512"/>
      <c r="BM3487" s="512"/>
      <c r="BN3487" s="512"/>
      <c r="BO3487" s="512"/>
      <c r="BP3487" s="512"/>
      <c r="BQ3487" s="513"/>
      <c r="BR3487" s="475"/>
      <c r="BS3487" s="482"/>
      <c r="BT3487" s="482"/>
      <c r="BU3487" s="482"/>
      <c r="BV3487" s="482"/>
      <c r="BW3487" s="482"/>
      <c r="BX3487" s="482"/>
      <c r="BY3487" s="482"/>
      <c r="BZ3487" s="483"/>
      <c r="CA3487" s="270"/>
      <c r="CB3487" s="3" t="str">
        <f t="shared" si="631"/>
        <v>Riadok bude skrytý.</v>
      </c>
      <c r="CC3487" s="271" t="s">
        <v>832</v>
      </c>
      <c r="CW3487" s="32">
        <f t="shared" si="634"/>
        <v>0</v>
      </c>
      <c r="CZ3487" s="30">
        <f t="shared" si="632"/>
        <v>1</v>
      </c>
      <c r="DA3487" s="30">
        <f t="shared" si="630"/>
        <v>0</v>
      </c>
      <c r="DB3487" s="2">
        <f t="shared" si="629"/>
        <v>0</v>
      </c>
      <c r="DS3487" s="130">
        <f>SI!BY3487</f>
        <v>126</v>
      </c>
      <c r="DZ3487" s="131">
        <f>SI!BZ3487</f>
        <v>0</v>
      </c>
    </row>
    <row r="3488" spans="1:130" ht="39.1" hidden="1" customHeight="1" x14ac:dyDescent="0.25">
      <c r="A3488" s="141"/>
      <c r="B3488" s="1380" t="s">
        <v>475</v>
      </c>
      <c r="C3488" s="1380"/>
      <c r="D3488" s="1380"/>
      <c r="E3488" s="1380"/>
      <c r="F3488" s="1380"/>
      <c r="G3488" s="1380"/>
      <c r="H3488" s="1380"/>
      <c r="I3488" s="1380"/>
      <c r="J3488" s="429" t="s">
        <v>543</v>
      </c>
      <c r="K3488" s="430"/>
      <c r="L3488" s="430"/>
      <c r="M3488" s="430"/>
      <c r="N3488" s="430"/>
      <c r="O3488" s="430"/>
      <c r="P3488" s="430"/>
      <c r="Q3488" s="430"/>
      <c r="R3488" s="430"/>
      <c r="S3488" s="430"/>
      <c r="T3488" s="430"/>
      <c r="U3488" s="430"/>
      <c r="V3488" s="430"/>
      <c r="W3488" s="430"/>
      <c r="X3488" s="430"/>
      <c r="Y3488" s="430"/>
      <c r="Z3488" s="430"/>
      <c r="AA3488" s="430"/>
      <c r="AB3488" s="430"/>
      <c r="AC3488" s="430"/>
      <c r="AD3488" s="430"/>
      <c r="AE3488" s="430"/>
      <c r="AF3488" s="430"/>
      <c r="AG3488" s="430"/>
      <c r="AH3488" s="430"/>
      <c r="AI3488" s="430"/>
      <c r="AJ3488" s="430"/>
      <c r="AK3488" s="430"/>
      <c r="AL3488" s="430"/>
      <c r="AM3488" s="430"/>
      <c r="AN3488" s="430"/>
      <c r="AO3488" s="430"/>
      <c r="AP3488" s="430"/>
      <c r="AQ3488" s="430"/>
      <c r="AR3488" s="430"/>
      <c r="AS3488" s="430"/>
      <c r="AT3488" s="430"/>
      <c r="AU3488" s="430"/>
      <c r="AV3488" s="430"/>
      <c r="AW3488" s="430"/>
      <c r="AX3488" s="430"/>
      <c r="AY3488" s="430"/>
      <c r="AZ3488" s="430"/>
      <c r="BA3488" s="430"/>
      <c r="BB3488" s="430"/>
      <c r="BC3488" s="430"/>
      <c r="BD3488" s="430"/>
      <c r="BE3488" s="430"/>
      <c r="BF3488" s="430"/>
      <c r="BG3488" s="430"/>
      <c r="BH3488" s="431"/>
      <c r="BI3488" s="511"/>
      <c r="BJ3488" s="482"/>
      <c r="BK3488" s="512"/>
      <c r="BL3488" s="512"/>
      <c r="BM3488" s="512"/>
      <c r="BN3488" s="512"/>
      <c r="BO3488" s="512"/>
      <c r="BP3488" s="512"/>
      <c r="BQ3488" s="513"/>
      <c r="BR3488" s="475"/>
      <c r="BS3488" s="482"/>
      <c r="BT3488" s="482"/>
      <c r="BU3488" s="482"/>
      <c r="BV3488" s="482"/>
      <c r="BW3488" s="482"/>
      <c r="BX3488" s="482"/>
      <c r="BY3488" s="482"/>
      <c r="BZ3488" s="483"/>
      <c r="CA3488" s="270"/>
      <c r="CB3488" s="3" t="str">
        <f t="shared" si="631"/>
        <v>Riadok bude skrytý.</v>
      </c>
      <c r="CC3488" s="271" t="s">
        <v>832</v>
      </c>
      <c r="CW3488" s="32">
        <f t="shared" si="634"/>
        <v>0</v>
      </c>
      <c r="CZ3488" s="30">
        <f t="shared" si="632"/>
        <v>1</v>
      </c>
      <c r="DA3488" s="30">
        <f t="shared" si="630"/>
        <v>0</v>
      </c>
      <c r="DB3488" s="2">
        <f t="shared" si="629"/>
        <v>0</v>
      </c>
      <c r="DS3488" s="130">
        <f>SI!BY3488</f>
        <v>531</v>
      </c>
      <c r="DZ3488" s="131">
        <f>SI!BZ3488</f>
        <v>0</v>
      </c>
    </row>
    <row r="3489" spans="1:130" ht="40.6" hidden="1" customHeight="1" x14ac:dyDescent="0.25">
      <c r="A3489" s="141"/>
      <c r="B3489" s="1380" t="s">
        <v>476</v>
      </c>
      <c r="C3489" s="1380"/>
      <c r="D3489" s="1380"/>
      <c r="E3489" s="1380"/>
      <c r="F3489" s="1380"/>
      <c r="G3489" s="1380"/>
      <c r="H3489" s="1380"/>
      <c r="I3489" s="1380"/>
      <c r="J3489" s="429" t="s">
        <v>544</v>
      </c>
      <c r="K3489" s="430"/>
      <c r="L3489" s="430"/>
      <c r="M3489" s="430"/>
      <c r="N3489" s="430"/>
      <c r="O3489" s="430"/>
      <c r="P3489" s="430"/>
      <c r="Q3489" s="430"/>
      <c r="R3489" s="430"/>
      <c r="S3489" s="430"/>
      <c r="T3489" s="430"/>
      <c r="U3489" s="430"/>
      <c r="V3489" s="430"/>
      <c r="W3489" s="430"/>
      <c r="X3489" s="430"/>
      <c r="Y3489" s="430"/>
      <c r="Z3489" s="430"/>
      <c r="AA3489" s="430"/>
      <c r="AB3489" s="430"/>
      <c r="AC3489" s="430"/>
      <c r="AD3489" s="430"/>
      <c r="AE3489" s="430"/>
      <c r="AF3489" s="430"/>
      <c r="AG3489" s="430"/>
      <c r="AH3489" s="430"/>
      <c r="AI3489" s="430"/>
      <c r="AJ3489" s="430"/>
      <c r="AK3489" s="430"/>
      <c r="AL3489" s="430"/>
      <c r="AM3489" s="430"/>
      <c r="AN3489" s="430"/>
      <c r="AO3489" s="430"/>
      <c r="AP3489" s="430"/>
      <c r="AQ3489" s="430"/>
      <c r="AR3489" s="430"/>
      <c r="AS3489" s="430"/>
      <c r="AT3489" s="430"/>
      <c r="AU3489" s="430"/>
      <c r="AV3489" s="430"/>
      <c r="AW3489" s="430"/>
      <c r="AX3489" s="430"/>
      <c r="AY3489" s="430"/>
      <c r="AZ3489" s="430"/>
      <c r="BA3489" s="430"/>
      <c r="BB3489" s="430"/>
      <c r="BC3489" s="430"/>
      <c r="BD3489" s="430"/>
      <c r="BE3489" s="430"/>
      <c r="BF3489" s="430"/>
      <c r="BG3489" s="430"/>
      <c r="BH3489" s="431"/>
      <c r="BI3489" s="511"/>
      <c r="BJ3489" s="482"/>
      <c r="BK3489" s="512"/>
      <c r="BL3489" s="512"/>
      <c r="BM3489" s="512"/>
      <c r="BN3489" s="512"/>
      <c r="BO3489" s="512"/>
      <c r="BP3489" s="512"/>
      <c r="BQ3489" s="513"/>
      <c r="BR3489" s="475"/>
      <c r="BS3489" s="482"/>
      <c r="BT3489" s="482"/>
      <c r="BU3489" s="482"/>
      <c r="BV3489" s="482"/>
      <c r="BW3489" s="482"/>
      <c r="BX3489" s="482"/>
      <c r="BY3489" s="482"/>
      <c r="BZ3489" s="483"/>
      <c r="CA3489" s="270"/>
      <c r="CB3489" s="3" t="str">
        <f t="shared" si="631"/>
        <v>Riadok bude skrytý.</v>
      </c>
      <c r="CC3489" s="271" t="s">
        <v>832</v>
      </c>
      <c r="CW3489" s="32">
        <f t="shared" si="634"/>
        <v>0</v>
      </c>
      <c r="CZ3489" s="30">
        <f t="shared" si="632"/>
        <v>1</v>
      </c>
      <c r="DA3489" s="30">
        <f t="shared" si="630"/>
        <v>0</v>
      </c>
      <c r="DB3489" s="2">
        <f t="shared" si="629"/>
        <v>0</v>
      </c>
      <c r="DS3489" s="130">
        <f>SI!BY3489</f>
        <v>116</v>
      </c>
      <c r="DZ3489" s="131">
        <f>SI!BZ3489</f>
        <v>0</v>
      </c>
    </row>
    <row r="3490" spans="1:130" ht="24.8" hidden="1" customHeight="1" x14ac:dyDescent="0.25">
      <c r="A3490" s="141"/>
      <c r="B3490" s="1380" t="s">
        <v>477</v>
      </c>
      <c r="C3490" s="1380"/>
      <c r="D3490" s="1380"/>
      <c r="E3490" s="1380"/>
      <c r="F3490" s="1380"/>
      <c r="G3490" s="1380"/>
      <c r="H3490" s="1380"/>
      <c r="I3490" s="1380"/>
      <c r="J3490" s="429" t="s">
        <v>545</v>
      </c>
      <c r="K3490" s="430"/>
      <c r="L3490" s="430"/>
      <c r="M3490" s="430"/>
      <c r="N3490" s="430"/>
      <c r="O3490" s="430"/>
      <c r="P3490" s="430"/>
      <c r="Q3490" s="430"/>
      <c r="R3490" s="430"/>
      <c r="S3490" s="430"/>
      <c r="T3490" s="430"/>
      <c r="U3490" s="430"/>
      <c r="V3490" s="430"/>
      <c r="W3490" s="430"/>
      <c r="X3490" s="430"/>
      <c r="Y3490" s="430"/>
      <c r="Z3490" s="430"/>
      <c r="AA3490" s="430"/>
      <c r="AB3490" s="430"/>
      <c r="AC3490" s="430"/>
      <c r="AD3490" s="430"/>
      <c r="AE3490" s="430"/>
      <c r="AF3490" s="430"/>
      <c r="AG3490" s="430"/>
      <c r="AH3490" s="430"/>
      <c r="AI3490" s="430"/>
      <c r="AJ3490" s="430"/>
      <c r="AK3490" s="430"/>
      <c r="AL3490" s="430"/>
      <c r="AM3490" s="430"/>
      <c r="AN3490" s="430"/>
      <c r="AO3490" s="430"/>
      <c r="AP3490" s="430"/>
      <c r="AQ3490" s="430"/>
      <c r="AR3490" s="430"/>
      <c r="AS3490" s="430"/>
      <c r="AT3490" s="430"/>
      <c r="AU3490" s="430"/>
      <c r="AV3490" s="430"/>
      <c r="AW3490" s="430"/>
      <c r="AX3490" s="430"/>
      <c r="AY3490" s="430"/>
      <c r="AZ3490" s="430"/>
      <c r="BA3490" s="430"/>
      <c r="BB3490" s="430"/>
      <c r="BC3490" s="430"/>
      <c r="BD3490" s="430"/>
      <c r="BE3490" s="430"/>
      <c r="BF3490" s="430"/>
      <c r="BG3490" s="430"/>
      <c r="BH3490" s="431"/>
      <c r="BI3490" s="511"/>
      <c r="BJ3490" s="482"/>
      <c r="BK3490" s="512"/>
      <c r="BL3490" s="512"/>
      <c r="BM3490" s="512"/>
      <c r="BN3490" s="512"/>
      <c r="BO3490" s="512"/>
      <c r="BP3490" s="512"/>
      <c r="BQ3490" s="513"/>
      <c r="BR3490" s="475"/>
      <c r="BS3490" s="482"/>
      <c r="BT3490" s="482"/>
      <c r="BU3490" s="482"/>
      <c r="BV3490" s="482"/>
      <c r="BW3490" s="482"/>
      <c r="BX3490" s="482"/>
      <c r="BY3490" s="482"/>
      <c r="BZ3490" s="483"/>
      <c r="CA3490" s="270"/>
      <c r="CB3490" s="3" t="str">
        <f t="shared" si="631"/>
        <v>Riadok bude skrytý.</v>
      </c>
      <c r="CC3490" s="271" t="s">
        <v>832</v>
      </c>
      <c r="CW3490" s="32">
        <f t="shared" si="634"/>
        <v>0</v>
      </c>
      <c r="CZ3490" s="30">
        <f t="shared" si="632"/>
        <v>1</v>
      </c>
      <c r="DA3490" s="30">
        <f t="shared" si="630"/>
        <v>0</v>
      </c>
      <c r="DB3490" s="2">
        <f t="shared" si="629"/>
        <v>0</v>
      </c>
      <c r="DS3490" s="130">
        <f>SI!BY3490</f>
        <v>814</v>
      </c>
      <c r="DZ3490" s="131">
        <f>SI!BZ3490</f>
        <v>0</v>
      </c>
    </row>
    <row r="3491" spans="1:130" ht="24.8" hidden="1" customHeight="1" x14ac:dyDescent="0.25">
      <c r="A3491" s="141"/>
      <c r="B3491" s="1380" t="s">
        <v>478</v>
      </c>
      <c r="C3491" s="1380"/>
      <c r="D3491" s="1380"/>
      <c r="E3491" s="1380"/>
      <c r="F3491" s="1380"/>
      <c r="G3491" s="1380"/>
      <c r="H3491" s="1380"/>
      <c r="I3491" s="1380"/>
      <c r="J3491" s="429" t="s">
        <v>546</v>
      </c>
      <c r="K3491" s="430"/>
      <c r="L3491" s="430"/>
      <c r="M3491" s="430"/>
      <c r="N3491" s="430"/>
      <c r="O3491" s="430"/>
      <c r="P3491" s="430"/>
      <c r="Q3491" s="430"/>
      <c r="R3491" s="430"/>
      <c r="S3491" s="430"/>
      <c r="T3491" s="430"/>
      <c r="U3491" s="430"/>
      <c r="V3491" s="430"/>
      <c r="W3491" s="430"/>
      <c r="X3491" s="430"/>
      <c r="Y3491" s="430"/>
      <c r="Z3491" s="430"/>
      <c r="AA3491" s="430"/>
      <c r="AB3491" s="430"/>
      <c r="AC3491" s="430"/>
      <c r="AD3491" s="430"/>
      <c r="AE3491" s="430"/>
      <c r="AF3491" s="430"/>
      <c r="AG3491" s="430"/>
      <c r="AH3491" s="430"/>
      <c r="AI3491" s="430"/>
      <c r="AJ3491" s="430"/>
      <c r="AK3491" s="430"/>
      <c r="AL3491" s="430"/>
      <c r="AM3491" s="430"/>
      <c r="AN3491" s="430"/>
      <c r="AO3491" s="430"/>
      <c r="AP3491" s="430"/>
      <c r="AQ3491" s="430"/>
      <c r="AR3491" s="430"/>
      <c r="AS3491" s="430"/>
      <c r="AT3491" s="430"/>
      <c r="AU3491" s="430"/>
      <c r="AV3491" s="430"/>
      <c r="AW3491" s="430"/>
      <c r="AX3491" s="430"/>
      <c r="AY3491" s="430"/>
      <c r="AZ3491" s="430"/>
      <c r="BA3491" s="430"/>
      <c r="BB3491" s="430"/>
      <c r="BC3491" s="430"/>
      <c r="BD3491" s="430"/>
      <c r="BE3491" s="430"/>
      <c r="BF3491" s="430"/>
      <c r="BG3491" s="430"/>
      <c r="BH3491" s="431"/>
      <c r="BI3491" s="511"/>
      <c r="BJ3491" s="482"/>
      <c r="BK3491" s="512"/>
      <c r="BL3491" s="512"/>
      <c r="BM3491" s="512"/>
      <c r="BN3491" s="512"/>
      <c r="BO3491" s="512"/>
      <c r="BP3491" s="512"/>
      <c r="BQ3491" s="513"/>
      <c r="BR3491" s="475"/>
      <c r="BS3491" s="482"/>
      <c r="BT3491" s="482"/>
      <c r="BU3491" s="482"/>
      <c r="BV3491" s="482"/>
      <c r="BW3491" s="482"/>
      <c r="BX3491" s="482"/>
      <c r="BY3491" s="482"/>
      <c r="BZ3491" s="483"/>
      <c r="CA3491" s="270"/>
      <c r="CB3491" s="3" t="str">
        <f t="shared" si="631"/>
        <v>Riadok bude skrytý.</v>
      </c>
      <c r="CC3491" s="271" t="s">
        <v>832</v>
      </c>
      <c r="CW3491" s="32">
        <f t="shared" si="634"/>
        <v>0</v>
      </c>
      <c r="CZ3491" s="30">
        <f t="shared" si="632"/>
        <v>1</v>
      </c>
      <c r="DA3491" s="30">
        <f t="shared" si="630"/>
        <v>0</v>
      </c>
      <c r="DB3491" s="2">
        <f t="shared" si="629"/>
        <v>0</v>
      </c>
      <c r="DS3491" s="130">
        <f>SI!BY3491</f>
        <v>128</v>
      </c>
      <c r="DZ3491" s="131">
        <f>SI!BZ3491</f>
        <v>0</v>
      </c>
    </row>
    <row r="3492" spans="1:130" ht="38.25" hidden="1" customHeight="1" x14ac:dyDescent="0.25">
      <c r="A3492" s="141"/>
      <c r="B3492" s="1380" t="s">
        <v>479</v>
      </c>
      <c r="C3492" s="1380"/>
      <c r="D3492" s="1380"/>
      <c r="E3492" s="1380"/>
      <c r="F3492" s="1380"/>
      <c r="G3492" s="1380"/>
      <c r="H3492" s="1380"/>
      <c r="I3492" s="1380"/>
      <c r="J3492" s="429" t="s">
        <v>547</v>
      </c>
      <c r="K3492" s="430"/>
      <c r="L3492" s="430"/>
      <c r="M3492" s="430"/>
      <c r="N3492" s="430"/>
      <c r="O3492" s="430"/>
      <c r="P3492" s="430"/>
      <c r="Q3492" s="430"/>
      <c r="R3492" s="430"/>
      <c r="S3492" s="430"/>
      <c r="T3492" s="430"/>
      <c r="U3492" s="430"/>
      <c r="V3492" s="430"/>
      <c r="W3492" s="430"/>
      <c r="X3492" s="430"/>
      <c r="Y3492" s="430"/>
      <c r="Z3492" s="430"/>
      <c r="AA3492" s="430"/>
      <c r="AB3492" s="430"/>
      <c r="AC3492" s="430"/>
      <c r="AD3492" s="430"/>
      <c r="AE3492" s="430"/>
      <c r="AF3492" s="430"/>
      <c r="AG3492" s="430"/>
      <c r="AH3492" s="430"/>
      <c r="AI3492" s="430"/>
      <c r="AJ3492" s="430"/>
      <c r="AK3492" s="430"/>
      <c r="AL3492" s="430"/>
      <c r="AM3492" s="430"/>
      <c r="AN3492" s="430"/>
      <c r="AO3492" s="430"/>
      <c r="AP3492" s="430"/>
      <c r="AQ3492" s="430"/>
      <c r="AR3492" s="430"/>
      <c r="AS3492" s="430"/>
      <c r="AT3492" s="430"/>
      <c r="AU3492" s="430"/>
      <c r="AV3492" s="430"/>
      <c r="AW3492" s="430"/>
      <c r="AX3492" s="430"/>
      <c r="AY3492" s="430"/>
      <c r="AZ3492" s="430"/>
      <c r="BA3492" s="430"/>
      <c r="BB3492" s="430"/>
      <c r="BC3492" s="430"/>
      <c r="BD3492" s="430"/>
      <c r="BE3492" s="430"/>
      <c r="BF3492" s="430"/>
      <c r="BG3492" s="430"/>
      <c r="BH3492" s="431"/>
      <c r="BI3492" s="511"/>
      <c r="BJ3492" s="482"/>
      <c r="BK3492" s="512"/>
      <c r="BL3492" s="512"/>
      <c r="BM3492" s="512"/>
      <c r="BN3492" s="512"/>
      <c r="BO3492" s="512"/>
      <c r="BP3492" s="512"/>
      <c r="BQ3492" s="513"/>
      <c r="BR3492" s="475"/>
      <c r="BS3492" s="482"/>
      <c r="BT3492" s="482"/>
      <c r="BU3492" s="482"/>
      <c r="BV3492" s="482"/>
      <c r="BW3492" s="482"/>
      <c r="BX3492" s="482"/>
      <c r="BY3492" s="482"/>
      <c r="BZ3492" s="483"/>
      <c r="CA3492" s="270"/>
      <c r="CB3492" s="3" t="str">
        <f t="shared" si="631"/>
        <v>Riadok bude skrytý.</v>
      </c>
      <c r="CC3492" s="271" t="s">
        <v>832</v>
      </c>
      <c r="CW3492" s="32">
        <f t="shared" si="634"/>
        <v>0</v>
      </c>
      <c r="CZ3492" s="30">
        <f t="shared" si="632"/>
        <v>1</v>
      </c>
      <c r="DA3492" s="30">
        <f t="shared" si="630"/>
        <v>0</v>
      </c>
      <c r="DB3492" s="2">
        <f t="shared" si="629"/>
        <v>0</v>
      </c>
      <c r="DS3492" s="130">
        <f>SI!BY3492</f>
        <v>98</v>
      </c>
      <c r="DZ3492" s="131">
        <f>SI!BZ3492</f>
        <v>0</v>
      </c>
    </row>
    <row r="3493" spans="1:130" ht="37.549999999999997" hidden="1" customHeight="1" x14ac:dyDescent="0.25">
      <c r="A3493" s="141"/>
      <c r="B3493" s="1380" t="s">
        <v>480</v>
      </c>
      <c r="C3493" s="1380"/>
      <c r="D3493" s="1380"/>
      <c r="E3493" s="1380"/>
      <c r="F3493" s="1380"/>
      <c r="G3493" s="1380"/>
      <c r="H3493" s="1380"/>
      <c r="I3493" s="1380"/>
      <c r="J3493" s="429" t="s">
        <v>548</v>
      </c>
      <c r="K3493" s="430"/>
      <c r="L3493" s="430"/>
      <c r="M3493" s="430"/>
      <c r="N3493" s="430"/>
      <c r="O3493" s="430"/>
      <c r="P3493" s="430"/>
      <c r="Q3493" s="430"/>
      <c r="R3493" s="430"/>
      <c r="S3493" s="430"/>
      <c r="T3493" s="430"/>
      <c r="U3493" s="430"/>
      <c r="V3493" s="430"/>
      <c r="W3493" s="430"/>
      <c r="X3493" s="430"/>
      <c r="Y3493" s="430"/>
      <c r="Z3493" s="430"/>
      <c r="AA3493" s="430"/>
      <c r="AB3493" s="430"/>
      <c r="AC3493" s="430"/>
      <c r="AD3493" s="430"/>
      <c r="AE3493" s="430"/>
      <c r="AF3493" s="430"/>
      <c r="AG3493" s="430"/>
      <c r="AH3493" s="430"/>
      <c r="AI3493" s="430"/>
      <c r="AJ3493" s="430"/>
      <c r="AK3493" s="430"/>
      <c r="AL3493" s="430"/>
      <c r="AM3493" s="430"/>
      <c r="AN3493" s="430"/>
      <c r="AO3493" s="430"/>
      <c r="AP3493" s="430"/>
      <c r="AQ3493" s="430"/>
      <c r="AR3493" s="430"/>
      <c r="AS3493" s="430"/>
      <c r="AT3493" s="430"/>
      <c r="AU3493" s="430"/>
      <c r="AV3493" s="430"/>
      <c r="AW3493" s="430"/>
      <c r="AX3493" s="430"/>
      <c r="AY3493" s="430"/>
      <c r="AZ3493" s="430"/>
      <c r="BA3493" s="430"/>
      <c r="BB3493" s="430"/>
      <c r="BC3493" s="430"/>
      <c r="BD3493" s="430"/>
      <c r="BE3493" s="430"/>
      <c r="BF3493" s="430"/>
      <c r="BG3493" s="430"/>
      <c r="BH3493" s="431"/>
      <c r="BI3493" s="511"/>
      <c r="BJ3493" s="482"/>
      <c r="BK3493" s="512"/>
      <c r="BL3493" s="512"/>
      <c r="BM3493" s="512"/>
      <c r="BN3493" s="512"/>
      <c r="BO3493" s="512"/>
      <c r="BP3493" s="512"/>
      <c r="BQ3493" s="513"/>
      <c r="BR3493" s="475"/>
      <c r="BS3493" s="482"/>
      <c r="BT3493" s="482"/>
      <c r="BU3493" s="482"/>
      <c r="BV3493" s="482"/>
      <c r="BW3493" s="482"/>
      <c r="BX3493" s="482"/>
      <c r="BY3493" s="482"/>
      <c r="BZ3493" s="483"/>
      <c r="CA3493" s="270"/>
      <c r="CB3493" s="3" t="str">
        <f t="shared" si="631"/>
        <v>Riadok bude skrytý.</v>
      </c>
      <c r="CC3493" s="271" t="s">
        <v>832</v>
      </c>
      <c r="CW3493" s="32">
        <f t="shared" si="634"/>
        <v>0</v>
      </c>
      <c r="CZ3493" s="30">
        <f t="shared" si="632"/>
        <v>1</v>
      </c>
      <c r="DA3493" s="30">
        <f t="shared" si="630"/>
        <v>0</v>
      </c>
      <c r="DB3493" s="2">
        <f t="shared" si="629"/>
        <v>0</v>
      </c>
      <c r="DS3493" s="130">
        <f>SI!BY3493</f>
        <v>184</v>
      </c>
      <c r="DZ3493" s="131">
        <f>SI!BZ3493</f>
        <v>0</v>
      </c>
    </row>
    <row r="3494" spans="1:130" ht="24.8" hidden="1" customHeight="1" x14ac:dyDescent="0.25">
      <c r="A3494" s="141"/>
      <c r="B3494" s="1380" t="s">
        <v>481</v>
      </c>
      <c r="C3494" s="1380"/>
      <c r="D3494" s="1380"/>
      <c r="E3494" s="1380"/>
      <c r="F3494" s="1380"/>
      <c r="G3494" s="1380"/>
      <c r="H3494" s="1380"/>
      <c r="I3494" s="1380"/>
      <c r="J3494" s="429" t="s">
        <v>549</v>
      </c>
      <c r="K3494" s="430"/>
      <c r="L3494" s="430"/>
      <c r="M3494" s="430"/>
      <c r="N3494" s="430"/>
      <c r="O3494" s="430"/>
      <c r="P3494" s="430"/>
      <c r="Q3494" s="430"/>
      <c r="R3494" s="430"/>
      <c r="S3494" s="430"/>
      <c r="T3494" s="430"/>
      <c r="U3494" s="430"/>
      <c r="V3494" s="430"/>
      <c r="W3494" s="430"/>
      <c r="X3494" s="430"/>
      <c r="Y3494" s="430"/>
      <c r="Z3494" s="430"/>
      <c r="AA3494" s="430"/>
      <c r="AB3494" s="430"/>
      <c r="AC3494" s="430"/>
      <c r="AD3494" s="430"/>
      <c r="AE3494" s="430"/>
      <c r="AF3494" s="430"/>
      <c r="AG3494" s="430"/>
      <c r="AH3494" s="430"/>
      <c r="AI3494" s="430"/>
      <c r="AJ3494" s="430"/>
      <c r="AK3494" s="430"/>
      <c r="AL3494" s="430"/>
      <c r="AM3494" s="430"/>
      <c r="AN3494" s="430"/>
      <c r="AO3494" s="430"/>
      <c r="AP3494" s="430"/>
      <c r="AQ3494" s="430"/>
      <c r="AR3494" s="430"/>
      <c r="AS3494" s="430"/>
      <c r="AT3494" s="430"/>
      <c r="AU3494" s="430"/>
      <c r="AV3494" s="430"/>
      <c r="AW3494" s="430"/>
      <c r="AX3494" s="430"/>
      <c r="AY3494" s="430"/>
      <c r="AZ3494" s="430"/>
      <c r="BA3494" s="430"/>
      <c r="BB3494" s="430"/>
      <c r="BC3494" s="430"/>
      <c r="BD3494" s="430"/>
      <c r="BE3494" s="430"/>
      <c r="BF3494" s="430"/>
      <c r="BG3494" s="430"/>
      <c r="BH3494" s="431"/>
      <c r="BI3494" s="511"/>
      <c r="BJ3494" s="482"/>
      <c r="BK3494" s="512"/>
      <c r="BL3494" s="512"/>
      <c r="BM3494" s="512"/>
      <c r="BN3494" s="512"/>
      <c r="BO3494" s="512"/>
      <c r="BP3494" s="512"/>
      <c r="BQ3494" s="513"/>
      <c r="BR3494" s="475"/>
      <c r="BS3494" s="482"/>
      <c r="BT3494" s="482"/>
      <c r="BU3494" s="482"/>
      <c r="BV3494" s="482"/>
      <c r="BW3494" s="482"/>
      <c r="BX3494" s="482"/>
      <c r="BY3494" s="482"/>
      <c r="BZ3494" s="483"/>
      <c r="CA3494" s="270"/>
      <c r="CB3494" s="3" t="str">
        <f t="shared" si="631"/>
        <v>Riadok bude skrytý.</v>
      </c>
      <c r="CC3494" s="271" t="s">
        <v>832</v>
      </c>
      <c r="CW3494" s="32">
        <f t="shared" si="634"/>
        <v>0</v>
      </c>
      <c r="CZ3494" s="30">
        <f t="shared" si="632"/>
        <v>1</v>
      </c>
      <c r="DA3494" s="30">
        <f t="shared" si="630"/>
        <v>0</v>
      </c>
      <c r="DB3494" s="2">
        <f t="shared" ref="DB3494:DB3557" si="635">+IF($CD$1="malé",0,DA3494)</f>
        <v>0</v>
      </c>
      <c r="DS3494" s="130">
        <f>SI!BY3494</f>
        <v>155</v>
      </c>
      <c r="DZ3494" s="131">
        <f>SI!BZ3494</f>
        <v>0</v>
      </c>
    </row>
    <row r="3495" spans="1:130" ht="24.8" hidden="1" customHeight="1" x14ac:dyDescent="0.25">
      <c r="A3495" s="141"/>
      <c r="B3495" s="1380" t="s">
        <v>482</v>
      </c>
      <c r="C3495" s="1380"/>
      <c r="D3495" s="1380"/>
      <c r="E3495" s="1380"/>
      <c r="F3495" s="1380"/>
      <c r="G3495" s="1380"/>
      <c r="H3495" s="1380"/>
      <c r="I3495" s="1380"/>
      <c r="J3495" s="429" t="s">
        <v>1043</v>
      </c>
      <c r="K3495" s="430"/>
      <c r="L3495" s="430"/>
      <c r="M3495" s="430"/>
      <c r="N3495" s="430"/>
      <c r="O3495" s="430"/>
      <c r="P3495" s="430"/>
      <c r="Q3495" s="430"/>
      <c r="R3495" s="430"/>
      <c r="S3495" s="430"/>
      <c r="T3495" s="430"/>
      <c r="U3495" s="430"/>
      <c r="V3495" s="430"/>
      <c r="W3495" s="430"/>
      <c r="X3495" s="430"/>
      <c r="Y3495" s="430"/>
      <c r="Z3495" s="430"/>
      <c r="AA3495" s="430"/>
      <c r="AB3495" s="430"/>
      <c r="AC3495" s="430"/>
      <c r="AD3495" s="430"/>
      <c r="AE3495" s="430"/>
      <c r="AF3495" s="430"/>
      <c r="AG3495" s="430"/>
      <c r="AH3495" s="430"/>
      <c r="AI3495" s="430"/>
      <c r="AJ3495" s="430"/>
      <c r="AK3495" s="430"/>
      <c r="AL3495" s="430"/>
      <c r="AM3495" s="430"/>
      <c r="AN3495" s="430"/>
      <c r="AO3495" s="430"/>
      <c r="AP3495" s="430"/>
      <c r="AQ3495" s="430"/>
      <c r="AR3495" s="430"/>
      <c r="AS3495" s="430"/>
      <c r="AT3495" s="430"/>
      <c r="AU3495" s="430"/>
      <c r="AV3495" s="430"/>
      <c r="AW3495" s="430"/>
      <c r="AX3495" s="430"/>
      <c r="AY3495" s="430"/>
      <c r="AZ3495" s="430"/>
      <c r="BA3495" s="430"/>
      <c r="BB3495" s="430"/>
      <c r="BC3495" s="430"/>
      <c r="BD3495" s="430"/>
      <c r="BE3495" s="430"/>
      <c r="BF3495" s="430"/>
      <c r="BG3495" s="430"/>
      <c r="BH3495" s="431"/>
      <c r="BI3495" s="511"/>
      <c r="BJ3495" s="482"/>
      <c r="BK3495" s="512"/>
      <c r="BL3495" s="512"/>
      <c r="BM3495" s="512"/>
      <c r="BN3495" s="512"/>
      <c r="BO3495" s="512"/>
      <c r="BP3495" s="512"/>
      <c r="BQ3495" s="513"/>
      <c r="BR3495" s="475"/>
      <c r="BS3495" s="482"/>
      <c r="BT3495" s="482"/>
      <c r="BU3495" s="482"/>
      <c r="BV3495" s="482"/>
      <c r="BW3495" s="482"/>
      <c r="BX3495" s="482"/>
      <c r="BY3495" s="482"/>
      <c r="BZ3495" s="483"/>
      <c r="CA3495" s="270"/>
      <c r="CB3495" s="3" t="str">
        <f t="shared" si="631"/>
        <v>Riadok bude skrytý.</v>
      </c>
      <c r="CC3495" s="271" t="s">
        <v>832</v>
      </c>
      <c r="CD3495" s="137"/>
      <c r="CE3495" s="137"/>
      <c r="CW3495" s="32">
        <f t="shared" si="634"/>
        <v>0</v>
      </c>
      <c r="CZ3495" s="30">
        <f t="shared" si="632"/>
        <v>1</v>
      </c>
      <c r="DA3495" s="30">
        <f t="shared" si="630"/>
        <v>0</v>
      </c>
      <c r="DB3495" s="2">
        <f t="shared" si="635"/>
        <v>0</v>
      </c>
      <c r="DS3495" s="130">
        <f>SI!BY3495</f>
        <v>721</v>
      </c>
      <c r="DZ3495" s="131">
        <f>SI!BZ3495</f>
        <v>0</v>
      </c>
    </row>
    <row r="3496" spans="1:130" ht="24.8" hidden="1" customHeight="1" x14ac:dyDescent="0.25">
      <c r="A3496" s="141"/>
      <c r="B3496" s="1380" t="s">
        <v>483</v>
      </c>
      <c r="C3496" s="1380"/>
      <c r="D3496" s="1380"/>
      <c r="E3496" s="1380"/>
      <c r="F3496" s="1380"/>
      <c r="G3496" s="1380"/>
      <c r="H3496" s="1380"/>
      <c r="I3496" s="1380"/>
      <c r="J3496" s="429" t="s">
        <v>1044</v>
      </c>
      <c r="K3496" s="430"/>
      <c r="L3496" s="430"/>
      <c r="M3496" s="430"/>
      <c r="N3496" s="430"/>
      <c r="O3496" s="430"/>
      <c r="P3496" s="430"/>
      <c r="Q3496" s="430"/>
      <c r="R3496" s="430"/>
      <c r="S3496" s="430"/>
      <c r="T3496" s="430"/>
      <c r="U3496" s="430"/>
      <c r="V3496" s="430"/>
      <c r="W3496" s="430"/>
      <c r="X3496" s="430"/>
      <c r="Y3496" s="430"/>
      <c r="Z3496" s="430"/>
      <c r="AA3496" s="430"/>
      <c r="AB3496" s="430"/>
      <c r="AC3496" s="430"/>
      <c r="AD3496" s="430"/>
      <c r="AE3496" s="430"/>
      <c r="AF3496" s="430"/>
      <c r="AG3496" s="430"/>
      <c r="AH3496" s="430"/>
      <c r="AI3496" s="430"/>
      <c r="AJ3496" s="430"/>
      <c r="AK3496" s="430"/>
      <c r="AL3496" s="430"/>
      <c r="AM3496" s="430"/>
      <c r="AN3496" s="430"/>
      <c r="AO3496" s="430"/>
      <c r="AP3496" s="430"/>
      <c r="AQ3496" s="430"/>
      <c r="AR3496" s="430"/>
      <c r="AS3496" s="430"/>
      <c r="AT3496" s="430"/>
      <c r="AU3496" s="430"/>
      <c r="AV3496" s="430"/>
      <c r="AW3496" s="430"/>
      <c r="AX3496" s="430"/>
      <c r="AY3496" s="430"/>
      <c r="AZ3496" s="430"/>
      <c r="BA3496" s="430"/>
      <c r="BB3496" s="430"/>
      <c r="BC3496" s="430"/>
      <c r="BD3496" s="430"/>
      <c r="BE3496" s="430"/>
      <c r="BF3496" s="430"/>
      <c r="BG3496" s="430"/>
      <c r="BH3496" s="431"/>
      <c r="BI3496" s="511"/>
      <c r="BJ3496" s="482"/>
      <c r="BK3496" s="512"/>
      <c r="BL3496" s="512"/>
      <c r="BM3496" s="512"/>
      <c r="BN3496" s="512"/>
      <c r="BO3496" s="512"/>
      <c r="BP3496" s="512"/>
      <c r="BQ3496" s="513"/>
      <c r="BR3496" s="475"/>
      <c r="BS3496" s="482"/>
      <c r="BT3496" s="482"/>
      <c r="BU3496" s="482"/>
      <c r="BV3496" s="482"/>
      <c r="BW3496" s="482"/>
      <c r="BX3496" s="482"/>
      <c r="BY3496" s="482"/>
      <c r="BZ3496" s="483"/>
      <c r="CA3496" s="270"/>
      <c r="CB3496" s="3" t="str">
        <f t="shared" si="631"/>
        <v>Riadok bude skrytý.</v>
      </c>
      <c r="CC3496" s="271" t="s">
        <v>832</v>
      </c>
      <c r="CD3496" s="137"/>
      <c r="CE3496" s="137"/>
      <c r="CW3496" s="32">
        <f t="shared" si="634"/>
        <v>0</v>
      </c>
      <c r="CZ3496" s="30">
        <f t="shared" si="632"/>
        <v>1</v>
      </c>
      <c r="DA3496" s="30">
        <f t="shared" si="630"/>
        <v>0</v>
      </c>
      <c r="DB3496" s="2">
        <f t="shared" si="635"/>
        <v>0</v>
      </c>
      <c r="DS3496" s="130">
        <f>SI!BY3496</f>
        <v>138</v>
      </c>
      <c r="DZ3496" s="131">
        <f>SI!BZ3496</f>
        <v>0</v>
      </c>
    </row>
    <row r="3497" spans="1:130" ht="14.95" hidden="1" customHeight="1" x14ac:dyDescent="0.25">
      <c r="A3497" s="141"/>
      <c r="B3497" s="1380" t="s">
        <v>484</v>
      </c>
      <c r="C3497" s="1380"/>
      <c r="D3497" s="1380"/>
      <c r="E3497" s="1380"/>
      <c r="F3497" s="1380"/>
      <c r="G3497" s="1380"/>
      <c r="H3497" s="1380"/>
      <c r="I3497" s="1380"/>
      <c r="J3497" s="429" t="s">
        <v>550</v>
      </c>
      <c r="K3497" s="430"/>
      <c r="L3497" s="430"/>
      <c r="M3497" s="430"/>
      <c r="N3497" s="430"/>
      <c r="O3497" s="430"/>
      <c r="P3497" s="430"/>
      <c r="Q3497" s="430"/>
      <c r="R3497" s="430"/>
      <c r="S3497" s="430"/>
      <c r="T3497" s="430"/>
      <c r="U3497" s="430"/>
      <c r="V3497" s="430"/>
      <c r="W3497" s="430"/>
      <c r="X3497" s="430"/>
      <c r="Y3497" s="430"/>
      <c r="Z3497" s="430"/>
      <c r="AA3497" s="430"/>
      <c r="AB3497" s="430"/>
      <c r="AC3497" s="430"/>
      <c r="AD3497" s="430"/>
      <c r="AE3497" s="430"/>
      <c r="AF3497" s="430"/>
      <c r="AG3497" s="430"/>
      <c r="AH3497" s="430"/>
      <c r="AI3497" s="430"/>
      <c r="AJ3497" s="430"/>
      <c r="AK3497" s="430"/>
      <c r="AL3497" s="430"/>
      <c r="AM3497" s="430"/>
      <c r="AN3497" s="430"/>
      <c r="AO3497" s="430"/>
      <c r="AP3497" s="430"/>
      <c r="AQ3497" s="430"/>
      <c r="AR3497" s="430"/>
      <c r="AS3497" s="430"/>
      <c r="AT3497" s="430"/>
      <c r="AU3497" s="430"/>
      <c r="AV3497" s="430"/>
      <c r="AW3497" s="430"/>
      <c r="AX3497" s="430"/>
      <c r="AY3497" s="430"/>
      <c r="AZ3497" s="430"/>
      <c r="BA3497" s="430"/>
      <c r="BB3497" s="430"/>
      <c r="BC3497" s="430"/>
      <c r="BD3497" s="430"/>
      <c r="BE3497" s="430"/>
      <c r="BF3497" s="430"/>
      <c r="BG3497" s="430"/>
      <c r="BH3497" s="431"/>
      <c r="BI3497" s="511"/>
      <c r="BJ3497" s="482"/>
      <c r="BK3497" s="512"/>
      <c r="BL3497" s="512"/>
      <c r="BM3497" s="512"/>
      <c r="BN3497" s="512"/>
      <c r="BO3497" s="512"/>
      <c r="BP3497" s="512"/>
      <c r="BQ3497" s="513"/>
      <c r="BR3497" s="475"/>
      <c r="BS3497" s="482"/>
      <c r="BT3497" s="482"/>
      <c r="BU3497" s="482"/>
      <c r="BV3497" s="482"/>
      <c r="BW3497" s="482"/>
      <c r="BX3497" s="482"/>
      <c r="BY3497" s="482"/>
      <c r="BZ3497" s="483"/>
      <c r="CA3497" s="270"/>
      <c r="CB3497" s="3" t="str">
        <f t="shared" si="631"/>
        <v>Riadok bude skrytý.</v>
      </c>
      <c r="CC3497" s="271" t="s">
        <v>832</v>
      </c>
      <c r="CW3497" s="32">
        <f t="shared" si="634"/>
        <v>0</v>
      </c>
      <c r="CZ3497" s="30">
        <f t="shared" si="632"/>
        <v>1</v>
      </c>
      <c r="DA3497" s="30">
        <f t="shared" ref="DA3497:DA3560" si="636">+IF(CW3497+CX3497+CY3497=0,0,IF(CZ3497=0,0,1))</f>
        <v>0</v>
      </c>
      <c r="DB3497" s="2">
        <f t="shared" si="635"/>
        <v>0</v>
      </c>
      <c r="DS3497" s="130">
        <f>SI!BY3497</f>
        <v>345</v>
      </c>
      <c r="DZ3497" s="131">
        <f>SI!BZ3497</f>
        <v>0</v>
      </c>
    </row>
    <row r="3498" spans="1:130" ht="14.95" hidden="1" customHeight="1" x14ac:dyDescent="0.25">
      <c r="A3498" s="141"/>
      <c r="B3498" s="505" t="s">
        <v>485</v>
      </c>
      <c r="C3498" s="505"/>
      <c r="D3498" s="505"/>
      <c r="E3498" s="505"/>
      <c r="F3498" s="505"/>
      <c r="G3498" s="505"/>
      <c r="H3498" s="505"/>
      <c r="I3498" s="505"/>
      <c r="J3498" s="1377" t="s">
        <v>551</v>
      </c>
      <c r="K3498" s="1378"/>
      <c r="L3498" s="1378"/>
      <c r="M3498" s="1378"/>
      <c r="N3498" s="1378"/>
      <c r="O3498" s="1378"/>
      <c r="P3498" s="1378"/>
      <c r="Q3498" s="1378"/>
      <c r="R3498" s="1378"/>
      <c r="S3498" s="1378"/>
      <c r="T3498" s="1378"/>
      <c r="U3498" s="1378"/>
      <c r="V3498" s="1378"/>
      <c r="W3498" s="1378"/>
      <c r="X3498" s="1378"/>
      <c r="Y3498" s="1378"/>
      <c r="Z3498" s="1378"/>
      <c r="AA3498" s="1378"/>
      <c r="AB3498" s="1378"/>
      <c r="AC3498" s="1378"/>
      <c r="AD3498" s="1378"/>
      <c r="AE3498" s="1378"/>
      <c r="AF3498" s="1378"/>
      <c r="AG3498" s="1378"/>
      <c r="AH3498" s="1378"/>
      <c r="AI3498" s="1378"/>
      <c r="AJ3498" s="1378"/>
      <c r="AK3498" s="1378"/>
      <c r="AL3498" s="1378"/>
      <c r="AM3498" s="1378"/>
      <c r="AN3498" s="1378"/>
      <c r="AO3498" s="1378"/>
      <c r="AP3498" s="1378"/>
      <c r="AQ3498" s="1378"/>
      <c r="AR3498" s="1378"/>
      <c r="AS3498" s="1378"/>
      <c r="AT3498" s="1378"/>
      <c r="AU3498" s="1378"/>
      <c r="AV3498" s="1378"/>
      <c r="AW3498" s="1378"/>
      <c r="AX3498" s="1378"/>
      <c r="AY3498" s="1378"/>
      <c r="AZ3498" s="1378"/>
      <c r="BA3498" s="1378"/>
      <c r="BB3498" s="1378"/>
      <c r="BC3498" s="1378"/>
      <c r="BD3498" s="1378"/>
      <c r="BE3498" s="1378"/>
      <c r="BF3498" s="1378"/>
      <c r="BG3498" s="1378"/>
      <c r="BH3498" s="1379"/>
      <c r="BI3498" s="420"/>
      <c r="BJ3498" s="421"/>
      <c r="BK3498" s="1476"/>
      <c r="BL3498" s="1476"/>
      <c r="BM3498" s="1476"/>
      <c r="BN3498" s="1476"/>
      <c r="BO3498" s="1476"/>
      <c r="BP3498" s="1476"/>
      <c r="BQ3498" s="1477"/>
      <c r="BR3498" s="475"/>
      <c r="BS3498" s="482"/>
      <c r="BT3498" s="482"/>
      <c r="BU3498" s="482"/>
      <c r="BV3498" s="482"/>
      <c r="BW3498" s="482"/>
      <c r="BX3498" s="482"/>
      <c r="BY3498" s="482"/>
      <c r="BZ3498" s="483"/>
      <c r="CA3498" s="270"/>
      <c r="CB3498" s="3" t="str">
        <f t="shared" si="631"/>
        <v>Riadok bude skrytý.</v>
      </c>
      <c r="CC3498" s="271" t="s">
        <v>832</v>
      </c>
      <c r="CW3498" s="32">
        <f t="shared" si="634"/>
        <v>0</v>
      </c>
      <c r="CZ3498" s="30">
        <f t="shared" si="632"/>
        <v>1</v>
      </c>
      <c r="DA3498" s="30">
        <f t="shared" si="636"/>
        <v>0</v>
      </c>
      <c r="DB3498" s="2">
        <f t="shared" si="635"/>
        <v>0</v>
      </c>
      <c r="DS3498" s="130">
        <f>SI!BY3498</f>
        <v>205</v>
      </c>
      <c r="DZ3498" s="131">
        <f>SI!BZ3498</f>
        <v>0</v>
      </c>
    </row>
    <row r="3499" spans="1:130" ht="14.95" hidden="1" customHeight="1" x14ac:dyDescent="0.25">
      <c r="A3499" s="141"/>
      <c r="B3499" s="514" t="s">
        <v>486</v>
      </c>
      <c r="C3499" s="514"/>
      <c r="D3499" s="514"/>
      <c r="E3499" s="514"/>
      <c r="F3499" s="514"/>
      <c r="G3499" s="514"/>
      <c r="H3499" s="514"/>
      <c r="I3499" s="514"/>
      <c r="J3499" s="426" t="s">
        <v>552</v>
      </c>
      <c r="K3499" s="427"/>
      <c r="L3499" s="427"/>
      <c r="M3499" s="427"/>
      <c r="N3499" s="427"/>
      <c r="O3499" s="427"/>
      <c r="P3499" s="427"/>
      <c r="Q3499" s="427"/>
      <c r="R3499" s="427"/>
      <c r="S3499" s="427"/>
      <c r="T3499" s="427"/>
      <c r="U3499" s="427"/>
      <c r="V3499" s="427"/>
      <c r="W3499" s="427"/>
      <c r="X3499" s="427"/>
      <c r="Y3499" s="427"/>
      <c r="Z3499" s="427"/>
      <c r="AA3499" s="427"/>
      <c r="AB3499" s="427"/>
      <c r="AC3499" s="427"/>
      <c r="AD3499" s="427"/>
      <c r="AE3499" s="427"/>
      <c r="AF3499" s="427"/>
      <c r="AG3499" s="427"/>
      <c r="AH3499" s="427"/>
      <c r="AI3499" s="427"/>
      <c r="AJ3499" s="427"/>
      <c r="AK3499" s="427"/>
      <c r="AL3499" s="427"/>
      <c r="AM3499" s="427"/>
      <c r="AN3499" s="427"/>
      <c r="AO3499" s="427"/>
      <c r="AP3499" s="427"/>
      <c r="AQ3499" s="427"/>
      <c r="AR3499" s="427"/>
      <c r="AS3499" s="427"/>
      <c r="AT3499" s="427"/>
      <c r="AU3499" s="427"/>
      <c r="AV3499" s="427"/>
      <c r="AW3499" s="427"/>
      <c r="AX3499" s="427"/>
      <c r="AY3499" s="427"/>
      <c r="AZ3499" s="427"/>
      <c r="BA3499" s="427"/>
      <c r="BB3499" s="427"/>
      <c r="BC3499" s="427"/>
      <c r="BD3499" s="427"/>
      <c r="BE3499" s="427"/>
      <c r="BF3499" s="427"/>
      <c r="BG3499" s="427"/>
      <c r="BH3499" s="428"/>
      <c r="BI3499" s="423">
        <f>+SUM(BI3480:BQ3498)</f>
        <v>0</v>
      </c>
      <c r="BJ3499" s="424"/>
      <c r="BK3499" s="490"/>
      <c r="BL3499" s="490"/>
      <c r="BM3499" s="490"/>
      <c r="BN3499" s="490"/>
      <c r="BO3499" s="490"/>
      <c r="BP3499" s="490"/>
      <c r="BQ3499" s="491"/>
      <c r="BR3499" s="423">
        <f>+SUM(BR3480:BZ3498)</f>
        <v>0</v>
      </c>
      <c r="BS3499" s="424"/>
      <c r="BT3499" s="424"/>
      <c r="BU3499" s="424"/>
      <c r="BV3499" s="424"/>
      <c r="BW3499" s="424"/>
      <c r="BX3499" s="424"/>
      <c r="BY3499" s="424"/>
      <c r="BZ3499" s="425"/>
      <c r="CA3499" s="270"/>
      <c r="CB3499" s="3" t="str">
        <f t="shared" si="631"/>
        <v>Riadok bude skrytý.</v>
      </c>
      <c r="CC3499" s="271" t="s">
        <v>832</v>
      </c>
      <c r="CW3499" s="32">
        <f t="shared" si="634"/>
        <v>0</v>
      </c>
      <c r="CZ3499" s="30">
        <f t="shared" si="632"/>
        <v>1</v>
      </c>
      <c r="DA3499" s="30">
        <f t="shared" si="636"/>
        <v>0</v>
      </c>
      <c r="DB3499" s="2">
        <f t="shared" si="635"/>
        <v>0</v>
      </c>
      <c r="DS3499" s="130">
        <f>SI!BY3499</f>
        <v>458</v>
      </c>
      <c r="DZ3499" s="131">
        <f>SI!BZ3499</f>
        <v>0</v>
      </c>
    </row>
    <row r="3500" spans="1:130" ht="14.95" hidden="1" customHeight="1" x14ac:dyDescent="0.25">
      <c r="A3500" s="141"/>
      <c r="B3500" s="514"/>
      <c r="C3500" s="514"/>
      <c r="D3500" s="514"/>
      <c r="E3500" s="514"/>
      <c r="F3500" s="514"/>
      <c r="G3500" s="514"/>
      <c r="H3500" s="514"/>
      <c r="I3500" s="514"/>
      <c r="J3500" s="1482" t="s">
        <v>440</v>
      </c>
      <c r="K3500" s="1483"/>
      <c r="L3500" s="1483"/>
      <c r="M3500" s="1483"/>
      <c r="N3500" s="1483"/>
      <c r="O3500" s="1483"/>
      <c r="P3500" s="1483"/>
      <c r="Q3500" s="1483"/>
      <c r="R3500" s="1483"/>
      <c r="S3500" s="1483"/>
      <c r="T3500" s="1483"/>
      <c r="U3500" s="1483"/>
      <c r="V3500" s="1483"/>
      <c r="W3500" s="1483"/>
      <c r="X3500" s="1483"/>
      <c r="Y3500" s="1483"/>
      <c r="Z3500" s="1483"/>
      <c r="AA3500" s="1483"/>
      <c r="AB3500" s="1483"/>
      <c r="AC3500" s="1483"/>
      <c r="AD3500" s="1483"/>
      <c r="AE3500" s="1483"/>
      <c r="AF3500" s="1483"/>
      <c r="AG3500" s="1483"/>
      <c r="AH3500" s="1483"/>
      <c r="AI3500" s="1483"/>
      <c r="AJ3500" s="1483"/>
      <c r="AK3500" s="1483"/>
      <c r="AL3500" s="1483"/>
      <c r="AM3500" s="1483"/>
      <c r="AN3500" s="1483"/>
      <c r="AO3500" s="1483"/>
      <c r="AP3500" s="1483"/>
      <c r="AQ3500" s="1483"/>
      <c r="AR3500" s="1483"/>
      <c r="AS3500" s="1483"/>
      <c r="AT3500" s="1483"/>
      <c r="AU3500" s="1483"/>
      <c r="AV3500" s="1483"/>
      <c r="AW3500" s="1483"/>
      <c r="AX3500" s="1483"/>
      <c r="AY3500" s="1483"/>
      <c r="AZ3500" s="1483"/>
      <c r="BA3500" s="1483"/>
      <c r="BB3500" s="1483"/>
      <c r="BC3500" s="1483"/>
      <c r="BD3500" s="1483"/>
      <c r="BE3500" s="1483"/>
      <c r="BF3500" s="1483"/>
      <c r="BG3500" s="1483"/>
      <c r="BH3500" s="1484"/>
      <c r="BI3500" s="499"/>
      <c r="BJ3500" s="500"/>
      <c r="BK3500" s="1480"/>
      <c r="BL3500" s="1480"/>
      <c r="BM3500" s="1480"/>
      <c r="BN3500" s="1480"/>
      <c r="BO3500" s="1480"/>
      <c r="BP3500" s="1480"/>
      <c r="BQ3500" s="1481"/>
      <c r="BR3500" s="499"/>
      <c r="BS3500" s="500"/>
      <c r="BT3500" s="500"/>
      <c r="BU3500" s="500"/>
      <c r="BV3500" s="500"/>
      <c r="BW3500" s="500"/>
      <c r="BX3500" s="500"/>
      <c r="BY3500" s="500"/>
      <c r="BZ3500" s="501"/>
      <c r="CA3500" s="265" t="s">
        <v>773</v>
      </c>
      <c r="CB3500" s="3" t="str">
        <f t="shared" si="631"/>
        <v>Riadok bude skrytý.</v>
      </c>
      <c r="CC3500" s="271" t="s">
        <v>832</v>
      </c>
      <c r="CW3500" s="32">
        <f t="shared" si="634"/>
        <v>0</v>
      </c>
      <c r="CZ3500" s="30">
        <f t="shared" si="632"/>
        <v>1</v>
      </c>
      <c r="DA3500" s="30">
        <f t="shared" si="636"/>
        <v>0</v>
      </c>
      <c r="DB3500" s="2">
        <f t="shared" si="635"/>
        <v>0</v>
      </c>
      <c r="DS3500" s="130">
        <f>SI!BY3500</f>
        <v>119</v>
      </c>
      <c r="DZ3500" s="131">
        <f>SI!BZ3500</f>
        <v>0</v>
      </c>
    </row>
    <row r="3501" spans="1:130" ht="14.95" hidden="1" customHeight="1" x14ac:dyDescent="0.25">
      <c r="A3501" s="141"/>
      <c r="B3501" s="1376" t="s">
        <v>487</v>
      </c>
      <c r="C3501" s="1376"/>
      <c r="D3501" s="1376"/>
      <c r="E3501" s="1376"/>
      <c r="F3501" s="1376"/>
      <c r="G3501" s="1376"/>
      <c r="H3501" s="1376"/>
      <c r="I3501" s="1376"/>
      <c r="J3501" s="1390" t="s">
        <v>553</v>
      </c>
      <c r="K3501" s="1391"/>
      <c r="L3501" s="1391"/>
      <c r="M3501" s="1391"/>
      <c r="N3501" s="1391"/>
      <c r="O3501" s="1391"/>
      <c r="P3501" s="1391"/>
      <c r="Q3501" s="1391"/>
      <c r="R3501" s="1391"/>
      <c r="S3501" s="1391"/>
      <c r="T3501" s="1391"/>
      <c r="U3501" s="1391"/>
      <c r="V3501" s="1391"/>
      <c r="W3501" s="1391"/>
      <c r="X3501" s="1391"/>
      <c r="Y3501" s="1391"/>
      <c r="Z3501" s="1391"/>
      <c r="AA3501" s="1391"/>
      <c r="AB3501" s="1391"/>
      <c r="AC3501" s="1391"/>
      <c r="AD3501" s="1391"/>
      <c r="AE3501" s="1391"/>
      <c r="AF3501" s="1391"/>
      <c r="AG3501" s="1391"/>
      <c r="AH3501" s="1391"/>
      <c r="AI3501" s="1391"/>
      <c r="AJ3501" s="1391"/>
      <c r="AK3501" s="1391"/>
      <c r="AL3501" s="1391"/>
      <c r="AM3501" s="1391"/>
      <c r="AN3501" s="1391"/>
      <c r="AO3501" s="1391"/>
      <c r="AP3501" s="1391"/>
      <c r="AQ3501" s="1391"/>
      <c r="AR3501" s="1391"/>
      <c r="AS3501" s="1391"/>
      <c r="AT3501" s="1391"/>
      <c r="AU3501" s="1391"/>
      <c r="AV3501" s="1391"/>
      <c r="AW3501" s="1391"/>
      <c r="AX3501" s="1391"/>
      <c r="AY3501" s="1391"/>
      <c r="AZ3501" s="1391"/>
      <c r="BA3501" s="1391"/>
      <c r="BB3501" s="1391"/>
      <c r="BC3501" s="1391"/>
      <c r="BD3501" s="1391"/>
      <c r="BE3501" s="1391"/>
      <c r="BF3501" s="1391"/>
      <c r="BG3501" s="1391"/>
      <c r="BH3501" s="1392"/>
      <c r="BI3501" s="423">
        <f>+SUM(BI3502:BQ3509)</f>
        <v>0</v>
      </c>
      <c r="BJ3501" s="424"/>
      <c r="BK3501" s="490"/>
      <c r="BL3501" s="490"/>
      <c r="BM3501" s="490"/>
      <c r="BN3501" s="490"/>
      <c r="BO3501" s="490"/>
      <c r="BP3501" s="490"/>
      <c r="BQ3501" s="491"/>
      <c r="BR3501" s="423">
        <f>+SUM(BR3502:BZ3509)</f>
        <v>0</v>
      </c>
      <c r="BS3501" s="424"/>
      <c r="BT3501" s="424"/>
      <c r="BU3501" s="424"/>
      <c r="BV3501" s="424"/>
      <c r="BW3501" s="424"/>
      <c r="BX3501" s="424"/>
      <c r="BY3501" s="424"/>
      <c r="BZ3501" s="425"/>
      <c r="CA3501" s="270"/>
      <c r="CB3501" s="3" t="str">
        <f t="shared" si="631"/>
        <v>Riadok bude skrytý.</v>
      </c>
      <c r="CC3501" s="271" t="s">
        <v>832</v>
      </c>
      <c r="CW3501" s="32">
        <f t="shared" si="634"/>
        <v>0</v>
      </c>
      <c r="CZ3501" s="30">
        <f t="shared" si="632"/>
        <v>1</v>
      </c>
      <c r="DA3501" s="30">
        <f t="shared" si="636"/>
        <v>0</v>
      </c>
      <c r="DB3501" s="2">
        <f t="shared" si="635"/>
        <v>0</v>
      </c>
      <c r="DS3501" s="130">
        <f>SI!BY3501</f>
        <v>203</v>
      </c>
      <c r="DZ3501" s="131">
        <f>SI!BZ3501</f>
        <v>0</v>
      </c>
    </row>
    <row r="3502" spans="1:130" ht="14.95" hidden="1" customHeight="1" x14ac:dyDescent="0.25">
      <c r="A3502" s="141"/>
      <c r="B3502" s="1380" t="s">
        <v>488</v>
      </c>
      <c r="C3502" s="1380"/>
      <c r="D3502" s="1380"/>
      <c r="E3502" s="1380"/>
      <c r="F3502" s="1380"/>
      <c r="G3502" s="1380"/>
      <c r="H3502" s="1380"/>
      <c r="I3502" s="1380"/>
      <c r="J3502" s="1406" t="s">
        <v>554</v>
      </c>
      <c r="K3502" s="1407"/>
      <c r="L3502" s="1407"/>
      <c r="M3502" s="1407"/>
      <c r="N3502" s="1407"/>
      <c r="O3502" s="1407"/>
      <c r="P3502" s="1407"/>
      <c r="Q3502" s="1407"/>
      <c r="R3502" s="1407"/>
      <c r="S3502" s="1407"/>
      <c r="T3502" s="1407"/>
      <c r="U3502" s="1407"/>
      <c r="V3502" s="1407"/>
      <c r="W3502" s="1407"/>
      <c r="X3502" s="1407"/>
      <c r="Y3502" s="1407"/>
      <c r="Z3502" s="1407"/>
      <c r="AA3502" s="1407"/>
      <c r="AB3502" s="1407"/>
      <c r="AC3502" s="1407"/>
      <c r="AD3502" s="1407"/>
      <c r="AE3502" s="1407"/>
      <c r="AF3502" s="1407"/>
      <c r="AG3502" s="1407"/>
      <c r="AH3502" s="1407"/>
      <c r="AI3502" s="1407"/>
      <c r="AJ3502" s="1407"/>
      <c r="AK3502" s="1407"/>
      <c r="AL3502" s="1407"/>
      <c r="AM3502" s="1407"/>
      <c r="AN3502" s="1407"/>
      <c r="AO3502" s="1407"/>
      <c r="AP3502" s="1407"/>
      <c r="AQ3502" s="1407"/>
      <c r="AR3502" s="1407"/>
      <c r="AS3502" s="1407"/>
      <c r="AT3502" s="1407"/>
      <c r="AU3502" s="1407"/>
      <c r="AV3502" s="1407"/>
      <c r="AW3502" s="1407"/>
      <c r="AX3502" s="1407"/>
      <c r="AY3502" s="1407"/>
      <c r="AZ3502" s="1407"/>
      <c r="BA3502" s="1407"/>
      <c r="BB3502" s="1407"/>
      <c r="BC3502" s="1407"/>
      <c r="BD3502" s="1407"/>
      <c r="BE3502" s="1407"/>
      <c r="BF3502" s="1407"/>
      <c r="BG3502" s="1407"/>
      <c r="BH3502" s="1408"/>
      <c r="BI3502" s="1228"/>
      <c r="BJ3502" s="503"/>
      <c r="BK3502" s="1404"/>
      <c r="BL3502" s="1404"/>
      <c r="BM3502" s="1404"/>
      <c r="BN3502" s="1404"/>
      <c r="BO3502" s="1404"/>
      <c r="BP3502" s="1404"/>
      <c r="BQ3502" s="1405"/>
      <c r="BR3502" s="475"/>
      <c r="BS3502" s="482"/>
      <c r="BT3502" s="482"/>
      <c r="BU3502" s="482"/>
      <c r="BV3502" s="482"/>
      <c r="BW3502" s="482"/>
      <c r="BX3502" s="482"/>
      <c r="BY3502" s="482"/>
      <c r="BZ3502" s="483"/>
      <c r="CA3502" s="265"/>
      <c r="CB3502" s="3" t="str">
        <f t="shared" si="631"/>
        <v>Riadok bude skrytý.</v>
      </c>
      <c r="CC3502" s="271" t="s">
        <v>832</v>
      </c>
      <c r="CW3502" s="32">
        <f t="shared" si="634"/>
        <v>0</v>
      </c>
      <c r="CZ3502" s="30">
        <f t="shared" si="632"/>
        <v>1</v>
      </c>
      <c r="DA3502" s="30">
        <f t="shared" si="636"/>
        <v>0</v>
      </c>
      <c r="DB3502" s="2">
        <f t="shared" si="635"/>
        <v>0</v>
      </c>
      <c r="DS3502" s="130">
        <f>SI!BY3502</f>
        <v>148</v>
      </c>
      <c r="DZ3502" s="131">
        <f>SI!BZ3502</f>
        <v>0</v>
      </c>
    </row>
    <row r="3503" spans="1:130" ht="24.8" hidden="1" customHeight="1" x14ac:dyDescent="0.25">
      <c r="A3503" s="141"/>
      <c r="B3503" s="1380" t="s">
        <v>489</v>
      </c>
      <c r="C3503" s="1380"/>
      <c r="D3503" s="1380"/>
      <c r="E3503" s="1380"/>
      <c r="F3503" s="1380"/>
      <c r="G3503" s="1380"/>
      <c r="H3503" s="1380"/>
      <c r="I3503" s="1380"/>
      <c r="J3503" s="429" t="s">
        <v>555</v>
      </c>
      <c r="K3503" s="430"/>
      <c r="L3503" s="430"/>
      <c r="M3503" s="430"/>
      <c r="N3503" s="430"/>
      <c r="O3503" s="430"/>
      <c r="P3503" s="430"/>
      <c r="Q3503" s="430"/>
      <c r="R3503" s="430"/>
      <c r="S3503" s="430"/>
      <c r="T3503" s="430"/>
      <c r="U3503" s="430"/>
      <c r="V3503" s="430"/>
      <c r="W3503" s="430"/>
      <c r="X3503" s="430"/>
      <c r="Y3503" s="430"/>
      <c r="Z3503" s="430"/>
      <c r="AA3503" s="430"/>
      <c r="AB3503" s="430"/>
      <c r="AC3503" s="430"/>
      <c r="AD3503" s="430"/>
      <c r="AE3503" s="430"/>
      <c r="AF3503" s="430"/>
      <c r="AG3503" s="430"/>
      <c r="AH3503" s="430"/>
      <c r="AI3503" s="430"/>
      <c r="AJ3503" s="430"/>
      <c r="AK3503" s="430"/>
      <c r="AL3503" s="430"/>
      <c r="AM3503" s="430"/>
      <c r="AN3503" s="430"/>
      <c r="AO3503" s="430"/>
      <c r="AP3503" s="430"/>
      <c r="AQ3503" s="430"/>
      <c r="AR3503" s="430"/>
      <c r="AS3503" s="430"/>
      <c r="AT3503" s="430"/>
      <c r="AU3503" s="430"/>
      <c r="AV3503" s="430"/>
      <c r="AW3503" s="430"/>
      <c r="AX3503" s="430"/>
      <c r="AY3503" s="430"/>
      <c r="AZ3503" s="430"/>
      <c r="BA3503" s="430"/>
      <c r="BB3503" s="430"/>
      <c r="BC3503" s="430"/>
      <c r="BD3503" s="430"/>
      <c r="BE3503" s="430"/>
      <c r="BF3503" s="430"/>
      <c r="BG3503" s="430"/>
      <c r="BH3503" s="431"/>
      <c r="BI3503" s="511"/>
      <c r="BJ3503" s="482"/>
      <c r="BK3503" s="512"/>
      <c r="BL3503" s="512"/>
      <c r="BM3503" s="512"/>
      <c r="BN3503" s="512"/>
      <c r="BO3503" s="512"/>
      <c r="BP3503" s="512"/>
      <c r="BQ3503" s="513"/>
      <c r="BR3503" s="475"/>
      <c r="BS3503" s="482"/>
      <c r="BT3503" s="482"/>
      <c r="BU3503" s="482"/>
      <c r="BV3503" s="482"/>
      <c r="BW3503" s="482"/>
      <c r="BX3503" s="482"/>
      <c r="BY3503" s="482"/>
      <c r="BZ3503" s="483"/>
      <c r="CA3503" s="270"/>
      <c r="CB3503" s="3" t="str">
        <f t="shared" si="631"/>
        <v>Riadok bude skrytý.</v>
      </c>
      <c r="CC3503" s="271" t="s">
        <v>832</v>
      </c>
      <c r="CW3503" s="32">
        <f t="shared" si="634"/>
        <v>0</v>
      </c>
      <c r="CZ3503" s="30">
        <f t="shared" si="632"/>
        <v>1</v>
      </c>
      <c r="DA3503" s="30">
        <f t="shared" si="636"/>
        <v>0</v>
      </c>
      <c r="DB3503" s="2">
        <f t="shared" si="635"/>
        <v>0</v>
      </c>
      <c r="DS3503" s="130">
        <f>SI!BY3503</f>
        <v>591</v>
      </c>
      <c r="DZ3503" s="131">
        <f>SI!BZ3503</f>
        <v>0</v>
      </c>
    </row>
    <row r="3504" spans="1:130" ht="14.95" hidden="1" customHeight="1" x14ac:dyDescent="0.25">
      <c r="A3504" s="141"/>
      <c r="B3504" s="1380" t="s">
        <v>490</v>
      </c>
      <c r="C3504" s="1380"/>
      <c r="D3504" s="1380"/>
      <c r="E3504" s="1380"/>
      <c r="F3504" s="1380"/>
      <c r="G3504" s="1380"/>
      <c r="H3504" s="1380"/>
      <c r="I3504" s="1380"/>
      <c r="J3504" s="429" t="s">
        <v>556</v>
      </c>
      <c r="K3504" s="430"/>
      <c r="L3504" s="430"/>
      <c r="M3504" s="430"/>
      <c r="N3504" s="430"/>
      <c r="O3504" s="430"/>
      <c r="P3504" s="430"/>
      <c r="Q3504" s="430"/>
      <c r="R3504" s="430"/>
      <c r="S3504" s="430"/>
      <c r="T3504" s="430"/>
      <c r="U3504" s="430"/>
      <c r="V3504" s="430"/>
      <c r="W3504" s="430"/>
      <c r="X3504" s="430"/>
      <c r="Y3504" s="430"/>
      <c r="Z3504" s="430"/>
      <c r="AA3504" s="430"/>
      <c r="AB3504" s="430"/>
      <c r="AC3504" s="430"/>
      <c r="AD3504" s="430"/>
      <c r="AE3504" s="430"/>
      <c r="AF3504" s="430"/>
      <c r="AG3504" s="430"/>
      <c r="AH3504" s="430"/>
      <c r="AI3504" s="430"/>
      <c r="AJ3504" s="430"/>
      <c r="AK3504" s="430"/>
      <c r="AL3504" s="430"/>
      <c r="AM3504" s="430"/>
      <c r="AN3504" s="430"/>
      <c r="AO3504" s="430"/>
      <c r="AP3504" s="430"/>
      <c r="AQ3504" s="430"/>
      <c r="AR3504" s="430"/>
      <c r="AS3504" s="430"/>
      <c r="AT3504" s="430"/>
      <c r="AU3504" s="430"/>
      <c r="AV3504" s="430"/>
      <c r="AW3504" s="430"/>
      <c r="AX3504" s="430"/>
      <c r="AY3504" s="430"/>
      <c r="AZ3504" s="430"/>
      <c r="BA3504" s="430"/>
      <c r="BB3504" s="430"/>
      <c r="BC3504" s="430"/>
      <c r="BD3504" s="430"/>
      <c r="BE3504" s="430"/>
      <c r="BF3504" s="430"/>
      <c r="BG3504" s="430"/>
      <c r="BH3504" s="431"/>
      <c r="BI3504" s="511"/>
      <c r="BJ3504" s="482"/>
      <c r="BK3504" s="512"/>
      <c r="BL3504" s="512"/>
      <c r="BM3504" s="512"/>
      <c r="BN3504" s="512"/>
      <c r="BO3504" s="512"/>
      <c r="BP3504" s="512"/>
      <c r="BQ3504" s="513"/>
      <c r="BR3504" s="475"/>
      <c r="BS3504" s="482"/>
      <c r="BT3504" s="482"/>
      <c r="BU3504" s="482"/>
      <c r="BV3504" s="482"/>
      <c r="BW3504" s="482"/>
      <c r="BX3504" s="482"/>
      <c r="BY3504" s="482"/>
      <c r="BZ3504" s="483"/>
      <c r="CA3504" s="270"/>
      <c r="CB3504" s="3" t="str">
        <f t="shared" si="631"/>
        <v>Riadok bude skrytý.</v>
      </c>
      <c r="CC3504" s="271" t="s">
        <v>832</v>
      </c>
      <c r="CW3504" s="32">
        <f t="shared" si="634"/>
        <v>0</v>
      </c>
      <c r="CZ3504" s="30">
        <f t="shared" si="632"/>
        <v>1</v>
      </c>
      <c r="DA3504" s="30">
        <f t="shared" si="636"/>
        <v>0</v>
      </c>
      <c r="DB3504" s="2">
        <f t="shared" si="635"/>
        <v>0</v>
      </c>
      <c r="DS3504" s="130">
        <f>SI!BY3504</f>
        <v>138</v>
      </c>
      <c r="DZ3504" s="131">
        <f>SI!BZ3504</f>
        <v>0</v>
      </c>
    </row>
    <row r="3505" spans="1:130" ht="14.95" hidden="1" customHeight="1" x14ac:dyDescent="0.25">
      <c r="A3505" s="141"/>
      <c r="B3505" s="1380" t="s">
        <v>491</v>
      </c>
      <c r="C3505" s="1380"/>
      <c r="D3505" s="1380"/>
      <c r="E3505" s="1380"/>
      <c r="F3505" s="1380"/>
      <c r="G3505" s="1380"/>
      <c r="H3505" s="1380"/>
      <c r="I3505" s="1380"/>
      <c r="J3505" s="429" t="s">
        <v>557</v>
      </c>
      <c r="K3505" s="430"/>
      <c r="L3505" s="430"/>
      <c r="M3505" s="430"/>
      <c r="N3505" s="430"/>
      <c r="O3505" s="430"/>
      <c r="P3505" s="430"/>
      <c r="Q3505" s="430"/>
      <c r="R3505" s="430"/>
      <c r="S3505" s="430"/>
      <c r="T3505" s="430"/>
      <c r="U3505" s="430"/>
      <c r="V3505" s="430"/>
      <c r="W3505" s="430"/>
      <c r="X3505" s="430"/>
      <c r="Y3505" s="430"/>
      <c r="Z3505" s="430"/>
      <c r="AA3505" s="430"/>
      <c r="AB3505" s="430"/>
      <c r="AC3505" s="430"/>
      <c r="AD3505" s="430"/>
      <c r="AE3505" s="430"/>
      <c r="AF3505" s="430"/>
      <c r="AG3505" s="430"/>
      <c r="AH3505" s="430"/>
      <c r="AI3505" s="430"/>
      <c r="AJ3505" s="430"/>
      <c r="AK3505" s="430"/>
      <c r="AL3505" s="430"/>
      <c r="AM3505" s="430"/>
      <c r="AN3505" s="430"/>
      <c r="AO3505" s="430"/>
      <c r="AP3505" s="430"/>
      <c r="AQ3505" s="430"/>
      <c r="AR3505" s="430"/>
      <c r="AS3505" s="430"/>
      <c r="AT3505" s="430"/>
      <c r="AU3505" s="430"/>
      <c r="AV3505" s="430"/>
      <c r="AW3505" s="430"/>
      <c r="AX3505" s="430"/>
      <c r="AY3505" s="430"/>
      <c r="AZ3505" s="430"/>
      <c r="BA3505" s="430"/>
      <c r="BB3505" s="430"/>
      <c r="BC3505" s="430"/>
      <c r="BD3505" s="430"/>
      <c r="BE3505" s="430"/>
      <c r="BF3505" s="430"/>
      <c r="BG3505" s="430"/>
      <c r="BH3505" s="431"/>
      <c r="BI3505" s="511"/>
      <c r="BJ3505" s="482"/>
      <c r="BK3505" s="512"/>
      <c r="BL3505" s="512"/>
      <c r="BM3505" s="512"/>
      <c r="BN3505" s="512"/>
      <c r="BO3505" s="512"/>
      <c r="BP3505" s="512"/>
      <c r="BQ3505" s="513"/>
      <c r="BR3505" s="475"/>
      <c r="BS3505" s="482"/>
      <c r="BT3505" s="482"/>
      <c r="BU3505" s="482"/>
      <c r="BV3505" s="482"/>
      <c r="BW3505" s="482"/>
      <c r="BX3505" s="482"/>
      <c r="BY3505" s="482"/>
      <c r="BZ3505" s="483"/>
      <c r="CA3505" s="270"/>
      <c r="CB3505" s="3" t="str">
        <f t="shared" si="631"/>
        <v>Riadok bude skrytý.</v>
      </c>
      <c r="CC3505" s="271" t="s">
        <v>832</v>
      </c>
      <c r="CW3505" s="32">
        <f t="shared" si="634"/>
        <v>0</v>
      </c>
      <c r="CZ3505" s="30">
        <f t="shared" si="632"/>
        <v>1</v>
      </c>
      <c r="DA3505" s="30">
        <f t="shared" si="636"/>
        <v>0</v>
      </c>
      <c r="DB3505" s="2">
        <f t="shared" si="635"/>
        <v>0</v>
      </c>
      <c r="DS3505" s="130">
        <f>SI!BY3505</f>
        <v>110</v>
      </c>
      <c r="DZ3505" s="131">
        <f>SI!BZ3505</f>
        <v>0</v>
      </c>
    </row>
    <row r="3506" spans="1:130" ht="24.8" hidden="1" customHeight="1" x14ac:dyDescent="0.25">
      <c r="A3506" s="141"/>
      <c r="B3506" s="1380" t="s">
        <v>492</v>
      </c>
      <c r="C3506" s="1380"/>
      <c r="D3506" s="1380"/>
      <c r="E3506" s="1380"/>
      <c r="F3506" s="1380"/>
      <c r="G3506" s="1380"/>
      <c r="H3506" s="1380"/>
      <c r="I3506" s="1380"/>
      <c r="J3506" s="429" t="s">
        <v>558</v>
      </c>
      <c r="K3506" s="430"/>
      <c r="L3506" s="430"/>
      <c r="M3506" s="430"/>
      <c r="N3506" s="430"/>
      <c r="O3506" s="430"/>
      <c r="P3506" s="430"/>
      <c r="Q3506" s="430"/>
      <c r="R3506" s="430"/>
      <c r="S3506" s="430"/>
      <c r="T3506" s="430"/>
      <c r="U3506" s="430"/>
      <c r="V3506" s="430"/>
      <c r="W3506" s="430"/>
      <c r="X3506" s="430"/>
      <c r="Y3506" s="430"/>
      <c r="Z3506" s="430"/>
      <c r="AA3506" s="430"/>
      <c r="AB3506" s="430"/>
      <c r="AC3506" s="430"/>
      <c r="AD3506" s="430"/>
      <c r="AE3506" s="430"/>
      <c r="AF3506" s="430"/>
      <c r="AG3506" s="430"/>
      <c r="AH3506" s="430"/>
      <c r="AI3506" s="430"/>
      <c r="AJ3506" s="430"/>
      <c r="AK3506" s="430"/>
      <c r="AL3506" s="430"/>
      <c r="AM3506" s="430"/>
      <c r="AN3506" s="430"/>
      <c r="AO3506" s="430"/>
      <c r="AP3506" s="430"/>
      <c r="AQ3506" s="430"/>
      <c r="AR3506" s="430"/>
      <c r="AS3506" s="430"/>
      <c r="AT3506" s="430"/>
      <c r="AU3506" s="430"/>
      <c r="AV3506" s="430"/>
      <c r="AW3506" s="430"/>
      <c r="AX3506" s="430"/>
      <c r="AY3506" s="430"/>
      <c r="AZ3506" s="430"/>
      <c r="BA3506" s="430"/>
      <c r="BB3506" s="430"/>
      <c r="BC3506" s="430"/>
      <c r="BD3506" s="430"/>
      <c r="BE3506" s="430"/>
      <c r="BF3506" s="430"/>
      <c r="BG3506" s="430"/>
      <c r="BH3506" s="431"/>
      <c r="BI3506" s="511"/>
      <c r="BJ3506" s="482"/>
      <c r="BK3506" s="512"/>
      <c r="BL3506" s="512"/>
      <c r="BM3506" s="512"/>
      <c r="BN3506" s="512"/>
      <c r="BO3506" s="512"/>
      <c r="BP3506" s="512"/>
      <c r="BQ3506" s="513"/>
      <c r="BR3506" s="475"/>
      <c r="BS3506" s="482"/>
      <c r="BT3506" s="482"/>
      <c r="BU3506" s="482"/>
      <c r="BV3506" s="482"/>
      <c r="BW3506" s="482"/>
      <c r="BX3506" s="482"/>
      <c r="BY3506" s="482"/>
      <c r="BZ3506" s="483"/>
      <c r="CA3506" s="270"/>
      <c r="CB3506" s="3" t="str">
        <f t="shared" si="631"/>
        <v>Riadok bude skrytý.</v>
      </c>
      <c r="CC3506" s="271" t="s">
        <v>832</v>
      </c>
      <c r="CW3506" s="32">
        <f t="shared" si="634"/>
        <v>0</v>
      </c>
      <c r="CZ3506" s="30">
        <f t="shared" si="632"/>
        <v>1</v>
      </c>
      <c r="DA3506" s="30">
        <f t="shared" si="636"/>
        <v>0</v>
      </c>
      <c r="DB3506" s="2">
        <f t="shared" si="635"/>
        <v>0</v>
      </c>
      <c r="DS3506" s="130">
        <f>SI!BY3506</f>
        <v>178</v>
      </c>
      <c r="DZ3506" s="131">
        <f>SI!BZ3506</f>
        <v>0</v>
      </c>
    </row>
    <row r="3507" spans="1:130" ht="24.8" hidden="1" customHeight="1" x14ac:dyDescent="0.25">
      <c r="A3507" s="141"/>
      <c r="B3507" s="1380" t="s">
        <v>493</v>
      </c>
      <c r="C3507" s="1380"/>
      <c r="D3507" s="1380"/>
      <c r="E3507" s="1380"/>
      <c r="F3507" s="1380"/>
      <c r="G3507" s="1380"/>
      <c r="H3507" s="1380"/>
      <c r="I3507" s="1380"/>
      <c r="J3507" s="429" t="s">
        <v>582</v>
      </c>
      <c r="K3507" s="430"/>
      <c r="L3507" s="430"/>
      <c r="M3507" s="430"/>
      <c r="N3507" s="430"/>
      <c r="O3507" s="430"/>
      <c r="P3507" s="430"/>
      <c r="Q3507" s="430"/>
      <c r="R3507" s="430"/>
      <c r="S3507" s="430"/>
      <c r="T3507" s="430"/>
      <c r="U3507" s="430"/>
      <c r="V3507" s="430"/>
      <c r="W3507" s="430"/>
      <c r="X3507" s="430"/>
      <c r="Y3507" s="430"/>
      <c r="Z3507" s="430"/>
      <c r="AA3507" s="430"/>
      <c r="AB3507" s="430"/>
      <c r="AC3507" s="430"/>
      <c r="AD3507" s="430"/>
      <c r="AE3507" s="430"/>
      <c r="AF3507" s="430"/>
      <c r="AG3507" s="430"/>
      <c r="AH3507" s="430"/>
      <c r="AI3507" s="430"/>
      <c r="AJ3507" s="430"/>
      <c r="AK3507" s="430"/>
      <c r="AL3507" s="430"/>
      <c r="AM3507" s="430"/>
      <c r="AN3507" s="430"/>
      <c r="AO3507" s="430"/>
      <c r="AP3507" s="430"/>
      <c r="AQ3507" s="430"/>
      <c r="AR3507" s="430"/>
      <c r="AS3507" s="430"/>
      <c r="AT3507" s="430"/>
      <c r="AU3507" s="430"/>
      <c r="AV3507" s="430"/>
      <c r="AW3507" s="430"/>
      <c r="AX3507" s="430"/>
      <c r="AY3507" s="430"/>
      <c r="AZ3507" s="430"/>
      <c r="BA3507" s="430"/>
      <c r="BB3507" s="430"/>
      <c r="BC3507" s="430"/>
      <c r="BD3507" s="430"/>
      <c r="BE3507" s="430"/>
      <c r="BF3507" s="430"/>
      <c r="BG3507" s="430"/>
      <c r="BH3507" s="431"/>
      <c r="BI3507" s="511"/>
      <c r="BJ3507" s="482"/>
      <c r="BK3507" s="512"/>
      <c r="BL3507" s="512"/>
      <c r="BM3507" s="512"/>
      <c r="BN3507" s="512"/>
      <c r="BO3507" s="512"/>
      <c r="BP3507" s="512"/>
      <c r="BQ3507" s="513"/>
      <c r="BR3507" s="475"/>
      <c r="BS3507" s="482"/>
      <c r="BT3507" s="482"/>
      <c r="BU3507" s="482"/>
      <c r="BV3507" s="482"/>
      <c r="BW3507" s="482"/>
      <c r="BX3507" s="482"/>
      <c r="BY3507" s="482"/>
      <c r="BZ3507" s="483"/>
      <c r="CA3507" s="270"/>
      <c r="CB3507" s="3" t="str">
        <f t="shared" ref="CB3507:CB3570" si="637">+IF(DB3507=0,"Riadok bude skrytý.","Riadok bude vidieť.")</f>
        <v>Riadok bude skrytý.</v>
      </c>
      <c r="CC3507" s="271" t="s">
        <v>832</v>
      </c>
      <c r="CW3507" s="32">
        <f t="shared" si="634"/>
        <v>0</v>
      </c>
      <c r="CZ3507" s="30">
        <f t="shared" si="632"/>
        <v>1</v>
      </c>
      <c r="DA3507" s="30">
        <f t="shared" si="636"/>
        <v>0</v>
      </c>
      <c r="DB3507" s="2">
        <f t="shared" si="635"/>
        <v>0</v>
      </c>
      <c r="DS3507" s="130">
        <f>SI!BY3507</f>
        <v>1061</v>
      </c>
      <c r="DZ3507" s="131">
        <f>SI!BZ3507</f>
        <v>0</v>
      </c>
    </row>
    <row r="3508" spans="1:130" ht="24.8" hidden="1" customHeight="1" x14ac:dyDescent="0.25">
      <c r="A3508" s="141"/>
      <c r="B3508" s="1380" t="s">
        <v>494</v>
      </c>
      <c r="C3508" s="1380"/>
      <c r="D3508" s="1380"/>
      <c r="E3508" s="1380"/>
      <c r="F3508" s="1380"/>
      <c r="G3508" s="1380"/>
      <c r="H3508" s="1380"/>
      <c r="I3508" s="1380"/>
      <c r="J3508" s="429" t="s">
        <v>559</v>
      </c>
      <c r="K3508" s="430"/>
      <c r="L3508" s="430"/>
      <c r="M3508" s="430"/>
      <c r="N3508" s="430"/>
      <c r="O3508" s="430"/>
      <c r="P3508" s="430"/>
      <c r="Q3508" s="430"/>
      <c r="R3508" s="430"/>
      <c r="S3508" s="430"/>
      <c r="T3508" s="430"/>
      <c r="U3508" s="430"/>
      <c r="V3508" s="430"/>
      <c r="W3508" s="430"/>
      <c r="X3508" s="430"/>
      <c r="Y3508" s="430"/>
      <c r="Z3508" s="430"/>
      <c r="AA3508" s="430"/>
      <c r="AB3508" s="430"/>
      <c r="AC3508" s="430"/>
      <c r="AD3508" s="430"/>
      <c r="AE3508" s="430"/>
      <c r="AF3508" s="430"/>
      <c r="AG3508" s="430"/>
      <c r="AH3508" s="430"/>
      <c r="AI3508" s="430"/>
      <c r="AJ3508" s="430"/>
      <c r="AK3508" s="430"/>
      <c r="AL3508" s="430"/>
      <c r="AM3508" s="430"/>
      <c r="AN3508" s="430"/>
      <c r="AO3508" s="430"/>
      <c r="AP3508" s="430"/>
      <c r="AQ3508" s="430"/>
      <c r="AR3508" s="430"/>
      <c r="AS3508" s="430"/>
      <c r="AT3508" s="430"/>
      <c r="AU3508" s="430"/>
      <c r="AV3508" s="430"/>
      <c r="AW3508" s="430"/>
      <c r="AX3508" s="430"/>
      <c r="AY3508" s="430"/>
      <c r="AZ3508" s="430"/>
      <c r="BA3508" s="430"/>
      <c r="BB3508" s="430"/>
      <c r="BC3508" s="430"/>
      <c r="BD3508" s="430"/>
      <c r="BE3508" s="430"/>
      <c r="BF3508" s="430"/>
      <c r="BG3508" s="430"/>
      <c r="BH3508" s="431"/>
      <c r="BI3508" s="511"/>
      <c r="BJ3508" s="482"/>
      <c r="BK3508" s="512"/>
      <c r="BL3508" s="512"/>
      <c r="BM3508" s="512"/>
      <c r="BN3508" s="512"/>
      <c r="BO3508" s="512"/>
      <c r="BP3508" s="512"/>
      <c r="BQ3508" s="513"/>
      <c r="BR3508" s="475"/>
      <c r="BS3508" s="482"/>
      <c r="BT3508" s="482"/>
      <c r="BU3508" s="482"/>
      <c r="BV3508" s="482"/>
      <c r="BW3508" s="482"/>
      <c r="BX3508" s="482"/>
      <c r="BY3508" s="482"/>
      <c r="BZ3508" s="483"/>
      <c r="CA3508" s="270"/>
      <c r="CB3508" s="3" t="str">
        <f t="shared" si="637"/>
        <v>Riadok bude skrytý.</v>
      </c>
      <c r="CC3508" s="271" t="s">
        <v>832</v>
      </c>
      <c r="CW3508" s="32">
        <f t="shared" si="634"/>
        <v>0</v>
      </c>
      <c r="CZ3508" s="30">
        <f t="shared" si="632"/>
        <v>1</v>
      </c>
      <c r="DA3508" s="30">
        <f t="shared" si="636"/>
        <v>0</v>
      </c>
      <c r="DB3508" s="2">
        <f t="shared" si="635"/>
        <v>0</v>
      </c>
      <c r="DS3508" s="130">
        <f>SI!BY3508</f>
        <v>134</v>
      </c>
      <c r="DZ3508" s="131">
        <f>SI!BZ3508</f>
        <v>0</v>
      </c>
    </row>
    <row r="3509" spans="1:130" ht="24.8" hidden="1" customHeight="1" x14ac:dyDescent="0.25">
      <c r="A3509" s="141"/>
      <c r="B3509" s="1475" t="s">
        <v>495</v>
      </c>
      <c r="C3509" s="1475"/>
      <c r="D3509" s="1475"/>
      <c r="E3509" s="1475"/>
      <c r="F3509" s="1475"/>
      <c r="G3509" s="1475"/>
      <c r="H3509" s="1475"/>
      <c r="I3509" s="1475"/>
      <c r="J3509" s="1377" t="s">
        <v>560</v>
      </c>
      <c r="K3509" s="1378"/>
      <c r="L3509" s="1378"/>
      <c r="M3509" s="1378"/>
      <c r="N3509" s="1378"/>
      <c r="O3509" s="1378"/>
      <c r="P3509" s="1378"/>
      <c r="Q3509" s="1378"/>
      <c r="R3509" s="1378"/>
      <c r="S3509" s="1378"/>
      <c r="T3509" s="1378"/>
      <c r="U3509" s="1378"/>
      <c r="V3509" s="1378"/>
      <c r="W3509" s="1378"/>
      <c r="X3509" s="1378"/>
      <c r="Y3509" s="1378"/>
      <c r="Z3509" s="1378"/>
      <c r="AA3509" s="1378"/>
      <c r="AB3509" s="1378"/>
      <c r="AC3509" s="1378"/>
      <c r="AD3509" s="1378"/>
      <c r="AE3509" s="1378"/>
      <c r="AF3509" s="1378"/>
      <c r="AG3509" s="1378"/>
      <c r="AH3509" s="1378"/>
      <c r="AI3509" s="1378"/>
      <c r="AJ3509" s="1378"/>
      <c r="AK3509" s="1378"/>
      <c r="AL3509" s="1378"/>
      <c r="AM3509" s="1378"/>
      <c r="AN3509" s="1378"/>
      <c r="AO3509" s="1378"/>
      <c r="AP3509" s="1378"/>
      <c r="AQ3509" s="1378"/>
      <c r="AR3509" s="1378"/>
      <c r="AS3509" s="1378"/>
      <c r="AT3509" s="1378"/>
      <c r="AU3509" s="1378"/>
      <c r="AV3509" s="1378"/>
      <c r="AW3509" s="1378"/>
      <c r="AX3509" s="1378"/>
      <c r="AY3509" s="1378"/>
      <c r="AZ3509" s="1378"/>
      <c r="BA3509" s="1378"/>
      <c r="BB3509" s="1378"/>
      <c r="BC3509" s="1378"/>
      <c r="BD3509" s="1378"/>
      <c r="BE3509" s="1378"/>
      <c r="BF3509" s="1378"/>
      <c r="BG3509" s="1378"/>
      <c r="BH3509" s="1379"/>
      <c r="BI3509" s="420"/>
      <c r="BJ3509" s="421"/>
      <c r="BK3509" s="1476"/>
      <c r="BL3509" s="1476"/>
      <c r="BM3509" s="1476"/>
      <c r="BN3509" s="1476"/>
      <c r="BO3509" s="1476"/>
      <c r="BP3509" s="1476"/>
      <c r="BQ3509" s="1477"/>
      <c r="BR3509" s="475"/>
      <c r="BS3509" s="482"/>
      <c r="BT3509" s="482"/>
      <c r="BU3509" s="482"/>
      <c r="BV3509" s="482"/>
      <c r="BW3509" s="482"/>
      <c r="BX3509" s="482"/>
      <c r="BY3509" s="482"/>
      <c r="BZ3509" s="483"/>
      <c r="CA3509" s="270"/>
      <c r="CB3509" s="3" t="str">
        <f t="shared" si="637"/>
        <v>Riadok bude skrytý.</v>
      </c>
      <c r="CC3509" s="271" t="s">
        <v>832</v>
      </c>
      <c r="CW3509" s="32">
        <f t="shared" si="634"/>
        <v>0</v>
      </c>
      <c r="CZ3509" s="30">
        <f t="shared" si="632"/>
        <v>1</v>
      </c>
      <c r="DA3509" s="30">
        <f t="shared" si="636"/>
        <v>0</v>
      </c>
      <c r="DB3509" s="2">
        <f t="shared" si="635"/>
        <v>0</v>
      </c>
      <c r="DS3509" s="130">
        <f>SI!BY3509</f>
        <v>780</v>
      </c>
      <c r="DZ3509" s="131">
        <f>SI!BZ3509</f>
        <v>0</v>
      </c>
    </row>
    <row r="3510" spans="1:130" ht="24.8" hidden="1" customHeight="1" x14ac:dyDescent="0.25">
      <c r="A3510" s="141"/>
      <c r="B3510" s="1376" t="s">
        <v>496</v>
      </c>
      <c r="C3510" s="1376"/>
      <c r="D3510" s="1376"/>
      <c r="E3510" s="1376"/>
      <c r="F3510" s="1376"/>
      <c r="G3510" s="1376"/>
      <c r="H3510" s="1376"/>
      <c r="I3510" s="1376"/>
      <c r="J3510" s="1390" t="s">
        <v>561</v>
      </c>
      <c r="K3510" s="1391"/>
      <c r="L3510" s="1391"/>
      <c r="M3510" s="1391"/>
      <c r="N3510" s="1391"/>
      <c r="O3510" s="1391"/>
      <c r="P3510" s="1391"/>
      <c r="Q3510" s="1391"/>
      <c r="R3510" s="1391"/>
      <c r="S3510" s="1391"/>
      <c r="T3510" s="1391"/>
      <c r="U3510" s="1391"/>
      <c r="V3510" s="1391"/>
      <c r="W3510" s="1391"/>
      <c r="X3510" s="1391"/>
      <c r="Y3510" s="1391"/>
      <c r="Z3510" s="1391"/>
      <c r="AA3510" s="1391"/>
      <c r="AB3510" s="1391"/>
      <c r="AC3510" s="1391"/>
      <c r="AD3510" s="1391"/>
      <c r="AE3510" s="1391"/>
      <c r="AF3510" s="1391"/>
      <c r="AG3510" s="1391"/>
      <c r="AH3510" s="1391"/>
      <c r="AI3510" s="1391"/>
      <c r="AJ3510" s="1391"/>
      <c r="AK3510" s="1391"/>
      <c r="AL3510" s="1391"/>
      <c r="AM3510" s="1391"/>
      <c r="AN3510" s="1391"/>
      <c r="AO3510" s="1391"/>
      <c r="AP3510" s="1391"/>
      <c r="AQ3510" s="1391"/>
      <c r="AR3510" s="1391"/>
      <c r="AS3510" s="1391"/>
      <c r="AT3510" s="1391"/>
      <c r="AU3510" s="1391"/>
      <c r="AV3510" s="1391"/>
      <c r="AW3510" s="1391"/>
      <c r="AX3510" s="1391"/>
      <c r="AY3510" s="1391"/>
      <c r="AZ3510" s="1391"/>
      <c r="BA3510" s="1391"/>
      <c r="BB3510" s="1391"/>
      <c r="BC3510" s="1391"/>
      <c r="BD3510" s="1391"/>
      <c r="BE3510" s="1391"/>
      <c r="BF3510" s="1391"/>
      <c r="BG3510" s="1391"/>
      <c r="BH3510" s="1392"/>
      <c r="BI3510" s="423">
        <f>+SUM(BI3511:BQ3519)</f>
        <v>0</v>
      </c>
      <c r="BJ3510" s="424"/>
      <c r="BK3510" s="490"/>
      <c r="BL3510" s="490"/>
      <c r="BM3510" s="490"/>
      <c r="BN3510" s="490"/>
      <c r="BO3510" s="490"/>
      <c r="BP3510" s="490"/>
      <c r="BQ3510" s="491"/>
      <c r="BR3510" s="423">
        <f>+SUM(BR3511:BZ3519)</f>
        <v>0</v>
      </c>
      <c r="BS3510" s="424"/>
      <c r="BT3510" s="424"/>
      <c r="BU3510" s="424"/>
      <c r="BV3510" s="424"/>
      <c r="BW3510" s="424"/>
      <c r="BX3510" s="424"/>
      <c r="BY3510" s="424"/>
      <c r="BZ3510" s="425"/>
      <c r="CA3510" s="265" t="s">
        <v>773</v>
      </c>
      <c r="CB3510" s="3" t="str">
        <f t="shared" si="637"/>
        <v>Riadok bude skrytý.</v>
      </c>
      <c r="CC3510" s="271" t="s">
        <v>832</v>
      </c>
      <c r="CW3510" s="32">
        <f t="shared" si="634"/>
        <v>0</v>
      </c>
      <c r="CZ3510" s="30">
        <f t="shared" si="632"/>
        <v>1</v>
      </c>
      <c r="DA3510" s="30">
        <f t="shared" si="636"/>
        <v>0</v>
      </c>
      <c r="DB3510" s="2">
        <f t="shared" si="635"/>
        <v>0</v>
      </c>
      <c r="DS3510" s="130">
        <f>SI!BY3510</f>
        <v>165</v>
      </c>
      <c r="DZ3510" s="131">
        <f>SI!BZ3510</f>
        <v>0</v>
      </c>
    </row>
    <row r="3511" spans="1:130" ht="14.95" hidden="1" customHeight="1" x14ac:dyDescent="0.25">
      <c r="A3511" s="141"/>
      <c r="B3511" s="1380" t="s">
        <v>497</v>
      </c>
      <c r="C3511" s="1380"/>
      <c r="D3511" s="1380"/>
      <c r="E3511" s="1380"/>
      <c r="F3511" s="1380"/>
      <c r="G3511" s="1380"/>
      <c r="H3511" s="1380"/>
      <c r="I3511" s="1380"/>
      <c r="J3511" s="1406" t="s">
        <v>562</v>
      </c>
      <c r="K3511" s="1407"/>
      <c r="L3511" s="1407"/>
      <c r="M3511" s="1407"/>
      <c r="N3511" s="1407"/>
      <c r="O3511" s="1407"/>
      <c r="P3511" s="1407"/>
      <c r="Q3511" s="1407"/>
      <c r="R3511" s="1407"/>
      <c r="S3511" s="1407"/>
      <c r="T3511" s="1407"/>
      <c r="U3511" s="1407"/>
      <c r="V3511" s="1407"/>
      <c r="W3511" s="1407"/>
      <c r="X3511" s="1407"/>
      <c r="Y3511" s="1407"/>
      <c r="Z3511" s="1407"/>
      <c r="AA3511" s="1407"/>
      <c r="AB3511" s="1407"/>
      <c r="AC3511" s="1407"/>
      <c r="AD3511" s="1407"/>
      <c r="AE3511" s="1407"/>
      <c r="AF3511" s="1407"/>
      <c r="AG3511" s="1407"/>
      <c r="AH3511" s="1407"/>
      <c r="AI3511" s="1407"/>
      <c r="AJ3511" s="1407"/>
      <c r="AK3511" s="1407"/>
      <c r="AL3511" s="1407"/>
      <c r="AM3511" s="1407"/>
      <c r="AN3511" s="1407"/>
      <c r="AO3511" s="1407"/>
      <c r="AP3511" s="1407"/>
      <c r="AQ3511" s="1407"/>
      <c r="AR3511" s="1407"/>
      <c r="AS3511" s="1407"/>
      <c r="AT3511" s="1407"/>
      <c r="AU3511" s="1407"/>
      <c r="AV3511" s="1407"/>
      <c r="AW3511" s="1407"/>
      <c r="AX3511" s="1407"/>
      <c r="AY3511" s="1407"/>
      <c r="AZ3511" s="1407"/>
      <c r="BA3511" s="1407"/>
      <c r="BB3511" s="1407"/>
      <c r="BC3511" s="1407"/>
      <c r="BD3511" s="1407"/>
      <c r="BE3511" s="1407"/>
      <c r="BF3511" s="1407"/>
      <c r="BG3511" s="1407"/>
      <c r="BH3511" s="1408"/>
      <c r="BI3511" s="1228"/>
      <c r="BJ3511" s="503"/>
      <c r="BK3511" s="1404"/>
      <c r="BL3511" s="1404"/>
      <c r="BM3511" s="1404"/>
      <c r="BN3511" s="1404"/>
      <c r="BO3511" s="1404"/>
      <c r="BP3511" s="1404"/>
      <c r="BQ3511" s="1405"/>
      <c r="BR3511" s="475"/>
      <c r="BS3511" s="482"/>
      <c r="BT3511" s="482"/>
      <c r="BU3511" s="482"/>
      <c r="BV3511" s="482"/>
      <c r="BW3511" s="482"/>
      <c r="BX3511" s="482"/>
      <c r="BY3511" s="482"/>
      <c r="BZ3511" s="483"/>
      <c r="CA3511" s="265"/>
      <c r="CB3511" s="3" t="str">
        <f t="shared" si="637"/>
        <v>Riadok bude skrytý.</v>
      </c>
      <c r="CC3511" s="271" t="s">
        <v>832</v>
      </c>
      <c r="CW3511" s="32">
        <f t="shared" si="634"/>
        <v>0</v>
      </c>
      <c r="CZ3511" s="30">
        <f t="shared" ref="CZ3511:CZ3574" si="638">IF(CC3511="",1,IF(CC3511="Chcem skryť riadok.",0,1))</f>
        <v>1</v>
      </c>
      <c r="DA3511" s="30">
        <f t="shared" si="636"/>
        <v>0</v>
      </c>
      <c r="DB3511" s="2">
        <f t="shared" si="635"/>
        <v>0</v>
      </c>
      <c r="DS3511" s="130">
        <f>SI!BY3511</f>
        <v>746</v>
      </c>
      <c r="DZ3511" s="131">
        <f>SI!BZ3511</f>
        <v>0</v>
      </c>
    </row>
    <row r="3512" spans="1:130" ht="14.95" hidden="1" customHeight="1" x14ac:dyDescent="0.25">
      <c r="A3512" s="141"/>
      <c r="B3512" s="1380" t="s">
        <v>498</v>
      </c>
      <c r="C3512" s="1380"/>
      <c r="D3512" s="1380"/>
      <c r="E3512" s="1380"/>
      <c r="F3512" s="1380"/>
      <c r="G3512" s="1380"/>
      <c r="H3512" s="1380"/>
      <c r="I3512" s="1380"/>
      <c r="J3512" s="429" t="s">
        <v>583</v>
      </c>
      <c r="K3512" s="430"/>
      <c r="L3512" s="430"/>
      <c r="M3512" s="430"/>
      <c r="N3512" s="430"/>
      <c r="O3512" s="430"/>
      <c r="P3512" s="430"/>
      <c r="Q3512" s="430"/>
      <c r="R3512" s="430"/>
      <c r="S3512" s="430"/>
      <c r="T3512" s="430"/>
      <c r="U3512" s="430"/>
      <c r="V3512" s="430"/>
      <c r="W3512" s="430"/>
      <c r="X3512" s="430"/>
      <c r="Y3512" s="430"/>
      <c r="Z3512" s="430"/>
      <c r="AA3512" s="430"/>
      <c r="AB3512" s="430"/>
      <c r="AC3512" s="430"/>
      <c r="AD3512" s="430"/>
      <c r="AE3512" s="430"/>
      <c r="AF3512" s="430"/>
      <c r="AG3512" s="430"/>
      <c r="AH3512" s="430"/>
      <c r="AI3512" s="430"/>
      <c r="AJ3512" s="430"/>
      <c r="AK3512" s="430"/>
      <c r="AL3512" s="430"/>
      <c r="AM3512" s="430"/>
      <c r="AN3512" s="430"/>
      <c r="AO3512" s="430"/>
      <c r="AP3512" s="430"/>
      <c r="AQ3512" s="430"/>
      <c r="AR3512" s="430"/>
      <c r="AS3512" s="430"/>
      <c r="AT3512" s="430"/>
      <c r="AU3512" s="430"/>
      <c r="AV3512" s="430"/>
      <c r="AW3512" s="430"/>
      <c r="AX3512" s="430"/>
      <c r="AY3512" s="430"/>
      <c r="AZ3512" s="430"/>
      <c r="BA3512" s="430"/>
      <c r="BB3512" s="430"/>
      <c r="BC3512" s="430"/>
      <c r="BD3512" s="430"/>
      <c r="BE3512" s="430"/>
      <c r="BF3512" s="430"/>
      <c r="BG3512" s="430"/>
      <c r="BH3512" s="431"/>
      <c r="BI3512" s="511"/>
      <c r="BJ3512" s="482"/>
      <c r="BK3512" s="512"/>
      <c r="BL3512" s="512"/>
      <c r="BM3512" s="512"/>
      <c r="BN3512" s="512"/>
      <c r="BO3512" s="512"/>
      <c r="BP3512" s="512"/>
      <c r="BQ3512" s="513"/>
      <c r="BR3512" s="475"/>
      <c r="BS3512" s="482"/>
      <c r="BT3512" s="482"/>
      <c r="BU3512" s="482"/>
      <c r="BV3512" s="482"/>
      <c r="BW3512" s="482"/>
      <c r="BX3512" s="482"/>
      <c r="BY3512" s="482"/>
      <c r="BZ3512" s="483"/>
      <c r="CA3512" s="270"/>
      <c r="CB3512" s="3" t="str">
        <f t="shared" si="637"/>
        <v>Riadok bude skrytý.</v>
      </c>
      <c r="CC3512" s="271" t="s">
        <v>832</v>
      </c>
      <c r="CW3512" s="32">
        <f t="shared" si="634"/>
        <v>0</v>
      </c>
      <c r="CZ3512" s="30">
        <f t="shared" si="638"/>
        <v>1</v>
      </c>
      <c r="DA3512" s="30">
        <f t="shared" si="636"/>
        <v>0</v>
      </c>
      <c r="DB3512" s="2">
        <f t="shared" si="635"/>
        <v>0</v>
      </c>
      <c r="DS3512" s="130">
        <f>SI!BY3512</f>
        <v>112</v>
      </c>
      <c r="DZ3512" s="131">
        <f>SI!BZ3512</f>
        <v>0</v>
      </c>
    </row>
    <row r="3513" spans="1:130" ht="37.549999999999997" hidden="1" customHeight="1" x14ac:dyDescent="0.25">
      <c r="A3513" s="141"/>
      <c r="B3513" s="1380" t="s">
        <v>499</v>
      </c>
      <c r="C3513" s="1380"/>
      <c r="D3513" s="1380"/>
      <c r="E3513" s="1380"/>
      <c r="F3513" s="1380"/>
      <c r="G3513" s="1380"/>
      <c r="H3513" s="1380"/>
      <c r="I3513" s="1380"/>
      <c r="J3513" s="429" t="s">
        <v>584</v>
      </c>
      <c r="K3513" s="430"/>
      <c r="L3513" s="430"/>
      <c r="M3513" s="430"/>
      <c r="N3513" s="430"/>
      <c r="O3513" s="430"/>
      <c r="P3513" s="430"/>
      <c r="Q3513" s="430"/>
      <c r="R3513" s="430"/>
      <c r="S3513" s="430"/>
      <c r="T3513" s="430"/>
      <c r="U3513" s="430"/>
      <c r="V3513" s="430"/>
      <c r="W3513" s="430"/>
      <c r="X3513" s="430"/>
      <c r="Y3513" s="430"/>
      <c r="Z3513" s="430"/>
      <c r="AA3513" s="430"/>
      <c r="AB3513" s="430"/>
      <c r="AC3513" s="430"/>
      <c r="AD3513" s="430"/>
      <c r="AE3513" s="430"/>
      <c r="AF3513" s="430"/>
      <c r="AG3513" s="430"/>
      <c r="AH3513" s="430"/>
      <c r="AI3513" s="430"/>
      <c r="AJ3513" s="430"/>
      <c r="AK3513" s="430"/>
      <c r="AL3513" s="430"/>
      <c r="AM3513" s="430"/>
      <c r="AN3513" s="430"/>
      <c r="AO3513" s="430"/>
      <c r="AP3513" s="430"/>
      <c r="AQ3513" s="430"/>
      <c r="AR3513" s="430"/>
      <c r="AS3513" s="430"/>
      <c r="AT3513" s="430"/>
      <c r="AU3513" s="430"/>
      <c r="AV3513" s="430"/>
      <c r="AW3513" s="430"/>
      <c r="AX3513" s="430"/>
      <c r="AY3513" s="430"/>
      <c r="AZ3513" s="430"/>
      <c r="BA3513" s="430"/>
      <c r="BB3513" s="430"/>
      <c r="BC3513" s="430"/>
      <c r="BD3513" s="430"/>
      <c r="BE3513" s="430"/>
      <c r="BF3513" s="430"/>
      <c r="BG3513" s="430"/>
      <c r="BH3513" s="431"/>
      <c r="BI3513" s="511"/>
      <c r="BJ3513" s="482"/>
      <c r="BK3513" s="512"/>
      <c r="BL3513" s="512"/>
      <c r="BM3513" s="512"/>
      <c r="BN3513" s="512"/>
      <c r="BO3513" s="512"/>
      <c r="BP3513" s="512"/>
      <c r="BQ3513" s="513"/>
      <c r="BR3513" s="475"/>
      <c r="BS3513" s="482"/>
      <c r="BT3513" s="482"/>
      <c r="BU3513" s="482"/>
      <c r="BV3513" s="482"/>
      <c r="BW3513" s="482"/>
      <c r="BX3513" s="482"/>
      <c r="BY3513" s="482"/>
      <c r="BZ3513" s="483"/>
      <c r="CA3513" s="270"/>
      <c r="CB3513" s="3" t="str">
        <f t="shared" si="637"/>
        <v>Riadok bude skrytý.</v>
      </c>
      <c r="CC3513" s="271" t="s">
        <v>832</v>
      </c>
      <c r="CW3513" s="32">
        <f t="shared" si="634"/>
        <v>0</v>
      </c>
      <c r="CZ3513" s="30">
        <f t="shared" si="638"/>
        <v>1</v>
      </c>
      <c r="DA3513" s="30">
        <f t="shared" si="636"/>
        <v>0</v>
      </c>
      <c r="DB3513" s="2">
        <f t="shared" si="635"/>
        <v>0</v>
      </c>
      <c r="DS3513" s="130">
        <f>SI!BY3513</f>
        <v>277</v>
      </c>
      <c r="DZ3513" s="131">
        <f>SI!BZ3513</f>
        <v>0</v>
      </c>
    </row>
    <row r="3514" spans="1:130" ht="37.549999999999997" hidden="1" customHeight="1" x14ac:dyDescent="0.25">
      <c r="A3514" s="141"/>
      <c r="B3514" s="1380" t="s">
        <v>500</v>
      </c>
      <c r="C3514" s="1380"/>
      <c r="D3514" s="1380"/>
      <c r="E3514" s="1380"/>
      <c r="F3514" s="1380"/>
      <c r="G3514" s="1380"/>
      <c r="H3514" s="1380"/>
      <c r="I3514" s="1380"/>
      <c r="J3514" s="429" t="s">
        <v>563</v>
      </c>
      <c r="K3514" s="430"/>
      <c r="L3514" s="430"/>
      <c r="M3514" s="430"/>
      <c r="N3514" s="430"/>
      <c r="O3514" s="430"/>
      <c r="P3514" s="430"/>
      <c r="Q3514" s="430"/>
      <c r="R3514" s="430"/>
      <c r="S3514" s="430"/>
      <c r="T3514" s="430"/>
      <c r="U3514" s="430"/>
      <c r="V3514" s="430"/>
      <c r="W3514" s="430"/>
      <c r="X3514" s="430"/>
      <c r="Y3514" s="430"/>
      <c r="Z3514" s="430"/>
      <c r="AA3514" s="430"/>
      <c r="AB3514" s="430"/>
      <c r="AC3514" s="430"/>
      <c r="AD3514" s="430"/>
      <c r="AE3514" s="430"/>
      <c r="AF3514" s="430"/>
      <c r="AG3514" s="430"/>
      <c r="AH3514" s="430"/>
      <c r="AI3514" s="430"/>
      <c r="AJ3514" s="430"/>
      <c r="AK3514" s="430"/>
      <c r="AL3514" s="430"/>
      <c r="AM3514" s="430"/>
      <c r="AN3514" s="430"/>
      <c r="AO3514" s="430"/>
      <c r="AP3514" s="430"/>
      <c r="AQ3514" s="430"/>
      <c r="AR3514" s="430"/>
      <c r="AS3514" s="430"/>
      <c r="AT3514" s="430"/>
      <c r="AU3514" s="430"/>
      <c r="AV3514" s="430"/>
      <c r="AW3514" s="430"/>
      <c r="AX3514" s="430"/>
      <c r="AY3514" s="430"/>
      <c r="AZ3514" s="430"/>
      <c r="BA3514" s="430"/>
      <c r="BB3514" s="430"/>
      <c r="BC3514" s="430"/>
      <c r="BD3514" s="430"/>
      <c r="BE3514" s="430"/>
      <c r="BF3514" s="430"/>
      <c r="BG3514" s="430"/>
      <c r="BH3514" s="431"/>
      <c r="BI3514" s="511"/>
      <c r="BJ3514" s="482"/>
      <c r="BK3514" s="512"/>
      <c r="BL3514" s="512"/>
      <c r="BM3514" s="512"/>
      <c r="BN3514" s="512"/>
      <c r="BO3514" s="512"/>
      <c r="BP3514" s="512"/>
      <c r="BQ3514" s="513"/>
      <c r="BR3514" s="475"/>
      <c r="BS3514" s="482"/>
      <c r="BT3514" s="482"/>
      <c r="BU3514" s="482"/>
      <c r="BV3514" s="482"/>
      <c r="BW3514" s="482"/>
      <c r="BX3514" s="482"/>
      <c r="BY3514" s="482"/>
      <c r="BZ3514" s="483"/>
      <c r="CA3514" s="270"/>
      <c r="CB3514" s="3" t="str">
        <f t="shared" si="637"/>
        <v>Riadok bude skrytý.</v>
      </c>
      <c r="CC3514" s="271" t="s">
        <v>832</v>
      </c>
      <c r="CW3514" s="32">
        <f t="shared" ref="CW3514:CW3534" si="639">+IF($BJ$3447="nezostavila.",0,IF($AR$3448="nepriamej",0,1))</f>
        <v>0</v>
      </c>
      <c r="CZ3514" s="30">
        <f t="shared" si="638"/>
        <v>1</v>
      </c>
      <c r="DA3514" s="30">
        <f t="shared" si="636"/>
        <v>0</v>
      </c>
      <c r="DB3514" s="2">
        <f t="shared" si="635"/>
        <v>0</v>
      </c>
      <c r="DS3514" s="130">
        <f>SI!BY3514</f>
        <v>301</v>
      </c>
      <c r="DZ3514" s="131">
        <f>SI!BZ3514</f>
        <v>0</v>
      </c>
    </row>
    <row r="3515" spans="1:130" ht="14.95" hidden="1" customHeight="1" x14ac:dyDescent="0.25">
      <c r="A3515" s="141"/>
      <c r="B3515" s="1380" t="s">
        <v>501</v>
      </c>
      <c r="C3515" s="1380"/>
      <c r="D3515" s="1380"/>
      <c r="E3515" s="1380"/>
      <c r="F3515" s="1380"/>
      <c r="G3515" s="1380"/>
      <c r="H3515" s="1380"/>
      <c r="I3515" s="1380"/>
      <c r="J3515" s="429" t="s">
        <v>564</v>
      </c>
      <c r="K3515" s="430"/>
      <c r="L3515" s="430"/>
      <c r="M3515" s="430"/>
      <c r="N3515" s="430"/>
      <c r="O3515" s="430"/>
      <c r="P3515" s="430"/>
      <c r="Q3515" s="430"/>
      <c r="R3515" s="430"/>
      <c r="S3515" s="430"/>
      <c r="T3515" s="430"/>
      <c r="U3515" s="430"/>
      <c r="V3515" s="430"/>
      <c r="W3515" s="430"/>
      <c r="X3515" s="430"/>
      <c r="Y3515" s="430"/>
      <c r="Z3515" s="430"/>
      <c r="AA3515" s="430"/>
      <c r="AB3515" s="430"/>
      <c r="AC3515" s="430"/>
      <c r="AD3515" s="430"/>
      <c r="AE3515" s="430"/>
      <c r="AF3515" s="430"/>
      <c r="AG3515" s="430"/>
      <c r="AH3515" s="430"/>
      <c r="AI3515" s="430"/>
      <c r="AJ3515" s="430"/>
      <c r="AK3515" s="430"/>
      <c r="AL3515" s="430"/>
      <c r="AM3515" s="430"/>
      <c r="AN3515" s="430"/>
      <c r="AO3515" s="430"/>
      <c r="AP3515" s="430"/>
      <c r="AQ3515" s="430"/>
      <c r="AR3515" s="430"/>
      <c r="AS3515" s="430"/>
      <c r="AT3515" s="430"/>
      <c r="AU3515" s="430"/>
      <c r="AV3515" s="430"/>
      <c r="AW3515" s="430"/>
      <c r="AX3515" s="430"/>
      <c r="AY3515" s="430"/>
      <c r="AZ3515" s="430"/>
      <c r="BA3515" s="430"/>
      <c r="BB3515" s="430"/>
      <c r="BC3515" s="430"/>
      <c r="BD3515" s="430"/>
      <c r="BE3515" s="430"/>
      <c r="BF3515" s="430"/>
      <c r="BG3515" s="430"/>
      <c r="BH3515" s="431"/>
      <c r="BI3515" s="511"/>
      <c r="BJ3515" s="482"/>
      <c r="BK3515" s="512"/>
      <c r="BL3515" s="512"/>
      <c r="BM3515" s="512"/>
      <c r="BN3515" s="512"/>
      <c r="BO3515" s="512"/>
      <c r="BP3515" s="512"/>
      <c r="BQ3515" s="513"/>
      <c r="BR3515" s="475"/>
      <c r="BS3515" s="482"/>
      <c r="BT3515" s="482"/>
      <c r="BU3515" s="482"/>
      <c r="BV3515" s="482"/>
      <c r="BW3515" s="482"/>
      <c r="BX3515" s="482"/>
      <c r="BY3515" s="482"/>
      <c r="BZ3515" s="483"/>
      <c r="CA3515" s="270"/>
      <c r="CB3515" s="3" t="str">
        <f t="shared" si="637"/>
        <v>Riadok bude skrytý.</v>
      </c>
      <c r="CC3515" s="271" t="s">
        <v>832</v>
      </c>
      <c r="CW3515" s="32">
        <f t="shared" si="639"/>
        <v>0</v>
      </c>
      <c r="CZ3515" s="30">
        <f t="shared" si="638"/>
        <v>1</v>
      </c>
      <c r="DA3515" s="30">
        <f t="shared" si="636"/>
        <v>0</v>
      </c>
      <c r="DB3515" s="2">
        <f t="shared" si="635"/>
        <v>0</v>
      </c>
      <c r="DS3515" s="130">
        <f>SI!BY3515</f>
        <v>143</v>
      </c>
      <c r="DZ3515" s="131">
        <f>SI!BZ3515</f>
        <v>0</v>
      </c>
    </row>
    <row r="3516" spans="1:130" ht="14.95" hidden="1" customHeight="1" x14ac:dyDescent="0.25">
      <c r="A3516" s="141"/>
      <c r="B3516" s="1380" t="s">
        <v>502</v>
      </c>
      <c r="C3516" s="1380"/>
      <c r="D3516" s="1380"/>
      <c r="E3516" s="1380"/>
      <c r="F3516" s="1380"/>
      <c r="G3516" s="1380"/>
      <c r="H3516" s="1380"/>
      <c r="I3516" s="1380"/>
      <c r="J3516" s="429" t="s">
        <v>565</v>
      </c>
      <c r="K3516" s="430"/>
      <c r="L3516" s="430"/>
      <c r="M3516" s="430"/>
      <c r="N3516" s="430"/>
      <c r="O3516" s="430"/>
      <c r="P3516" s="430"/>
      <c r="Q3516" s="430"/>
      <c r="R3516" s="430"/>
      <c r="S3516" s="430"/>
      <c r="T3516" s="430"/>
      <c r="U3516" s="430"/>
      <c r="V3516" s="430"/>
      <c r="W3516" s="430"/>
      <c r="X3516" s="430"/>
      <c r="Y3516" s="430"/>
      <c r="Z3516" s="430"/>
      <c r="AA3516" s="430"/>
      <c r="AB3516" s="430"/>
      <c r="AC3516" s="430"/>
      <c r="AD3516" s="430"/>
      <c r="AE3516" s="430"/>
      <c r="AF3516" s="430"/>
      <c r="AG3516" s="430"/>
      <c r="AH3516" s="430"/>
      <c r="AI3516" s="430"/>
      <c r="AJ3516" s="430"/>
      <c r="AK3516" s="430"/>
      <c r="AL3516" s="430"/>
      <c r="AM3516" s="430"/>
      <c r="AN3516" s="430"/>
      <c r="AO3516" s="430"/>
      <c r="AP3516" s="430"/>
      <c r="AQ3516" s="430"/>
      <c r="AR3516" s="430"/>
      <c r="AS3516" s="430"/>
      <c r="AT3516" s="430"/>
      <c r="AU3516" s="430"/>
      <c r="AV3516" s="430"/>
      <c r="AW3516" s="430"/>
      <c r="AX3516" s="430"/>
      <c r="AY3516" s="430"/>
      <c r="AZ3516" s="430"/>
      <c r="BA3516" s="430"/>
      <c r="BB3516" s="430"/>
      <c r="BC3516" s="430"/>
      <c r="BD3516" s="430"/>
      <c r="BE3516" s="430"/>
      <c r="BF3516" s="430"/>
      <c r="BG3516" s="430"/>
      <c r="BH3516" s="431"/>
      <c r="BI3516" s="511"/>
      <c r="BJ3516" s="482"/>
      <c r="BK3516" s="512"/>
      <c r="BL3516" s="512"/>
      <c r="BM3516" s="512"/>
      <c r="BN3516" s="512"/>
      <c r="BO3516" s="512"/>
      <c r="BP3516" s="512"/>
      <c r="BQ3516" s="513"/>
      <c r="BR3516" s="475"/>
      <c r="BS3516" s="482"/>
      <c r="BT3516" s="482"/>
      <c r="BU3516" s="482"/>
      <c r="BV3516" s="482"/>
      <c r="BW3516" s="482"/>
      <c r="BX3516" s="482"/>
      <c r="BY3516" s="482"/>
      <c r="BZ3516" s="483"/>
      <c r="CA3516" s="270"/>
      <c r="CB3516" s="3" t="str">
        <f t="shared" si="637"/>
        <v>Riadok bude skrytý.</v>
      </c>
      <c r="CC3516" s="271" t="s">
        <v>832</v>
      </c>
      <c r="CW3516" s="32">
        <f t="shared" si="639"/>
        <v>0</v>
      </c>
      <c r="CZ3516" s="30">
        <f t="shared" si="638"/>
        <v>1</v>
      </c>
      <c r="DA3516" s="30">
        <f t="shared" si="636"/>
        <v>0</v>
      </c>
      <c r="DB3516" s="2">
        <f t="shared" si="635"/>
        <v>0</v>
      </c>
      <c r="DS3516" s="130">
        <f>SI!BY3516</f>
        <v>690</v>
      </c>
      <c r="DZ3516" s="131">
        <f>SI!BZ3516</f>
        <v>0</v>
      </c>
    </row>
    <row r="3517" spans="1:130" ht="24.8" hidden="1" customHeight="1" x14ac:dyDescent="0.25">
      <c r="A3517" s="141"/>
      <c r="B3517" s="1380" t="s">
        <v>503</v>
      </c>
      <c r="C3517" s="1380"/>
      <c r="D3517" s="1380"/>
      <c r="E3517" s="1380"/>
      <c r="F3517" s="1380"/>
      <c r="G3517" s="1380"/>
      <c r="H3517" s="1380"/>
      <c r="I3517" s="1380"/>
      <c r="J3517" s="429" t="s">
        <v>566</v>
      </c>
      <c r="K3517" s="430"/>
      <c r="L3517" s="430"/>
      <c r="M3517" s="430"/>
      <c r="N3517" s="430"/>
      <c r="O3517" s="430"/>
      <c r="P3517" s="430"/>
      <c r="Q3517" s="430"/>
      <c r="R3517" s="430"/>
      <c r="S3517" s="430"/>
      <c r="T3517" s="430"/>
      <c r="U3517" s="430"/>
      <c r="V3517" s="430"/>
      <c r="W3517" s="430"/>
      <c r="X3517" s="430"/>
      <c r="Y3517" s="430"/>
      <c r="Z3517" s="430"/>
      <c r="AA3517" s="430"/>
      <c r="AB3517" s="430"/>
      <c r="AC3517" s="430"/>
      <c r="AD3517" s="430"/>
      <c r="AE3517" s="430"/>
      <c r="AF3517" s="430"/>
      <c r="AG3517" s="430"/>
      <c r="AH3517" s="430"/>
      <c r="AI3517" s="430"/>
      <c r="AJ3517" s="430"/>
      <c r="AK3517" s="430"/>
      <c r="AL3517" s="430"/>
      <c r="AM3517" s="430"/>
      <c r="AN3517" s="430"/>
      <c r="AO3517" s="430"/>
      <c r="AP3517" s="430"/>
      <c r="AQ3517" s="430"/>
      <c r="AR3517" s="430"/>
      <c r="AS3517" s="430"/>
      <c r="AT3517" s="430"/>
      <c r="AU3517" s="430"/>
      <c r="AV3517" s="430"/>
      <c r="AW3517" s="430"/>
      <c r="AX3517" s="430"/>
      <c r="AY3517" s="430"/>
      <c r="AZ3517" s="430"/>
      <c r="BA3517" s="430"/>
      <c r="BB3517" s="430"/>
      <c r="BC3517" s="430"/>
      <c r="BD3517" s="430"/>
      <c r="BE3517" s="430"/>
      <c r="BF3517" s="430"/>
      <c r="BG3517" s="430"/>
      <c r="BH3517" s="431"/>
      <c r="BI3517" s="511"/>
      <c r="BJ3517" s="482"/>
      <c r="BK3517" s="512"/>
      <c r="BL3517" s="512"/>
      <c r="BM3517" s="512"/>
      <c r="BN3517" s="512"/>
      <c r="BO3517" s="512"/>
      <c r="BP3517" s="512"/>
      <c r="BQ3517" s="513"/>
      <c r="BR3517" s="475"/>
      <c r="BS3517" s="482"/>
      <c r="BT3517" s="482"/>
      <c r="BU3517" s="482"/>
      <c r="BV3517" s="482"/>
      <c r="BW3517" s="482"/>
      <c r="BX3517" s="482"/>
      <c r="BY3517" s="482"/>
      <c r="BZ3517" s="483"/>
      <c r="CA3517" s="270"/>
      <c r="CB3517" s="3" t="str">
        <f t="shared" si="637"/>
        <v>Riadok bude skrytý.</v>
      </c>
      <c r="CC3517" s="271" t="s">
        <v>832</v>
      </c>
      <c r="CW3517" s="32">
        <f t="shared" si="639"/>
        <v>0</v>
      </c>
      <c r="CZ3517" s="30">
        <f t="shared" si="638"/>
        <v>1</v>
      </c>
      <c r="DA3517" s="30">
        <f t="shared" si="636"/>
        <v>0</v>
      </c>
      <c r="DB3517" s="2">
        <f t="shared" si="635"/>
        <v>0</v>
      </c>
      <c r="DS3517" s="130">
        <f>SI!BY3517</f>
        <v>180</v>
      </c>
      <c r="DZ3517" s="131">
        <f>SI!BZ3517</f>
        <v>0</v>
      </c>
    </row>
    <row r="3518" spans="1:130" ht="37.549999999999997" hidden="1" customHeight="1" x14ac:dyDescent="0.25">
      <c r="A3518" s="141"/>
      <c r="B3518" s="1380" t="s">
        <v>504</v>
      </c>
      <c r="C3518" s="1380"/>
      <c r="D3518" s="1380"/>
      <c r="E3518" s="1380"/>
      <c r="F3518" s="1380"/>
      <c r="G3518" s="1380"/>
      <c r="H3518" s="1380"/>
      <c r="I3518" s="1380"/>
      <c r="J3518" s="429" t="s">
        <v>567</v>
      </c>
      <c r="K3518" s="430"/>
      <c r="L3518" s="430"/>
      <c r="M3518" s="430"/>
      <c r="N3518" s="430"/>
      <c r="O3518" s="430"/>
      <c r="P3518" s="430"/>
      <c r="Q3518" s="430"/>
      <c r="R3518" s="430"/>
      <c r="S3518" s="430"/>
      <c r="T3518" s="430"/>
      <c r="U3518" s="430"/>
      <c r="V3518" s="430"/>
      <c r="W3518" s="430"/>
      <c r="X3518" s="430"/>
      <c r="Y3518" s="430"/>
      <c r="Z3518" s="430"/>
      <c r="AA3518" s="430"/>
      <c r="AB3518" s="430"/>
      <c r="AC3518" s="430"/>
      <c r="AD3518" s="430"/>
      <c r="AE3518" s="430"/>
      <c r="AF3518" s="430"/>
      <c r="AG3518" s="430"/>
      <c r="AH3518" s="430"/>
      <c r="AI3518" s="430"/>
      <c r="AJ3518" s="430"/>
      <c r="AK3518" s="430"/>
      <c r="AL3518" s="430"/>
      <c r="AM3518" s="430"/>
      <c r="AN3518" s="430"/>
      <c r="AO3518" s="430"/>
      <c r="AP3518" s="430"/>
      <c r="AQ3518" s="430"/>
      <c r="AR3518" s="430"/>
      <c r="AS3518" s="430"/>
      <c r="AT3518" s="430"/>
      <c r="AU3518" s="430"/>
      <c r="AV3518" s="430"/>
      <c r="AW3518" s="430"/>
      <c r="AX3518" s="430"/>
      <c r="AY3518" s="430"/>
      <c r="AZ3518" s="430"/>
      <c r="BA3518" s="430"/>
      <c r="BB3518" s="430"/>
      <c r="BC3518" s="430"/>
      <c r="BD3518" s="430"/>
      <c r="BE3518" s="430"/>
      <c r="BF3518" s="430"/>
      <c r="BG3518" s="430"/>
      <c r="BH3518" s="431"/>
      <c r="BI3518" s="511"/>
      <c r="BJ3518" s="482"/>
      <c r="BK3518" s="512"/>
      <c r="BL3518" s="512"/>
      <c r="BM3518" s="512"/>
      <c r="BN3518" s="512"/>
      <c r="BO3518" s="512"/>
      <c r="BP3518" s="512"/>
      <c r="BQ3518" s="513"/>
      <c r="BR3518" s="475"/>
      <c r="BS3518" s="482"/>
      <c r="BT3518" s="482"/>
      <c r="BU3518" s="482"/>
      <c r="BV3518" s="482"/>
      <c r="BW3518" s="482"/>
      <c r="BX3518" s="482"/>
      <c r="BY3518" s="482"/>
      <c r="BZ3518" s="483"/>
      <c r="CA3518" s="270"/>
      <c r="CB3518" s="3" t="str">
        <f t="shared" si="637"/>
        <v>Riadok bude skrytý.</v>
      </c>
      <c r="CC3518" s="271" t="s">
        <v>832</v>
      </c>
      <c r="CW3518" s="32">
        <f t="shared" si="639"/>
        <v>0</v>
      </c>
      <c r="CZ3518" s="30">
        <f t="shared" si="638"/>
        <v>1</v>
      </c>
      <c r="DA3518" s="30">
        <f t="shared" si="636"/>
        <v>0</v>
      </c>
      <c r="DB3518" s="2">
        <f t="shared" si="635"/>
        <v>0</v>
      </c>
      <c r="DS3518" s="130">
        <f>SI!BY3518</f>
        <v>948</v>
      </c>
      <c r="DZ3518" s="131">
        <f>SI!BZ3518</f>
        <v>0</v>
      </c>
    </row>
    <row r="3519" spans="1:130" ht="37.549999999999997" hidden="1" customHeight="1" x14ac:dyDescent="0.25">
      <c r="A3519" s="141"/>
      <c r="B3519" s="1461" t="s">
        <v>505</v>
      </c>
      <c r="C3519" s="1461"/>
      <c r="D3519" s="1461"/>
      <c r="E3519" s="1461"/>
      <c r="F3519" s="1461"/>
      <c r="G3519" s="1461"/>
      <c r="H3519" s="1461"/>
      <c r="I3519" s="1461"/>
      <c r="J3519" s="1377" t="s">
        <v>568</v>
      </c>
      <c r="K3519" s="1378"/>
      <c r="L3519" s="1378"/>
      <c r="M3519" s="1378"/>
      <c r="N3519" s="1378"/>
      <c r="O3519" s="1378"/>
      <c r="P3519" s="1378"/>
      <c r="Q3519" s="1378"/>
      <c r="R3519" s="1378"/>
      <c r="S3519" s="1378"/>
      <c r="T3519" s="1378"/>
      <c r="U3519" s="1378"/>
      <c r="V3519" s="1378"/>
      <c r="W3519" s="1378"/>
      <c r="X3519" s="1378"/>
      <c r="Y3519" s="1378"/>
      <c r="Z3519" s="1378"/>
      <c r="AA3519" s="1378"/>
      <c r="AB3519" s="1378"/>
      <c r="AC3519" s="1378"/>
      <c r="AD3519" s="1378"/>
      <c r="AE3519" s="1378"/>
      <c r="AF3519" s="1378"/>
      <c r="AG3519" s="1378"/>
      <c r="AH3519" s="1378"/>
      <c r="AI3519" s="1378"/>
      <c r="AJ3519" s="1378"/>
      <c r="AK3519" s="1378"/>
      <c r="AL3519" s="1378"/>
      <c r="AM3519" s="1378"/>
      <c r="AN3519" s="1378"/>
      <c r="AO3519" s="1378"/>
      <c r="AP3519" s="1378"/>
      <c r="AQ3519" s="1378"/>
      <c r="AR3519" s="1378"/>
      <c r="AS3519" s="1378"/>
      <c r="AT3519" s="1378"/>
      <c r="AU3519" s="1378"/>
      <c r="AV3519" s="1378"/>
      <c r="AW3519" s="1378"/>
      <c r="AX3519" s="1378"/>
      <c r="AY3519" s="1378"/>
      <c r="AZ3519" s="1378"/>
      <c r="BA3519" s="1378"/>
      <c r="BB3519" s="1378"/>
      <c r="BC3519" s="1378"/>
      <c r="BD3519" s="1378"/>
      <c r="BE3519" s="1378"/>
      <c r="BF3519" s="1378"/>
      <c r="BG3519" s="1378"/>
      <c r="BH3519" s="1379"/>
      <c r="BI3519" s="454"/>
      <c r="BJ3519" s="455"/>
      <c r="BK3519" s="506"/>
      <c r="BL3519" s="506"/>
      <c r="BM3519" s="506"/>
      <c r="BN3519" s="506"/>
      <c r="BO3519" s="506"/>
      <c r="BP3519" s="506"/>
      <c r="BQ3519" s="507"/>
      <c r="BR3519" s="454"/>
      <c r="BS3519" s="455"/>
      <c r="BT3519" s="455"/>
      <c r="BU3519" s="455"/>
      <c r="BV3519" s="455"/>
      <c r="BW3519" s="455"/>
      <c r="BX3519" s="455"/>
      <c r="BY3519" s="455"/>
      <c r="BZ3519" s="456"/>
      <c r="CA3519" s="270"/>
      <c r="CB3519" s="3" t="str">
        <f t="shared" si="637"/>
        <v>Riadok bude skrytý.</v>
      </c>
      <c r="CC3519" s="271" t="s">
        <v>832</v>
      </c>
      <c r="CW3519" s="32">
        <f t="shared" si="639"/>
        <v>0</v>
      </c>
      <c r="CZ3519" s="30">
        <f t="shared" si="638"/>
        <v>1</v>
      </c>
      <c r="DA3519" s="30">
        <f t="shared" si="636"/>
        <v>0</v>
      </c>
      <c r="DB3519" s="2">
        <f t="shared" si="635"/>
        <v>0</v>
      </c>
      <c r="DS3519" s="130">
        <f>SI!BY3519</f>
        <v>160</v>
      </c>
      <c r="DZ3519" s="131">
        <f>SI!BZ3519</f>
        <v>0</v>
      </c>
    </row>
    <row r="3520" spans="1:130" ht="24.8" hidden="1" customHeight="1" x14ac:dyDescent="0.25">
      <c r="A3520" s="141"/>
      <c r="B3520" s="1376" t="s">
        <v>506</v>
      </c>
      <c r="C3520" s="1376"/>
      <c r="D3520" s="1376"/>
      <c r="E3520" s="1376"/>
      <c r="F3520" s="1376"/>
      <c r="G3520" s="1376"/>
      <c r="H3520" s="1376"/>
      <c r="I3520" s="1376"/>
      <c r="J3520" s="1390" t="s">
        <v>569</v>
      </c>
      <c r="K3520" s="1391"/>
      <c r="L3520" s="1391"/>
      <c r="M3520" s="1391"/>
      <c r="N3520" s="1391"/>
      <c r="O3520" s="1391"/>
      <c r="P3520" s="1391"/>
      <c r="Q3520" s="1391"/>
      <c r="R3520" s="1391"/>
      <c r="S3520" s="1391"/>
      <c r="T3520" s="1391"/>
      <c r="U3520" s="1391"/>
      <c r="V3520" s="1391"/>
      <c r="W3520" s="1391"/>
      <c r="X3520" s="1391"/>
      <c r="Y3520" s="1391"/>
      <c r="Z3520" s="1391"/>
      <c r="AA3520" s="1391"/>
      <c r="AB3520" s="1391"/>
      <c r="AC3520" s="1391"/>
      <c r="AD3520" s="1391"/>
      <c r="AE3520" s="1391"/>
      <c r="AF3520" s="1391"/>
      <c r="AG3520" s="1391"/>
      <c r="AH3520" s="1391"/>
      <c r="AI3520" s="1391"/>
      <c r="AJ3520" s="1391"/>
      <c r="AK3520" s="1391"/>
      <c r="AL3520" s="1391"/>
      <c r="AM3520" s="1391"/>
      <c r="AN3520" s="1391"/>
      <c r="AO3520" s="1391"/>
      <c r="AP3520" s="1391"/>
      <c r="AQ3520" s="1391"/>
      <c r="AR3520" s="1391"/>
      <c r="AS3520" s="1391"/>
      <c r="AT3520" s="1391"/>
      <c r="AU3520" s="1391"/>
      <c r="AV3520" s="1391"/>
      <c r="AW3520" s="1391"/>
      <c r="AX3520" s="1391"/>
      <c r="AY3520" s="1391"/>
      <c r="AZ3520" s="1391"/>
      <c r="BA3520" s="1391"/>
      <c r="BB3520" s="1391"/>
      <c r="BC3520" s="1391"/>
      <c r="BD3520" s="1391"/>
      <c r="BE3520" s="1391"/>
      <c r="BF3520" s="1391"/>
      <c r="BG3520" s="1391"/>
      <c r="BH3520" s="1392"/>
      <c r="BI3520" s="466"/>
      <c r="BJ3520" s="467"/>
      <c r="BK3520" s="1381"/>
      <c r="BL3520" s="1381"/>
      <c r="BM3520" s="1381"/>
      <c r="BN3520" s="1381"/>
      <c r="BO3520" s="1381"/>
      <c r="BP3520" s="1381"/>
      <c r="BQ3520" s="1382"/>
      <c r="BR3520" s="462"/>
      <c r="BS3520" s="421"/>
      <c r="BT3520" s="421"/>
      <c r="BU3520" s="421"/>
      <c r="BV3520" s="421"/>
      <c r="BW3520" s="421"/>
      <c r="BX3520" s="421"/>
      <c r="BY3520" s="421"/>
      <c r="BZ3520" s="422"/>
      <c r="CA3520" s="270"/>
      <c r="CB3520" s="3" t="str">
        <f t="shared" si="637"/>
        <v>Riadok bude skrytý.</v>
      </c>
      <c r="CC3520" s="271" t="s">
        <v>832</v>
      </c>
      <c r="CW3520" s="32">
        <f t="shared" si="639"/>
        <v>0</v>
      </c>
      <c r="CZ3520" s="30">
        <f t="shared" si="638"/>
        <v>1</v>
      </c>
      <c r="DA3520" s="30">
        <f t="shared" si="636"/>
        <v>0</v>
      </c>
      <c r="DB3520" s="2">
        <f t="shared" si="635"/>
        <v>0</v>
      </c>
      <c r="DS3520" s="130">
        <f>SI!BY3520</f>
        <v>183</v>
      </c>
      <c r="DZ3520" s="131">
        <f>SI!BZ3520</f>
        <v>0</v>
      </c>
    </row>
    <row r="3521" spans="1:130" ht="24.8" hidden="1" customHeight="1" x14ac:dyDescent="0.25">
      <c r="A3521" s="141"/>
      <c r="B3521" s="1376" t="s">
        <v>507</v>
      </c>
      <c r="C3521" s="1376"/>
      <c r="D3521" s="1376"/>
      <c r="E3521" s="1376"/>
      <c r="F3521" s="1376"/>
      <c r="G3521" s="1376"/>
      <c r="H3521" s="1376"/>
      <c r="I3521" s="1376"/>
      <c r="J3521" s="1390" t="s">
        <v>570</v>
      </c>
      <c r="K3521" s="1391"/>
      <c r="L3521" s="1391"/>
      <c r="M3521" s="1391"/>
      <c r="N3521" s="1391"/>
      <c r="O3521" s="1391"/>
      <c r="P3521" s="1391"/>
      <c r="Q3521" s="1391"/>
      <c r="R3521" s="1391"/>
      <c r="S3521" s="1391"/>
      <c r="T3521" s="1391"/>
      <c r="U3521" s="1391"/>
      <c r="V3521" s="1391"/>
      <c r="W3521" s="1391"/>
      <c r="X3521" s="1391"/>
      <c r="Y3521" s="1391"/>
      <c r="Z3521" s="1391"/>
      <c r="AA3521" s="1391"/>
      <c r="AB3521" s="1391"/>
      <c r="AC3521" s="1391"/>
      <c r="AD3521" s="1391"/>
      <c r="AE3521" s="1391"/>
      <c r="AF3521" s="1391"/>
      <c r="AG3521" s="1391"/>
      <c r="AH3521" s="1391"/>
      <c r="AI3521" s="1391"/>
      <c r="AJ3521" s="1391"/>
      <c r="AK3521" s="1391"/>
      <c r="AL3521" s="1391"/>
      <c r="AM3521" s="1391"/>
      <c r="AN3521" s="1391"/>
      <c r="AO3521" s="1391"/>
      <c r="AP3521" s="1391"/>
      <c r="AQ3521" s="1391"/>
      <c r="AR3521" s="1391"/>
      <c r="AS3521" s="1391"/>
      <c r="AT3521" s="1391"/>
      <c r="AU3521" s="1391"/>
      <c r="AV3521" s="1391"/>
      <c r="AW3521" s="1391"/>
      <c r="AX3521" s="1391"/>
      <c r="AY3521" s="1391"/>
      <c r="AZ3521" s="1391"/>
      <c r="BA3521" s="1391"/>
      <c r="BB3521" s="1391"/>
      <c r="BC3521" s="1391"/>
      <c r="BD3521" s="1391"/>
      <c r="BE3521" s="1391"/>
      <c r="BF3521" s="1391"/>
      <c r="BG3521" s="1391"/>
      <c r="BH3521" s="1392"/>
      <c r="BI3521" s="472"/>
      <c r="BJ3521" s="473"/>
      <c r="BK3521" s="1394"/>
      <c r="BL3521" s="1394"/>
      <c r="BM3521" s="1394"/>
      <c r="BN3521" s="1394"/>
      <c r="BO3521" s="1394"/>
      <c r="BP3521" s="1394"/>
      <c r="BQ3521" s="1395"/>
      <c r="BR3521" s="481"/>
      <c r="BS3521" s="473"/>
      <c r="BT3521" s="473"/>
      <c r="BU3521" s="473"/>
      <c r="BV3521" s="473"/>
      <c r="BW3521" s="473"/>
      <c r="BX3521" s="473"/>
      <c r="BY3521" s="473"/>
      <c r="BZ3521" s="474"/>
      <c r="CA3521" s="270"/>
      <c r="CB3521" s="3" t="str">
        <f t="shared" si="637"/>
        <v>Riadok bude skrytý.</v>
      </c>
      <c r="CC3521" s="271" t="s">
        <v>832</v>
      </c>
      <c r="CW3521" s="32">
        <f t="shared" si="639"/>
        <v>0</v>
      </c>
      <c r="CZ3521" s="30">
        <f t="shared" si="638"/>
        <v>1</v>
      </c>
      <c r="DA3521" s="30">
        <f t="shared" si="636"/>
        <v>0</v>
      </c>
      <c r="DB3521" s="2">
        <f t="shared" si="635"/>
        <v>0</v>
      </c>
      <c r="DS3521" s="130">
        <f>SI!BY3521</f>
        <v>117</v>
      </c>
      <c r="DZ3521" s="131">
        <f>SI!BZ3521</f>
        <v>0</v>
      </c>
    </row>
    <row r="3522" spans="1:130" ht="37.549999999999997" hidden="1" customHeight="1" x14ac:dyDescent="0.25">
      <c r="A3522" s="141"/>
      <c r="B3522" s="1376" t="s">
        <v>508</v>
      </c>
      <c r="C3522" s="1376"/>
      <c r="D3522" s="1376"/>
      <c r="E3522" s="1376"/>
      <c r="F3522" s="1376"/>
      <c r="G3522" s="1376"/>
      <c r="H3522" s="1376"/>
      <c r="I3522" s="1376"/>
      <c r="J3522" s="1393" t="s">
        <v>571</v>
      </c>
      <c r="K3522" s="1393"/>
      <c r="L3522" s="1393"/>
      <c r="M3522" s="1393"/>
      <c r="N3522" s="1393"/>
      <c r="O3522" s="1393"/>
      <c r="P3522" s="1393"/>
      <c r="Q3522" s="1393"/>
      <c r="R3522" s="1393"/>
      <c r="S3522" s="1393"/>
      <c r="T3522" s="1393"/>
      <c r="U3522" s="1393"/>
      <c r="V3522" s="1393"/>
      <c r="W3522" s="1393"/>
      <c r="X3522" s="1393"/>
      <c r="Y3522" s="1393"/>
      <c r="Z3522" s="1393"/>
      <c r="AA3522" s="1393"/>
      <c r="AB3522" s="1393"/>
      <c r="AC3522" s="1393"/>
      <c r="AD3522" s="1393"/>
      <c r="AE3522" s="1393"/>
      <c r="AF3522" s="1393"/>
      <c r="AG3522" s="1393"/>
      <c r="AH3522" s="1393"/>
      <c r="AI3522" s="1393"/>
      <c r="AJ3522" s="1393"/>
      <c r="AK3522" s="1393"/>
      <c r="AL3522" s="1393"/>
      <c r="AM3522" s="1393"/>
      <c r="AN3522" s="1393"/>
      <c r="AO3522" s="1393"/>
      <c r="AP3522" s="1393"/>
      <c r="AQ3522" s="1393"/>
      <c r="AR3522" s="1393"/>
      <c r="AS3522" s="1393"/>
      <c r="AT3522" s="1393"/>
      <c r="AU3522" s="1393"/>
      <c r="AV3522" s="1393"/>
      <c r="AW3522" s="1393"/>
      <c r="AX3522" s="1393"/>
      <c r="AY3522" s="1393"/>
      <c r="AZ3522" s="1393"/>
      <c r="BA3522" s="1393"/>
      <c r="BB3522" s="1393"/>
      <c r="BC3522" s="1393"/>
      <c r="BD3522" s="1393"/>
      <c r="BE3522" s="1393"/>
      <c r="BF3522" s="1393"/>
      <c r="BG3522" s="1393"/>
      <c r="BH3522" s="1393"/>
      <c r="BI3522" s="466"/>
      <c r="BJ3522" s="467"/>
      <c r="BK3522" s="1381"/>
      <c r="BL3522" s="1381"/>
      <c r="BM3522" s="1381"/>
      <c r="BN3522" s="1381"/>
      <c r="BO3522" s="1381"/>
      <c r="BP3522" s="1381"/>
      <c r="BQ3522" s="1382"/>
      <c r="BR3522" s="498"/>
      <c r="BS3522" s="467"/>
      <c r="BT3522" s="467"/>
      <c r="BU3522" s="467"/>
      <c r="BV3522" s="467"/>
      <c r="BW3522" s="467"/>
      <c r="BX3522" s="467"/>
      <c r="BY3522" s="467"/>
      <c r="BZ3522" s="468"/>
      <c r="CA3522" s="270"/>
      <c r="CB3522" s="3" t="str">
        <f t="shared" si="637"/>
        <v>Riadok bude skrytý.</v>
      </c>
      <c r="CC3522" s="271" t="s">
        <v>832</v>
      </c>
      <c r="CW3522" s="32">
        <f t="shared" si="639"/>
        <v>0</v>
      </c>
      <c r="CZ3522" s="30">
        <f t="shared" si="638"/>
        <v>1</v>
      </c>
      <c r="DA3522" s="30">
        <f t="shared" si="636"/>
        <v>0</v>
      </c>
      <c r="DB3522" s="2">
        <f t="shared" si="635"/>
        <v>0</v>
      </c>
      <c r="DS3522" s="130">
        <f>SI!BY3522</f>
        <v>116</v>
      </c>
      <c r="DZ3522" s="131">
        <f>SI!BZ3522</f>
        <v>0</v>
      </c>
    </row>
    <row r="3523" spans="1:130" ht="37.549999999999997" hidden="1" customHeight="1" x14ac:dyDescent="0.25">
      <c r="A3523" s="141"/>
      <c r="B3523" s="1376" t="s">
        <v>509</v>
      </c>
      <c r="C3523" s="1376"/>
      <c r="D3523" s="1376"/>
      <c r="E3523" s="1376"/>
      <c r="F3523" s="1376"/>
      <c r="G3523" s="1376"/>
      <c r="H3523" s="1376"/>
      <c r="I3523" s="1376"/>
      <c r="J3523" s="1393" t="s">
        <v>572</v>
      </c>
      <c r="K3523" s="1393"/>
      <c r="L3523" s="1393"/>
      <c r="M3523" s="1393"/>
      <c r="N3523" s="1393"/>
      <c r="O3523" s="1393"/>
      <c r="P3523" s="1393"/>
      <c r="Q3523" s="1393"/>
      <c r="R3523" s="1393"/>
      <c r="S3523" s="1393"/>
      <c r="T3523" s="1393"/>
      <c r="U3523" s="1393"/>
      <c r="V3523" s="1393"/>
      <c r="W3523" s="1393"/>
      <c r="X3523" s="1393"/>
      <c r="Y3523" s="1393"/>
      <c r="Z3523" s="1393"/>
      <c r="AA3523" s="1393"/>
      <c r="AB3523" s="1393"/>
      <c r="AC3523" s="1393"/>
      <c r="AD3523" s="1393"/>
      <c r="AE3523" s="1393"/>
      <c r="AF3523" s="1393"/>
      <c r="AG3523" s="1393"/>
      <c r="AH3523" s="1393"/>
      <c r="AI3523" s="1393"/>
      <c r="AJ3523" s="1393"/>
      <c r="AK3523" s="1393"/>
      <c r="AL3523" s="1393"/>
      <c r="AM3523" s="1393"/>
      <c r="AN3523" s="1393"/>
      <c r="AO3523" s="1393"/>
      <c r="AP3523" s="1393"/>
      <c r="AQ3523" s="1393"/>
      <c r="AR3523" s="1393"/>
      <c r="AS3523" s="1393"/>
      <c r="AT3523" s="1393"/>
      <c r="AU3523" s="1393"/>
      <c r="AV3523" s="1393"/>
      <c r="AW3523" s="1393"/>
      <c r="AX3523" s="1393"/>
      <c r="AY3523" s="1393"/>
      <c r="AZ3523" s="1393"/>
      <c r="BA3523" s="1393"/>
      <c r="BB3523" s="1393"/>
      <c r="BC3523" s="1393"/>
      <c r="BD3523" s="1393"/>
      <c r="BE3523" s="1393"/>
      <c r="BF3523" s="1393"/>
      <c r="BG3523" s="1393"/>
      <c r="BH3523" s="1393"/>
      <c r="BI3523" s="472"/>
      <c r="BJ3523" s="473"/>
      <c r="BK3523" s="1394"/>
      <c r="BL3523" s="1394"/>
      <c r="BM3523" s="1394"/>
      <c r="BN3523" s="1394"/>
      <c r="BO3523" s="1394"/>
      <c r="BP3523" s="1394"/>
      <c r="BQ3523" s="1395"/>
      <c r="BR3523" s="481"/>
      <c r="BS3523" s="473"/>
      <c r="BT3523" s="473"/>
      <c r="BU3523" s="473"/>
      <c r="BV3523" s="473"/>
      <c r="BW3523" s="473"/>
      <c r="BX3523" s="473"/>
      <c r="BY3523" s="473"/>
      <c r="BZ3523" s="474"/>
      <c r="CA3523" s="270"/>
      <c r="CB3523" s="3" t="str">
        <f t="shared" si="637"/>
        <v>Riadok bude skrytý.</v>
      </c>
      <c r="CC3523" s="271" t="s">
        <v>832</v>
      </c>
      <c r="CW3523" s="32">
        <f t="shared" si="639"/>
        <v>0</v>
      </c>
      <c r="CZ3523" s="30">
        <f t="shared" si="638"/>
        <v>1</v>
      </c>
      <c r="DA3523" s="30">
        <f t="shared" si="636"/>
        <v>0</v>
      </c>
      <c r="DB3523" s="2">
        <f t="shared" si="635"/>
        <v>0</v>
      </c>
      <c r="DS3523" s="130">
        <f>SI!BY3523</f>
        <v>126</v>
      </c>
      <c r="DZ3523" s="131">
        <f>SI!BZ3523</f>
        <v>0</v>
      </c>
    </row>
    <row r="3524" spans="1:130" ht="24.8" hidden="1" customHeight="1" x14ac:dyDescent="0.25">
      <c r="A3524" s="141"/>
      <c r="B3524" s="1376" t="s">
        <v>510</v>
      </c>
      <c r="C3524" s="1376"/>
      <c r="D3524" s="1376"/>
      <c r="E3524" s="1376"/>
      <c r="F3524" s="1376"/>
      <c r="G3524" s="1376"/>
      <c r="H3524" s="1376"/>
      <c r="I3524" s="1376"/>
      <c r="J3524" s="1393" t="s">
        <v>573</v>
      </c>
      <c r="K3524" s="1393"/>
      <c r="L3524" s="1393"/>
      <c r="M3524" s="1393"/>
      <c r="N3524" s="1393"/>
      <c r="O3524" s="1393"/>
      <c r="P3524" s="1393"/>
      <c r="Q3524" s="1393"/>
      <c r="R3524" s="1393"/>
      <c r="S3524" s="1393"/>
      <c r="T3524" s="1393"/>
      <c r="U3524" s="1393"/>
      <c r="V3524" s="1393"/>
      <c r="W3524" s="1393"/>
      <c r="X3524" s="1393"/>
      <c r="Y3524" s="1393"/>
      <c r="Z3524" s="1393"/>
      <c r="AA3524" s="1393"/>
      <c r="AB3524" s="1393"/>
      <c r="AC3524" s="1393"/>
      <c r="AD3524" s="1393"/>
      <c r="AE3524" s="1393"/>
      <c r="AF3524" s="1393"/>
      <c r="AG3524" s="1393"/>
      <c r="AH3524" s="1393"/>
      <c r="AI3524" s="1393"/>
      <c r="AJ3524" s="1393"/>
      <c r="AK3524" s="1393"/>
      <c r="AL3524" s="1393"/>
      <c r="AM3524" s="1393"/>
      <c r="AN3524" s="1393"/>
      <c r="AO3524" s="1393"/>
      <c r="AP3524" s="1393"/>
      <c r="AQ3524" s="1393"/>
      <c r="AR3524" s="1393"/>
      <c r="AS3524" s="1393"/>
      <c r="AT3524" s="1393"/>
      <c r="AU3524" s="1393"/>
      <c r="AV3524" s="1393"/>
      <c r="AW3524" s="1393"/>
      <c r="AX3524" s="1393"/>
      <c r="AY3524" s="1393"/>
      <c r="AZ3524" s="1393"/>
      <c r="BA3524" s="1393"/>
      <c r="BB3524" s="1393"/>
      <c r="BC3524" s="1393"/>
      <c r="BD3524" s="1393"/>
      <c r="BE3524" s="1393"/>
      <c r="BF3524" s="1393"/>
      <c r="BG3524" s="1393"/>
      <c r="BH3524" s="1393"/>
      <c r="BI3524" s="466"/>
      <c r="BJ3524" s="467"/>
      <c r="BK3524" s="1381"/>
      <c r="BL3524" s="1381"/>
      <c r="BM3524" s="1381"/>
      <c r="BN3524" s="1381"/>
      <c r="BO3524" s="1381"/>
      <c r="BP3524" s="1381"/>
      <c r="BQ3524" s="1382"/>
      <c r="BR3524" s="498"/>
      <c r="BS3524" s="467"/>
      <c r="BT3524" s="467"/>
      <c r="BU3524" s="467"/>
      <c r="BV3524" s="467"/>
      <c r="BW3524" s="467"/>
      <c r="BX3524" s="467"/>
      <c r="BY3524" s="467"/>
      <c r="BZ3524" s="468"/>
      <c r="CA3524" s="270"/>
      <c r="CB3524" s="3" t="str">
        <f t="shared" si="637"/>
        <v>Riadok bude skrytý.</v>
      </c>
      <c r="CC3524" s="271" t="s">
        <v>832</v>
      </c>
      <c r="CW3524" s="32">
        <f t="shared" si="639"/>
        <v>0</v>
      </c>
      <c r="CZ3524" s="30">
        <f t="shared" si="638"/>
        <v>1</v>
      </c>
      <c r="DA3524" s="30">
        <f t="shared" si="636"/>
        <v>0</v>
      </c>
      <c r="DB3524" s="2">
        <f t="shared" si="635"/>
        <v>0</v>
      </c>
      <c r="DS3524" s="130">
        <f>SI!BY3524</f>
        <v>985</v>
      </c>
      <c r="DZ3524" s="131">
        <f>SI!BZ3524</f>
        <v>0</v>
      </c>
    </row>
    <row r="3525" spans="1:130" ht="24.8" hidden="1" customHeight="1" x14ac:dyDescent="0.25">
      <c r="A3525" s="141"/>
      <c r="B3525" s="1376" t="s">
        <v>511</v>
      </c>
      <c r="C3525" s="1376"/>
      <c r="D3525" s="1376"/>
      <c r="E3525" s="1376"/>
      <c r="F3525" s="1376"/>
      <c r="G3525" s="1376"/>
      <c r="H3525" s="1376"/>
      <c r="I3525" s="1376"/>
      <c r="J3525" s="1393" t="s">
        <v>1045</v>
      </c>
      <c r="K3525" s="1393"/>
      <c r="L3525" s="1393"/>
      <c r="M3525" s="1393"/>
      <c r="N3525" s="1393"/>
      <c r="O3525" s="1393"/>
      <c r="P3525" s="1393"/>
      <c r="Q3525" s="1393"/>
      <c r="R3525" s="1393"/>
      <c r="S3525" s="1393"/>
      <c r="T3525" s="1393"/>
      <c r="U3525" s="1393"/>
      <c r="V3525" s="1393"/>
      <c r="W3525" s="1393"/>
      <c r="X3525" s="1393"/>
      <c r="Y3525" s="1393"/>
      <c r="Z3525" s="1393"/>
      <c r="AA3525" s="1393"/>
      <c r="AB3525" s="1393"/>
      <c r="AC3525" s="1393"/>
      <c r="AD3525" s="1393"/>
      <c r="AE3525" s="1393"/>
      <c r="AF3525" s="1393"/>
      <c r="AG3525" s="1393"/>
      <c r="AH3525" s="1393"/>
      <c r="AI3525" s="1393"/>
      <c r="AJ3525" s="1393"/>
      <c r="AK3525" s="1393"/>
      <c r="AL3525" s="1393"/>
      <c r="AM3525" s="1393"/>
      <c r="AN3525" s="1393"/>
      <c r="AO3525" s="1393"/>
      <c r="AP3525" s="1393"/>
      <c r="AQ3525" s="1393"/>
      <c r="AR3525" s="1393"/>
      <c r="AS3525" s="1393"/>
      <c r="AT3525" s="1393"/>
      <c r="AU3525" s="1393"/>
      <c r="AV3525" s="1393"/>
      <c r="AW3525" s="1393"/>
      <c r="AX3525" s="1393"/>
      <c r="AY3525" s="1393"/>
      <c r="AZ3525" s="1393"/>
      <c r="BA3525" s="1393"/>
      <c r="BB3525" s="1393"/>
      <c r="BC3525" s="1393"/>
      <c r="BD3525" s="1393"/>
      <c r="BE3525" s="1393"/>
      <c r="BF3525" s="1393"/>
      <c r="BG3525" s="1393"/>
      <c r="BH3525" s="1393"/>
      <c r="BI3525" s="472"/>
      <c r="BJ3525" s="473"/>
      <c r="BK3525" s="1394"/>
      <c r="BL3525" s="1394"/>
      <c r="BM3525" s="1394"/>
      <c r="BN3525" s="1394"/>
      <c r="BO3525" s="1394"/>
      <c r="BP3525" s="1394"/>
      <c r="BQ3525" s="1395"/>
      <c r="BR3525" s="481"/>
      <c r="BS3525" s="473"/>
      <c r="BT3525" s="473"/>
      <c r="BU3525" s="473"/>
      <c r="BV3525" s="473"/>
      <c r="BW3525" s="473"/>
      <c r="BX3525" s="473"/>
      <c r="BY3525" s="473"/>
      <c r="BZ3525" s="474"/>
      <c r="CA3525" s="270"/>
      <c r="CB3525" s="3" t="str">
        <f t="shared" si="637"/>
        <v>Riadok bude skrytý.</v>
      </c>
      <c r="CC3525" s="271" t="s">
        <v>832</v>
      </c>
      <c r="CD3525" s="137"/>
      <c r="CE3525" s="137"/>
      <c r="CW3525" s="32">
        <f t="shared" si="639"/>
        <v>0</v>
      </c>
      <c r="CZ3525" s="30">
        <f t="shared" si="638"/>
        <v>1</v>
      </c>
      <c r="DA3525" s="30">
        <f t="shared" si="636"/>
        <v>0</v>
      </c>
      <c r="DB3525" s="2">
        <f t="shared" si="635"/>
        <v>0</v>
      </c>
      <c r="DS3525" s="130">
        <f>SI!BY3525</f>
        <v>150</v>
      </c>
      <c r="DZ3525" s="131">
        <f>SI!BZ3525</f>
        <v>0</v>
      </c>
    </row>
    <row r="3526" spans="1:130" ht="24.8" hidden="1" customHeight="1" x14ac:dyDescent="0.25">
      <c r="A3526" s="141"/>
      <c r="B3526" s="1376" t="s">
        <v>512</v>
      </c>
      <c r="C3526" s="1376"/>
      <c r="D3526" s="1376"/>
      <c r="E3526" s="1376"/>
      <c r="F3526" s="1376"/>
      <c r="G3526" s="1376"/>
      <c r="H3526" s="1376"/>
      <c r="I3526" s="1376"/>
      <c r="J3526" s="1393" t="s">
        <v>1046</v>
      </c>
      <c r="K3526" s="1393"/>
      <c r="L3526" s="1393"/>
      <c r="M3526" s="1393"/>
      <c r="N3526" s="1393"/>
      <c r="O3526" s="1393"/>
      <c r="P3526" s="1393"/>
      <c r="Q3526" s="1393"/>
      <c r="R3526" s="1393"/>
      <c r="S3526" s="1393"/>
      <c r="T3526" s="1393"/>
      <c r="U3526" s="1393"/>
      <c r="V3526" s="1393"/>
      <c r="W3526" s="1393"/>
      <c r="X3526" s="1393"/>
      <c r="Y3526" s="1393"/>
      <c r="Z3526" s="1393"/>
      <c r="AA3526" s="1393"/>
      <c r="AB3526" s="1393"/>
      <c r="AC3526" s="1393"/>
      <c r="AD3526" s="1393"/>
      <c r="AE3526" s="1393"/>
      <c r="AF3526" s="1393"/>
      <c r="AG3526" s="1393"/>
      <c r="AH3526" s="1393"/>
      <c r="AI3526" s="1393"/>
      <c r="AJ3526" s="1393"/>
      <c r="AK3526" s="1393"/>
      <c r="AL3526" s="1393"/>
      <c r="AM3526" s="1393"/>
      <c r="AN3526" s="1393"/>
      <c r="AO3526" s="1393"/>
      <c r="AP3526" s="1393"/>
      <c r="AQ3526" s="1393"/>
      <c r="AR3526" s="1393"/>
      <c r="AS3526" s="1393"/>
      <c r="AT3526" s="1393"/>
      <c r="AU3526" s="1393"/>
      <c r="AV3526" s="1393"/>
      <c r="AW3526" s="1393"/>
      <c r="AX3526" s="1393"/>
      <c r="AY3526" s="1393"/>
      <c r="AZ3526" s="1393"/>
      <c r="BA3526" s="1393"/>
      <c r="BB3526" s="1393"/>
      <c r="BC3526" s="1393"/>
      <c r="BD3526" s="1393"/>
      <c r="BE3526" s="1393"/>
      <c r="BF3526" s="1393"/>
      <c r="BG3526" s="1393"/>
      <c r="BH3526" s="1393"/>
      <c r="BI3526" s="770"/>
      <c r="BJ3526" s="771"/>
      <c r="BK3526" s="1478"/>
      <c r="BL3526" s="1478"/>
      <c r="BM3526" s="1478"/>
      <c r="BN3526" s="1478"/>
      <c r="BO3526" s="1478"/>
      <c r="BP3526" s="1478"/>
      <c r="BQ3526" s="1479"/>
      <c r="BR3526" s="502"/>
      <c r="BS3526" s="503"/>
      <c r="BT3526" s="503"/>
      <c r="BU3526" s="503"/>
      <c r="BV3526" s="503"/>
      <c r="BW3526" s="503"/>
      <c r="BX3526" s="503"/>
      <c r="BY3526" s="503"/>
      <c r="BZ3526" s="504"/>
      <c r="CA3526" s="270"/>
      <c r="CB3526" s="3" t="str">
        <f t="shared" si="637"/>
        <v>Riadok bude skrytý.</v>
      </c>
      <c r="CC3526" s="271" t="s">
        <v>832</v>
      </c>
      <c r="CD3526" s="137"/>
      <c r="CE3526" s="137"/>
      <c r="CW3526" s="32">
        <f t="shared" si="639"/>
        <v>0</v>
      </c>
      <c r="CZ3526" s="30">
        <f t="shared" si="638"/>
        <v>1</v>
      </c>
      <c r="DA3526" s="30">
        <f t="shared" si="636"/>
        <v>0</v>
      </c>
      <c r="DB3526" s="2">
        <f t="shared" si="635"/>
        <v>0</v>
      </c>
      <c r="DS3526" s="130">
        <f>SI!BY3526</f>
        <v>318</v>
      </c>
      <c r="DZ3526" s="131">
        <f>SI!BZ3526</f>
        <v>0</v>
      </c>
    </row>
    <row r="3527" spans="1:130" ht="14.95" hidden="1" customHeight="1" x14ac:dyDescent="0.25">
      <c r="A3527" s="141"/>
      <c r="B3527" s="514" t="s">
        <v>513</v>
      </c>
      <c r="C3527" s="514"/>
      <c r="D3527" s="514"/>
      <c r="E3527" s="514"/>
      <c r="F3527" s="514"/>
      <c r="G3527" s="514"/>
      <c r="H3527" s="514"/>
      <c r="I3527" s="514"/>
      <c r="J3527" s="426" t="s">
        <v>574</v>
      </c>
      <c r="K3527" s="427"/>
      <c r="L3527" s="427"/>
      <c r="M3527" s="427"/>
      <c r="N3527" s="427"/>
      <c r="O3527" s="427"/>
      <c r="P3527" s="427"/>
      <c r="Q3527" s="427"/>
      <c r="R3527" s="427"/>
      <c r="S3527" s="427"/>
      <c r="T3527" s="427"/>
      <c r="U3527" s="427"/>
      <c r="V3527" s="427"/>
      <c r="W3527" s="427"/>
      <c r="X3527" s="427"/>
      <c r="Y3527" s="427"/>
      <c r="Z3527" s="427"/>
      <c r="AA3527" s="427"/>
      <c r="AB3527" s="427"/>
      <c r="AC3527" s="427"/>
      <c r="AD3527" s="427"/>
      <c r="AE3527" s="427"/>
      <c r="AF3527" s="427"/>
      <c r="AG3527" s="427"/>
      <c r="AH3527" s="427"/>
      <c r="AI3527" s="427"/>
      <c r="AJ3527" s="427"/>
      <c r="AK3527" s="427"/>
      <c r="AL3527" s="427"/>
      <c r="AM3527" s="427"/>
      <c r="AN3527" s="427"/>
      <c r="AO3527" s="427"/>
      <c r="AP3527" s="427"/>
      <c r="AQ3527" s="427"/>
      <c r="AR3527" s="427"/>
      <c r="AS3527" s="427"/>
      <c r="AT3527" s="427"/>
      <c r="AU3527" s="427"/>
      <c r="AV3527" s="427"/>
      <c r="AW3527" s="427"/>
      <c r="AX3527" s="427"/>
      <c r="AY3527" s="427"/>
      <c r="AZ3527" s="427"/>
      <c r="BA3527" s="427"/>
      <c r="BB3527" s="427"/>
      <c r="BC3527" s="427"/>
      <c r="BD3527" s="427"/>
      <c r="BE3527" s="427"/>
      <c r="BF3527" s="427"/>
      <c r="BG3527" s="427"/>
      <c r="BH3527" s="428"/>
      <c r="BI3527" s="423">
        <f>+BI3501+BI3510+SUM(BI3520:BQ3526)</f>
        <v>0</v>
      </c>
      <c r="BJ3527" s="424"/>
      <c r="BK3527" s="490"/>
      <c r="BL3527" s="490"/>
      <c r="BM3527" s="490"/>
      <c r="BN3527" s="490"/>
      <c r="BO3527" s="490"/>
      <c r="BP3527" s="490"/>
      <c r="BQ3527" s="491"/>
      <c r="BR3527" s="423">
        <f>+BR3501+BR3510+SUM(BR3520:BZ3526)</f>
        <v>0</v>
      </c>
      <c r="BS3527" s="424"/>
      <c r="BT3527" s="424"/>
      <c r="BU3527" s="424"/>
      <c r="BV3527" s="424"/>
      <c r="BW3527" s="424"/>
      <c r="BX3527" s="424"/>
      <c r="BY3527" s="424"/>
      <c r="BZ3527" s="425"/>
      <c r="CA3527" s="270"/>
      <c r="CB3527" s="3" t="str">
        <f t="shared" si="637"/>
        <v>Riadok bude skrytý.</v>
      </c>
      <c r="CC3527" s="271" t="s">
        <v>832</v>
      </c>
      <c r="CW3527" s="32">
        <f t="shared" si="639"/>
        <v>0</v>
      </c>
      <c r="CZ3527" s="30">
        <f t="shared" si="638"/>
        <v>1</v>
      </c>
      <c r="DA3527" s="30">
        <f t="shared" si="636"/>
        <v>0</v>
      </c>
      <c r="DB3527" s="2">
        <f t="shared" si="635"/>
        <v>0</v>
      </c>
      <c r="DS3527" s="130">
        <f>SI!BY3527</f>
        <v>894</v>
      </c>
      <c r="DZ3527" s="131">
        <f>SI!BZ3527</f>
        <v>0</v>
      </c>
    </row>
    <row r="3528" spans="1:130" ht="24.8" hidden="1" customHeight="1" x14ac:dyDescent="0.25">
      <c r="A3528" s="141"/>
      <c r="B3528" s="514" t="s">
        <v>4</v>
      </c>
      <c r="C3528" s="514"/>
      <c r="D3528" s="514"/>
      <c r="E3528" s="514"/>
      <c r="F3528" s="514"/>
      <c r="G3528" s="514"/>
      <c r="H3528" s="514"/>
      <c r="I3528" s="514"/>
      <c r="J3528" s="426" t="s">
        <v>575</v>
      </c>
      <c r="K3528" s="427"/>
      <c r="L3528" s="427"/>
      <c r="M3528" s="427"/>
      <c r="N3528" s="427"/>
      <c r="O3528" s="427"/>
      <c r="P3528" s="427"/>
      <c r="Q3528" s="427"/>
      <c r="R3528" s="427"/>
      <c r="S3528" s="427"/>
      <c r="T3528" s="427"/>
      <c r="U3528" s="427"/>
      <c r="V3528" s="427"/>
      <c r="W3528" s="427"/>
      <c r="X3528" s="427"/>
      <c r="Y3528" s="427"/>
      <c r="Z3528" s="427"/>
      <c r="AA3528" s="427"/>
      <c r="AB3528" s="427"/>
      <c r="AC3528" s="427"/>
      <c r="AD3528" s="427"/>
      <c r="AE3528" s="427"/>
      <c r="AF3528" s="427"/>
      <c r="AG3528" s="427"/>
      <c r="AH3528" s="427"/>
      <c r="AI3528" s="427"/>
      <c r="AJ3528" s="427"/>
      <c r="AK3528" s="427"/>
      <c r="AL3528" s="427"/>
      <c r="AM3528" s="427"/>
      <c r="AN3528" s="427"/>
      <c r="AO3528" s="427"/>
      <c r="AP3528" s="427"/>
      <c r="AQ3528" s="427"/>
      <c r="AR3528" s="427"/>
      <c r="AS3528" s="427"/>
      <c r="AT3528" s="427"/>
      <c r="AU3528" s="427"/>
      <c r="AV3528" s="427"/>
      <c r="AW3528" s="427"/>
      <c r="AX3528" s="427"/>
      <c r="AY3528" s="427"/>
      <c r="AZ3528" s="427"/>
      <c r="BA3528" s="427"/>
      <c r="BB3528" s="427"/>
      <c r="BC3528" s="427"/>
      <c r="BD3528" s="427"/>
      <c r="BE3528" s="427"/>
      <c r="BF3528" s="427"/>
      <c r="BG3528" s="427"/>
      <c r="BH3528" s="428"/>
      <c r="BI3528" s="423">
        <f>+BI3478+BI3499+BI3527</f>
        <v>0</v>
      </c>
      <c r="BJ3528" s="424"/>
      <c r="BK3528" s="490"/>
      <c r="BL3528" s="490"/>
      <c r="BM3528" s="490"/>
      <c r="BN3528" s="490"/>
      <c r="BO3528" s="490"/>
      <c r="BP3528" s="490"/>
      <c r="BQ3528" s="491"/>
      <c r="BR3528" s="423">
        <f>+BR3478+BR3499+BR3527</f>
        <v>0</v>
      </c>
      <c r="BS3528" s="424"/>
      <c r="BT3528" s="424"/>
      <c r="BU3528" s="424"/>
      <c r="BV3528" s="424"/>
      <c r="BW3528" s="424"/>
      <c r="BX3528" s="424"/>
      <c r="BY3528" s="424"/>
      <c r="BZ3528" s="425"/>
      <c r="CA3528" s="265" t="s">
        <v>773</v>
      </c>
      <c r="CB3528" s="3" t="str">
        <f t="shared" si="637"/>
        <v>Riadok bude skrytý.</v>
      </c>
      <c r="CC3528" s="271" t="s">
        <v>832</v>
      </c>
      <c r="CW3528" s="32">
        <f t="shared" si="639"/>
        <v>0</v>
      </c>
      <c r="CZ3528" s="30">
        <f t="shared" si="638"/>
        <v>1</v>
      </c>
      <c r="DA3528" s="30">
        <f t="shared" si="636"/>
        <v>0</v>
      </c>
      <c r="DB3528" s="2">
        <f t="shared" si="635"/>
        <v>0</v>
      </c>
      <c r="DS3528" s="130">
        <f>SI!BY3528</f>
        <v>192</v>
      </c>
      <c r="DZ3528" s="131">
        <f>SI!BZ3528</f>
        <v>0</v>
      </c>
    </row>
    <row r="3529" spans="1:130" ht="24.8" hidden="1" customHeight="1" x14ac:dyDescent="0.25">
      <c r="A3529" s="141"/>
      <c r="B3529" s="514" t="s">
        <v>5</v>
      </c>
      <c r="C3529" s="514"/>
      <c r="D3529" s="514"/>
      <c r="E3529" s="514"/>
      <c r="F3529" s="514"/>
      <c r="G3529" s="514"/>
      <c r="H3529" s="514"/>
      <c r="I3529" s="514"/>
      <c r="J3529" s="426" t="s">
        <v>576</v>
      </c>
      <c r="K3529" s="427"/>
      <c r="L3529" s="427"/>
      <c r="M3529" s="427"/>
      <c r="N3529" s="427"/>
      <c r="O3529" s="427"/>
      <c r="P3529" s="427"/>
      <c r="Q3529" s="427"/>
      <c r="R3529" s="427"/>
      <c r="S3529" s="427"/>
      <c r="T3529" s="427"/>
      <c r="U3529" s="427"/>
      <c r="V3529" s="427"/>
      <c r="W3529" s="427"/>
      <c r="X3529" s="427"/>
      <c r="Y3529" s="427"/>
      <c r="Z3529" s="427"/>
      <c r="AA3529" s="427"/>
      <c r="AB3529" s="427"/>
      <c r="AC3529" s="427"/>
      <c r="AD3529" s="427"/>
      <c r="AE3529" s="427"/>
      <c r="AF3529" s="427"/>
      <c r="AG3529" s="427"/>
      <c r="AH3529" s="427"/>
      <c r="AI3529" s="427"/>
      <c r="AJ3529" s="427"/>
      <c r="AK3529" s="427"/>
      <c r="AL3529" s="427"/>
      <c r="AM3529" s="427"/>
      <c r="AN3529" s="427"/>
      <c r="AO3529" s="427"/>
      <c r="AP3529" s="427"/>
      <c r="AQ3529" s="427"/>
      <c r="AR3529" s="427"/>
      <c r="AS3529" s="427"/>
      <c r="AT3529" s="427"/>
      <c r="AU3529" s="427"/>
      <c r="AV3529" s="427"/>
      <c r="AW3529" s="427"/>
      <c r="AX3529" s="427"/>
      <c r="AY3529" s="427"/>
      <c r="AZ3529" s="427"/>
      <c r="BA3529" s="427"/>
      <c r="BB3529" s="427"/>
      <c r="BC3529" s="427"/>
      <c r="BD3529" s="427"/>
      <c r="BE3529" s="427"/>
      <c r="BF3529" s="427"/>
      <c r="BG3529" s="427"/>
      <c r="BH3529" s="428"/>
      <c r="BI3529" s="472"/>
      <c r="BJ3529" s="473"/>
      <c r="BK3529" s="1394"/>
      <c r="BL3529" s="1394"/>
      <c r="BM3529" s="1394"/>
      <c r="BN3529" s="1394"/>
      <c r="BO3529" s="1394"/>
      <c r="BP3529" s="1394"/>
      <c r="BQ3529" s="1395"/>
      <c r="BR3529" s="475"/>
      <c r="BS3529" s="482"/>
      <c r="BT3529" s="482"/>
      <c r="BU3529" s="482"/>
      <c r="BV3529" s="482"/>
      <c r="BW3529" s="482"/>
      <c r="BX3529" s="482"/>
      <c r="BY3529" s="482"/>
      <c r="BZ3529" s="483"/>
      <c r="CA3529" s="265"/>
      <c r="CB3529" s="3" t="str">
        <f t="shared" si="637"/>
        <v>Riadok bude skrytý.</v>
      </c>
      <c r="CC3529" s="271" t="s">
        <v>832</v>
      </c>
      <c r="CW3529" s="32">
        <f t="shared" si="639"/>
        <v>0</v>
      </c>
      <c r="CZ3529" s="30">
        <f t="shared" si="638"/>
        <v>1</v>
      </c>
      <c r="DA3529" s="30">
        <f t="shared" si="636"/>
        <v>0</v>
      </c>
      <c r="DB3529" s="2">
        <f t="shared" si="635"/>
        <v>0</v>
      </c>
      <c r="DS3529" s="130">
        <f>SI!BY3529</f>
        <v>539</v>
      </c>
      <c r="DZ3529" s="131">
        <f>SI!BZ3529</f>
        <v>0</v>
      </c>
    </row>
    <row r="3530" spans="1:130" ht="37.549999999999997" hidden="1" customHeight="1" x14ac:dyDescent="0.25">
      <c r="A3530" s="141"/>
      <c r="B3530" s="514" t="s">
        <v>6</v>
      </c>
      <c r="C3530" s="514"/>
      <c r="D3530" s="514"/>
      <c r="E3530" s="514"/>
      <c r="F3530" s="514"/>
      <c r="G3530" s="514"/>
      <c r="H3530" s="514"/>
      <c r="I3530" s="514"/>
      <c r="J3530" s="426" t="s">
        <v>577</v>
      </c>
      <c r="K3530" s="427"/>
      <c r="L3530" s="427"/>
      <c r="M3530" s="427"/>
      <c r="N3530" s="427"/>
      <c r="O3530" s="427"/>
      <c r="P3530" s="427"/>
      <c r="Q3530" s="427"/>
      <c r="R3530" s="427"/>
      <c r="S3530" s="427"/>
      <c r="T3530" s="427"/>
      <c r="U3530" s="427"/>
      <c r="V3530" s="427"/>
      <c r="W3530" s="427"/>
      <c r="X3530" s="427"/>
      <c r="Y3530" s="427"/>
      <c r="Z3530" s="427"/>
      <c r="AA3530" s="427"/>
      <c r="AB3530" s="427"/>
      <c r="AC3530" s="427"/>
      <c r="AD3530" s="427"/>
      <c r="AE3530" s="427"/>
      <c r="AF3530" s="427"/>
      <c r="AG3530" s="427"/>
      <c r="AH3530" s="427"/>
      <c r="AI3530" s="427"/>
      <c r="AJ3530" s="427"/>
      <c r="AK3530" s="427"/>
      <c r="AL3530" s="427"/>
      <c r="AM3530" s="427"/>
      <c r="AN3530" s="427"/>
      <c r="AO3530" s="427"/>
      <c r="AP3530" s="427"/>
      <c r="AQ3530" s="427"/>
      <c r="AR3530" s="427"/>
      <c r="AS3530" s="427"/>
      <c r="AT3530" s="427"/>
      <c r="AU3530" s="427"/>
      <c r="AV3530" s="427"/>
      <c r="AW3530" s="427"/>
      <c r="AX3530" s="427"/>
      <c r="AY3530" s="427"/>
      <c r="AZ3530" s="427"/>
      <c r="BA3530" s="427"/>
      <c r="BB3530" s="427"/>
      <c r="BC3530" s="427"/>
      <c r="BD3530" s="427"/>
      <c r="BE3530" s="427"/>
      <c r="BF3530" s="427"/>
      <c r="BG3530" s="427"/>
      <c r="BH3530" s="428"/>
      <c r="BI3530" s="423">
        <f>+BI3528+BI3529</f>
        <v>0</v>
      </c>
      <c r="BJ3530" s="424"/>
      <c r="BK3530" s="490"/>
      <c r="BL3530" s="490"/>
      <c r="BM3530" s="490"/>
      <c r="BN3530" s="490"/>
      <c r="BO3530" s="490"/>
      <c r="BP3530" s="490"/>
      <c r="BQ3530" s="491"/>
      <c r="BR3530" s="423">
        <f>+BR3528+BR3529</f>
        <v>0</v>
      </c>
      <c r="BS3530" s="424"/>
      <c r="BT3530" s="424"/>
      <c r="BU3530" s="424"/>
      <c r="BV3530" s="424"/>
      <c r="BW3530" s="424"/>
      <c r="BX3530" s="424"/>
      <c r="BY3530" s="424"/>
      <c r="BZ3530" s="425"/>
      <c r="CA3530" s="270"/>
      <c r="CB3530" s="3" t="str">
        <f t="shared" si="637"/>
        <v>Riadok bude skrytý.</v>
      </c>
      <c r="CC3530" s="271" t="s">
        <v>832</v>
      </c>
      <c r="CW3530" s="32">
        <f t="shared" si="639"/>
        <v>0</v>
      </c>
      <c r="CZ3530" s="30">
        <f t="shared" si="638"/>
        <v>1</v>
      </c>
      <c r="DA3530" s="30">
        <f t="shared" si="636"/>
        <v>0</v>
      </c>
      <c r="DB3530" s="2">
        <f t="shared" si="635"/>
        <v>0</v>
      </c>
      <c r="DS3530" s="130">
        <f>SI!BY3530</f>
        <v>159</v>
      </c>
      <c r="DZ3530" s="131">
        <f>SI!BZ3530</f>
        <v>0</v>
      </c>
    </row>
    <row r="3531" spans="1:130" ht="24.8" hidden="1" customHeight="1" x14ac:dyDescent="0.25">
      <c r="A3531" s="141"/>
      <c r="B3531" s="514" t="s">
        <v>242</v>
      </c>
      <c r="C3531" s="514"/>
      <c r="D3531" s="514"/>
      <c r="E3531" s="514"/>
      <c r="F3531" s="514"/>
      <c r="G3531" s="514"/>
      <c r="H3531" s="514"/>
      <c r="I3531" s="514"/>
      <c r="J3531" s="426" t="s">
        <v>585</v>
      </c>
      <c r="K3531" s="427"/>
      <c r="L3531" s="427"/>
      <c r="M3531" s="427"/>
      <c r="N3531" s="427"/>
      <c r="O3531" s="427"/>
      <c r="P3531" s="427"/>
      <c r="Q3531" s="427"/>
      <c r="R3531" s="427"/>
      <c r="S3531" s="427"/>
      <c r="T3531" s="427"/>
      <c r="U3531" s="427"/>
      <c r="V3531" s="427"/>
      <c r="W3531" s="427"/>
      <c r="X3531" s="427"/>
      <c r="Y3531" s="427"/>
      <c r="Z3531" s="427"/>
      <c r="AA3531" s="427"/>
      <c r="AB3531" s="427"/>
      <c r="AC3531" s="427"/>
      <c r="AD3531" s="427"/>
      <c r="AE3531" s="427"/>
      <c r="AF3531" s="427"/>
      <c r="AG3531" s="427"/>
      <c r="AH3531" s="427"/>
      <c r="AI3531" s="427"/>
      <c r="AJ3531" s="427"/>
      <c r="AK3531" s="427"/>
      <c r="AL3531" s="427"/>
      <c r="AM3531" s="427"/>
      <c r="AN3531" s="427"/>
      <c r="AO3531" s="427"/>
      <c r="AP3531" s="427"/>
      <c r="AQ3531" s="427"/>
      <c r="AR3531" s="427"/>
      <c r="AS3531" s="427"/>
      <c r="AT3531" s="427"/>
      <c r="AU3531" s="427"/>
      <c r="AV3531" s="427"/>
      <c r="AW3531" s="427"/>
      <c r="AX3531" s="427"/>
      <c r="AY3531" s="427"/>
      <c r="AZ3531" s="427"/>
      <c r="BA3531" s="427"/>
      <c r="BB3531" s="427"/>
      <c r="BC3531" s="427"/>
      <c r="BD3531" s="427"/>
      <c r="BE3531" s="427"/>
      <c r="BF3531" s="427"/>
      <c r="BG3531" s="427"/>
      <c r="BH3531" s="428"/>
      <c r="BI3531" s="472"/>
      <c r="BJ3531" s="473"/>
      <c r="BK3531" s="1394"/>
      <c r="BL3531" s="1394"/>
      <c r="BM3531" s="1394"/>
      <c r="BN3531" s="1394"/>
      <c r="BO3531" s="1394"/>
      <c r="BP3531" s="1394"/>
      <c r="BQ3531" s="1395"/>
      <c r="BR3531" s="475"/>
      <c r="BS3531" s="482"/>
      <c r="BT3531" s="482"/>
      <c r="BU3531" s="482"/>
      <c r="BV3531" s="482"/>
      <c r="BW3531" s="482"/>
      <c r="BX3531" s="482"/>
      <c r="BY3531" s="482"/>
      <c r="BZ3531" s="483"/>
      <c r="CA3531" s="270"/>
      <c r="CB3531" s="3" t="str">
        <f t="shared" si="637"/>
        <v>Riadok bude skrytý.</v>
      </c>
      <c r="CC3531" s="271" t="s">
        <v>832</v>
      </c>
      <c r="CW3531" s="32">
        <f t="shared" si="639"/>
        <v>0</v>
      </c>
      <c r="CZ3531" s="30">
        <f t="shared" si="638"/>
        <v>1</v>
      </c>
      <c r="DA3531" s="30">
        <f t="shared" si="636"/>
        <v>0</v>
      </c>
      <c r="DB3531" s="2">
        <f t="shared" si="635"/>
        <v>0</v>
      </c>
      <c r="DS3531" s="130">
        <f>SI!BY3531</f>
        <v>718</v>
      </c>
      <c r="DZ3531" s="131">
        <f>SI!BZ3531</f>
        <v>0</v>
      </c>
    </row>
    <row r="3532" spans="1:130" ht="37.549999999999997" hidden="1" customHeight="1" x14ac:dyDescent="0.25">
      <c r="A3532" s="141"/>
      <c r="B3532" s="514" t="s">
        <v>326</v>
      </c>
      <c r="C3532" s="514"/>
      <c r="D3532" s="514"/>
      <c r="E3532" s="514"/>
      <c r="F3532" s="514"/>
      <c r="G3532" s="514"/>
      <c r="H3532" s="514"/>
      <c r="I3532" s="514"/>
      <c r="J3532" s="426" t="s">
        <v>578</v>
      </c>
      <c r="K3532" s="427"/>
      <c r="L3532" s="427"/>
      <c r="M3532" s="427"/>
      <c r="N3532" s="427"/>
      <c r="O3532" s="427"/>
      <c r="P3532" s="427"/>
      <c r="Q3532" s="427"/>
      <c r="R3532" s="427"/>
      <c r="S3532" s="427"/>
      <c r="T3532" s="427"/>
      <c r="U3532" s="427"/>
      <c r="V3532" s="427"/>
      <c r="W3532" s="427"/>
      <c r="X3532" s="427"/>
      <c r="Y3532" s="427"/>
      <c r="Z3532" s="427"/>
      <c r="AA3532" s="427"/>
      <c r="AB3532" s="427"/>
      <c r="AC3532" s="427"/>
      <c r="AD3532" s="427"/>
      <c r="AE3532" s="427"/>
      <c r="AF3532" s="427"/>
      <c r="AG3532" s="427"/>
      <c r="AH3532" s="427"/>
      <c r="AI3532" s="427"/>
      <c r="AJ3532" s="427"/>
      <c r="AK3532" s="427"/>
      <c r="AL3532" s="427"/>
      <c r="AM3532" s="427"/>
      <c r="AN3532" s="427"/>
      <c r="AO3532" s="427"/>
      <c r="AP3532" s="427"/>
      <c r="AQ3532" s="427"/>
      <c r="AR3532" s="427"/>
      <c r="AS3532" s="427"/>
      <c r="AT3532" s="427"/>
      <c r="AU3532" s="427"/>
      <c r="AV3532" s="427"/>
      <c r="AW3532" s="427"/>
      <c r="AX3532" s="427"/>
      <c r="AY3532" s="427"/>
      <c r="AZ3532" s="427"/>
      <c r="BA3532" s="427"/>
      <c r="BB3532" s="427"/>
      <c r="BC3532" s="427"/>
      <c r="BD3532" s="427"/>
      <c r="BE3532" s="427"/>
      <c r="BF3532" s="427"/>
      <c r="BG3532" s="427"/>
      <c r="BH3532" s="428"/>
      <c r="BI3532" s="423">
        <f>+BI3530+BI3531</f>
        <v>0</v>
      </c>
      <c r="BJ3532" s="424"/>
      <c r="BK3532" s="490"/>
      <c r="BL3532" s="490"/>
      <c r="BM3532" s="490"/>
      <c r="BN3532" s="490"/>
      <c r="BO3532" s="490"/>
      <c r="BP3532" s="490"/>
      <c r="BQ3532" s="491"/>
      <c r="BR3532" s="423">
        <f>+BR3530+BR3531</f>
        <v>0</v>
      </c>
      <c r="BS3532" s="424"/>
      <c r="BT3532" s="424"/>
      <c r="BU3532" s="424"/>
      <c r="BV3532" s="424"/>
      <c r="BW3532" s="424"/>
      <c r="BX3532" s="424"/>
      <c r="BY3532" s="424"/>
      <c r="BZ3532" s="425"/>
      <c r="CA3532" s="270"/>
      <c r="CB3532" s="3" t="str">
        <f t="shared" si="637"/>
        <v>Riadok bude skrytý.</v>
      </c>
      <c r="CC3532" s="271" t="s">
        <v>832</v>
      </c>
      <c r="CW3532" s="32">
        <f t="shared" si="639"/>
        <v>0</v>
      </c>
      <c r="CZ3532" s="30">
        <f t="shared" si="638"/>
        <v>1</v>
      </c>
      <c r="DA3532" s="30">
        <f t="shared" si="636"/>
        <v>0</v>
      </c>
      <c r="DB3532" s="2">
        <f t="shared" si="635"/>
        <v>0</v>
      </c>
      <c r="DS3532" s="130">
        <f>SI!BY3532</f>
        <v>147</v>
      </c>
      <c r="DZ3532" s="131">
        <f>SI!BZ3532</f>
        <v>0</v>
      </c>
    </row>
    <row r="3533" spans="1:130" hidden="1" x14ac:dyDescent="0.25">
      <c r="A3533" s="141"/>
      <c r="CA3533" s="308"/>
      <c r="CB3533" s="3" t="str">
        <f t="shared" si="637"/>
        <v>Riadok bude skrytý.</v>
      </c>
      <c r="CC3533" s="271" t="s">
        <v>832</v>
      </c>
      <c r="CW3533" s="32">
        <f t="shared" si="639"/>
        <v>0</v>
      </c>
      <c r="CZ3533" s="30">
        <f t="shared" si="638"/>
        <v>1</v>
      </c>
      <c r="DA3533" s="30">
        <f t="shared" si="636"/>
        <v>0</v>
      </c>
      <c r="DB3533" s="2">
        <f t="shared" si="635"/>
        <v>0</v>
      </c>
      <c r="DS3533" s="130">
        <f>SI!BY3533</f>
        <v>838</v>
      </c>
      <c r="DZ3533" s="131">
        <f>SI!BZ3533</f>
        <v>0</v>
      </c>
    </row>
    <row r="3534" spans="1:130" hidden="1" x14ac:dyDescent="0.25">
      <c r="A3534" s="141"/>
      <c r="CA3534" s="308"/>
      <c r="CB3534" s="3" t="str">
        <f t="shared" si="637"/>
        <v>Riadok bude skrytý.</v>
      </c>
      <c r="CC3534" s="271" t="s">
        <v>832</v>
      </c>
      <c r="CW3534" s="32">
        <f t="shared" si="639"/>
        <v>0</v>
      </c>
      <c r="CZ3534" s="30">
        <f t="shared" si="638"/>
        <v>1</v>
      </c>
      <c r="DA3534" s="30">
        <f t="shared" si="636"/>
        <v>0</v>
      </c>
      <c r="DB3534" s="2">
        <f t="shared" si="635"/>
        <v>0</v>
      </c>
      <c r="DS3534" s="130">
        <f>SI!BY3534</f>
        <v>140</v>
      </c>
      <c r="DZ3534" s="131">
        <f>SI!BZ3534</f>
        <v>0</v>
      </c>
    </row>
    <row r="3535" spans="1:130" ht="14.95" hidden="1" customHeight="1" x14ac:dyDescent="0.25">
      <c r="A3535" s="141"/>
      <c r="B3535" s="605" t="s">
        <v>441</v>
      </c>
      <c r="C3535" s="606"/>
      <c r="D3535" s="606"/>
      <c r="E3535" s="606"/>
      <c r="F3535" s="606"/>
      <c r="G3535" s="606"/>
      <c r="H3535" s="606"/>
      <c r="I3535" s="607"/>
      <c r="J3535" s="1398" t="s">
        <v>442</v>
      </c>
      <c r="K3535" s="1399"/>
      <c r="L3535" s="1399"/>
      <c r="M3535" s="1399"/>
      <c r="N3535" s="1399"/>
      <c r="O3535" s="1399"/>
      <c r="P3535" s="1399"/>
      <c r="Q3535" s="1399"/>
      <c r="R3535" s="1399"/>
      <c r="S3535" s="1399"/>
      <c r="T3535" s="1399"/>
      <c r="U3535" s="1399"/>
      <c r="V3535" s="1399"/>
      <c r="W3535" s="1399"/>
      <c r="X3535" s="1399"/>
      <c r="Y3535" s="1399"/>
      <c r="Z3535" s="1399"/>
      <c r="AA3535" s="1399"/>
      <c r="AB3535" s="1399"/>
      <c r="AC3535" s="1399"/>
      <c r="AD3535" s="1399"/>
      <c r="AE3535" s="1399"/>
      <c r="AF3535" s="1399"/>
      <c r="AG3535" s="1399"/>
      <c r="AH3535" s="1399"/>
      <c r="AI3535" s="1399"/>
      <c r="AJ3535" s="1399"/>
      <c r="AK3535" s="1399"/>
      <c r="AL3535" s="1399"/>
      <c r="AM3535" s="1399"/>
      <c r="AN3535" s="1399"/>
      <c r="AO3535" s="1399"/>
      <c r="AP3535" s="1399"/>
      <c r="AQ3535" s="1399"/>
      <c r="AR3535" s="1399"/>
      <c r="AS3535" s="1399"/>
      <c r="AT3535" s="1399"/>
      <c r="AU3535" s="1399"/>
      <c r="AV3535" s="1399"/>
      <c r="AW3535" s="1399"/>
      <c r="AX3535" s="1399"/>
      <c r="AY3535" s="1399"/>
      <c r="AZ3535" s="1399"/>
      <c r="BA3535" s="1399"/>
      <c r="BB3535" s="1399"/>
      <c r="BC3535" s="1399"/>
      <c r="BD3535" s="1399"/>
      <c r="BE3535" s="1399"/>
      <c r="BF3535" s="1399"/>
      <c r="BG3535" s="1399"/>
      <c r="BH3535" s="1400"/>
      <c r="BI3535" s="492">
        <f>+AJ141</f>
        <v>2021</v>
      </c>
      <c r="BJ3535" s="493"/>
      <c r="BK3535" s="493"/>
      <c r="BL3535" s="493"/>
      <c r="BM3535" s="493"/>
      <c r="BN3535" s="493"/>
      <c r="BO3535" s="493"/>
      <c r="BP3535" s="493"/>
      <c r="BQ3535" s="493"/>
      <c r="BR3535" s="492">
        <f>+BE141</f>
        <v>2020</v>
      </c>
      <c r="BS3535" s="493"/>
      <c r="BT3535" s="493"/>
      <c r="BU3535" s="493"/>
      <c r="BV3535" s="493"/>
      <c r="BW3535" s="493"/>
      <c r="BX3535" s="493"/>
      <c r="BY3535" s="493"/>
      <c r="BZ3535" s="494"/>
      <c r="CA3535" s="265" t="s">
        <v>773</v>
      </c>
      <c r="CB3535" s="3" t="str">
        <f t="shared" si="637"/>
        <v>Riadok bude skrytý.</v>
      </c>
      <c r="CC3535" s="271" t="s">
        <v>832</v>
      </c>
      <c r="CD3535" s="137"/>
      <c r="CE3535" s="137"/>
      <c r="CF3535" s="137"/>
      <c r="CG3535" s="137"/>
      <c r="CH3535" s="137"/>
      <c r="CI3535" s="137"/>
      <c r="CJ3535" s="137"/>
      <c r="CK3535" s="137"/>
      <c r="CL3535" s="137"/>
      <c r="CM3535" s="137"/>
      <c r="CN3535" s="137"/>
      <c r="CO3535" s="137"/>
      <c r="CW3535" s="32">
        <f t="shared" ref="CW3535:CW3566" si="640">+IF($BJ$3447="nezostavila.",0,IF($AR$3448="nepriamej",1,0))</f>
        <v>1</v>
      </c>
      <c r="CZ3535" s="30">
        <f t="shared" si="638"/>
        <v>1</v>
      </c>
      <c r="DA3535" s="30">
        <f t="shared" si="636"/>
        <v>1</v>
      </c>
      <c r="DB3535" s="2">
        <f t="shared" si="635"/>
        <v>0</v>
      </c>
      <c r="DS3535" s="130">
        <f>SI!BY3535</f>
        <v>998</v>
      </c>
      <c r="DZ3535" s="131">
        <f>SI!BZ3535</f>
        <v>0</v>
      </c>
    </row>
    <row r="3536" spans="1:130" hidden="1" x14ac:dyDescent="0.25">
      <c r="A3536" s="141"/>
      <c r="B3536" s="1409"/>
      <c r="C3536" s="1410"/>
      <c r="D3536" s="1410"/>
      <c r="E3536" s="1410"/>
      <c r="F3536" s="1410"/>
      <c r="G3536" s="1410"/>
      <c r="H3536" s="1410"/>
      <c r="I3536" s="1411"/>
      <c r="J3536" s="1401"/>
      <c r="K3536" s="1402"/>
      <c r="L3536" s="1402"/>
      <c r="M3536" s="1402"/>
      <c r="N3536" s="1402"/>
      <c r="O3536" s="1402"/>
      <c r="P3536" s="1402"/>
      <c r="Q3536" s="1402"/>
      <c r="R3536" s="1402"/>
      <c r="S3536" s="1402"/>
      <c r="T3536" s="1402"/>
      <c r="U3536" s="1402"/>
      <c r="V3536" s="1402"/>
      <c r="W3536" s="1402"/>
      <c r="X3536" s="1402"/>
      <c r="Y3536" s="1402"/>
      <c r="Z3536" s="1402"/>
      <c r="AA3536" s="1402"/>
      <c r="AB3536" s="1402"/>
      <c r="AC3536" s="1402"/>
      <c r="AD3536" s="1402"/>
      <c r="AE3536" s="1402"/>
      <c r="AF3536" s="1402"/>
      <c r="AG3536" s="1402"/>
      <c r="AH3536" s="1402"/>
      <c r="AI3536" s="1402"/>
      <c r="AJ3536" s="1402"/>
      <c r="AK3536" s="1402"/>
      <c r="AL3536" s="1402"/>
      <c r="AM3536" s="1402"/>
      <c r="AN3536" s="1402"/>
      <c r="AO3536" s="1402"/>
      <c r="AP3536" s="1402"/>
      <c r="AQ3536" s="1402"/>
      <c r="AR3536" s="1402"/>
      <c r="AS3536" s="1402"/>
      <c r="AT3536" s="1402"/>
      <c r="AU3536" s="1402"/>
      <c r="AV3536" s="1402"/>
      <c r="AW3536" s="1402"/>
      <c r="AX3536" s="1402"/>
      <c r="AY3536" s="1402"/>
      <c r="AZ3536" s="1402"/>
      <c r="BA3536" s="1402"/>
      <c r="BB3536" s="1402"/>
      <c r="BC3536" s="1402"/>
      <c r="BD3536" s="1402"/>
      <c r="BE3536" s="1402"/>
      <c r="BF3536" s="1402"/>
      <c r="BG3536" s="1402"/>
      <c r="BH3536" s="1403"/>
      <c r="BI3536" s="508"/>
      <c r="BJ3536" s="509"/>
      <c r="BK3536" s="509"/>
      <c r="BL3536" s="509"/>
      <c r="BM3536" s="509"/>
      <c r="BN3536" s="509"/>
      <c r="BO3536" s="509"/>
      <c r="BP3536" s="509"/>
      <c r="BQ3536" s="509"/>
      <c r="BR3536" s="495"/>
      <c r="BS3536" s="496"/>
      <c r="BT3536" s="496"/>
      <c r="BU3536" s="496"/>
      <c r="BV3536" s="496"/>
      <c r="BW3536" s="496"/>
      <c r="BX3536" s="496"/>
      <c r="BY3536" s="496"/>
      <c r="BZ3536" s="497"/>
      <c r="CA3536" s="270"/>
      <c r="CB3536" s="3" t="str">
        <f t="shared" si="637"/>
        <v>Riadok bude skrytý.</v>
      </c>
      <c r="CC3536" s="271" t="s">
        <v>832</v>
      </c>
      <c r="CW3536" s="32">
        <f t="shared" si="640"/>
        <v>1</v>
      </c>
      <c r="CZ3536" s="30">
        <f t="shared" si="638"/>
        <v>1</v>
      </c>
      <c r="DA3536" s="30">
        <f t="shared" si="636"/>
        <v>1</v>
      </c>
      <c r="DB3536" s="2">
        <f t="shared" si="635"/>
        <v>0</v>
      </c>
      <c r="DS3536" s="130">
        <f>SI!BY3536</f>
        <v>143</v>
      </c>
      <c r="DZ3536" s="131">
        <f>SI!BZ3536</f>
        <v>0</v>
      </c>
    </row>
    <row r="3537" spans="1:130" ht="14.95" hidden="1" customHeight="1" x14ac:dyDescent="0.25">
      <c r="A3537" s="141"/>
      <c r="B3537" s="1465"/>
      <c r="C3537" s="1466"/>
      <c r="D3537" s="1466"/>
      <c r="E3537" s="1466"/>
      <c r="F3537" s="1466"/>
      <c r="G3537" s="1466"/>
      <c r="H3537" s="1466"/>
      <c r="I3537" s="1466"/>
      <c r="J3537" s="426" t="s">
        <v>438</v>
      </c>
      <c r="K3537" s="427"/>
      <c r="L3537" s="427"/>
      <c r="M3537" s="427"/>
      <c r="N3537" s="427"/>
      <c r="O3537" s="427"/>
      <c r="P3537" s="427"/>
      <c r="Q3537" s="427"/>
      <c r="R3537" s="427"/>
      <c r="S3537" s="427"/>
      <c r="T3537" s="427"/>
      <c r="U3537" s="427"/>
      <c r="V3537" s="427"/>
      <c r="W3537" s="427"/>
      <c r="X3537" s="427"/>
      <c r="Y3537" s="427"/>
      <c r="Z3537" s="427"/>
      <c r="AA3537" s="427"/>
      <c r="AB3537" s="427"/>
      <c r="AC3537" s="427"/>
      <c r="AD3537" s="427"/>
      <c r="AE3537" s="427"/>
      <c r="AF3537" s="427"/>
      <c r="AG3537" s="427"/>
      <c r="AH3537" s="427"/>
      <c r="AI3537" s="427"/>
      <c r="AJ3537" s="427"/>
      <c r="AK3537" s="427"/>
      <c r="AL3537" s="427"/>
      <c r="AM3537" s="427"/>
      <c r="AN3537" s="427"/>
      <c r="AO3537" s="427"/>
      <c r="AP3537" s="427"/>
      <c r="AQ3537" s="427"/>
      <c r="AR3537" s="427"/>
      <c r="AS3537" s="427"/>
      <c r="AT3537" s="427"/>
      <c r="AU3537" s="427"/>
      <c r="AV3537" s="427"/>
      <c r="AW3537" s="427"/>
      <c r="AX3537" s="427"/>
      <c r="AY3537" s="427"/>
      <c r="AZ3537" s="427"/>
      <c r="BA3537" s="427"/>
      <c r="BB3537" s="427"/>
      <c r="BC3537" s="427"/>
      <c r="BD3537" s="427"/>
      <c r="BE3537" s="427"/>
      <c r="BF3537" s="427"/>
      <c r="BG3537" s="427"/>
      <c r="BH3537" s="428"/>
      <c r="BI3537" s="1470"/>
      <c r="BJ3537" s="1471"/>
      <c r="BK3537" s="1472"/>
      <c r="BL3537" s="1472"/>
      <c r="BM3537" s="1472"/>
      <c r="BN3537" s="1472"/>
      <c r="BO3537" s="1472"/>
      <c r="BP3537" s="1473"/>
      <c r="BQ3537" s="1473"/>
      <c r="BR3537" s="484"/>
      <c r="BS3537" s="485"/>
      <c r="BT3537" s="485"/>
      <c r="BU3537" s="485"/>
      <c r="BV3537" s="485"/>
      <c r="BW3537" s="485"/>
      <c r="BX3537" s="485"/>
      <c r="BY3537" s="485"/>
      <c r="BZ3537" s="486"/>
      <c r="CA3537" s="270"/>
      <c r="CB3537" s="3" t="str">
        <f t="shared" si="637"/>
        <v>Riadok bude skrytý.</v>
      </c>
      <c r="CC3537" s="271" t="s">
        <v>832</v>
      </c>
      <c r="CW3537" s="32">
        <f t="shared" si="640"/>
        <v>1</v>
      </c>
      <c r="CZ3537" s="30">
        <f t="shared" si="638"/>
        <v>1</v>
      </c>
      <c r="DA3537" s="30">
        <f t="shared" si="636"/>
        <v>1</v>
      </c>
      <c r="DB3537" s="2">
        <f t="shared" si="635"/>
        <v>0</v>
      </c>
      <c r="DS3537" s="130">
        <f>SI!BY3537</f>
        <v>262</v>
      </c>
      <c r="DZ3537" s="131">
        <f>SI!BZ3537</f>
        <v>0</v>
      </c>
    </row>
    <row r="3538" spans="1:130" ht="27.7" hidden="1" customHeight="1" x14ac:dyDescent="0.25">
      <c r="A3538" s="141"/>
      <c r="B3538" s="1467" t="s">
        <v>589</v>
      </c>
      <c r="C3538" s="1468"/>
      <c r="D3538" s="1468"/>
      <c r="E3538" s="1468"/>
      <c r="F3538" s="1468"/>
      <c r="G3538" s="1468"/>
      <c r="H3538" s="1468"/>
      <c r="I3538" s="1469"/>
      <c r="J3538" s="1462" t="s">
        <v>588</v>
      </c>
      <c r="K3538" s="1463"/>
      <c r="L3538" s="1463"/>
      <c r="M3538" s="1463"/>
      <c r="N3538" s="1463"/>
      <c r="O3538" s="1463"/>
      <c r="P3538" s="1463"/>
      <c r="Q3538" s="1463"/>
      <c r="R3538" s="1463"/>
      <c r="S3538" s="1463"/>
      <c r="T3538" s="1463"/>
      <c r="U3538" s="1463"/>
      <c r="V3538" s="1463"/>
      <c r="W3538" s="1463"/>
      <c r="X3538" s="1463"/>
      <c r="Y3538" s="1463"/>
      <c r="Z3538" s="1463"/>
      <c r="AA3538" s="1463"/>
      <c r="AB3538" s="1463"/>
      <c r="AC3538" s="1463"/>
      <c r="AD3538" s="1463"/>
      <c r="AE3538" s="1463"/>
      <c r="AF3538" s="1463"/>
      <c r="AG3538" s="1463"/>
      <c r="AH3538" s="1463"/>
      <c r="AI3538" s="1463"/>
      <c r="AJ3538" s="1463"/>
      <c r="AK3538" s="1463"/>
      <c r="AL3538" s="1463"/>
      <c r="AM3538" s="1463"/>
      <c r="AN3538" s="1463"/>
      <c r="AO3538" s="1463"/>
      <c r="AP3538" s="1463"/>
      <c r="AQ3538" s="1463"/>
      <c r="AR3538" s="1463"/>
      <c r="AS3538" s="1463"/>
      <c r="AT3538" s="1463"/>
      <c r="AU3538" s="1463"/>
      <c r="AV3538" s="1463"/>
      <c r="AW3538" s="1463"/>
      <c r="AX3538" s="1463"/>
      <c r="AY3538" s="1463"/>
      <c r="AZ3538" s="1463"/>
      <c r="BA3538" s="1463"/>
      <c r="BB3538" s="1463"/>
      <c r="BC3538" s="1463"/>
      <c r="BD3538" s="1463"/>
      <c r="BE3538" s="1463"/>
      <c r="BF3538" s="1463"/>
      <c r="BG3538" s="1463"/>
      <c r="BH3538" s="1464"/>
      <c r="BI3538" s="1386"/>
      <c r="BJ3538" s="1387"/>
      <c r="BK3538" s="1388"/>
      <c r="BL3538" s="1388"/>
      <c r="BM3538" s="1388"/>
      <c r="BN3538" s="1388"/>
      <c r="BO3538" s="1388"/>
      <c r="BP3538" s="1389"/>
      <c r="BQ3538" s="1389"/>
      <c r="BR3538" s="487"/>
      <c r="BS3538" s="488"/>
      <c r="BT3538" s="488"/>
      <c r="BU3538" s="488"/>
      <c r="BV3538" s="488"/>
      <c r="BW3538" s="488"/>
      <c r="BX3538" s="488"/>
      <c r="BY3538" s="488"/>
      <c r="BZ3538" s="489"/>
      <c r="CA3538" s="270"/>
      <c r="CB3538" s="3" t="str">
        <f t="shared" si="637"/>
        <v>Riadok bude skrytý.</v>
      </c>
      <c r="CC3538" s="271" t="s">
        <v>832</v>
      </c>
      <c r="CW3538" s="32">
        <f t="shared" si="640"/>
        <v>1</v>
      </c>
      <c r="CZ3538" s="30">
        <f t="shared" si="638"/>
        <v>1</v>
      </c>
      <c r="DA3538" s="30">
        <f t="shared" si="636"/>
        <v>1</v>
      </c>
      <c r="DB3538" s="2">
        <f t="shared" si="635"/>
        <v>0</v>
      </c>
      <c r="DS3538" s="130">
        <f>SI!BY3538</f>
        <v>193</v>
      </c>
      <c r="DZ3538" s="131">
        <f>SI!BZ3538</f>
        <v>0</v>
      </c>
    </row>
    <row r="3539" spans="1:130" ht="37.549999999999997" hidden="1" customHeight="1" x14ac:dyDescent="0.25">
      <c r="A3539" s="141"/>
      <c r="B3539" s="1383" t="s">
        <v>443</v>
      </c>
      <c r="C3539" s="1384"/>
      <c r="D3539" s="1384"/>
      <c r="E3539" s="1384"/>
      <c r="F3539" s="1384"/>
      <c r="G3539" s="1384"/>
      <c r="H3539" s="1384"/>
      <c r="I3539" s="1385"/>
      <c r="J3539" s="429" t="s">
        <v>590</v>
      </c>
      <c r="K3539" s="430"/>
      <c r="L3539" s="430"/>
      <c r="M3539" s="430"/>
      <c r="N3539" s="430"/>
      <c r="O3539" s="430"/>
      <c r="P3539" s="430"/>
      <c r="Q3539" s="430"/>
      <c r="R3539" s="430"/>
      <c r="S3539" s="430"/>
      <c r="T3539" s="430"/>
      <c r="U3539" s="430"/>
      <c r="V3539" s="430"/>
      <c r="W3539" s="430"/>
      <c r="X3539" s="430"/>
      <c r="Y3539" s="430"/>
      <c r="Z3539" s="430"/>
      <c r="AA3539" s="430"/>
      <c r="AB3539" s="430"/>
      <c r="AC3539" s="430"/>
      <c r="AD3539" s="430"/>
      <c r="AE3539" s="430"/>
      <c r="AF3539" s="430"/>
      <c r="AG3539" s="430"/>
      <c r="AH3539" s="430"/>
      <c r="AI3539" s="430"/>
      <c r="AJ3539" s="430"/>
      <c r="AK3539" s="430"/>
      <c r="AL3539" s="430"/>
      <c r="AM3539" s="430"/>
      <c r="AN3539" s="430"/>
      <c r="AO3539" s="430"/>
      <c r="AP3539" s="430"/>
      <c r="AQ3539" s="430"/>
      <c r="AR3539" s="430"/>
      <c r="AS3539" s="430"/>
      <c r="AT3539" s="430"/>
      <c r="AU3539" s="430"/>
      <c r="AV3539" s="430"/>
      <c r="AW3539" s="430"/>
      <c r="AX3539" s="430"/>
      <c r="AY3539" s="430"/>
      <c r="AZ3539" s="430"/>
      <c r="BA3539" s="430"/>
      <c r="BB3539" s="430"/>
      <c r="BC3539" s="430"/>
      <c r="BD3539" s="430"/>
      <c r="BE3539" s="430"/>
      <c r="BF3539" s="430"/>
      <c r="BG3539" s="430"/>
      <c r="BH3539" s="431"/>
      <c r="BI3539" s="398">
        <f>+SUM(BI3540:BQ3552)</f>
        <v>0</v>
      </c>
      <c r="BJ3539" s="399"/>
      <c r="BK3539" s="1474"/>
      <c r="BL3539" s="1474"/>
      <c r="BM3539" s="1474"/>
      <c r="BN3539" s="1474"/>
      <c r="BO3539" s="1474"/>
      <c r="BP3539" s="1474"/>
      <c r="BQ3539" s="1474"/>
      <c r="BR3539" s="398">
        <f>+SUM(BR3540:BZ3552)</f>
        <v>0</v>
      </c>
      <c r="BS3539" s="399"/>
      <c r="BT3539" s="399"/>
      <c r="BU3539" s="399"/>
      <c r="BV3539" s="399"/>
      <c r="BW3539" s="399"/>
      <c r="BX3539" s="399"/>
      <c r="BY3539" s="399"/>
      <c r="BZ3539" s="400"/>
      <c r="CA3539" s="270"/>
      <c r="CB3539" s="3" t="str">
        <f t="shared" si="637"/>
        <v>Riadok bude skrytý.</v>
      </c>
      <c r="CC3539" s="271" t="s">
        <v>832</v>
      </c>
      <c r="CW3539" s="32">
        <f t="shared" si="640"/>
        <v>1</v>
      </c>
      <c r="CZ3539" s="30">
        <f t="shared" si="638"/>
        <v>1</v>
      </c>
      <c r="DA3539" s="30">
        <f t="shared" si="636"/>
        <v>1</v>
      </c>
      <c r="DB3539" s="2">
        <f t="shared" si="635"/>
        <v>0</v>
      </c>
      <c r="DS3539" s="130">
        <f>SI!BY3539</f>
        <v>152</v>
      </c>
      <c r="DZ3539" s="131">
        <f>SI!BZ3539</f>
        <v>0</v>
      </c>
    </row>
    <row r="3540" spans="1:130" ht="30.75" hidden="1" customHeight="1" x14ac:dyDescent="0.25">
      <c r="A3540" s="141"/>
      <c r="B3540" s="1383" t="s">
        <v>592</v>
      </c>
      <c r="C3540" s="1384"/>
      <c r="D3540" s="1384"/>
      <c r="E3540" s="1384"/>
      <c r="F3540" s="1384"/>
      <c r="G3540" s="1384"/>
      <c r="H3540" s="1384"/>
      <c r="I3540" s="1385"/>
      <c r="J3540" s="429" t="s">
        <v>591</v>
      </c>
      <c r="K3540" s="430"/>
      <c r="L3540" s="430"/>
      <c r="M3540" s="430"/>
      <c r="N3540" s="430"/>
      <c r="O3540" s="430"/>
      <c r="P3540" s="430"/>
      <c r="Q3540" s="430"/>
      <c r="R3540" s="430"/>
      <c r="S3540" s="430"/>
      <c r="T3540" s="430"/>
      <c r="U3540" s="430"/>
      <c r="V3540" s="430"/>
      <c r="W3540" s="430"/>
      <c r="X3540" s="430"/>
      <c r="Y3540" s="430"/>
      <c r="Z3540" s="430"/>
      <c r="AA3540" s="430"/>
      <c r="AB3540" s="430"/>
      <c r="AC3540" s="430"/>
      <c r="AD3540" s="430"/>
      <c r="AE3540" s="430"/>
      <c r="AF3540" s="430"/>
      <c r="AG3540" s="430"/>
      <c r="AH3540" s="430"/>
      <c r="AI3540" s="430"/>
      <c r="AJ3540" s="430"/>
      <c r="AK3540" s="430"/>
      <c r="AL3540" s="430"/>
      <c r="AM3540" s="430"/>
      <c r="AN3540" s="430"/>
      <c r="AO3540" s="430"/>
      <c r="AP3540" s="430"/>
      <c r="AQ3540" s="430"/>
      <c r="AR3540" s="430"/>
      <c r="AS3540" s="430"/>
      <c r="AT3540" s="430"/>
      <c r="AU3540" s="430"/>
      <c r="AV3540" s="430"/>
      <c r="AW3540" s="430"/>
      <c r="AX3540" s="430"/>
      <c r="AY3540" s="430"/>
      <c r="AZ3540" s="430"/>
      <c r="BA3540" s="430"/>
      <c r="BB3540" s="430"/>
      <c r="BC3540" s="430"/>
      <c r="BD3540" s="430"/>
      <c r="BE3540" s="430"/>
      <c r="BF3540" s="430"/>
      <c r="BG3540" s="430"/>
      <c r="BH3540" s="431"/>
      <c r="BI3540" s="363"/>
      <c r="BJ3540" s="386"/>
      <c r="BK3540" s="364"/>
      <c r="BL3540" s="364"/>
      <c r="BM3540" s="364"/>
      <c r="BN3540" s="364"/>
      <c r="BO3540" s="364"/>
      <c r="BP3540" s="475"/>
      <c r="BQ3540" s="475"/>
      <c r="BR3540" s="420"/>
      <c r="BS3540" s="421"/>
      <c r="BT3540" s="421"/>
      <c r="BU3540" s="421"/>
      <c r="BV3540" s="421"/>
      <c r="BW3540" s="421"/>
      <c r="BX3540" s="421"/>
      <c r="BY3540" s="421"/>
      <c r="BZ3540" s="422"/>
      <c r="CA3540" s="270"/>
      <c r="CB3540" s="3" t="str">
        <f t="shared" si="637"/>
        <v>Riadok bude skrytý.</v>
      </c>
      <c r="CC3540" s="271" t="s">
        <v>832</v>
      </c>
      <c r="CW3540" s="32">
        <f t="shared" si="640"/>
        <v>1</v>
      </c>
      <c r="CZ3540" s="30">
        <f t="shared" si="638"/>
        <v>1</v>
      </c>
      <c r="DA3540" s="30">
        <f t="shared" si="636"/>
        <v>1</v>
      </c>
      <c r="DB3540" s="2">
        <f t="shared" si="635"/>
        <v>0</v>
      </c>
      <c r="DS3540" s="130">
        <f>SI!BY3540</f>
        <v>106</v>
      </c>
      <c r="DZ3540" s="131">
        <f>SI!BZ3540</f>
        <v>0</v>
      </c>
    </row>
    <row r="3541" spans="1:130" ht="39.1" hidden="1" customHeight="1" x14ac:dyDescent="0.25">
      <c r="A3541" s="141"/>
      <c r="B3541" s="1383" t="s">
        <v>594</v>
      </c>
      <c r="C3541" s="1384"/>
      <c r="D3541" s="1384"/>
      <c r="E3541" s="1384"/>
      <c r="F3541" s="1384"/>
      <c r="G3541" s="1384"/>
      <c r="H3541" s="1384"/>
      <c r="I3541" s="1385"/>
      <c r="J3541" s="429" t="s">
        <v>593</v>
      </c>
      <c r="K3541" s="430"/>
      <c r="L3541" s="430"/>
      <c r="M3541" s="430"/>
      <c r="N3541" s="430"/>
      <c r="O3541" s="430"/>
      <c r="P3541" s="430"/>
      <c r="Q3541" s="430"/>
      <c r="R3541" s="430"/>
      <c r="S3541" s="430"/>
      <c r="T3541" s="430"/>
      <c r="U3541" s="430"/>
      <c r="V3541" s="430"/>
      <c r="W3541" s="430"/>
      <c r="X3541" s="430"/>
      <c r="Y3541" s="430"/>
      <c r="Z3541" s="430"/>
      <c r="AA3541" s="430"/>
      <c r="AB3541" s="430"/>
      <c r="AC3541" s="430"/>
      <c r="AD3541" s="430"/>
      <c r="AE3541" s="430"/>
      <c r="AF3541" s="430"/>
      <c r="AG3541" s="430"/>
      <c r="AH3541" s="430"/>
      <c r="AI3541" s="430"/>
      <c r="AJ3541" s="430"/>
      <c r="AK3541" s="430"/>
      <c r="AL3541" s="430"/>
      <c r="AM3541" s="430"/>
      <c r="AN3541" s="430"/>
      <c r="AO3541" s="430"/>
      <c r="AP3541" s="430"/>
      <c r="AQ3541" s="430"/>
      <c r="AR3541" s="430"/>
      <c r="AS3541" s="430"/>
      <c r="AT3541" s="430"/>
      <c r="AU3541" s="430"/>
      <c r="AV3541" s="430"/>
      <c r="AW3541" s="430"/>
      <c r="AX3541" s="430"/>
      <c r="AY3541" s="430"/>
      <c r="AZ3541" s="430"/>
      <c r="BA3541" s="430"/>
      <c r="BB3541" s="430"/>
      <c r="BC3541" s="430"/>
      <c r="BD3541" s="430"/>
      <c r="BE3541" s="430"/>
      <c r="BF3541" s="430"/>
      <c r="BG3541" s="430"/>
      <c r="BH3541" s="431"/>
      <c r="BI3541" s="363"/>
      <c r="BJ3541" s="386"/>
      <c r="BK3541" s="364"/>
      <c r="BL3541" s="364"/>
      <c r="BM3541" s="364"/>
      <c r="BN3541" s="364"/>
      <c r="BO3541" s="364"/>
      <c r="BP3541" s="475"/>
      <c r="BQ3541" s="475"/>
      <c r="BR3541" s="420"/>
      <c r="BS3541" s="421"/>
      <c r="BT3541" s="421"/>
      <c r="BU3541" s="421"/>
      <c r="BV3541" s="421"/>
      <c r="BW3541" s="421"/>
      <c r="BX3541" s="421"/>
      <c r="BY3541" s="421"/>
      <c r="BZ3541" s="422"/>
      <c r="CA3541" s="270"/>
      <c r="CB3541" s="3" t="str">
        <f t="shared" si="637"/>
        <v>Riadok bude skrytý.</v>
      </c>
      <c r="CC3541" s="271" t="s">
        <v>832</v>
      </c>
      <c r="CW3541" s="32">
        <f t="shared" si="640"/>
        <v>1</v>
      </c>
      <c r="CZ3541" s="30">
        <f t="shared" si="638"/>
        <v>1</v>
      </c>
      <c r="DA3541" s="30">
        <f t="shared" si="636"/>
        <v>1</v>
      </c>
      <c r="DB3541" s="2">
        <f t="shared" si="635"/>
        <v>0</v>
      </c>
      <c r="DS3541" s="130">
        <f>SI!BY3541</f>
        <v>138</v>
      </c>
      <c r="DZ3541" s="131">
        <f>SI!BZ3541</f>
        <v>0</v>
      </c>
    </row>
    <row r="3542" spans="1:130" ht="14.95" hidden="1" customHeight="1" x14ac:dyDescent="0.25">
      <c r="A3542" s="141"/>
      <c r="B3542" s="1383" t="s">
        <v>596</v>
      </c>
      <c r="C3542" s="1384"/>
      <c r="D3542" s="1384"/>
      <c r="E3542" s="1384"/>
      <c r="F3542" s="1384"/>
      <c r="G3542" s="1384"/>
      <c r="H3542" s="1384"/>
      <c r="I3542" s="1385"/>
      <c r="J3542" s="429" t="s">
        <v>595</v>
      </c>
      <c r="K3542" s="430"/>
      <c r="L3542" s="430"/>
      <c r="M3542" s="430"/>
      <c r="N3542" s="430"/>
      <c r="O3542" s="430"/>
      <c r="P3542" s="430"/>
      <c r="Q3542" s="430"/>
      <c r="R3542" s="430"/>
      <c r="S3542" s="430"/>
      <c r="T3542" s="430"/>
      <c r="U3542" s="430"/>
      <c r="V3542" s="430"/>
      <c r="W3542" s="430"/>
      <c r="X3542" s="430"/>
      <c r="Y3542" s="430"/>
      <c r="Z3542" s="430"/>
      <c r="AA3542" s="430"/>
      <c r="AB3542" s="430"/>
      <c r="AC3542" s="430"/>
      <c r="AD3542" s="430"/>
      <c r="AE3542" s="430"/>
      <c r="AF3542" s="430"/>
      <c r="AG3542" s="430"/>
      <c r="AH3542" s="430"/>
      <c r="AI3542" s="430"/>
      <c r="AJ3542" s="430"/>
      <c r="AK3542" s="430"/>
      <c r="AL3542" s="430"/>
      <c r="AM3542" s="430"/>
      <c r="AN3542" s="430"/>
      <c r="AO3542" s="430"/>
      <c r="AP3542" s="430"/>
      <c r="AQ3542" s="430"/>
      <c r="AR3542" s="430"/>
      <c r="AS3542" s="430"/>
      <c r="AT3542" s="430"/>
      <c r="AU3542" s="430"/>
      <c r="AV3542" s="430"/>
      <c r="AW3542" s="430"/>
      <c r="AX3542" s="430"/>
      <c r="AY3542" s="430"/>
      <c r="AZ3542" s="430"/>
      <c r="BA3542" s="430"/>
      <c r="BB3542" s="430"/>
      <c r="BC3542" s="430"/>
      <c r="BD3542" s="430"/>
      <c r="BE3542" s="430"/>
      <c r="BF3542" s="430"/>
      <c r="BG3542" s="430"/>
      <c r="BH3542" s="431"/>
      <c r="BI3542" s="363"/>
      <c r="BJ3542" s="386"/>
      <c r="BK3542" s="364"/>
      <c r="BL3542" s="364"/>
      <c r="BM3542" s="364"/>
      <c r="BN3542" s="364"/>
      <c r="BO3542" s="364"/>
      <c r="BP3542" s="475"/>
      <c r="BQ3542" s="475"/>
      <c r="BR3542" s="420"/>
      <c r="BS3542" s="421"/>
      <c r="BT3542" s="421"/>
      <c r="BU3542" s="421"/>
      <c r="BV3542" s="421"/>
      <c r="BW3542" s="421"/>
      <c r="BX3542" s="421"/>
      <c r="BY3542" s="421"/>
      <c r="BZ3542" s="422"/>
      <c r="CA3542" s="270"/>
      <c r="CB3542" s="3" t="str">
        <f t="shared" si="637"/>
        <v>Riadok bude skrytý.</v>
      </c>
      <c r="CC3542" s="271" t="s">
        <v>832</v>
      </c>
      <c r="CW3542" s="32">
        <f t="shared" si="640"/>
        <v>1</v>
      </c>
      <c r="CZ3542" s="30">
        <f t="shared" si="638"/>
        <v>1</v>
      </c>
      <c r="DA3542" s="30">
        <f t="shared" si="636"/>
        <v>1</v>
      </c>
      <c r="DB3542" s="2">
        <f t="shared" si="635"/>
        <v>0</v>
      </c>
      <c r="DS3542" s="130">
        <f>SI!BY3542</f>
        <v>166</v>
      </c>
      <c r="DZ3542" s="131">
        <f>SI!BZ3542</f>
        <v>0</v>
      </c>
    </row>
    <row r="3543" spans="1:130" ht="14.95" hidden="1" customHeight="1" x14ac:dyDescent="0.25">
      <c r="A3543" s="141"/>
      <c r="B3543" s="1383" t="s">
        <v>598</v>
      </c>
      <c r="C3543" s="1384"/>
      <c r="D3543" s="1384"/>
      <c r="E3543" s="1384"/>
      <c r="F3543" s="1384"/>
      <c r="G3543" s="1384"/>
      <c r="H3543" s="1384"/>
      <c r="I3543" s="1385"/>
      <c r="J3543" s="429" t="s">
        <v>597</v>
      </c>
      <c r="K3543" s="430"/>
      <c r="L3543" s="430"/>
      <c r="M3543" s="430"/>
      <c r="N3543" s="430"/>
      <c r="O3543" s="430"/>
      <c r="P3543" s="430"/>
      <c r="Q3543" s="430"/>
      <c r="R3543" s="430"/>
      <c r="S3543" s="430"/>
      <c r="T3543" s="430"/>
      <c r="U3543" s="430"/>
      <c r="V3543" s="430"/>
      <c r="W3543" s="430"/>
      <c r="X3543" s="430"/>
      <c r="Y3543" s="430"/>
      <c r="Z3543" s="430"/>
      <c r="AA3543" s="430"/>
      <c r="AB3543" s="430"/>
      <c r="AC3543" s="430"/>
      <c r="AD3543" s="430"/>
      <c r="AE3543" s="430"/>
      <c r="AF3543" s="430"/>
      <c r="AG3543" s="430"/>
      <c r="AH3543" s="430"/>
      <c r="AI3543" s="430"/>
      <c r="AJ3543" s="430"/>
      <c r="AK3543" s="430"/>
      <c r="AL3543" s="430"/>
      <c r="AM3543" s="430"/>
      <c r="AN3543" s="430"/>
      <c r="AO3543" s="430"/>
      <c r="AP3543" s="430"/>
      <c r="AQ3543" s="430"/>
      <c r="AR3543" s="430"/>
      <c r="AS3543" s="430"/>
      <c r="AT3543" s="430"/>
      <c r="AU3543" s="430"/>
      <c r="AV3543" s="430"/>
      <c r="AW3543" s="430"/>
      <c r="AX3543" s="430"/>
      <c r="AY3543" s="430"/>
      <c r="AZ3543" s="430"/>
      <c r="BA3543" s="430"/>
      <c r="BB3543" s="430"/>
      <c r="BC3543" s="430"/>
      <c r="BD3543" s="430"/>
      <c r="BE3543" s="430"/>
      <c r="BF3543" s="430"/>
      <c r="BG3543" s="430"/>
      <c r="BH3543" s="431"/>
      <c r="BI3543" s="363"/>
      <c r="BJ3543" s="386"/>
      <c r="BK3543" s="364"/>
      <c r="BL3543" s="364"/>
      <c r="BM3543" s="364"/>
      <c r="BN3543" s="364"/>
      <c r="BO3543" s="364"/>
      <c r="BP3543" s="475"/>
      <c r="BQ3543" s="475"/>
      <c r="BR3543" s="420"/>
      <c r="BS3543" s="421"/>
      <c r="BT3543" s="421"/>
      <c r="BU3543" s="421"/>
      <c r="BV3543" s="421"/>
      <c r="BW3543" s="421"/>
      <c r="BX3543" s="421"/>
      <c r="BY3543" s="421"/>
      <c r="BZ3543" s="422"/>
      <c r="CA3543" s="270"/>
      <c r="CB3543" s="3" t="str">
        <f t="shared" si="637"/>
        <v>Riadok bude skrytý.</v>
      </c>
      <c r="CC3543" s="271" t="s">
        <v>832</v>
      </c>
      <c r="CW3543" s="32">
        <f t="shared" si="640"/>
        <v>1</v>
      </c>
      <c r="CZ3543" s="30">
        <f t="shared" si="638"/>
        <v>1</v>
      </c>
      <c r="DA3543" s="30">
        <f t="shared" si="636"/>
        <v>1</v>
      </c>
      <c r="DB3543" s="2">
        <f t="shared" si="635"/>
        <v>0</v>
      </c>
      <c r="DS3543" s="130">
        <f>SI!BY3543</f>
        <v>145</v>
      </c>
      <c r="DZ3543" s="131">
        <f>SI!BZ3543</f>
        <v>0</v>
      </c>
    </row>
    <row r="3544" spans="1:130" ht="14.95" hidden="1" customHeight="1" x14ac:dyDescent="0.25">
      <c r="A3544" s="141"/>
      <c r="B3544" s="1383" t="s">
        <v>600</v>
      </c>
      <c r="C3544" s="1384"/>
      <c r="D3544" s="1384"/>
      <c r="E3544" s="1384"/>
      <c r="F3544" s="1384"/>
      <c r="G3544" s="1384"/>
      <c r="H3544" s="1384"/>
      <c r="I3544" s="1385"/>
      <c r="J3544" s="429" t="s">
        <v>599</v>
      </c>
      <c r="K3544" s="430"/>
      <c r="L3544" s="430"/>
      <c r="M3544" s="430"/>
      <c r="N3544" s="430"/>
      <c r="O3544" s="430"/>
      <c r="P3544" s="430"/>
      <c r="Q3544" s="430"/>
      <c r="R3544" s="430"/>
      <c r="S3544" s="430"/>
      <c r="T3544" s="430"/>
      <c r="U3544" s="430"/>
      <c r="V3544" s="430"/>
      <c r="W3544" s="430"/>
      <c r="X3544" s="430"/>
      <c r="Y3544" s="430"/>
      <c r="Z3544" s="430"/>
      <c r="AA3544" s="430"/>
      <c r="AB3544" s="430"/>
      <c r="AC3544" s="430"/>
      <c r="AD3544" s="430"/>
      <c r="AE3544" s="430"/>
      <c r="AF3544" s="430"/>
      <c r="AG3544" s="430"/>
      <c r="AH3544" s="430"/>
      <c r="AI3544" s="430"/>
      <c r="AJ3544" s="430"/>
      <c r="AK3544" s="430"/>
      <c r="AL3544" s="430"/>
      <c r="AM3544" s="430"/>
      <c r="AN3544" s="430"/>
      <c r="AO3544" s="430"/>
      <c r="AP3544" s="430"/>
      <c r="AQ3544" s="430"/>
      <c r="AR3544" s="430"/>
      <c r="AS3544" s="430"/>
      <c r="AT3544" s="430"/>
      <c r="AU3544" s="430"/>
      <c r="AV3544" s="430"/>
      <c r="AW3544" s="430"/>
      <c r="AX3544" s="430"/>
      <c r="AY3544" s="430"/>
      <c r="AZ3544" s="430"/>
      <c r="BA3544" s="430"/>
      <c r="BB3544" s="430"/>
      <c r="BC3544" s="430"/>
      <c r="BD3544" s="430"/>
      <c r="BE3544" s="430"/>
      <c r="BF3544" s="430"/>
      <c r="BG3544" s="430"/>
      <c r="BH3544" s="431"/>
      <c r="BI3544" s="363"/>
      <c r="BJ3544" s="386"/>
      <c r="BK3544" s="364"/>
      <c r="BL3544" s="364"/>
      <c r="BM3544" s="364"/>
      <c r="BN3544" s="364"/>
      <c r="BO3544" s="364"/>
      <c r="BP3544" s="475"/>
      <c r="BQ3544" s="475"/>
      <c r="BR3544" s="420"/>
      <c r="BS3544" s="421"/>
      <c r="BT3544" s="421"/>
      <c r="BU3544" s="421"/>
      <c r="BV3544" s="421"/>
      <c r="BW3544" s="421"/>
      <c r="BX3544" s="421"/>
      <c r="BY3544" s="421"/>
      <c r="BZ3544" s="422"/>
      <c r="CA3544" s="270"/>
      <c r="CB3544" s="3" t="str">
        <f t="shared" si="637"/>
        <v>Riadok bude skrytý.</v>
      </c>
      <c r="CC3544" s="271" t="s">
        <v>832</v>
      </c>
      <c r="CW3544" s="32">
        <f t="shared" si="640"/>
        <v>1</v>
      </c>
      <c r="CZ3544" s="30">
        <f t="shared" si="638"/>
        <v>1</v>
      </c>
      <c r="DA3544" s="30">
        <f t="shared" si="636"/>
        <v>1</v>
      </c>
      <c r="DB3544" s="2">
        <f t="shared" si="635"/>
        <v>0</v>
      </c>
      <c r="DS3544" s="130">
        <f>SI!BY3544</f>
        <v>165</v>
      </c>
      <c r="DZ3544" s="131">
        <f>SI!BZ3544</f>
        <v>0</v>
      </c>
    </row>
    <row r="3545" spans="1:130" ht="14.95" hidden="1" customHeight="1" x14ac:dyDescent="0.25">
      <c r="A3545" s="141"/>
      <c r="B3545" s="1383" t="s">
        <v>602</v>
      </c>
      <c r="C3545" s="1384"/>
      <c r="D3545" s="1384"/>
      <c r="E3545" s="1384"/>
      <c r="F3545" s="1384"/>
      <c r="G3545" s="1384"/>
      <c r="H3545" s="1384"/>
      <c r="I3545" s="1385"/>
      <c r="J3545" s="429" t="s">
        <v>601</v>
      </c>
      <c r="K3545" s="430"/>
      <c r="L3545" s="430"/>
      <c r="M3545" s="430"/>
      <c r="N3545" s="430"/>
      <c r="O3545" s="430"/>
      <c r="P3545" s="430"/>
      <c r="Q3545" s="430"/>
      <c r="R3545" s="430"/>
      <c r="S3545" s="430"/>
      <c r="T3545" s="430"/>
      <c r="U3545" s="430"/>
      <c r="V3545" s="430"/>
      <c r="W3545" s="430"/>
      <c r="X3545" s="430"/>
      <c r="Y3545" s="430"/>
      <c r="Z3545" s="430"/>
      <c r="AA3545" s="430"/>
      <c r="AB3545" s="430"/>
      <c r="AC3545" s="430"/>
      <c r="AD3545" s="430"/>
      <c r="AE3545" s="430"/>
      <c r="AF3545" s="430"/>
      <c r="AG3545" s="430"/>
      <c r="AH3545" s="430"/>
      <c r="AI3545" s="430"/>
      <c r="AJ3545" s="430"/>
      <c r="AK3545" s="430"/>
      <c r="AL3545" s="430"/>
      <c r="AM3545" s="430"/>
      <c r="AN3545" s="430"/>
      <c r="AO3545" s="430"/>
      <c r="AP3545" s="430"/>
      <c r="AQ3545" s="430"/>
      <c r="AR3545" s="430"/>
      <c r="AS3545" s="430"/>
      <c r="AT3545" s="430"/>
      <c r="AU3545" s="430"/>
      <c r="AV3545" s="430"/>
      <c r="AW3545" s="430"/>
      <c r="AX3545" s="430"/>
      <c r="AY3545" s="430"/>
      <c r="AZ3545" s="430"/>
      <c r="BA3545" s="430"/>
      <c r="BB3545" s="430"/>
      <c r="BC3545" s="430"/>
      <c r="BD3545" s="430"/>
      <c r="BE3545" s="430"/>
      <c r="BF3545" s="430"/>
      <c r="BG3545" s="430"/>
      <c r="BH3545" s="431"/>
      <c r="BI3545" s="363"/>
      <c r="BJ3545" s="386"/>
      <c r="BK3545" s="364"/>
      <c r="BL3545" s="364"/>
      <c r="BM3545" s="364"/>
      <c r="BN3545" s="364"/>
      <c r="BO3545" s="364"/>
      <c r="BP3545" s="475"/>
      <c r="BQ3545" s="475"/>
      <c r="BR3545" s="420"/>
      <c r="BS3545" s="421"/>
      <c r="BT3545" s="421"/>
      <c r="BU3545" s="421"/>
      <c r="BV3545" s="421"/>
      <c r="BW3545" s="421"/>
      <c r="BX3545" s="421"/>
      <c r="BY3545" s="421"/>
      <c r="BZ3545" s="422"/>
      <c r="CA3545" s="270"/>
      <c r="CB3545" s="3" t="str">
        <f t="shared" si="637"/>
        <v>Riadok bude skrytý.</v>
      </c>
      <c r="CC3545" s="271" t="s">
        <v>832</v>
      </c>
      <c r="CW3545" s="32">
        <f t="shared" si="640"/>
        <v>1</v>
      </c>
      <c r="CZ3545" s="30">
        <f t="shared" si="638"/>
        <v>1</v>
      </c>
      <c r="DA3545" s="30">
        <f t="shared" si="636"/>
        <v>1</v>
      </c>
      <c r="DB3545" s="2">
        <f t="shared" si="635"/>
        <v>0</v>
      </c>
      <c r="DS3545" s="130">
        <f>SI!BY3545</f>
        <v>828</v>
      </c>
      <c r="DZ3545" s="131">
        <f>SI!BZ3545</f>
        <v>0</v>
      </c>
    </row>
    <row r="3546" spans="1:130" ht="14.95" hidden="1" customHeight="1" x14ac:dyDescent="0.25">
      <c r="A3546" s="141"/>
      <c r="B3546" s="1383" t="s">
        <v>604</v>
      </c>
      <c r="C3546" s="1384"/>
      <c r="D3546" s="1384"/>
      <c r="E3546" s="1384"/>
      <c r="F3546" s="1384"/>
      <c r="G3546" s="1384"/>
      <c r="H3546" s="1384"/>
      <c r="I3546" s="1385"/>
      <c r="J3546" s="429" t="s">
        <v>603</v>
      </c>
      <c r="K3546" s="430"/>
      <c r="L3546" s="430"/>
      <c r="M3546" s="430"/>
      <c r="N3546" s="430"/>
      <c r="O3546" s="430"/>
      <c r="P3546" s="430"/>
      <c r="Q3546" s="430"/>
      <c r="R3546" s="430"/>
      <c r="S3546" s="430"/>
      <c r="T3546" s="430"/>
      <c r="U3546" s="430"/>
      <c r="V3546" s="430"/>
      <c r="W3546" s="430"/>
      <c r="X3546" s="430"/>
      <c r="Y3546" s="430"/>
      <c r="Z3546" s="430"/>
      <c r="AA3546" s="430"/>
      <c r="AB3546" s="430"/>
      <c r="AC3546" s="430"/>
      <c r="AD3546" s="430"/>
      <c r="AE3546" s="430"/>
      <c r="AF3546" s="430"/>
      <c r="AG3546" s="430"/>
      <c r="AH3546" s="430"/>
      <c r="AI3546" s="430"/>
      <c r="AJ3546" s="430"/>
      <c r="AK3546" s="430"/>
      <c r="AL3546" s="430"/>
      <c r="AM3546" s="430"/>
      <c r="AN3546" s="430"/>
      <c r="AO3546" s="430"/>
      <c r="AP3546" s="430"/>
      <c r="AQ3546" s="430"/>
      <c r="AR3546" s="430"/>
      <c r="AS3546" s="430"/>
      <c r="AT3546" s="430"/>
      <c r="AU3546" s="430"/>
      <c r="AV3546" s="430"/>
      <c r="AW3546" s="430"/>
      <c r="AX3546" s="430"/>
      <c r="AY3546" s="430"/>
      <c r="AZ3546" s="430"/>
      <c r="BA3546" s="430"/>
      <c r="BB3546" s="430"/>
      <c r="BC3546" s="430"/>
      <c r="BD3546" s="430"/>
      <c r="BE3546" s="430"/>
      <c r="BF3546" s="430"/>
      <c r="BG3546" s="430"/>
      <c r="BH3546" s="431"/>
      <c r="BI3546" s="363"/>
      <c r="BJ3546" s="386"/>
      <c r="BK3546" s="364"/>
      <c r="BL3546" s="364"/>
      <c r="BM3546" s="364"/>
      <c r="BN3546" s="364"/>
      <c r="BO3546" s="364"/>
      <c r="BP3546" s="475"/>
      <c r="BQ3546" s="475"/>
      <c r="BR3546" s="420"/>
      <c r="BS3546" s="421"/>
      <c r="BT3546" s="421"/>
      <c r="BU3546" s="421"/>
      <c r="BV3546" s="421"/>
      <c r="BW3546" s="421"/>
      <c r="BX3546" s="421"/>
      <c r="BY3546" s="421"/>
      <c r="BZ3546" s="422"/>
      <c r="CA3546" s="270"/>
      <c r="CB3546" s="3" t="str">
        <f t="shared" si="637"/>
        <v>Riadok bude skrytý.</v>
      </c>
      <c r="CC3546" s="271" t="s">
        <v>832</v>
      </c>
      <c r="CW3546" s="32">
        <f t="shared" si="640"/>
        <v>1</v>
      </c>
      <c r="CZ3546" s="30">
        <f t="shared" si="638"/>
        <v>1</v>
      </c>
      <c r="DA3546" s="30">
        <f t="shared" si="636"/>
        <v>1</v>
      </c>
      <c r="DB3546" s="2">
        <f t="shared" si="635"/>
        <v>0</v>
      </c>
      <c r="DS3546" s="130">
        <f>SI!BY3546</f>
        <v>105</v>
      </c>
      <c r="DZ3546" s="131">
        <f>SI!BZ3546</f>
        <v>0</v>
      </c>
    </row>
    <row r="3547" spans="1:130" ht="14.95" hidden="1" customHeight="1" x14ac:dyDescent="0.25">
      <c r="A3547" s="141"/>
      <c r="B3547" s="1383" t="s">
        <v>606</v>
      </c>
      <c r="C3547" s="1384"/>
      <c r="D3547" s="1384"/>
      <c r="E3547" s="1384"/>
      <c r="F3547" s="1384"/>
      <c r="G3547" s="1384"/>
      <c r="H3547" s="1384"/>
      <c r="I3547" s="1385"/>
      <c r="J3547" s="429" t="s">
        <v>605</v>
      </c>
      <c r="K3547" s="430"/>
      <c r="L3547" s="430"/>
      <c r="M3547" s="430"/>
      <c r="N3547" s="430"/>
      <c r="O3547" s="430"/>
      <c r="P3547" s="430"/>
      <c r="Q3547" s="430"/>
      <c r="R3547" s="430"/>
      <c r="S3547" s="430"/>
      <c r="T3547" s="430"/>
      <c r="U3547" s="430"/>
      <c r="V3547" s="430"/>
      <c r="W3547" s="430"/>
      <c r="X3547" s="430"/>
      <c r="Y3547" s="430"/>
      <c r="Z3547" s="430"/>
      <c r="AA3547" s="430"/>
      <c r="AB3547" s="430"/>
      <c r="AC3547" s="430"/>
      <c r="AD3547" s="430"/>
      <c r="AE3547" s="430"/>
      <c r="AF3547" s="430"/>
      <c r="AG3547" s="430"/>
      <c r="AH3547" s="430"/>
      <c r="AI3547" s="430"/>
      <c r="AJ3547" s="430"/>
      <c r="AK3547" s="430"/>
      <c r="AL3547" s="430"/>
      <c r="AM3547" s="430"/>
      <c r="AN3547" s="430"/>
      <c r="AO3547" s="430"/>
      <c r="AP3547" s="430"/>
      <c r="AQ3547" s="430"/>
      <c r="AR3547" s="430"/>
      <c r="AS3547" s="430"/>
      <c r="AT3547" s="430"/>
      <c r="AU3547" s="430"/>
      <c r="AV3547" s="430"/>
      <c r="AW3547" s="430"/>
      <c r="AX3547" s="430"/>
      <c r="AY3547" s="430"/>
      <c r="AZ3547" s="430"/>
      <c r="BA3547" s="430"/>
      <c r="BB3547" s="430"/>
      <c r="BC3547" s="430"/>
      <c r="BD3547" s="430"/>
      <c r="BE3547" s="430"/>
      <c r="BF3547" s="430"/>
      <c r="BG3547" s="430"/>
      <c r="BH3547" s="431"/>
      <c r="BI3547" s="363"/>
      <c r="BJ3547" s="386"/>
      <c r="BK3547" s="364"/>
      <c r="BL3547" s="364"/>
      <c r="BM3547" s="364"/>
      <c r="BN3547" s="364"/>
      <c r="BO3547" s="364"/>
      <c r="BP3547" s="475"/>
      <c r="BQ3547" s="475"/>
      <c r="BR3547" s="420"/>
      <c r="BS3547" s="421"/>
      <c r="BT3547" s="421"/>
      <c r="BU3547" s="421"/>
      <c r="BV3547" s="421"/>
      <c r="BW3547" s="421"/>
      <c r="BX3547" s="421"/>
      <c r="BY3547" s="421"/>
      <c r="BZ3547" s="422"/>
      <c r="CA3547" s="270"/>
      <c r="CB3547" s="3" t="str">
        <f t="shared" si="637"/>
        <v>Riadok bude skrytý.</v>
      </c>
      <c r="CC3547" s="271" t="s">
        <v>832</v>
      </c>
      <c r="CW3547" s="32">
        <f t="shared" si="640"/>
        <v>1</v>
      </c>
      <c r="CZ3547" s="30">
        <f t="shared" si="638"/>
        <v>1</v>
      </c>
      <c r="DA3547" s="30">
        <f t="shared" si="636"/>
        <v>1</v>
      </c>
      <c r="DB3547" s="2">
        <f t="shared" si="635"/>
        <v>0</v>
      </c>
      <c r="DS3547" s="130">
        <f>SI!BY3547</f>
        <v>857</v>
      </c>
      <c r="DZ3547" s="131">
        <f>SI!BZ3547</f>
        <v>0</v>
      </c>
    </row>
    <row r="3548" spans="1:130" ht="14.95" hidden="1" customHeight="1" x14ac:dyDescent="0.25">
      <c r="A3548" s="141"/>
      <c r="B3548" s="1383" t="s">
        <v>608</v>
      </c>
      <c r="C3548" s="1384"/>
      <c r="D3548" s="1384"/>
      <c r="E3548" s="1384"/>
      <c r="F3548" s="1384"/>
      <c r="G3548" s="1384"/>
      <c r="H3548" s="1384"/>
      <c r="I3548" s="1385"/>
      <c r="J3548" s="429" t="s">
        <v>607</v>
      </c>
      <c r="K3548" s="430"/>
      <c r="L3548" s="430"/>
      <c r="M3548" s="430"/>
      <c r="N3548" s="430"/>
      <c r="O3548" s="430"/>
      <c r="P3548" s="430"/>
      <c r="Q3548" s="430"/>
      <c r="R3548" s="430"/>
      <c r="S3548" s="430"/>
      <c r="T3548" s="430"/>
      <c r="U3548" s="430"/>
      <c r="V3548" s="430"/>
      <c r="W3548" s="430"/>
      <c r="X3548" s="430"/>
      <c r="Y3548" s="430"/>
      <c r="Z3548" s="430"/>
      <c r="AA3548" s="430"/>
      <c r="AB3548" s="430"/>
      <c r="AC3548" s="430"/>
      <c r="AD3548" s="430"/>
      <c r="AE3548" s="430"/>
      <c r="AF3548" s="430"/>
      <c r="AG3548" s="430"/>
      <c r="AH3548" s="430"/>
      <c r="AI3548" s="430"/>
      <c r="AJ3548" s="430"/>
      <c r="AK3548" s="430"/>
      <c r="AL3548" s="430"/>
      <c r="AM3548" s="430"/>
      <c r="AN3548" s="430"/>
      <c r="AO3548" s="430"/>
      <c r="AP3548" s="430"/>
      <c r="AQ3548" s="430"/>
      <c r="AR3548" s="430"/>
      <c r="AS3548" s="430"/>
      <c r="AT3548" s="430"/>
      <c r="AU3548" s="430"/>
      <c r="AV3548" s="430"/>
      <c r="AW3548" s="430"/>
      <c r="AX3548" s="430"/>
      <c r="AY3548" s="430"/>
      <c r="AZ3548" s="430"/>
      <c r="BA3548" s="430"/>
      <c r="BB3548" s="430"/>
      <c r="BC3548" s="430"/>
      <c r="BD3548" s="430"/>
      <c r="BE3548" s="430"/>
      <c r="BF3548" s="430"/>
      <c r="BG3548" s="430"/>
      <c r="BH3548" s="431"/>
      <c r="BI3548" s="363"/>
      <c r="BJ3548" s="386"/>
      <c r="BK3548" s="364"/>
      <c r="BL3548" s="364"/>
      <c r="BM3548" s="364"/>
      <c r="BN3548" s="364"/>
      <c r="BO3548" s="364"/>
      <c r="BP3548" s="475"/>
      <c r="BQ3548" s="475"/>
      <c r="BR3548" s="420"/>
      <c r="BS3548" s="421"/>
      <c r="BT3548" s="421"/>
      <c r="BU3548" s="421"/>
      <c r="BV3548" s="421"/>
      <c r="BW3548" s="421"/>
      <c r="BX3548" s="421"/>
      <c r="BY3548" s="421"/>
      <c r="BZ3548" s="422"/>
      <c r="CA3548" s="270"/>
      <c r="CB3548" s="3" t="str">
        <f t="shared" si="637"/>
        <v>Riadok bude skrytý.</v>
      </c>
      <c r="CC3548" s="271" t="s">
        <v>832</v>
      </c>
      <c r="CW3548" s="32">
        <f t="shared" si="640"/>
        <v>1</v>
      </c>
      <c r="CZ3548" s="30">
        <f t="shared" si="638"/>
        <v>1</v>
      </c>
      <c r="DA3548" s="30">
        <f t="shared" si="636"/>
        <v>1</v>
      </c>
      <c r="DB3548" s="2">
        <f t="shared" si="635"/>
        <v>0</v>
      </c>
      <c r="DS3548" s="130">
        <f>SI!BY3548</f>
        <v>6</v>
      </c>
      <c r="DZ3548" s="131">
        <f>SI!BZ3548</f>
        <v>0</v>
      </c>
    </row>
    <row r="3549" spans="1:130" ht="24.8" hidden="1" customHeight="1" x14ac:dyDescent="0.25">
      <c r="A3549" s="141"/>
      <c r="B3549" s="1383" t="s">
        <v>610</v>
      </c>
      <c r="C3549" s="1384"/>
      <c r="D3549" s="1384"/>
      <c r="E3549" s="1384"/>
      <c r="F3549" s="1384"/>
      <c r="G3549" s="1384"/>
      <c r="H3549" s="1384"/>
      <c r="I3549" s="1385"/>
      <c r="J3549" s="429" t="s">
        <v>609</v>
      </c>
      <c r="K3549" s="430"/>
      <c r="L3549" s="430"/>
      <c r="M3549" s="430"/>
      <c r="N3549" s="430"/>
      <c r="O3549" s="430"/>
      <c r="P3549" s="430"/>
      <c r="Q3549" s="430"/>
      <c r="R3549" s="430"/>
      <c r="S3549" s="430"/>
      <c r="T3549" s="430"/>
      <c r="U3549" s="430"/>
      <c r="V3549" s="430"/>
      <c r="W3549" s="430"/>
      <c r="X3549" s="430"/>
      <c r="Y3549" s="430"/>
      <c r="Z3549" s="430"/>
      <c r="AA3549" s="430"/>
      <c r="AB3549" s="430"/>
      <c r="AC3549" s="430"/>
      <c r="AD3549" s="430"/>
      <c r="AE3549" s="430"/>
      <c r="AF3549" s="430"/>
      <c r="AG3549" s="430"/>
      <c r="AH3549" s="430"/>
      <c r="AI3549" s="430"/>
      <c r="AJ3549" s="430"/>
      <c r="AK3549" s="430"/>
      <c r="AL3549" s="430"/>
      <c r="AM3549" s="430"/>
      <c r="AN3549" s="430"/>
      <c r="AO3549" s="430"/>
      <c r="AP3549" s="430"/>
      <c r="AQ3549" s="430"/>
      <c r="AR3549" s="430"/>
      <c r="AS3549" s="430"/>
      <c r="AT3549" s="430"/>
      <c r="AU3549" s="430"/>
      <c r="AV3549" s="430"/>
      <c r="AW3549" s="430"/>
      <c r="AX3549" s="430"/>
      <c r="AY3549" s="430"/>
      <c r="AZ3549" s="430"/>
      <c r="BA3549" s="430"/>
      <c r="BB3549" s="430"/>
      <c r="BC3549" s="430"/>
      <c r="BD3549" s="430"/>
      <c r="BE3549" s="430"/>
      <c r="BF3549" s="430"/>
      <c r="BG3549" s="430"/>
      <c r="BH3549" s="431"/>
      <c r="BI3549" s="363"/>
      <c r="BJ3549" s="386"/>
      <c r="BK3549" s="364"/>
      <c r="BL3549" s="364"/>
      <c r="BM3549" s="364"/>
      <c r="BN3549" s="364"/>
      <c r="BO3549" s="364"/>
      <c r="BP3549" s="475"/>
      <c r="BQ3549" s="475"/>
      <c r="BR3549" s="420"/>
      <c r="BS3549" s="421"/>
      <c r="BT3549" s="421"/>
      <c r="BU3549" s="421"/>
      <c r="BV3549" s="421"/>
      <c r="BW3549" s="421"/>
      <c r="BX3549" s="421"/>
      <c r="BY3549" s="421"/>
      <c r="BZ3549" s="422"/>
      <c r="CA3549" s="270"/>
      <c r="CB3549" s="3" t="str">
        <f t="shared" si="637"/>
        <v>Riadok bude skrytý.</v>
      </c>
      <c r="CC3549" s="271" t="s">
        <v>832</v>
      </c>
      <c r="CW3549" s="32">
        <f t="shared" si="640"/>
        <v>1</v>
      </c>
      <c r="CZ3549" s="30">
        <f t="shared" si="638"/>
        <v>1</v>
      </c>
      <c r="DA3549" s="30">
        <f t="shared" si="636"/>
        <v>1</v>
      </c>
      <c r="DB3549" s="2">
        <f t="shared" si="635"/>
        <v>0</v>
      </c>
      <c r="DS3549" s="130">
        <f>SI!BY3549</f>
        <v>824</v>
      </c>
      <c r="DZ3549" s="131">
        <f>SI!BZ3549</f>
        <v>0</v>
      </c>
    </row>
    <row r="3550" spans="1:130" ht="24.8" hidden="1" customHeight="1" x14ac:dyDescent="0.25">
      <c r="A3550" s="141"/>
      <c r="B3550" s="1383" t="s">
        <v>612</v>
      </c>
      <c r="C3550" s="1384"/>
      <c r="D3550" s="1384"/>
      <c r="E3550" s="1384"/>
      <c r="F3550" s="1384"/>
      <c r="G3550" s="1384"/>
      <c r="H3550" s="1384"/>
      <c r="I3550" s="1385"/>
      <c r="J3550" s="429" t="s">
        <v>611</v>
      </c>
      <c r="K3550" s="430"/>
      <c r="L3550" s="430"/>
      <c r="M3550" s="430"/>
      <c r="N3550" s="430"/>
      <c r="O3550" s="430"/>
      <c r="P3550" s="430"/>
      <c r="Q3550" s="430"/>
      <c r="R3550" s="430"/>
      <c r="S3550" s="430"/>
      <c r="T3550" s="430"/>
      <c r="U3550" s="430"/>
      <c r="V3550" s="430"/>
      <c r="W3550" s="430"/>
      <c r="X3550" s="430"/>
      <c r="Y3550" s="430"/>
      <c r="Z3550" s="430"/>
      <c r="AA3550" s="430"/>
      <c r="AB3550" s="430"/>
      <c r="AC3550" s="430"/>
      <c r="AD3550" s="430"/>
      <c r="AE3550" s="430"/>
      <c r="AF3550" s="430"/>
      <c r="AG3550" s="430"/>
      <c r="AH3550" s="430"/>
      <c r="AI3550" s="430"/>
      <c r="AJ3550" s="430"/>
      <c r="AK3550" s="430"/>
      <c r="AL3550" s="430"/>
      <c r="AM3550" s="430"/>
      <c r="AN3550" s="430"/>
      <c r="AO3550" s="430"/>
      <c r="AP3550" s="430"/>
      <c r="AQ3550" s="430"/>
      <c r="AR3550" s="430"/>
      <c r="AS3550" s="430"/>
      <c r="AT3550" s="430"/>
      <c r="AU3550" s="430"/>
      <c r="AV3550" s="430"/>
      <c r="AW3550" s="430"/>
      <c r="AX3550" s="430"/>
      <c r="AY3550" s="430"/>
      <c r="AZ3550" s="430"/>
      <c r="BA3550" s="430"/>
      <c r="BB3550" s="430"/>
      <c r="BC3550" s="430"/>
      <c r="BD3550" s="430"/>
      <c r="BE3550" s="430"/>
      <c r="BF3550" s="430"/>
      <c r="BG3550" s="430"/>
      <c r="BH3550" s="431"/>
      <c r="BI3550" s="363"/>
      <c r="BJ3550" s="386"/>
      <c r="BK3550" s="364"/>
      <c r="BL3550" s="364"/>
      <c r="BM3550" s="364"/>
      <c r="BN3550" s="364"/>
      <c r="BO3550" s="364"/>
      <c r="BP3550" s="475"/>
      <c r="BQ3550" s="475"/>
      <c r="BR3550" s="420"/>
      <c r="BS3550" s="421"/>
      <c r="BT3550" s="421"/>
      <c r="BU3550" s="421"/>
      <c r="BV3550" s="421"/>
      <c r="BW3550" s="421"/>
      <c r="BX3550" s="421"/>
      <c r="BY3550" s="421"/>
      <c r="BZ3550" s="422"/>
      <c r="CA3550" s="270"/>
      <c r="CB3550" s="3" t="str">
        <f t="shared" si="637"/>
        <v>Riadok bude skrytý.</v>
      </c>
      <c r="CC3550" s="271" t="s">
        <v>832</v>
      </c>
      <c r="CW3550" s="32">
        <f t="shared" si="640"/>
        <v>1</v>
      </c>
      <c r="CZ3550" s="30">
        <f t="shared" si="638"/>
        <v>1</v>
      </c>
      <c r="DA3550" s="30">
        <f t="shared" si="636"/>
        <v>1</v>
      </c>
      <c r="DB3550" s="2">
        <f t="shared" si="635"/>
        <v>0</v>
      </c>
      <c r="DS3550" s="130">
        <f>SI!BY3550</f>
        <v>166</v>
      </c>
      <c r="DZ3550" s="131">
        <f>SI!BZ3550</f>
        <v>0</v>
      </c>
    </row>
    <row r="3551" spans="1:130" ht="24.8" hidden="1" customHeight="1" x14ac:dyDescent="0.25">
      <c r="A3551" s="141"/>
      <c r="B3551" s="1383" t="s">
        <v>614</v>
      </c>
      <c r="C3551" s="1384"/>
      <c r="D3551" s="1384"/>
      <c r="E3551" s="1384"/>
      <c r="F3551" s="1384"/>
      <c r="G3551" s="1384"/>
      <c r="H3551" s="1384"/>
      <c r="I3551" s="1385"/>
      <c r="J3551" s="429" t="s">
        <v>613</v>
      </c>
      <c r="K3551" s="430"/>
      <c r="L3551" s="430"/>
      <c r="M3551" s="430"/>
      <c r="N3551" s="430"/>
      <c r="O3551" s="430"/>
      <c r="P3551" s="430"/>
      <c r="Q3551" s="430"/>
      <c r="R3551" s="430"/>
      <c r="S3551" s="430"/>
      <c r="T3551" s="430"/>
      <c r="U3551" s="430"/>
      <c r="V3551" s="430"/>
      <c r="W3551" s="430"/>
      <c r="X3551" s="430"/>
      <c r="Y3551" s="430"/>
      <c r="Z3551" s="430"/>
      <c r="AA3551" s="430"/>
      <c r="AB3551" s="430"/>
      <c r="AC3551" s="430"/>
      <c r="AD3551" s="430"/>
      <c r="AE3551" s="430"/>
      <c r="AF3551" s="430"/>
      <c r="AG3551" s="430"/>
      <c r="AH3551" s="430"/>
      <c r="AI3551" s="430"/>
      <c r="AJ3551" s="430"/>
      <c r="AK3551" s="430"/>
      <c r="AL3551" s="430"/>
      <c r="AM3551" s="430"/>
      <c r="AN3551" s="430"/>
      <c r="AO3551" s="430"/>
      <c r="AP3551" s="430"/>
      <c r="AQ3551" s="430"/>
      <c r="AR3551" s="430"/>
      <c r="AS3551" s="430"/>
      <c r="AT3551" s="430"/>
      <c r="AU3551" s="430"/>
      <c r="AV3551" s="430"/>
      <c r="AW3551" s="430"/>
      <c r="AX3551" s="430"/>
      <c r="AY3551" s="430"/>
      <c r="AZ3551" s="430"/>
      <c r="BA3551" s="430"/>
      <c r="BB3551" s="430"/>
      <c r="BC3551" s="430"/>
      <c r="BD3551" s="430"/>
      <c r="BE3551" s="430"/>
      <c r="BF3551" s="430"/>
      <c r="BG3551" s="430"/>
      <c r="BH3551" s="431"/>
      <c r="BI3551" s="363"/>
      <c r="BJ3551" s="386"/>
      <c r="BK3551" s="364"/>
      <c r="BL3551" s="364"/>
      <c r="BM3551" s="364"/>
      <c r="BN3551" s="364"/>
      <c r="BO3551" s="364"/>
      <c r="BP3551" s="475"/>
      <c r="BQ3551" s="475"/>
      <c r="BR3551" s="420"/>
      <c r="BS3551" s="421"/>
      <c r="BT3551" s="421"/>
      <c r="BU3551" s="421"/>
      <c r="BV3551" s="421"/>
      <c r="BW3551" s="421"/>
      <c r="BX3551" s="421"/>
      <c r="BY3551" s="421"/>
      <c r="BZ3551" s="422"/>
      <c r="CA3551" s="270"/>
      <c r="CB3551" s="3" t="str">
        <f t="shared" si="637"/>
        <v>Riadok bude skrytý.</v>
      </c>
      <c r="CC3551" s="271" t="s">
        <v>832</v>
      </c>
      <c r="CW3551" s="32">
        <f t="shared" si="640"/>
        <v>1</v>
      </c>
      <c r="CZ3551" s="30">
        <f t="shared" si="638"/>
        <v>1</v>
      </c>
      <c r="DA3551" s="30">
        <f t="shared" si="636"/>
        <v>1</v>
      </c>
      <c r="DB3551" s="2">
        <f t="shared" si="635"/>
        <v>0</v>
      </c>
      <c r="DS3551" s="130">
        <f>SI!BY3551</f>
        <v>846</v>
      </c>
      <c r="DZ3551" s="131">
        <f>SI!BZ3551</f>
        <v>0</v>
      </c>
    </row>
    <row r="3552" spans="1:130" ht="37.549999999999997" hidden="1" customHeight="1" x14ac:dyDescent="0.25">
      <c r="A3552" s="141"/>
      <c r="B3552" s="1803" t="s">
        <v>616</v>
      </c>
      <c r="C3552" s="1804"/>
      <c r="D3552" s="1804"/>
      <c r="E3552" s="1804"/>
      <c r="F3552" s="1804"/>
      <c r="G3552" s="1804"/>
      <c r="H3552" s="1804"/>
      <c r="I3552" s="1805"/>
      <c r="J3552" s="1806" t="s">
        <v>615</v>
      </c>
      <c r="K3552" s="1807"/>
      <c r="L3552" s="1807"/>
      <c r="M3552" s="1807"/>
      <c r="N3552" s="1807"/>
      <c r="O3552" s="1807"/>
      <c r="P3552" s="1807"/>
      <c r="Q3552" s="1807"/>
      <c r="R3552" s="1807"/>
      <c r="S3552" s="1807"/>
      <c r="T3552" s="1807"/>
      <c r="U3552" s="1807"/>
      <c r="V3552" s="1807"/>
      <c r="W3552" s="1807"/>
      <c r="X3552" s="1807"/>
      <c r="Y3552" s="1807"/>
      <c r="Z3552" s="1807"/>
      <c r="AA3552" s="1807"/>
      <c r="AB3552" s="1807"/>
      <c r="AC3552" s="1807"/>
      <c r="AD3552" s="1807"/>
      <c r="AE3552" s="1807"/>
      <c r="AF3552" s="1807"/>
      <c r="AG3552" s="1807"/>
      <c r="AH3552" s="1807"/>
      <c r="AI3552" s="1807"/>
      <c r="AJ3552" s="1807"/>
      <c r="AK3552" s="1807"/>
      <c r="AL3552" s="1807"/>
      <c r="AM3552" s="1807"/>
      <c r="AN3552" s="1807"/>
      <c r="AO3552" s="1807"/>
      <c r="AP3552" s="1807"/>
      <c r="AQ3552" s="1807"/>
      <c r="AR3552" s="1807"/>
      <c r="AS3552" s="1807"/>
      <c r="AT3552" s="1807"/>
      <c r="AU3552" s="1807"/>
      <c r="AV3552" s="1807"/>
      <c r="AW3552" s="1807"/>
      <c r="AX3552" s="1807"/>
      <c r="AY3552" s="1807"/>
      <c r="AZ3552" s="1807"/>
      <c r="BA3552" s="1807"/>
      <c r="BB3552" s="1807"/>
      <c r="BC3552" s="1807"/>
      <c r="BD3552" s="1807"/>
      <c r="BE3552" s="1807"/>
      <c r="BF3552" s="1807"/>
      <c r="BG3552" s="1807"/>
      <c r="BH3552" s="1808"/>
      <c r="BI3552" s="459"/>
      <c r="BJ3552" s="460"/>
      <c r="BK3552" s="461"/>
      <c r="BL3552" s="461"/>
      <c r="BM3552" s="461"/>
      <c r="BN3552" s="461"/>
      <c r="BO3552" s="461"/>
      <c r="BP3552" s="462"/>
      <c r="BQ3552" s="462"/>
      <c r="BR3552" s="420"/>
      <c r="BS3552" s="421"/>
      <c r="BT3552" s="421"/>
      <c r="BU3552" s="421"/>
      <c r="BV3552" s="421"/>
      <c r="BW3552" s="421"/>
      <c r="BX3552" s="421"/>
      <c r="BY3552" s="421"/>
      <c r="BZ3552" s="422"/>
      <c r="CA3552" s="270"/>
      <c r="CB3552" s="3" t="str">
        <f t="shared" si="637"/>
        <v>Riadok bude skrytý.</v>
      </c>
      <c r="CC3552" s="271" t="s">
        <v>832</v>
      </c>
      <c r="CW3552" s="32">
        <f t="shared" si="640"/>
        <v>1</v>
      </c>
      <c r="CZ3552" s="30">
        <f t="shared" si="638"/>
        <v>1</v>
      </c>
      <c r="DA3552" s="30">
        <f t="shared" si="636"/>
        <v>1</v>
      </c>
      <c r="DB3552" s="2">
        <f t="shared" si="635"/>
        <v>0</v>
      </c>
      <c r="DS3552" s="130">
        <f>SI!BY3552</f>
        <v>203</v>
      </c>
      <c r="DZ3552" s="131">
        <f>SI!BZ3552</f>
        <v>0</v>
      </c>
    </row>
    <row r="3553" spans="1:130" ht="64.55" hidden="1" customHeight="1" x14ac:dyDescent="0.25">
      <c r="A3553" s="141"/>
      <c r="B3553" s="1465" t="s">
        <v>444</v>
      </c>
      <c r="C3553" s="1466"/>
      <c r="D3553" s="1466"/>
      <c r="E3553" s="1466"/>
      <c r="F3553" s="1466"/>
      <c r="G3553" s="1466"/>
      <c r="H3553" s="1466"/>
      <c r="I3553" s="1809"/>
      <c r="J3553" s="1390" t="s">
        <v>617</v>
      </c>
      <c r="K3553" s="1391"/>
      <c r="L3553" s="1391"/>
      <c r="M3553" s="1391"/>
      <c r="N3553" s="1391"/>
      <c r="O3553" s="1391"/>
      <c r="P3553" s="1391"/>
      <c r="Q3553" s="1391"/>
      <c r="R3553" s="1391"/>
      <c r="S3553" s="1391"/>
      <c r="T3553" s="1391"/>
      <c r="U3553" s="1391"/>
      <c r="V3553" s="1391"/>
      <c r="W3553" s="1391"/>
      <c r="X3553" s="1391"/>
      <c r="Y3553" s="1391"/>
      <c r="Z3553" s="1391"/>
      <c r="AA3553" s="1391"/>
      <c r="AB3553" s="1391"/>
      <c r="AC3553" s="1391"/>
      <c r="AD3553" s="1391"/>
      <c r="AE3553" s="1391"/>
      <c r="AF3553" s="1391"/>
      <c r="AG3553" s="1391"/>
      <c r="AH3553" s="1391"/>
      <c r="AI3553" s="1391"/>
      <c r="AJ3553" s="1391"/>
      <c r="AK3553" s="1391"/>
      <c r="AL3553" s="1391"/>
      <c r="AM3553" s="1391"/>
      <c r="AN3553" s="1391"/>
      <c r="AO3553" s="1391"/>
      <c r="AP3553" s="1391"/>
      <c r="AQ3553" s="1391"/>
      <c r="AR3553" s="1391"/>
      <c r="AS3553" s="1391"/>
      <c r="AT3553" s="1391"/>
      <c r="AU3553" s="1391"/>
      <c r="AV3553" s="1391"/>
      <c r="AW3553" s="1391"/>
      <c r="AX3553" s="1391"/>
      <c r="AY3553" s="1391"/>
      <c r="AZ3553" s="1391"/>
      <c r="BA3553" s="1391"/>
      <c r="BB3553" s="1391"/>
      <c r="BC3553" s="1391"/>
      <c r="BD3553" s="1391"/>
      <c r="BE3553" s="1391"/>
      <c r="BF3553" s="1391"/>
      <c r="BG3553" s="1391"/>
      <c r="BH3553" s="1392"/>
      <c r="BI3553" s="423">
        <f>+SUM(BI3554:BQ3557)</f>
        <v>0</v>
      </c>
      <c r="BJ3553" s="424"/>
      <c r="BK3553" s="490"/>
      <c r="BL3553" s="490"/>
      <c r="BM3553" s="490"/>
      <c r="BN3553" s="490"/>
      <c r="BO3553" s="490"/>
      <c r="BP3553" s="490"/>
      <c r="BQ3553" s="490"/>
      <c r="BR3553" s="423">
        <f>+SUM(BR3554:BZ3557)</f>
        <v>0</v>
      </c>
      <c r="BS3553" s="424"/>
      <c r="BT3553" s="424"/>
      <c r="BU3553" s="424"/>
      <c r="BV3553" s="424"/>
      <c r="BW3553" s="424"/>
      <c r="BX3553" s="424"/>
      <c r="BY3553" s="424"/>
      <c r="BZ3553" s="425"/>
      <c r="CA3553" s="265" t="s">
        <v>773</v>
      </c>
      <c r="CB3553" s="3" t="str">
        <f t="shared" si="637"/>
        <v>Riadok bude skrytý.</v>
      </c>
      <c r="CC3553" s="271" t="s">
        <v>832</v>
      </c>
      <c r="CW3553" s="32">
        <f t="shared" si="640"/>
        <v>1</v>
      </c>
      <c r="CZ3553" s="30">
        <f t="shared" si="638"/>
        <v>1</v>
      </c>
      <c r="DA3553" s="30">
        <f t="shared" si="636"/>
        <v>1</v>
      </c>
      <c r="DB3553" s="2">
        <f t="shared" si="635"/>
        <v>0</v>
      </c>
      <c r="DS3553" s="130">
        <f>SI!BY3553</f>
        <v>147</v>
      </c>
      <c r="DZ3553" s="131">
        <f>SI!BZ3553</f>
        <v>0</v>
      </c>
    </row>
    <row r="3554" spans="1:130" ht="14.95" hidden="1" customHeight="1" x14ac:dyDescent="0.25">
      <c r="A3554" s="141"/>
      <c r="B3554" s="1467" t="s">
        <v>619</v>
      </c>
      <c r="C3554" s="1468"/>
      <c r="D3554" s="1468"/>
      <c r="E3554" s="1468"/>
      <c r="F3554" s="1468"/>
      <c r="G3554" s="1468"/>
      <c r="H3554" s="1468"/>
      <c r="I3554" s="1469"/>
      <c r="J3554" s="1462" t="s">
        <v>618</v>
      </c>
      <c r="K3554" s="1463"/>
      <c r="L3554" s="1463"/>
      <c r="M3554" s="1463"/>
      <c r="N3554" s="1463"/>
      <c r="O3554" s="1463"/>
      <c r="P3554" s="1463"/>
      <c r="Q3554" s="1463"/>
      <c r="R3554" s="1463"/>
      <c r="S3554" s="1463"/>
      <c r="T3554" s="1463"/>
      <c r="U3554" s="1463"/>
      <c r="V3554" s="1463"/>
      <c r="W3554" s="1463"/>
      <c r="X3554" s="1463"/>
      <c r="Y3554" s="1463"/>
      <c r="Z3554" s="1463"/>
      <c r="AA3554" s="1463"/>
      <c r="AB3554" s="1463"/>
      <c r="AC3554" s="1463"/>
      <c r="AD3554" s="1463"/>
      <c r="AE3554" s="1463"/>
      <c r="AF3554" s="1463"/>
      <c r="AG3554" s="1463"/>
      <c r="AH3554" s="1463"/>
      <c r="AI3554" s="1463"/>
      <c r="AJ3554" s="1463"/>
      <c r="AK3554" s="1463"/>
      <c r="AL3554" s="1463"/>
      <c r="AM3554" s="1463"/>
      <c r="AN3554" s="1463"/>
      <c r="AO3554" s="1463"/>
      <c r="AP3554" s="1463"/>
      <c r="AQ3554" s="1463"/>
      <c r="AR3554" s="1463"/>
      <c r="AS3554" s="1463"/>
      <c r="AT3554" s="1463"/>
      <c r="AU3554" s="1463"/>
      <c r="AV3554" s="1463"/>
      <c r="AW3554" s="1463"/>
      <c r="AX3554" s="1463"/>
      <c r="AY3554" s="1463"/>
      <c r="AZ3554" s="1463"/>
      <c r="BA3554" s="1463"/>
      <c r="BB3554" s="1463"/>
      <c r="BC3554" s="1463"/>
      <c r="BD3554" s="1463"/>
      <c r="BE3554" s="1463"/>
      <c r="BF3554" s="1463"/>
      <c r="BG3554" s="1463"/>
      <c r="BH3554" s="1464"/>
      <c r="BI3554" s="535"/>
      <c r="BJ3554" s="1014"/>
      <c r="BK3554" s="536"/>
      <c r="BL3554" s="536"/>
      <c r="BM3554" s="536"/>
      <c r="BN3554" s="536"/>
      <c r="BO3554" s="536"/>
      <c r="BP3554" s="713"/>
      <c r="BQ3554" s="713"/>
      <c r="BR3554" s="478"/>
      <c r="BS3554" s="479"/>
      <c r="BT3554" s="479"/>
      <c r="BU3554" s="479"/>
      <c r="BV3554" s="479"/>
      <c r="BW3554" s="479"/>
      <c r="BX3554" s="479"/>
      <c r="BY3554" s="479"/>
      <c r="BZ3554" s="480"/>
      <c r="CA3554" s="270"/>
      <c r="CB3554" s="3" t="str">
        <f t="shared" si="637"/>
        <v>Riadok bude skrytý.</v>
      </c>
      <c r="CC3554" s="271" t="s">
        <v>832</v>
      </c>
      <c r="CW3554" s="32">
        <f t="shared" si="640"/>
        <v>1</v>
      </c>
      <c r="CZ3554" s="30">
        <f t="shared" si="638"/>
        <v>1</v>
      </c>
      <c r="DA3554" s="30">
        <f t="shared" si="636"/>
        <v>1</v>
      </c>
      <c r="DB3554" s="2">
        <f t="shared" si="635"/>
        <v>0</v>
      </c>
      <c r="DS3554" s="130">
        <f>SI!BY3554</f>
        <v>701</v>
      </c>
      <c r="DZ3554" s="131">
        <f>SI!BZ3554</f>
        <v>0</v>
      </c>
    </row>
    <row r="3555" spans="1:130" ht="14.95" hidden="1" customHeight="1" x14ac:dyDescent="0.25">
      <c r="A3555" s="141"/>
      <c r="B3555" s="1383" t="s">
        <v>621</v>
      </c>
      <c r="C3555" s="1384"/>
      <c r="D3555" s="1384"/>
      <c r="E3555" s="1384"/>
      <c r="F3555" s="1384"/>
      <c r="G3555" s="1384"/>
      <c r="H3555" s="1384"/>
      <c r="I3555" s="1385"/>
      <c r="J3555" s="429" t="s">
        <v>620</v>
      </c>
      <c r="K3555" s="430"/>
      <c r="L3555" s="430"/>
      <c r="M3555" s="430"/>
      <c r="N3555" s="430"/>
      <c r="O3555" s="430"/>
      <c r="P3555" s="430"/>
      <c r="Q3555" s="430"/>
      <c r="R3555" s="430"/>
      <c r="S3555" s="430"/>
      <c r="T3555" s="430"/>
      <c r="U3555" s="430"/>
      <c r="V3555" s="430"/>
      <c r="W3555" s="430"/>
      <c r="X3555" s="430"/>
      <c r="Y3555" s="430"/>
      <c r="Z3555" s="430"/>
      <c r="AA3555" s="430"/>
      <c r="AB3555" s="430"/>
      <c r="AC3555" s="430"/>
      <c r="AD3555" s="430"/>
      <c r="AE3555" s="430"/>
      <c r="AF3555" s="430"/>
      <c r="AG3555" s="430"/>
      <c r="AH3555" s="430"/>
      <c r="AI3555" s="430"/>
      <c r="AJ3555" s="430"/>
      <c r="AK3555" s="430"/>
      <c r="AL3555" s="430"/>
      <c r="AM3555" s="430"/>
      <c r="AN3555" s="430"/>
      <c r="AO3555" s="430"/>
      <c r="AP3555" s="430"/>
      <c r="AQ3555" s="430"/>
      <c r="AR3555" s="430"/>
      <c r="AS3555" s="430"/>
      <c r="AT3555" s="430"/>
      <c r="AU3555" s="430"/>
      <c r="AV3555" s="430"/>
      <c r="AW3555" s="430"/>
      <c r="AX3555" s="430"/>
      <c r="AY3555" s="430"/>
      <c r="AZ3555" s="430"/>
      <c r="BA3555" s="430"/>
      <c r="BB3555" s="430"/>
      <c r="BC3555" s="430"/>
      <c r="BD3555" s="430"/>
      <c r="BE3555" s="430"/>
      <c r="BF3555" s="430"/>
      <c r="BG3555" s="430"/>
      <c r="BH3555" s="431"/>
      <c r="BI3555" s="363"/>
      <c r="BJ3555" s="386"/>
      <c r="BK3555" s="364"/>
      <c r="BL3555" s="364"/>
      <c r="BM3555" s="364"/>
      <c r="BN3555" s="364"/>
      <c r="BO3555" s="364"/>
      <c r="BP3555" s="475"/>
      <c r="BQ3555" s="475"/>
      <c r="BR3555" s="420"/>
      <c r="BS3555" s="421"/>
      <c r="BT3555" s="421"/>
      <c r="BU3555" s="421"/>
      <c r="BV3555" s="421"/>
      <c r="BW3555" s="421"/>
      <c r="BX3555" s="421"/>
      <c r="BY3555" s="421"/>
      <c r="BZ3555" s="422"/>
      <c r="CA3555" s="270"/>
      <c r="CB3555" s="3" t="str">
        <f t="shared" si="637"/>
        <v>Riadok bude skrytý.</v>
      </c>
      <c r="CC3555" s="271" t="s">
        <v>832</v>
      </c>
      <c r="CW3555" s="32">
        <f t="shared" si="640"/>
        <v>1</v>
      </c>
      <c r="CZ3555" s="30">
        <f t="shared" si="638"/>
        <v>1</v>
      </c>
      <c r="DA3555" s="30">
        <f t="shared" si="636"/>
        <v>1</v>
      </c>
      <c r="DB3555" s="2">
        <f t="shared" si="635"/>
        <v>0</v>
      </c>
      <c r="DS3555" s="130">
        <f>SI!BY3555</f>
        <v>163</v>
      </c>
      <c r="DZ3555" s="131">
        <f>SI!BZ3555</f>
        <v>0</v>
      </c>
    </row>
    <row r="3556" spans="1:130" ht="14.95" hidden="1" customHeight="1" x14ac:dyDescent="0.25">
      <c r="A3556" s="141"/>
      <c r="B3556" s="1383" t="s">
        <v>623</v>
      </c>
      <c r="C3556" s="1384"/>
      <c r="D3556" s="1384"/>
      <c r="E3556" s="1384"/>
      <c r="F3556" s="1384"/>
      <c r="G3556" s="1384"/>
      <c r="H3556" s="1384"/>
      <c r="I3556" s="1385"/>
      <c r="J3556" s="429" t="s">
        <v>622</v>
      </c>
      <c r="K3556" s="430"/>
      <c r="L3556" s="430"/>
      <c r="M3556" s="430"/>
      <c r="N3556" s="430"/>
      <c r="O3556" s="430"/>
      <c r="P3556" s="430"/>
      <c r="Q3556" s="430"/>
      <c r="R3556" s="430"/>
      <c r="S3556" s="430"/>
      <c r="T3556" s="430"/>
      <c r="U3556" s="430"/>
      <c r="V3556" s="430"/>
      <c r="W3556" s="430"/>
      <c r="X3556" s="430"/>
      <c r="Y3556" s="430"/>
      <c r="Z3556" s="430"/>
      <c r="AA3556" s="430"/>
      <c r="AB3556" s="430"/>
      <c r="AC3556" s="430"/>
      <c r="AD3556" s="430"/>
      <c r="AE3556" s="430"/>
      <c r="AF3556" s="430"/>
      <c r="AG3556" s="430"/>
      <c r="AH3556" s="430"/>
      <c r="AI3556" s="430"/>
      <c r="AJ3556" s="430"/>
      <c r="AK3556" s="430"/>
      <c r="AL3556" s="430"/>
      <c r="AM3556" s="430"/>
      <c r="AN3556" s="430"/>
      <c r="AO3556" s="430"/>
      <c r="AP3556" s="430"/>
      <c r="AQ3556" s="430"/>
      <c r="AR3556" s="430"/>
      <c r="AS3556" s="430"/>
      <c r="AT3556" s="430"/>
      <c r="AU3556" s="430"/>
      <c r="AV3556" s="430"/>
      <c r="AW3556" s="430"/>
      <c r="AX3556" s="430"/>
      <c r="AY3556" s="430"/>
      <c r="AZ3556" s="430"/>
      <c r="BA3556" s="430"/>
      <c r="BB3556" s="430"/>
      <c r="BC3556" s="430"/>
      <c r="BD3556" s="430"/>
      <c r="BE3556" s="430"/>
      <c r="BF3556" s="430"/>
      <c r="BG3556" s="430"/>
      <c r="BH3556" s="431"/>
      <c r="BI3556" s="363"/>
      <c r="BJ3556" s="386"/>
      <c r="BK3556" s="364"/>
      <c r="BL3556" s="364"/>
      <c r="BM3556" s="364"/>
      <c r="BN3556" s="364"/>
      <c r="BO3556" s="364"/>
      <c r="BP3556" s="475"/>
      <c r="BQ3556" s="475"/>
      <c r="BR3556" s="420"/>
      <c r="BS3556" s="421"/>
      <c r="BT3556" s="421"/>
      <c r="BU3556" s="421"/>
      <c r="BV3556" s="421"/>
      <c r="BW3556" s="421"/>
      <c r="BX3556" s="421"/>
      <c r="BY3556" s="421"/>
      <c r="BZ3556" s="422"/>
      <c r="CA3556" s="270"/>
      <c r="CB3556" s="3" t="str">
        <f t="shared" si="637"/>
        <v>Riadok bude skrytý.</v>
      </c>
      <c r="CC3556" s="271" t="s">
        <v>832</v>
      </c>
      <c r="CW3556" s="32">
        <f t="shared" si="640"/>
        <v>1</v>
      </c>
      <c r="CZ3556" s="30">
        <f t="shared" si="638"/>
        <v>1</v>
      </c>
      <c r="DA3556" s="30">
        <f t="shared" si="636"/>
        <v>1</v>
      </c>
      <c r="DB3556" s="2">
        <f t="shared" si="635"/>
        <v>0</v>
      </c>
      <c r="DS3556" s="130">
        <f>SI!BY3556</f>
        <v>232</v>
      </c>
      <c r="DZ3556" s="131">
        <f>SI!BZ3556</f>
        <v>0</v>
      </c>
    </row>
    <row r="3557" spans="1:130" ht="63" hidden="1" customHeight="1" x14ac:dyDescent="0.25">
      <c r="A3557" s="141"/>
      <c r="B3557" s="1803" t="s">
        <v>625</v>
      </c>
      <c r="C3557" s="1804"/>
      <c r="D3557" s="1804"/>
      <c r="E3557" s="1804"/>
      <c r="F3557" s="1804"/>
      <c r="G3557" s="1804"/>
      <c r="H3557" s="1804"/>
      <c r="I3557" s="1805"/>
      <c r="J3557" s="1806" t="s">
        <v>624</v>
      </c>
      <c r="K3557" s="1807"/>
      <c r="L3557" s="1807"/>
      <c r="M3557" s="1807"/>
      <c r="N3557" s="1807"/>
      <c r="O3557" s="1807"/>
      <c r="P3557" s="1807"/>
      <c r="Q3557" s="1807"/>
      <c r="R3557" s="1807"/>
      <c r="S3557" s="1807"/>
      <c r="T3557" s="1807"/>
      <c r="U3557" s="1807"/>
      <c r="V3557" s="1807"/>
      <c r="W3557" s="1807"/>
      <c r="X3557" s="1807"/>
      <c r="Y3557" s="1807"/>
      <c r="Z3557" s="1807"/>
      <c r="AA3557" s="1807"/>
      <c r="AB3557" s="1807"/>
      <c r="AC3557" s="1807"/>
      <c r="AD3557" s="1807"/>
      <c r="AE3557" s="1807"/>
      <c r="AF3557" s="1807"/>
      <c r="AG3557" s="1807"/>
      <c r="AH3557" s="1807"/>
      <c r="AI3557" s="1807"/>
      <c r="AJ3557" s="1807"/>
      <c r="AK3557" s="1807"/>
      <c r="AL3557" s="1807"/>
      <c r="AM3557" s="1807"/>
      <c r="AN3557" s="1807"/>
      <c r="AO3557" s="1807"/>
      <c r="AP3557" s="1807"/>
      <c r="AQ3557" s="1807"/>
      <c r="AR3557" s="1807"/>
      <c r="AS3557" s="1807"/>
      <c r="AT3557" s="1807"/>
      <c r="AU3557" s="1807"/>
      <c r="AV3557" s="1807"/>
      <c r="AW3557" s="1807"/>
      <c r="AX3557" s="1807"/>
      <c r="AY3557" s="1807"/>
      <c r="AZ3557" s="1807"/>
      <c r="BA3557" s="1807"/>
      <c r="BB3557" s="1807"/>
      <c r="BC3557" s="1807"/>
      <c r="BD3557" s="1807"/>
      <c r="BE3557" s="1807"/>
      <c r="BF3557" s="1807"/>
      <c r="BG3557" s="1807"/>
      <c r="BH3557" s="1808"/>
      <c r="BI3557" s="367"/>
      <c r="BJ3557" s="457"/>
      <c r="BK3557" s="368"/>
      <c r="BL3557" s="368"/>
      <c r="BM3557" s="368"/>
      <c r="BN3557" s="368"/>
      <c r="BO3557" s="368"/>
      <c r="BP3557" s="458"/>
      <c r="BQ3557" s="458"/>
      <c r="BR3557" s="454"/>
      <c r="BS3557" s="455"/>
      <c r="BT3557" s="455"/>
      <c r="BU3557" s="455"/>
      <c r="BV3557" s="455"/>
      <c r="BW3557" s="455"/>
      <c r="BX3557" s="455"/>
      <c r="BY3557" s="455"/>
      <c r="BZ3557" s="456"/>
      <c r="CA3557" s="270"/>
      <c r="CB3557" s="3" t="str">
        <f t="shared" si="637"/>
        <v>Riadok bude skrytý.</v>
      </c>
      <c r="CC3557" s="271" t="s">
        <v>832</v>
      </c>
      <c r="CW3557" s="32">
        <f t="shared" si="640"/>
        <v>1</v>
      </c>
      <c r="CZ3557" s="30">
        <f t="shared" si="638"/>
        <v>1</v>
      </c>
      <c r="DA3557" s="30">
        <f t="shared" si="636"/>
        <v>1</v>
      </c>
      <c r="DB3557" s="2">
        <f t="shared" si="635"/>
        <v>0</v>
      </c>
      <c r="DS3557" s="130">
        <f>SI!BY3557</f>
        <v>171</v>
      </c>
      <c r="DZ3557" s="131">
        <f>SI!BZ3557</f>
        <v>0</v>
      </c>
    </row>
    <row r="3558" spans="1:130" ht="37.549999999999997" hidden="1" customHeight="1" x14ac:dyDescent="0.25">
      <c r="A3558" s="141"/>
      <c r="B3558" s="1537"/>
      <c r="C3558" s="1538"/>
      <c r="D3558" s="1538"/>
      <c r="E3558" s="1538"/>
      <c r="F3558" s="1538"/>
      <c r="G3558" s="1538"/>
      <c r="H3558" s="1538"/>
      <c r="I3558" s="1539"/>
      <c r="J3558" s="426" t="s">
        <v>697</v>
      </c>
      <c r="K3558" s="427"/>
      <c r="L3558" s="427"/>
      <c r="M3558" s="427"/>
      <c r="N3558" s="427"/>
      <c r="O3558" s="427"/>
      <c r="P3558" s="427"/>
      <c r="Q3558" s="427"/>
      <c r="R3558" s="427"/>
      <c r="S3558" s="427"/>
      <c r="T3558" s="427"/>
      <c r="U3558" s="427"/>
      <c r="V3558" s="427"/>
      <c r="W3558" s="427"/>
      <c r="X3558" s="427"/>
      <c r="Y3558" s="427"/>
      <c r="Z3558" s="427"/>
      <c r="AA3558" s="427"/>
      <c r="AB3558" s="427"/>
      <c r="AC3558" s="427"/>
      <c r="AD3558" s="427"/>
      <c r="AE3558" s="427"/>
      <c r="AF3558" s="427"/>
      <c r="AG3558" s="427"/>
      <c r="AH3558" s="427"/>
      <c r="AI3558" s="427"/>
      <c r="AJ3558" s="427"/>
      <c r="AK3558" s="427"/>
      <c r="AL3558" s="427"/>
      <c r="AM3558" s="427"/>
      <c r="AN3558" s="427"/>
      <c r="AO3558" s="427"/>
      <c r="AP3558" s="427"/>
      <c r="AQ3558" s="427"/>
      <c r="AR3558" s="427"/>
      <c r="AS3558" s="427"/>
      <c r="AT3558" s="427"/>
      <c r="AU3558" s="427"/>
      <c r="AV3558" s="427"/>
      <c r="AW3558" s="427"/>
      <c r="AX3558" s="427"/>
      <c r="AY3558" s="427"/>
      <c r="AZ3558" s="427"/>
      <c r="BA3558" s="427"/>
      <c r="BB3558" s="427"/>
      <c r="BC3558" s="427"/>
      <c r="BD3558" s="427"/>
      <c r="BE3558" s="427"/>
      <c r="BF3558" s="427"/>
      <c r="BG3558" s="427"/>
      <c r="BH3558" s="428"/>
      <c r="BI3558" s="1647">
        <f>+BI3538+BI3539+BI3553</f>
        <v>0</v>
      </c>
      <c r="BJ3558" s="1648"/>
      <c r="BK3558" s="1810"/>
      <c r="BL3558" s="1810"/>
      <c r="BM3558" s="1810"/>
      <c r="BN3558" s="1810"/>
      <c r="BO3558" s="1810"/>
      <c r="BP3558" s="1810"/>
      <c r="BQ3558" s="1810"/>
      <c r="BR3558" s="423">
        <f>+BR3538+BR3539+BR3553</f>
        <v>0</v>
      </c>
      <c r="BS3558" s="424"/>
      <c r="BT3558" s="424"/>
      <c r="BU3558" s="424"/>
      <c r="BV3558" s="424"/>
      <c r="BW3558" s="424"/>
      <c r="BX3558" s="424"/>
      <c r="BY3558" s="424"/>
      <c r="BZ3558" s="425"/>
      <c r="CA3558" s="265"/>
      <c r="CB3558" s="3" t="str">
        <f t="shared" si="637"/>
        <v>Riadok bude skrytý.</v>
      </c>
      <c r="CC3558" s="271" t="s">
        <v>832</v>
      </c>
      <c r="CW3558" s="32">
        <f t="shared" si="640"/>
        <v>1</v>
      </c>
      <c r="CZ3558" s="30">
        <f t="shared" si="638"/>
        <v>1</v>
      </c>
      <c r="DA3558" s="30">
        <f t="shared" si="636"/>
        <v>1</v>
      </c>
      <c r="DB3558" s="2">
        <f t="shared" ref="DB3558:DB3621" si="641">+IF($CD$1="malé",0,DA3558)</f>
        <v>0</v>
      </c>
      <c r="DS3558" s="130">
        <f>SI!BY3558</f>
        <v>144</v>
      </c>
      <c r="DZ3558" s="131">
        <f>SI!BZ3558</f>
        <v>0</v>
      </c>
    </row>
    <row r="3559" spans="1:130" ht="24.8" hidden="1" customHeight="1" x14ac:dyDescent="0.25">
      <c r="A3559" s="141"/>
      <c r="B3559" s="1467" t="s">
        <v>626</v>
      </c>
      <c r="C3559" s="1468"/>
      <c r="D3559" s="1468"/>
      <c r="E3559" s="1468"/>
      <c r="F3559" s="1468"/>
      <c r="G3559" s="1468"/>
      <c r="H3559" s="1468"/>
      <c r="I3559" s="1469"/>
      <c r="J3559" s="429" t="s">
        <v>529</v>
      </c>
      <c r="K3559" s="430"/>
      <c r="L3559" s="430"/>
      <c r="M3559" s="430"/>
      <c r="N3559" s="430"/>
      <c r="O3559" s="430"/>
      <c r="P3559" s="430"/>
      <c r="Q3559" s="430"/>
      <c r="R3559" s="430"/>
      <c r="S3559" s="430"/>
      <c r="T3559" s="430"/>
      <c r="U3559" s="430"/>
      <c r="V3559" s="430"/>
      <c r="W3559" s="430"/>
      <c r="X3559" s="430"/>
      <c r="Y3559" s="430"/>
      <c r="Z3559" s="430"/>
      <c r="AA3559" s="430"/>
      <c r="AB3559" s="430"/>
      <c r="AC3559" s="430"/>
      <c r="AD3559" s="430"/>
      <c r="AE3559" s="430"/>
      <c r="AF3559" s="430"/>
      <c r="AG3559" s="430"/>
      <c r="AH3559" s="430"/>
      <c r="AI3559" s="430"/>
      <c r="AJ3559" s="430"/>
      <c r="AK3559" s="430"/>
      <c r="AL3559" s="430"/>
      <c r="AM3559" s="430"/>
      <c r="AN3559" s="430"/>
      <c r="AO3559" s="430"/>
      <c r="AP3559" s="430"/>
      <c r="AQ3559" s="430"/>
      <c r="AR3559" s="430"/>
      <c r="AS3559" s="430"/>
      <c r="AT3559" s="430"/>
      <c r="AU3559" s="430"/>
      <c r="AV3559" s="430"/>
      <c r="AW3559" s="430"/>
      <c r="AX3559" s="430"/>
      <c r="AY3559" s="430"/>
      <c r="AZ3559" s="430"/>
      <c r="BA3559" s="430"/>
      <c r="BB3559" s="430"/>
      <c r="BC3559" s="430"/>
      <c r="BD3559" s="430"/>
      <c r="BE3559" s="430"/>
      <c r="BF3559" s="430"/>
      <c r="BG3559" s="430"/>
      <c r="BH3559" s="431"/>
      <c r="BI3559" s="363"/>
      <c r="BJ3559" s="386"/>
      <c r="BK3559" s="364"/>
      <c r="BL3559" s="364"/>
      <c r="BM3559" s="364"/>
      <c r="BN3559" s="364"/>
      <c r="BO3559" s="364"/>
      <c r="BP3559" s="475"/>
      <c r="BQ3559" s="475"/>
      <c r="BR3559" s="420"/>
      <c r="BS3559" s="421"/>
      <c r="BT3559" s="421"/>
      <c r="BU3559" s="421"/>
      <c r="BV3559" s="421"/>
      <c r="BW3559" s="421"/>
      <c r="BX3559" s="421"/>
      <c r="BY3559" s="421"/>
      <c r="BZ3559" s="422"/>
      <c r="CA3559" s="265" t="s">
        <v>773</v>
      </c>
      <c r="CB3559" s="3" t="str">
        <f t="shared" si="637"/>
        <v>Riadok bude skrytý.</v>
      </c>
      <c r="CC3559" s="271" t="s">
        <v>832</v>
      </c>
      <c r="CW3559" s="32">
        <f t="shared" si="640"/>
        <v>1</v>
      </c>
      <c r="CZ3559" s="30">
        <f t="shared" si="638"/>
        <v>1</v>
      </c>
      <c r="DA3559" s="30">
        <f t="shared" si="636"/>
        <v>1</v>
      </c>
      <c r="DB3559" s="2">
        <f t="shared" si="641"/>
        <v>0</v>
      </c>
      <c r="DS3559" s="130">
        <f>SI!BY3559</f>
        <v>153</v>
      </c>
      <c r="DZ3559" s="131">
        <f>SI!BZ3559</f>
        <v>0</v>
      </c>
    </row>
    <row r="3560" spans="1:130" ht="24.8" hidden="1" customHeight="1" x14ac:dyDescent="0.25">
      <c r="A3560" s="141"/>
      <c r="B3560" s="1383" t="s">
        <v>627</v>
      </c>
      <c r="C3560" s="1384"/>
      <c r="D3560" s="1384"/>
      <c r="E3560" s="1384"/>
      <c r="F3560" s="1384"/>
      <c r="G3560" s="1384"/>
      <c r="H3560" s="1384"/>
      <c r="I3560" s="1385"/>
      <c r="J3560" s="429" t="s">
        <v>530</v>
      </c>
      <c r="K3560" s="430"/>
      <c r="L3560" s="430"/>
      <c r="M3560" s="430"/>
      <c r="N3560" s="430"/>
      <c r="O3560" s="430"/>
      <c r="P3560" s="430"/>
      <c r="Q3560" s="430"/>
      <c r="R3560" s="430"/>
      <c r="S3560" s="430"/>
      <c r="T3560" s="430"/>
      <c r="U3560" s="430"/>
      <c r="V3560" s="430"/>
      <c r="W3560" s="430"/>
      <c r="X3560" s="430"/>
      <c r="Y3560" s="430"/>
      <c r="Z3560" s="430"/>
      <c r="AA3560" s="430"/>
      <c r="AB3560" s="430"/>
      <c r="AC3560" s="430"/>
      <c r="AD3560" s="430"/>
      <c r="AE3560" s="430"/>
      <c r="AF3560" s="430"/>
      <c r="AG3560" s="430"/>
      <c r="AH3560" s="430"/>
      <c r="AI3560" s="430"/>
      <c r="AJ3560" s="430"/>
      <c r="AK3560" s="430"/>
      <c r="AL3560" s="430"/>
      <c r="AM3560" s="430"/>
      <c r="AN3560" s="430"/>
      <c r="AO3560" s="430"/>
      <c r="AP3560" s="430"/>
      <c r="AQ3560" s="430"/>
      <c r="AR3560" s="430"/>
      <c r="AS3560" s="430"/>
      <c r="AT3560" s="430"/>
      <c r="AU3560" s="430"/>
      <c r="AV3560" s="430"/>
      <c r="AW3560" s="430"/>
      <c r="AX3560" s="430"/>
      <c r="AY3560" s="430"/>
      <c r="AZ3560" s="430"/>
      <c r="BA3560" s="430"/>
      <c r="BB3560" s="430"/>
      <c r="BC3560" s="430"/>
      <c r="BD3560" s="430"/>
      <c r="BE3560" s="430"/>
      <c r="BF3560" s="430"/>
      <c r="BG3560" s="430"/>
      <c r="BH3560" s="431"/>
      <c r="BI3560" s="363"/>
      <c r="BJ3560" s="386"/>
      <c r="BK3560" s="364"/>
      <c r="BL3560" s="364"/>
      <c r="BM3560" s="364"/>
      <c r="BN3560" s="364"/>
      <c r="BO3560" s="364"/>
      <c r="BP3560" s="475"/>
      <c r="BQ3560" s="475"/>
      <c r="BR3560" s="420"/>
      <c r="BS3560" s="421"/>
      <c r="BT3560" s="421"/>
      <c r="BU3560" s="421"/>
      <c r="BV3560" s="421"/>
      <c r="BW3560" s="421"/>
      <c r="BX3560" s="421"/>
      <c r="BY3560" s="421"/>
      <c r="BZ3560" s="422"/>
      <c r="CA3560" s="270"/>
      <c r="CB3560" s="3" t="str">
        <f t="shared" si="637"/>
        <v>Riadok bude skrytý.</v>
      </c>
      <c r="CC3560" s="271" t="s">
        <v>832</v>
      </c>
      <c r="CW3560" s="32">
        <f t="shared" si="640"/>
        <v>1</v>
      </c>
      <c r="CZ3560" s="30">
        <f t="shared" si="638"/>
        <v>1</v>
      </c>
      <c r="DA3560" s="30">
        <f t="shared" si="636"/>
        <v>1</v>
      </c>
      <c r="DB3560" s="2">
        <f t="shared" si="641"/>
        <v>0</v>
      </c>
      <c r="DS3560" s="130">
        <f>SI!BY3560</f>
        <v>148</v>
      </c>
      <c r="DZ3560" s="131">
        <f>SI!BZ3560</f>
        <v>0</v>
      </c>
    </row>
    <row r="3561" spans="1:130" ht="24.8" hidden="1" customHeight="1" x14ac:dyDescent="0.25">
      <c r="A3561" s="141"/>
      <c r="B3561" s="1383" t="s">
        <v>628</v>
      </c>
      <c r="C3561" s="1384"/>
      <c r="D3561" s="1384"/>
      <c r="E3561" s="1384"/>
      <c r="F3561" s="1384"/>
      <c r="G3561" s="1384"/>
      <c r="H3561" s="1384"/>
      <c r="I3561" s="1385"/>
      <c r="J3561" s="429" t="s">
        <v>531</v>
      </c>
      <c r="K3561" s="430"/>
      <c r="L3561" s="430"/>
      <c r="M3561" s="430"/>
      <c r="N3561" s="430"/>
      <c r="O3561" s="430"/>
      <c r="P3561" s="430"/>
      <c r="Q3561" s="430"/>
      <c r="R3561" s="430"/>
      <c r="S3561" s="430"/>
      <c r="T3561" s="430"/>
      <c r="U3561" s="430"/>
      <c r="V3561" s="430"/>
      <c r="W3561" s="430"/>
      <c r="X3561" s="430"/>
      <c r="Y3561" s="430"/>
      <c r="Z3561" s="430"/>
      <c r="AA3561" s="430"/>
      <c r="AB3561" s="430"/>
      <c r="AC3561" s="430"/>
      <c r="AD3561" s="430"/>
      <c r="AE3561" s="430"/>
      <c r="AF3561" s="430"/>
      <c r="AG3561" s="430"/>
      <c r="AH3561" s="430"/>
      <c r="AI3561" s="430"/>
      <c r="AJ3561" s="430"/>
      <c r="AK3561" s="430"/>
      <c r="AL3561" s="430"/>
      <c r="AM3561" s="430"/>
      <c r="AN3561" s="430"/>
      <c r="AO3561" s="430"/>
      <c r="AP3561" s="430"/>
      <c r="AQ3561" s="430"/>
      <c r="AR3561" s="430"/>
      <c r="AS3561" s="430"/>
      <c r="AT3561" s="430"/>
      <c r="AU3561" s="430"/>
      <c r="AV3561" s="430"/>
      <c r="AW3561" s="430"/>
      <c r="AX3561" s="430"/>
      <c r="AY3561" s="430"/>
      <c r="AZ3561" s="430"/>
      <c r="BA3561" s="430"/>
      <c r="BB3561" s="430"/>
      <c r="BC3561" s="430"/>
      <c r="BD3561" s="430"/>
      <c r="BE3561" s="430"/>
      <c r="BF3561" s="430"/>
      <c r="BG3561" s="430"/>
      <c r="BH3561" s="431"/>
      <c r="BI3561" s="363"/>
      <c r="BJ3561" s="386"/>
      <c r="BK3561" s="364"/>
      <c r="BL3561" s="364"/>
      <c r="BM3561" s="364"/>
      <c r="BN3561" s="364"/>
      <c r="BO3561" s="364"/>
      <c r="BP3561" s="475"/>
      <c r="BQ3561" s="475"/>
      <c r="BR3561" s="420"/>
      <c r="BS3561" s="421"/>
      <c r="BT3561" s="421"/>
      <c r="BU3561" s="421"/>
      <c r="BV3561" s="421"/>
      <c r="BW3561" s="421"/>
      <c r="BX3561" s="421"/>
      <c r="BY3561" s="421"/>
      <c r="BZ3561" s="422"/>
      <c r="CA3561" s="270"/>
      <c r="CB3561" s="3" t="str">
        <f t="shared" si="637"/>
        <v>Riadok bude skrytý.</v>
      </c>
      <c r="CC3561" s="271" t="s">
        <v>832</v>
      </c>
      <c r="CW3561" s="32">
        <f t="shared" si="640"/>
        <v>1</v>
      </c>
      <c r="CZ3561" s="30">
        <f t="shared" si="638"/>
        <v>1</v>
      </c>
      <c r="DA3561" s="30">
        <f t="shared" ref="DA3561:DA3636" si="642">+IF(CW3561+CX3561+CY3561=0,0,IF(CZ3561=0,0,1))</f>
        <v>1</v>
      </c>
      <c r="DB3561" s="2">
        <f t="shared" si="641"/>
        <v>0</v>
      </c>
      <c r="DS3561" s="130">
        <f>SI!BY3561</f>
        <v>144</v>
      </c>
      <c r="DZ3561" s="131">
        <f>SI!BZ3561</f>
        <v>0</v>
      </c>
    </row>
    <row r="3562" spans="1:130" ht="24.8" hidden="1" customHeight="1" x14ac:dyDescent="0.25">
      <c r="A3562" s="141"/>
      <c r="B3562" s="1812" t="s">
        <v>629</v>
      </c>
      <c r="C3562" s="1813"/>
      <c r="D3562" s="1813"/>
      <c r="E3562" s="1813"/>
      <c r="F3562" s="1813"/>
      <c r="G3562" s="1813"/>
      <c r="H3562" s="1813"/>
      <c r="I3562" s="1814"/>
      <c r="J3562" s="429" t="s">
        <v>630</v>
      </c>
      <c r="K3562" s="430"/>
      <c r="L3562" s="430"/>
      <c r="M3562" s="430"/>
      <c r="N3562" s="430"/>
      <c r="O3562" s="430"/>
      <c r="P3562" s="430"/>
      <c r="Q3562" s="430"/>
      <c r="R3562" s="430"/>
      <c r="S3562" s="430"/>
      <c r="T3562" s="430"/>
      <c r="U3562" s="430"/>
      <c r="V3562" s="430"/>
      <c r="W3562" s="430"/>
      <c r="X3562" s="430"/>
      <c r="Y3562" s="430"/>
      <c r="Z3562" s="430"/>
      <c r="AA3562" s="430"/>
      <c r="AB3562" s="430"/>
      <c r="AC3562" s="430"/>
      <c r="AD3562" s="430"/>
      <c r="AE3562" s="430"/>
      <c r="AF3562" s="430"/>
      <c r="AG3562" s="430"/>
      <c r="AH3562" s="430"/>
      <c r="AI3562" s="430"/>
      <c r="AJ3562" s="430"/>
      <c r="AK3562" s="430"/>
      <c r="AL3562" s="430"/>
      <c r="AM3562" s="430"/>
      <c r="AN3562" s="430"/>
      <c r="AO3562" s="430"/>
      <c r="AP3562" s="430"/>
      <c r="AQ3562" s="430"/>
      <c r="AR3562" s="430"/>
      <c r="AS3562" s="430"/>
      <c r="AT3562" s="430"/>
      <c r="AU3562" s="430"/>
      <c r="AV3562" s="430"/>
      <c r="AW3562" s="430"/>
      <c r="AX3562" s="430"/>
      <c r="AY3562" s="430"/>
      <c r="AZ3562" s="430"/>
      <c r="BA3562" s="430"/>
      <c r="BB3562" s="430"/>
      <c r="BC3562" s="430"/>
      <c r="BD3562" s="430"/>
      <c r="BE3562" s="430"/>
      <c r="BF3562" s="430"/>
      <c r="BG3562" s="430"/>
      <c r="BH3562" s="431"/>
      <c r="BI3562" s="459"/>
      <c r="BJ3562" s="460"/>
      <c r="BK3562" s="461"/>
      <c r="BL3562" s="461"/>
      <c r="BM3562" s="461"/>
      <c r="BN3562" s="461"/>
      <c r="BO3562" s="461"/>
      <c r="BP3562" s="462"/>
      <c r="BQ3562" s="462"/>
      <c r="BR3562" s="420"/>
      <c r="BS3562" s="421"/>
      <c r="BT3562" s="421"/>
      <c r="BU3562" s="421"/>
      <c r="BV3562" s="421"/>
      <c r="BW3562" s="421"/>
      <c r="BX3562" s="421"/>
      <c r="BY3562" s="421"/>
      <c r="BZ3562" s="422"/>
      <c r="CA3562" s="270"/>
      <c r="CB3562" s="3" t="str">
        <f t="shared" si="637"/>
        <v>Riadok bude skrytý.</v>
      </c>
      <c r="CC3562" s="271" t="s">
        <v>832</v>
      </c>
      <c r="CW3562" s="32">
        <f t="shared" si="640"/>
        <v>1</v>
      </c>
      <c r="CZ3562" s="30">
        <f t="shared" si="638"/>
        <v>1</v>
      </c>
      <c r="DA3562" s="30">
        <f t="shared" si="642"/>
        <v>1</v>
      </c>
      <c r="DB3562" s="2">
        <f t="shared" si="641"/>
        <v>0</v>
      </c>
      <c r="DS3562" s="130">
        <f>SI!BY3562</f>
        <v>743</v>
      </c>
      <c r="DZ3562" s="131">
        <f>SI!BZ3562</f>
        <v>0</v>
      </c>
    </row>
    <row r="3563" spans="1:130" ht="14.95" hidden="1" customHeight="1" x14ac:dyDescent="0.25">
      <c r="A3563" s="141"/>
      <c r="B3563" s="1465"/>
      <c r="C3563" s="1466"/>
      <c r="D3563" s="1466"/>
      <c r="E3563" s="1466"/>
      <c r="F3563" s="1466"/>
      <c r="G3563" s="1466"/>
      <c r="H3563" s="1466"/>
      <c r="I3563" s="1809"/>
      <c r="J3563" s="426" t="s">
        <v>587</v>
      </c>
      <c r="K3563" s="427"/>
      <c r="L3563" s="427"/>
      <c r="M3563" s="427"/>
      <c r="N3563" s="427"/>
      <c r="O3563" s="427"/>
      <c r="P3563" s="427"/>
      <c r="Q3563" s="427"/>
      <c r="R3563" s="427"/>
      <c r="S3563" s="427"/>
      <c r="T3563" s="427"/>
      <c r="U3563" s="427"/>
      <c r="V3563" s="427"/>
      <c r="W3563" s="427"/>
      <c r="X3563" s="427"/>
      <c r="Y3563" s="427"/>
      <c r="Z3563" s="427"/>
      <c r="AA3563" s="427"/>
      <c r="AB3563" s="427"/>
      <c r="AC3563" s="427"/>
      <c r="AD3563" s="427"/>
      <c r="AE3563" s="427"/>
      <c r="AF3563" s="427"/>
      <c r="AG3563" s="427"/>
      <c r="AH3563" s="427"/>
      <c r="AI3563" s="427"/>
      <c r="AJ3563" s="427"/>
      <c r="AK3563" s="427"/>
      <c r="AL3563" s="427"/>
      <c r="AM3563" s="427"/>
      <c r="AN3563" s="427"/>
      <c r="AO3563" s="427"/>
      <c r="AP3563" s="427"/>
      <c r="AQ3563" s="427"/>
      <c r="AR3563" s="427"/>
      <c r="AS3563" s="427"/>
      <c r="AT3563" s="427"/>
      <c r="AU3563" s="427"/>
      <c r="AV3563" s="427"/>
      <c r="AW3563" s="427"/>
      <c r="AX3563" s="427"/>
      <c r="AY3563" s="427"/>
      <c r="AZ3563" s="427"/>
      <c r="BA3563" s="427"/>
      <c r="BB3563" s="427"/>
      <c r="BC3563" s="427"/>
      <c r="BD3563" s="427"/>
      <c r="BE3563" s="427"/>
      <c r="BF3563" s="427"/>
      <c r="BG3563" s="427"/>
      <c r="BH3563" s="428"/>
      <c r="BI3563" s="411">
        <f>+BI3538+BI3539+BI3553+BI3559+BI3560+BI3561+BI3562</f>
        <v>0</v>
      </c>
      <c r="BJ3563" s="476"/>
      <c r="BK3563" s="412"/>
      <c r="BL3563" s="412"/>
      <c r="BM3563" s="412"/>
      <c r="BN3563" s="412"/>
      <c r="BO3563" s="412"/>
      <c r="BP3563" s="477"/>
      <c r="BQ3563" s="477"/>
      <c r="BR3563" s="423">
        <f>+BR3538+BR3539+BR3553+BR3559+BR3560+BR3561+BR3562</f>
        <v>0</v>
      </c>
      <c r="BS3563" s="424"/>
      <c r="BT3563" s="424"/>
      <c r="BU3563" s="424"/>
      <c r="BV3563" s="424"/>
      <c r="BW3563" s="424"/>
      <c r="BX3563" s="424"/>
      <c r="BY3563" s="424"/>
      <c r="BZ3563" s="425"/>
      <c r="CA3563" s="270"/>
      <c r="CB3563" s="3" t="str">
        <f t="shared" si="637"/>
        <v>Riadok bude skrytý.</v>
      </c>
      <c r="CC3563" s="271" t="s">
        <v>832</v>
      </c>
      <c r="CW3563" s="32">
        <f t="shared" si="640"/>
        <v>1</v>
      </c>
      <c r="CZ3563" s="30">
        <f t="shared" si="638"/>
        <v>1</v>
      </c>
      <c r="DA3563" s="30">
        <f t="shared" si="642"/>
        <v>1</v>
      </c>
      <c r="DB3563" s="2">
        <f t="shared" si="641"/>
        <v>0</v>
      </c>
      <c r="DS3563" s="130">
        <f>SI!BY3563</f>
        <v>148</v>
      </c>
      <c r="DZ3563" s="131">
        <f>SI!BZ3563</f>
        <v>0</v>
      </c>
    </row>
    <row r="3564" spans="1:130" ht="24.8" hidden="1" customHeight="1" x14ac:dyDescent="0.25">
      <c r="A3564" s="141"/>
      <c r="B3564" s="1467" t="s">
        <v>632</v>
      </c>
      <c r="C3564" s="1468"/>
      <c r="D3564" s="1468"/>
      <c r="E3564" s="1468"/>
      <c r="F3564" s="1468"/>
      <c r="G3564" s="1468"/>
      <c r="H3564" s="1468"/>
      <c r="I3564" s="1469"/>
      <c r="J3564" s="429" t="s">
        <v>631</v>
      </c>
      <c r="K3564" s="430"/>
      <c r="L3564" s="430"/>
      <c r="M3564" s="430"/>
      <c r="N3564" s="430"/>
      <c r="O3564" s="430"/>
      <c r="P3564" s="430"/>
      <c r="Q3564" s="430"/>
      <c r="R3564" s="430"/>
      <c r="S3564" s="430"/>
      <c r="T3564" s="430"/>
      <c r="U3564" s="430"/>
      <c r="V3564" s="430"/>
      <c r="W3564" s="430"/>
      <c r="X3564" s="430"/>
      <c r="Y3564" s="430"/>
      <c r="Z3564" s="430"/>
      <c r="AA3564" s="430"/>
      <c r="AB3564" s="430"/>
      <c r="AC3564" s="430"/>
      <c r="AD3564" s="430"/>
      <c r="AE3564" s="430"/>
      <c r="AF3564" s="430"/>
      <c r="AG3564" s="430"/>
      <c r="AH3564" s="430"/>
      <c r="AI3564" s="430"/>
      <c r="AJ3564" s="430"/>
      <c r="AK3564" s="430"/>
      <c r="AL3564" s="430"/>
      <c r="AM3564" s="430"/>
      <c r="AN3564" s="430"/>
      <c r="AO3564" s="430"/>
      <c r="AP3564" s="430"/>
      <c r="AQ3564" s="430"/>
      <c r="AR3564" s="430"/>
      <c r="AS3564" s="430"/>
      <c r="AT3564" s="430"/>
      <c r="AU3564" s="430"/>
      <c r="AV3564" s="430"/>
      <c r="AW3564" s="430"/>
      <c r="AX3564" s="430"/>
      <c r="AY3564" s="430"/>
      <c r="AZ3564" s="430"/>
      <c r="BA3564" s="430"/>
      <c r="BB3564" s="430"/>
      <c r="BC3564" s="430"/>
      <c r="BD3564" s="430"/>
      <c r="BE3564" s="430"/>
      <c r="BF3564" s="430"/>
      <c r="BG3564" s="430"/>
      <c r="BH3564" s="431"/>
      <c r="BI3564" s="1054"/>
      <c r="BJ3564" s="1132"/>
      <c r="BK3564" s="1055"/>
      <c r="BL3564" s="1055"/>
      <c r="BM3564" s="1055"/>
      <c r="BN3564" s="1055"/>
      <c r="BO3564" s="1055"/>
      <c r="BP3564" s="502"/>
      <c r="BQ3564" s="502"/>
      <c r="BR3564" s="420"/>
      <c r="BS3564" s="421"/>
      <c r="BT3564" s="421"/>
      <c r="BU3564" s="421"/>
      <c r="BV3564" s="421"/>
      <c r="BW3564" s="421"/>
      <c r="BX3564" s="421"/>
      <c r="BY3564" s="421"/>
      <c r="BZ3564" s="422"/>
      <c r="CA3564" s="265" t="s">
        <v>773</v>
      </c>
      <c r="CB3564" s="3" t="str">
        <f t="shared" si="637"/>
        <v>Riadok bude skrytý.</v>
      </c>
      <c r="CC3564" s="271" t="s">
        <v>832</v>
      </c>
      <c r="CW3564" s="32">
        <f t="shared" si="640"/>
        <v>1</v>
      </c>
      <c r="CZ3564" s="30">
        <f t="shared" si="638"/>
        <v>1</v>
      </c>
      <c r="DA3564" s="30">
        <f t="shared" si="642"/>
        <v>1</v>
      </c>
      <c r="DB3564" s="2">
        <f t="shared" si="641"/>
        <v>0</v>
      </c>
      <c r="DS3564" s="130">
        <f>SI!BY3564</f>
        <v>274</v>
      </c>
      <c r="DZ3564" s="131">
        <f>SI!BZ3564</f>
        <v>0</v>
      </c>
    </row>
    <row r="3565" spans="1:130" ht="24.8" hidden="1" customHeight="1" x14ac:dyDescent="0.25">
      <c r="A3565" s="141"/>
      <c r="B3565" s="1383" t="s">
        <v>633</v>
      </c>
      <c r="C3565" s="1384"/>
      <c r="D3565" s="1384"/>
      <c r="E3565" s="1384"/>
      <c r="F3565" s="1384"/>
      <c r="G3565" s="1384"/>
      <c r="H3565" s="1384"/>
      <c r="I3565" s="1385"/>
      <c r="J3565" s="429" t="s">
        <v>1041</v>
      </c>
      <c r="K3565" s="430"/>
      <c r="L3565" s="430"/>
      <c r="M3565" s="430"/>
      <c r="N3565" s="430"/>
      <c r="O3565" s="430"/>
      <c r="P3565" s="430"/>
      <c r="Q3565" s="430"/>
      <c r="R3565" s="430"/>
      <c r="S3565" s="430"/>
      <c r="T3565" s="430"/>
      <c r="U3565" s="430"/>
      <c r="V3565" s="430"/>
      <c r="W3565" s="430"/>
      <c r="X3565" s="430"/>
      <c r="Y3565" s="430"/>
      <c r="Z3565" s="430"/>
      <c r="AA3565" s="430"/>
      <c r="AB3565" s="430"/>
      <c r="AC3565" s="430"/>
      <c r="AD3565" s="430"/>
      <c r="AE3565" s="430"/>
      <c r="AF3565" s="430"/>
      <c r="AG3565" s="430"/>
      <c r="AH3565" s="430"/>
      <c r="AI3565" s="430"/>
      <c r="AJ3565" s="430"/>
      <c r="AK3565" s="430"/>
      <c r="AL3565" s="430"/>
      <c r="AM3565" s="430"/>
      <c r="AN3565" s="430"/>
      <c r="AO3565" s="430"/>
      <c r="AP3565" s="430"/>
      <c r="AQ3565" s="430"/>
      <c r="AR3565" s="430"/>
      <c r="AS3565" s="430"/>
      <c r="AT3565" s="430"/>
      <c r="AU3565" s="430"/>
      <c r="AV3565" s="430"/>
      <c r="AW3565" s="430"/>
      <c r="AX3565" s="430"/>
      <c r="AY3565" s="430"/>
      <c r="AZ3565" s="430"/>
      <c r="BA3565" s="430"/>
      <c r="BB3565" s="430"/>
      <c r="BC3565" s="430"/>
      <c r="BD3565" s="430"/>
      <c r="BE3565" s="430"/>
      <c r="BF3565" s="430"/>
      <c r="BG3565" s="430"/>
      <c r="BH3565" s="431"/>
      <c r="BI3565" s="363"/>
      <c r="BJ3565" s="386"/>
      <c r="BK3565" s="364"/>
      <c r="BL3565" s="364"/>
      <c r="BM3565" s="364"/>
      <c r="BN3565" s="364"/>
      <c r="BO3565" s="364"/>
      <c r="BP3565" s="475"/>
      <c r="BQ3565" s="475"/>
      <c r="BR3565" s="420"/>
      <c r="BS3565" s="421"/>
      <c r="BT3565" s="421"/>
      <c r="BU3565" s="421"/>
      <c r="BV3565" s="421"/>
      <c r="BW3565" s="421"/>
      <c r="BX3565" s="421"/>
      <c r="BY3565" s="421"/>
      <c r="BZ3565" s="422"/>
      <c r="CA3565" s="270"/>
      <c r="CB3565" s="3" t="str">
        <f t="shared" si="637"/>
        <v>Riadok bude skrytý.</v>
      </c>
      <c r="CC3565" s="271" t="s">
        <v>832</v>
      </c>
      <c r="CD3565" s="137"/>
      <c r="CE3565" s="137"/>
      <c r="CW3565" s="32">
        <f t="shared" si="640"/>
        <v>1</v>
      </c>
      <c r="CZ3565" s="30">
        <f t="shared" si="638"/>
        <v>1</v>
      </c>
      <c r="DA3565" s="30">
        <f t="shared" si="642"/>
        <v>1</v>
      </c>
      <c r="DB3565" s="2">
        <f t="shared" si="641"/>
        <v>0</v>
      </c>
      <c r="DS3565" s="130">
        <f>SI!BY3565</f>
        <v>186</v>
      </c>
      <c r="DZ3565" s="131">
        <f>SI!BZ3565</f>
        <v>0</v>
      </c>
    </row>
    <row r="3566" spans="1:130" ht="30.75" hidden="1" customHeight="1" x14ac:dyDescent="0.25">
      <c r="A3566" s="141"/>
      <c r="B3566" s="1383" t="s">
        <v>634</v>
      </c>
      <c r="C3566" s="1384"/>
      <c r="D3566" s="1384"/>
      <c r="E3566" s="1384"/>
      <c r="F3566" s="1384"/>
      <c r="G3566" s="1384"/>
      <c r="H3566" s="1384"/>
      <c r="I3566" s="1385"/>
      <c r="J3566" s="429" t="s">
        <v>1042</v>
      </c>
      <c r="K3566" s="430"/>
      <c r="L3566" s="430"/>
      <c r="M3566" s="430"/>
      <c r="N3566" s="430"/>
      <c r="O3566" s="430"/>
      <c r="P3566" s="430"/>
      <c r="Q3566" s="430"/>
      <c r="R3566" s="430"/>
      <c r="S3566" s="430"/>
      <c r="T3566" s="430"/>
      <c r="U3566" s="430"/>
      <c r="V3566" s="430"/>
      <c r="W3566" s="430"/>
      <c r="X3566" s="430"/>
      <c r="Y3566" s="430"/>
      <c r="Z3566" s="430"/>
      <c r="AA3566" s="430"/>
      <c r="AB3566" s="430"/>
      <c r="AC3566" s="430"/>
      <c r="AD3566" s="430"/>
      <c r="AE3566" s="430"/>
      <c r="AF3566" s="430"/>
      <c r="AG3566" s="430"/>
      <c r="AH3566" s="430"/>
      <c r="AI3566" s="430"/>
      <c r="AJ3566" s="430"/>
      <c r="AK3566" s="430"/>
      <c r="AL3566" s="430"/>
      <c r="AM3566" s="430"/>
      <c r="AN3566" s="430"/>
      <c r="AO3566" s="430"/>
      <c r="AP3566" s="430"/>
      <c r="AQ3566" s="430"/>
      <c r="AR3566" s="430"/>
      <c r="AS3566" s="430"/>
      <c r="AT3566" s="430"/>
      <c r="AU3566" s="430"/>
      <c r="AV3566" s="430"/>
      <c r="AW3566" s="430"/>
      <c r="AX3566" s="430"/>
      <c r="AY3566" s="430"/>
      <c r="AZ3566" s="430"/>
      <c r="BA3566" s="430"/>
      <c r="BB3566" s="430"/>
      <c r="BC3566" s="430"/>
      <c r="BD3566" s="430"/>
      <c r="BE3566" s="430"/>
      <c r="BF3566" s="430"/>
      <c r="BG3566" s="430"/>
      <c r="BH3566" s="431"/>
      <c r="BI3566" s="363"/>
      <c r="BJ3566" s="386"/>
      <c r="BK3566" s="364"/>
      <c r="BL3566" s="364"/>
      <c r="BM3566" s="364"/>
      <c r="BN3566" s="364"/>
      <c r="BO3566" s="364"/>
      <c r="BP3566" s="475"/>
      <c r="BQ3566" s="475"/>
      <c r="BR3566" s="420"/>
      <c r="BS3566" s="421"/>
      <c r="BT3566" s="421"/>
      <c r="BU3566" s="421"/>
      <c r="BV3566" s="421"/>
      <c r="BW3566" s="421"/>
      <c r="BX3566" s="421"/>
      <c r="BY3566" s="421"/>
      <c r="BZ3566" s="422"/>
      <c r="CA3566" s="270"/>
      <c r="CB3566" s="3" t="str">
        <f t="shared" si="637"/>
        <v>Riadok bude skrytý.</v>
      </c>
      <c r="CC3566" s="271" t="s">
        <v>832</v>
      </c>
      <c r="CD3566" s="137"/>
      <c r="CE3566" s="137"/>
      <c r="CW3566" s="32">
        <f t="shared" si="640"/>
        <v>1</v>
      </c>
      <c r="CZ3566" s="30">
        <f t="shared" si="638"/>
        <v>1</v>
      </c>
      <c r="DA3566" s="30">
        <f t="shared" si="642"/>
        <v>1</v>
      </c>
      <c r="DB3566" s="2">
        <f t="shared" si="641"/>
        <v>0</v>
      </c>
      <c r="DS3566" s="130">
        <f>SI!BY3566</f>
        <v>1001</v>
      </c>
      <c r="DZ3566" s="131">
        <f>SI!BZ3566</f>
        <v>0</v>
      </c>
    </row>
    <row r="3567" spans="1:130" ht="14.95" hidden="1" customHeight="1" x14ac:dyDescent="0.25">
      <c r="A3567" s="141"/>
      <c r="B3567" s="1815" t="s">
        <v>465</v>
      </c>
      <c r="C3567" s="1816"/>
      <c r="D3567" s="1816"/>
      <c r="E3567" s="1816"/>
      <c r="F3567" s="1816"/>
      <c r="G3567" s="1816"/>
      <c r="H3567" s="1816"/>
      <c r="I3567" s="1817"/>
      <c r="J3567" s="426" t="s">
        <v>635</v>
      </c>
      <c r="K3567" s="427"/>
      <c r="L3567" s="427"/>
      <c r="M3567" s="427"/>
      <c r="N3567" s="427"/>
      <c r="O3567" s="427"/>
      <c r="P3567" s="427"/>
      <c r="Q3567" s="427"/>
      <c r="R3567" s="427"/>
      <c r="S3567" s="427"/>
      <c r="T3567" s="427"/>
      <c r="U3567" s="427"/>
      <c r="V3567" s="427"/>
      <c r="W3567" s="427"/>
      <c r="X3567" s="427"/>
      <c r="Y3567" s="427"/>
      <c r="Z3567" s="427"/>
      <c r="AA3567" s="427"/>
      <c r="AB3567" s="427"/>
      <c r="AC3567" s="427"/>
      <c r="AD3567" s="427"/>
      <c r="AE3567" s="427"/>
      <c r="AF3567" s="427"/>
      <c r="AG3567" s="427"/>
      <c r="AH3567" s="427"/>
      <c r="AI3567" s="427"/>
      <c r="AJ3567" s="427"/>
      <c r="AK3567" s="427"/>
      <c r="AL3567" s="427"/>
      <c r="AM3567" s="427"/>
      <c r="AN3567" s="427"/>
      <c r="AO3567" s="427"/>
      <c r="AP3567" s="427"/>
      <c r="AQ3567" s="427"/>
      <c r="AR3567" s="427"/>
      <c r="AS3567" s="427"/>
      <c r="AT3567" s="427"/>
      <c r="AU3567" s="427"/>
      <c r="AV3567" s="427"/>
      <c r="AW3567" s="427"/>
      <c r="AX3567" s="427"/>
      <c r="AY3567" s="427"/>
      <c r="AZ3567" s="427"/>
      <c r="BA3567" s="427"/>
      <c r="BB3567" s="427"/>
      <c r="BC3567" s="427"/>
      <c r="BD3567" s="427"/>
      <c r="BE3567" s="427"/>
      <c r="BF3567" s="427"/>
      <c r="BG3567" s="427"/>
      <c r="BH3567" s="428"/>
      <c r="BI3567" s="411">
        <f>+SUM(BI3563:BQ3566)</f>
        <v>0</v>
      </c>
      <c r="BJ3567" s="476"/>
      <c r="BK3567" s="412"/>
      <c r="BL3567" s="412"/>
      <c r="BM3567" s="412"/>
      <c r="BN3567" s="412"/>
      <c r="BO3567" s="412"/>
      <c r="BP3567" s="477"/>
      <c r="BQ3567" s="477"/>
      <c r="BR3567" s="423">
        <f>+SUM(BR3563:BZ3566)</f>
        <v>0</v>
      </c>
      <c r="BS3567" s="424"/>
      <c r="BT3567" s="424"/>
      <c r="BU3567" s="424"/>
      <c r="BV3567" s="424"/>
      <c r="BW3567" s="424"/>
      <c r="BX3567" s="424"/>
      <c r="BY3567" s="424"/>
      <c r="BZ3567" s="425"/>
      <c r="CA3567" s="270"/>
      <c r="CB3567" s="3" t="str">
        <f t="shared" si="637"/>
        <v>Riadok bude skrytý.</v>
      </c>
      <c r="CC3567" s="271" t="s">
        <v>832</v>
      </c>
      <c r="CW3567" s="32">
        <f t="shared" ref="CW3567:CW3598" si="643">+IF($BJ$3447="nezostavila.",0,IF($AR$3448="nepriamej",1,0))</f>
        <v>1</v>
      </c>
      <c r="CZ3567" s="30">
        <f t="shared" si="638"/>
        <v>1</v>
      </c>
      <c r="DA3567" s="30">
        <f t="shared" si="642"/>
        <v>1</v>
      </c>
      <c r="DB3567" s="2">
        <f t="shared" si="641"/>
        <v>0</v>
      </c>
      <c r="DS3567" s="130">
        <f>SI!BY3567</f>
        <v>296</v>
      </c>
      <c r="DZ3567" s="131">
        <f>SI!BZ3567</f>
        <v>0</v>
      </c>
    </row>
    <row r="3568" spans="1:130" ht="14.95" hidden="1" customHeight="1" x14ac:dyDescent="0.25">
      <c r="A3568" s="141"/>
      <c r="B3568" s="1465"/>
      <c r="C3568" s="1466"/>
      <c r="D3568" s="1466"/>
      <c r="E3568" s="1466"/>
      <c r="F3568" s="1466"/>
      <c r="G3568" s="1466"/>
      <c r="H3568" s="1466"/>
      <c r="I3568" s="1809"/>
      <c r="J3568" s="426" t="s">
        <v>439</v>
      </c>
      <c r="K3568" s="427"/>
      <c r="L3568" s="427"/>
      <c r="M3568" s="427"/>
      <c r="N3568" s="427"/>
      <c r="O3568" s="427"/>
      <c r="P3568" s="427"/>
      <c r="Q3568" s="427"/>
      <c r="R3568" s="427"/>
      <c r="S3568" s="427"/>
      <c r="T3568" s="427"/>
      <c r="U3568" s="427"/>
      <c r="V3568" s="427"/>
      <c r="W3568" s="427"/>
      <c r="X3568" s="427"/>
      <c r="Y3568" s="427"/>
      <c r="Z3568" s="427"/>
      <c r="AA3568" s="427"/>
      <c r="AB3568" s="427"/>
      <c r="AC3568" s="427"/>
      <c r="AD3568" s="427"/>
      <c r="AE3568" s="427"/>
      <c r="AF3568" s="427"/>
      <c r="AG3568" s="427"/>
      <c r="AH3568" s="427"/>
      <c r="AI3568" s="427"/>
      <c r="AJ3568" s="427"/>
      <c r="AK3568" s="427"/>
      <c r="AL3568" s="427"/>
      <c r="AM3568" s="427"/>
      <c r="AN3568" s="427"/>
      <c r="AO3568" s="427"/>
      <c r="AP3568" s="427"/>
      <c r="AQ3568" s="427"/>
      <c r="AR3568" s="427"/>
      <c r="AS3568" s="427"/>
      <c r="AT3568" s="427"/>
      <c r="AU3568" s="427"/>
      <c r="AV3568" s="427"/>
      <c r="AW3568" s="427"/>
      <c r="AX3568" s="427"/>
      <c r="AY3568" s="427"/>
      <c r="AZ3568" s="427"/>
      <c r="BA3568" s="427"/>
      <c r="BB3568" s="427"/>
      <c r="BC3568" s="427"/>
      <c r="BD3568" s="427"/>
      <c r="BE3568" s="427"/>
      <c r="BF3568" s="427"/>
      <c r="BG3568" s="427"/>
      <c r="BH3568" s="428"/>
      <c r="BI3568" s="1089"/>
      <c r="BJ3568" s="1811"/>
      <c r="BK3568" s="540"/>
      <c r="BL3568" s="540"/>
      <c r="BM3568" s="540"/>
      <c r="BN3568" s="540"/>
      <c r="BO3568" s="540"/>
      <c r="BP3568" s="481"/>
      <c r="BQ3568" s="481"/>
      <c r="BR3568" s="472"/>
      <c r="BS3568" s="473"/>
      <c r="BT3568" s="473"/>
      <c r="BU3568" s="473"/>
      <c r="BV3568" s="473"/>
      <c r="BW3568" s="473"/>
      <c r="BX3568" s="473"/>
      <c r="BY3568" s="473"/>
      <c r="BZ3568" s="474"/>
      <c r="CA3568" s="265" t="s">
        <v>773</v>
      </c>
      <c r="CB3568" s="3" t="str">
        <f t="shared" si="637"/>
        <v>Riadok bude skrytý.</v>
      </c>
      <c r="CC3568" s="271" t="s">
        <v>832</v>
      </c>
      <c r="CW3568" s="32">
        <f t="shared" si="643"/>
        <v>1</v>
      </c>
      <c r="CZ3568" s="30">
        <f t="shared" si="638"/>
        <v>1</v>
      </c>
      <c r="DA3568" s="30">
        <f t="shared" si="642"/>
        <v>1</v>
      </c>
      <c r="DB3568" s="2">
        <f t="shared" si="641"/>
        <v>0</v>
      </c>
      <c r="DS3568" s="130">
        <f>SI!BY3568</f>
        <v>190</v>
      </c>
      <c r="DZ3568" s="131">
        <f>SI!BZ3568</f>
        <v>0</v>
      </c>
    </row>
    <row r="3569" spans="1:130" ht="14.95" hidden="1" customHeight="1" x14ac:dyDescent="0.25">
      <c r="A3569" s="141"/>
      <c r="B3569" s="1467" t="s">
        <v>636</v>
      </c>
      <c r="C3569" s="1468"/>
      <c r="D3569" s="1468"/>
      <c r="E3569" s="1468"/>
      <c r="F3569" s="1468"/>
      <c r="G3569" s="1468"/>
      <c r="H3569" s="1468"/>
      <c r="I3569" s="1469"/>
      <c r="J3569" s="1462" t="s">
        <v>535</v>
      </c>
      <c r="K3569" s="1463"/>
      <c r="L3569" s="1463"/>
      <c r="M3569" s="1463"/>
      <c r="N3569" s="1463"/>
      <c r="O3569" s="1463"/>
      <c r="P3569" s="1463"/>
      <c r="Q3569" s="1463"/>
      <c r="R3569" s="1463"/>
      <c r="S3569" s="1463"/>
      <c r="T3569" s="1463"/>
      <c r="U3569" s="1463"/>
      <c r="V3569" s="1463"/>
      <c r="W3569" s="1463"/>
      <c r="X3569" s="1463"/>
      <c r="Y3569" s="1463"/>
      <c r="Z3569" s="1463"/>
      <c r="AA3569" s="1463"/>
      <c r="AB3569" s="1463"/>
      <c r="AC3569" s="1463"/>
      <c r="AD3569" s="1463"/>
      <c r="AE3569" s="1463"/>
      <c r="AF3569" s="1463"/>
      <c r="AG3569" s="1463"/>
      <c r="AH3569" s="1463"/>
      <c r="AI3569" s="1463"/>
      <c r="AJ3569" s="1463"/>
      <c r="AK3569" s="1463"/>
      <c r="AL3569" s="1463"/>
      <c r="AM3569" s="1463"/>
      <c r="AN3569" s="1463"/>
      <c r="AO3569" s="1463"/>
      <c r="AP3569" s="1463"/>
      <c r="AQ3569" s="1463"/>
      <c r="AR3569" s="1463"/>
      <c r="AS3569" s="1463"/>
      <c r="AT3569" s="1463"/>
      <c r="AU3569" s="1463"/>
      <c r="AV3569" s="1463"/>
      <c r="AW3569" s="1463"/>
      <c r="AX3569" s="1463"/>
      <c r="AY3569" s="1463"/>
      <c r="AZ3569" s="1463"/>
      <c r="BA3569" s="1463"/>
      <c r="BB3569" s="1463"/>
      <c r="BC3569" s="1463"/>
      <c r="BD3569" s="1463"/>
      <c r="BE3569" s="1463"/>
      <c r="BF3569" s="1463"/>
      <c r="BG3569" s="1463"/>
      <c r="BH3569" s="1464"/>
      <c r="BI3569" s="417"/>
      <c r="BJ3569" s="418"/>
      <c r="BK3569" s="418"/>
      <c r="BL3569" s="418"/>
      <c r="BM3569" s="418"/>
      <c r="BN3569" s="418"/>
      <c r="BO3569" s="418"/>
      <c r="BP3569" s="418"/>
      <c r="BQ3569" s="419"/>
      <c r="BR3569" s="466"/>
      <c r="BS3569" s="467"/>
      <c r="BT3569" s="467"/>
      <c r="BU3569" s="467"/>
      <c r="BV3569" s="467"/>
      <c r="BW3569" s="467"/>
      <c r="BX3569" s="467"/>
      <c r="BY3569" s="467"/>
      <c r="BZ3569" s="468"/>
      <c r="CA3569" s="310"/>
      <c r="CB3569" s="3" t="str">
        <f t="shared" si="637"/>
        <v>Riadok bude skrytý.</v>
      </c>
      <c r="CC3569" s="271" t="s">
        <v>832</v>
      </c>
      <c r="CW3569" s="32">
        <f t="shared" si="643"/>
        <v>1</v>
      </c>
      <c r="CZ3569" s="30">
        <f t="shared" si="638"/>
        <v>1</v>
      </c>
      <c r="DA3569" s="30">
        <f t="shared" si="642"/>
        <v>1</v>
      </c>
      <c r="DB3569" s="2">
        <f t="shared" si="641"/>
        <v>0</v>
      </c>
      <c r="DS3569" s="130">
        <f>SI!BY3569</f>
        <v>1044</v>
      </c>
      <c r="DZ3569" s="131">
        <f>SI!BZ3569</f>
        <v>0</v>
      </c>
    </row>
    <row r="3570" spans="1:130" ht="14.95" hidden="1" customHeight="1" x14ac:dyDescent="0.25">
      <c r="A3570" s="141"/>
      <c r="B3570" s="1383" t="s">
        <v>637</v>
      </c>
      <c r="C3570" s="1384"/>
      <c r="D3570" s="1384"/>
      <c r="E3570" s="1384"/>
      <c r="F3570" s="1384"/>
      <c r="G3570" s="1384"/>
      <c r="H3570" s="1384"/>
      <c r="I3570" s="1385"/>
      <c r="J3570" s="429" t="s">
        <v>536</v>
      </c>
      <c r="K3570" s="430"/>
      <c r="L3570" s="430"/>
      <c r="M3570" s="430"/>
      <c r="N3570" s="430"/>
      <c r="O3570" s="430"/>
      <c r="P3570" s="430"/>
      <c r="Q3570" s="430"/>
      <c r="R3570" s="430"/>
      <c r="S3570" s="430"/>
      <c r="T3570" s="430"/>
      <c r="U3570" s="430"/>
      <c r="V3570" s="430"/>
      <c r="W3570" s="430"/>
      <c r="X3570" s="430"/>
      <c r="Y3570" s="430"/>
      <c r="Z3570" s="430"/>
      <c r="AA3570" s="430"/>
      <c r="AB3570" s="430"/>
      <c r="AC3570" s="430"/>
      <c r="AD3570" s="430"/>
      <c r="AE3570" s="430"/>
      <c r="AF3570" s="430"/>
      <c r="AG3570" s="430"/>
      <c r="AH3570" s="430"/>
      <c r="AI3570" s="430"/>
      <c r="AJ3570" s="430"/>
      <c r="AK3570" s="430"/>
      <c r="AL3570" s="430"/>
      <c r="AM3570" s="430"/>
      <c r="AN3570" s="430"/>
      <c r="AO3570" s="430"/>
      <c r="AP3570" s="430"/>
      <c r="AQ3570" s="430"/>
      <c r="AR3570" s="430"/>
      <c r="AS3570" s="430"/>
      <c r="AT3570" s="430"/>
      <c r="AU3570" s="430"/>
      <c r="AV3570" s="430"/>
      <c r="AW3570" s="430"/>
      <c r="AX3570" s="430"/>
      <c r="AY3570" s="430"/>
      <c r="AZ3570" s="430"/>
      <c r="BA3570" s="430"/>
      <c r="BB3570" s="430"/>
      <c r="BC3570" s="430"/>
      <c r="BD3570" s="430"/>
      <c r="BE3570" s="430"/>
      <c r="BF3570" s="430"/>
      <c r="BG3570" s="430"/>
      <c r="BH3570" s="431"/>
      <c r="BI3570" s="363"/>
      <c r="BJ3570" s="386"/>
      <c r="BK3570" s="364"/>
      <c r="BL3570" s="364"/>
      <c r="BM3570" s="364"/>
      <c r="BN3570" s="364"/>
      <c r="BO3570" s="364"/>
      <c r="BP3570" s="475"/>
      <c r="BQ3570" s="475"/>
      <c r="BR3570" s="420"/>
      <c r="BS3570" s="421"/>
      <c r="BT3570" s="421"/>
      <c r="BU3570" s="421"/>
      <c r="BV3570" s="421"/>
      <c r="BW3570" s="421"/>
      <c r="BX3570" s="421"/>
      <c r="BY3570" s="421"/>
      <c r="BZ3570" s="422"/>
      <c r="CA3570" s="270"/>
      <c r="CB3570" s="3" t="str">
        <f t="shared" si="637"/>
        <v>Riadok bude skrytý.</v>
      </c>
      <c r="CC3570" s="271" t="s">
        <v>832</v>
      </c>
      <c r="CW3570" s="32">
        <f t="shared" si="643"/>
        <v>1</v>
      </c>
      <c r="CZ3570" s="30">
        <f t="shared" si="638"/>
        <v>1</v>
      </c>
      <c r="DA3570" s="30">
        <f t="shared" si="642"/>
        <v>1</v>
      </c>
      <c r="DB3570" s="2">
        <f t="shared" si="641"/>
        <v>0</v>
      </c>
      <c r="DS3570" s="130">
        <f>SI!BY3570</f>
        <v>131</v>
      </c>
      <c r="DZ3570" s="131">
        <f>SI!BZ3570</f>
        <v>0</v>
      </c>
    </row>
    <row r="3571" spans="1:130" ht="49.6" hidden="1" customHeight="1" x14ac:dyDescent="0.25">
      <c r="A3571" s="141"/>
      <c r="B3571" s="1383" t="s">
        <v>638</v>
      </c>
      <c r="C3571" s="1384"/>
      <c r="D3571" s="1384"/>
      <c r="E3571" s="1384"/>
      <c r="F3571" s="1384"/>
      <c r="G3571" s="1384"/>
      <c r="H3571" s="1384"/>
      <c r="I3571" s="1385"/>
      <c r="J3571" s="429" t="s">
        <v>537</v>
      </c>
      <c r="K3571" s="430"/>
      <c r="L3571" s="430"/>
      <c r="M3571" s="430"/>
      <c r="N3571" s="430"/>
      <c r="O3571" s="430"/>
      <c r="P3571" s="430"/>
      <c r="Q3571" s="430"/>
      <c r="R3571" s="430"/>
      <c r="S3571" s="430"/>
      <c r="T3571" s="430"/>
      <c r="U3571" s="430"/>
      <c r="V3571" s="430"/>
      <c r="W3571" s="430"/>
      <c r="X3571" s="430"/>
      <c r="Y3571" s="430"/>
      <c r="Z3571" s="430"/>
      <c r="AA3571" s="430"/>
      <c r="AB3571" s="430"/>
      <c r="AC3571" s="430"/>
      <c r="AD3571" s="430"/>
      <c r="AE3571" s="430"/>
      <c r="AF3571" s="430"/>
      <c r="AG3571" s="430"/>
      <c r="AH3571" s="430"/>
      <c r="AI3571" s="430"/>
      <c r="AJ3571" s="430"/>
      <c r="AK3571" s="430"/>
      <c r="AL3571" s="430"/>
      <c r="AM3571" s="430"/>
      <c r="AN3571" s="430"/>
      <c r="AO3571" s="430"/>
      <c r="AP3571" s="430"/>
      <c r="AQ3571" s="430"/>
      <c r="AR3571" s="430"/>
      <c r="AS3571" s="430"/>
      <c r="AT3571" s="430"/>
      <c r="AU3571" s="430"/>
      <c r="AV3571" s="430"/>
      <c r="AW3571" s="430"/>
      <c r="AX3571" s="430"/>
      <c r="AY3571" s="430"/>
      <c r="AZ3571" s="430"/>
      <c r="BA3571" s="430"/>
      <c r="BB3571" s="430"/>
      <c r="BC3571" s="430"/>
      <c r="BD3571" s="430"/>
      <c r="BE3571" s="430"/>
      <c r="BF3571" s="430"/>
      <c r="BG3571" s="430"/>
      <c r="BH3571" s="431"/>
      <c r="BI3571" s="363"/>
      <c r="BJ3571" s="386"/>
      <c r="BK3571" s="364"/>
      <c r="BL3571" s="364"/>
      <c r="BM3571" s="364"/>
      <c r="BN3571" s="364"/>
      <c r="BO3571" s="364"/>
      <c r="BP3571" s="475"/>
      <c r="BQ3571" s="475"/>
      <c r="BR3571" s="420"/>
      <c r="BS3571" s="421"/>
      <c r="BT3571" s="421"/>
      <c r="BU3571" s="421"/>
      <c r="BV3571" s="421"/>
      <c r="BW3571" s="421"/>
      <c r="BX3571" s="421"/>
      <c r="BY3571" s="421"/>
      <c r="BZ3571" s="422"/>
      <c r="CA3571" s="270"/>
      <c r="CB3571" s="3" t="str">
        <f t="shared" ref="CB3571:CB3634" si="644">+IF(DB3571=0,"Riadok bude skrytý.","Riadok bude vidieť.")</f>
        <v>Riadok bude skrytý.</v>
      </c>
      <c r="CC3571" s="271" t="s">
        <v>832</v>
      </c>
      <c r="CW3571" s="32">
        <f t="shared" si="643"/>
        <v>1</v>
      </c>
      <c r="CZ3571" s="30">
        <f t="shared" si="638"/>
        <v>1</v>
      </c>
      <c r="DA3571" s="30">
        <f t="shared" si="642"/>
        <v>1</v>
      </c>
      <c r="DB3571" s="2">
        <f t="shared" si="641"/>
        <v>0</v>
      </c>
      <c r="DS3571" s="130">
        <f>SI!BY3571</f>
        <v>353</v>
      </c>
      <c r="DZ3571" s="131">
        <f>SI!BZ3571</f>
        <v>0</v>
      </c>
    </row>
    <row r="3572" spans="1:130" ht="14.95" hidden="1" customHeight="1" x14ac:dyDescent="0.25">
      <c r="A3572" s="141"/>
      <c r="B3572" s="1383" t="s">
        <v>639</v>
      </c>
      <c r="C3572" s="1384"/>
      <c r="D3572" s="1384"/>
      <c r="E3572" s="1384"/>
      <c r="F3572" s="1384"/>
      <c r="G3572" s="1384"/>
      <c r="H3572" s="1384"/>
      <c r="I3572" s="1385"/>
      <c r="J3572" s="429" t="s">
        <v>538</v>
      </c>
      <c r="K3572" s="430"/>
      <c r="L3572" s="430"/>
      <c r="M3572" s="430"/>
      <c r="N3572" s="430"/>
      <c r="O3572" s="430"/>
      <c r="P3572" s="430"/>
      <c r="Q3572" s="430"/>
      <c r="R3572" s="430"/>
      <c r="S3572" s="430"/>
      <c r="T3572" s="430"/>
      <c r="U3572" s="430"/>
      <c r="V3572" s="430"/>
      <c r="W3572" s="430"/>
      <c r="X3572" s="430"/>
      <c r="Y3572" s="430"/>
      <c r="Z3572" s="430"/>
      <c r="AA3572" s="430"/>
      <c r="AB3572" s="430"/>
      <c r="AC3572" s="430"/>
      <c r="AD3572" s="430"/>
      <c r="AE3572" s="430"/>
      <c r="AF3572" s="430"/>
      <c r="AG3572" s="430"/>
      <c r="AH3572" s="430"/>
      <c r="AI3572" s="430"/>
      <c r="AJ3572" s="430"/>
      <c r="AK3572" s="430"/>
      <c r="AL3572" s="430"/>
      <c r="AM3572" s="430"/>
      <c r="AN3572" s="430"/>
      <c r="AO3572" s="430"/>
      <c r="AP3572" s="430"/>
      <c r="AQ3572" s="430"/>
      <c r="AR3572" s="430"/>
      <c r="AS3572" s="430"/>
      <c r="AT3572" s="430"/>
      <c r="AU3572" s="430"/>
      <c r="AV3572" s="430"/>
      <c r="AW3572" s="430"/>
      <c r="AX3572" s="430"/>
      <c r="AY3572" s="430"/>
      <c r="AZ3572" s="430"/>
      <c r="BA3572" s="430"/>
      <c r="BB3572" s="430"/>
      <c r="BC3572" s="430"/>
      <c r="BD3572" s="430"/>
      <c r="BE3572" s="430"/>
      <c r="BF3572" s="430"/>
      <c r="BG3572" s="430"/>
      <c r="BH3572" s="431"/>
      <c r="BI3572" s="363"/>
      <c r="BJ3572" s="386"/>
      <c r="BK3572" s="364"/>
      <c r="BL3572" s="364"/>
      <c r="BM3572" s="364"/>
      <c r="BN3572" s="364"/>
      <c r="BO3572" s="364"/>
      <c r="BP3572" s="475"/>
      <c r="BQ3572" s="475"/>
      <c r="BR3572" s="420"/>
      <c r="BS3572" s="421"/>
      <c r="BT3572" s="421"/>
      <c r="BU3572" s="421"/>
      <c r="BV3572" s="421"/>
      <c r="BW3572" s="421"/>
      <c r="BX3572" s="421"/>
      <c r="BY3572" s="421"/>
      <c r="BZ3572" s="422"/>
      <c r="CA3572" s="270"/>
      <c r="CB3572" s="3" t="str">
        <f t="shared" si="644"/>
        <v>Riadok bude skrytý.</v>
      </c>
      <c r="CC3572" s="271" t="s">
        <v>832</v>
      </c>
      <c r="CW3572" s="32">
        <f t="shared" si="643"/>
        <v>1</v>
      </c>
      <c r="CZ3572" s="30">
        <f t="shared" si="638"/>
        <v>1</v>
      </c>
      <c r="DA3572" s="30">
        <f t="shared" si="642"/>
        <v>1</v>
      </c>
      <c r="DB3572" s="2">
        <f t="shared" si="641"/>
        <v>0</v>
      </c>
      <c r="DS3572" s="130">
        <f>SI!BY3572</f>
        <v>107</v>
      </c>
      <c r="DZ3572" s="131">
        <f>SI!BZ3572</f>
        <v>0</v>
      </c>
    </row>
    <row r="3573" spans="1:130" ht="14.95" hidden="1" customHeight="1" x14ac:dyDescent="0.25">
      <c r="A3573" s="141"/>
      <c r="B3573" s="1383" t="s">
        <v>640</v>
      </c>
      <c r="C3573" s="1384"/>
      <c r="D3573" s="1384"/>
      <c r="E3573" s="1384"/>
      <c r="F3573" s="1384"/>
      <c r="G3573" s="1384"/>
      <c r="H3573" s="1384"/>
      <c r="I3573" s="1385"/>
      <c r="J3573" s="429" t="s">
        <v>539</v>
      </c>
      <c r="K3573" s="430"/>
      <c r="L3573" s="430"/>
      <c r="M3573" s="430"/>
      <c r="N3573" s="430"/>
      <c r="O3573" s="430"/>
      <c r="P3573" s="430"/>
      <c r="Q3573" s="430"/>
      <c r="R3573" s="430"/>
      <c r="S3573" s="430"/>
      <c r="T3573" s="430"/>
      <c r="U3573" s="430"/>
      <c r="V3573" s="430"/>
      <c r="W3573" s="430"/>
      <c r="X3573" s="430"/>
      <c r="Y3573" s="430"/>
      <c r="Z3573" s="430"/>
      <c r="AA3573" s="430"/>
      <c r="AB3573" s="430"/>
      <c r="AC3573" s="430"/>
      <c r="AD3573" s="430"/>
      <c r="AE3573" s="430"/>
      <c r="AF3573" s="430"/>
      <c r="AG3573" s="430"/>
      <c r="AH3573" s="430"/>
      <c r="AI3573" s="430"/>
      <c r="AJ3573" s="430"/>
      <c r="AK3573" s="430"/>
      <c r="AL3573" s="430"/>
      <c r="AM3573" s="430"/>
      <c r="AN3573" s="430"/>
      <c r="AO3573" s="430"/>
      <c r="AP3573" s="430"/>
      <c r="AQ3573" s="430"/>
      <c r="AR3573" s="430"/>
      <c r="AS3573" s="430"/>
      <c r="AT3573" s="430"/>
      <c r="AU3573" s="430"/>
      <c r="AV3573" s="430"/>
      <c r="AW3573" s="430"/>
      <c r="AX3573" s="430"/>
      <c r="AY3573" s="430"/>
      <c r="AZ3573" s="430"/>
      <c r="BA3573" s="430"/>
      <c r="BB3573" s="430"/>
      <c r="BC3573" s="430"/>
      <c r="BD3573" s="430"/>
      <c r="BE3573" s="430"/>
      <c r="BF3573" s="430"/>
      <c r="BG3573" s="430"/>
      <c r="BH3573" s="431"/>
      <c r="BI3573" s="363"/>
      <c r="BJ3573" s="386"/>
      <c r="BK3573" s="364"/>
      <c r="BL3573" s="364"/>
      <c r="BM3573" s="364"/>
      <c r="BN3573" s="364"/>
      <c r="BO3573" s="364"/>
      <c r="BP3573" s="475"/>
      <c r="BQ3573" s="475"/>
      <c r="BR3573" s="420"/>
      <c r="BS3573" s="421"/>
      <c r="BT3573" s="421"/>
      <c r="BU3573" s="421"/>
      <c r="BV3573" s="421"/>
      <c r="BW3573" s="421"/>
      <c r="BX3573" s="421"/>
      <c r="BY3573" s="421"/>
      <c r="BZ3573" s="422"/>
      <c r="CA3573" s="270"/>
      <c r="CB3573" s="3" t="str">
        <f t="shared" si="644"/>
        <v>Riadok bude skrytý.</v>
      </c>
      <c r="CC3573" s="271" t="s">
        <v>832</v>
      </c>
      <c r="CW3573" s="32">
        <f t="shared" si="643"/>
        <v>1</v>
      </c>
      <c r="CZ3573" s="30">
        <f t="shared" si="638"/>
        <v>1</v>
      </c>
      <c r="DA3573" s="30">
        <f t="shared" si="642"/>
        <v>1</v>
      </c>
      <c r="DB3573" s="2">
        <f t="shared" si="641"/>
        <v>0</v>
      </c>
      <c r="DS3573" s="130">
        <f>SI!BY3573</f>
        <v>302</v>
      </c>
      <c r="DZ3573" s="131">
        <f>SI!BZ3573</f>
        <v>0</v>
      </c>
    </row>
    <row r="3574" spans="1:130" ht="48.75" hidden="1" customHeight="1" x14ac:dyDescent="0.25">
      <c r="A3574" s="141"/>
      <c r="B3574" s="1383" t="s">
        <v>641</v>
      </c>
      <c r="C3574" s="1384"/>
      <c r="D3574" s="1384"/>
      <c r="E3574" s="1384"/>
      <c r="F3574" s="1384"/>
      <c r="G3574" s="1384"/>
      <c r="H3574" s="1384"/>
      <c r="I3574" s="1385"/>
      <c r="J3574" s="429" t="s">
        <v>540</v>
      </c>
      <c r="K3574" s="430"/>
      <c r="L3574" s="430"/>
      <c r="M3574" s="430"/>
      <c r="N3574" s="430"/>
      <c r="O3574" s="430"/>
      <c r="P3574" s="430"/>
      <c r="Q3574" s="430"/>
      <c r="R3574" s="430"/>
      <c r="S3574" s="430"/>
      <c r="T3574" s="430"/>
      <c r="U3574" s="430"/>
      <c r="V3574" s="430"/>
      <c r="W3574" s="430"/>
      <c r="X3574" s="430"/>
      <c r="Y3574" s="430"/>
      <c r="Z3574" s="430"/>
      <c r="AA3574" s="430"/>
      <c r="AB3574" s="430"/>
      <c r="AC3574" s="430"/>
      <c r="AD3574" s="430"/>
      <c r="AE3574" s="430"/>
      <c r="AF3574" s="430"/>
      <c r="AG3574" s="430"/>
      <c r="AH3574" s="430"/>
      <c r="AI3574" s="430"/>
      <c r="AJ3574" s="430"/>
      <c r="AK3574" s="430"/>
      <c r="AL3574" s="430"/>
      <c r="AM3574" s="430"/>
      <c r="AN3574" s="430"/>
      <c r="AO3574" s="430"/>
      <c r="AP3574" s="430"/>
      <c r="AQ3574" s="430"/>
      <c r="AR3574" s="430"/>
      <c r="AS3574" s="430"/>
      <c r="AT3574" s="430"/>
      <c r="AU3574" s="430"/>
      <c r="AV3574" s="430"/>
      <c r="AW3574" s="430"/>
      <c r="AX3574" s="430"/>
      <c r="AY3574" s="430"/>
      <c r="AZ3574" s="430"/>
      <c r="BA3574" s="430"/>
      <c r="BB3574" s="430"/>
      <c r="BC3574" s="430"/>
      <c r="BD3574" s="430"/>
      <c r="BE3574" s="430"/>
      <c r="BF3574" s="430"/>
      <c r="BG3574" s="430"/>
      <c r="BH3574" s="431"/>
      <c r="BI3574" s="363"/>
      <c r="BJ3574" s="386"/>
      <c r="BK3574" s="364"/>
      <c r="BL3574" s="364"/>
      <c r="BM3574" s="364"/>
      <c r="BN3574" s="364"/>
      <c r="BO3574" s="364"/>
      <c r="BP3574" s="475"/>
      <c r="BQ3574" s="475"/>
      <c r="BR3574" s="420"/>
      <c r="BS3574" s="421"/>
      <c r="BT3574" s="421"/>
      <c r="BU3574" s="421"/>
      <c r="BV3574" s="421"/>
      <c r="BW3574" s="421"/>
      <c r="BX3574" s="421"/>
      <c r="BY3574" s="421"/>
      <c r="BZ3574" s="422"/>
      <c r="CA3574" s="270"/>
      <c r="CB3574" s="3" t="str">
        <f t="shared" si="644"/>
        <v>Riadok bude skrytý.</v>
      </c>
      <c r="CC3574" s="271" t="s">
        <v>832</v>
      </c>
      <c r="CW3574" s="32">
        <f t="shared" si="643"/>
        <v>1</v>
      </c>
      <c r="CZ3574" s="30">
        <f t="shared" si="638"/>
        <v>1</v>
      </c>
      <c r="DA3574" s="30">
        <f t="shared" si="642"/>
        <v>1</v>
      </c>
      <c r="DB3574" s="2">
        <f t="shared" si="641"/>
        <v>0</v>
      </c>
      <c r="DS3574" s="130">
        <f>SI!BY3574</f>
        <v>153</v>
      </c>
      <c r="DZ3574" s="131">
        <f>SI!BZ3574</f>
        <v>0</v>
      </c>
    </row>
    <row r="3575" spans="1:130" ht="24.8" hidden="1" customHeight="1" x14ac:dyDescent="0.25">
      <c r="A3575" s="141"/>
      <c r="B3575" s="1383" t="s">
        <v>642</v>
      </c>
      <c r="C3575" s="1384"/>
      <c r="D3575" s="1384"/>
      <c r="E3575" s="1384"/>
      <c r="F3575" s="1384"/>
      <c r="G3575" s="1384"/>
      <c r="H3575" s="1384"/>
      <c r="I3575" s="1385"/>
      <c r="J3575" s="429" t="s">
        <v>541</v>
      </c>
      <c r="K3575" s="430"/>
      <c r="L3575" s="430"/>
      <c r="M3575" s="430"/>
      <c r="N3575" s="430"/>
      <c r="O3575" s="430"/>
      <c r="P3575" s="430"/>
      <c r="Q3575" s="430"/>
      <c r="R3575" s="430"/>
      <c r="S3575" s="430"/>
      <c r="T3575" s="430"/>
      <c r="U3575" s="430"/>
      <c r="V3575" s="430"/>
      <c r="W3575" s="430"/>
      <c r="X3575" s="430"/>
      <c r="Y3575" s="430"/>
      <c r="Z3575" s="430"/>
      <c r="AA3575" s="430"/>
      <c r="AB3575" s="430"/>
      <c r="AC3575" s="430"/>
      <c r="AD3575" s="430"/>
      <c r="AE3575" s="430"/>
      <c r="AF3575" s="430"/>
      <c r="AG3575" s="430"/>
      <c r="AH3575" s="430"/>
      <c r="AI3575" s="430"/>
      <c r="AJ3575" s="430"/>
      <c r="AK3575" s="430"/>
      <c r="AL3575" s="430"/>
      <c r="AM3575" s="430"/>
      <c r="AN3575" s="430"/>
      <c r="AO3575" s="430"/>
      <c r="AP3575" s="430"/>
      <c r="AQ3575" s="430"/>
      <c r="AR3575" s="430"/>
      <c r="AS3575" s="430"/>
      <c r="AT3575" s="430"/>
      <c r="AU3575" s="430"/>
      <c r="AV3575" s="430"/>
      <c r="AW3575" s="430"/>
      <c r="AX3575" s="430"/>
      <c r="AY3575" s="430"/>
      <c r="AZ3575" s="430"/>
      <c r="BA3575" s="430"/>
      <c r="BB3575" s="430"/>
      <c r="BC3575" s="430"/>
      <c r="BD3575" s="430"/>
      <c r="BE3575" s="430"/>
      <c r="BF3575" s="430"/>
      <c r="BG3575" s="430"/>
      <c r="BH3575" s="431"/>
      <c r="BI3575" s="363"/>
      <c r="BJ3575" s="386"/>
      <c r="BK3575" s="364"/>
      <c r="BL3575" s="364"/>
      <c r="BM3575" s="364"/>
      <c r="BN3575" s="364"/>
      <c r="BO3575" s="364"/>
      <c r="BP3575" s="475"/>
      <c r="BQ3575" s="475"/>
      <c r="BR3575" s="420"/>
      <c r="BS3575" s="421"/>
      <c r="BT3575" s="421"/>
      <c r="BU3575" s="421"/>
      <c r="BV3575" s="421"/>
      <c r="BW3575" s="421"/>
      <c r="BX3575" s="421"/>
      <c r="BY3575" s="421"/>
      <c r="BZ3575" s="422"/>
      <c r="CA3575" s="270"/>
      <c r="CB3575" s="3" t="str">
        <f t="shared" si="644"/>
        <v>Riadok bude skrytý.</v>
      </c>
      <c r="CC3575" s="271" t="s">
        <v>832</v>
      </c>
      <c r="CW3575" s="32">
        <f t="shared" si="643"/>
        <v>1</v>
      </c>
      <c r="CZ3575" s="30">
        <f t="shared" ref="CZ3575:CZ3650" si="645">IF(CC3575="",1,IF(CC3575="Chcem skryť riadok.",0,1))</f>
        <v>1</v>
      </c>
      <c r="DA3575" s="30">
        <f t="shared" si="642"/>
        <v>1</v>
      </c>
      <c r="DB3575" s="2">
        <f t="shared" si="641"/>
        <v>0</v>
      </c>
      <c r="DS3575" s="130">
        <f>SI!BY3575</f>
        <v>995</v>
      </c>
      <c r="DZ3575" s="131">
        <f>SI!BZ3575</f>
        <v>0</v>
      </c>
    </row>
    <row r="3576" spans="1:130" ht="37.549999999999997" hidden="1" customHeight="1" x14ac:dyDescent="0.25">
      <c r="A3576" s="141"/>
      <c r="B3576" s="1383" t="s">
        <v>643</v>
      </c>
      <c r="C3576" s="1384"/>
      <c r="D3576" s="1384"/>
      <c r="E3576" s="1384"/>
      <c r="F3576" s="1384"/>
      <c r="G3576" s="1384"/>
      <c r="H3576" s="1384"/>
      <c r="I3576" s="1385"/>
      <c r="J3576" s="429" t="s">
        <v>542</v>
      </c>
      <c r="K3576" s="430"/>
      <c r="L3576" s="430"/>
      <c r="M3576" s="430"/>
      <c r="N3576" s="430"/>
      <c r="O3576" s="430"/>
      <c r="P3576" s="430"/>
      <c r="Q3576" s="430"/>
      <c r="R3576" s="430"/>
      <c r="S3576" s="430"/>
      <c r="T3576" s="430"/>
      <c r="U3576" s="430"/>
      <c r="V3576" s="430"/>
      <c r="W3576" s="430"/>
      <c r="X3576" s="430"/>
      <c r="Y3576" s="430"/>
      <c r="Z3576" s="430"/>
      <c r="AA3576" s="430"/>
      <c r="AB3576" s="430"/>
      <c r="AC3576" s="430"/>
      <c r="AD3576" s="430"/>
      <c r="AE3576" s="430"/>
      <c r="AF3576" s="430"/>
      <c r="AG3576" s="430"/>
      <c r="AH3576" s="430"/>
      <c r="AI3576" s="430"/>
      <c r="AJ3576" s="430"/>
      <c r="AK3576" s="430"/>
      <c r="AL3576" s="430"/>
      <c r="AM3576" s="430"/>
      <c r="AN3576" s="430"/>
      <c r="AO3576" s="430"/>
      <c r="AP3576" s="430"/>
      <c r="AQ3576" s="430"/>
      <c r="AR3576" s="430"/>
      <c r="AS3576" s="430"/>
      <c r="AT3576" s="430"/>
      <c r="AU3576" s="430"/>
      <c r="AV3576" s="430"/>
      <c r="AW3576" s="430"/>
      <c r="AX3576" s="430"/>
      <c r="AY3576" s="430"/>
      <c r="AZ3576" s="430"/>
      <c r="BA3576" s="430"/>
      <c r="BB3576" s="430"/>
      <c r="BC3576" s="430"/>
      <c r="BD3576" s="430"/>
      <c r="BE3576" s="430"/>
      <c r="BF3576" s="430"/>
      <c r="BG3576" s="430"/>
      <c r="BH3576" s="431"/>
      <c r="BI3576" s="363"/>
      <c r="BJ3576" s="386"/>
      <c r="BK3576" s="364"/>
      <c r="BL3576" s="364"/>
      <c r="BM3576" s="364"/>
      <c r="BN3576" s="364"/>
      <c r="BO3576" s="364"/>
      <c r="BP3576" s="475"/>
      <c r="BQ3576" s="475"/>
      <c r="BR3576" s="420"/>
      <c r="BS3576" s="421"/>
      <c r="BT3576" s="421"/>
      <c r="BU3576" s="421"/>
      <c r="BV3576" s="421"/>
      <c r="BW3576" s="421"/>
      <c r="BX3576" s="421"/>
      <c r="BY3576" s="421"/>
      <c r="BZ3576" s="422"/>
      <c r="CA3576" s="270"/>
      <c r="CB3576" s="3" t="str">
        <f t="shared" si="644"/>
        <v>Riadok bude skrytý.</v>
      </c>
      <c r="CC3576" s="271" t="s">
        <v>832</v>
      </c>
      <c r="CW3576" s="32">
        <f t="shared" si="643"/>
        <v>1</v>
      </c>
      <c r="CZ3576" s="30">
        <f t="shared" si="645"/>
        <v>1</v>
      </c>
      <c r="DA3576" s="30">
        <f t="shared" si="642"/>
        <v>1</v>
      </c>
      <c r="DB3576" s="2">
        <f t="shared" si="641"/>
        <v>0</v>
      </c>
      <c r="DS3576" s="130">
        <f>SI!BY3576</f>
        <v>188</v>
      </c>
      <c r="DZ3576" s="131">
        <f>SI!BZ3576</f>
        <v>0</v>
      </c>
    </row>
    <row r="3577" spans="1:130" ht="37.549999999999997" hidden="1" customHeight="1" x14ac:dyDescent="0.25">
      <c r="A3577" s="141"/>
      <c r="B3577" s="1383" t="s">
        <v>645</v>
      </c>
      <c r="C3577" s="1384"/>
      <c r="D3577" s="1384"/>
      <c r="E3577" s="1384"/>
      <c r="F3577" s="1384"/>
      <c r="G3577" s="1384"/>
      <c r="H3577" s="1384"/>
      <c r="I3577" s="1385"/>
      <c r="J3577" s="429" t="s">
        <v>644</v>
      </c>
      <c r="K3577" s="430"/>
      <c r="L3577" s="430"/>
      <c r="M3577" s="430"/>
      <c r="N3577" s="430"/>
      <c r="O3577" s="430"/>
      <c r="P3577" s="430"/>
      <c r="Q3577" s="430"/>
      <c r="R3577" s="430"/>
      <c r="S3577" s="430"/>
      <c r="T3577" s="430"/>
      <c r="U3577" s="430"/>
      <c r="V3577" s="430"/>
      <c r="W3577" s="430"/>
      <c r="X3577" s="430"/>
      <c r="Y3577" s="430"/>
      <c r="Z3577" s="430"/>
      <c r="AA3577" s="430"/>
      <c r="AB3577" s="430"/>
      <c r="AC3577" s="430"/>
      <c r="AD3577" s="430"/>
      <c r="AE3577" s="430"/>
      <c r="AF3577" s="430"/>
      <c r="AG3577" s="430"/>
      <c r="AH3577" s="430"/>
      <c r="AI3577" s="430"/>
      <c r="AJ3577" s="430"/>
      <c r="AK3577" s="430"/>
      <c r="AL3577" s="430"/>
      <c r="AM3577" s="430"/>
      <c r="AN3577" s="430"/>
      <c r="AO3577" s="430"/>
      <c r="AP3577" s="430"/>
      <c r="AQ3577" s="430"/>
      <c r="AR3577" s="430"/>
      <c r="AS3577" s="430"/>
      <c r="AT3577" s="430"/>
      <c r="AU3577" s="430"/>
      <c r="AV3577" s="430"/>
      <c r="AW3577" s="430"/>
      <c r="AX3577" s="430"/>
      <c r="AY3577" s="430"/>
      <c r="AZ3577" s="430"/>
      <c r="BA3577" s="430"/>
      <c r="BB3577" s="430"/>
      <c r="BC3577" s="430"/>
      <c r="BD3577" s="430"/>
      <c r="BE3577" s="430"/>
      <c r="BF3577" s="430"/>
      <c r="BG3577" s="430"/>
      <c r="BH3577" s="431"/>
      <c r="BI3577" s="363"/>
      <c r="BJ3577" s="386"/>
      <c r="BK3577" s="364"/>
      <c r="BL3577" s="364"/>
      <c r="BM3577" s="364"/>
      <c r="BN3577" s="364"/>
      <c r="BO3577" s="364"/>
      <c r="BP3577" s="475"/>
      <c r="BQ3577" s="475"/>
      <c r="BR3577" s="420"/>
      <c r="BS3577" s="421"/>
      <c r="BT3577" s="421"/>
      <c r="BU3577" s="421"/>
      <c r="BV3577" s="421"/>
      <c r="BW3577" s="421"/>
      <c r="BX3577" s="421"/>
      <c r="BY3577" s="421"/>
      <c r="BZ3577" s="422"/>
      <c r="CA3577" s="270"/>
      <c r="CB3577" s="3" t="str">
        <f t="shared" si="644"/>
        <v>Riadok bude skrytý.</v>
      </c>
      <c r="CC3577" s="271" t="s">
        <v>832</v>
      </c>
      <c r="CW3577" s="32">
        <f t="shared" si="643"/>
        <v>1</v>
      </c>
      <c r="CZ3577" s="30">
        <f t="shared" si="645"/>
        <v>1</v>
      </c>
      <c r="DA3577" s="30">
        <f t="shared" si="642"/>
        <v>1</v>
      </c>
      <c r="DB3577" s="2">
        <f t="shared" si="641"/>
        <v>0</v>
      </c>
      <c r="DS3577" s="130">
        <f>SI!BY3577</f>
        <v>458</v>
      </c>
      <c r="DZ3577" s="131">
        <f>SI!BZ3577</f>
        <v>0</v>
      </c>
    </row>
    <row r="3578" spans="1:130" ht="37.549999999999997" hidden="1" customHeight="1" x14ac:dyDescent="0.25">
      <c r="A3578" s="141"/>
      <c r="B3578" s="1383" t="s">
        <v>646</v>
      </c>
      <c r="C3578" s="1384"/>
      <c r="D3578" s="1384"/>
      <c r="E3578" s="1384"/>
      <c r="F3578" s="1384"/>
      <c r="G3578" s="1384"/>
      <c r="H3578" s="1384"/>
      <c r="I3578" s="1385"/>
      <c r="J3578" s="429" t="s">
        <v>544</v>
      </c>
      <c r="K3578" s="430"/>
      <c r="L3578" s="430"/>
      <c r="M3578" s="430"/>
      <c r="N3578" s="430"/>
      <c r="O3578" s="430"/>
      <c r="P3578" s="430"/>
      <c r="Q3578" s="430"/>
      <c r="R3578" s="430"/>
      <c r="S3578" s="430"/>
      <c r="T3578" s="430"/>
      <c r="U3578" s="430"/>
      <c r="V3578" s="430"/>
      <c r="W3578" s="430"/>
      <c r="X3578" s="430"/>
      <c r="Y3578" s="430"/>
      <c r="Z3578" s="430"/>
      <c r="AA3578" s="430"/>
      <c r="AB3578" s="430"/>
      <c r="AC3578" s="430"/>
      <c r="AD3578" s="430"/>
      <c r="AE3578" s="430"/>
      <c r="AF3578" s="430"/>
      <c r="AG3578" s="430"/>
      <c r="AH3578" s="430"/>
      <c r="AI3578" s="430"/>
      <c r="AJ3578" s="430"/>
      <c r="AK3578" s="430"/>
      <c r="AL3578" s="430"/>
      <c r="AM3578" s="430"/>
      <c r="AN3578" s="430"/>
      <c r="AO3578" s="430"/>
      <c r="AP3578" s="430"/>
      <c r="AQ3578" s="430"/>
      <c r="AR3578" s="430"/>
      <c r="AS3578" s="430"/>
      <c r="AT3578" s="430"/>
      <c r="AU3578" s="430"/>
      <c r="AV3578" s="430"/>
      <c r="AW3578" s="430"/>
      <c r="AX3578" s="430"/>
      <c r="AY3578" s="430"/>
      <c r="AZ3578" s="430"/>
      <c r="BA3578" s="430"/>
      <c r="BB3578" s="430"/>
      <c r="BC3578" s="430"/>
      <c r="BD3578" s="430"/>
      <c r="BE3578" s="430"/>
      <c r="BF3578" s="430"/>
      <c r="BG3578" s="430"/>
      <c r="BH3578" s="431"/>
      <c r="BI3578" s="363"/>
      <c r="BJ3578" s="386"/>
      <c r="BK3578" s="364"/>
      <c r="BL3578" s="364"/>
      <c r="BM3578" s="364"/>
      <c r="BN3578" s="364"/>
      <c r="BO3578" s="364"/>
      <c r="BP3578" s="475"/>
      <c r="BQ3578" s="475"/>
      <c r="BR3578" s="420"/>
      <c r="BS3578" s="421"/>
      <c r="BT3578" s="421"/>
      <c r="BU3578" s="421"/>
      <c r="BV3578" s="421"/>
      <c r="BW3578" s="421"/>
      <c r="BX3578" s="421"/>
      <c r="BY3578" s="421"/>
      <c r="BZ3578" s="422"/>
      <c r="CA3578" s="270"/>
      <c r="CB3578" s="3" t="str">
        <f t="shared" si="644"/>
        <v>Riadok bude skrytý.</v>
      </c>
      <c r="CC3578" s="271" t="s">
        <v>832</v>
      </c>
      <c r="CW3578" s="32">
        <f t="shared" si="643"/>
        <v>1</v>
      </c>
      <c r="CZ3578" s="30">
        <f t="shared" si="645"/>
        <v>1</v>
      </c>
      <c r="DA3578" s="30">
        <f t="shared" si="642"/>
        <v>1</v>
      </c>
      <c r="DB3578" s="2">
        <f t="shared" si="641"/>
        <v>0</v>
      </c>
      <c r="DS3578" s="130">
        <f>SI!BY3578</f>
        <v>125</v>
      </c>
      <c r="DZ3578" s="131">
        <f>SI!BZ3578</f>
        <v>0</v>
      </c>
    </row>
    <row r="3579" spans="1:130" ht="24.8" hidden="1" customHeight="1" x14ac:dyDescent="0.25">
      <c r="A3579" s="141"/>
      <c r="B3579" s="1383" t="s">
        <v>647</v>
      </c>
      <c r="C3579" s="1384"/>
      <c r="D3579" s="1384"/>
      <c r="E3579" s="1384"/>
      <c r="F3579" s="1384"/>
      <c r="G3579" s="1384"/>
      <c r="H3579" s="1384"/>
      <c r="I3579" s="1385"/>
      <c r="J3579" s="429" t="s">
        <v>545</v>
      </c>
      <c r="K3579" s="430"/>
      <c r="L3579" s="430"/>
      <c r="M3579" s="430"/>
      <c r="N3579" s="430"/>
      <c r="O3579" s="430"/>
      <c r="P3579" s="430"/>
      <c r="Q3579" s="430"/>
      <c r="R3579" s="430"/>
      <c r="S3579" s="430"/>
      <c r="T3579" s="430"/>
      <c r="U3579" s="430"/>
      <c r="V3579" s="430"/>
      <c r="W3579" s="430"/>
      <c r="X3579" s="430"/>
      <c r="Y3579" s="430"/>
      <c r="Z3579" s="430"/>
      <c r="AA3579" s="430"/>
      <c r="AB3579" s="430"/>
      <c r="AC3579" s="430"/>
      <c r="AD3579" s="430"/>
      <c r="AE3579" s="430"/>
      <c r="AF3579" s="430"/>
      <c r="AG3579" s="430"/>
      <c r="AH3579" s="430"/>
      <c r="AI3579" s="430"/>
      <c r="AJ3579" s="430"/>
      <c r="AK3579" s="430"/>
      <c r="AL3579" s="430"/>
      <c r="AM3579" s="430"/>
      <c r="AN3579" s="430"/>
      <c r="AO3579" s="430"/>
      <c r="AP3579" s="430"/>
      <c r="AQ3579" s="430"/>
      <c r="AR3579" s="430"/>
      <c r="AS3579" s="430"/>
      <c r="AT3579" s="430"/>
      <c r="AU3579" s="430"/>
      <c r="AV3579" s="430"/>
      <c r="AW3579" s="430"/>
      <c r="AX3579" s="430"/>
      <c r="AY3579" s="430"/>
      <c r="AZ3579" s="430"/>
      <c r="BA3579" s="430"/>
      <c r="BB3579" s="430"/>
      <c r="BC3579" s="430"/>
      <c r="BD3579" s="430"/>
      <c r="BE3579" s="430"/>
      <c r="BF3579" s="430"/>
      <c r="BG3579" s="430"/>
      <c r="BH3579" s="431"/>
      <c r="BI3579" s="363"/>
      <c r="BJ3579" s="386"/>
      <c r="BK3579" s="364"/>
      <c r="BL3579" s="364"/>
      <c r="BM3579" s="364"/>
      <c r="BN3579" s="364"/>
      <c r="BO3579" s="364"/>
      <c r="BP3579" s="475"/>
      <c r="BQ3579" s="475"/>
      <c r="BR3579" s="420"/>
      <c r="BS3579" s="421"/>
      <c r="BT3579" s="421"/>
      <c r="BU3579" s="421"/>
      <c r="BV3579" s="421"/>
      <c r="BW3579" s="421"/>
      <c r="BX3579" s="421"/>
      <c r="BY3579" s="421"/>
      <c r="BZ3579" s="422"/>
      <c r="CA3579" s="270"/>
      <c r="CB3579" s="3" t="str">
        <f t="shared" si="644"/>
        <v>Riadok bude skrytý.</v>
      </c>
      <c r="CC3579" s="271" t="s">
        <v>832</v>
      </c>
      <c r="CW3579" s="32">
        <f t="shared" si="643"/>
        <v>1</v>
      </c>
      <c r="CZ3579" s="30">
        <f t="shared" si="645"/>
        <v>1</v>
      </c>
      <c r="DA3579" s="30">
        <f t="shared" si="642"/>
        <v>1</v>
      </c>
      <c r="DB3579" s="2">
        <f t="shared" si="641"/>
        <v>0</v>
      </c>
      <c r="DS3579" s="130">
        <f>SI!BY3579</f>
        <v>112</v>
      </c>
      <c r="DZ3579" s="131">
        <f>SI!BZ3579</f>
        <v>0</v>
      </c>
    </row>
    <row r="3580" spans="1:130" ht="24.8" hidden="1" customHeight="1" x14ac:dyDescent="0.25">
      <c r="A3580" s="141"/>
      <c r="B3580" s="1383" t="s">
        <v>478</v>
      </c>
      <c r="C3580" s="1384"/>
      <c r="D3580" s="1384"/>
      <c r="E3580" s="1384"/>
      <c r="F3580" s="1384"/>
      <c r="G3580" s="1384"/>
      <c r="H3580" s="1384"/>
      <c r="I3580" s="1385"/>
      <c r="J3580" s="429" t="s">
        <v>546</v>
      </c>
      <c r="K3580" s="430"/>
      <c r="L3580" s="430"/>
      <c r="M3580" s="430"/>
      <c r="N3580" s="430"/>
      <c r="O3580" s="430"/>
      <c r="P3580" s="430"/>
      <c r="Q3580" s="430"/>
      <c r="R3580" s="430"/>
      <c r="S3580" s="430"/>
      <c r="T3580" s="430"/>
      <c r="U3580" s="430"/>
      <c r="V3580" s="430"/>
      <c r="W3580" s="430"/>
      <c r="X3580" s="430"/>
      <c r="Y3580" s="430"/>
      <c r="Z3580" s="430"/>
      <c r="AA3580" s="430"/>
      <c r="AB3580" s="430"/>
      <c r="AC3580" s="430"/>
      <c r="AD3580" s="430"/>
      <c r="AE3580" s="430"/>
      <c r="AF3580" s="430"/>
      <c r="AG3580" s="430"/>
      <c r="AH3580" s="430"/>
      <c r="AI3580" s="430"/>
      <c r="AJ3580" s="430"/>
      <c r="AK3580" s="430"/>
      <c r="AL3580" s="430"/>
      <c r="AM3580" s="430"/>
      <c r="AN3580" s="430"/>
      <c r="AO3580" s="430"/>
      <c r="AP3580" s="430"/>
      <c r="AQ3580" s="430"/>
      <c r="AR3580" s="430"/>
      <c r="AS3580" s="430"/>
      <c r="AT3580" s="430"/>
      <c r="AU3580" s="430"/>
      <c r="AV3580" s="430"/>
      <c r="AW3580" s="430"/>
      <c r="AX3580" s="430"/>
      <c r="AY3580" s="430"/>
      <c r="AZ3580" s="430"/>
      <c r="BA3580" s="430"/>
      <c r="BB3580" s="430"/>
      <c r="BC3580" s="430"/>
      <c r="BD3580" s="430"/>
      <c r="BE3580" s="430"/>
      <c r="BF3580" s="430"/>
      <c r="BG3580" s="430"/>
      <c r="BH3580" s="431"/>
      <c r="BI3580" s="363"/>
      <c r="BJ3580" s="386"/>
      <c r="BK3580" s="364"/>
      <c r="BL3580" s="364"/>
      <c r="BM3580" s="364"/>
      <c r="BN3580" s="364"/>
      <c r="BO3580" s="364"/>
      <c r="BP3580" s="475"/>
      <c r="BQ3580" s="475"/>
      <c r="BR3580" s="420"/>
      <c r="BS3580" s="421"/>
      <c r="BT3580" s="421"/>
      <c r="BU3580" s="421"/>
      <c r="BV3580" s="421"/>
      <c r="BW3580" s="421"/>
      <c r="BX3580" s="421"/>
      <c r="BY3580" s="421"/>
      <c r="BZ3580" s="422"/>
      <c r="CA3580" s="270"/>
      <c r="CB3580" s="3" t="str">
        <f t="shared" si="644"/>
        <v>Riadok bude skrytý.</v>
      </c>
      <c r="CC3580" s="271" t="s">
        <v>832</v>
      </c>
      <c r="CW3580" s="32">
        <f t="shared" si="643"/>
        <v>1</v>
      </c>
      <c r="CZ3580" s="30">
        <f t="shared" si="645"/>
        <v>1</v>
      </c>
      <c r="DA3580" s="30">
        <f t="shared" si="642"/>
        <v>1</v>
      </c>
      <c r="DB3580" s="2">
        <f t="shared" si="641"/>
        <v>0</v>
      </c>
      <c r="DS3580" s="130">
        <f>SI!BY3580</f>
        <v>114</v>
      </c>
      <c r="DZ3580" s="131">
        <f>SI!BZ3580</f>
        <v>0</v>
      </c>
    </row>
    <row r="3581" spans="1:130" ht="37.549999999999997" hidden="1" customHeight="1" x14ac:dyDescent="0.25">
      <c r="A3581" s="141"/>
      <c r="B3581" s="1383" t="s">
        <v>649</v>
      </c>
      <c r="C3581" s="1384"/>
      <c r="D3581" s="1384"/>
      <c r="E3581" s="1384"/>
      <c r="F3581" s="1384"/>
      <c r="G3581" s="1384"/>
      <c r="H3581" s="1384"/>
      <c r="I3581" s="1385"/>
      <c r="J3581" s="429" t="s">
        <v>648</v>
      </c>
      <c r="K3581" s="430"/>
      <c r="L3581" s="430"/>
      <c r="M3581" s="430"/>
      <c r="N3581" s="430"/>
      <c r="O3581" s="430"/>
      <c r="P3581" s="430"/>
      <c r="Q3581" s="430"/>
      <c r="R3581" s="430"/>
      <c r="S3581" s="430"/>
      <c r="T3581" s="430"/>
      <c r="U3581" s="430"/>
      <c r="V3581" s="430"/>
      <c r="W3581" s="430"/>
      <c r="X3581" s="430"/>
      <c r="Y3581" s="430"/>
      <c r="Z3581" s="430"/>
      <c r="AA3581" s="430"/>
      <c r="AB3581" s="430"/>
      <c r="AC3581" s="430"/>
      <c r="AD3581" s="430"/>
      <c r="AE3581" s="430"/>
      <c r="AF3581" s="430"/>
      <c r="AG3581" s="430"/>
      <c r="AH3581" s="430"/>
      <c r="AI3581" s="430"/>
      <c r="AJ3581" s="430"/>
      <c r="AK3581" s="430"/>
      <c r="AL3581" s="430"/>
      <c r="AM3581" s="430"/>
      <c r="AN3581" s="430"/>
      <c r="AO3581" s="430"/>
      <c r="AP3581" s="430"/>
      <c r="AQ3581" s="430"/>
      <c r="AR3581" s="430"/>
      <c r="AS3581" s="430"/>
      <c r="AT3581" s="430"/>
      <c r="AU3581" s="430"/>
      <c r="AV3581" s="430"/>
      <c r="AW3581" s="430"/>
      <c r="AX3581" s="430"/>
      <c r="AY3581" s="430"/>
      <c r="AZ3581" s="430"/>
      <c r="BA3581" s="430"/>
      <c r="BB3581" s="430"/>
      <c r="BC3581" s="430"/>
      <c r="BD3581" s="430"/>
      <c r="BE3581" s="430"/>
      <c r="BF3581" s="430"/>
      <c r="BG3581" s="430"/>
      <c r="BH3581" s="431"/>
      <c r="BI3581" s="363"/>
      <c r="BJ3581" s="386"/>
      <c r="BK3581" s="364"/>
      <c r="BL3581" s="364"/>
      <c r="BM3581" s="364"/>
      <c r="BN3581" s="364"/>
      <c r="BO3581" s="364"/>
      <c r="BP3581" s="475"/>
      <c r="BQ3581" s="475"/>
      <c r="BR3581" s="420"/>
      <c r="BS3581" s="421"/>
      <c r="BT3581" s="421"/>
      <c r="BU3581" s="421"/>
      <c r="BV3581" s="421"/>
      <c r="BW3581" s="421"/>
      <c r="BX3581" s="421"/>
      <c r="BY3581" s="421"/>
      <c r="BZ3581" s="422"/>
      <c r="CA3581" s="270"/>
      <c r="CB3581" s="3" t="str">
        <f t="shared" si="644"/>
        <v>Riadok bude skrytý.</v>
      </c>
      <c r="CC3581" s="271" t="s">
        <v>832</v>
      </c>
      <c r="CW3581" s="32">
        <f t="shared" si="643"/>
        <v>1</v>
      </c>
      <c r="CZ3581" s="30">
        <f t="shared" si="645"/>
        <v>1</v>
      </c>
      <c r="DA3581" s="30">
        <f t="shared" si="642"/>
        <v>1</v>
      </c>
      <c r="DB3581" s="2">
        <f t="shared" si="641"/>
        <v>0</v>
      </c>
      <c r="DS3581" s="130">
        <f>SI!BY3581</f>
        <v>390</v>
      </c>
      <c r="DZ3581" s="131">
        <f>SI!BZ3581</f>
        <v>0</v>
      </c>
    </row>
    <row r="3582" spans="1:130" ht="37.549999999999997" hidden="1" customHeight="1" x14ac:dyDescent="0.25">
      <c r="A3582" s="141"/>
      <c r="B3582" s="1383" t="s">
        <v>651</v>
      </c>
      <c r="C3582" s="1384"/>
      <c r="D3582" s="1384"/>
      <c r="E3582" s="1384"/>
      <c r="F3582" s="1384"/>
      <c r="G3582" s="1384"/>
      <c r="H3582" s="1384"/>
      <c r="I3582" s="1385"/>
      <c r="J3582" s="429" t="s">
        <v>650</v>
      </c>
      <c r="K3582" s="430"/>
      <c r="L3582" s="430"/>
      <c r="M3582" s="430"/>
      <c r="N3582" s="430"/>
      <c r="O3582" s="430"/>
      <c r="P3582" s="430"/>
      <c r="Q3582" s="430"/>
      <c r="R3582" s="430"/>
      <c r="S3582" s="430"/>
      <c r="T3582" s="430"/>
      <c r="U3582" s="430"/>
      <c r="V3582" s="430"/>
      <c r="W3582" s="430"/>
      <c r="X3582" s="430"/>
      <c r="Y3582" s="430"/>
      <c r="Z3582" s="430"/>
      <c r="AA3582" s="430"/>
      <c r="AB3582" s="430"/>
      <c r="AC3582" s="430"/>
      <c r="AD3582" s="430"/>
      <c r="AE3582" s="430"/>
      <c r="AF3582" s="430"/>
      <c r="AG3582" s="430"/>
      <c r="AH3582" s="430"/>
      <c r="AI3582" s="430"/>
      <c r="AJ3582" s="430"/>
      <c r="AK3582" s="430"/>
      <c r="AL3582" s="430"/>
      <c r="AM3582" s="430"/>
      <c r="AN3582" s="430"/>
      <c r="AO3582" s="430"/>
      <c r="AP3582" s="430"/>
      <c r="AQ3582" s="430"/>
      <c r="AR3582" s="430"/>
      <c r="AS3582" s="430"/>
      <c r="AT3582" s="430"/>
      <c r="AU3582" s="430"/>
      <c r="AV3582" s="430"/>
      <c r="AW3582" s="430"/>
      <c r="AX3582" s="430"/>
      <c r="AY3582" s="430"/>
      <c r="AZ3582" s="430"/>
      <c r="BA3582" s="430"/>
      <c r="BB3582" s="430"/>
      <c r="BC3582" s="430"/>
      <c r="BD3582" s="430"/>
      <c r="BE3582" s="430"/>
      <c r="BF3582" s="430"/>
      <c r="BG3582" s="430"/>
      <c r="BH3582" s="431"/>
      <c r="BI3582" s="363"/>
      <c r="BJ3582" s="386"/>
      <c r="BK3582" s="364"/>
      <c r="BL3582" s="364"/>
      <c r="BM3582" s="364"/>
      <c r="BN3582" s="364"/>
      <c r="BO3582" s="364"/>
      <c r="BP3582" s="475"/>
      <c r="BQ3582" s="475"/>
      <c r="BR3582" s="420"/>
      <c r="BS3582" s="421"/>
      <c r="BT3582" s="421"/>
      <c r="BU3582" s="421"/>
      <c r="BV3582" s="421"/>
      <c r="BW3582" s="421"/>
      <c r="BX3582" s="421"/>
      <c r="BY3582" s="421"/>
      <c r="BZ3582" s="422"/>
      <c r="CA3582" s="270"/>
      <c r="CB3582" s="3" t="str">
        <f t="shared" si="644"/>
        <v>Riadok bude skrytý.</v>
      </c>
      <c r="CC3582" s="271" t="s">
        <v>832</v>
      </c>
      <c r="CW3582" s="32">
        <f t="shared" si="643"/>
        <v>1</v>
      </c>
      <c r="CZ3582" s="30">
        <f t="shared" si="645"/>
        <v>1</v>
      </c>
      <c r="DA3582" s="30">
        <f t="shared" si="642"/>
        <v>1</v>
      </c>
      <c r="DB3582" s="2">
        <f t="shared" si="641"/>
        <v>0</v>
      </c>
      <c r="DS3582" s="130">
        <f>SI!BY3582</f>
        <v>131</v>
      </c>
      <c r="DZ3582" s="131">
        <f>SI!BZ3582</f>
        <v>0</v>
      </c>
    </row>
    <row r="3583" spans="1:130" ht="24.8" hidden="1" customHeight="1" x14ac:dyDescent="0.25">
      <c r="A3583" s="141"/>
      <c r="B3583" s="1383" t="s">
        <v>481</v>
      </c>
      <c r="C3583" s="1384"/>
      <c r="D3583" s="1384"/>
      <c r="E3583" s="1384"/>
      <c r="F3583" s="1384"/>
      <c r="G3583" s="1384"/>
      <c r="H3583" s="1384"/>
      <c r="I3583" s="1385"/>
      <c r="J3583" s="429" t="s">
        <v>652</v>
      </c>
      <c r="K3583" s="430"/>
      <c r="L3583" s="430"/>
      <c r="M3583" s="430"/>
      <c r="N3583" s="430"/>
      <c r="O3583" s="430"/>
      <c r="P3583" s="430"/>
      <c r="Q3583" s="430"/>
      <c r="R3583" s="430"/>
      <c r="S3583" s="430"/>
      <c r="T3583" s="430"/>
      <c r="U3583" s="430"/>
      <c r="V3583" s="430"/>
      <c r="W3583" s="430"/>
      <c r="X3583" s="430"/>
      <c r="Y3583" s="430"/>
      <c r="Z3583" s="430"/>
      <c r="AA3583" s="430"/>
      <c r="AB3583" s="430"/>
      <c r="AC3583" s="430"/>
      <c r="AD3583" s="430"/>
      <c r="AE3583" s="430"/>
      <c r="AF3583" s="430"/>
      <c r="AG3583" s="430"/>
      <c r="AH3583" s="430"/>
      <c r="AI3583" s="430"/>
      <c r="AJ3583" s="430"/>
      <c r="AK3583" s="430"/>
      <c r="AL3583" s="430"/>
      <c r="AM3583" s="430"/>
      <c r="AN3583" s="430"/>
      <c r="AO3583" s="430"/>
      <c r="AP3583" s="430"/>
      <c r="AQ3583" s="430"/>
      <c r="AR3583" s="430"/>
      <c r="AS3583" s="430"/>
      <c r="AT3583" s="430"/>
      <c r="AU3583" s="430"/>
      <c r="AV3583" s="430"/>
      <c r="AW3583" s="430"/>
      <c r="AX3583" s="430"/>
      <c r="AY3583" s="430"/>
      <c r="AZ3583" s="430"/>
      <c r="BA3583" s="430"/>
      <c r="BB3583" s="430"/>
      <c r="BC3583" s="430"/>
      <c r="BD3583" s="430"/>
      <c r="BE3583" s="430"/>
      <c r="BF3583" s="430"/>
      <c r="BG3583" s="430"/>
      <c r="BH3583" s="431"/>
      <c r="BI3583" s="363"/>
      <c r="BJ3583" s="386"/>
      <c r="BK3583" s="364"/>
      <c r="BL3583" s="364"/>
      <c r="BM3583" s="364"/>
      <c r="BN3583" s="364"/>
      <c r="BO3583" s="364"/>
      <c r="BP3583" s="475"/>
      <c r="BQ3583" s="475"/>
      <c r="BR3583" s="420"/>
      <c r="BS3583" s="421"/>
      <c r="BT3583" s="421"/>
      <c r="BU3583" s="421"/>
      <c r="BV3583" s="421"/>
      <c r="BW3583" s="421"/>
      <c r="BX3583" s="421"/>
      <c r="BY3583" s="421"/>
      <c r="BZ3583" s="422"/>
      <c r="CA3583" s="270"/>
      <c r="CB3583" s="3" t="str">
        <f t="shared" si="644"/>
        <v>Riadok bude skrytý.</v>
      </c>
      <c r="CC3583" s="271" t="s">
        <v>832</v>
      </c>
      <c r="CW3583" s="32">
        <f t="shared" si="643"/>
        <v>1</v>
      </c>
      <c r="CZ3583" s="30">
        <f t="shared" si="645"/>
        <v>1</v>
      </c>
      <c r="DA3583" s="30">
        <f t="shared" si="642"/>
        <v>1</v>
      </c>
      <c r="DB3583" s="2">
        <f t="shared" si="641"/>
        <v>0</v>
      </c>
      <c r="DS3583" s="130">
        <f>SI!BY3583</f>
        <v>331</v>
      </c>
      <c r="DZ3583" s="131">
        <f>SI!BZ3583</f>
        <v>0</v>
      </c>
    </row>
    <row r="3584" spans="1:130" ht="24.8" hidden="1" customHeight="1" x14ac:dyDescent="0.25">
      <c r="A3584" s="141"/>
      <c r="B3584" s="1383" t="s">
        <v>653</v>
      </c>
      <c r="C3584" s="1384"/>
      <c r="D3584" s="1384"/>
      <c r="E3584" s="1384"/>
      <c r="F3584" s="1384"/>
      <c r="G3584" s="1384"/>
      <c r="H3584" s="1384"/>
      <c r="I3584" s="1385"/>
      <c r="J3584" s="429" t="s">
        <v>1043</v>
      </c>
      <c r="K3584" s="430"/>
      <c r="L3584" s="430"/>
      <c r="M3584" s="430"/>
      <c r="N3584" s="430"/>
      <c r="O3584" s="430"/>
      <c r="P3584" s="430"/>
      <c r="Q3584" s="430"/>
      <c r="R3584" s="430"/>
      <c r="S3584" s="430"/>
      <c r="T3584" s="430"/>
      <c r="U3584" s="430"/>
      <c r="V3584" s="430"/>
      <c r="W3584" s="430"/>
      <c r="X3584" s="430"/>
      <c r="Y3584" s="430"/>
      <c r="Z3584" s="430"/>
      <c r="AA3584" s="430"/>
      <c r="AB3584" s="430"/>
      <c r="AC3584" s="430"/>
      <c r="AD3584" s="430"/>
      <c r="AE3584" s="430"/>
      <c r="AF3584" s="430"/>
      <c r="AG3584" s="430"/>
      <c r="AH3584" s="430"/>
      <c r="AI3584" s="430"/>
      <c r="AJ3584" s="430"/>
      <c r="AK3584" s="430"/>
      <c r="AL3584" s="430"/>
      <c r="AM3584" s="430"/>
      <c r="AN3584" s="430"/>
      <c r="AO3584" s="430"/>
      <c r="AP3584" s="430"/>
      <c r="AQ3584" s="430"/>
      <c r="AR3584" s="430"/>
      <c r="AS3584" s="430"/>
      <c r="AT3584" s="430"/>
      <c r="AU3584" s="430"/>
      <c r="AV3584" s="430"/>
      <c r="AW3584" s="430"/>
      <c r="AX3584" s="430"/>
      <c r="AY3584" s="430"/>
      <c r="AZ3584" s="430"/>
      <c r="BA3584" s="430"/>
      <c r="BB3584" s="430"/>
      <c r="BC3584" s="430"/>
      <c r="BD3584" s="430"/>
      <c r="BE3584" s="430"/>
      <c r="BF3584" s="430"/>
      <c r="BG3584" s="430"/>
      <c r="BH3584" s="431"/>
      <c r="BI3584" s="363"/>
      <c r="BJ3584" s="386"/>
      <c r="BK3584" s="364"/>
      <c r="BL3584" s="364"/>
      <c r="BM3584" s="364"/>
      <c r="BN3584" s="364"/>
      <c r="BO3584" s="364"/>
      <c r="BP3584" s="475"/>
      <c r="BQ3584" s="475"/>
      <c r="BR3584" s="420"/>
      <c r="BS3584" s="421"/>
      <c r="BT3584" s="421"/>
      <c r="BU3584" s="421"/>
      <c r="BV3584" s="421"/>
      <c r="BW3584" s="421"/>
      <c r="BX3584" s="421"/>
      <c r="BY3584" s="421"/>
      <c r="BZ3584" s="422"/>
      <c r="CA3584" s="270"/>
      <c r="CB3584" s="3" t="str">
        <f t="shared" si="644"/>
        <v>Riadok bude skrytý.</v>
      </c>
      <c r="CC3584" s="271" t="s">
        <v>832</v>
      </c>
      <c r="CD3584" s="137"/>
      <c r="CE3584" s="137"/>
      <c r="CW3584" s="32">
        <f t="shared" si="643"/>
        <v>1</v>
      </c>
      <c r="CZ3584" s="30">
        <f t="shared" si="645"/>
        <v>1</v>
      </c>
      <c r="DA3584" s="30">
        <f t="shared" si="642"/>
        <v>1</v>
      </c>
      <c r="DB3584" s="2">
        <f t="shared" si="641"/>
        <v>0</v>
      </c>
      <c r="DS3584" s="130">
        <f>SI!BY3584</f>
        <v>166</v>
      </c>
      <c r="DZ3584" s="131">
        <f>SI!BZ3584</f>
        <v>0</v>
      </c>
    </row>
    <row r="3585" spans="1:130" ht="24.8" hidden="1" customHeight="1" x14ac:dyDescent="0.25">
      <c r="A3585" s="141"/>
      <c r="B3585" s="1383" t="s">
        <v>654</v>
      </c>
      <c r="C3585" s="1384"/>
      <c r="D3585" s="1384"/>
      <c r="E3585" s="1384"/>
      <c r="F3585" s="1384"/>
      <c r="G3585" s="1384"/>
      <c r="H3585" s="1384"/>
      <c r="I3585" s="1385"/>
      <c r="J3585" s="429" t="s">
        <v>1044</v>
      </c>
      <c r="K3585" s="430"/>
      <c r="L3585" s="430"/>
      <c r="M3585" s="430"/>
      <c r="N3585" s="430"/>
      <c r="O3585" s="430"/>
      <c r="P3585" s="430"/>
      <c r="Q3585" s="430"/>
      <c r="R3585" s="430"/>
      <c r="S3585" s="430"/>
      <c r="T3585" s="430"/>
      <c r="U3585" s="430"/>
      <c r="V3585" s="430"/>
      <c r="W3585" s="430"/>
      <c r="X3585" s="430"/>
      <c r="Y3585" s="430"/>
      <c r="Z3585" s="430"/>
      <c r="AA3585" s="430"/>
      <c r="AB3585" s="430"/>
      <c r="AC3585" s="430"/>
      <c r="AD3585" s="430"/>
      <c r="AE3585" s="430"/>
      <c r="AF3585" s="430"/>
      <c r="AG3585" s="430"/>
      <c r="AH3585" s="430"/>
      <c r="AI3585" s="430"/>
      <c r="AJ3585" s="430"/>
      <c r="AK3585" s="430"/>
      <c r="AL3585" s="430"/>
      <c r="AM3585" s="430"/>
      <c r="AN3585" s="430"/>
      <c r="AO3585" s="430"/>
      <c r="AP3585" s="430"/>
      <c r="AQ3585" s="430"/>
      <c r="AR3585" s="430"/>
      <c r="AS3585" s="430"/>
      <c r="AT3585" s="430"/>
      <c r="AU3585" s="430"/>
      <c r="AV3585" s="430"/>
      <c r="AW3585" s="430"/>
      <c r="AX3585" s="430"/>
      <c r="AY3585" s="430"/>
      <c r="AZ3585" s="430"/>
      <c r="BA3585" s="430"/>
      <c r="BB3585" s="430"/>
      <c r="BC3585" s="430"/>
      <c r="BD3585" s="430"/>
      <c r="BE3585" s="430"/>
      <c r="BF3585" s="430"/>
      <c r="BG3585" s="430"/>
      <c r="BH3585" s="431"/>
      <c r="BI3585" s="363"/>
      <c r="BJ3585" s="386"/>
      <c r="BK3585" s="364"/>
      <c r="BL3585" s="364"/>
      <c r="BM3585" s="364"/>
      <c r="BN3585" s="364"/>
      <c r="BO3585" s="364"/>
      <c r="BP3585" s="475"/>
      <c r="BQ3585" s="475"/>
      <c r="BR3585" s="420"/>
      <c r="BS3585" s="421"/>
      <c r="BT3585" s="421"/>
      <c r="BU3585" s="421"/>
      <c r="BV3585" s="421"/>
      <c r="BW3585" s="421"/>
      <c r="BX3585" s="421"/>
      <c r="BY3585" s="421"/>
      <c r="BZ3585" s="422"/>
      <c r="CA3585" s="270"/>
      <c r="CB3585" s="3" t="str">
        <f t="shared" si="644"/>
        <v>Riadok bude skrytý.</v>
      </c>
      <c r="CC3585" s="271" t="s">
        <v>832</v>
      </c>
      <c r="CD3585" s="137"/>
      <c r="CE3585" s="137"/>
      <c r="CW3585" s="32">
        <f t="shared" si="643"/>
        <v>1</v>
      </c>
      <c r="CZ3585" s="30">
        <f t="shared" si="645"/>
        <v>1</v>
      </c>
      <c r="DA3585" s="30">
        <f t="shared" si="642"/>
        <v>1</v>
      </c>
      <c r="DB3585" s="2">
        <f t="shared" si="641"/>
        <v>0</v>
      </c>
      <c r="DS3585" s="130">
        <f>SI!BY3585</f>
        <v>164</v>
      </c>
      <c r="DZ3585" s="131">
        <f>SI!BZ3585</f>
        <v>0</v>
      </c>
    </row>
    <row r="3586" spans="1:130" ht="14.95" hidden="1" customHeight="1" x14ac:dyDescent="0.25">
      <c r="A3586" s="141"/>
      <c r="B3586" s="1383" t="s">
        <v>655</v>
      </c>
      <c r="C3586" s="1384"/>
      <c r="D3586" s="1384"/>
      <c r="E3586" s="1384"/>
      <c r="F3586" s="1384"/>
      <c r="G3586" s="1384"/>
      <c r="H3586" s="1384"/>
      <c r="I3586" s="1385"/>
      <c r="J3586" s="429" t="s">
        <v>550</v>
      </c>
      <c r="K3586" s="430"/>
      <c r="L3586" s="430"/>
      <c r="M3586" s="430"/>
      <c r="N3586" s="430"/>
      <c r="O3586" s="430"/>
      <c r="P3586" s="430"/>
      <c r="Q3586" s="430"/>
      <c r="R3586" s="430"/>
      <c r="S3586" s="430"/>
      <c r="T3586" s="430"/>
      <c r="U3586" s="430"/>
      <c r="V3586" s="430"/>
      <c r="W3586" s="430"/>
      <c r="X3586" s="430"/>
      <c r="Y3586" s="430"/>
      <c r="Z3586" s="430"/>
      <c r="AA3586" s="430"/>
      <c r="AB3586" s="430"/>
      <c r="AC3586" s="430"/>
      <c r="AD3586" s="430"/>
      <c r="AE3586" s="430"/>
      <c r="AF3586" s="430"/>
      <c r="AG3586" s="430"/>
      <c r="AH3586" s="430"/>
      <c r="AI3586" s="430"/>
      <c r="AJ3586" s="430"/>
      <c r="AK3586" s="430"/>
      <c r="AL3586" s="430"/>
      <c r="AM3586" s="430"/>
      <c r="AN3586" s="430"/>
      <c r="AO3586" s="430"/>
      <c r="AP3586" s="430"/>
      <c r="AQ3586" s="430"/>
      <c r="AR3586" s="430"/>
      <c r="AS3586" s="430"/>
      <c r="AT3586" s="430"/>
      <c r="AU3586" s="430"/>
      <c r="AV3586" s="430"/>
      <c r="AW3586" s="430"/>
      <c r="AX3586" s="430"/>
      <c r="AY3586" s="430"/>
      <c r="AZ3586" s="430"/>
      <c r="BA3586" s="430"/>
      <c r="BB3586" s="430"/>
      <c r="BC3586" s="430"/>
      <c r="BD3586" s="430"/>
      <c r="BE3586" s="430"/>
      <c r="BF3586" s="430"/>
      <c r="BG3586" s="430"/>
      <c r="BH3586" s="431"/>
      <c r="BI3586" s="363"/>
      <c r="BJ3586" s="386"/>
      <c r="BK3586" s="364"/>
      <c r="BL3586" s="364"/>
      <c r="BM3586" s="364"/>
      <c r="BN3586" s="364"/>
      <c r="BO3586" s="364"/>
      <c r="BP3586" s="475"/>
      <c r="BQ3586" s="475"/>
      <c r="BR3586" s="420"/>
      <c r="BS3586" s="421"/>
      <c r="BT3586" s="421"/>
      <c r="BU3586" s="421"/>
      <c r="BV3586" s="421"/>
      <c r="BW3586" s="421"/>
      <c r="BX3586" s="421"/>
      <c r="BY3586" s="421"/>
      <c r="BZ3586" s="422"/>
      <c r="CA3586" s="270"/>
      <c r="CB3586" s="3" t="str">
        <f t="shared" si="644"/>
        <v>Riadok bude skrytý.</v>
      </c>
      <c r="CC3586" s="271" t="s">
        <v>832</v>
      </c>
      <c r="CW3586" s="32">
        <f t="shared" si="643"/>
        <v>1</v>
      </c>
      <c r="CZ3586" s="30">
        <f t="shared" si="645"/>
        <v>1</v>
      </c>
      <c r="DA3586" s="30">
        <f t="shared" si="642"/>
        <v>1</v>
      </c>
      <c r="DB3586" s="2">
        <f t="shared" si="641"/>
        <v>0</v>
      </c>
      <c r="DS3586" s="130">
        <f>SI!BY3586</f>
        <v>159</v>
      </c>
      <c r="DZ3586" s="131">
        <f>SI!BZ3586</f>
        <v>0</v>
      </c>
    </row>
    <row r="3587" spans="1:130" ht="14.95" hidden="1" customHeight="1" x14ac:dyDescent="0.25">
      <c r="A3587" s="141"/>
      <c r="B3587" s="1383" t="s">
        <v>656</v>
      </c>
      <c r="C3587" s="1384"/>
      <c r="D3587" s="1384"/>
      <c r="E3587" s="1384"/>
      <c r="F3587" s="1384"/>
      <c r="G3587" s="1384"/>
      <c r="H3587" s="1384"/>
      <c r="I3587" s="1385"/>
      <c r="J3587" s="429" t="s">
        <v>551</v>
      </c>
      <c r="K3587" s="430"/>
      <c r="L3587" s="430"/>
      <c r="M3587" s="430"/>
      <c r="N3587" s="430"/>
      <c r="O3587" s="430"/>
      <c r="P3587" s="430"/>
      <c r="Q3587" s="430"/>
      <c r="R3587" s="430"/>
      <c r="S3587" s="430"/>
      <c r="T3587" s="430"/>
      <c r="U3587" s="430"/>
      <c r="V3587" s="430"/>
      <c r="W3587" s="430"/>
      <c r="X3587" s="430"/>
      <c r="Y3587" s="430"/>
      <c r="Z3587" s="430"/>
      <c r="AA3587" s="430"/>
      <c r="AB3587" s="430"/>
      <c r="AC3587" s="430"/>
      <c r="AD3587" s="430"/>
      <c r="AE3587" s="430"/>
      <c r="AF3587" s="430"/>
      <c r="AG3587" s="430"/>
      <c r="AH3587" s="430"/>
      <c r="AI3587" s="430"/>
      <c r="AJ3587" s="430"/>
      <c r="AK3587" s="430"/>
      <c r="AL3587" s="430"/>
      <c r="AM3587" s="430"/>
      <c r="AN3587" s="430"/>
      <c r="AO3587" s="430"/>
      <c r="AP3587" s="430"/>
      <c r="AQ3587" s="430"/>
      <c r="AR3587" s="430"/>
      <c r="AS3587" s="430"/>
      <c r="AT3587" s="430"/>
      <c r="AU3587" s="430"/>
      <c r="AV3587" s="430"/>
      <c r="AW3587" s="430"/>
      <c r="AX3587" s="430"/>
      <c r="AY3587" s="430"/>
      <c r="AZ3587" s="430"/>
      <c r="BA3587" s="430"/>
      <c r="BB3587" s="430"/>
      <c r="BC3587" s="430"/>
      <c r="BD3587" s="430"/>
      <c r="BE3587" s="430"/>
      <c r="BF3587" s="430"/>
      <c r="BG3587" s="430"/>
      <c r="BH3587" s="431"/>
      <c r="BI3587" s="363"/>
      <c r="BJ3587" s="386"/>
      <c r="BK3587" s="364"/>
      <c r="BL3587" s="364"/>
      <c r="BM3587" s="364"/>
      <c r="BN3587" s="364"/>
      <c r="BO3587" s="364"/>
      <c r="BP3587" s="475"/>
      <c r="BQ3587" s="475"/>
      <c r="BR3587" s="420"/>
      <c r="BS3587" s="421"/>
      <c r="BT3587" s="421"/>
      <c r="BU3587" s="421"/>
      <c r="BV3587" s="421"/>
      <c r="BW3587" s="421"/>
      <c r="BX3587" s="421"/>
      <c r="BY3587" s="421"/>
      <c r="BZ3587" s="422"/>
      <c r="CA3587" s="270"/>
      <c r="CB3587" s="3" t="str">
        <f t="shared" si="644"/>
        <v>Riadok bude skrytý.</v>
      </c>
      <c r="CC3587" s="271" t="s">
        <v>832</v>
      </c>
      <c r="CW3587" s="32">
        <f t="shared" si="643"/>
        <v>1</v>
      </c>
      <c r="CZ3587" s="30">
        <f t="shared" si="645"/>
        <v>1</v>
      </c>
      <c r="DA3587" s="30">
        <f t="shared" si="642"/>
        <v>1</v>
      </c>
      <c r="DB3587" s="2">
        <f t="shared" si="641"/>
        <v>0</v>
      </c>
      <c r="DS3587" s="130">
        <f>SI!BY3587</f>
        <v>205</v>
      </c>
      <c r="DZ3587" s="131">
        <f>SI!BZ3587</f>
        <v>0</v>
      </c>
    </row>
    <row r="3588" spans="1:130" ht="14.95" hidden="1" customHeight="1" x14ac:dyDescent="0.25">
      <c r="A3588" s="141"/>
      <c r="B3588" s="1815" t="s">
        <v>486</v>
      </c>
      <c r="C3588" s="1816"/>
      <c r="D3588" s="1816"/>
      <c r="E3588" s="1816"/>
      <c r="F3588" s="1816"/>
      <c r="G3588" s="1816"/>
      <c r="H3588" s="1816"/>
      <c r="I3588" s="1817"/>
      <c r="J3588" s="426" t="s">
        <v>552</v>
      </c>
      <c r="K3588" s="427"/>
      <c r="L3588" s="427"/>
      <c r="M3588" s="427"/>
      <c r="N3588" s="427"/>
      <c r="O3588" s="427"/>
      <c r="P3588" s="427"/>
      <c r="Q3588" s="427"/>
      <c r="R3588" s="427"/>
      <c r="S3588" s="427"/>
      <c r="T3588" s="427"/>
      <c r="U3588" s="427"/>
      <c r="V3588" s="427"/>
      <c r="W3588" s="427"/>
      <c r="X3588" s="427"/>
      <c r="Y3588" s="427"/>
      <c r="Z3588" s="427"/>
      <c r="AA3588" s="427"/>
      <c r="AB3588" s="427"/>
      <c r="AC3588" s="427"/>
      <c r="AD3588" s="427"/>
      <c r="AE3588" s="427"/>
      <c r="AF3588" s="427"/>
      <c r="AG3588" s="427"/>
      <c r="AH3588" s="427"/>
      <c r="AI3588" s="427"/>
      <c r="AJ3588" s="427"/>
      <c r="AK3588" s="427"/>
      <c r="AL3588" s="427"/>
      <c r="AM3588" s="427"/>
      <c r="AN3588" s="427"/>
      <c r="AO3588" s="427"/>
      <c r="AP3588" s="427"/>
      <c r="AQ3588" s="427"/>
      <c r="AR3588" s="427"/>
      <c r="AS3588" s="427"/>
      <c r="AT3588" s="427"/>
      <c r="AU3588" s="427"/>
      <c r="AV3588" s="427"/>
      <c r="AW3588" s="427"/>
      <c r="AX3588" s="427"/>
      <c r="AY3588" s="427"/>
      <c r="AZ3588" s="427"/>
      <c r="BA3588" s="427"/>
      <c r="BB3588" s="427"/>
      <c r="BC3588" s="427"/>
      <c r="BD3588" s="427"/>
      <c r="BE3588" s="427"/>
      <c r="BF3588" s="427"/>
      <c r="BG3588" s="427"/>
      <c r="BH3588" s="428"/>
      <c r="BI3588" s="411">
        <f>+SUM(BI3569:BQ3587)</f>
        <v>0</v>
      </c>
      <c r="BJ3588" s="476"/>
      <c r="BK3588" s="412"/>
      <c r="BL3588" s="412"/>
      <c r="BM3588" s="412"/>
      <c r="BN3588" s="412"/>
      <c r="BO3588" s="412"/>
      <c r="BP3588" s="477"/>
      <c r="BQ3588" s="477"/>
      <c r="BR3588" s="423">
        <f>+SUM(BR3569:BZ3587)</f>
        <v>0</v>
      </c>
      <c r="BS3588" s="424"/>
      <c r="BT3588" s="424"/>
      <c r="BU3588" s="424"/>
      <c r="BV3588" s="424"/>
      <c r="BW3588" s="424"/>
      <c r="BX3588" s="424"/>
      <c r="BY3588" s="424"/>
      <c r="BZ3588" s="425"/>
      <c r="CA3588" s="270"/>
      <c r="CB3588" s="3" t="str">
        <f t="shared" si="644"/>
        <v>Riadok bude skrytý.</v>
      </c>
      <c r="CC3588" s="271" t="s">
        <v>832</v>
      </c>
      <c r="CW3588" s="32">
        <f t="shared" si="643"/>
        <v>1</v>
      </c>
      <c r="CZ3588" s="30">
        <f t="shared" si="645"/>
        <v>1</v>
      </c>
      <c r="DA3588" s="30">
        <f t="shared" si="642"/>
        <v>1</v>
      </c>
      <c r="DB3588" s="2">
        <f t="shared" si="641"/>
        <v>0</v>
      </c>
      <c r="DS3588" s="130">
        <f>SI!BY3588</f>
        <v>139</v>
      </c>
      <c r="DZ3588" s="131">
        <f>SI!BZ3588</f>
        <v>0</v>
      </c>
    </row>
    <row r="3589" spans="1:130" ht="14.95" hidden="1" customHeight="1" x14ac:dyDescent="0.25">
      <c r="A3589" s="141"/>
      <c r="B3589" s="1818"/>
      <c r="C3589" s="1819"/>
      <c r="D3589" s="1819"/>
      <c r="E3589" s="1819"/>
      <c r="F3589" s="1819"/>
      <c r="G3589" s="1819"/>
      <c r="H3589" s="1819"/>
      <c r="I3589" s="1820"/>
      <c r="J3589" s="426" t="s">
        <v>440</v>
      </c>
      <c r="K3589" s="427"/>
      <c r="L3589" s="427"/>
      <c r="M3589" s="427"/>
      <c r="N3589" s="427"/>
      <c r="O3589" s="427"/>
      <c r="P3589" s="427"/>
      <c r="Q3589" s="427"/>
      <c r="R3589" s="427"/>
      <c r="S3589" s="427"/>
      <c r="T3589" s="427"/>
      <c r="U3589" s="427"/>
      <c r="V3589" s="427"/>
      <c r="W3589" s="427"/>
      <c r="X3589" s="427"/>
      <c r="Y3589" s="427"/>
      <c r="Z3589" s="427"/>
      <c r="AA3589" s="427"/>
      <c r="AB3589" s="427"/>
      <c r="AC3589" s="427"/>
      <c r="AD3589" s="427"/>
      <c r="AE3589" s="427"/>
      <c r="AF3589" s="427"/>
      <c r="AG3589" s="427"/>
      <c r="AH3589" s="427"/>
      <c r="AI3589" s="427"/>
      <c r="AJ3589" s="427"/>
      <c r="AK3589" s="427"/>
      <c r="AL3589" s="427"/>
      <c r="AM3589" s="427"/>
      <c r="AN3589" s="427"/>
      <c r="AO3589" s="427"/>
      <c r="AP3589" s="427"/>
      <c r="AQ3589" s="427"/>
      <c r="AR3589" s="427"/>
      <c r="AS3589" s="427"/>
      <c r="AT3589" s="427"/>
      <c r="AU3589" s="427"/>
      <c r="AV3589" s="427"/>
      <c r="AW3589" s="427"/>
      <c r="AX3589" s="427"/>
      <c r="AY3589" s="427"/>
      <c r="AZ3589" s="427"/>
      <c r="BA3589" s="427"/>
      <c r="BB3589" s="427"/>
      <c r="BC3589" s="427"/>
      <c r="BD3589" s="427"/>
      <c r="BE3589" s="427"/>
      <c r="BF3589" s="427"/>
      <c r="BG3589" s="427"/>
      <c r="BH3589" s="428"/>
      <c r="BI3589" s="1821"/>
      <c r="BJ3589" s="1822"/>
      <c r="BK3589" s="1823"/>
      <c r="BL3589" s="1823"/>
      <c r="BM3589" s="1823"/>
      <c r="BN3589" s="1823"/>
      <c r="BO3589" s="1823"/>
      <c r="BP3589" s="1824"/>
      <c r="BQ3589" s="1824"/>
      <c r="BR3589" s="469"/>
      <c r="BS3589" s="470"/>
      <c r="BT3589" s="470"/>
      <c r="BU3589" s="470"/>
      <c r="BV3589" s="470"/>
      <c r="BW3589" s="470"/>
      <c r="BX3589" s="470"/>
      <c r="BY3589" s="470"/>
      <c r="BZ3589" s="471"/>
      <c r="CA3589" s="265" t="s">
        <v>773</v>
      </c>
      <c r="CB3589" s="3" t="str">
        <f t="shared" si="644"/>
        <v>Riadok bude skrytý.</v>
      </c>
      <c r="CC3589" s="271" t="s">
        <v>832</v>
      </c>
      <c r="CW3589" s="32">
        <f t="shared" si="643"/>
        <v>1</v>
      </c>
      <c r="CZ3589" s="30">
        <f t="shared" si="645"/>
        <v>1</v>
      </c>
      <c r="DA3589" s="30">
        <f t="shared" si="642"/>
        <v>1</v>
      </c>
      <c r="DB3589" s="2">
        <f t="shared" si="641"/>
        <v>0</v>
      </c>
      <c r="DS3589" s="130">
        <f>SI!BY3589</f>
        <v>157</v>
      </c>
      <c r="DZ3589" s="131">
        <f>SI!BZ3589</f>
        <v>0</v>
      </c>
    </row>
    <row r="3590" spans="1:130" ht="14.95" hidden="1" customHeight="1" x14ac:dyDescent="0.25">
      <c r="A3590" s="141"/>
      <c r="B3590" s="1465" t="s">
        <v>658</v>
      </c>
      <c r="C3590" s="1466"/>
      <c r="D3590" s="1466"/>
      <c r="E3590" s="1466"/>
      <c r="F3590" s="1466"/>
      <c r="G3590" s="1466"/>
      <c r="H3590" s="1466"/>
      <c r="I3590" s="1809"/>
      <c r="J3590" s="1390" t="s">
        <v>657</v>
      </c>
      <c r="K3590" s="1391"/>
      <c r="L3590" s="1391"/>
      <c r="M3590" s="1391"/>
      <c r="N3590" s="1391"/>
      <c r="O3590" s="1391"/>
      <c r="P3590" s="1391"/>
      <c r="Q3590" s="1391"/>
      <c r="R3590" s="1391"/>
      <c r="S3590" s="1391"/>
      <c r="T3590" s="1391"/>
      <c r="U3590" s="1391"/>
      <c r="V3590" s="1391"/>
      <c r="W3590" s="1391"/>
      <c r="X3590" s="1391"/>
      <c r="Y3590" s="1391"/>
      <c r="Z3590" s="1391"/>
      <c r="AA3590" s="1391"/>
      <c r="AB3590" s="1391"/>
      <c r="AC3590" s="1391"/>
      <c r="AD3590" s="1391"/>
      <c r="AE3590" s="1391"/>
      <c r="AF3590" s="1391"/>
      <c r="AG3590" s="1391"/>
      <c r="AH3590" s="1391"/>
      <c r="AI3590" s="1391"/>
      <c r="AJ3590" s="1391"/>
      <c r="AK3590" s="1391"/>
      <c r="AL3590" s="1391"/>
      <c r="AM3590" s="1391"/>
      <c r="AN3590" s="1391"/>
      <c r="AO3590" s="1391"/>
      <c r="AP3590" s="1391"/>
      <c r="AQ3590" s="1391"/>
      <c r="AR3590" s="1391"/>
      <c r="AS3590" s="1391"/>
      <c r="AT3590" s="1391"/>
      <c r="AU3590" s="1391"/>
      <c r="AV3590" s="1391"/>
      <c r="AW3590" s="1391"/>
      <c r="AX3590" s="1391"/>
      <c r="AY3590" s="1391"/>
      <c r="AZ3590" s="1391"/>
      <c r="BA3590" s="1391"/>
      <c r="BB3590" s="1391"/>
      <c r="BC3590" s="1391"/>
      <c r="BD3590" s="1391"/>
      <c r="BE3590" s="1391"/>
      <c r="BF3590" s="1391"/>
      <c r="BG3590" s="1391"/>
      <c r="BH3590" s="1392"/>
      <c r="BI3590" s="411">
        <f>+SUM(BI3591:BQ3598)</f>
        <v>0</v>
      </c>
      <c r="BJ3590" s="476"/>
      <c r="BK3590" s="412"/>
      <c r="BL3590" s="412"/>
      <c r="BM3590" s="412"/>
      <c r="BN3590" s="412"/>
      <c r="BO3590" s="412"/>
      <c r="BP3590" s="477"/>
      <c r="BQ3590" s="477"/>
      <c r="BR3590" s="423">
        <f>+SUM(BR3591:BZ3598)</f>
        <v>0</v>
      </c>
      <c r="BS3590" s="424"/>
      <c r="BT3590" s="424"/>
      <c r="BU3590" s="424"/>
      <c r="BV3590" s="424"/>
      <c r="BW3590" s="424"/>
      <c r="BX3590" s="424"/>
      <c r="BY3590" s="424"/>
      <c r="BZ3590" s="425"/>
      <c r="CA3590" s="270"/>
      <c r="CB3590" s="3" t="str">
        <f t="shared" si="644"/>
        <v>Riadok bude skrytý.</v>
      </c>
      <c r="CC3590" s="271" t="s">
        <v>832</v>
      </c>
      <c r="CW3590" s="32">
        <f t="shared" si="643"/>
        <v>1</v>
      </c>
      <c r="CZ3590" s="30">
        <f t="shared" si="645"/>
        <v>1</v>
      </c>
      <c r="DA3590" s="30">
        <f t="shared" si="642"/>
        <v>1</v>
      </c>
      <c r="DB3590" s="2">
        <f t="shared" si="641"/>
        <v>0</v>
      </c>
      <c r="DS3590" s="130">
        <f>SI!BY3590</f>
        <v>154</v>
      </c>
      <c r="DZ3590" s="131">
        <f>SI!BZ3590</f>
        <v>0</v>
      </c>
    </row>
    <row r="3591" spans="1:130" ht="14.95" hidden="1" customHeight="1" x14ac:dyDescent="0.25">
      <c r="A3591" s="141"/>
      <c r="B3591" s="1467" t="s">
        <v>659</v>
      </c>
      <c r="C3591" s="1468"/>
      <c r="D3591" s="1468"/>
      <c r="E3591" s="1468"/>
      <c r="F3591" s="1468"/>
      <c r="G3591" s="1468"/>
      <c r="H3591" s="1468"/>
      <c r="I3591" s="1469"/>
      <c r="J3591" s="1462" t="s">
        <v>554</v>
      </c>
      <c r="K3591" s="1463"/>
      <c r="L3591" s="1463"/>
      <c r="M3591" s="1463"/>
      <c r="N3591" s="1463"/>
      <c r="O3591" s="1463"/>
      <c r="P3591" s="1463"/>
      <c r="Q3591" s="1463"/>
      <c r="R3591" s="1463"/>
      <c r="S3591" s="1463"/>
      <c r="T3591" s="1463"/>
      <c r="U3591" s="1463"/>
      <c r="V3591" s="1463"/>
      <c r="W3591" s="1463"/>
      <c r="X3591" s="1463"/>
      <c r="Y3591" s="1463"/>
      <c r="Z3591" s="1463"/>
      <c r="AA3591" s="1463"/>
      <c r="AB3591" s="1463"/>
      <c r="AC3591" s="1463"/>
      <c r="AD3591" s="1463"/>
      <c r="AE3591" s="1463"/>
      <c r="AF3591" s="1463"/>
      <c r="AG3591" s="1463"/>
      <c r="AH3591" s="1463"/>
      <c r="AI3591" s="1463"/>
      <c r="AJ3591" s="1463"/>
      <c r="AK3591" s="1463"/>
      <c r="AL3591" s="1463"/>
      <c r="AM3591" s="1463"/>
      <c r="AN3591" s="1463"/>
      <c r="AO3591" s="1463"/>
      <c r="AP3591" s="1463"/>
      <c r="AQ3591" s="1463"/>
      <c r="AR3591" s="1463"/>
      <c r="AS3591" s="1463"/>
      <c r="AT3591" s="1463"/>
      <c r="AU3591" s="1463"/>
      <c r="AV3591" s="1463"/>
      <c r="AW3591" s="1463"/>
      <c r="AX3591" s="1463"/>
      <c r="AY3591" s="1463"/>
      <c r="AZ3591" s="1463"/>
      <c r="BA3591" s="1463"/>
      <c r="BB3591" s="1463"/>
      <c r="BC3591" s="1463"/>
      <c r="BD3591" s="1463"/>
      <c r="BE3591" s="1463"/>
      <c r="BF3591" s="1463"/>
      <c r="BG3591" s="1463"/>
      <c r="BH3591" s="1464"/>
      <c r="BI3591" s="1054"/>
      <c r="BJ3591" s="1132"/>
      <c r="BK3591" s="1055"/>
      <c r="BL3591" s="1055"/>
      <c r="BM3591" s="1055"/>
      <c r="BN3591" s="1055"/>
      <c r="BO3591" s="1055"/>
      <c r="BP3591" s="502"/>
      <c r="BQ3591" s="502"/>
      <c r="BR3591" s="420"/>
      <c r="BS3591" s="421"/>
      <c r="BT3591" s="421"/>
      <c r="BU3591" s="421"/>
      <c r="BV3591" s="421"/>
      <c r="BW3591" s="421"/>
      <c r="BX3591" s="421"/>
      <c r="BY3591" s="421"/>
      <c r="BZ3591" s="422"/>
      <c r="CA3591" s="270"/>
      <c r="CB3591" s="3" t="str">
        <f t="shared" si="644"/>
        <v>Riadok bude skrytý.</v>
      </c>
      <c r="CC3591" s="271" t="s">
        <v>832</v>
      </c>
      <c r="CW3591" s="32">
        <f t="shared" si="643"/>
        <v>1</v>
      </c>
      <c r="CZ3591" s="30">
        <f t="shared" si="645"/>
        <v>1</v>
      </c>
      <c r="DA3591" s="30">
        <f t="shared" si="642"/>
        <v>1</v>
      </c>
      <c r="DB3591" s="2">
        <f t="shared" si="641"/>
        <v>0</v>
      </c>
      <c r="DS3591" s="130">
        <f>SI!BY3591</f>
        <v>196</v>
      </c>
      <c r="DZ3591" s="131">
        <f>SI!BZ3591</f>
        <v>0</v>
      </c>
    </row>
    <row r="3592" spans="1:130" ht="24.8" hidden="1" customHeight="1" x14ac:dyDescent="0.25">
      <c r="A3592" s="141"/>
      <c r="B3592" s="1383" t="s">
        <v>661</v>
      </c>
      <c r="C3592" s="1384"/>
      <c r="D3592" s="1384"/>
      <c r="E3592" s="1384"/>
      <c r="F3592" s="1384"/>
      <c r="G3592" s="1384"/>
      <c r="H3592" s="1384"/>
      <c r="I3592" s="1385"/>
      <c r="J3592" s="429" t="s">
        <v>660</v>
      </c>
      <c r="K3592" s="430"/>
      <c r="L3592" s="430"/>
      <c r="M3592" s="430"/>
      <c r="N3592" s="430"/>
      <c r="O3592" s="430"/>
      <c r="P3592" s="430"/>
      <c r="Q3592" s="430"/>
      <c r="R3592" s="430"/>
      <c r="S3592" s="430"/>
      <c r="T3592" s="430"/>
      <c r="U3592" s="430"/>
      <c r="V3592" s="430"/>
      <c r="W3592" s="430"/>
      <c r="X3592" s="430"/>
      <c r="Y3592" s="430"/>
      <c r="Z3592" s="430"/>
      <c r="AA3592" s="430"/>
      <c r="AB3592" s="430"/>
      <c r="AC3592" s="430"/>
      <c r="AD3592" s="430"/>
      <c r="AE3592" s="430"/>
      <c r="AF3592" s="430"/>
      <c r="AG3592" s="430"/>
      <c r="AH3592" s="430"/>
      <c r="AI3592" s="430"/>
      <c r="AJ3592" s="430"/>
      <c r="AK3592" s="430"/>
      <c r="AL3592" s="430"/>
      <c r="AM3592" s="430"/>
      <c r="AN3592" s="430"/>
      <c r="AO3592" s="430"/>
      <c r="AP3592" s="430"/>
      <c r="AQ3592" s="430"/>
      <c r="AR3592" s="430"/>
      <c r="AS3592" s="430"/>
      <c r="AT3592" s="430"/>
      <c r="AU3592" s="430"/>
      <c r="AV3592" s="430"/>
      <c r="AW3592" s="430"/>
      <c r="AX3592" s="430"/>
      <c r="AY3592" s="430"/>
      <c r="AZ3592" s="430"/>
      <c r="BA3592" s="430"/>
      <c r="BB3592" s="430"/>
      <c r="BC3592" s="430"/>
      <c r="BD3592" s="430"/>
      <c r="BE3592" s="430"/>
      <c r="BF3592" s="430"/>
      <c r="BG3592" s="430"/>
      <c r="BH3592" s="431"/>
      <c r="BI3592" s="363"/>
      <c r="BJ3592" s="386"/>
      <c r="BK3592" s="364"/>
      <c r="BL3592" s="364"/>
      <c r="BM3592" s="364"/>
      <c r="BN3592" s="364"/>
      <c r="BO3592" s="364"/>
      <c r="BP3592" s="475"/>
      <c r="BQ3592" s="475"/>
      <c r="BR3592" s="420"/>
      <c r="BS3592" s="421"/>
      <c r="BT3592" s="421"/>
      <c r="BU3592" s="421"/>
      <c r="BV3592" s="421"/>
      <c r="BW3592" s="421"/>
      <c r="BX3592" s="421"/>
      <c r="BY3592" s="421"/>
      <c r="BZ3592" s="422"/>
      <c r="CA3592" s="270"/>
      <c r="CB3592" s="3" t="str">
        <f t="shared" si="644"/>
        <v>Riadok bude skrytý.</v>
      </c>
      <c r="CC3592" s="271" t="s">
        <v>832</v>
      </c>
      <c r="CW3592" s="32">
        <f t="shared" si="643"/>
        <v>1</v>
      </c>
      <c r="CZ3592" s="30">
        <f t="shared" si="645"/>
        <v>1</v>
      </c>
      <c r="DA3592" s="30">
        <f t="shared" si="642"/>
        <v>1</v>
      </c>
      <c r="DB3592" s="2">
        <f t="shared" si="641"/>
        <v>0</v>
      </c>
      <c r="DS3592" s="130">
        <f>SI!BY3592</f>
        <v>111</v>
      </c>
      <c r="DZ3592" s="131">
        <f>SI!BZ3592</f>
        <v>0</v>
      </c>
    </row>
    <row r="3593" spans="1:130" ht="14.95" hidden="1" customHeight="1" x14ac:dyDescent="0.25">
      <c r="A3593" s="141"/>
      <c r="B3593" s="1383" t="s">
        <v>662</v>
      </c>
      <c r="C3593" s="1384"/>
      <c r="D3593" s="1384"/>
      <c r="E3593" s="1384"/>
      <c r="F3593" s="1384"/>
      <c r="G3593" s="1384"/>
      <c r="H3593" s="1384"/>
      <c r="I3593" s="1385"/>
      <c r="J3593" s="429" t="s">
        <v>556</v>
      </c>
      <c r="K3593" s="430"/>
      <c r="L3593" s="430"/>
      <c r="M3593" s="430"/>
      <c r="N3593" s="430"/>
      <c r="O3593" s="430"/>
      <c r="P3593" s="430"/>
      <c r="Q3593" s="430"/>
      <c r="R3593" s="430"/>
      <c r="S3593" s="430"/>
      <c r="T3593" s="430"/>
      <c r="U3593" s="430"/>
      <c r="V3593" s="430"/>
      <c r="W3593" s="430"/>
      <c r="X3593" s="430"/>
      <c r="Y3593" s="430"/>
      <c r="Z3593" s="430"/>
      <c r="AA3593" s="430"/>
      <c r="AB3593" s="430"/>
      <c r="AC3593" s="430"/>
      <c r="AD3593" s="430"/>
      <c r="AE3593" s="430"/>
      <c r="AF3593" s="430"/>
      <c r="AG3593" s="430"/>
      <c r="AH3593" s="430"/>
      <c r="AI3593" s="430"/>
      <c r="AJ3593" s="430"/>
      <c r="AK3593" s="430"/>
      <c r="AL3593" s="430"/>
      <c r="AM3593" s="430"/>
      <c r="AN3593" s="430"/>
      <c r="AO3593" s="430"/>
      <c r="AP3593" s="430"/>
      <c r="AQ3593" s="430"/>
      <c r="AR3593" s="430"/>
      <c r="AS3593" s="430"/>
      <c r="AT3593" s="430"/>
      <c r="AU3593" s="430"/>
      <c r="AV3593" s="430"/>
      <c r="AW3593" s="430"/>
      <c r="AX3593" s="430"/>
      <c r="AY3593" s="430"/>
      <c r="AZ3593" s="430"/>
      <c r="BA3593" s="430"/>
      <c r="BB3593" s="430"/>
      <c r="BC3593" s="430"/>
      <c r="BD3593" s="430"/>
      <c r="BE3593" s="430"/>
      <c r="BF3593" s="430"/>
      <c r="BG3593" s="430"/>
      <c r="BH3593" s="431"/>
      <c r="BI3593" s="363"/>
      <c r="BJ3593" s="386"/>
      <c r="BK3593" s="364"/>
      <c r="BL3593" s="364"/>
      <c r="BM3593" s="364"/>
      <c r="BN3593" s="364"/>
      <c r="BO3593" s="364"/>
      <c r="BP3593" s="475"/>
      <c r="BQ3593" s="475"/>
      <c r="BR3593" s="420"/>
      <c r="BS3593" s="421"/>
      <c r="BT3593" s="421"/>
      <c r="BU3593" s="421"/>
      <c r="BV3593" s="421"/>
      <c r="BW3593" s="421"/>
      <c r="BX3593" s="421"/>
      <c r="BY3593" s="421"/>
      <c r="BZ3593" s="422"/>
      <c r="CA3593" s="270"/>
      <c r="CB3593" s="3" t="str">
        <f t="shared" si="644"/>
        <v>Riadok bude skrytý.</v>
      </c>
      <c r="CC3593" s="271" t="s">
        <v>832</v>
      </c>
      <c r="CW3593" s="32">
        <f t="shared" si="643"/>
        <v>1</v>
      </c>
      <c r="CZ3593" s="30">
        <f t="shared" si="645"/>
        <v>1</v>
      </c>
      <c r="DA3593" s="30">
        <f t="shared" si="642"/>
        <v>1</v>
      </c>
      <c r="DB3593" s="2">
        <f t="shared" si="641"/>
        <v>0</v>
      </c>
      <c r="DS3593" s="130">
        <f>SI!BY3593</f>
        <v>118</v>
      </c>
      <c r="DZ3593" s="131">
        <f>SI!BZ3593</f>
        <v>0</v>
      </c>
    </row>
    <row r="3594" spans="1:130" ht="14.95" hidden="1" customHeight="1" x14ac:dyDescent="0.25">
      <c r="A3594" s="141"/>
      <c r="B3594" s="1383" t="s">
        <v>663</v>
      </c>
      <c r="C3594" s="1384"/>
      <c r="D3594" s="1384"/>
      <c r="E3594" s="1384"/>
      <c r="F3594" s="1384"/>
      <c r="G3594" s="1384"/>
      <c r="H3594" s="1384"/>
      <c r="I3594" s="1385"/>
      <c r="J3594" s="429" t="s">
        <v>557</v>
      </c>
      <c r="K3594" s="430"/>
      <c r="L3594" s="430"/>
      <c r="M3594" s="430"/>
      <c r="N3594" s="430"/>
      <c r="O3594" s="430"/>
      <c r="P3594" s="430"/>
      <c r="Q3594" s="430"/>
      <c r="R3594" s="430"/>
      <c r="S3594" s="430"/>
      <c r="T3594" s="430"/>
      <c r="U3594" s="430"/>
      <c r="V3594" s="430"/>
      <c r="W3594" s="430"/>
      <c r="X3594" s="430"/>
      <c r="Y3594" s="430"/>
      <c r="Z3594" s="430"/>
      <c r="AA3594" s="430"/>
      <c r="AB3594" s="430"/>
      <c r="AC3594" s="430"/>
      <c r="AD3594" s="430"/>
      <c r="AE3594" s="430"/>
      <c r="AF3594" s="430"/>
      <c r="AG3594" s="430"/>
      <c r="AH3594" s="430"/>
      <c r="AI3594" s="430"/>
      <c r="AJ3594" s="430"/>
      <c r="AK3594" s="430"/>
      <c r="AL3594" s="430"/>
      <c r="AM3594" s="430"/>
      <c r="AN3594" s="430"/>
      <c r="AO3594" s="430"/>
      <c r="AP3594" s="430"/>
      <c r="AQ3594" s="430"/>
      <c r="AR3594" s="430"/>
      <c r="AS3594" s="430"/>
      <c r="AT3594" s="430"/>
      <c r="AU3594" s="430"/>
      <c r="AV3594" s="430"/>
      <c r="AW3594" s="430"/>
      <c r="AX3594" s="430"/>
      <c r="AY3594" s="430"/>
      <c r="AZ3594" s="430"/>
      <c r="BA3594" s="430"/>
      <c r="BB3594" s="430"/>
      <c r="BC3594" s="430"/>
      <c r="BD3594" s="430"/>
      <c r="BE3594" s="430"/>
      <c r="BF3594" s="430"/>
      <c r="BG3594" s="430"/>
      <c r="BH3594" s="431"/>
      <c r="BI3594" s="363"/>
      <c r="BJ3594" s="386"/>
      <c r="BK3594" s="364"/>
      <c r="BL3594" s="364"/>
      <c r="BM3594" s="364"/>
      <c r="BN3594" s="364"/>
      <c r="BO3594" s="364"/>
      <c r="BP3594" s="475"/>
      <c r="BQ3594" s="475"/>
      <c r="BR3594" s="420"/>
      <c r="BS3594" s="421"/>
      <c r="BT3594" s="421"/>
      <c r="BU3594" s="421"/>
      <c r="BV3594" s="421"/>
      <c r="BW3594" s="421"/>
      <c r="BX3594" s="421"/>
      <c r="BY3594" s="421"/>
      <c r="BZ3594" s="422"/>
      <c r="CA3594" s="270"/>
      <c r="CB3594" s="3" t="str">
        <f t="shared" si="644"/>
        <v>Riadok bude skrytý.</v>
      </c>
      <c r="CC3594" s="271" t="s">
        <v>832</v>
      </c>
      <c r="CW3594" s="32">
        <f t="shared" si="643"/>
        <v>1</v>
      </c>
      <c r="CZ3594" s="30">
        <f t="shared" si="645"/>
        <v>1</v>
      </c>
      <c r="DA3594" s="30">
        <f t="shared" si="642"/>
        <v>1</v>
      </c>
      <c r="DB3594" s="2">
        <f t="shared" si="641"/>
        <v>0</v>
      </c>
      <c r="DS3594" s="130">
        <f>SI!BY3594</f>
        <v>195</v>
      </c>
      <c r="DZ3594" s="131">
        <f>SI!BZ3594</f>
        <v>0</v>
      </c>
    </row>
    <row r="3595" spans="1:130" ht="24.8" hidden="1" customHeight="1" x14ac:dyDescent="0.25">
      <c r="A3595" s="141"/>
      <c r="B3595" s="1383" t="s">
        <v>664</v>
      </c>
      <c r="C3595" s="1384"/>
      <c r="D3595" s="1384"/>
      <c r="E3595" s="1384"/>
      <c r="F3595" s="1384"/>
      <c r="G3595" s="1384"/>
      <c r="H3595" s="1384"/>
      <c r="I3595" s="1385"/>
      <c r="J3595" s="429" t="s">
        <v>558</v>
      </c>
      <c r="K3595" s="430"/>
      <c r="L3595" s="430"/>
      <c r="M3595" s="430"/>
      <c r="N3595" s="430"/>
      <c r="O3595" s="430"/>
      <c r="P3595" s="430"/>
      <c r="Q3595" s="430"/>
      <c r="R3595" s="430"/>
      <c r="S3595" s="430"/>
      <c r="T3595" s="430"/>
      <c r="U3595" s="430"/>
      <c r="V3595" s="430"/>
      <c r="W3595" s="430"/>
      <c r="X3595" s="430"/>
      <c r="Y3595" s="430"/>
      <c r="Z3595" s="430"/>
      <c r="AA3595" s="430"/>
      <c r="AB3595" s="430"/>
      <c r="AC3595" s="430"/>
      <c r="AD3595" s="430"/>
      <c r="AE3595" s="430"/>
      <c r="AF3595" s="430"/>
      <c r="AG3595" s="430"/>
      <c r="AH3595" s="430"/>
      <c r="AI3595" s="430"/>
      <c r="AJ3595" s="430"/>
      <c r="AK3595" s="430"/>
      <c r="AL3595" s="430"/>
      <c r="AM3595" s="430"/>
      <c r="AN3595" s="430"/>
      <c r="AO3595" s="430"/>
      <c r="AP3595" s="430"/>
      <c r="AQ3595" s="430"/>
      <c r="AR3595" s="430"/>
      <c r="AS3595" s="430"/>
      <c r="AT3595" s="430"/>
      <c r="AU3595" s="430"/>
      <c r="AV3595" s="430"/>
      <c r="AW3595" s="430"/>
      <c r="AX3595" s="430"/>
      <c r="AY3595" s="430"/>
      <c r="AZ3595" s="430"/>
      <c r="BA3595" s="430"/>
      <c r="BB3595" s="430"/>
      <c r="BC3595" s="430"/>
      <c r="BD3595" s="430"/>
      <c r="BE3595" s="430"/>
      <c r="BF3595" s="430"/>
      <c r="BG3595" s="430"/>
      <c r="BH3595" s="431"/>
      <c r="BI3595" s="363"/>
      <c r="BJ3595" s="386"/>
      <c r="BK3595" s="364"/>
      <c r="BL3595" s="364"/>
      <c r="BM3595" s="364"/>
      <c r="BN3595" s="364"/>
      <c r="BO3595" s="364"/>
      <c r="BP3595" s="475"/>
      <c r="BQ3595" s="475"/>
      <c r="BR3595" s="420"/>
      <c r="BS3595" s="421"/>
      <c r="BT3595" s="421"/>
      <c r="BU3595" s="421"/>
      <c r="BV3595" s="421"/>
      <c r="BW3595" s="421"/>
      <c r="BX3595" s="421"/>
      <c r="BY3595" s="421"/>
      <c r="BZ3595" s="422"/>
      <c r="CA3595" s="270"/>
      <c r="CB3595" s="3" t="str">
        <f t="shared" si="644"/>
        <v>Riadok bude skrytý.</v>
      </c>
      <c r="CC3595" s="271" t="s">
        <v>832</v>
      </c>
      <c r="CW3595" s="32">
        <f t="shared" si="643"/>
        <v>1</v>
      </c>
      <c r="CZ3595" s="30">
        <f t="shared" si="645"/>
        <v>1</v>
      </c>
      <c r="DA3595" s="30">
        <f t="shared" si="642"/>
        <v>1</v>
      </c>
      <c r="DB3595" s="2">
        <f t="shared" si="641"/>
        <v>0</v>
      </c>
      <c r="DS3595" s="130">
        <f>SI!BY3595</f>
        <v>184</v>
      </c>
      <c r="DZ3595" s="131">
        <f>SI!BZ3595</f>
        <v>0</v>
      </c>
    </row>
    <row r="3596" spans="1:130" ht="24.8" hidden="1" customHeight="1" x14ac:dyDescent="0.25">
      <c r="A3596" s="141"/>
      <c r="B3596" s="1383" t="s">
        <v>665</v>
      </c>
      <c r="C3596" s="1384"/>
      <c r="D3596" s="1384"/>
      <c r="E3596" s="1384"/>
      <c r="F3596" s="1384"/>
      <c r="G3596" s="1384"/>
      <c r="H3596" s="1384"/>
      <c r="I3596" s="1385"/>
      <c r="J3596" s="429" t="s">
        <v>582</v>
      </c>
      <c r="K3596" s="430"/>
      <c r="L3596" s="430"/>
      <c r="M3596" s="430"/>
      <c r="N3596" s="430"/>
      <c r="O3596" s="430"/>
      <c r="P3596" s="430"/>
      <c r="Q3596" s="430"/>
      <c r="R3596" s="430"/>
      <c r="S3596" s="430"/>
      <c r="T3596" s="430"/>
      <c r="U3596" s="430"/>
      <c r="V3596" s="430"/>
      <c r="W3596" s="430"/>
      <c r="X3596" s="430"/>
      <c r="Y3596" s="430"/>
      <c r="Z3596" s="430"/>
      <c r="AA3596" s="430"/>
      <c r="AB3596" s="430"/>
      <c r="AC3596" s="430"/>
      <c r="AD3596" s="430"/>
      <c r="AE3596" s="430"/>
      <c r="AF3596" s="430"/>
      <c r="AG3596" s="430"/>
      <c r="AH3596" s="430"/>
      <c r="AI3596" s="430"/>
      <c r="AJ3596" s="430"/>
      <c r="AK3596" s="430"/>
      <c r="AL3596" s="430"/>
      <c r="AM3596" s="430"/>
      <c r="AN3596" s="430"/>
      <c r="AO3596" s="430"/>
      <c r="AP3596" s="430"/>
      <c r="AQ3596" s="430"/>
      <c r="AR3596" s="430"/>
      <c r="AS3596" s="430"/>
      <c r="AT3596" s="430"/>
      <c r="AU3596" s="430"/>
      <c r="AV3596" s="430"/>
      <c r="AW3596" s="430"/>
      <c r="AX3596" s="430"/>
      <c r="AY3596" s="430"/>
      <c r="AZ3596" s="430"/>
      <c r="BA3596" s="430"/>
      <c r="BB3596" s="430"/>
      <c r="BC3596" s="430"/>
      <c r="BD3596" s="430"/>
      <c r="BE3596" s="430"/>
      <c r="BF3596" s="430"/>
      <c r="BG3596" s="430"/>
      <c r="BH3596" s="431"/>
      <c r="BI3596" s="363"/>
      <c r="BJ3596" s="386"/>
      <c r="BK3596" s="364"/>
      <c r="BL3596" s="364"/>
      <c r="BM3596" s="364"/>
      <c r="BN3596" s="364"/>
      <c r="BO3596" s="364"/>
      <c r="BP3596" s="475"/>
      <c r="BQ3596" s="475"/>
      <c r="BR3596" s="420"/>
      <c r="BS3596" s="421"/>
      <c r="BT3596" s="421"/>
      <c r="BU3596" s="421"/>
      <c r="BV3596" s="421"/>
      <c r="BW3596" s="421"/>
      <c r="BX3596" s="421"/>
      <c r="BY3596" s="421"/>
      <c r="BZ3596" s="422"/>
      <c r="CA3596" s="270"/>
      <c r="CB3596" s="3" t="str">
        <f t="shared" si="644"/>
        <v>Riadok bude skrytý.</v>
      </c>
      <c r="CC3596" s="271" t="s">
        <v>832</v>
      </c>
      <c r="CW3596" s="32">
        <f t="shared" si="643"/>
        <v>1</v>
      </c>
      <c r="CZ3596" s="30">
        <f t="shared" si="645"/>
        <v>1</v>
      </c>
      <c r="DA3596" s="30">
        <f t="shared" si="642"/>
        <v>1</v>
      </c>
      <c r="DB3596" s="2">
        <f t="shared" si="641"/>
        <v>0</v>
      </c>
      <c r="DS3596" s="130">
        <f>SI!BY3596</f>
        <v>137</v>
      </c>
      <c r="DZ3596" s="131">
        <f>SI!BZ3596</f>
        <v>0</v>
      </c>
    </row>
    <row r="3597" spans="1:130" ht="24.8" hidden="1" customHeight="1" x14ac:dyDescent="0.25">
      <c r="A3597" s="141"/>
      <c r="B3597" s="1383" t="s">
        <v>667</v>
      </c>
      <c r="C3597" s="1384"/>
      <c r="D3597" s="1384"/>
      <c r="E3597" s="1384"/>
      <c r="F3597" s="1384"/>
      <c r="G3597" s="1384"/>
      <c r="H3597" s="1384"/>
      <c r="I3597" s="1385"/>
      <c r="J3597" s="429" t="s">
        <v>666</v>
      </c>
      <c r="K3597" s="430"/>
      <c r="L3597" s="430"/>
      <c r="M3597" s="430"/>
      <c r="N3597" s="430"/>
      <c r="O3597" s="430"/>
      <c r="P3597" s="430"/>
      <c r="Q3597" s="430"/>
      <c r="R3597" s="430"/>
      <c r="S3597" s="430"/>
      <c r="T3597" s="430"/>
      <c r="U3597" s="430"/>
      <c r="V3597" s="430"/>
      <c r="W3597" s="430"/>
      <c r="X3597" s="430"/>
      <c r="Y3597" s="430"/>
      <c r="Z3597" s="430"/>
      <c r="AA3597" s="430"/>
      <c r="AB3597" s="430"/>
      <c r="AC3597" s="430"/>
      <c r="AD3597" s="430"/>
      <c r="AE3597" s="430"/>
      <c r="AF3597" s="430"/>
      <c r="AG3597" s="430"/>
      <c r="AH3597" s="430"/>
      <c r="AI3597" s="430"/>
      <c r="AJ3597" s="430"/>
      <c r="AK3597" s="430"/>
      <c r="AL3597" s="430"/>
      <c r="AM3597" s="430"/>
      <c r="AN3597" s="430"/>
      <c r="AO3597" s="430"/>
      <c r="AP3597" s="430"/>
      <c r="AQ3597" s="430"/>
      <c r="AR3597" s="430"/>
      <c r="AS3597" s="430"/>
      <c r="AT3597" s="430"/>
      <c r="AU3597" s="430"/>
      <c r="AV3597" s="430"/>
      <c r="AW3597" s="430"/>
      <c r="AX3597" s="430"/>
      <c r="AY3597" s="430"/>
      <c r="AZ3597" s="430"/>
      <c r="BA3597" s="430"/>
      <c r="BB3597" s="430"/>
      <c r="BC3597" s="430"/>
      <c r="BD3597" s="430"/>
      <c r="BE3597" s="430"/>
      <c r="BF3597" s="430"/>
      <c r="BG3597" s="430"/>
      <c r="BH3597" s="431"/>
      <c r="BI3597" s="363"/>
      <c r="BJ3597" s="386"/>
      <c r="BK3597" s="364"/>
      <c r="BL3597" s="364"/>
      <c r="BM3597" s="364"/>
      <c r="BN3597" s="364"/>
      <c r="BO3597" s="364"/>
      <c r="BP3597" s="475"/>
      <c r="BQ3597" s="475"/>
      <c r="BR3597" s="420"/>
      <c r="BS3597" s="421"/>
      <c r="BT3597" s="421"/>
      <c r="BU3597" s="421"/>
      <c r="BV3597" s="421"/>
      <c r="BW3597" s="421"/>
      <c r="BX3597" s="421"/>
      <c r="BY3597" s="421"/>
      <c r="BZ3597" s="422"/>
      <c r="CA3597" s="270"/>
      <c r="CB3597" s="3" t="str">
        <f t="shared" si="644"/>
        <v>Riadok bude skrytý.</v>
      </c>
      <c r="CC3597" s="271" t="s">
        <v>832</v>
      </c>
      <c r="CW3597" s="32">
        <f t="shared" si="643"/>
        <v>1</v>
      </c>
      <c r="CZ3597" s="30">
        <f t="shared" si="645"/>
        <v>1</v>
      </c>
      <c r="DA3597" s="30">
        <f t="shared" si="642"/>
        <v>1</v>
      </c>
      <c r="DB3597" s="2">
        <f t="shared" si="641"/>
        <v>0</v>
      </c>
      <c r="DS3597" s="130">
        <f>SI!BY3597</f>
        <v>190</v>
      </c>
      <c r="DZ3597" s="131">
        <f>SI!BZ3597</f>
        <v>0</v>
      </c>
    </row>
    <row r="3598" spans="1:130" ht="24.8" hidden="1" customHeight="1" x14ac:dyDescent="0.25">
      <c r="A3598" s="141"/>
      <c r="B3598" s="1803" t="s">
        <v>669</v>
      </c>
      <c r="C3598" s="1804"/>
      <c r="D3598" s="1804"/>
      <c r="E3598" s="1804"/>
      <c r="F3598" s="1804"/>
      <c r="G3598" s="1804"/>
      <c r="H3598" s="1804"/>
      <c r="I3598" s="1805"/>
      <c r="J3598" s="429" t="s">
        <v>668</v>
      </c>
      <c r="K3598" s="430"/>
      <c r="L3598" s="430"/>
      <c r="M3598" s="430"/>
      <c r="N3598" s="430"/>
      <c r="O3598" s="430"/>
      <c r="P3598" s="430"/>
      <c r="Q3598" s="430"/>
      <c r="R3598" s="430"/>
      <c r="S3598" s="430"/>
      <c r="T3598" s="430"/>
      <c r="U3598" s="430"/>
      <c r="V3598" s="430"/>
      <c r="W3598" s="430"/>
      <c r="X3598" s="430"/>
      <c r="Y3598" s="430"/>
      <c r="Z3598" s="430"/>
      <c r="AA3598" s="430"/>
      <c r="AB3598" s="430"/>
      <c r="AC3598" s="430"/>
      <c r="AD3598" s="430"/>
      <c r="AE3598" s="430"/>
      <c r="AF3598" s="430"/>
      <c r="AG3598" s="430"/>
      <c r="AH3598" s="430"/>
      <c r="AI3598" s="430"/>
      <c r="AJ3598" s="430"/>
      <c r="AK3598" s="430"/>
      <c r="AL3598" s="430"/>
      <c r="AM3598" s="430"/>
      <c r="AN3598" s="430"/>
      <c r="AO3598" s="430"/>
      <c r="AP3598" s="430"/>
      <c r="AQ3598" s="430"/>
      <c r="AR3598" s="430"/>
      <c r="AS3598" s="430"/>
      <c r="AT3598" s="430"/>
      <c r="AU3598" s="430"/>
      <c r="AV3598" s="430"/>
      <c r="AW3598" s="430"/>
      <c r="AX3598" s="430"/>
      <c r="AY3598" s="430"/>
      <c r="AZ3598" s="430"/>
      <c r="BA3598" s="430"/>
      <c r="BB3598" s="430"/>
      <c r="BC3598" s="430"/>
      <c r="BD3598" s="430"/>
      <c r="BE3598" s="430"/>
      <c r="BF3598" s="430"/>
      <c r="BG3598" s="430"/>
      <c r="BH3598" s="431"/>
      <c r="BI3598" s="367"/>
      <c r="BJ3598" s="457"/>
      <c r="BK3598" s="368"/>
      <c r="BL3598" s="368"/>
      <c r="BM3598" s="368"/>
      <c r="BN3598" s="368"/>
      <c r="BO3598" s="368"/>
      <c r="BP3598" s="458"/>
      <c r="BQ3598" s="458"/>
      <c r="BR3598" s="420"/>
      <c r="BS3598" s="421"/>
      <c r="BT3598" s="421"/>
      <c r="BU3598" s="421"/>
      <c r="BV3598" s="421"/>
      <c r="BW3598" s="421"/>
      <c r="BX3598" s="421"/>
      <c r="BY3598" s="421"/>
      <c r="BZ3598" s="422"/>
      <c r="CA3598" s="270"/>
      <c r="CB3598" s="3" t="str">
        <f t="shared" si="644"/>
        <v>Riadok bude skrytý.</v>
      </c>
      <c r="CC3598" s="271" t="s">
        <v>832</v>
      </c>
      <c r="CW3598" s="32">
        <f t="shared" si="643"/>
        <v>1</v>
      </c>
      <c r="CZ3598" s="30">
        <f t="shared" si="645"/>
        <v>1</v>
      </c>
      <c r="DA3598" s="30">
        <f t="shared" si="642"/>
        <v>1</v>
      </c>
      <c r="DB3598" s="2">
        <f t="shared" si="641"/>
        <v>0</v>
      </c>
      <c r="DS3598" s="130">
        <f>SI!BY3598</f>
        <v>126</v>
      </c>
      <c r="DZ3598" s="131">
        <f>SI!BZ3598</f>
        <v>0</v>
      </c>
    </row>
    <row r="3599" spans="1:130" ht="24.8" hidden="1" customHeight="1" x14ac:dyDescent="0.25">
      <c r="A3599" s="141"/>
      <c r="B3599" s="1465" t="s">
        <v>671</v>
      </c>
      <c r="C3599" s="1466"/>
      <c r="D3599" s="1466"/>
      <c r="E3599" s="1466"/>
      <c r="F3599" s="1466"/>
      <c r="G3599" s="1466"/>
      <c r="H3599" s="1466"/>
      <c r="I3599" s="1809"/>
      <c r="J3599" s="1390" t="s">
        <v>670</v>
      </c>
      <c r="K3599" s="1391"/>
      <c r="L3599" s="1391"/>
      <c r="M3599" s="1391"/>
      <c r="N3599" s="1391"/>
      <c r="O3599" s="1391"/>
      <c r="P3599" s="1391"/>
      <c r="Q3599" s="1391"/>
      <c r="R3599" s="1391"/>
      <c r="S3599" s="1391"/>
      <c r="T3599" s="1391"/>
      <c r="U3599" s="1391"/>
      <c r="V3599" s="1391"/>
      <c r="W3599" s="1391"/>
      <c r="X3599" s="1391"/>
      <c r="Y3599" s="1391"/>
      <c r="Z3599" s="1391"/>
      <c r="AA3599" s="1391"/>
      <c r="AB3599" s="1391"/>
      <c r="AC3599" s="1391"/>
      <c r="AD3599" s="1391"/>
      <c r="AE3599" s="1391"/>
      <c r="AF3599" s="1391"/>
      <c r="AG3599" s="1391"/>
      <c r="AH3599" s="1391"/>
      <c r="AI3599" s="1391"/>
      <c r="AJ3599" s="1391"/>
      <c r="AK3599" s="1391"/>
      <c r="AL3599" s="1391"/>
      <c r="AM3599" s="1391"/>
      <c r="AN3599" s="1391"/>
      <c r="AO3599" s="1391"/>
      <c r="AP3599" s="1391"/>
      <c r="AQ3599" s="1391"/>
      <c r="AR3599" s="1391"/>
      <c r="AS3599" s="1391"/>
      <c r="AT3599" s="1391"/>
      <c r="AU3599" s="1391"/>
      <c r="AV3599" s="1391"/>
      <c r="AW3599" s="1391"/>
      <c r="AX3599" s="1391"/>
      <c r="AY3599" s="1391"/>
      <c r="AZ3599" s="1391"/>
      <c r="BA3599" s="1391"/>
      <c r="BB3599" s="1391"/>
      <c r="BC3599" s="1391"/>
      <c r="BD3599" s="1391"/>
      <c r="BE3599" s="1391"/>
      <c r="BF3599" s="1391"/>
      <c r="BG3599" s="1391"/>
      <c r="BH3599" s="1392"/>
      <c r="BI3599" s="411">
        <f>+SUM(BI3600:BQ3608)</f>
        <v>0</v>
      </c>
      <c r="BJ3599" s="476"/>
      <c r="BK3599" s="412"/>
      <c r="BL3599" s="412"/>
      <c r="BM3599" s="412"/>
      <c r="BN3599" s="412"/>
      <c r="BO3599" s="412"/>
      <c r="BP3599" s="477"/>
      <c r="BQ3599" s="477"/>
      <c r="BR3599" s="423">
        <f>+SUM(BR3600:BZ3608)</f>
        <v>0</v>
      </c>
      <c r="BS3599" s="424"/>
      <c r="BT3599" s="424"/>
      <c r="BU3599" s="424"/>
      <c r="BV3599" s="424"/>
      <c r="BW3599" s="424"/>
      <c r="BX3599" s="424"/>
      <c r="BY3599" s="424"/>
      <c r="BZ3599" s="425"/>
      <c r="CA3599" s="265" t="s">
        <v>773</v>
      </c>
      <c r="CB3599" s="3" t="str">
        <f t="shared" si="644"/>
        <v>Riadok bude skrytý.</v>
      </c>
      <c r="CC3599" s="271" t="s">
        <v>832</v>
      </c>
      <c r="CW3599" s="32">
        <f t="shared" ref="CW3599:CW3621" si="646">+IF($BJ$3447="nezostavila.",0,IF($AR$3448="nepriamej",1,0))</f>
        <v>1</v>
      </c>
      <c r="CZ3599" s="30">
        <f t="shared" si="645"/>
        <v>1</v>
      </c>
      <c r="DA3599" s="30">
        <f t="shared" si="642"/>
        <v>1</v>
      </c>
      <c r="DB3599" s="2">
        <f t="shared" si="641"/>
        <v>0</v>
      </c>
      <c r="DS3599" s="130">
        <f>SI!BY3599</f>
        <v>107</v>
      </c>
      <c r="DZ3599" s="131">
        <f>SI!BZ3599</f>
        <v>0</v>
      </c>
    </row>
    <row r="3600" spans="1:130" ht="14.95" hidden="1" customHeight="1" x14ac:dyDescent="0.25">
      <c r="A3600" s="141"/>
      <c r="B3600" s="1467" t="s">
        <v>672</v>
      </c>
      <c r="C3600" s="1468"/>
      <c r="D3600" s="1468"/>
      <c r="E3600" s="1468"/>
      <c r="F3600" s="1468"/>
      <c r="G3600" s="1468"/>
      <c r="H3600" s="1468"/>
      <c r="I3600" s="1469"/>
      <c r="J3600" s="1462" t="s">
        <v>562</v>
      </c>
      <c r="K3600" s="1463"/>
      <c r="L3600" s="1463"/>
      <c r="M3600" s="1463"/>
      <c r="N3600" s="1463"/>
      <c r="O3600" s="1463"/>
      <c r="P3600" s="1463"/>
      <c r="Q3600" s="1463"/>
      <c r="R3600" s="1463"/>
      <c r="S3600" s="1463"/>
      <c r="T3600" s="1463"/>
      <c r="U3600" s="1463"/>
      <c r="V3600" s="1463"/>
      <c r="W3600" s="1463"/>
      <c r="X3600" s="1463"/>
      <c r="Y3600" s="1463"/>
      <c r="Z3600" s="1463"/>
      <c r="AA3600" s="1463"/>
      <c r="AB3600" s="1463"/>
      <c r="AC3600" s="1463"/>
      <c r="AD3600" s="1463"/>
      <c r="AE3600" s="1463"/>
      <c r="AF3600" s="1463"/>
      <c r="AG3600" s="1463"/>
      <c r="AH3600" s="1463"/>
      <c r="AI3600" s="1463"/>
      <c r="AJ3600" s="1463"/>
      <c r="AK3600" s="1463"/>
      <c r="AL3600" s="1463"/>
      <c r="AM3600" s="1463"/>
      <c r="AN3600" s="1463"/>
      <c r="AO3600" s="1463"/>
      <c r="AP3600" s="1463"/>
      <c r="AQ3600" s="1463"/>
      <c r="AR3600" s="1463"/>
      <c r="AS3600" s="1463"/>
      <c r="AT3600" s="1463"/>
      <c r="AU3600" s="1463"/>
      <c r="AV3600" s="1463"/>
      <c r="AW3600" s="1463"/>
      <c r="AX3600" s="1463"/>
      <c r="AY3600" s="1463"/>
      <c r="AZ3600" s="1463"/>
      <c r="BA3600" s="1463"/>
      <c r="BB3600" s="1463"/>
      <c r="BC3600" s="1463"/>
      <c r="BD3600" s="1463"/>
      <c r="BE3600" s="1463"/>
      <c r="BF3600" s="1463"/>
      <c r="BG3600" s="1463"/>
      <c r="BH3600" s="1464"/>
      <c r="BI3600" s="1054"/>
      <c r="BJ3600" s="1132"/>
      <c r="BK3600" s="1055"/>
      <c r="BL3600" s="1055"/>
      <c r="BM3600" s="1055"/>
      <c r="BN3600" s="1055"/>
      <c r="BO3600" s="1055"/>
      <c r="BP3600" s="502"/>
      <c r="BQ3600" s="502"/>
      <c r="BR3600" s="420"/>
      <c r="BS3600" s="421"/>
      <c r="BT3600" s="421"/>
      <c r="BU3600" s="421"/>
      <c r="BV3600" s="421"/>
      <c r="BW3600" s="421"/>
      <c r="BX3600" s="421"/>
      <c r="BY3600" s="421"/>
      <c r="BZ3600" s="422"/>
      <c r="CA3600" s="270"/>
      <c r="CB3600" s="3" t="str">
        <f t="shared" si="644"/>
        <v>Riadok bude skrytý.</v>
      </c>
      <c r="CC3600" s="271" t="s">
        <v>832</v>
      </c>
      <c r="CW3600" s="32">
        <f t="shared" si="646"/>
        <v>1</v>
      </c>
      <c r="CZ3600" s="30">
        <f t="shared" si="645"/>
        <v>1</v>
      </c>
      <c r="DA3600" s="30">
        <f t="shared" si="642"/>
        <v>1</v>
      </c>
      <c r="DB3600" s="2">
        <f t="shared" si="641"/>
        <v>0</v>
      </c>
      <c r="DS3600" s="130">
        <f>SI!BY3600</f>
        <v>119</v>
      </c>
      <c r="DZ3600" s="131">
        <f>SI!BZ3600</f>
        <v>0</v>
      </c>
    </row>
    <row r="3601" spans="1:130" ht="14.95" hidden="1" customHeight="1" x14ac:dyDescent="0.25">
      <c r="A3601" s="141"/>
      <c r="B3601" s="1383" t="s">
        <v>674</v>
      </c>
      <c r="C3601" s="1384"/>
      <c r="D3601" s="1384"/>
      <c r="E3601" s="1384"/>
      <c r="F3601" s="1384"/>
      <c r="G3601" s="1384"/>
      <c r="H3601" s="1384"/>
      <c r="I3601" s="1385"/>
      <c r="J3601" s="429" t="s">
        <v>673</v>
      </c>
      <c r="K3601" s="430"/>
      <c r="L3601" s="430"/>
      <c r="M3601" s="430"/>
      <c r="N3601" s="430"/>
      <c r="O3601" s="430"/>
      <c r="P3601" s="430"/>
      <c r="Q3601" s="430"/>
      <c r="R3601" s="430"/>
      <c r="S3601" s="430"/>
      <c r="T3601" s="430"/>
      <c r="U3601" s="430"/>
      <c r="V3601" s="430"/>
      <c r="W3601" s="430"/>
      <c r="X3601" s="430"/>
      <c r="Y3601" s="430"/>
      <c r="Z3601" s="430"/>
      <c r="AA3601" s="430"/>
      <c r="AB3601" s="430"/>
      <c r="AC3601" s="430"/>
      <c r="AD3601" s="430"/>
      <c r="AE3601" s="430"/>
      <c r="AF3601" s="430"/>
      <c r="AG3601" s="430"/>
      <c r="AH3601" s="430"/>
      <c r="AI3601" s="430"/>
      <c r="AJ3601" s="430"/>
      <c r="AK3601" s="430"/>
      <c r="AL3601" s="430"/>
      <c r="AM3601" s="430"/>
      <c r="AN3601" s="430"/>
      <c r="AO3601" s="430"/>
      <c r="AP3601" s="430"/>
      <c r="AQ3601" s="430"/>
      <c r="AR3601" s="430"/>
      <c r="AS3601" s="430"/>
      <c r="AT3601" s="430"/>
      <c r="AU3601" s="430"/>
      <c r="AV3601" s="430"/>
      <c r="AW3601" s="430"/>
      <c r="AX3601" s="430"/>
      <c r="AY3601" s="430"/>
      <c r="AZ3601" s="430"/>
      <c r="BA3601" s="430"/>
      <c r="BB3601" s="430"/>
      <c r="BC3601" s="430"/>
      <c r="BD3601" s="430"/>
      <c r="BE3601" s="430"/>
      <c r="BF3601" s="430"/>
      <c r="BG3601" s="430"/>
      <c r="BH3601" s="431"/>
      <c r="BI3601" s="363"/>
      <c r="BJ3601" s="386"/>
      <c r="BK3601" s="364"/>
      <c r="BL3601" s="364"/>
      <c r="BM3601" s="364"/>
      <c r="BN3601" s="364"/>
      <c r="BO3601" s="364"/>
      <c r="BP3601" s="475"/>
      <c r="BQ3601" s="475"/>
      <c r="BR3601" s="420"/>
      <c r="BS3601" s="421"/>
      <c r="BT3601" s="421"/>
      <c r="BU3601" s="421"/>
      <c r="BV3601" s="421"/>
      <c r="BW3601" s="421"/>
      <c r="BX3601" s="421"/>
      <c r="BY3601" s="421"/>
      <c r="BZ3601" s="422"/>
      <c r="CA3601" s="270"/>
      <c r="CB3601" s="3" t="str">
        <f t="shared" si="644"/>
        <v>Riadok bude skrytý.</v>
      </c>
      <c r="CC3601" s="271" t="s">
        <v>832</v>
      </c>
      <c r="CW3601" s="32">
        <f t="shared" si="646"/>
        <v>1</v>
      </c>
      <c r="CZ3601" s="30">
        <f t="shared" si="645"/>
        <v>1</v>
      </c>
      <c r="DA3601" s="30">
        <f t="shared" si="642"/>
        <v>1</v>
      </c>
      <c r="DB3601" s="2">
        <f t="shared" si="641"/>
        <v>0</v>
      </c>
      <c r="DS3601" s="130">
        <f>SI!BY3601</f>
        <v>122</v>
      </c>
      <c r="DZ3601" s="131">
        <f>SI!BZ3601</f>
        <v>0</v>
      </c>
    </row>
    <row r="3602" spans="1:130" ht="37.549999999999997" hidden="1" customHeight="1" x14ac:dyDescent="0.25">
      <c r="A3602" s="141"/>
      <c r="B3602" s="1383" t="s">
        <v>675</v>
      </c>
      <c r="C3602" s="1384"/>
      <c r="D3602" s="1384"/>
      <c r="E3602" s="1384"/>
      <c r="F3602" s="1384"/>
      <c r="G3602" s="1384"/>
      <c r="H3602" s="1384"/>
      <c r="I3602" s="1385"/>
      <c r="J3602" s="429" t="s">
        <v>584</v>
      </c>
      <c r="K3602" s="430"/>
      <c r="L3602" s="430"/>
      <c r="M3602" s="430"/>
      <c r="N3602" s="430"/>
      <c r="O3602" s="430"/>
      <c r="P3602" s="430"/>
      <c r="Q3602" s="430"/>
      <c r="R3602" s="430"/>
      <c r="S3602" s="430"/>
      <c r="T3602" s="430"/>
      <c r="U3602" s="430"/>
      <c r="V3602" s="430"/>
      <c r="W3602" s="430"/>
      <c r="X3602" s="430"/>
      <c r="Y3602" s="430"/>
      <c r="Z3602" s="430"/>
      <c r="AA3602" s="430"/>
      <c r="AB3602" s="430"/>
      <c r="AC3602" s="430"/>
      <c r="AD3602" s="430"/>
      <c r="AE3602" s="430"/>
      <c r="AF3602" s="430"/>
      <c r="AG3602" s="430"/>
      <c r="AH3602" s="430"/>
      <c r="AI3602" s="430"/>
      <c r="AJ3602" s="430"/>
      <c r="AK3602" s="430"/>
      <c r="AL3602" s="430"/>
      <c r="AM3602" s="430"/>
      <c r="AN3602" s="430"/>
      <c r="AO3602" s="430"/>
      <c r="AP3602" s="430"/>
      <c r="AQ3602" s="430"/>
      <c r="AR3602" s="430"/>
      <c r="AS3602" s="430"/>
      <c r="AT3602" s="430"/>
      <c r="AU3602" s="430"/>
      <c r="AV3602" s="430"/>
      <c r="AW3602" s="430"/>
      <c r="AX3602" s="430"/>
      <c r="AY3602" s="430"/>
      <c r="AZ3602" s="430"/>
      <c r="BA3602" s="430"/>
      <c r="BB3602" s="430"/>
      <c r="BC3602" s="430"/>
      <c r="BD3602" s="430"/>
      <c r="BE3602" s="430"/>
      <c r="BF3602" s="430"/>
      <c r="BG3602" s="430"/>
      <c r="BH3602" s="431"/>
      <c r="BI3602" s="363"/>
      <c r="BJ3602" s="386"/>
      <c r="BK3602" s="364"/>
      <c r="BL3602" s="364"/>
      <c r="BM3602" s="364"/>
      <c r="BN3602" s="364"/>
      <c r="BO3602" s="364"/>
      <c r="BP3602" s="475"/>
      <c r="BQ3602" s="475"/>
      <c r="BR3602" s="420"/>
      <c r="BS3602" s="421"/>
      <c r="BT3602" s="421"/>
      <c r="BU3602" s="421"/>
      <c r="BV3602" s="421"/>
      <c r="BW3602" s="421"/>
      <c r="BX3602" s="421"/>
      <c r="BY3602" s="421"/>
      <c r="BZ3602" s="422"/>
      <c r="CA3602" s="270"/>
      <c r="CB3602" s="3" t="str">
        <f t="shared" si="644"/>
        <v>Riadok bude skrytý.</v>
      </c>
      <c r="CC3602" s="271" t="s">
        <v>832</v>
      </c>
      <c r="CW3602" s="32">
        <f t="shared" si="646"/>
        <v>1</v>
      </c>
      <c r="CZ3602" s="30">
        <f t="shared" si="645"/>
        <v>1</v>
      </c>
      <c r="DA3602" s="30">
        <f t="shared" si="642"/>
        <v>1</v>
      </c>
      <c r="DB3602" s="2">
        <f t="shared" si="641"/>
        <v>0</v>
      </c>
      <c r="DS3602" s="130">
        <f>SI!BY3602</f>
        <v>132</v>
      </c>
      <c r="DZ3602" s="131">
        <f>SI!BZ3602</f>
        <v>0</v>
      </c>
    </row>
    <row r="3603" spans="1:130" ht="37.549999999999997" hidden="1" customHeight="1" x14ac:dyDescent="0.25">
      <c r="A3603" s="141"/>
      <c r="B3603" s="1383" t="s">
        <v>676</v>
      </c>
      <c r="C3603" s="1384"/>
      <c r="D3603" s="1384"/>
      <c r="E3603" s="1384"/>
      <c r="F3603" s="1384"/>
      <c r="G3603" s="1384"/>
      <c r="H3603" s="1384"/>
      <c r="I3603" s="1385"/>
      <c r="J3603" s="429" t="s">
        <v>563</v>
      </c>
      <c r="K3603" s="430"/>
      <c r="L3603" s="430"/>
      <c r="M3603" s="430"/>
      <c r="N3603" s="430"/>
      <c r="O3603" s="430"/>
      <c r="P3603" s="430"/>
      <c r="Q3603" s="430"/>
      <c r="R3603" s="430"/>
      <c r="S3603" s="430"/>
      <c r="T3603" s="430"/>
      <c r="U3603" s="430"/>
      <c r="V3603" s="430"/>
      <c r="W3603" s="430"/>
      <c r="X3603" s="430"/>
      <c r="Y3603" s="430"/>
      <c r="Z3603" s="430"/>
      <c r="AA3603" s="430"/>
      <c r="AB3603" s="430"/>
      <c r="AC3603" s="430"/>
      <c r="AD3603" s="430"/>
      <c r="AE3603" s="430"/>
      <c r="AF3603" s="430"/>
      <c r="AG3603" s="430"/>
      <c r="AH3603" s="430"/>
      <c r="AI3603" s="430"/>
      <c r="AJ3603" s="430"/>
      <c r="AK3603" s="430"/>
      <c r="AL3603" s="430"/>
      <c r="AM3603" s="430"/>
      <c r="AN3603" s="430"/>
      <c r="AO3603" s="430"/>
      <c r="AP3603" s="430"/>
      <c r="AQ3603" s="430"/>
      <c r="AR3603" s="430"/>
      <c r="AS3603" s="430"/>
      <c r="AT3603" s="430"/>
      <c r="AU3603" s="430"/>
      <c r="AV3603" s="430"/>
      <c r="AW3603" s="430"/>
      <c r="AX3603" s="430"/>
      <c r="AY3603" s="430"/>
      <c r="AZ3603" s="430"/>
      <c r="BA3603" s="430"/>
      <c r="BB3603" s="430"/>
      <c r="BC3603" s="430"/>
      <c r="BD3603" s="430"/>
      <c r="BE3603" s="430"/>
      <c r="BF3603" s="430"/>
      <c r="BG3603" s="430"/>
      <c r="BH3603" s="431"/>
      <c r="BI3603" s="363"/>
      <c r="BJ3603" s="386"/>
      <c r="BK3603" s="364"/>
      <c r="BL3603" s="364"/>
      <c r="BM3603" s="364"/>
      <c r="BN3603" s="364"/>
      <c r="BO3603" s="364"/>
      <c r="BP3603" s="475"/>
      <c r="BQ3603" s="475"/>
      <c r="BR3603" s="420"/>
      <c r="BS3603" s="421"/>
      <c r="BT3603" s="421"/>
      <c r="BU3603" s="421"/>
      <c r="BV3603" s="421"/>
      <c r="BW3603" s="421"/>
      <c r="BX3603" s="421"/>
      <c r="BY3603" s="421"/>
      <c r="BZ3603" s="422"/>
      <c r="CA3603" s="270"/>
      <c r="CB3603" s="3" t="str">
        <f t="shared" si="644"/>
        <v>Riadok bude skrytý.</v>
      </c>
      <c r="CC3603" s="271" t="s">
        <v>832</v>
      </c>
      <c r="CW3603" s="32">
        <f t="shared" si="646"/>
        <v>1</v>
      </c>
      <c r="CZ3603" s="30">
        <f t="shared" si="645"/>
        <v>1</v>
      </c>
      <c r="DA3603" s="30">
        <f t="shared" si="642"/>
        <v>1</v>
      </c>
      <c r="DB3603" s="2">
        <f t="shared" si="641"/>
        <v>0</v>
      </c>
      <c r="DS3603" s="130">
        <f>SI!BY3603</f>
        <v>132</v>
      </c>
      <c r="DZ3603" s="131">
        <f>SI!BZ3603</f>
        <v>0</v>
      </c>
    </row>
    <row r="3604" spans="1:130" ht="14.95" hidden="1" customHeight="1" x14ac:dyDescent="0.25">
      <c r="A3604" s="141"/>
      <c r="B3604" s="1383" t="s">
        <v>677</v>
      </c>
      <c r="C3604" s="1384"/>
      <c r="D3604" s="1384"/>
      <c r="E3604" s="1384"/>
      <c r="F3604" s="1384"/>
      <c r="G3604" s="1384"/>
      <c r="H3604" s="1384"/>
      <c r="I3604" s="1385"/>
      <c r="J3604" s="429" t="s">
        <v>564</v>
      </c>
      <c r="K3604" s="430"/>
      <c r="L3604" s="430"/>
      <c r="M3604" s="430"/>
      <c r="N3604" s="430"/>
      <c r="O3604" s="430"/>
      <c r="P3604" s="430"/>
      <c r="Q3604" s="430"/>
      <c r="R3604" s="430"/>
      <c r="S3604" s="430"/>
      <c r="T3604" s="430"/>
      <c r="U3604" s="430"/>
      <c r="V3604" s="430"/>
      <c r="W3604" s="430"/>
      <c r="X3604" s="430"/>
      <c r="Y3604" s="430"/>
      <c r="Z3604" s="430"/>
      <c r="AA3604" s="430"/>
      <c r="AB3604" s="430"/>
      <c r="AC3604" s="430"/>
      <c r="AD3604" s="430"/>
      <c r="AE3604" s="430"/>
      <c r="AF3604" s="430"/>
      <c r="AG3604" s="430"/>
      <c r="AH3604" s="430"/>
      <c r="AI3604" s="430"/>
      <c r="AJ3604" s="430"/>
      <c r="AK3604" s="430"/>
      <c r="AL3604" s="430"/>
      <c r="AM3604" s="430"/>
      <c r="AN3604" s="430"/>
      <c r="AO3604" s="430"/>
      <c r="AP3604" s="430"/>
      <c r="AQ3604" s="430"/>
      <c r="AR3604" s="430"/>
      <c r="AS3604" s="430"/>
      <c r="AT3604" s="430"/>
      <c r="AU3604" s="430"/>
      <c r="AV3604" s="430"/>
      <c r="AW3604" s="430"/>
      <c r="AX3604" s="430"/>
      <c r="AY3604" s="430"/>
      <c r="AZ3604" s="430"/>
      <c r="BA3604" s="430"/>
      <c r="BB3604" s="430"/>
      <c r="BC3604" s="430"/>
      <c r="BD3604" s="430"/>
      <c r="BE3604" s="430"/>
      <c r="BF3604" s="430"/>
      <c r="BG3604" s="430"/>
      <c r="BH3604" s="431"/>
      <c r="BI3604" s="363"/>
      <c r="BJ3604" s="386"/>
      <c r="BK3604" s="364"/>
      <c r="BL3604" s="364"/>
      <c r="BM3604" s="364"/>
      <c r="BN3604" s="364"/>
      <c r="BO3604" s="364"/>
      <c r="BP3604" s="475"/>
      <c r="BQ3604" s="475"/>
      <c r="BR3604" s="420"/>
      <c r="BS3604" s="421"/>
      <c r="BT3604" s="421"/>
      <c r="BU3604" s="421"/>
      <c r="BV3604" s="421"/>
      <c r="BW3604" s="421"/>
      <c r="BX3604" s="421"/>
      <c r="BY3604" s="421"/>
      <c r="BZ3604" s="422"/>
      <c r="CA3604" s="270"/>
      <c r="CB3604" s="3" t="str">
        <f t="shared" si="644"/>
        <v>Riadok bude skrytý.</v>
      </c>
      <c r="CC3604" s="271" t="s">
        <v>832</v>
      </c>
      <c r="CW3604" s="32">
        <f t="shared" si="646"/>
        <v>1</v>
      </c>
      <c r="CZ3604" s="30">
        <f t="shared" si="645"/>
        <v>1</v>
      </c>
      <c r="DA3604" s="30">
        <f t="shared" si="642"/>
        <v>1</v>
      </c>
      <c r="DB3604" s="2">
        <f t="shared" si="641"/>
        <v>0</v>
      </c>
      <c r="DS3604" s="130">
        <f>SI!BY3604</f>
        <v>123</v>
      </c>
      <c r="DZ3604" s="131">
        <f>SI!BZ3604</f>
        <v>0</v>
      </c>
    </row>
    <row r="3605" spans="1:130" ht="14.95" hidden="1" customHeight="1" x14ac:dyDescent="0.25">
      <c r="A3605" s="141"/>
      <c r="B3605" s="1383" t="s">
        <v>678</v>
      </c>
      <c r="C3605" s="1384"/>
      <c r="D3605" s="1384"/>
      <c r="E3605" s="1384"/>
      <c r="F3605" s="1384"/>
      <c r="G3605" s="1384"/>
      <c r="H3605" s="1384"/>
      <c r="I3605" s="1385"/>
      <c r="J3605" s="429" t="s">
        <v>565</v>
      </c>
      <c r="K3605" s="430"/>
      <c r="L3605" s="430"/>
      <c r="M3605" s="430"/>
      <c r="N3605" s="430"/>
      <c r="O3605" s="430"/>
      <c r="P3605" s="430"/>
      <c r="Q3605" s="430"/>
      <c r="R3605" s="430"/>
      <c r="S3605" s="430"/>
      <c r="T3605" s="430"/>
      <c r="U3605" s="430"/>
      <c r="V3605" s="430"/>
      <c r="W3605" s="430"/>
      <c r="X3605" s="430"/>
      <c r="Y3605" s="430"/>
      <c r="Z3605" s="430"/>
      <c r="AA3605" s="430"/>
      <c r="AB3605" s="430"/>
      <c r="AC3605" s="430"/>
      <c r="AD3605" s="430"/>
      <c r="AE3605" s="430"/>
      <c r="AF3605" s="430"/>
      <c r="AG3605" s="430"/>
      <c r="AH3605" s="430"/>
      <c r="AI3605" s="430"/>
      <c r="AJ3605" s="430"/>
      <c r="AK3605" s="430"/>
      <c r="AL3605" s="430"/>
      <c r="AM3605" s="430"/>
      <c r="AN3605" s="430"/>
      <c r="AO3605" s="430"/>
      <c r="AP3605" s="430"/>
      <c r="AQ3605" s="430"/>
      <c r="AR3605" s="430"/>
      <c r="AS3605" s="430"/>
      <c r="AT3605" s="430"/>
      <c r="AU3605" s="430"/>
      <c r="AV3605" s="430"/>
      <c r="AW3605" s="430"/>
      <c r="AX3605" s="430"/>
      <c r="AY3605" s="430"/>
      <c r="AZ3605" s="430"/>
      <c r="BA3605" s="430"/>
      <c r="BB3605" s="430"/>
      <c r="BC3605" s="430"/>
      <c r="BD3605" s="430"/>
      <c r="BE3605" s="430"/>
      <c r="BF3605" s="430"/>
      <c r="BG3605" s="430"/>
      <c r="BH3605" s="431"/>
      <c r="BI3605" s="363"/>
      <c r="BJ3605" s="386"/>
      <c r="BK3605" s="364"/>
      <c r="BL3605" s="364"/>
      <c r="BM3605" s="364"/>
      <c r="BN3605" s="364"/>
      <c r="BO3605" s="364"/>
      <c r="BP3605" s="475"/>
      <c r="BQ3605" s="475"/>
      <c r="BR3605" s="420"/>
      <c r="BS3605" s="421"/>
      <c r="BT3605" s="421"/>
      <c r="BU3605" s="421"/>
      <c r="BV3605" s="421"/>
      <c r="BW3605" s="421"/>
      <c r="BX3605" s="421"/>
      <c r="BY3605" s="421"/>
      <c r="BZ3605" s="422"/>
      <c r="CA3605" s="270"/>
      <c r="CB3605" s="3" t="str">
        <f t="shared" si="644"/>
        <v>Riadok bude skrytý.</v>
      </c>
      <c r="CC3605" s="271" t="s">
        <v>832</v>
      </c>
      <c r="CW3605" s="32">
        <f t="shared" si="646"/>
        <v>1</v>
      </c>
      <c r="CZ3605" s="30">
        <f t="shared" si="645"/>
        <v>1</v>
      </c>
      <c r="DA3605" s="30">
        <f t="shared" si="642"/>
        <v>1</v>
      </c>
      <c r="DB3605" s="2">
        <f t="shared" si="641"/>
        <v>0</v>
      </c>
      <c r="DS3605" s="130">
        <f>SI!BY3605</f>
        <v>153</v>
      </c>
      <c r="DZ3605" s="131">
        <f>SI!BZ3605</f>
        <v>0</v>
      </c>
    </row>
    <row r="3606" spans="1:130" ht="24.8" hidden="1" customHeight="1" x14ac:dyDescent="0.25">
      <c r="A3606" s="141"/>
      <c r="B3606" s="1383" t="s">
        <v>679</v>
      </c>
      <c r="C3606" s="1384"/>
      <c r="D3606" s="1384"/>
      <c r="E3606" s="1384"/>
      <c r="F3606" s="1384"/>
      <c r="G3606" s="1384"/>
      <c r="H3606" s="1384"/>
      <c r="I3606" s="1385"/>
      <c r="J3606" s="429" t="s">
        <v>566</v>
      </c>
      <c r="K3606" s="430"/>
      <c r="L3606" s="430"/>
      <c r="M3606" s="430"/>
      <c r="N3606" s="430"/>
      <c r="O3606" s="430"/>
      <c r="P3606" s="430"/>
      <c r="Q3606" s="430"/>
      <c r="R3606" s="430"/>
      <c r="S3606" s="430"/>
      <c r="T3606" s="430"/>
      <c r="U3606" s="430"/>
      <c r="V3606" s="430"/>
      <c r="W3606" s="430"/>
      <c r="X3606" s="430"/>
      <c r="Y3606" s="430"/>
      <c r="Z3606" s="430"/>
      <c r="AA3606" s="430"/>
      <c r="AB3606" s="430"/>
      <c r="AC3606" s="430"/>
      <c r="AD3606" s="430"/>
      <c r="AE3606" s="430"/>
      <c r="AF3606" s="430"/>
      <c r="AG3606" s="430"/>
      <c r="AH3606" s="430"/>
      <c r="AI3606" s="430"/>
      <c r="AJ3606" s="430"/>
      <c r="AK3606" s="430"/>
      <c r="AL3606" s="430"/>
      <c r="AM3606" s="430"/>
      <c r="AN3606" s="430"/>
      <c r="AO3606" s="430"/>
      <c r="AP3606" s="430"/>
      <c r="AQ3606" s="430"/>
      <c r="AR3606" s="430"/>
      <c r="AS3606" s="430"/>
      <c r="AT3606" s="430"/>
      <c r="AU3606" s="430"/>
      <c r="AV3606" s="430"/>
      <c r="AW3606" s="430"/>
      <c r="AX3606" s="430"/>
      <c r="AY3606" s="430"/>
      <c r="AZ3606" s="430"/>
      <c r="BA3606" s="430"/>
      <c r="BB3606" s="430"/>
      <c r="BC3606" s="430"/>
      <c r="BD3606" s="430"/>
      <c r="BE3606" s="430"/>
      <c r="BF3606" s="430"/>
      <c r="BG3606" s="430"/>
      <c r="BH3606" s="431"/>
      <c r="BI3606" s="363"/>
      <c r="BJ3606" s="386"/>
      <c r="BK3606" s="364"/>
      <c r="BL3606" s="364"/>
      <c r="BM3606" s="364"/>
      <c r="BN3606" s="364"/>
      <c r="BO3606" s="364"/>
      <c r="BP3606" s="475"/>
      <c r="BQ3606" s="475"/>
      <c r="BR3606" s="420"/>
      <c r="BS3606" s="421"/>
      <c r="BT3606" s="421"/>
      <c r="BU3606" s="421"/>
      <c r="BV3606" s="421"/>
      <c r="BW3606" s="421"/>
      <c r="BX3606" s="421"/>
      <c r="BY3606" s="421"/>
      <c r="BZ3606" s="422"/>
      <c r="CA3606" s="270"/>
      <c r="CB3606" s="3" t="str">
        <f t="shared" si="644"/>
        <v>Riadok bude skrytý.</v>
      </c>
      <c r="CC3606" s="271" t="s">
        <v>832</v>
      </c>
      <c r="CW3606" s="32">
        <f t="shared" si="646"/>
        <v>1</v>
      </c>
      <c r="CZ3606" s="30">
        <f t="shared" si="645"/>
        <v>1</v>
      </c>
      <c r="DA3606" s="30">
        <f t="shared" si="642"/>
        <v>1</v>
      </c>
      <c r="DB3606" s="2">
        <f t="shared" si="641"/>
        <v>0</v>
      </c>
      <c r="DS3606" s="130">
        <f>SI!BY3606</f>
        <v>158</v>
      </c>
      <c r="DZ3606" s="131">
        <f>SI!BZ3606</f>
        <v>0</v>
      </c>
    </row>
    <row r="3607" spans="1:130" ht="37.549999999999997" hidden="1" customHeight="1" x14ac:dyDescent="0.25">
      <c r="A3607" s="141"/>
      <c r="B3607" s="1383" t="s">
        <v>681</v>
      </c>
      <c r="C3607" s="1384"/>
      <c r="D3607" s="1384"/>
      <c r="E3607" s="1384"/>
      <c r="F3607" s="1384"/>
      <c r="G3607" s="1384"/>
      <c r="H3607" s="1384"/>
      <c r="I3607" s="1385"/>
      <c r="J3607" s="429" t="s">
        <v>680</v>
      </c>
      <c r="K3607" s="430"/>
      <c r="L3607" s="430"/>
      <c r="M3607" s="430"/>
      <c r="N3607" s="430"/>
      <c r="O3607" s="430"/>
      <c r="P3607" s="430"/>
      <c r="Q3607" s="430"/>
      <c r="R3607" s="430"/>
      <c r="S3607" s="430"/>
      <c r="T3607" s="430"/>
      <c r="U3607" s="430"/>
      <c r="V3607" s="430"/>
      <c r="W3607" s="430"/>
      <c r="X3607" s="430"/>
      <c r="Y3607" s="430"/>
      <c r="Z3607" s="430"/>
      <c r="AA3607" s="430"/>
      <c r="AB3607" s="430"/>
      <c r="AC3607" s="430"/>
      <c r="AD3607" s="430"/>
      <c r="AE3607" s="430"/>
      <c r="AF3607" s="430"/>
      <c r="AG3607" s="430"/>
      <c r="AH3607" s="430"/>
      <c r="AI3607" s="430"/>
      <c r="AJ3607" s="430"/>
      <c r="AK3607" s="430"/>
      <c r="AL3607" s="430"/>
      <c r="AM3607" s="430"/>
      <c r="AN3607" s="430"/>
      <c r="AO3607" s="430"/>
      <c r="AP3607" s="430"/>
      <c r="AQ3607" s="430"/>
      <c r="AR3607" s="430"/>
      <c r="AS3607" s="430"/>
      <c r="AT3607" s="430"/>
      <c r="AU3607" s="430"/>
      <c r="AV3607" s="430"/>
      <c r="AW3607" s="430"/>
      <c r="AX3607" s="430"/>
      <c r="AY3607" s="430"/>
      <c r="AZ3607" s="430"/>
      <c r="BA3607" s="430"/>
      <c r="BB3607" s="430"/>
      <c r="BC3607" s="430"/>
      <c r="BD3607" s="430"/>
      <c r="BE3607" s="430"/>
      <c r="BF3607" s="430"/>
      <c r="BG3607" s="430"/>
      <c r="BH3607" s="431"/>
      <c r="BI3607" s="363"/>
      <c r="BJ3607" s="386"/>
      <c r="BK3607" s="364"/>
      <c r="BL3607" s="364"/>
      <c r="BM3607" s="364"/>
      <c r="BN3607" s="364"/>
      <c r="BO3607" s="364"/>
      <c r="BP3607" s="475"/>
      <c r="BQ3607" s="475"/>
      <c r="BR3607" s="420"/>
      <c r="BS3607" s="421"/>
      <c r="BT3607" s="421"/>
      <c r="BU3607" s="421"/>
      <c r="BV3607" s="421"/>
      <c r="BW3607" s="421"/>
      <c r="BX3607" s="421"/>
      <c r="BY3607" s="421"/>
      <c r="BZ3607" s="422"/>
      <c r="CA3607" s="270"/>
      <c r="CB3607" s="3" t="str">
        <f t="shared" si="644"/>
        <v>Riadok bude skrytý.</v>
      </c>
      <c r="CC3607" s="271" t="s">
        <v>832</v>
      </c>
      <c r="CW3607" s="32">
        <f t="shared" si="646"/>
        <v>1</v>
      </c>
      <c r="CZ3607" s="30">
        <f t="shared" si="645"/>
        <v>1</v>
      </c>
      <c r="DA3607" s="30">
        <f t="shared" si="642"/>
        <v>1</v>
      </c>
      <c r="DB3607" s="2">
        <f t="shared" si="641"/>
        <v>0</v>
      </c>
      <c r="DS3607" s="130">
        <f>SI!BY3607</f>
        <v>116</v>
      </c>
      <c r="DZ3607" s="131">
        <f>SI!BZ3607</f>
        <v>0</v>
      </c>
    </row>
    <row r="3608" spans="1:130" ht="49.6" hidden="1" customHeight="1" x14ac:dyDescent="0.25">
      <c r="A3608" s="141"/>
      <c r="B3608" s="1803" t="s">
        <v>683</v>
      </c>
      <c r="C3608" s="1804"/>
      <c r="D3608" s="1804"/>
      <c r="E3608" s="1804"/>
      <c r="F3608" s="1804"/>
      <c r="G3608" s="1804"/>
      <c r="H3608" s="1804"/>
      <c r="I3608" s="1805"/>
      <c r="J3608" s="1806" t="s">
        <v>682</v>
      </c>
      <c r="K3608" s="1807"/>
      <c r="L3608" s="1807"/>
      <c r="M3608" s="1807"/>
      <c r="N3608" s="1807"/>
      <c r="O3608" s="1807"/>
      <c r="P3608" s="1807"/>
      <c r="Q3608" s="1807"/>
      <c r="R3608" s="1807"/>
      <c r="S3608" s="1807"/>
      <c r="T3608" s="1807"/>
      <c r="U3608" s="1807"/>
      <c r="V3608" s="1807"/>
      <c r="W3608" s="1807"/>
      <c r="X3608" s="1807"/>
      <c r="Y3608" s="1807"/>
      <c r="Z3608" s="1807"/>
      <c r="AA3608" s="1807"/>
      <c r="AB3608" s="1807"/>
      <c r="AC3608" s="1807"/>
      <c r="AD3608" s="1807"/>
      <c r="AE3608" s="1807"/>
      <c r="AF3608" s="1807"/>
      <c r="AG3608" s="1807"/>
      <c r="AH3608" s="1807"/>
      <c r="AI3608" s="1807"/>
      <c r="AJ3608" s="1807"/>
      <c r="AK3608" s="1807"/>
      <c r="AL3608" s="1807"/>
      <c r="AM3608" s="1807"/>
      <c r="AN3608" s="1807"/>
      <c r="AO3608" s="1807"/>
      <c r="AP3608" s="1807"/>
      <c r="AQ3608" s="1807"/>
      <c r="AR3608" s="1807"/>
      <c r="AS3608" s="1807"/>
      <c r="AT3608" s="1807"/>
      <c r="AU3608" s="1807"/>
      <c r="AV3608" s="1807"/>
      <c r="AW3608" s="1807"/>
      <c r="AX3608" s="1807"/>
      <c r="AY3608" s="1807"/>
      <c r="AZ3608" s="1807"/>
      <c r="BA3608" s="1807"/>
      <c r="BB3608" s="1807"/>
      <c r="BC3608" s="1807"/>
      <c r="BD3608" s="1807"/>
      <c r="BE3608" s="1807"/>
      <c r="BF3608" s="1807"/>
      <c r="BG3608" s="1807"/>
      <c r="BH3608" s="1808"/>
      <c r="BI3608" s="367"/>
      <c r="BJ3608" s="457"/>
      <c r="BK3608" s="368"/>
      <c r="BL3608" s="368"/>
      <c r="BM3608" s="368"/>
      <c r="BN3608" s="368"/>
      <c r="BO3608" s="368"/>
      <c r="BP3608" s="458"/>
      <c r="BQ3608" s="458"/>
      <c r="BR3608" s="454"/>
      <c r="BS3608" s="455"/>
      <c r="BT3608" s="455"/>
      <c r="BU3608" s="455"/>
      <c r="BV3608" s="455"/>
      <c r="BW3608" s="455"/>
      <c r="BX3608" s="455"/>
      <c r="BY3608" s="455"/>
      <c r="BZ3608" s="456"/>
      <c r="CA3608" s="270"/>
      <c r="CB3608" s="3" t="str">
        <f t="shared" si="644"/>
        <v>Riadok bude skrytý.</v>
      </c>
      <c r="CC3608" s="271" t="s">
        <v>832</v>
      </c>
      <c r="CW3608" s="32">
        <f t="shared" si="646"/>
        <v>1</v>
      </c>
      <c r="CZ3608" s="30">
        <f t="shared" si="645"/>
        <v>1</v>
      </c>
      <c r="DA3608" s="30">
        <f t="shared" si="642"/>
        <v>1</v>
      </c>
      <c r="DB3608" s="2">
        <f t="shared" si="641"/>
        <v>0</v>
      </c>
      <c r="DS3608" s="130">
        <f>SI!BY3608</f>
        <v>185</v>
      </c>
      <c r="DZ3608" s="131">
        <f>SI!BZ3608</f>
        <v>0</v>
      </c>
    </row>
    <row r="3609" spans="1:130" ht="24.8" hidden="1" customHeight="1" x14ac:dyDescent="0.25">
      <c r="A3609" s="141"/>
      <c r="B3609" s="1467" t="s">
        <v>684</v>
      </c>
      <c r="C3609" s="1468"/>
      <c r="D3609" s="1468"/>
      <c r="E3609" s="1468"/>
      <c r="F3609" s="1468"/>
      <c r="G3609" s="1468"/>
      <c r="H3609" s="1468"/>
      <c r="I3609" s="1469"/>
      <c r="J3609" s="1406" t="s">
        <v>569</v>
      </c>
      <c r="K3609" s="1407"/>
      <c r="L3609" s="1407"/>
      <c r="M3609" s="1407"/>
      <c r="N3609" s="1407"/>
      <c r="O3609" s="1407"/>
      <c r="P3609" s="1407"/>
      <c r="Q3609" s="1407"/>
      <c r="R3609" s="1407"/>
      <c r="S3609" s="1407"/>
      <c r="T3609" s="1407"/>
      <c r="U3609" s="1407"/>
      <c r="V3609" s="1407"/>
      <c r="W3609" s="1407"/>
      <c r="X3609" s="1407"/>
      <c r="Y3609" s="1407"/>
      <c r="Z3609" s="1407"/>
      <c r="AA3609" s="1407"/>
      <c r="AB3609" s="1407"/>
      <c r="AC3609" s="1407"/>
      <c r="AD3609" s="1407"/>
      <c r="AE3609" s="1407"/>
      <c r="AF3609" s="1407"/>
      <c r="AG3609" s="1407"/>
      <c r="AH3609" s="1407"/>
      <c r="AI3609" s="1407"/>
      <c r="AJ3609" s="1407"/>
      <c r="AK3609" s="1407"/>
      <c r="AL3609" s="1407"/>
      <c r="AM3609" s="1407"/>
      <c r="AN3609" s="1407"/>
      <c r="AO3609" s="1407"/>
      <c r="AP3609" s="1407"/>
      <c r="AQ3609" s="1407"/>
      <c r="AR3609" s="1407"/>
      <c r="AS3609" s="1407"/>
      <c r="AT3609" s="1407"/>
      <c r="AU3609" s="1407"/>
      <c r="AV3609" s="1407"/>
      <c r="AW3609" s="1407"/>
      <c r="AX3609" s="1407"/>
      <c r="AY3609" s="1407"/>
      <c r="AZ3609" s="1407"/>
      <c r="BA3609" s="1407"/>
      <c r="BB3609" s="1407"/>
      <c r="BC3609" s="1407"/>
      <c r="BD3609" s="1407"/>
      <c r="BE3609" s="1407"/>
      <c r="BF3609" s="1407"/>
      <c r="BG3609" s="1407"/>
      <c r="BH3609" s="1408"/>
      <c r="BI3609" s="1054"/>
      <c r="BJ3609" s="1132"/>
      <c r="BK3609" s="1055"/>
      <c r="BL3609" s="1055"/>
      <c r="BM3609" s="1055"/>
      <c r="BN3609" s="1055"/>
      <c r="BO3609" s="1055"/>
      <c r="BP3609" s="502"/>
      <c r="BQ3609" s="502"/>
      <c r="BR3609" s="466"/>
      <c r="BS3609" s="467"/>
      <c r="BT3609" s="467"/>
      <c r="BU3609" s="467"/>
      <c r="BV3609" s="467"/>
      <c r="BW3609" s="467"/>
      <c r="BX3609" s="467"/>
      <c r="BY3609" s="467"/>
      <c r="BZ3609" s="468"/>
      <c r="CA3609" s="265" t="s">
        <v>773</v>
      </c>
      <c r="CB3609" s="3" t="str">
        <f t="shared" si="644"/>
        <v>Riadok bude skrytý.</v>
      </c>
      <c r="CC3609" s="271" t="s">
        <v>832</v>
      </c>
      <c r="CW3609" s="32">
        <f t="shared" si="646"/>
        <v>1</v>
      </c>
      <c r="CZ3609" s="30">
        <f t="shared" si="645"/>
        <v>1</v>
      </c>
      <c r="DA3609" s="30">
        <f t="shared" si="642"/>
        <v>1</v>
      </c>
      <c r="DB3609" s="2">
        <f t="shared" si="641"/>
        <v>0</v>
      </c>
      <c r="DS3609" s="130">
        <f>SI!BY3609</f>
        <v>144</v>
      </c>
      <c r="DZ3609" s="131">
        <f>SI!BZ3609</f>
        <v>0</v>
      </c>
    </row>
    <row r="3610" spans="1:130" ht="24.8" hidden="1" customHeight="1" x14ac:dyDescent="0.25">
      <c r="A3610" s="141"/>
      <c r="B3610" s="1383" t="s">
        <v>685</v>
      </c>
      <c r="C3610" s="1384"/>
      <c r="D3610" s="1384"/>
      <c r="E3610" s="1384"/>
      <c r="F3610" s="1384"/>
      <c r="G3610" s="1384"/>
      <c r="H3610" s="1384"/>
      <c r="I3610" s="1385"/>
      <c r="J3610" s="429" t="s">
        <v>570</v>
      </c>
      <c r="K3610" s="430"/>
      <c r="L3610" s="430"/>
      <c r="M3610" s="430"/>
      <c r="N3610" s="430"/>
      <c r="O3610" s="430"/>
      <c r="P3610" s="430"/>
      <c r="Q3610" s="430"/>
      <c r="R3610" s="430"/>
      <c r="S3610" s="430"/>
      <c r="T3610" s="430"/>
      <c r="U3610" s="430"/>
      <c r="V3610" s="430"/>
      <c r="W3610" s="430"/>
      <c r="X3610" s="430"/>
      <c r="Y3610" s="430"/>
      <c r="Z3610" s="430"/>
      <c r="AA3610" s="430"/>
      <c r="AB3610" s="430"/>
      <c r="AC3610" s="430"/>
      <c r="AD3610" s="430"/>
      <c r="AE3610" s="430"/>
      <c r="AF3610" s="430"/>
      <c r="AG3610" s="430"/>
      <c r="AH3610" s="430"/>
      <c r="AI3610" s="430"/>
      <c r="AJ3610" s="430"/>
      <c r="AK3610" s="430"/>
      <c r="AL3610" s="430"/>
      <c r="AM3610" s="430"/>
      <c r="AN3610" s="430"/>
      <c r="AO3610" s="430"/>
      <c r="AP3610" s="430"/>
      <c r="AQ3610" s="430"/>
      <c r="AR3610" s="430"/>
      <c r="AS3610" s="430"/>
      <c r="AT3610" s="430"/>
      <c r="AU3610" s="430"/>
      <c r="AV3610" s="430"/>
      <c r="AW3610" s="430"/>
      <c r="AX3610" s="430"/>
      <c r="AY3610" s="430"/>
      <c r="AZ3610" s="430"/>
      <c r="BA3610" s="430"/>
      <c r="BB3610" s="430"/>
      <c r="BC3610" s="430"/>
      <c r="BD3610" s="430"/>
      <c r="BE3610" s="430"/>
      <c r="BF3610" s="430"/>
      <c r="BG3610" s="430"/>
      <c r="BH3610" s="431"/>
      <c r="BI3610" s="363"/>
      <c r="BJ3610" s="386"/>
      <c r="BK3610" s="364"/>
      <c r="BL3610" s="364"/>
      <c r="BM3610" s="364"/>
      <c r="BN3610" s="364"/>
      <c r="BO3610" s="364"/>
      <c r="BP3610" s="475"/>
      <c r="BQ3610" s="475"/>
      <c r="BR3610" s="420"/>
      <c r="BS3610" s="421"/>
      <c r="BT3610" s="421"/>
      <c r="BU3610" s="421"/>
      <c r="BV3610" s="421"/>
      <c r="BW3610" s="421"/>
      <c r="BX3610" s="421"/>
      <c r="BY3610" s="421"/>
      <c r="BZ3610" s="422"/>
      <c r="CA3610" s="270"/>
      <c r="CB3610" s="3" t="str">
        <f t="shared" si="644"/>
        <v>Riadok bude skrytý.</v>
      </c>
      <c r="CC3610" s="271" t="s">
        <v>832</v>
      </c>
      <c r="CW3610" s="32">
        <f t="shared" si="646"/>
        <v>1</v>
      </c>
      <c r="CZ3610" s="30">
        <f t="shared" si="645"/>
        <v>1</v>
      </c>
      <c r="DA3610" s="30">
        <f t="shared" si="642"/>
        <v>1</v>
      </c>
      <c r="DB3610" s="2">
        <f t="shared" si="641"/>
        <v>0</v>
      </c>
      <c r="DS3610" s="130">
        <f>SI!BY3610</f>
        <v>120</v>
      </c>
      <c r="DZ3610" s="131">
        <f>SI!BZ3610</f>
        <v>0</v>
      </c>
    </row>
    <row r="3611" spans="1:130" ht="37.549999999999997" hidden="1" customHeight="1" x14ac:dyDescent="0.25">
      <c r="A3611" s="141"/>
      <c r="B3611" s="1383" t="s">
        <v>687</v>
      </c>
      <c r="C3611" s="1384"/>
      <c r="D3611" s="1384"/>
      <c r="E3611" s="1384"/>
      <c r="F3611" s="1384"/>
      <c r="G3611" s="1384"/>
      <c r="H3611" s="1384"/>
      <c r="I3611" s="1385"/>
      <c r="J3611" s="429" t="s">
        <v>686</v>
      </c>
      <c r="K3611" s="430"/>
      <c r="L3611" s="430"/>
      <c r="M3611" s="430"/>
      <c r="N3611" s="430"/>
      <c r="O3611" s="430"/>
      <c r="P3611" s="430"/>
      <c r="Q3611" s="430"/>
      <c r="R3611" s="430"/>
      <c r="S3611" s="430"/>
      <c r="T3611" s="430"/>
      <c r="U3611" s="430"/>
      <c r="V3611" s="430"/>
      <c r="W3611" s="430"/>
      <c r="X3611" s="430"/>
      <c r="Y3611" s="430"/>
      <c r="Z3611" s="430"/>
      <c r="AA3611" s="430"/>
      <c r="AB3611" s="430"/>
      <c r="AC3611" s="430"/>
      <c r="AD3611" s="430"/>
      <c r="AE3611" s="430"/>
      <c r="AF3611" s="430"/>
      <c r="AG3611" s="430"/>
      <c r="AH3611" s="430"/>
      <c r="AI3611" s="430"/>
      <c r="AJ3611" s="430"/>
      <c r="AK3611" s="430"/>
      <c r="AL3611" s="430"/>
      <c r="AM3611" s="430"/>
      <c r="AN3611" s="430"/>
      <c r="AO3611" s="430"/>
      <c r="AP3611" s="430"/>
      <c r="AQ3611" s="430"/>
      <c r="AR3611" s="430"/>
      <c r="AS3611" s="430"/>
      <c r="AT3611" s="430"/>
      <c r="AU3611" s="430"/>
      <c r="AV3611" s="430"/>
      <c r="AW3611" s="430"/>
      <c r="AX3611" s="430"/>
      <c r="AY3611" s="430"/>
      <c r="AZ3611" s="430"/>
      <c r="BA3611" s="430"/>
      <c r="BB3611" s="430"/>
      <c r="BC3611" s="430"/>
      <c r="BD3611" s="430"/>
      <c r="BE3611" s="430"/>
      <c r="BF3611" s="430"/>
      <c r="BG3611" s="430"/>
      <c r="BH3611" s="431"/>
      <c r="BI3611" s="363"/>
      <c r="BJ3611" s="386"/>
      <c r="BK3611" s="364"/>
      <c r="BL3611" s="364"/>
      <c r="BM3611" s="364"/>
      <c r="BN3611" s="364"/>
      <c r="BO3611" s="364"/>
      <c r="BP3611" s="475"/>
      <c r="BQ3611" s="475"/>
      <c r="BR3611" s="420"/>
      <c r="BS3611" s="421"/>
      <c r="BT3611" s="421"/>
      <c r="BU3611" s="421"/>
      <c r="BV3611" s="421"/>
      <c r="BW3611" s="421"/>
      <c r="BX3611" s="421"/>
      <c r="BY3611" s="421"/>
      <c r="BZ3611" s="422"/>
      <c r="CA3611" s="270"/>
      <c r="CB3611" s="3" t="str">
        <f t="shared" si="644"/>
        <v>Riadok bude skrytý.</v>
      </c>
      <c r="CC3611" s="271" t="s">
        <v>832</v>
      </c>
      <c r="CW3611" s="32">
        <f t="shared" si="646"/>
        <v>1</v>
      </c>
      <c r="CZ3611" s="30">
        <f t="shared" si="645"/>
        <v>1</v>
      </c>
      <c r="DA3611" s="30">
        <f t="shared" si="642"/>
        <v>1</v>
      </c>
      <c r="DB3611" s="2">
        <f t="shared" si="641"/>
        <v>0</v>
      </c>
      <c r="DS3611" s="130">
        <f>SI!BY3611</f>
        <v>110</v>
      </c>
      <c r="DZ3611" s="131">
        <f>SI!BZ3611</f>
        <v>0</v>
      </c>
    </row>
    <row r="3612" spans="1:130" ht="37.549999999999997" hidden="1" customHeight="1" x14ac:dyDescent="0.25">
      <c r="A3612" s="141"/>
      <c r="B3612" s="1383" t="s">
        <v>688</v>
      </c>
      <c r="C3612" s="1384"/>
      <c r="D3612" s="1384"/>
      <c r="E3612" s="1384"/>
      <c r="F3612" s="1384"/>
      <c r="G3612" s="1384"/>
      <c r="H3612" s="1384"/>
      <c r="I3612" s="1385"/>
      <c r="J3612" s="429" t="s">
        <v>572</v>
      </c>
      <c r="K3612" s="430"/>
      <c r="L3612" s="430"/>
      <c r="M3612" s="430"/>
      <c r="N3612" s="430"/>
      <c r="O3612" s="430"/>
      <c r="P3612" s="430"/>
      <c r="Q3612" s="430"/>
      <c r="R3612" s="430"/>
      <c r="S3612" s="430"/>
      <c r="T3612" s="430"/>
      <c r="U3612" s="430"/>
      <c r="V3612" s="430"/>
      <c r="W3612" s="430"/>
      <c r="X3612" s="430"/>
      <c r="Y3612" s="430"/>
      <c r="Z3612" s="430"/>
      <c r="AA3612" s="430"/>
      <c r="AB3612" s="430"/>
      <c r="AC3612" s="430"/>
      <c r="AD3612" s="430"/>
      <c r="AE3612" s="430"/>
      <c r="AF3612" s="430"/>
      <c r="AG3612" s="430"/>
      <c r="AH3612" s="430"/>
      <c r="AI3612" s="430"/>
      <c r="AJ3612" s="430"/>
      <c r="AK3612" s="430"/>
      <c r="AL3612" s="430"/>
      <c r="AM3612" s="430"/>
      <c r="AN3612" s="430"/>
      <c r="AO3612" s="430"/>
      <c r="AP3612" s="430"/>
      <c r="AQ3612" s="430"/>
      <c r="AR3612" s="430"/>
      <c r="AS3612" s="430"/>
      <c r="AT3612" s="430"/>
      <c r="AU3612" s="430"/>
      <c r="AV3612" s="430"/>
      <c r="AW3612" s="430"/>
      <c r="AX3612" s="430"/>
      <c r="AY3612" s="430"/>
      <c r="AZ3612" s="430"/>
      <c r="BA3612" s="430"/>
      <c r="BB3612" s="430"/>
      <c r="BC3612" s="430"/>
      <c r="BD3612" s="430"/>
      <c r="BE3612" s="430"/>
      <c r="BF3612" s="430"/>
      <c r="BG3612" s="430"/>
      <c r="BH3612" s="431"/>
      <c r="BI3612" s="363"/>
      <c r="BJ3612" s="386"/>
      <c r="BK3612" s="364"/>
      <c r="BL3612" s="364"/>
      <c r="BM3612" s="364"/>
      <c r="BN3612" s="364"/>
      <c r="BO3612" s="364"/>
      <c r="BP3612" s="475"/>
      <c r="BQ3612" s="475"/>
      <c r="BR3612" s="420"/>
      <c r="BS3612" s="421"/>
      <c r="BT3612" s="421"/>
      <c r="BU3612" s="421"/>
      <c r="BV3612" s="421"/>
      <c r="BW3612" s="421"/>
      <c r="BX3612" s="421"/>
      <c r="BY3612" s="421"/>
      <c r="BZ3612" s="422"/>
      <c r="CA3612" s="270"/>
      <c r="CB3612" s="3" t="str">
        <f t="shared" si="644"/>
        <v>Riadok bude skrytý.</v>
      </c>
      <c r="CC3612" s="271" t="s">
        <v>832</v>
      </c>
      <c r="CW3612" s="32">
        <f t="shared" si="646"/>
        <v>1</v>
      </c>
      <c r="CZ3612" s="30">
        <f t="shared" si="645"/>
        <v>1</v>
      </c>
      <c r="DA3612" s="30">
        <f t="shared" si="642"/>
        <v>1</v>
      </c>
      <c r="DB3612" s="2">
        <f t="shared" si="641"/>
        <v>0</v>
      </c>
      <c r="DS3612" s="130">
        <f>SI!BY3612</f>
        <v>190</v>
      </c>
      <c r="DZ3612" s="131">
        <f>SI!BZ3612</f>
        <v>0</v>
      </c>
    </row>
    <row r="3613" spans="1:130" ht="24.8" hidden="1" customHeight="1" x14ac:dyDescent="0.25">
      <c r="A3613" s="141"/>
      <c r="B3613" s="1383" t="s">
        <v>689</v>
      </c>
      <c r="C3613" s="1384"/>
      <c r="D3613" s="1384"/>
      <c r="E3613" s="1384"/>
      <c r="F3613" s="1384"/>
      <c r="G3613" s="1384"/>
      <c r="H3613" s="1384"/>
      <c r="I3613" s="1385"/>
      <c r="J3613" s="429" t="s">
        <v>573</v>
      </c>
      <c r="K3613" s="430"/>
      <c r="L3613" s="430"/>
      <c r="M3613" s="430"/>
      <c r="N3613" s="430"/>
      <c r="O3613" s="430"/>
      <c r="P3613" s="430"/>
      <c r="Q3613" s="430"/>
      <c r="R3613" s="430"/>
      <c r="S3613" s="430"/>
      <c r="T3613" s="430"/>
      <c r="U3613" s="430"/>
      <c r="V3613" s="430"/>
      <c r="W3613" s="430"/>
      <c r="X3613" s="430"/>
      <c r="Y3613" s="430"/>
      <c r="Z3613" s="430"/>
      <c r="AA3613" s="430"/>
      <c r="AB3613" s="430"/>
      <c r="AC3613" s="430"/>
      <c r="AD3613" s="430"/>
      <c r="AE3613" s="430"/>
      <c r="AF3613" s="430"/>
      <c r="AG3613" s="430"/>
      <c r="AH3613" s="430"/>
      <c r="AI3613" s="430"/>
      <c r="AJ3613" s="430"/>
      <c r="AK3613" s="430"/>
      <c r="AL3613" s="430"/>
      <c r="AM3613" s="430"/>
      <c r="AN3613" s="430"/>
      <c r="AO3613" s="430"/>
      <c r="AP3613" s="430"/>
      <c r="AQ3613" s="430"/>
      <c r="AR3613" s="430"/>
      <c r="AS3613" s="430"/>
      <c r="AT3613" s="430"/>
      <c r="AU3613" s="430"/>
      <c r="AV3613" s="430"/>
      <c r="AW3613" s="430"/>
      <c r="AX3613" s="430"/>
      <c r="AY3613" s="430"/>
      <c r="AZ3613" s="430"/>
      <c r="BA3613" s="430"/>
      <c r="BB3613" s="430"/>
      <c r="BC3613" s="430"/>
      <c r="BD3613" s="430"/>
      <c r="BE3613" s="430"/>
      <c r="BF3613" s="430"/>
      <c r="BG3613" s="430"/>
      <c r="BH3613" s="431"/>
      <c r="BI3613" s="363"/>
      <c r="BJ3613" s="386"/>
      <c r="BK3613" s="364"/>
      <c r="BL3613" s="364"/>
      <c r="BM3613" s="364"/>
      <c r="BN3613" s="364"/>
      <c r="BO3613" s="364"/>
      <c r="BP3613" s="475"/>
      <c r="BQ3613" s="475"/>
      <c r="BR3613" s="420"/>
      <c r="BS3613" s="421"/>
      <c r="BT3613" s="421"/>
      <c r="BU3613" s="421"/>
      <c r="BV3613" s="421"/>
      <c r="BW3613" s="421"/>
      <c r="BX3613" s="421"/>
      <c r="BY3613" s="421"/>
      <c r="BZ3613" s="422"/>
      <c r="CA3613" s="270"/>
      <c r="CB3613" s="3" t="str">
        <f t="shared" si="644"/>
        <v>Riadok bude skrytý.</v>
      </c>
      <c r="CC3613" s="271" t="s">
        <v>832</v>
      </c>
      <c r="CW3613" s="32">
        <f t="shared" si="646"/>
        <v>1</v>
      </c>
      <c r="CZ3613" s="30">
        <f t="shared" si="645"/>
        <v>1</v>
      </c>
      <c r="DA3613" s="30">
        <f t="shared" si="642"/>
        <v>1</v>
      </c>
      <c r="DB3613" s="2">
        <f t="shared" si="641"/>
        <v>0</v>
      </c>
      <c r="DS3613" s="130">
        <f>SI!BY3613</f>
        <v>103</v>
      </c>
      <c r="DZ3613" s="131">
        <f>SI!BZ3613</f>
        <v>0</v>
      </c>
    </row>
    <row r="3614" spans="1:130" ht="24.8" hidden="1" customHeight="1" x14ac:dyDescent="0.25">
      <c r="A3614" s="141"/>
      <c r="B3614" s="1383" t="s">
        <v>690</v>
      </c>
      <c r="C3614" s="1384"/>
      <c r="D3614" s="1384"/>
      <c r="E3614" s="1384"/>
      <c r="F3614" s="1384"/>
      <c r="G3614" s="1384"/>
      <c r="H3614" s="1384"/>
      <c r="I3614" s="1385"/>
      <c r="J3614" s="429" t="s">
        <v>1045</v>
      </c>
      <c r="K3614" s="430"/>
      <c r="L3614" s="430"/>
      <c r="M3614" s="430"/>
      <c r="N3614" s="430"/>
      <c r="O3614" s="430"/>
      <c r="P3614" s="430"/>
      <c r="Q3614" s="430"/>
      <c r="R3614" s="430"/>
      <c r="S3614" s="430"/>
      <c r="T3614" s="430"/>
      <c r="U3614" s="430"/>
      <c r="V3614" s="430"/>
      <c r="W3614" s="430"/>
      <c r="X3614" s="430"/>
      <c r="Y3614" s="430"/>
      <c r="Z3614" s="430"/>
      <c r="AA3614" s="430"/>
      <c r="AB3614" s="430"/>
      <c r="AC3614" s="430"/>
      <c r="AD3614" s="430"/>
      <c r="AE3614" s="430"/>
      <c r="AF3614" s="430"/>
      <c r="AG3614" s="430"/>
      <c r="AH3614" s="430"/>
      <c r="AI3614" s="430"/>
      <c r="AJ3614" s="430"/>
      <c r="AK3614" s="430"/>
      <c r="AL3614" s="430"/>
      <c r="AM3614" s="430"/>
      <c r="AN3614" s="430"/>
      <c r="AO3614" s="430"/>
      <c r="AP3614" s="430"/>
      <c r="AQ3614" s="430"/>
      <c r="AR3614" s="430"/>
      <c r="AS3614" s="430"/>
      <c r="AT3614" s="430"/>
      <c r="AU3614" s="430"/>
      <c r="AV3614" s="430"/>
      <c r="AW3614" s="430"/>
      <c r="AX3614" s="430"/>
      <c r="AY3614" s="430"/>
      <c r="AZ3614" s="430"/>
      <c r="BA3614" s="430"/>
      <c r="BB3614" s="430"/>
      <c r="BC3614" s="430"/>
      <c r="BD3614" s="430"/>
      <c r="BE3614" s="430"/>
      <c r="BF3614" s="430"/>
      <c r="BG3614" s="430"/>
      <c r="BH3614" s="431"/>
      <c r="BI3614" s="363"/>
      <c r="BJ3614" s="386"/>
      <c r="BK3614" s="364"/>
      <c r="BL3614" s="364"/>
      <c r="BM3614" s="364"/>
      <c r="BN3614" s="364"/>
      <c r="BO3614" s="364"/>
      <c r="BP3614" s="475"/>
      <c r="BQ3614" s="475"/>
      <c r="BR3614" s="420"/>
      <c r="BS3614" s="421"/>
      <c r="BT3614" s="421"/>
      <c r="BU3614" s="421"/>
      <c r="BV3614" s="421"/>
      <c r="BW3614" s="421"/>
      <c r="BX3614" s="421"/>
      <c r="BY3614" s="421"/>
      <c r="BZ3614" s="422"/>
      <c r="CA3614" s="270"/>
      <c r="CB3614" s="3" t="str">
        <f t="shared" si="644"/>
        <v>Riadok bude skrytý.</v>
      </c>
      <c r="CC3614" s="271" t="s">
        <v>832</v>
      </c>
      <c r="CD3614" s="137"/>
      <c r="CE3614" s="137"/>
      <c r="CW3614" s="32">
        <f t="shared" si="646"/>
        <v>1</v>
      </c>
      <c r="CZ3614" s="30">
        <f t="shared" si="645"/>
        <v>1</v>
      </c>
      <c r="DA3614" s="30">
        <f t="shared" si="642"/>
        <v>1</v>
      </c>
      <c r="DB3614" s="2">
        <f t="shared" si="641"/>
        <v>0</v>
      </c>
      <c r="DS3614" s="130">
        <f>SI!BY3614</f>
        <v>167</v>
      </c>
      <c r="DZ3614" s="131">
        <f>SI!BZ3614</f>
        <v>0</v>
      </c>
    </row>
    <row r="3615" spans="1:130" ht="24.8" hidden="1" customHeight="1" x14ac:dyDescent="0.25">
      <c r="A3615" s="141"/>
      <c r="B3615" s="1812" t="s">
        <v>691</v>
      </c>
      <c r="C3615" s="1813"/>
      <c r="D3615" s="1813"/>
      <c r="E3615" s="1813"/>
      <c r="F3615" s="1813"/>
      <c r="G3615" s="1813"/>
      <c r="H3615" s="1813"/>
      <c r="I3615" s="1814"/>
      <c r="J3615" s="429" t="s">
        <v>1046</v>
      </c>
      <c r="K3615" s="430"/>
      <c r="L3615" s="430"/>
      <c r="M3615" s="430"/>
      <c r="N3615" s="430"/>
      <c r="O3615" s="430"/>
      <c r="P3615" s="430"/>
      <c r="Q3615" s="430"/>
      <c r="R3615" s="430"/>
      <c r="S3615" s="430"/>
      <c r="T3615" s="430"/>
      <c r="U3615" s="430"/>
      <c r="V3615" s="430"/>
      <c r="W3615" s="430"/>
      <c r="X3615" s="430"/>
      <c r="Y3615" s="430"/>
      <c r="Z3615" s="430"/>
      <c r="AA3615" s="430"/>
      <c r="AB3615" s="430"/>
      <c r="AC3615" s="430"/>
      <c r="AD3615" s="430"/>
      <c r="AE3615" s="430"/>
      <c r="AF3615" s="430"/>
      <c r="AG3615" s="430"/>
      <c r="AH3615" s="430"/>
      <c r="AI3615" s="430"/>
      <c r="AJ3615" s="430"/>
      <c r="AK3615" s="430"/>
      <c r="AL3615" s="430"/>
      <c r="AM3615" s="430"/>
      <c r="AN3615" s="430"/>
      <c r="AO3615" s="430"/>
      <c r="AP3615" s="430"/>
      <c r="AQ3615" s="430"/>
      <c r="AR3615" s="430"/>
      <c r="AS3615" s="430"/>
      <c r="AT3615" s="430"/>
      <c r="AU3615" s="430"/>
      <c r="AV3615" s="430"/>
      <c r="AW3615" s="430"/>
      <c r="AX3615" s="430"/>
      <c r="AY3615" s="430"/>
      <c r="AZ3615" s="430"/>
      <c r="BA3615" s="430"/>
      <c r="BB3615" s="430"/>
      <c r="BC3615" s="430"/>
      <c r="BD3615" s="430"/>
      <c r="BE3615" s="430"/>
      <c r="BF3615" s="430"/>
      <c r="BG3615" s="430"/>
      <c r="BH3615" s="431"/>
      <c r="BI3615" s="459"/>
      <c r="BJ3615" s="460"/>
      <c r="BK3615" s="461"/>
      <c r="BL3615" s="461"/>
      <c r="BM3615" s="461"/>
      <c r="BN3615" s="461"/>
      <c r="BO3615" s="461"/>
      <c r="BP3615" s="462"/>
      <c r="BQ3615" s="462"/>
      <c r="BR3615" s="420"/>
      <c r="BS3615" s="421"/>
      <c r="BT3615" s="421"/>
      <c r="BU3615" s="421"/>
      <c r="BV3615" s="421"/>
      <c r="BW3615" s="421"/>
      <c r="BX3615" s="421"/>
      <c r="BY3615" s="421"/>
      <c r="BZ3615" s="422"/>
      <c r="CA3615" s="270"/>
      <c r="CB3615" s="3" t="str">
        <f t="shared" si="644"/>
        <v>Riadok bude skrytý.</v>
      </c>
      <c r="CC3615" s="271" t="s">
        <v>832</v>
      </c>
      <c r="CD3615" s="137"/>
      <c r="CE3615" s="137"/>
      <c r="CW3615" s="32">
        <f t="shared" si="646"/>
        <v>1</v>
      </c>
      <c r="CZ3615" s="30">
        <f t="shared" si="645"/>
        <v>1</v>
      </c>
      <c r="DA3615" s="30">
        <f t="shared" si="642"/>
        <v>1</v>
      </c>
      <c r="DB3615" s="2">
        <f t="shared" si="641"/>
        <v>0</v>
      </c>
      <c r="DS3615" s="130">
        <f>SI!BY3615</f>
        <v>173</v>
      </c>
      <c r="DZ3615" s="131">
        <f>SI!BZ3615</f>
        <v>0</v>
      </c>
    </row>
    <row r="3616" spans="1:130" ht="14.95" hidden="1" customHeight="1" x14ac:dyDescent="0.25">
      <c r="A3616" s="141"/>
      <c r="B3616" s="1815" t="s">
        <v>513</v>
      </c>
      <c r="C3616" s="1816"/>
      <c r="D3616" s="1816"/>
      <c r="E3616" s="1816"/>
      <c r="F3616" s="1816"/>
      <c r="G3616" s="1816"/>
      <c r="H3616" s="1816"/>
      <c r="I3616" s="1817"/>
      <c r="J3616" s="426" t="s">
        <v>574</v>
      </c>
      <c r="K3616" s="427"/>
      <c r="L3616" s="427"/>
      <c r="M3616" s="427"/>
      <c r="N3616" s="427"/>
      <c r="O3616" s="427"/>
      <c r="P3616" s="427"/>
      <c r="Q3616" s="427"/>
      <c r="R3616" s="427"/>
      <c r="S3616" s="427"/>
      <c r="T3616" s="427"/>
      <c r="U3616" s="427"/>
      <c r="V3616" s="427"/>
      <c r="W3616" s="427"/>
      <c r="X3616" s="427"/>
      <c r="Y3616" s="427"/>
      <c r="Z3616" s="427"/>
      <c r="AA3616" s="427"/>
      <c r="AB3616" s="427"/>
      <c r="AC3616" s="427"/>
      <c r="AD3616" s="427"/>
      <c r="AE3616" s="427"/>
      <c r="AF3616" s="427"/>
      <c r="AG3616" s="427"/>
      <c r="AH3616" s="427"/>
      <c r="AI3616" s="427"/>
      <c r="AJ3616" s="427"/>
      <c r="AK3616" s="427"/>
      <c r="AL3616" s="427"/>
      <c r="AM3616" s="427"/>
      <c r="AN3616" s="427"/>
      <c r="AO3616" s="427"/>
      <c r="AP3616" s="427"/>
      <c r="AQ3616" s="427"/>
      <c r="AR3616" s="427"/>
      <c r="AS3616" s="427"/>
      <c r="AT3616" s="427"/>
      <c r="AU3616" s="427"/>
      <c r="AV3616" s="427"/>
      <c r="AW3616" s="427"/>
      <c r="AX3616" s="427"/>
      <c r="AY3616" s="427"/>
      <c r="AZ3616" s="427"/>
      <c r="BA3616" s="427"/>
      <c r="BB3616" s="427"/>
      <c r="BC3616" s="427"/>
      <c r="BD3616" s="427"/>
      <c r="BE3616" s="427"/>
      <c r="BF3616" s="427"/>
      <c r="BG3616" s="427"/>
      <c r="BH3616" s="428"/>
      <c r="BI3616" s="411">
        <f>+BI3590+BI3599+BI3609+BI3610+BI3611+BI3612+BI3613+BI3614+BI3615</f>
        <v>0</v>
      </c>
      <c r="BJ3616" s="476"/>
      <c r="BK3616" s="412"/>
      <c r="BL3616" s="412"/>
      <c r="BM3616" s="412"/>
      <c r="BN3616" s="412"/>
      <c r="BO3616" s="412"/>
      <c r="BP3616" s="477"/>
      <c r="BQ3616" s="477"/>
      <c r="BR3616" s="423">
        <f>+BR3590+BR3599+BR3609+BR3610+BR3611+BR3612+BR3613+BR3614+BR3615</f>
        <v>0</v>
      </c>
      <c r="BS3616" s="424"/>
      <c r="BT3616" s="424"/>
      <c r="BU3616" s="424"/>
      <c r="BV3616" s="424"/>
      <c r="BW3616" s="424"/>
      <c r="BX3616" s="424"/>
      <c r="BY3616" s="424"/>
      <c r="BZ3616" s="425"/>
      <c r="CA3616" s="270"/>
      <c r="CB3616" s="3" t="str">
        <f t="shared" si="644"/>
        <v>Riadok bude skrytý.</v>
      </c>
      <c r="CC3616" s="271" t="s">
        <v>832</v>
      </c>
      <c r="CW3616" s="32">
        <f t="shared" si="646"/>
        <v>1</v>
      </c>
      <c r="CZ3616" s="30">
        <f t="shared" si="645"/>
        <v>1</v>
      </c>
      <c r="DA3616" s="30">
        <f t="shared" si="642"/>
        <v>1</v>
      </c>
      <c r="DB3616" s="2">
        <f t="shared" si="641"/>
        <v>0</v>
      </c>
      <c r="DS3616" s="130">
        <f>SI!BY3616</f>
        <v>156</v>
      </c>
      <c r="DZ3616" s="131">
        <f>SI!BZ3616</f>
        <v>0</v>
      </c>
    </row>
    <row r="3617" spans="1:130" ht="24.8" hidden="1" customHeight="1" x14ac:dyDescent="0.25">
      <c r="A3617" s="141"/>
      <c r="B3617" s="2176" t="s">
        <v>692</v>
      </c>
      <c r="C3617" s="2176"/>
      <c r="D3617" s="2176"/>
      <c r="E3617" s="2176"/>
      <c r="F3617" s="2176"/>
      <c r="G3617" s="2176"/>
      <c r="H3617" s="2176"/>
      <c r="I3617" s="2177"/>
      <c r="J3617" s="426" t="s">
        <v>575</v>
      </c>
      <c r="K3617" s="427"/>
      <c r="L3617" s="427"/>
      <c r="M3617" s="427"/>
      <c r="N3617" s="427"/>
      <c r="O3617" s="427"/>
      <c r="P3617" s="427"/>
      <c r="Q3617" s="427"/>
      <c r="R3617" s="427"/>
      <c r="S3617" s="427"/>
      <c r="T3617" s="427"/>
      <c r="U3617" s="427"/>
      <c r="V3617" s="427"/>
      <c r="W3617" s="427"/>
      <c r="X3617" s="427"/>
      <c r="Y3617" s="427"/>
      <c r="Z3617" s="427"/>
      <c r="AA3617" s="427"/>
      <c r="AB3617" s="427"/>
      <c r="AC3617" s="427"/>
      <c r="AD3617" s="427"/>
      <c r="AE3617" s="427"/>
      <c r="AF3617" s="427"/>
      <c r="AG3617" s="427"/>
      <c r="AH3617" s="427"/>
      <c r="AI3617" s="427"/>
      <c r="AJ3617" s="427"/>
      <c r="AK3617" s="427"/>
      <c r="AL3617" s="427"/>
      <c r="AM3617" s="427"/>
      <c r="AN3617" s="427"/>
      <c r="AO3617" s="427"/>
      <c r="AP3617" s="427"/>
      <c r="AQ3617" s="427"/>
      <c r="AR3617" s="427"/>
      <c r="AS3617" s="427"/>
      <c r="AT3617" s="427"/>
      <c r="AU3617" s="427"/>
      <c r="AV3617" s="427"/>
      <c r="AW3617" s="427"/>
      <c r="AX3617" s="427"/>
      <c r="AY3617" s="427"/>
      <c r="AZ3617" s="427"/>
      <c r="BA3617" s="427"/>
      <c r="BB3617" s="427"/>
      <c r="BC3617" s="427"/>
      <c r="BD3617" s="427"/>
      <c r="BE3617" s="427"/>
      <c r="BF3617" s="427"/>
      <c r="BG3617" s="427"/>
      <c r="BH3617" s="428"/>
      <c r="BI3617" s="654">
        <f>+BI3567+BI3588+BI3616</f>
        <v>0</v>
      </c>
      <c r="BJ3617" s="654"/>
      <c r="BK3617" s="654"/>
      <c r="BL3617" s="654"/>
      <c r="BM3617" s="654"/>
      <c r="BN3617" s="654"/>
      <c r="BO3617" s="654"/>
      <c r="BP3617" s="423"/>
      <c r="BQ3617" s="423"/>
      <c r="BR3617" s="423">
        <f>+BR3567+BR3588+BR3616</f>
        <v>0</v>
      </c>
      <c r="BS3617" s="424"/>
      <c r="BT3617" s="424"/>
      <c r="BU3617" s="424"/>
      <c r="BV3617" s="424"/>
      <c r="BW3617" s="424"/>
      <c r="BX3617" s="424"/>
      <c r="BY3617" s="424"/>
      <c r="BZ3617" s="425"/>
      <c r="CA3617" s="265" t="s">
        <v>773</v>
      </c>
      <c r="CB3617" s="3" t="str">
        <f t="shared" si="644"/>
        <v>Riadok bude skrytý.</v>
      </c>
      <c r="CC3617" s="271" t="s">
        <v>832</v>
      </c>
      <c r="CW3617" s="32">
        <f t="shared" si="646"/>
        <v>1</v>
      </c>
      <c r="CZ3617" s="30">
        <f t="shared" si="645"/>
        <v>1</v>
      </c>
      <c r="DA3617" s="30">
        <f t="shared" si="642"/>
        <v>1</v>
      </c>
      <c r="DB3617" s="2">
        <f t="shared" si="641"/>
        <v>0</v>
      </c>
      <c r="DS3617" s="130">
        <f>SI!BY3617</f>
        <v>196</v>
      </c>
      <c r="DZ3617" s="131">
        <f>SI!BZ3617</f>
        <v>0</v>
      </c>
    </row>
    <row r="3618" spans="1:130" ht="24.8" hidden="1" customHeight="1" x14ac:dyDescent="0.25">
      <c r="A3618" s="141"/>
      <c r="B3618" s="2176" t="s">
        <v>693</v>
      </c>
      <c r="C3618" s="2176"/>
      <c r="D3618" s="2176"/>
      <c r="E3618" s="2176"/>
      <c r="F3618" s="2176"/>
      <c r="G3618" s="2176"/>
      <c r="H3618" s="2176"/>
      <c r="I3618" s="2177"/>
      <c r="J3618" s="426" t="s">
        <v>576</v>
      </c>
      <c r="K3618" s="427"/>
      <c r="L3618" s="427"/>
      <c r="M3618" s="427"/>
      <c r="N3618" s="427"/>
      <c r="O3618" s="427"/>
      <c r="P3618" s="427"/>
      <c r="Q3618" s="427"/>
      <c r="R3618" s="427"/>
      <c r="S3618" s="427"/>
      <c r="T3618" s="427"/>
      <c r="U3618" s="427"/>
      <c r="V3618" s="427"/>
      <c r="W3618" s="427"/>
      <c r="X3618" s="427"/>
      <c r="Y3618" s="427"/>
      <c r="Z3618" s="427"/>
      <c r="AA3618" s="427"/>
      <c r="AB3618" s="427"/>
      <c r="AC3618" s="427"/>
      <c r="AD3618" s="427"/>
      <c r="AE3618" s="427"/>
      <c r="AF3618" s="427"/>
      <c r="AG3618" s="427"/>
      <c r="AH3618" s="427"/>
      <c r="AI3618" s="427"/>
      <c r="AJ3618" s="427"/>
      <c r="AK3618" s="427"/>
      <c r="AL3618" s="427"/>
      <c r="AM3618" s="427"/>
      <c r="AN3618" s="427"/>
      <c r="AO3618" s="427"/>
      <c r="AP3618" s="427"/>
      <c r="AQ3618" s="427"/>
      <c r="AR3618" s="427"/>
      <c r="AS3618" s="427"/>
      <c r="AT3618" s="427"/>
      <c r="AU3618" s="427"/>
      <c r="AV3618" s="427"/>
      <c r="AW3618" s="427"/>
      <c r="AX3618" s="427"/>
      <c r="AY3618" s="427"/>
      <c r="AZ3618" s="427"/>
      <c r="BA3618" s="427"/>
      <c r="BB3618" s="427"/>
      <c r="BC3618" s="427"/>
      <c r="BD3618" s="427"/>
      <c r="BE3618" s="427"/>
      <c r="BF3618" s="427"/>
      <c r="BG3618" s="427"/>
      <c r="BH3618" s="428"/>
      <c r="BI3618" s="2178"/>
      <c r="BJ3618" s="2178"/>
      <c r="BK3618" s="2178"/>
      <c r="BL3618" s="2178"/>
      <c r="BM3618" s="2178"/>
      <c r="BN3618" s="2178"/>
      <c r="BO3618" s="2178"/>
      <c r="BP3618" s="463"/>
      <c r="BQ3618" s="463"/>
      <c r="BR3618" s="463"/>
      <c r="BS3618" s="464"/>
      <c r="BT3618" s="464"/>
      <c r="BU3618" s="464"/>
      <c r="BV3618" s="464"/>
      <c r="BW3618" s="464"/>
      <c r="BX3618" s="464"/>
      <c r="BY3618" s="464"/>
      <c r="BZ3618" s="465"/>
      <c r="CA3618" s="270"/>
      <c r="CB3618" s="3" t="str">
        <f t="shared" si="644"/>
        <v>Riadok bude skrytý.</v>
      </c>
      <c r="CC3618" s="271" t="s">
        <v>832</v>
      </c>
      <c r="CW3618" s="32">
        <f t="shared" si="646"/>
        <v>1</v>
      </c>
      <c r="CZ3618" s="30">
        <f t="shared" si="645"/>
        <v>1</v>
      </c>
      <c r="DA3618" s="30">
        <f t="shared" si="642"/>
        <v>1</v>
      </c>
      <c r="DB3618" s="2">
        <f t="shared" si="641"/>
        <v>0</v>
      </c>
      <c r="DS3618" s="130">
        <f>SI!BY3618</f>
        <v>136</v>
      </c>
      <c r="DZ3618" s="131">
        <f>SI!BZ3618</f>
        <v>0</v>
      </c>
    </row>
    <row r="3619" spans="1:130" ht="37.549999999999997" hidden="1" customHeight="1" x14ac:dyDescent="0.25">
      <c r="A3619" s="141"/>
      <c r="B3619" s="2176" t="s">
        <v>694</v>
      </c>
      <c r="C3619" s="2176"/>
      <c r="D3619" s="2176"/>
      <c r="E3619" s="2176"/>
      <c r="F3619" s="2176"/>
      <c r="G3619" s="2176"/>
      <c r="H3619" s="2176"/>
      <c r="I3619" s="2177"/>
      <c r="J3619" s="426" t="s">
        <v>577</v>
      </c>
      <c r="K3619" s="427"/>
      <c r="L3619" s="427"/>
      <c r="M3619" s="427"/>
      <c r="N3619" s="427"/>
      <c r="O3619" s="427"/>
      <c r="P3619" s="427"/>
      <c r="Q3619" s="427"/>
      <c r="R3619" s="427"/>
      <c r="S3619" s="427"/>
      <c r="T3619" s="427"/>
      <c r="U3619" s="427"/>
      <c r="V3619" s="427"/>
      <c r="W3619" s="427"/>
      <c r="X3619" s="427"/>
      <c r="Y3619" s="427"/>
      <c r="Z3619" s="427"/>
      <c r="AA3619" s="427"/>
      <c r="AB3619" s="427"/>
      <c r="AC3619" s="427"/>
      <c r="AD3619" s="427"/>
      <c r="AE3619" s="427"/>
      <c r="AF3619" s="427"/>
      <c r="AG3619" s="427"/>
      <c r="AH3619" s="427"/>
      <c r="AI3619" s="427"/>
      <c r="AJ3619" s="427"/>
      <c r="AK3619" s="427"/>
      <c r="AL3619" s="427"/>
      <c r="AM3619" s="427"/>
      <c r="AN3619" s="427"/>
      <c r="AO3619" s="427"/>
      <c r="AP3619" s="427"/>
      <c r="AQ3619" s="427"/>
      <c r="AR3619" s="427"/>
      <c r="AS3619" s="427"/>
      <c r="AT3619" s="427"/>
      <c r="AU3619" s="427"/>
      <c r="AV3619" s="427"/>
      <c r="AW3619" s="427"/>
      <c r="AX3619" s="427"/>
      <c r="AY3619" s="427"/>
      <c r="AZ3619" s="427"/>
      <c r="BA3619" s="427"/>
      <c r="BB3619" s="427"/>
      <c r="BC3619" s="427"/>
      <c r="BD3619" s="427"/>
      <c r="BE3619" s="427"/>
      <c r="BF3619" s="427"/>
      <c r="BG3619" s="427"/>
      <c r="BH3619" s="428"/>
      <c r="BI3619" s="654">
        <f>+BI3617+BI3618</f>
        <v>0</v>
      </c>
      <c r="BJ3619" s="654"/>
      <c r="BK3619" s="654"/>
      <c r="BL3619" s="654"/>
      <c r="BM3619" s="654"/>
      <c r="BN3619" s="654"/>
      <c r="BO3619" s="654"/>
      <c r="BP3619" s="423"/>
      <c r="BQ3619" s="423"/>
      <c r="BR3619" s="423">
        <f>+BR3617+BR3618</f>
        <v>0</v>
      </c>
      <c r="BS3619" s="424"/>
      <c r="BT3619" s="424"/>
      <c r="BU3619" s="424"/>
      <c r="BV3619" s="424"/>
      <c r="BW3619" s="424"/>
      <c r="BX3619" s="424"/>
      <c r="BY3619" s="424"/>
      <c r="BZ3619" s="425"/>
      <c r="CA3619" s="270"/>
      <c r="CB3619" s="3" t="str">
        <f t="shared" si="644"/>
        <v>Riadok bude skrytý.</v>
      </c>
      <c r="CC3619" s="271" t="s">
        <v>832</v>
      </c>
      <c r="CW3619" s="32">
        <f t="shared" si="646"/>
        <v>1</v>
      </c>
      <c r="CZ3619" s="30">
        <f t="shared" si="645"/>
        <v>1</v>
      </c>
      <c r="DA3619" s="30">
        <f t="shared" si="642"/>
        <v>1</v>
      </c>
      <c r="DB3619" s="2">
        <f t="shared" si="641"/>
        <v>0</v>
      </c>
      <c r="DS3619" s="130">
        <f>SI!BY3619</f>
        <v>137</v>
      </c>
      <c r="DZ3619" s="131">
        <f>SI!BZ3619</f>
        <v>0</v>
      </c>
    </row>
    <row r="3620" spans="1:130" ht="23.95" hidden="1" customHeight="1" x14ac:dyDescent="0.25">
      <c r="A3620" s="141"/>
      <c r="B3620" s="2176" t="s">
        <v>695</v>
      </c>
      <c r="C3620" s="2176"/>
      <c r="D3620" s="2176"/>
      <c r="E3620" s="2176"/>
      <c r="F3620" s="2176"/>
      <c r="G3620" s="2176"/>
      <c r="H3620" s="2176"/>
      <c r="I3620" s="2177"/>
      <c r="J3620" s="426" t="s">
        <v>585</v>
      </c>
      <c r="K3620" s="427"/>
      <c r="L3620" s="427"/>
      <c r="M3620" s="427"/>
      <c r="N3620" s="427"/>
      <c r="O3620" s="427"/>
      <c r="P3620" s="427"/>
      <c r="Q3620" s="427"/>
      <c r="R3620" s="427"/>
      <c r="S3620" s="427"/>
      <c r="T3620" s="427"/>
      <c r="U3620" s="427"/>
      <c r="V3620" s="427"/>
      <c r="W3620" s="427"/>
      <c r="X3620" s="427"/>
      <c r="Y3620" s="427"/>
      <c r="Z3620" s="427"/>
      <c r="AA3620" s="427"/>
      <c r="AB3620" s="427"/>
      <c r="AC3620" s="427"/>
      <c r="AD3620" s="427"/>
      <c r="AE3620" s="427"/>
      <c r="AF3620" s="427"/>
      <c r="AG3620" s="427"/>
      <c r="AH3620" s="427"/>
      <c r="AI3620" s="427"/>
      <c r="AJ3620" s="427"/>
      <c r="AK3620" s="427"/>
      <c r="AL3620" s="427"/>
      <c r="AM3620" s="427"/>
      <c r="AN3620" s="427"/>
      <c r="AO3620" s="427"/>
      <c r="AP3620" s="427"/>
      <c r="AQ3620" s="427"/>
      <c r="AR3620" s="427"/>
      <c r="AS3620" s="427"/>
      <c r="AT3620" s="427"/>
      <c r="AU3620" s="427"/>
      <c r="AV3620" s="427"/>
      <c r="AW3620" s="427"/>
      <c r="AX3620" s="427"/>
      <c r="AY3620" s="427"/>
      <c r="AZ3620" s="427"/>
      <c r="BA3620" s="427"/>
      <c r="BB3620" s="427"/>
      <c r="BC3620" s="427"/>
      <c r="BD3620" s="427"/>
      <c r="BE3620" s="427"/>
      <c r="BF3620" s="427"/>
      <c r="BG3620" s="427"/>
      <c r="BH3620" s="428"/>
      <c r="BI3620" s="2178"/>
      <c r="BJ3620" s="2178"/>
      <c r="BK3620" s="2178"/>
      <c r="BL3620" s="2178"/>
      <c r="BM3620" s="2178"/>
      <c r="BN3620" s="2178"/>
      <c r="BO3620" s="2178"/>
      <c r="BP3620" s="463"/>
      <c r="BQ3620" s="463"/>
      <c r="BR3620" s="463"/>
      <c r="BS3620" s="464"/>
      <c r="BT3620" s="464"/>
      <c r="BU3620" s="464"/>
      <c r="BV3620" s="464"/>
      <c r="BW3620" s="464"/>
      <c r="BX3620" s="464"/>
      <c r="BY3620" s="464"/>
      <c r="BZ3620" s="465"/>
      <c r="CA3620" s="270"/>
      <c r="CB3620" s="3" t="str">
        <f t="shared" si="644"/>
        <v>Riadok bude skrytý.</v>
      </c>
      <c r="CC3620" s="271" t="s">
        <v>832</v>
      </c>
      <c r="CW3620" s="32">
        <f t="shared" si="646"/>
        <v>1</v>
      </c>
      <c r="CZ3620" s="30">
        <f t="shared" si="645"/>
        <v>1</v>
      </c>
      <c r="DA3620" s="30">
        <f t="shared" si="642"/>
        <v>1</v>
      </c>
      <c r="DB3620" s="2">
        <f t="shared" si="641"/>
        <v>0</v>
      </c>
      <c r="DS3620" s="130">
        <f>SI!BY3620</f>
        <v>146</v>
      </c>
      <c r="DZ3620" s="131">
        <f>SI!BZ3620</f>
        <v>0</v>
      </c>
    </row>
    <row r="3621" spans="1:130" ht="36" hidden="1" customHeight="1" x14ac:dyDescent="0.25">
      <c r="A3621" s="141"/>
      <c r="B3621" s="2176" t="s">
        <v>696</v>
      </c>
      <c r="C3621" s="2176"/>
      <c r="D3621" s="2176"/>
      <c r="E3621" s="2176"/>
      <c r="F3621" s="2176"/>
      <c r="G3621" s="2176"/>
      <c r="H3621" s="2176"/>
      <c r="I3621" s="2177"/>
      <c r="J3621" s="426" t="s">
        <v>578</v>
      </c>
      <c r="K3621" s="427"/>
      <c r="L3621" s="427"/>
      <c r="M3621" s="427"/>
      <c r="N3621" s="427"/>
      <c r="O3621" s="427"/>
      <c r="P3621" s="427"/>
      <c r="Q3621" s="427"/>
      <c r="R3621" s="427"/>
      <c r="S3621" s="427"/>
      <c r="T3621" s="427"/>
      <c r="U3621" s="427"/>
      <c r="V3621" s="427"/>
      <c r="W3621" s="427"/>
      <c r="X3621" s="427"/>
      <c r="Y3621" s="427"/>
      <c r="Z3621" s="427"/>
      <c r="AA3621" s="427"/>
      <c r="AB3621" s="427"/>
      <c r="AC3621" s="427"/>
      <c r="AD3621" s="427"/>
      <c r="AE3621" s="427"/>
      <c r="AF3621" s="427"/>
      <c r="AG3621" s="427"/>
      <c r="AH3621" s="427"/>
      <c r="AI3621" s="427"/>
      <c r="AJ3621" s="427"/>
      <c r="AK3621" s="427"/>
      <c r="AL3621" s="427"/>
      <c r="AM3621" s="427"/>
      <c r="AN3621" s="427"/>
      <c r="AO3621" s="427"/>
      <c r="AP3621" s="427"/>
      <c r="AQ3621" s="427"/>
      <c r="AR3621" s="427"/>
      <c r="AS3621" s="427"/>
      <c r="AT3621" s="427"/>
      <c r="AU3621" s="427"/>
      <c r="AV3621" s="427"/>
      <c r="AW3621" s="427"/>
      <c r="AX3621" s="427"/>
      <c r="AY3621" s="427"/>
      <c r="AZ3621" s="427"/>
      <c r="BA3621" s="427"/>
      <c r="BB3621" s="427"/>
      <c r="BC3621" s="427"/>
      <c r="BD3621" s="427"/>
      <c r="BE3621" s="427"/>
      <c r="BF3621" s="427"/>
      <c r="BG3621" s="427"/>
      <c r="BH3621" s="428"/>
      <c r="BI3621" s="654">
        <f>+BI3619+BI3620</f>
        <v>0</v>
      </c>
      <c r="BJ3621" s="654"/>
      <c r="BK3621" s="654"/>
      <c r="BL3621" s="654"/>
      <c r="BM3621" s="654"/>
      <c r="BN3621" s="654"/>
      <c r="BO3621" s="654"/>
      <c r="BP3621" s="423"/>
      <c r="BQ3621" s="423"/>
      <c r="BR3621" s="423">
        <f>+BR3619+BR3620</f>
        <v>0</v>
      </c>
      <c r="BS3621" s="424"/>
      <c r="BT3621" s="424"/>
      <c r="BU3621" s="424"/>
      <c r="BV3621" s="424"/>
      <c r="BW3621" s="424"/>
      <c r="BX3621" s="424"/>
      <c r="BY3621" s="424"/>
      <c r="BZ3621" s="425"/>
      <c r="CA3621" s="270"/>
      <c r="CB3621" s="3" t="str">
        <f t="shared" si="644"/>
        <v>Riadok bude skrytý.</v>
      </c>
      <c r="CC3621" s="271" t="s">
        <v>832</v>
      </c>
      <c r="CW3621" s="32">
        <f t="shared" si="646"/>
        <v>1</v>
      </c>
      <c r="CZ3621" s="30">
        <f t="shared" si="645"/>
        <v>1</v>
      </c>
      <c r="DA3621" s="30">
        <f t="shared" si="642"/>
        <v>1</v>
      </c>
      <c r="DB3621" s="2">
        <f t="shared" si="641"/>
        <v>0</v>
      </c>
      <c r="DS3621" s="130">
        <f>SI!BY3621</f>
        <v>147</v>
      </c>
      <c r="DZ3621" s="131">
        <f>SI!BZ3621</f>
        <v>0</v>
      </c>
    </row>
    <row r="3622" spans="1:130" hidden="1" x14ac:dyDescent="0.25">
      <c r="A3622" s="141"/>
      <c r="CA3622" s="142"/>
      <c r="CB3622" s="3" t="str">
        <f t="shared" si="644"/>
        <v>Riadok bude skrytý.</v>
      </c>
      <c r="CC3622" s="271" t="s">
        <v>832</v>
      </c>
      <c r="CW3622" s="49">
        <v>1</v>
      </c>
      <c r="CZ3622" s="30">
        <f t="shared" si="645"/>
        <v>1</v>
      </c>
      <c r="DA3622" s="30">
        <f t="shared" si="642"/>
        <v>1</v>
      </c>
      <c r="DB3622" s="2">
        <f t="shared" ref="DB3622:DB3636" si="647">+IF($CD$1="malé",0,DA3622)</f>
        <v>0</v>
      </c>
      <c r="DS3622" s="130">
        <f>SI!BY3622</f>
        <v>1</v>
      </c>
      <c r="DZ3622" s="131">
        <f>SI!BZ3622</f>
        <v>0</v>
      </c>
    </row>
    <row r="3623" spans="1:130" hidden="1" x14ac:dyDescent="0.25">
      <c r="A3623" s="141"/>
      <c r="B3623" s="19" t="s">
        <v>1018</v>
      </c>
      <c r="CA3623" s="142"/>
      <c r="CB3623" s="3" t="str">
        <f t="shared" si="644"/>
        <v>Riadok bude skrytý.</v>
      </c>
      <c r="CC3623" s="271" t="s">
        <v>832</v>
      </c>
      <c r="CW3623" s="30">
        <f>+IF(B3624="",0,1)</f>
        <v>0</v>
      </c>
      <c r="CZ3623" s="30">
        <f t="shared" ref="CZ3623:CZ3634" si="648">IF(CC3623="",1,IF(CC3623="Chcem skryť riadok.",0,1))</f>
        <v>1</v>
      </c>
      <c r="DA3623" s="30">
        <f t="shared" si="642"/>
        <v>0</v>
      </c>
      <c r="DB3623" s="2">
        <f t="shared" si="647"/>
        <v>0</v>
      </c>
      <c r="DS3623" s="130">
        <f>SI!BY3623</f>
        <v>124</v>
      </c>
      <c r="DZ3623" s="131">
        <f>SI!BZ3623</f>
        <v>0</v>
      </c>
    </row>
    <row r="3624" spans="1:130" hidden="1" x14ac:dyDescent="0.25">
      <c r="A3624" s="141"/>
      <c r="B3624" s="406"/>
      <c r="C3624" s="406"/>
      <c r="D3624" s="406"/>
      <c r="E3624" s="406"/>
      <c r="F3624" s="406"/>
      <c r="G3624" s="406"/>
      <c r="H3624" s="406"/>
      <c r="I3624" s="406"/>
      <c r="J3624" s="406"/>
      <c r="K3624" s="406"/>
      <c r="L3624" s="406"/>
      <c r="M3624" s="406"/>
      <c r="N3624" s="406"/>
      <c r="O3624" s="406"/>
      <c r="P3624" s="406"/>
      <c r="Q3624" s="406"/>
      <c r="R3624" s="406"/>
      <c r="S3624" s="406"/>
      <c r="T3624" s="406"/>
      <c r="U3624" s="406"/>
      <c r="V3624" s="406"/>
      <c r="W3624" s="406"/>
      <c r="X3624" s="406"/>
      <c r="Y3624" s="406"/>
      <c r="Z3624" s="406"/>
      <c r="AA3624" s="406"/>
      <c r="AB3624" s="406"/>
      <c r="AC3624" s="406"/>
      <c r="AD3624" s="406"/>
      <c r="AE3624" s="406"/>
      <c r="AF3624" s="406"/>
      <c r="AG3624" s="406"/>
      <c r="AH3624" s="406"/>
      <c r="AI3624" s="406"/>
      <c r="AJ3624" s="406"/>
      <c r="AK3624" s="406"/>
      <c r="AL3624" s="406"/>
      <c r="AM3624" s="406"/>
      <c r="AN3624" s="406"/>
      <c r="AO3624" s="406"/>
      <c r="AP3624" s="406"/>
      <c r="AQ3624" s="406"/>
      <c r="AR3624" s="406"/>
      <c r="AS3624" s="406"/>
      <c r="AT3624" s="406"/>
      <c r="AU3624" s="406"/>
      <c r="AV3624" s="406"/>
      <c r="AW3624" s="406"/>
      <c r="AX3624" s="406"/>
      <c r="AY3624" s="406"/>
      <c r="AZ3624" s="406"/>
      <c r="BA3624" s="406"/>
      <c r="BB3624" s="406"/>
      <c r="BC3624" s="406"/>
      <c r="BD3624" s="406"/>
      <c r="BE3624" s="406"/>
      <c r="BF3624" s="406"/>
      <c r="BG3624" s="406"/>
      <c r="BH3624" s="406"/>
      <c r="BI3624" s="406"/>
      <c r="BJ3624" s="406"/>
      <c r="BK3624" s="406"/>
      <c r="BL3624" s="406"/>
      <c r="BM3624" s="406"/>
      <c r="BN3624" s="406"/>
      <c r="BO3624" s="406"/>
      <c r="BP3624" s="406"/>
      <c r="BQ3624" s="406"/>
      <c r="BR3624" s="406"/>
      <c r="BS3624" s="406"/>
      <c r="BT3624" s="406"/>
      <c r="BU3624" s="406"/>
      <c r="BV3624" s="406"/>
      <c r="BW3624" s="406"/>
      <c r="BX3624" s="406"/>
      <c r="BY3624" s="406"/>
      <c r="BZ3624" s="406"/>
      <c r="CA3624" s="142"/>
      <c r="CB3624" s="3" t="str">
        <f t="shared" si="644"/>
        <v>Riadok bude skrytý.</v>
      </c>
      <c r="CC3624" s="271" t="s">
        <v>832</v>
      </c>
      <c r="CW3624" s="30">
        <f t="shared" ref="CW3624:CW3633" si="649">+IF(B3624="",0,1)</f>
        <v>0</v>
      </c>
      <c r="CZ3624" s="30">
        <f t="shared" si="648"/>
        <v>1</v>
      </c>
      <c r="DA3624" s="30">
        <f t="shared" si="642"/>
        <v>0</v>
      </c>
      <c r="DB3624" s="2">
        <f t="shared" si="647"/>
        <v>0</v>
      </c>
      <c r="DS3624" s="130">
        <f>SI!BY3624</f>
        <v>175</v>
      </c>
      <c r="DZ3624" s="131">
        <f>SI!BZ3624</f>
        <v>0</v>
      </c>
    </row>
    <row r="3625" spans="1:130" hidden="1" x14ac:dyDescent="0.25">
      <c r="A3625" s="141"/>
      <c r="B3625" s="406"/>
      <c r="C3625" s="406"/>
      <c r="D3625" s="406"/>
      <c r="E3625" s="406"/>
      <c r="F3625" s="406"/>
      <c r="G3625" s="406"/>
      <c r="H3625" s="406"/>
      <c r="I3625" s="406"/>
      <c r="J3625" s="406"/>
      <c r="K3625" s="406"/>
      <c r="L3625" s="406"/>
      <c r="M3625" s="406"/>
      <c r="N3625" s="406"/>
      <c r="O3625" s="406"/>
      <c r="P3625" s="406"/>
      <c r="Q3625" s="406"/>
      <c r="R3625" s="406"/>
      <c r="S3625" s="406"/>
      <c r="T3625" s="406"/>
      <c r="U3625" s="406"/>
      <c r="V3625" s="406"/>
      <c r="W3625" s="406"/>
      <c r="X3625" s="406"/>
      <c r="Y3625" s="406"/>
      <c r="Z3625" s="406"/>
      <c r="AA3625" s="406"/>
      <c r="AB3625" s="406"/>
      <c r="AC3625" s="406"/>
      <c r="AD3625" s="406"/>
      <c r="AE3625" s="406"/>
      <c r="AF3625" s="406"/>
      <c r="AG3625" s="406"/>
      <c r="AH3625" s="406"/>
      <c r="AI3625" s="406"/>
      <c r="AJ3625" s="406"/>
      <c r="AK3625" s="406"/>
      <c r="AL3625" s="406"/>
      <c r="AM3625" s="406"/>
      <c r="AN3625" s="406"/>
      <c r="AO3625" s="406"/>
      <c r="AP3625" s="406"/>
      <c r="AQ3625" s="406"/>
      <c r="AR3625" s="406"/>
      <c r="AS3625" s="406"/>
      <c r="AT3625" s="406"/>
      <c r="AU3625" s="406"/>
      <c r="AV3625" s="406"/>
      <c r="AW3625" s="406"/>
      <c r="AX3625" s="406"/>
      <c r="AY3625" s="406"/>
      <c r="AZ3625" s="406"/>
      <c r="BA3625" s="406"/>
      <c r="BB3625" s="406"/>
      <c r="BC3625" s="406"/>
      <c r="BD3625" s="406"/>
      <c r="BE3625" s="406"/>
      <c r="BF3625" s="406"/>
      <c r="BG3625" s="406"/>
      <c r="BH3625" s="406"/>
      <c r="BI3625" s="406"/>
      <c r="BJ3625" s="406"/>
      <c r="BK3625" s="406"/>
      <c r="BL3625" s="406"/>
      <c r="BM3625" s="406"/>
      <c r="BN3625" s="406"/>
      <c r="BO3625" s="406"/>
      <c r="BP3625" s="406"/>
      <c r="BQ3625" s="406"/>
      <c r="BR3625" s="406"/>
      <c r="BS3625" s="406"/>
      <c r="BT3625" s="406"/>
      <c r="BU3625" s="406"/>
      <c r="BV3625" s="406"/>
      <c r="BW3625" s="406"/>
      <c r="BX3625" s="406"/>
      <c r="BY3625" s="406"/>
      <c r="BZ3625" s="406"/>
      <c r="CA3625" s="142"/>
      <c r="CB3625" s="3" t="str">
        <f t="shared" si="644"/>
        <v>Riadok bude skrytý.</v>
      </c>
      <c r="CC3625" s="271" t="s">
        <v>832</v>
      </c>
      <c r="CW3625" s="30">
        <f t="shared" si="649"/>
        <v>0</v>
      </c>
      <c r="CZ3625" s="30">
        <f t="shared" si="648"/>
        <v>1</v>
      </c>
      <c r="DA3625" s="30">
        <f t="shared" si="642"/>
        <v>0</v>
      </c>
      <c r="DB3625" s="2">
        <f t="shared" si="647"/>
        <v>0</v>
      </c>
      <c r="DS3625" s="130">
        <f>SI!BY3625</f>
        <v>172</v>
      </c>
      <c r="DZ3625" s="131">
        <f>SI!BZ3625</f>
        <v>0</v>
      </c>
    </row>
    <row r="3626" spans="1:130" hidden="1" x14ac:dyDescent="0.25">
      <c r="A3626" s="141"/>
      <c r="B3626" s="406"/>
      <c r="C3626" s="406"/>
      <c r="D3626" s="406"/>
      <c r="E3626" s="406"/>
      <c r="F3626" s="406"/>
      <c r="G3626" s="406"/>
      <c r="H3626" s="406"/>
      <c r="I3626" s="406"/>
      <c r="J3626" s="406"/>
      <c r="K3626" s="406"/>
      <c r="L3626" s="406"/>
      <c r="M3626" s="406"/>
      <c r="N3626" s="406"/>
      <c r="O3626" s="406"/>
      <c r="P3626" s="406"/>
      <c r="Q3626" s="406"/>
      <c r="R3626" s="406"/>
      <c r="S3626" s="406"/>
      <c r="T3626" s="406"/>
      <c r="U3626" s="406"/>
      <c r="V3626" s="406"/>
      <c r="W3626" s="406"/>
      <c r="X3626" s="406"/>
      <c r="Y3626" s="406"/>
      <c r="Z3626" s="406"/>
      <c r="AA3626" s="406"/>
      <c r="AB3626" s="406"/>
      <c r="AC3626" s="406"/>
      <c r="AD3626" s="406"/>
      <c r="AE3626" s="406"/>
      <c r="AF3626" s="406"/>
      <c r="AG3626" s="406"/>
      <c r="AH3626" s="406"/>
      <c r="AI3626" s="406"/>
      <c r="AJ3626" s="406"/>
      <c r="AK3626" s="406"/>
      <c r="AL3626" s="406"/>
      <c r="AM3626" s="406"/>
      <c r="AN3626" s="406"/>
      <c r="AO3626" s="406"/>
      <c r="AP3626" s="406"/>
      <c r="AQ3626" s="406"/>
      <c r="AR3626" s="406"/>
      <c r="AS3626" s="406"/>
      <c r="AT3626" s="406"/>
      <c r="AU3626" s="406"/>
      <c r="AV3626" s="406"/>
      <c r="AW3626" s="406"/>
      <c r="AX3626" s="406"/>
      <c r="AY3626" s="406"/>
      <c r="AZ3626" s="406"/>
      <c r="BA3626" s="406"/>
      <c r="BB3626" s="406"/>
      <c r="BC3626" s="406"/>
      <c r="BD3626" s="406"/>
      <c r="BE3626" s="406"/>
      <c r="BF3626" s="406"/>
      <c r="BG3626" s="406"/>
      <c r="BH3626" s="406"/>
      <c r="BI3626" s="406"/>
      <c r="BJ3626" s="406"/>
      <c r="BK3626" s="406"/>
      <c r="BL3626" s="406"/>
      <c r="BM3626" s="406"/>
      <c r="BN3626" s="406"/>
      <c r="BO3626" s="406"/>
      <c r="BP3626" s="406"/>
      <c r="BQ3626" s="406"/>
      <c r="BR3626" s="406"/>
      <c r="BS3626" s="406"/>
      <c r="BT3626" s="406"/>
      <c r="BU3626" s="406"/>
      <c r="BV3626" s="406"/>
      <c r="BW3626" s="406"/>
      <c r="BX3626" s="406"/>
      <c r="BY3626" s="406"/>
      <c r="BZ3626" s="406"/>
      <c r="CA3626" s="142"/>
      <c r="CB3626" s="3" t="str">
        <f t="shared" si="644"/>
        <v>Riadok bude skrytý.</v>
      </c>
      <c r="CC3626" s="271" t="s">
        <v>832</v>
      </c>
      <c r="CW3626" s="30">
        <f t="shared" si="649"/>
        <v>0</v>
      </c>
      <c r="CZ3626" s="30">
        <f t="shared" si="648"/>
        <v>1</v>
      </c>
      <c r="DA3626" s="30">
        <f t="shared" si="642"/>
        <v>0</v>
      </c>
      <c r="DB3626" s="2">
        <f t="shared" si="647"/>
        <v>0</v>
      </c>
      <c r="DS3626" s="130">
        <f>SI!BY3626</f>
        <v>165</v>
      </c>
      <c r="DZ3626" s="131">
        <f>SI!BZ3626</f>
        <v>0</v>
      </c>
    </row>
    <row r="3627" spans="1:130" hidden="1" x14ac:dyDescent="0.25">
      <c r="A3627" s="141"/>
      <c r="B3627" s="406"/>
      <c r="C3627" s="406"/>
      <c r="D3627" s="406"/>
      <c r="E3627" s="406"/>
      <c r="F3627" s="406"/>
      <c r="G3627" s="406"/>
      <c r="H3627" s="406"/>
      <c r="I3627" s="406"/>
      <c r="J3627" s="406"/>
      <c r="K3627" s="406"/>
      <c r="L3627" s="406"/>
      <c r="M3627" s="406"/>
      <c r="N3627" s="406"/>
      <c r="O3627" s="406"/>
      <c r="P3627" s="406"/>
      <c r="Q3627" s="406"/>
      <c r="R3627" s="406"/>
      <c r="S3627" s="406"/>
      <c r="T3627" s="406"/>
      <c r="U3627" s="406"/>
      <c r="V3627" s="406"/>
      <c r="W3627" s="406"/>
      <c r="X3627" s="406"/>
      <c r="Y3627" s="406"/>
      <c r="Z3627" s="406"/>
      <c r="AA3627" s="406"/>
      <c r="AB3627" s="406"/>
      <c r="AC3627" s="406"/>
      <c r="AD3627" s="406"/>
      <c r="AE3627" s="406"/>
      <c r="AF3627" s="406"/>
      <c r="AG3627" s="406"/>
      <c r="AH3627" s="406"/>
      <c r="AI3627" s="406"/>
      <c r="AJ3627" s="406"/>
      <c r="AK3627" s="406"/>
      <c r="AL3627" s="406"/>
      <c r="AM3627" s="406"/>
      <c r="AN3627" s="406"/>
      <c r="AO3627" s="406"/>
      <c r="AP3627" s="406"/>
      <c r="AQ3627" s="406"/>
      <c r="AR3627" s="406"/>
      <c r="AS3627" s="406"/>
      <c r="AT3627" s="406"/>
      <c r="AU3627" s="406"/>
      <c r="AV3627" s="406"/>
      <c r="AW3627" s="406"/>
      <c r="AX3627" s="406"/>
      <c r="AY3627" s="406"/>
      <c r="AZ3627" s="406"/>
      <c r="BA3627" s="406"/>
      <c r="BB3627" s="406"/>
      <c r="BC3627" s="406"/>
      <c r="BD3627" s="406"/>
      <c r="BE3627" s="406"/>
      <c r="BF3627" s="406"/>
      <c r="BG3627" s="406"/>
      <c r="BH3627" s="406"/>
      <c r="BI3627" s="406"/>
      <c r="BJ3627" s="406"/>
      <c r="BK3627" s="406"/>
      <c r="BL3627" s="406"/>
      <c r="BM3627" s="406"/>
      <c r="BN3627" s="406"/>
      <c r="BO3627" s="406"/>
      <c r="BP3627" s="406"/>
      <c r="BQ3627" s="406"/>
      <c r="BR3627" s="406"/>
      <c r="BS3627" s="406"/>
      <c r="BT3627" s="406"/>
      <c r="BU3627" s="406"/>
      <c r="BV3627" s="406"/>
      <c r="BW3627" s="406"/>
      <c r="BX3627" s="406"/>
      <c r="BY3627" s="406"/>
      <c r="BZ3627" s="406"/>
      <c r="CA3627" s="142"/>
      <c r="CB3627" s="3" t="str">
        <f t="shared" si="644"/>
        <v>Riadok bude skrytý.</v>
      </c>
      <c r="CC3627" s="271" t="s">
        <v>832</v>
      </c>
      <c r="CW3627" s="30">
        <f t="shared" si="649"/>
        <v>0</v>
      </c>
      <c r="CZ3627" s="30">
        <f t="shared" si="648"/>
        <v>1</v>
      </c>
      <c r="DA3627" s="30">
        <f t="shared" si="642"/>
        <v>0</v>
      </c>
      <c r="DB3627" s="2">
        <f t="shared" si="647"/>
        <v>0</v>
      </c>
      <c r="DS3627" s="130">
        <f>SI!BY3627</f>
        <v>189</v>
      </c>
      <c r="DZ3627" s="131">
        <f>SI!BZ3627</f>
        <v>0</v>
      </c>
    </row>
    <row r="3628" spans="1:130" hidden="1" x14ac:dyDescent="0.25">
      <c r="A3628" s="141"/>
      <c r="B3628" s="406"/>
      <c r="C3628" s="406"/>
      <c r="D3628" s="406"/>
      <c r="E3628" s="406"/>
      <c r="F3628" s="406"/>
      <c r="G3628" s="406"/>
      <c r="H3628" s="406"/>
      <c r="I3628" s="406"/>
      <c r="J3628" s="406"/>
      <c r="K3628" s="406"/>
      <c r="L3628" s="406"/>
      <c r="M3628" s="406"/>
      <c r="N3628" s="406"/>
      <c r="O3628" s="406"/>
      <c r="P3628" s="406"/>
      <c r="Q3628" s="406"/>
      <c r="R3628" s="406"/>
      <c r="S3628" s="406"/>
      <c r="T3628" s="406"/>
      <c r="U3628" s="406"/>
      <c r="V3628" s="406"/>
      <c r="W3628" s="406"/>
      <c r="X3628" s="406"/>
      <c r="Y3628" s="406"/>
      <c r="Z3628" s="406"/>
      <c r="AA3628" s="406"/>
      <c r="AB3628" s="406"/>
      <c r="AC3628" s="406"/>
      <c r="AD3628" s="406"/>
      <c r="AE3628" s="406"/>
      <c r="AF3628" s="406"/>
      <c r="AG3628" s="406"/>
      <c r="AH3628" s="406"/>
      <c r="AI3628" s="406"/>
      <c r="AJ3628" s="406"/>
      <c r="AK3628" s="406"/>
      <c r="AL3628" s="406"/>
      <c r="AM3628" s="406"/>
      <c r="AN3628" s="406"/>
      <c r="AO3628" s="406"/>
      <c r="AP3628" s="406"/>
      <c r="AQ3628" s="406"/>
      <c r="AR3628" s="406"/>
      <c r="AS3628" s="406"/>
      <c r="AT3628" s="406"/>
      <c r="AU3628" s="406"/>
      <c r="AV3628" s="406"/>
      <c r="AW3628" s="406"/>
      <c r="AX3628" s="406"/>
      <c r="AY3628" s="406"/>
      <c r="AZ3628" s="406"/>
      <c r="BA3628" s="406"/>
      <c r="BB3628" s="406"/>
      <c r="BC3628" s="406"/>
      <c r="BD3628" s="406"/>
      <c r="BE3628" s="406"/>
      <c r="BF3628" s="406"/>
      <c r="BG3628" s="406"/>
      <c r="BH3628" s="406"/>
      <c r="BI3628" s="406"/>
      <c r="BJ3628" s="406"/>
      <c r="BK3628" s="406"/>
      <c r="BL3628" s="406"/>
      <c r="BM3628" s="406"/>
      <c r="BN3628" s="406"/>
      <c r="BO3628" s="406"/>
      <c r="BP3628" s="406"/>
      <c r="BQ3628" s="406"/>
      <c r="BR3628" s="406"/>
      <c r="BS3628" s="406"/>
      <c r="BT3628" s="406"/>
      <c r="BU3628" s="406"/>
      <c r="BV3628" s="406"/>
      <c r="BW3628" s="406"/>
      <c r="BX3628" s="406"/>
      <c r="BY3628" s="406"/>
      <c r="BZ3628" s="406"/>
      <c r="CA3628" s="142"/>
      <c r="CB3628" s="3" t="str">
        <f t="shared" si="644"/>
        <v>Riadok bude skrytý.</v>
      </c>
      <c r="CC3628" s="271" t="s">
        <v>832</v>
      </c>
      <c r="CW3628" s="30">
        <f t="shared" si="649"/>
        <v>0</v>
      </c>
      <c r="CZ3628" s="30">
        <f t="shared" si="648"/>
        <v>1</v>
      </c>
      <c r="DA3628" s="30">
        <f t="shared" si="642"/>
        <v>0</v>
      </c>
      <c r="DB3628" s="2">
        <f t="shared" si="647"/>
        <v>0</v>
      </c>
      <c r="DS3628" s="130">
        <f>SI!BY3628</f>
        <v>142</v>
      </c>
      <c r="DZ3628" s="131">
        <f>SI!BZ3628</f>
        <v>0</v>
      </c>
    </row>
    <row r="3629" spans="1:130" hidden="1" x14ac:dyDescent="0.25">
      <c r="A3629" s="141"/>
      <c r="B3629" s="406"/>
      <c r="C3629" s="406"/>
      <c r="D3629" s="406"/>
      <c r="E3629" s="406"/>
      <c r="F3629" s="406"/>
      <c r="G3629" s="406"/>
      <c r="H3629" s="406"/>
      <c r="I3629" s="406"/>
      <c r="J3629" s="406"/>
      <c r="K3629" s="406"/>
      <c r="L3629" s="406"/>
      <c r="M3629" s="406"/>
      <c r="N3629" s="406"/>
      <c r="O3629" s="406"/>
      <c r="P3629" s="406"/>
      <c r="Q3629" s="406"/>
      <c r="R3629" s="406"/>
      <c r="S3629" s="406"/>
      <c r="T3629" s="406"/>
      <c r="U3629" s="406"/>
      <c r="V3629" s="406"/>
      <c r="W3629" s="406"/>
      <c r="X3629" s="406"/>
      <c r="Y3629" s="406"/>
      <c r="Z3629" s="406"/>
      <c r="AA3629" s="406"/>
      <c r="AB3629" s="406"/>
      <c r="AC3629" s="406"/>
      <c r="AD3629" s="406"/>
      <c r="AE3629" s="406"/>
      <c r="AF3629" s="406"/>
      <c r="AG3629" s="406"/>
      <c r="AH3629" s="406"/>
      <c r="AI3629" s="406"/>
      <c r="AJ3629" s="406"/>
      <c r="AK3629" s="406"/>
      <c r="AL3629" s="406"/>
      <c r="AM3629" s="406"/>
      <c r="AN3629" s="406"/>
      <c r="AO3629" s="406"/>
      <c r="AP3629" s="406"/>
      <c r="AQ3629" s="406"/>
      <c r="AR3629" s="406"/>
      <c r="AS3629" s="406"/>
      <c r="AT3629" s="406"/>
      <c r="AU3629" s="406"/>
      <c r="AV3629" s="406"/>
      <c r="AW3629" s="406"/>
      <c r="AX3629" s="406"/>
      <c r="AY3629" s="406"/>
      <c r="AZ3629" s="406"/>
      <c r="BA3629" s="406"/>
      <c r="BB3629" s="406"/>
      <c r="BC3629" s="406"/>
      <c r="BD3629" s="406"/>
      <c r="BE3629" s="406"/>
      <c r="BF3629" s="406"/>
      <c r="BG3629" s="406"/>
      <c r="BH3629" s="406"/>
      <c r="BI3629" s="406"/>
      <c r="BJ3629" s="406"/>
      <c r="BK3629" s="406"/>
      <c r="BL3629" s="406"/>
      <c r="BM3629" s="406"/>
      <c r="BN3629" s="406"/>
      <c r="BO3629" s="406"/>
      <c r="BP3629" s="406"/>
      <c r="BQ3629" s="406"/>
      <c r="BR3629" s="406"/>
      <c r="BS3629" s="406"/>
      <c r="BT3629" s="406"/>
      <c r="BU3629" s="406"/>
      <c r="BV3629" s="406"/>
      <c r="BW3629" s="406"/>
      <c r="BX3629" s="406"/>
      <c r="BY3629" s="406"/>
      <c r="BZ3629" s="406"/>
      <c r="CA3629" s="142"/>
      <c r="CB3629" s="3" t="str">
        <f t="shared" si="644"/>
        <v>Riadok bude skrytý.</v>
      </c>
      <c r="CC3629" s="271" t="s">
        <v>832</v>
      </c>
      <c r="CW3629" s="30">
        <f t="shared" si="649"/>
        <v>0</v>
      </c>
      <c r="CZ3629" s="30">
        <f t="shared" si="648"/>
        <v>1</v>
      </c>
      <c r="DA3629" s="30">
        <f t="shared" si="642"/>
        <v>0</v>
      </c>
      <c r="DB3629" s="2">
        <f t="shared" si="647"/>
        <v>0</v>
      </c>
      <c r="DS3629" s="130">
        <f>SI!BY3629</f>
        <v>198</v>
      </c>
      <c r="DZ3629" s="131">
        <f>SI!BZ3629</f>
        <v>0</v>
      </c>
    </row>
    <row r="3630" spans="1:130" hidden="1" x14ac:dyDescent="0.25">
      <c r="A3630" s="141"/>
      <c r="B3630" s="406"/>
      <c r="C3630" s="406"/>
      <c r="D3630" s="406"/>
      <c r="E3630" s="406"/>
      <c r="F3630" s="406"/>
      <c r="G3630" s="406"/>
      <c r="H3630" s="406"/>
      <c r="I3630" s="406"/>
      <c r="J3630" s="406"/>
      <c r="K3630" s="406"/>
      <c r="L3630" s="406"/>
      <c r="M3630" s="406"/>
      <c r="N3630" s="406"/>
      <c r="O3630" s="406"/>
      <c r="P3630" s="406"/>
      <c r="Q3630" s="406"/>
      <c r="R3630" s="406"/>
      <c r="S3630" s="406"/>
      <c r="T3630" s="406"/>
      <c r="U3630" s="406"/>
      <c r="V3630" s="406"/>
      <c r="W3630" s="406"/>
      <c r="X3630" s="406"/>
      <c r="Y3630" s="406"/>
      <c r="Z3630" s="406"/>
      <c r="AA3630" s="406"/>
      <c r="AB3630" s="406"/>
      <c r="AC3630" s="406"/>
      <c r="AD3630" s="406"/>
      <c r="AE3630" s="406"/>
      <c r="AF3630" s="406"/>
      <c r="AG3630" s="406"/>
      <c r="AH3630" s="406"/>
      <c r="AI3630" s="406"/>
      <c r="AJ3630" s="406"/>
      <c r="AK3630" s="406"/>
      <c r="AL3630" s="406"/>
      <c r="AM3630" s="406"/>
      <c r="AN3630" s="406"/>
      <c r="AO3630" s="406"/>
      <c r="AP3630" s="406"/>
      <c r="AQ3630" s="406"/>
      <c r="AR3630" s="406"/>
      <c r="AS3630" s="406"/>
      <c r="AT3630" s="406"/>
      <c r="AU3630" s="406"/>
      <c r="AV3630" s="406"/>
      <c r="AW3630" s="406"/>
      <c r="AX3630" s="406"/>
      <c r="AY3630" s="406"/>
      <c r="AZ3630" s="406"/>
      <c r="BA3630" s="406"/>
      <c r="BB3630" s="406"/>
      <c r="BC3630" s="406"/>
      <c r="BD3630" s="406"/>
      <c r="BE3630" s="406"/>
      <c r="BF3630" s="406"/>
      <c r="BG3630" s="406"/>
      <c r="BH3630" s="406"/>
      <c r="BI3630" s="406"/>
      <c r="BJ3630" s="406"/>
      <c r="BK3630" s="406"/>
      <c r="BL3630" s="406"/>
      <c r="BM3630" s="406"/>
      <c r="BN3630" s="406"/>
      <c r="BO3630" s="406"/>
      <c r="BP3630" s="406"/>
      <c r="BQ3630" s="406"/>
      <c r="BR3630" s="406"/>
      <c r="BS3630" s="406"/>
      <c r="BT3630" s="406"/>
      <c r="BU3630" s="406"/>
      <c r="BV3630" s="406"/>
      <c r="BW3630" s="406"/>
      <c r="BX3630" s="406"/>
      <c r="BY3630" s="406"/>
      <c r="BZ3630" s="406"/>
      <c r="CA3630" s="142"/>
      <c r="CB3630" s="3" t="str">
        <f t="shared" si="644"/>
        <v>Riadok bude skrytý.</v>
      </c>
      <c r="CC3630" s="271" t="s">
        <v>832</v>
      </c>
      <c r="CW3630" s="30">
        <f t="shared" si="649"/>
        <v>0</v>
      </c>
      <c r="CZ3630" s="30">
        <f t="shared" si="648"/>
        <v>1</v>
      </c>
      <c r="DA3630" s="30">
        <f t="shared" si="642"/>
        <v>0</v>
      </c>
      <c r="DB3630" s="2">
        <f t="shared" si="647"/>
        <v>0</v>
      </c>
      <c r="DS3630" s="130">
        <f>SI!BY3630</f>
        <v>175</v>
      </c>
      <c r="DZ3630" s="131">
        <f>SI!BZ3630</f>
        <v>0</v>
      </c>
    </row>
    <row r="3631" spans="1:130" hidden="1" x14ac:dyDescent="0.25">
      <c r="A3631" s="141"/>
      <c r="B3631" s="406"/>
      <c r="C3631" s="406"/>
      <c r="D3631" s="406"/>
      <c r="E3631" s="406"/>
      <c r="F3631" s="406"/>
      <c r="G3631" s="406"/>
      <c r="H3631" s="406"/>
      <c r="I3631" s="406"/>
      <c r="J3631" s="406"/>
      <c r="K3631" s="406"/>
      <c r="L3631" s="406"/>
      <c r="M3631" s="406"/>
      <c r="N3631" s="406"/>
      <c r="O3631" s="406"/>
      <c r="P3631" s="406"/>
      <c r="Q3631" s="406"/>
      <c r="R3631" s="406"/>
      <c r="S3631" s="406"/>
      <c r="T3631" s="406"/>
      <c r="U3631" s="406"/>
      <c r="V3631" s="406"/>
      <c r="W3631" s="406"/>
      <c r="X3631" s="406"/>
      <c r="Y3631" s="406"/>
      <c r="Z3631" s="406"/>
      <c r="AA3631" s="406"/>
      <c r="AB3631" s="406"/>
      <c r="AC3631" s="406"/>
      <c r="AD3631" s="406"/>
      <c r="AE3631" s="406"/>
      <c r="AF3631" s="406"/>
      <c r="AG3631" s="406"/>
      <c r="AH3631" s="406"/>
      <c r="AI3631" s="406"/>
      <c r="AJ3631" s="406"/>
      <c r="AK3631" s="406"/>
      <c r="AL3631" s="406"/>
      <c r="AM3631" s="406"/>
      <c r="AN3631" s="406"/>
      <c r="AO3631" s="406"/>
      <c r="AP3631" s="406"/>
      <c r="AQ3631" s="406"/>
      <c r="AR3631" s="406"/>
      <c r="AS3631" s="406"/>
      <c r="AT3631" s="406"/>
      <c r="AU3631" s="406"/>
      <c r="AV3631" s="406"/>
      <c r="AW3631" s="406"/>
      <c r="AX3631" s="406"/>
      <c r="AY3631" s="406"/>
      <c r="AZ3631" s="406"/>
      <c r="BA3631" s="406"/>
      <c r="BB3631" s="406"/>
      <c r="BC3631" s="406"/>
      <c r="BD3631" s="406"/>
      <c r="BE3631" s="406"/>
      <c r="BF3631" s="406"/>
      <c r="BG3631" s="406"/>
      <c r="BH3631" s="406"/>
      <c r="BI3631" s="406"/>
      <c r="BJ3631" s="406"/>
      <c r="BK3631" s="406"/>
      <c r="BL3631" s="406"/>
      <c r="BM3631" s="406"/>
      <c r="BN3631" s="406"/>
      <c r="BO3631" s="406"/>
      <c r="BP3631" s="406"/>
      <c r="BQ3631" s="406"/>
      <c r="BR3631" s="406"/>
      <c r="BS3631" s="406"/>
      <c r="BT3631" s="406"/>
      <c r="BU3631" s="406"/>
      <c r="BV3631" s="406"/>
      <c r="BW3631" s="406"/>
      <c r="BX3631" s="406"/>
      <c r="BY3631" s="406"/>
      <c r="BZ3631" s="406"/>
      <c r="CA3631" s="142"/>
      <c r="CB3631" s="3" t="str">
        <f t="shared" si="644"/>
        <v>Riadok bude skrytý.</v>
      </c>
      <c r="CC3631" s="271" t="s">
        <v>832</v>
      </c>
      <c r="CW3631" s="30">
        <f t="shared" si="649"/>
        <v>0</v>
      </c>
      <c r="CZ3631" s="30">
        <f t="shared" si="648"/>
        <v>1</v>
      </c>
      <c r="DA3631" s="30">
        <f t="shared" si="642"/>
        <v>0</v>
      </c>
      <c r="DB3631" s="2">
        <f t="shared" si="647"/>
        <v>0</v>
      </c>
      <c r="DS3631" s="130">
        <f>SI!BY3631</f>
        <v>197</v>
      </c>
      <c r="DZ3631" s="131">
        <f>SI!BZ3631</f>
        <v>0</v>
      </c>
    </row>
    <row r="3632" spans="1:130" hidden="1" x14ac:dyDescent="0.25">
      <c r="A3632" s="141"/>
      <c r="B3632" s="406"/>
      <c r="C3632" s="406"/>
      <c r="D3632" s="406"/>
      <c r="E3632" s="406"/>
      <c r="F3632" s="406"/>
      <c r="G3632" s="406"/>
      <c r="H3632" s="406"/>
      <c r="I3632" s="406"/>
      <c r="J3632" s="406"/>
      <c r="K3632" s="406"/>
      <c r="L3632" s="406"/>
      <c r="M3632" s="406"/>
      <c r="N3632" s="406"/>
      <c r="O3632" s="406"/>
      <c r="P3632" s="406"/>
      <c r="Q3632" s="406"/>
      <c r="R3632" s="406"/>
      <c r="S3632" s="406"/>
      <c r="T3632" s="406"/>
      <c r="U3632" s="406"/>
      <c r="V3632" s="406"/>
      <c r="W3632" s="406"/>
      <c r="X3632" s="406"/>
      <c r="Y3632" s="406"/>
      <c r="Z3632" s="406"/>
      <c r="AA3632" s="406"/>
      <c r="AB3632" s="406"/>
      <c r="AC3632" s="406"/>
      <c r="AD3632" s="406"/>
      <c r="AE3632" s="406"/>
      <c r="AF3632" s="406"/>
      <c r="AG3632" s="406"/>
      <c r="AH3632" s="406"/>
      <c r="AI3632" s="406"/>
      <c r="AJ3632" s="406"/>
      <c r="AK3632" s="406"/>
      <c r="AL3632" s="406"/>
      <c r="AM3632" s="406"/>
      <c r="AN3632" s="406"/>
      <c r="AO3632" s="406"/>
      <c r="AP3632" s="406"/>
      <c r="AQ3632" s="406"/>
      <c r="AR3632" s="406"/>
      <c r="AS3632" s="406"/>
      <c r="AT3632" s="406"/>
      <c r="AU3632" s="406"/>
      <c r="AV3632" s="406"/>
      <c r="AW3632" s="406"/>
      <c r="AX3632" s="406"/>
      <c r="AY3632" s="406"/>
      <c r="AZ3632" s="406"/>
      <c r="BA3632" s="406"/>
      <c r="BB3632" s="406"/>
      <c r="BC3632" s="406"/>
      <c r="BD3632" s="406"/>
      <c r="BE3632" s="406"/>
      <c r="BF3632" s="406"/>
      <c r="BG3632" s="406"/>
      <c r="BH3632" s="406"/>
      <c r="BI3632" s="406"/>
      <c r="BJ3632" s="406"/>
      <c r="BK3632" s="406"/>
      <c r="BL3632" s="406"/>
      <c r="BM3632" s="406"/>
      <c r="BN3632" s="406"/>
      <c r="BO3632" s="406"/>
      <c r="BP3632" s="406"/>
      <c r="BQ3632" s="406"/>
      <c r="BR3632" s="406"/>
      <c r="BS3632" s="406"/>
      <c r="BT3632" s="406"/>
      <c r="BU3632" s="406"/>
      <c r="BV3632" s="406"/>
      <c r="BW3632" s="406"/>
      <c r="BX3632" s="406"/>
      <c r="BY3632" s="406"/>
      <c r="BZ3632" s="406"/>
      <c r="CA3632" s="142"/>
      <c r="CB3632" s="3" t="str">
        <f t="shared" si="644"/>
        <v>Riadok bude skrytý.</v>
      </c>
      <c r="CC3632" s="271" t="s">
        <v>832</v>
      </c>
      <c r="CW3632" s="30">
        <f t="shared" si="649"/>
        <v>0</v>
      </c>
      <c r="CZ3632" s="30">
        <f t="shared" si="648"/>
        <v>1</v>
      </c>
      <c r="DA3632" s="30">
        <f t="shared" si="642"/>
        <v>0</v>
      </c>
      <c r="DB3632" s="2">
        <f t="shared" si="647"/>
        <v>0</v>
      </c>
      <c r="DS3632" s="130">
        <f>SI!BY3632</f>
        <v>195</v>
      </c>
      <c r="DZ3632" s="131">
        <f>SI!BZ3632</f>
        <v>0</v>
      </c>
    </row>
    <row r="3633" spans="1:130" hidden="1" x14ac:dyDescent="0.25">
      <c r="A3633" s="141"/>
      <c r="B3633" s="406"/>
      <c r="C3633" s="406"/>
      <c r="D3633" s="406"/>
      <c r="E3633" s="406"/>
      <c r="F3633" s="406"/>
      <c r="G3633" s="406"/>
      <c r="H3633" s="406"/>
      <c r="I3633" s="406"/>
      <c r="J3633" s="406"/>
      <c r="K3633" s="406"/>
      <c r="L3633" s="406"/>
      <c r="M3633" s="406"/>
      <c r="N3633" s="406"/>
      <c r="O3633" s="406"/>
      <c r="P3633" s="406"/>
      <c r="Q3633" s="406"/>
      <c r="R3633" s="406"/>
      <c r="S3633" s="406"/>
      <c r="T3633" s="406"/>
      <c r="U3633" s="406"/>
      <c r="V3633" s="406"/>
      <c r="W3633" s="406"/>
      <c r="X3633" s="406"/>
      <c r="Y3633" s="406"/>
      <c r="Z3633" s="406"/>
      <c r="AA3633" s="406"/>
      <c r="AB3633" s="406"/>
      <c r="AC3633" s="406"/>
      <c r="AD3633" s="406"/>
      <c r="AE3633" s="406"/>
      <c r="AF3633" s="406"/>
      <c r="AG3633" s="406"/>
      <c r="AH3633" s="406"/>
      <c r="AI3633" s="406"/>
      <c r="AJ3633" s="406"/>
      <c r="AK3633" s="406"/>
      <c r="AL3633" s="406"/>
      <c r="AM3633" s="406"/>
      <c r="AN3633" s="406"/>
      <c r="AO3633" s="406"/>
      <c r="AP3633" s="406"/>
      <c r="AQ3633" s="406"/>
      <c r="AR3633" s="406"/>
      <c r="AS3633" s="406"/>
      <c r="AT3633" s="406"/>
      <c r="AU3633" s="406"/>
      <c r="AV3633" s="406"/>
      <c r="AW3633" s="406"/>
      <c r="AX3633" s="406"/>
      <c r="AY3633" s="406"/>
      <c r="AZ3633" s="406"/>
      <c r="BA3633" s="406"/>
      <c r="BB3633" s="406"/>
      <c r="BC3633" s="406"/>
      <c r="BD3633" s="406"/>
      <c r="BE3633" s="406"/>
      <c r="BF3633" s="406"/>
      <c r="BG3633" s="406"/>
      <c r="BH3633" s="406"/>
      <c r="BI3633" s="406"/>
      <c r="BJ3633" s="406"/>
      <c r="BK3633" s="406"/>
      <c r="BL3633" s="406"/>
      <c r="BM3633" s="406"/>
      <c r="BN3633" s="406"/>
      <c r="BO3633" s="406"/>
      <c r="BP3633" s="406"/>
      <c r="BQ3633" s="406"/>
      <c r="BR3633" s="406"/>
      <c r="BS3633" s="406"/>
      <c r="BT3633" s="406"/>
      <c r="BU3633" s="406"/>
      <c r="BV3633" s="406"/>
      <c r="BW3633" s="406"/>
      <c r="BX3633" s="406"/>
      <c r="BY3633" s="406"/>
      <c r="BZ3633" s="406"/>
      <c r="CA3633" s="142"/>
      <c r="CB3633" s="3" t="str">
        <f t="shared" si="644"/>
        <v>Riadok bude skrytý.</v>
      </c>
      <c r="CC3633" s="271" t="s">
        <v>832</v>
      </c>
      <c r="CW3633" s="30">
        <f t="shared" si="649"/>
        <v>0</v>
      </c>
      <c r="CZ3633" s="30">
        <f t="shared" si="648"/>
        <v>1</v>
      </c>
      <c r="DA3633" s="30">
        <f t="shared" si="642"/>
        <v>0</v>
      </c>
      <c r="DB3633" s="2">
        <f t="shared" si="647"/>
        <v>0</v>
      </c>
      <c r="DS3633" s="130">
        <f>SI!BY3633</f>
        <v>203</v>
      </c>
      <c r="DZ3633" s="131">
        <f>SI!BZ3633</f>
        <v>0</v>
      </c>
    </row>
    <row r="3634" spans="1:130" hidden="1" x14ac:dyDescent="0.25">
      <c r="A3634" s="141"/>
      <c r="CA3634" s="142"/>
      <c r="CB3634" s="3" t="str">
        <f t="shared" si="644"/>
        <v>Riadok bude skrytý.</v>
      </c>
      <c r="CC3634" s="271" t="s">
        <v>832</v>
      </c>
      <c r="CW3634" s="30">
        <f>+IF(B3624="",0,1)</f>
        <v>0</v>
      </c>
      <c r="CZ3634" s="30">
        <f t="shared" si="648"/>
        <v>1</v>
      </c>
      <c r="DA3634" s="30">
        <f t="shared" si="642"/>
        <v>0</v>
      </c>
      <c r="DB3634" s="2">
        <f t="shared" si="647"/>
        <v>0</v>
      </c>
      <c r="DS3634" s="130">
        <f>SI!BY3634</f>
        <v>138</v>
      </c>
      <c r="DZ3634" s="131">
        <f>SI!BZ3634</f>
        <v>0</v>
      </c>
    </row>
    <row r="3635" spans="1:130" ht="17" hidden="1" thickBot="1" x14ac:dyDescent="0.35">
      <c r="A3635" s="141"/>
      <c r="B3635" s="21"/>
      <c r="C3635" s="268"/>
      <c r="D3635" s="268"/>
      <c r="E3635" s="268"/>
      <c r="F3635" s="268"/>
      <c r="G3635" s="22" t="s">
        <v>966</v>
      </c>
      <c r="H3635" s="22"/>
      <c r="I3635" s="268"/>
      <c r="J3635" s="268"/>
      <c r="K3635" s="268"/>
      <c r="L3635" s="268"/>
      <c r="M3635" s="268"/>
      <c r="N3635" s="268"/>
      <c r="O3635" s="268"/>
      <c r="P3635" s="268"/>
      <c r="Q3635" s="268"/>
      <c r="R3635" s="268"/>
      <c r="S3635" s="268"/>
      <c r="T3635" s="268"/>
      <c r="U3635" s="268"/>
      <c r="V3635" s="268"/>
      <c r="W3635" s="268"/>
      <c r="X3635" s="268"/>
      <c r="Y3635" s="268"/>
      <c r="Z3635" s="268"/>
      <c r="AA3635" s="268"/>
      <c r="AB3635" s="268"/>
      <c r="AC3635" s="268"/>
      <c r="AD3635" s="268"/>
      <c r="AE3635" s="268"/>
      <c r="AF3635" s="268"/>
      <c r="AG3635" s="268"/>
      <c r="AH3635" s="268"/>
      <c r="AI3635" s="28"/>
      <c r="AJ3635" s="28"/>
      <c r="AK3635" s="29"/>
      <c r="AL3635" s="29"/>
      <c r="AM3635" s="29"/>
      <c r="AN3635" s="29"/>
      <c r="AO3635" s="29"/>
      <c r="AP3635" s="29"/>
      <c r="AQ3635" s="29"/>
      <c r="AR3635" s="29"/>
      <c r="AS3635" s="29"/>
      <c r="AT3635" s="29"/>
      <c r="AU3635" s="29"/>
      <c r="AV3635" s="268"/>
      <c r="AW3635" s="268"/>
      <c r="AX3635" s="268"/>
      <c r="AY3635" s="268"/>
      <c r="AZ3635" s="268"/>
      <c r="BA3635" s="268"/>
      <c r="BB3635" s="268"/>
      <c r="BC3635" s="268"/>
      <c r="BD3635" s="932" t="str">
        <f>+SI!J2</f>
        <v>Resumo s.r.o.</v>
      </c>
      <c r="BE3635" s="932"/>
      <c r="BF3635" s="932"/>
      <c r="BG3635" s="932"/>
      <c r="BH3635" s="932"/>
      <c r="BI3635" s="932"/>
      <c r="BJ3635" s="932"/>
      <c r="BK3635" s="932"/>
      <c r="BL3635" s="932"/>
      <c r="BM3635" s="932"/>
      <c r="BN3635" s="932"/>
      <c r="BO3635" s="932"/>
      <c r="BP3635" s="932"/>
      <c r="BQ3635" s="932"/>
      <c r="BR3635" s="932"/>
      <c r="BS3635" s="932"/>
      <c r="BT3635" s="932"/>
      <c r="BU3635" s="932"/>
      <c r="BV3635" s="932"/>
      <c r="BW3635" s="932"/>
      <c r="BX3635" s="932"/>
      <c r="BY3635" s="932"/>
      <c r="BZ3635" s="933"/>
      <c r="CA3635" s="265" t="s">
        <v>773</v>
      </c>
      <c r="CB3635" s="3" t="str">
        <f t="shared" ref="CB3635:CB3698" si="650">+IF(DB3635=0,"Riadok bude skrytý.","Riadok bude vidieť.")</f>
        <v>Riadok bude skrytý.</v>
      </c>
      <c r="CC3635" s="271" t="s">
        <v>832</v>
      </c>
      <c r="CW3635" s="49">
        <v>1</v>
      </c>
      <c r="CZ3635" s="30">
        <f t="shared" si="645"/>
        <v>1</v>
      </c>
      <c r="DA3635" s="30">
        <f t="shared" si="642"/>
        <v>1</v>
      </c>
      <c r="DB3635" s="2">
        <f t="shared" si="647"/>
        <v>0</v>
      </c>
      <c r="DS3635" s="130">
        <f>SI!BY3635</f>
        <v>201</v>
      </c>
      <c r="DZ3635" s="131">
        <f>SI!BZ3635</f>
        <v>0</v>
      </c>
    </row>
    <row r="3636" spans="1:130" hidden="1" x14ac:dyDescent="0.25">
      <c r="A3636" s="141"/>
      <c r="CA3636" s="142"/>
      <c r="CB3636" s="3" t="str">
        <f t="shared" si="650"/>
        <v>Riadok bude skrytý.</v>
      </c>
      <c r="CC3636" s="271" t="s">
        <v>832</v>
      </c>
      <c r="CW3636" s="49">
        <v>1</v>
      </c>
      <c r="CZ3636" s="30">
        <f t="shared" si="645"/>
        <v>1</v>
      </c>
      <c r="DA3636" s="30">
        <f t="shared" si="642"/>
        <v>1</v>
      </c>
      <c r="DB3636" s="2">
        <f t="shared" si="647"/>
        <v>0</v>
      </c>
      <c r="DS3636" s="130">
        <f>SI!BY3636</f>
        <v>118</v>
      </c>
      <c r="DZ3636" s="131">
        <f>SI!BZ3636</f>
        <v>0</v>
      </c>
    </row>
    <row r="3637" spans="1:130" x14ac:dyDescent="0.25">
      <c r="A3637" s="141"/>
      <c r="B3637" s="137" t="s">
        <v>96</v>
      </c>
      <c r="J3637" s="385" t="s">
        <v>1011</v>
      </c>
      <c r="K3637" s="385"/>
      <c r="L3637" s="385"/>
      <c r="M3637" s="385"/>
      <c r="N3637" s="385"/>
      <c r="O3637" s="137" t="s">
        <v>747</v>
      </c>
      <c r="P3637" s="38"/>
      <c r="CA3637" s="142"/>
      <c r="CB3637" s="3" t="str">
        <f t="shared" si="650"/>
        <v>Riadok bude vidieť.</v>
      </c>
      <c r="CC3637" s="271" t="s">
        <v>832</v>
      </c>
      <c r="CW3637" s="49">
        <v>1</v>
      </c>
      <c r="CZ3637" s="30">
        <f t="shared" si="645"/>
        <v>1</v>
      </c>
      <c r="DA3637" s="30">
        <f t="shared" ref="DA3637:DA3700" si="651">+IF(CW3637+CX3637+CY3637=0,0,IF(CZ3637=0,0,1))</f>
        <v>1</v>
      </c>
      <c r="DB3637" s="140">
        <f t="shared" ref="DB3637:DB3681" si="652">+DA3637</f>
        <v>1</v>
      </c>
      <c r="DS3637" s="130">
        <f>SI!BY3637</f>
        <v>10</v>
      </c>
      <c r="DZ3637" s="131">
        <f>SI!BZ3637</f>
        <v>0</v>
      </c>
    </row>
    <row r="3638" spans="1:130" x14ac:dyDescent="0.25">
      <c r="A3638" s="141"/>
      <c r="B3638" s="137" t="s">
        <v>761</v>
      </c>
      <c r="CA3638" s="142"/>
      <c r="CB3638" s="3" t="str">
        <f t="shared" si="650"/>
        <v>Riadok bude vidieť.</v>
      </c>
      <c r="CC3638" s="271" t="s">
        <v>832</v>
      </c>
      <c r="CW3638" s="49">
        <v>1</v>
      </c>
      <c r="CZ3638" s="30">
        <f t="shared" si="645"/>
        <v>1</v>
      </c>
      <c r="DA3638" s="30">
        <f t="shared" si="651"/>
        <v>1</v>
      </c>
      <c r="DB3638" s="140">
        <f t="shared" si="652"/>
        <v>1</v>
      </c>
      <c r="DS3638" s="130">
        <f>SI!BY3638</f>
        <v>106</v>
      </c>
      <c r="DZ3638" s="131">
        <f>SI!BZ3638</f>
        <v>0</v>
      </c>
    </row>
    <row r="3639" spans="1:130" x14ac:dyDescent="0.25">
      <c r="A3639" s="141"/>
      <c r="B3639" s="137" t="s">
        <v>748</v>
      </c>
      <c r="CA3639" s="142"/>
      <c r="CB3639" s="3" t="str">
        <f t="shared" si="650"/>
        <v>Riadok bude vidieť.</v>
      </c>
      <c r="CC3639" s="271" t="s">
        <v>832</v>
      </c>
      <c r="CW3639" s="49">
        <v>1</v>
      </c>
      <c r="CZ3639" s="30">
        <f t="shared" si="645"/>
        <v>1</v>
      </c>
      <c r="DA3639" s="30">
        <f t="shared" si="651"/>
        <v>1</v>
      </c>
      <c r="DB3639" s="140">
        <f t="shared" si="652"/>
        <v>1</v>
      </c>
      <c r="DS3639" s="130">
        <f>SI!BY3639</f>
        <v>318</v>
      </c>
      <c r="DZ3639" s="131">
        <f>SI!BZ3639</f>
        <v>0</v>
      </c>
    </row>
    <row r="3640" spans="1:130" hidden="1" x14ac:dyDescent="0.25">
      <c r="A3640" s="141"/>
      <c r="B3640" s="137" t="str">
        <f>+IF(J3637="je","Spoločnosť uvádza nasledujúce informácie:","")</f>
        <v/>
      </c>
      <c r="CA3640" s="265" t="s">
        <v>773</v>
      </c>
      <c r="CB3640" s="3" t="str">
        <f t="shared" si="650"/>
        <v>Riadok bude skrytý.</v>
      </c>
      <c r="CC3640" s="271" t="s">
        <v>832</v>
      </c>
      <c r="CW3640" s="30">
        <f>+IF($J$3637="nie je",0,1)</f>
        <v>0</v>
      </c>
      <c r="CZ3640" s="30">
        <f t="shared" si="645"/>
        <v>1</v>
      </c>
      <c r="DA3640" s="30">
        <f t="shared" si="651"/>
        <v>0</v>
      </c>
      <c r="DB3640" s="140">
        <f t="shared" si="652"/>
        <v>0</v>
      </c>
      <c r="DS3640" s="130">
        <f>SI!BY3640</f>
        <v>168</v>
      </c>
      <c r="DZ3640" s="131">
        <f>SI!BZ3640</f>
        <v>0</v>
      </c>
    </row>
    <row r="3641" spans="1:130" hidden="1" x14ac:dyDescent="0.25">
      <c r="A3641" s="141"/>
      <c r="B3641" s="137" t="str">
        <f>+IF($Q$52&lt;&gt;"",IF((CODE(MID($Q$52,1,1)))*(INT((PI()-3.1415)*10^5))*0+(LEN(SI!J5)-LEN(SI!J6))=DS3641,"Zloženie a výšku základného imania pripadajúceho na orgány verejnej moci:","NEPOVOLENÉ POUŽITIE!"),"NEPOVOLENÉ POUŽITIE!")</f>
        <v>Zloženie a výšku základného imania pripadajúceho na orgány verejnej moci:</v>
      </c>
      <c r="CA3641" s="265"/>
      <c r="CB3641" s="3" t="str">
        <f t="shared" si="650"/>
        <v>Riadok bude skrytý.</v>
      </c>
      <c r="CC3641" s="271" t="s">
        <v>832</v>
      </c>
      <c r="CW3641" s="30">
        <f>+IF(B3642="",0,1)</f>
        <v>0</v>
      </c>
      <c r="CZ3641" s="30">
        <f t="shared" si="645"/>
        <v>1</v>
      </c>
      <c r="DA3641" s="30">
        <f t="shared" si="651"/>
        <v>0</v>
      </c>
      <c r="DB3641" s="140">
        <f t="shared" si="652"/>
        <v>0</v>
      </c>
      <c r="DS3641" s="130">
        <f>SI!BY3641</f>
        <v>10</v>
      </c>
      <c r="DZ3641" s="131">
        <f>SI!BZ3641</f>
        <v>0</v>
      </c>
    </row>
    <row r="3642" spans="1:130" hidden="1" x14ac:dyDescent="0.25">
      <c r="A3642" s="141"/>
      <c r="B3642" s="406"/>
      <c r="C3642" s="406"/>
      <c r="D3642" s="406"/>
      <c r="E3642" s="406"/>
      <c r="F3642" s="406"/>
      <c r="G3642" s="406"/>
      <c r="H3642" s="406"/>
      <c r="I3642" s="406"/>
      <c r="J3642" s="406"/>
      <c r="K3642" s="406"/>
      <c r="L3642" s="406"/>
      <c r="M3642" s="406"/>
      <c r="N3642" s="406"/>
      <c r="O3642" s="406"/>
      <c r="P3642" s="406"/>
      <c r="Q3642" s="406"/>
      <c r="R3642" s="406"/>
      <c r="S3642" s="406"/>
      <c r="T3642" s="406"/>
      <c r="U3642" s="406"/>
      <c r="V3642" s="406"/>
      <c r="W3642" s="406"/>
      <c r="X3642" s="406"/>
      <c r="Y3642" s="406"/>
      <c r="Z3642" s="406"/>
      <c r="AA3642" s="406"/>
      <c r="AB3642" s="406"/>
      <c r="AC3642" s="406"/>
      <c r="AD3642" s="406"/>
      <c r="AE3642" s="406"/>
      <c r="AF3642" s="406"/>
      <c r="AG3642" s="406"/>
      <c r="AH3642" s="406"/>
      <c r="AI3642" s="406"/>
      <c r="AJ3642" s="406"/>
      <c r="AK3642" s="406"/>
      <c r="AL3642" s="406"/>
      <c r="AM3642" s="406"/>
      <c r="AN3642" s="406"/>
      <c r="AO3642" s="406"/>
      <c r="AP3642" s="406"/>
      <c r="AQ3642" s="406"/>
      <c r="AR3642" s="406"/>
      <c r="AS3642" s="406"/>
      <c r="AT3642" s="406"/>
      <c r="AU3642" s="406"/>
      <c r="AV3642" s="406"/>
      <c r="AW3642" s="406"/>
      <c r="AX3642" s="406"/>
      <c r="AY3642" s="406"/>
      <c r="AZ3642" s="406"/>
      <c r="BA3642" s="406"/>
      <c r="BB3642" s="406"/>
      <c r="BC3642" s="406"/>
      <c r="BD3642" s="406"/>
      <c r="BE3642" s="406"/>
      <c r="BF3642" s="406"/>
      <c r="BG3642" s="406"/>
      <c r="BH3642" s="406"/>
      <c r="BI3642" s="406"/>
      <c r="BJ3642" s="406"/>
      <c r="BK3642" s="406"/>
      <c r="BL3642" s="406"/>
      <c r="BM3642" s="406"/>
      <c r="BN3642" s="406"/>
      <c r="BO3642" s="406"/>
      <c r="BP3642" s="406"/>
      <c r="BQ3642" s="406"/>
      <c r="BR3642" s="406"/>
      <c r="BS3642" s="406"/>
      <c r="BT3642" s="406"/>
      <c r="BU3642" s="406"/>
      <c r="BV3642" s="406"/>
      <c r="BW3642" s="406"/>
      <c r="BX3642" s="406"/>
      <c r="BY3642" s="406"/>
      <c r="BZ3642" s="406"/>
      <c r="CA3642" s="308"/>
      <c r="CB3642" s="3" t="str">
        <f t="shared" si="650"/>
        <v>Riadok bude skrytý.</v>
      </c>
      <c r="CC3642" s="271" t="s">
        <v>832</v>
      </c>
      <c r="CW3642" s="30">
        <f t="shared" ref="CW3642:CW3648" si="653">+IF(B3642="",0,1)</f>
        <v>0</v>
      </c>
      <c r="CZ3642" s="30">
        <f t="shared" si="645"/>
        <v>1</v>
      </c>
      <c r="DA3642" s="30">
        <f t="shared" si="651"/>
        <v>0</v>
      </c>
      <c r="DB3642" s="140">
        <f t="shared" si="652"/>
        <v>0</v>
      </c>
      <c r="DS3642" s="130">
        <f>SI!BY3642</f>
        <v>109</v>
      </c>
      <c r="DZ3642" s="131">
        <f>SI!BZ3642</f>
        <v>0</v>
      </c>
    </row>
    <row r="3643" spans="1:130" hidden="1" x14ac:dyDescent="0.25">
      <c r="A3643" s="141"/>
      <c r="B3643" s="406"/>
      <c r="C3643" s="406"/>
      <c r="D3643" s="406"/>
      <c r="E3643" s="406"/>
      <c r="F3643" s="406"/>
      <c r="G3643" s="406"/>
      <c r="H3643" s="406"/>
      <c r="I3643" s="406"/>
      <c r="J3643" s="406"/>
      <c r="K3643" s="406"/>
      <c r="L3643" s="406"/>
      <c r="M3643" s="406"/>
      <c r="N3643" s="406"/>
      <c r="O3643" s="406"/>
      <c r="P3643" s="406"/>
      <c r="Q3643" s="406"/>
      <c r="R3643" s="406"/>
      <c r="S3643" s="406"/>
      <c r="T3643" s="406"/>
      <c r="U3643" s="406"/>
      <c r="V3643" s="406"/>
      <c r="W3643" s="406"/>
      <c r="X3643" s="406"/>
      <c r="Y3643" s="406"/>
      <c r="Z3643" s="406"/>
      <c r="AA3643" s="406"/>
      <c r="AB3643" s="406"/>
      <c r="AC3643" s="406"/>
      <c r="AD3643" s="406"/>
      <c r="AE3643" s="406"/>
      <c r="AF3643" s="406"/>
      <c r="AG3643" s="406"/>
      <c r="AH3643" s="406"/>
      <c r="AI3643" s="406"/>
      <c r="AJ3643" s="406"/>
      <c r="AK3643" s="406"/>
      <c r="AL3643" s="406"/>
      <c r="AM3643" s="406"/>
      <c r="AN3643" s="406"/>
      <c r="AO3643" s="406"/>
      <c r="AP3643" s="406"/>
      <c r="AQ3643" s="406"/>
      <c r="AR3643" s="406"/>
      <c r="AS3643" s="406"/>
      <c r="AT3643" s="406"/>
      <c r="AU3643" s="406"/>
      <c r="AV3643" s="406"/>
      <c r="AW3643" s="406"/>
      <c r="AX3643" s="406"/>
      <c r="AY3643" s="406"/>
      <c r="AZ3643" s="406"/>
      <c r="BA3643" s="406"/>
      <c r="BB3643" s="406"/>
      <c r="BC3643" s="406"/>
      <c r="BD3643" s="406"/>
      <c r="BE3643" s="406"/>
      <c r="BF3643" s="406"/>
      <c r="BG3643" s="406"/>
      <c r="BH3643" s="406"/>
      <c r="BI3643" s="406"/>
      <c r="BJ3643" s="406"/>
      <c r="BK3643" s="406"/>
      <c r="BL3643" s="406"/>
      <c r="BM3643" s="406"/>
      <c r="BN3643" s="406"/>
      <c r="BO3643" s="406"/>
      <c r="BP3643" s="406"/>
      <c r="BQ3643" s="406"/>
      <c r="BR3643" s="406"/>
      <c r="BS3643" s="406"/>
      <c r="BT3643" s="406"/>
      <c r="BU3643" s="406"/>
      <c r="BV3643" s="406"/>
      <c r="BW3643" s="406"/>
      <c r="BX3643" s="406"/>
      <c r="BY3643" s="406"/>
      <c r="BZ3643" s="406"/>
      <c r="CA3643" s="308"/>
      <c r="CB3643" s="3" t="str">
        <f t="shared" si="650"/>
        <v>Riadok bude skrytý.</v>
      </c>
      <c r="CC3643" s="271" t="s">
        <v>832</v>
      </c>
      <c r="CW3643" s="30">
        <f t="shared" si="653"/>
        <v>0</v>
      </c>
      <c r="CZ3643" s="30">
        <f t="shared" si="645"/>
        <v>1</v>
      </c>
      <c r="DA3643" s="30">
        <f t="shared" si="651"/>
        <v>0</v>
      </c>
      <c r="DB3643" s="140">
        <f t="shared" si="652"/>
        <v>0</v>
      </c>
      <c r="DS3643" s="130">
        <f>SI!BY3643</f>
        <v>182</v>
      </c>
      <c r="DZ3643" s="131">
        <f>SI!BZ3643</f>
        <v>0</v>
      </c>
    </row>
    <row r="3644" spans="1:130" hidden="1" x14ac:dyDescent="0.25">
      <c r="A3644" s="141"/>
      <c r="B3644" s="406"/>
      <c r="C3644" s="406"/>
      <c r="D3644" s="406"/>
      <c r="E3644" s="406"/>
      <c r="F3644" s="406"/>
      <c r="G3644" s="406"/>
      <c r="H3644" s="406"/>
      <c r="I3644" s="406"/>
      <c r="J3644" s="406"/>
      <c r="K3644" s="406"/>
      <c r="L3644" s="406"/>
      <c r="M3644" s="406"/>
      <c r="N3644" s="406"/>
      <c r="O3644" s="406"/>
      <c r="P3644" s="406"/>
      <c r="Q3644" s="406"/>
      <c r="R3644" s="406"/>
      <c r="S3644" s="406"/>
      <c r="T3644" s="406"/>
      <c r="U3644" s="406"/>
      <c r="V3644" s="406"/>
      <c r="W3644" s="406"/>
      <c r="X3644" s="406"/>
      <c r="Y3644" s="406"/>
      <c r="Z3644" s="406"/>
      <c r="AA3644" s="406"/>
      <c r="AB3644" s="406"/>
      <c r="AC3644" s="406"/>
      <c r="AD3644" s="406"/>
      <c r="AE3644" s="406"/>
      <c r="AF3644" s="406"/>
      <c r="AG3644" s="406"/>
      <c r="AH3644" s="406"/>
      <c r="AI3644" s="406"/>
      <c r="AJ3644" s="406"/>
      <c r="AK3644" s="406"/>
      <c r="AL3644" s="406"/>
      <c r="AM3644" s="406"/>
      <c r="AN3644" s="406"/>
      <c r="AO3644" s="406"/>
      <c r="AP3644" s="406"/>
      <c r="AQ3644" s="406"/>
      <c r="AR3644" s="406"/>
      <c r="AS3644" s="406"/>
      <c r="AT3644" s="406"/>
      <c r="AU3644" s="406"/>
      <c r="AV3644" s="406"/>
      <c r="AW3644" s="406"/>
      <c r="AX3644" s="406"/>
      <c r="AY3644" s="406"/>
      <c r="AZ3644" s="406"/>
      <c r="BA3644" s="406"/>
      <c r="BB3644" s="406"/>
      <c r="BC3644" s="406"/>
      <c r="BD3644" s="406"/>
      <c r="BE3644" s="406"/>
      <c r="BF3644" s="406"/>
      <c r="BG3644" s="406"/>
      <c r="BH3644" s="406"/>
      <c r="BI3644" s="406"/>
      <c r="BJ3644" s="406"/>
      <c r="BK3644" s="406"/>
      <c r="BL3644" s="406"/>
      <c r="BM3644" s="406"/>
      <c r="BN3644" s="406"/>
      <c r="BO3644" s="406"/>
      <c r="BP3644" s="406"/>
      <c r="BQ3644" s="406"/>
      <c r="BR3644" s="406"/>
      <c r="BS3644" s="406"/>
      <c r="BT3644" s="406"/>
      <c r="BU3644" s="406"/>
      <c r="BV3644" s="406"/>
      <c r="BW3644" s="406"/>
      <c r="BX3644" s="406"/>
      <c r="BY3644" s="406"/>
      <c r="BZ3644" s="406"/>
      <c r="CA3644" s="308"/>
      <c r="CB3644" s="3" t="str">
        <f t="shared" si="650"/>
        <v>Riadok bude skrytý.</v>
      </c>
      <c r="CC3644" s="271" t="s">
        <v>832</v>
      </c>
      <c r="CW3644" s="30">
        <f t="shared" si="653"/>
        <v>0</v>
      </c>
      <c r="CZ3644" s="30">
        <f t="shared" si="645"/>
        <v>1</v>
      </c>
      <c r="DA3644" s="30">
        <f t="shared" si="651"/>
        <v>0</v>
      </c>
      <c r="DB3644" s="140">
        <f t="shared" si="652"/>
        <v>0</v>
      </c>
      <c r="DS3644" s="130">
        <f>SI!BY3644</f>
        <v>168</v>
      </c>
      <c r="DZ3644" s="131">
        <f>SI!BZ3644</f>
        <v>0</v>
      </c>
    </row>
    <row r="3645" spans="1:130" hidden="1" x14ac:dyDescent="0.25">
      <c r="A3645" s="141"/>
      <c r="B3645" s="406"/>
      <c r="C3645" s="406"/>
      <c r="D3645" s="406"/>
      <c r="E3645" s="406"/>
      <c r="F3645" s="406"/>
      <c r="G3645" s="406"/>
      <c r="H3645" s="406"/>
      <c r="I3645" s="406"/>
      <c r="J3645" s="406"/>
      <c r="K3645" s="406"/>
      <c r="L3645" s="406"/>
      <c r="M3645" s="406"/>
      <c r="N3645" s="406"/>
      <c r="O3645" s="406"/>
      <c r="P3645" s="406"/>
      <c r="Q3645" s="406"/>
      <c r="R3645" s="406"/>
      <c r="S3645" s="406"/>
      <c r="T3645" s="406"/>
      <c r="U3645" s="406"/>
      <c r="V3645" s="406"/>
      <c r="W3645" s="406"/>
      <c r="X3645" s="406"/>
      <c r="Y3645" s="406"/>
      <c r="Z3645" s="406"/>
      <c r="AA3645" s="406"/>
      <c r="AB3645" s="406"/>
      <c r="AC3645" s="406"/>
      <c r="AD3645" s="406"/>
      <c r="AE3645" s="406"/>
      <c r="AF3645" s="406"/>
      <c r="AG3645" s="406"/>
      <c r="AH3645" s="406"/>
      <c r="AI3645" s="406"/>
      <c r="AJ3645" s="406"/>
      <c r="AK3645" s="406"/>
      <c r="AL3645" s="406"/>
      <c r="AM3645" s="406"/>
      <c r="AN3645" s="406"/>
      <c r="AO3645" s="406"/>
      <c r="AP3645" s="406"/>
      <c r="AQ3645" s="406"/>
      <c r="AR3645" s="406"/>
      <c r="AS3645" s="406"/>
      <c r="AT3645" s="406"/>
      <c r="AU3645" s="406"/>
      <c r="AV3645" s="406"/>
      <c r="AW3645" s="406"/>
      <c r="AX3645" s="406"/>
      <c r="AY3645" s="406"/>
      <c r="AZ3645" s="406"/>
      <c r="BA3645" s="406"/>
      <c r="BB3645" s="406"/>
      <c r="BC3645" s="406"/>
      <c r="BD3645" s="406"/>
      <c r="BE3645" s="406"/>
      <c r="BF3645" s="406"/>
      <c r="BG3645" s="406"/>
      <c r="BH3645" s="406"/>
      <c r="BI3645" s="406"/>
      <c r="BJ3645" s="406"/>
      <c r="BK3645" s="406"/>
      <c r="BL3645" s="406"/>
      <c r="BM3645" s="406"/>
      <c r="BN3645" s="406"/>
      <c r="BO3645" s="406"/>
      <c r="BP3645" s="406"/>
      <c r="BQ3645" s="406"/>
      <c r="BR3645" s="406"/>
      <c r="BS3645" s="406"/>
      <c r="BT3645" s="406"/>
      <c r="BU3645" s="406"/>
      <c r="BV3645" s="406"/>
      <c r="BW3645" s="406"/>
      <c r="BX3645" s="406"/>
      <c r="BY3645" s="406"/>
      <c r="BZ3645" s="406"/>
      <c r="CA3645" s="308"/>
      <c r="CB3645" s="3" t="str">
        <f t="shared" si="650"/>
        <v>Riadok bude skrytý.</v>
      </c>
      <c r="CC3645" s="271" t="s">
        <v>832</v>
      </c>
      <c r="CW3645" s="30">
        <f t="shared" si="653"/>
        <v>0</v>
      </c>
      <c r="CZ3645" s="30">
        <f t="shared" si="645"/>
        <v>1</v>
      </c>
      <c r="DA3645" s="30">
        <f t="shared" si="651"/>
        <v>0</v>
      </c>
      <c r="DB3645" s="140">
        <f t="shared" si="652"/>
        <v>0</v>
      </c>
      <c r="DS3645" s="130">
        <f>SI!BY3645</f>
        <v>638</v>
      </c>
      <c r="DZ3645" s="131">
        <f>SI!BZ3645</f>
        <v>0</v>
      </c>
    </row>
    <row r="3646" spans="1:130" hidden="1" x14ac:dyDescent="0.25">
      <c r="A3646" s="141"/>
      <c r="B3646" s="406"/>
      <c r="C3646" s="406"/>
      <c r="D3646" s="406"/>
      <c r="E3646" s="406"/>
      <c r="F3646" s="406"/>
      <c r="G3646" s="406"/>
      <c r="H3646" s="406"/>
      <c r="I3646" s="406"/>
      <c r="J3646" s="406"/>
      <c r="K3646" s="406"/>
      <c r="L3646" s="406"/>
      <c r="M3646" s="406"/>
      <c r="N3646" s="406"/>
      <c r="O3646" s="406"/>
      <c r="P3646" s="406"/>
      <c r="Q3646" s="406"/>
      <c r="R3646" s="406"/>
      <c r="S3646" s="406"/>
      <c r="T3646" s="406"/>
      <c r="U3646" s="406"/>
      <c r="V3646" s="406"/>
      <c r="W3646" s="406"/>
      <c r="X3646" s="406"/>
      <c r="Y3646" s="406"/>
      <c r="Z3646" s="406"/>
      <c r="AA3646" s="406"/>
      <c r="AB3646" s="406"/>
      <c r="AC3646" s="406"/>
      <c r="AD3646" s="406"/>
      <c r="AE3646" s="406"/>
      <c r="AF3646" s="406"/>
      <c r="AG3646" s="406"/>
      <c r="AH3646" s="406"/>
      <c r="AI3646" s="406"/>
      <c r="AJ3646" s="406"/>
      <c r="AK3646" s="406"/>
      <c r="AL3646" s="406"/>
      <c r="AM3646" s="406"/>
      <c r="AN3646" s="406"/>
      <c r="AO3646" s="406"/>
      <c r="AP3646" s="406"/>
      <c r="AQ3646" s="406"/>
      <c r="AR3646" s="406"/>
      <c r="AS3646" s="406"/>
      <c r="AT3646" s="406"/>
      <c r="AU3646" s="406"/>
      <c r="AV3646" s="406"/>
      <c r="AW3646" s="406"/>
      <c r="AX3646" s="406"/>
      <c r="AY3646" s="406"/>
      <c r="AZ3646" s="406"/>
      <c r="BA3646" s="406"/>
      <c r="BB3646" s="406"/>
      <c r="BC3646" s="406"/>
      <c r="BD3646" s="406"/>
      <c r="BE3646" s="406"/>
      <c r="BF3646" s="406"/>
      <c r="BG3646" s="406"/>
      <c r="BH3646" s="406"/>
      <c r="BI3646" s="406"/>
      <c r="BJ3646" s="406"/>
      <c r="BK3646" s="406"/>
      <c r="BL3646" s="406"/>
      <c r="BM3646" s="406"/>
      <c r="BN3646" s="406"/>
      <c r="BO3646" s="406"/>
      <c r="BP3646" s="406"/>
      <c r="BQ3646" s="406"/>
      <c r="BR3646" s="406"/>
      <c r="BS3646" s="406"/>
      <c r="BT3646" s="406"/>
      <c r="BU3646" s="406"/>
      <c r="BV3646" s="406"/>
      <c r="BW3646" s="406"/>
      <c r="BX3646" s="406"/>
      <c r="BY3646" s="406"/>
      <c r="BZ3646" s="406"/>
      <c r="CA3646" s="308"/>
      <c r="CB3646" s="3" t="str">
        <f t="shared" si="650"/>
        <v>Riadok bude skrytý.</v>
      </c>
      <c r="CC3646" s="271" t="s">
        <v>832</v>
      </c>
      <c r="CW3646" s="30">
        <f t="shared" si="653"/>
        <v>0</v>
      </c>
      <c r="CZ3646" s="30">
        <f t="shared" si="645"/>
        <v>1</v>
      </c>
      <c r="DA3646" s="30">
        <f t="shared" si="651"/>
        <v>0</v>
      </c>
      <c r="DB3646" s="140">
        <f t="shared" si="652"/>
        <v>0</v>
      </c>
      <c r="DS3646" s="130">
        <f>SI!BY3646</f>
        <v>13</v>
      </c>
      <c r="DZ3646" s="131">
        <f>SI!BZ3646</f>
        <v>0</v>
      </c>
    </row>
    <row r="3647" spans="1:130" hidden="1" x14ac:dyDescent="0.25">
      <c r="A3647" s="141"/>
      <c r="B3647" s="406"/>
      <c r="C3647" s="406"/>
      <c r="D3647" s="406"/>
      <c r="E3647" s="406"/>
      <c r="F3647" s="406"/>
      <c r="G3647" s="406"/>
      <c r="H3647" s="406"/>
      <c r="I3647" s="406"/>
      <c r="J3647" s="406"/>
      <c r="K3647" s="406"/>
      <c r="L3647" s="406"/>
      <c r="M3647" s="406"/>
      <c r="N3647" s="406"/>
      <c r="O3647" s="406"/>
      <c r="P3647" s="406"/>
      <c r="Q3647" s="406"/>
      <c r="R3647" s="406"/>
      <c r="S3647" s="406"/>
      <c r="T3647" s="406"/>
      <c r="U3647" s="406"/>
      <c r="V3647" s="406"/>
      <c r="W3647" s="406"/>
      <c r="X3647" s="406"/>
      <c r="Y3647" s="406"/>
      <c r="Z3647" s="406"/>
      <c r="AA3647" s="406"/>
      <c r="AB3647" s="406"/>
      <c r="AC3647" s="406"/>
      <c r="AD3647" s="406"/>
      <c r="AE3647" s="406"/>
      <c r="AF3647" s="406"/>
      <c r="AG3647" s="406"/>
      <c r="AH3647" s="406"/>
      <c r="AI3647" s="406"/>
      <c r="AJ3647" s="406"/>
      <c r="AK3647" s="406"/>
      <c r="AL3647" s="406"/>
      <c r="AM3647" s="406"/>
      <c r="AN3647" s="406"/>
      <c r="AO3647" s="406"/>
      <c r="AP3647" s="406"/>
      <c r="AQ3647" s="406"/>
      <c r="AR3647" s="406"/>
      <c r="AS3647" s="406"/>
      <c r="AT3647" s="406"/>
      <c r="AU3647" s="406"/>
      <c r="AV3647" s="406"/>
      <c r="AW3647" s="406"/>
      <c r="AX3647" s="406"/>
      <c r="AY3647" s="406"/>
      <c r="AZ3647" s="406"/>
      <c r="BA3647" s="406"/>
      <c r="BB3647" s="406"/>
      <c r="BC3647" s="406"/>
      <c r="BD3647" s="406"/>
      <c r="BE3647" s="406"/>
      <c r="BF3647" s="406"/>
      <c r="BG3647" s="406"/>
      <c r="BH3647" s="406"/>
      <c r="BI3647" s="406"/>
      <c r="BJ3647" s="406"/>
      <c r="BK3647" s="406"/>
      <c r="BL3647" s="406"/>
      <c r="BM3647" s="406"/>
      <c r="BN3647" s="406"/>
      <c r="BO3647" s="406"/>
      <c r="BP3647" s="406"/>
      <c r="BQ3647" s="406"/>
      <c r="BR3647" s="406"/>
      <c r="BS3647" s="406"/>
      <c r="BT3647" s="406"/>
      <c r="BU3647" s="406"/>
      <c r="BV3647" s="406"/>
      <c r="BW3647" s="406"/>
      <c r="BX3647" s="406"/>
      <c r="BY3647" s="406"/>
      <c r="BZ3647" s="406"/>
      <c r="CA3647" s="308"/>
      <c r="CB3647" s="3" t="str">
        <f t="shared" si="650"/>
        <v>Riadok bude skrytý.</v>
      </c>
      <c r="CC3647" s="271" t="s">
        <v>832</v>
      </c>
      <c r="CW3647" s="30">
        <f t="shared" si="653"/>
        <v>0</v>
      </c>
      <c r="CZ3647" s="30">
        <f t="shared" si="645"/>
        <v>1</v>
      </c>
      <c r="DA3647" s="30">
        <f t="shared" si="651"/>
        <v>0</v>
      </c>
      <c r="DB3647" s="140">
        <f t="shared" si="652"/>
        <v>0</v>
      </c>
      <c r="DS3647" s="130">
        <f>SI!BY3647</f>
        <v>287</v>
      </c>
      <c r="DZ3647" s="131">
        <f>SI!BZ3647</f>
        <v>0</v>
      </c>
    </row>
    <row r="3648" spans="1:130" hidden="1" x14ac:dyDescent="0.25">
      <c r="A3648" s="141"/>
      <c r="B3648" s="406"/>
      <c r="C3648" s="406"/>
      <c r="D3648" s="406"/>
      <c r="E3648" s="406"/>
      <c r="F3648" s="406"/>
      <c r="G3648" s="406"/>
      <c r="H3648" s="406"/>
      <c r="I3648" s="406"/>
      <c r="J3648" s="406"/>
      <c r="K3648" s="406"/>
      <c r="L3648" s="406"/>
      <c r="M3648" s="406"/>
      <c r="N3648" s="406"/>
      <c r="O3648" s="406"/>
      <c r="P3648" s="406"/>
      <c r="Q3648" s="406"/>
      <c r="R3648" s="406"/>
      <c r="S3648" s="406"/>
      <c r="T3648" s="406"/>
      <c r="U3648" s="406"/>
      <c r="V3648" s="406"/>
      <c r="W3648" s="406"/>
      <c r="X3648" s="406"/>
      <c r="Y3648" s="406"/>
      <c r="Z3648" s="406"/>
      <c r="AA3648" s="406"/>
      <c r="AB3648" s="406"/>
      <c r="AC3648" s="406"/>
      <c r="AD3648" s="406"/>
      <c r="AE3648" s="406"/>
      <c r="AF3648" s="406"/>
      <c r="AG3648" s="406"/>
      <c r="AH3648" s="406"/>
      <c r="AI3648" s="406"/>
      <c r="AJ3648" s="406"/>
      <c r="AK3648" s="406"/>
      <c r="AL3648" s="406"/>
      <c r="AM3648" s="406"/>
      <c r="AN3648" s="406"/>
      <c r="AO3648" s="406"/>
      <c r="AP3648" s="406"/>
      <c r="AQ3648" s="406"/>
      <c r="AR3648" s="406"/>
      <c r="AS3648" s="406"/>
      <c r="AT3648" s="406"/>
      <c r="AU3648" s="406"/>
      <c r="AV3648" s="406"/>
      <c r="AW3648" s="406"/>
      <c r="AX3648" s="406"/>
      <c r="AY3648" s="406"/>
      <c r="AZ3648" s="406"/>
      <c r="BA3648" s="406"/>
      <c r="BB3648" s="406"/>
      <c r="BC3648" s="406"/>
      <c r="BD3648" s="406"/>
      <c r="BE3648" s="406"/>
      <c r="BF3648" s="406"/>
      <c r="BG3648" s="406"/>
      <c r="BH3648" s="406"/>
      <c r="BI3648" s="406"/>
      <c r="BJ3648" s="406"/>
      <c r="BK3648" s="406"/>
      <c r="BL3648" s="406"/>
      <c r="BM3648" s="406"/>
      <c r="BN3648" s="406"/>
      <c r="BO3648" s="406"/>
      <c r="BP3648" s="406"/>
      <c r="BQ3648" s="406"/>
      <c r="BR3648" s="406"/>
      <c r="BS3648" s="406"/>
      <c r="BT3648" s="406"/>
      <c r="BU3648" s="406"/>
      <c r="BV3648" s="406"/>
      <c r="BW3648" s="406"/>
      <c r="BX3648" s="406"/>
      <c r="BY3648" s="406"/>
      <c r="BZ3648" s="406"/>
      <c r="CA3648" s="308"/>
      <c r="CB3648" s="3" t="str">
        <f t="shared" si="650"/>
        <v>Riadok bude skrytý.</v>
      </c>
      <c r="CC3648" s="271" t="s">
        <v>832</v>
      </c>
      <c r="CW3648" s="30">
        <f t="shared" si="653"/>
        <v>0</v>
      </c>
      <c r="CZ3648" s="30">
        <f t="shared" si="645"/>
        <v>1</v>
      </c>
      <c r="DA3648" s="30">
        <f t="shared" si="651"/>
        <v>0</v>
      </c>
      <c r="DB3648" s="140">
        <f t="shared" si="652"/>
        <v>0</v>
      </c>
      <c r="DS3648" s="130">
        <f>SI!BY3648</f>
        <v>159</v>
      </c>
      <c r="DZ3648" s="131">
        <f>SI!BZ3648</f>
        <v>0</v>
      </c>
    </row>
    <row r="3649" spans="1:130" hidden="1" x14ac:dyDescent="0.25">
      <c r="A3649" s="141"/>
      <c r="B3649" s="137" t="str">
        <f>+IF($M$52&lt;&gt;"",IF(SQRT(INT(FACT(DAY(24324))*FACT(DAY(24385))/576))=DS3649,"Výška dotácii, prijatých úverov, finančných výpomocí, kapitálových príspevkov","NEPOVOLENÉ POUŽITIE!"),"NEPOVOLENÉ POUŽITIE!")</f>
        <v>Výška dotácii, prijatých úverov, finančných výpomocí, kapitálových príspevkov</v>
      </c>
      <c r="CA3649" s="265" t="s">
        <v>773</v>
      </c>
      <c r="CB3649" s="3" t="str">
        <f t="shared" si="650"/>
        <v>Riadok bude skrytý.</v>
      </c>
      <c r="CC3649" s="271" t="s">
        <v>832</v>
      </c>
      <c r="CW3649" s="30">
        <f>+IF(B3650="",0,1)</f>
        <v>0</v>
      </c>
      <c r="CZ3649" s="30">
        <f t="shared" si="645"/>
        <v>1</v>
      </c>
      <c r="DA3649" s="30">
        <f t="shared" si="651"/>
        <v>0</v>
      </c>
      <c r="DB3649" s="140">
        <f t="shared" si="652"/>
        <v>0</v>
      </c>
      <c r="DS3649" s="130">
        <f>SI!BY3649</f>
        <v>5</v>
      </c>
      <c r="DZ3649" s="131">
        <f>SI!BZ3649</f>
        <v>0</v>
      </c>
    </row>
    <row r="3650" spans="1:130" hidden="1" x14ac:dyDescent="0.25">
      <c r="A3650" s="141"/>
      <c r="B3650" s="406"/>
      <c r="C3650" s="406"/>
      <c r="D3650" s="406"/>
      <c r="E3650" s="406"/>
      <c r="F3650" s="406"/>
      <c r="G3650" s="406"/>
      <c r="H3650" s="406"/>
      <c r="I3650" s="406"/>
      <c r="J3650" s="406"/>
      <c r="K3650" s="406"/>
      <c r="L3650" s="406"/>
      <c r="M3650" s="406"/>
      <c r="N3650" s="406"/>
      <c r="O3650" s="406"/>
      <c r="P3650" s="406"/>
      <c r="Q3650" s="406"/>
      <c r="R3650" s="406"/>
      <c r="S3650" s="406"/>
      <c r="T3650" s="406"/>
      <c r="U3650" s="406"/>
      <c r="V3650" s="406"/>
      <c r="W3650" s="406"/>
      <c r="X3650" s="406"/>
      <c r="Y3650" s="406"/>
      <c r="Z3650" s="406"/>
      <c r="AA3650" s="406"/>
      <c r="AB3650" s="406"/>
      <c r="AC3650" s="406"/>
      <c r="AD3650" s="406"/>
      <c r="AE3650" s="406"/>
      <c r="AF3650" s="406"/>
      <c r="AG3650" s="406"/>
      <c r="AH3650" s="406"/>
      <c r="AI3650" s="406"/>
      <c r="AJ3650" s="406"/>
      <c r="AK3650" s="406"/>
      <c r="AL3650" s="406"/>
      <c r="AM3650" s="406"/>
      <c r="AN3650" s="406"/>
      <c r="AO3650" s="406"/>
      <c r="AP3650" s="406"/>
      <c r="AQ3650" s="406"/>
      <c r="AR3650" s="406"/>
      <c r="AS3650" s="406"/>
      <c r="AT3650" s="406"/>
      <c r="AU3650" s="406"/>
      <c r="AV3650" s="406"/>
      <c r="AW3650" s="406"/>
      <c r="AX3650" s="406"/>
      <c r="AY3650" s="406"/>
      <c r="AZ3650" s="406"/>
      <c r="BA3650" s="406"/>
      <c r="BB3650" s="406"/>
      <c r="BC3650" s="406"/>
      <c r="BD3650" s="406"/>
      <c r="BE3650" s="406"/>
      <c r="BF3650" s="406"/>
      <c r="BG3650" s="406"/>
      <c r="BH3650" s="406"/>
      <c r="BI3650" s="406"/>
      <c r="BJ3650" s="406"/>
      <c r="BK3650" s="406"/>
      <c r="BL3650" s="406"/>
      <c r="BM3650" s="406"/>
      <c r="BN3650" s="406"/>
      <c r="BO3650" s="406"/>
      <c r="BP3650" s="406"/>
      <c r="BQ3650" s="406"/>
      <c r="BR3650" s="406"/>
      <c r="BS3650" s="406"/>
      <c r="BT3650" s="406"/>
      <c r="BU3650" s="406"/>
      <c r="BV3650" s="406"/>
      <c r="BW3650" s="406"/>
      <c r="BX3650" s="406"/>
      <c r="BY3650" s="406"/>
      <c r="BZ3650" s="406"/>
      <c r="CA3650" s="308"/>
      <c r="CB3650" s="3" t="str">
        <f t="shared" si="650"/>
        <v>Riadok bude skrytý.</v>
      </c>
      <c r="CC3650" s="271" t="s">
        <v>832</v>
      </c>
      <c r="CW3650" s="30">
        <f t="shared" ref="CW3650:CW3656" si="654">+IF(B3650="",0,1)</f>
        <v>0</v>
      </c>
      <c r="CZ3650" s="30">
        <f t="shared" si="645"/>
        <v>1</v>
      </c>
      <c r="DA3650" s="30">
        <f t="shared" si="651"/>
        <v>0</v>
      </c>
      <c r="DB3650" s="140">
        <f t="shared" si="652"/>
        <v>0</v>
      </c>
      <c r="DS3650" s="130">
        <f>SI!BY3650</f>
        <v>707</v>
      </c>
      <c r="DZ3650" s="131">
        <f>SI!BZ3650</f>
        <v>0</v>
      </c>
    </row>
    <row r="3651" spans="1:130" hidden="1" x14ac:dyDescent="0.25">
      <c r="A3651" s="141"/>
      <c r="B3651" s="406"/>
      <c r="C3651" s="406"/>
      <c r="D3651" s="406"/>
      <c r="E3651" s="406"/>
      <c r="F3651" s="406"/>
      <c r="G3651" s="406"/>
      <c r="H3651" s="406"/>
      <c r="I3651" s="406"/>
      <c r="J3651" s="406"/>
      <c r="K3651" s="406"/>
      <c r="L3651" s="406"/>
      <c r="M3651" s="406"/>
      <c r="N3651" s="406"/>
      <c r="O3651" s="406"/>
      <c r="P3651" s="406"/>
      <c r="Q3651" s="406"/>
      <c r="R3651" s="406"/>
      <c r="S3651" s="406"/>
      <c r="T3651" s="406"/>
      <c r="U3651" s="406"/>
      <c r="V3651" s="406"/>
      <c r="W3651" s="406"/>
      <c r="X3651" s="406"/>
      <c r="Y3651" s="406"/>
      <c r="Z3651" s="406"/>
      <c r="AA3651" s="406"/>
      <c r="AB3651" s="406"/>
      <c r="AC3651" s="406"/>
      <c r="AD3651" s="406"/>
      <c r="AE3651" s="406"/>
      <c r="AF3651" s="406"/>
      <c r="AG3651" s="406"/>
      <c r="AH3651" s="406"/>
      <c r="AI3651" s="406"/>
      <c r="AJ3651" s="406"/>
      <c r="AK3651" s="406"/>
      <c r="AL3651" s="406"/>
      <c r="AM3651" s="406"/>
      <c r="AN3651" s="406"/>
      <c r="AO3651" s="406"/>
      <c r="AP3651" s="406"/>
      <c r="AQ3651" s="406"/>
      <c r="AR3651" s="406"/>
      <c r="AS3651" s="406"/>
      <c r="AT3651" s="406"/>
      <c r="AU3651" s="406"/>
      <c r="AV3651" s="406"/>
      <c r="AW3651" s="406"/>
      <c r="AX3651" s="406"/>
      <c r="AY3651" s="406"/>
      <c r="AZ3651" s="406"/>
      <c r="BA3651" s="406"/>
      <c r="BB3651" s="406"/>
      <c r="BC3651" s="406"/>
      <c r="BD3651" s="406"/>
      <c r="BE3651" s="406"/>
      <c r="BF3651" s="406"/>
      <c r="BG3651" s="406"/>
      <c r="BH3651" s="406"/>
      <c r="BI3651" s="406"/>
      <c r="BJ3651" s="406"/>
      <c r="BK3651" s="406"/>
      <c r="BL3651" s="406"/>
      <c r="BM3651" s="406"/>
      <c r="BN3651" s="406"/>
      <c r="BO3651" s="406"/>
      <c r="BP3651" s="406"/>
      <c r="BQ3651" s="406"/>
      <c r="BR3651" s="406"/>
      <c r="BS3651" s="406"/>
      <c r="BT3651" s="406"/>
      <c r="BU3651" s="406"/>
      <c r="BV3651" s="406"/>
      <c r="BW3651" s="406"/>
      <c r="BX3651" s="406"/>
      <c r="BY3651" s="406"/>
      <c r="BZ3651" s="406"/>
      <c r="CA3651" s="308"/>
      <c r="CB3651" s="3" t="str">
        <f t="shared" si="650"/>
        <v>Riadok bude skrytý.</v>
      </c>
      <c r="CC3651" s="271" t="s">
        <v>832</v>
      </c>
      <c r="CW3651" s="30">
        <f t="shared" si="654"/>
        <v>0</v>
      </c>
      <c r="CZ3651" s="30">
        <f t="shared" ref="CZ3651:CZ3711" si="655">IF(CC3651="",1,IF(CC3651="Chcem skryť riadok.",0,1))</f>
        <v>1</v>
      </c>
      <c r="DA3651" s="30">
        <f t="shared" si="651"/>
        <v>0</v>
      </c>
      <c r="DB3651" s="140">
        <f t="shared" si="652"/>
        <v>0</v>
      </c>
      <c r="DS3651" s="130">
        <f>SI!BY3651</f>
        <v>182</v>
      </c>
      <c r="DZ3651" s="131">
        <f>SI!BZ3651</f>
        <v>0</v>
      </c>
    </row>
    <row r="3652" spans="1:130" hidden="1" x14ac:dyDescent="0.25">
      <c r="A3652" s="141"/>
      <c r="B3652" s="406"/>
      <c r="C3652" s="406"/>
      <c r="D3652" s="406"/>
      <c r="E3652" s="406"/>
      <c r="F3652" s="406"/>
      <c r="G3652" s="406"/>
      <c r="H3652" s="406"/>
      <c r="I3652" s="406"/>
      <c r="J3652" s="406"/>
      <c r="K3652" s="406"/>
      <c r="L3652" s="406"/>
      <c r="M3652" s="406"/>
      <c r="N3652" s="406"/>
      <c r="O3652" s="406"/>
      <c r="P3652" s="406"/>
      <c r="Q3652" s="406"/>
      <c r="R3652" s="406"/>
      <c r="S3652" s="406"/>
      <c r="T3652" s="406"/>
      <c r="U3652" s="406"/>
      <c r="V3652" s="406"/>
      <c r="W3652" s="406"/>
      <c r="X3652" s="406"/>
      <c r="Y3652" s="406"/>
      <c r="Z3652" s="406"/>
      <c r="AA3652" s="406"/>
      <c r="AB3652" s="406"/>
      <c r="AC3652" s="406"/>
      <c r="AD3652" s="406"/>
      <c r="AE3652" s="406"/>
      <c r="AF3652" s="406"/>
      <c r="AG3652" s="406"/>
      <c r="AH3652" s="406"/>
      <c r="AI3652" s="406"/>
      <c r="AJ3652" s="406"/>
      <c r="AK3652" s="406"/>
      <c r="AL3652" s="406"/>
      <c r="AM3652" s="406"/>
      <c r="AN3652" s="406"/>
      <c r="AO3652" s="406"/>
      <c r="AP3652" s="406"/>
      <c r="AQ3652" s="406"/>
      <c r="AR3652" s="406"/>
      <c r="AS3652" s="406"/>
      <c r="AT3652" s="406"/>
      <c r="AU3652" s="406"/>
      <c r="AV3652" s="406"/>
      <c r="AW3652" s="406"/>
      <c r="AX3652" s="406"/>
      <c r="AY3652" s="406"/>
      <c r="AZ3652" s="406"/>
      <c r="BA3652" s="406"/>
      <c r="BB3652" s="406"/>
      <c r="BC3652" s="406"/>
      <c r="BD3652" s="406"/>
      <c r="BE3652" s="406"/>
      <c r="BF3652" s="406"/>
      <c r="BG3652" s="406"/>
      <c r="BH3652" s="406"/>
      <c r="BI3652" s="406"/>
      <c r="BJ3652" s="406"/>
      <c r="BK3652" s="406"/>
      <c r="BL3652" s="406"/>
      <c r="BM3652" s="406"/>
      <c r="BN3652" s="406"/>
      <c r="BO3652" s="406"/>
      <c r="BP3652" s="406"/>
      <c r="BQ3652" s="406"/>
      <c r="BR3652" s="406"/>
      <c r="BS3652" s="406"/>
      <c r="BT3652" s="406"/>
      <c r="BU3652" s="406"/>
      <c r="BV3652" s="406"/>
      <c r="BW3652" s="406"/>
      <c r="BX3652" s="406"/>
      <c r="BY3652" s="406"/>
      <c r="BZ3652" s="406"/>
      <c r="CA3652" s="308"/>
      <c r="CB3652" s="3" t="str">
        <f t="shared" si="650"/>
        <v>Riadok bude skrytý.</v>
      </c>
      <c r="CC3652" s="271" t="s">
        <v>832</v>
      </c>
      <c r="CW3652" s="30">
        <f t="shared" si="654"/>
        <v>0</v>
      </c>
      <c r="CZ3652" s="30">
        <f t="shared" si="655"/>
        <v>1</v>
      </c>
      <c r="DA3652" s="30">
        <f t="shared" si="651"/>
        <v>0</v>
      </c>
      <c r="DB3652" s="140">
        <f t="shared" si="652"/>
        <v>0</v>
      </c>
      <c r="DS3652" s="130">
        <f>SI!BY3652</f>
        <v>1114</v>
      </c>
      <c r="DZ3652" s="131">
        <f>SI!BZ3652</f>
        <v>0</v>
      </c>
    </row>
    <row r="3653" spans="1:130" hidden="1" x14ac:dyDescent="0.25">
      <c r="A3653" s="141"/>
      <c r="B3653" s="406"/>
      <c r="C3653" s="406"/>
      <c r="D3653" s="406"/>
      <c r="E3653" s="406"/>
      <c r="F3653" s="406"/>
      <c r="G3653" s="406"/>
      <c r="H3653" s="406"/>
      <c r="I3653" s="406"/>
      <c r="J3653" s="406"/>
      <c r="K3653" s="406"/>
      <c r="L3653" s="406"/>
      <c r="M3653" s="406"/>
      <c r="N3653" s="406"/>
      <c r="O3653" s="406"/>
      <c r="P3653" s="406"/>
      <c r="Q3653" s="406"/>
      <c r="R3653" s="406"/>
      <c r="S3653" s="406"/>
      <c r="T3653" s="406"/>
      <c r="U3653" s="406"/>
      <c r="V3653" s="406"/>
      <c r="W3653" s="406"/>
      <c r="X3653" s="406"/>
      <c r="Y3653" s="406"/>
      <c r="Z3653" s="406"/>
      <c r="AA3653" s="406"/>
      <c r="AB3653" s="406"/>
      <c r="AC3653" s="406"/>
      <c r="AD3653" s="406"/>
      <c r="AE3653" s="406"/>
      <c r="AF3653" s="406"/>
      <c r="AG3653" s="406"/>
      <c r="AH3653" s="406"/>
      <c r="AI3653" s="406"/>
      <c r="AJ3653" s="406"/>
      <c r="AK3653" s="406"/>
      <c r="AL3653" s="406"/>
      <c r="AM3653" s="406"/>
      <c r="AN3653" s="406"/>
      <c r="AO3653" s="406"/>
      <c r="AP3653" s="406"/>
      <c r="AQ3653" s="406"/>
      <c r="AR3653" s="406"/>
      <c r="AS3653" s="406"/>
      <c r="AT3653" s="406"/>
      <c r="AU3653" s="406"/>
      <c r="AV3653" s="406"/>
      <c r="AW3653" s="406"/>
      <c r="AX3653" s="406"/>
      <c r="AY3653" s="406"/>
      <c r="AZ3653" s="406"/>
      <c r="BA3653" s="406"/>
      <c r="BB3653" s="406"/>
      <c r="BC3653" s="406"/>
      <c r="BD3653" s="406"/>
      <c r="BE3653" s="406"/>
      <c r="BF3653" s="406"/>
      <c r="BG3653" s="406"/>
      <c r="BH3653" s="406"/>
      <c r="BI3653" s="406"/>
      <c r="BJ3653" s="406"/>
      <c r="BK3653" s="406"/>
      <c r="BL3653" s="406"/>
      <c r="BM3653" s="406"/>
      <c r="BN3653" s="406"/>
      <c r="BO3653" s="406"/>
      <c r="BP3653" s="406"/>
      <c r="BQ3653" s="406"/>
      <c r="BR3653" s="406"/>
      <c r="BS3653" s="406"/>
      <c r="BT3653" s="406"/>
      <c r="BU3653" s="406"/>
      <c r="BV3653" s="406"/>
      <c r="BW3653" s="406"/>
      <c r="BX3653" s="406"/>
      <c r="BY3653" s="406"/>
      <c r="BZ3653" s="406"/>
      <c r="CA3653" s="308"/>
      <c r="CB3653" s="3" t="str">
        <f t="shared" si="650"/>
        <v>Riadok bude skrytý.</v>
      </c>
      <c r="CC3653" s="271" t="s">
        <v>832</v>
      </c>
      <c r="CW3653" s="30">
        <f t="shared" si="654"/>
        <v>0</v>
      </c>
      <c r="CZ3653" s="30">
        <f t="shared" si="655"/>
        <v>1</v>
      </c>
      <c r="DA3653" s="30">
        <f t="shared" si="651"/>
        <v>0</v>
      </c>
      <c r="DB3653" s="140">
        <f t="shared" si="652"/>
        <v>0</v>
      </c>
      <c r="DS3653" s="130">
        <f>SI!BY3653</f>
        <v>163</v>
      </c>
      <c r="DZ3653" s="131">
        <f>SI!BZ3653</f>
        <v>0</v>
      </c>
    </row>
    <row r="3654" spans="1:130" hidden="1" x14ac:dyDescent="0.25">
      <c r="A3654" s="141"/>
      <c r="B3654" s="406"/>
      <c r="C3654" s="406"/>
      <c r="D3654" s="406"/>
      <c r="E3654" s="406"/>
      <c r="F3654" s="406"/>
      <c r="G3654" s="406"/>
      <c r="H3654" s="406"/>
      <c r="I3654" s="406"/>
      <c r="J3654" s="406"/>
      <c r="K3654" s="406"/>
      <c r="L3654" s="406"/>
      <c r="M3654" s="406"/>
      <c r="N3654" s="406"/>
      <c r="O3654" s="406"/>
      <c r="P3654" s="406"/>
      <c r="Q3654" s="406"/>
      <c r="R3654" s="406"/>
      <c r="S3654" s="406"/>
      <c r="T3654" s="406"/>
      <c r="U3654" s="406"/>
      <c r="V3654" s="406"/>
      <c r="W3654" s="406"/>
      <c r="X3654" s="406"/>
      <c r="Y3654" s="406"/>
      <c r="Z3654" s="406"/>
      <c r="AA3654" s="406"/>
      <c r="AB3654" s="406"/>
      <c r="AC3654" s="406"/>
      <c r="AD3654" s="406"/>
      <c r="AE3654" s="406"/>
      <c r="AF3654" s="406"/>
      <c r="AG3654" s="406"/>
      <c r="AH3654" s="406"/>
      <c r="AI3654" s="406"/>
      <c r="AJ3654" s="406"/>
      <c r="AK3654" s="406"/>
      <c r="AL3654" s="406"/>
      <c r="AM3654" s="406"/>
      <c r="AN3654" s="406"/>
      <c r="AO3654" s="406"/>
      <c r="AP3654" s="406"/>
      <c r="AQ3654" s="406"/>
      <c r="AR3654" s="406"/>
      <c r="AS3654" s="406"/>
      <c r="AT3654" s="406"/>
      <c r="AU3654" s="406"/>
      <c r="AV3654" s="406"/>
      <c r="AW3654" s="406"/>
      <c r="AX3654" s="406"/>
      <c r="AY3654" s="406"/>
      <c r="AZ3654" s="406"/>
      <c r="BA3654" s="406"/>
      <c r="BB3654" s="406"/>
      <c r="BC3654" s="406"/>
      <c r="BD3654" s="406"/>
      <c r="BE3654" s="406"/>
      <c r="BF3654" s="406"/>
      <c r="BG3654" s="406"/>
      <c r="BH3654" s="406"/>
      <c r="BI3654" s="406"/>
      <c r="BJ3654" s="406"/>
      <c r="BK3654" s="406"/>
      <c r="BL3654" s="406"/>
      <c r="BM3654" s="406"/>
      <c r="BN3654" s="406"/>
      <c r="BO3654" s="406"/>
      <c r="BP3654" s="406"/>
      <c r="BQ3654" s="406"/>
      <c r="BR3654" s="406"/>
      <c r="BS3654" s="406"/>
      <c r="BT3654" s="406"/>
      <c r="BU3654" s="406"/>
      <c r="BV3654" s="406"/>
      <c r="BW3654" s="406"/>
      <c r="BX3654" s="406"/>
      <c r="BY3654" s="406"/>
      <c r="BZ3654" s="406"/>
      <c r="CA3654" s="308"/>
      <c r="CB3654" s="3" t="str">
        <f t="shared" si="650"/>
        <v>Riadok bude skrytý.</v>
      </c>
      <c r="CC3654" s="271" t="s">
        <v>832</v>
      </c>
      <c r="CW3654" s="30">
        <f t="shared" si="654"/>
        <v>0</v>
      </c>
      <c r="CZ3654" s="30">
        <f t="shared" si="655"/>
        <v>1</v>
      </c>
      <c r="DA3654" s="30">
        <f t="shared" si="651"/>
        <v>0</v>
      </c>
      <c r="DB3654" s="140">
        <f t="shared" si="652"/>
        <v>0</v>
      </c>
      <c r="DS3654" s="130">
        <f>SI!BY3654</f>
        <v>423</v>
      </c>
      <c r="DZ3654" s="131">
        <f>SI!BZ3654</f>
        <v>0</v>
      </c>
    </row>
    <row r="3655" spans="1:130" hidden="1" x14ac:dyDescent="0.25">
      <c r="A3655" s="141"/>
      <c r="B3655" s="406"/>
      <c r="C3655" s="406"/>
      <c r="D3655" s="406"/>
      <c r="E3655" s="406"/>
      <c r="F3655" s="406"/>
      <c r="G3655" s="406"/>
      <c r="H3655" s="406"/>
      <c r="I3655" s="406"/>
      <c r="J3655" s="406"/>
      <c r="K3655" s="406"/>
      <c r="L3655" s="406"/>
      <c r="M3655" s="406"/>
      <c r="N3655" s="406"/>
      <c r="O3655" s="406"/>
      <c r="P3655" s="406"/>
      <c r="Q3655" s="406"/>
      <c r="R3655" s="406"/>
      <c r="S3655" s="406"/>
      <c r="T3655" s="406"/>
      <c r="U3655" s="406"/>
      <c r="V3655" s="406"/>
      <c r="W3655" s="406"/>
      <c r="X3655" s="406"/>
      <c r="Y3655" s="406"/>
      <c r="Z3655" s="406"/>
      <c r="AA3655" s="406"/>
      <c r="AB3655" s="406"/>
      <c r="AC3655" s="406"/>
      <c r="AD3655" s="406"/>
      <c r="AE3655" s="406"/>
      <c r="AF3655" s="406"/>
      <c r="AG3655" s="406"/>
      <c r="AH3655" s="406"/>
      <c r="AI3655" s="406"/>
      <c r="AJ3655" s="406"/>
      <c r="AK3655" s="406"/>
      <c r="AL3655" s="406"/>
      <c r="AM3655" s="406"/>
      <c r="AN3655" s="406"/>
      <c r="AO3655" s="406"/>
      <c r="AP3655" s="406"/>
      <c r="AQ3655" s="406"/>
      <c r="AR3655" s="406"/>
      <c r="AS3655" s="406"/>
      <c r="AT3655" s="406"/>
      <c r="AU3655" s="406"/>
      <c r="AV3655" s="406"/>
      <c r="AW3655" s="406"/>
      <c r="AX3655" s="406"/>
      <c r="AY3655" s="406"/>
      <c r="AZ3655" s="406"/>
      <c r="BA3655" s="406"/>
      <c r="BB3655" s="406"/>
      <c r="BC3655" s="406"/>
      <c r="BD3655" s="406"/>
      <c r="BE3655" s="406"/>
      <c r="BF3655" s="406"/>
      <c r="BG3655" s="406"/>
      <c r="BH3655" s="406"/>
      <c r="BI3655" s="406"/>
      <c r="BJ3655" s="406"/>
      <c r="BK3655" s="406"/>
      <c r="BL3655" s="406"/>
      <c r="BM3655" s="406"/>
      <c r="BN3655" s="406"/>
      <c r="BO3655" s="406"/>
      <c r="BP3655" s="406"/>
      <c r="BQ3655" s="406"/>
      <c r="BR3655" s="406"/>
      <c r="BS3655" s="406"/>
      <c r="BT3655" s="406"/>
      <c r="BU3655" s="406"/>
      <c r="BV3655" s="406"/>
      <c r="BW3655" s="406"/>
      <c r="BX3655" s="406"/>
      <c r="BY3655" s="406"/>
      <c r="BZ3655" s="406"/>
      <c r="CA3655" s="308"/>
      <c r="CB3655" s="3" t="str">
        <f t="shared" si="650"/>
        <v>Riadok bude skrytý.</v>
      </c>
      <c r="CC3655" s="271" t="s">
        <v>832</v>
      </c>
      <c r="CW3655" s="30">
        <f t="shared" si="654"/>
        <v>0</v>
      </c>
      <c r="CZ3655" s="30">
        <f t="shared" si="655"/>
        <v>1</v>
      </c>
      <c r="DA3655" s="30">
        <f t="shared" si="651"/>
        <v>0</v>
      </c>
      <c r="DB3655" s="140">
        <f t="shared" si="652"/>
        <v>0</v>
      </c>
      <c r="DS3655" s="130">
        <f>SI!BY3655</f>
        <v>167</v>
      </c>
      <c r="DZ3655" s="131">
        <f>SI!BZ3655</f>
        <v>0</v>
      </c>
    </row>
    <row r="3656" spans="1:130" hidden="1" x14ac:dyDescent="0.25">
      <c r="A3656" s="141"/>
      <c r="B3656" s="406"/>
      <c r="C3656" s="406"/>
      <c r="D3656" s="406"/>
      <c r="E3656" s="406"/>
      <c r="F3656" s="406"/>
      <c r="G3656" s="406"/>
      <c r="H3656" s="406"/>
      <c r="I3656" s="406"/>
      <c r="J3656" s="406"/>
      <c r="K3656" s="406"/>
      <c r="L3656" s="406"/>
      <c r="M3656" s="406"/>
      <c r="N3656" s="406"/>
      <c r="O3656" s="406"/>
      <c r="P3656" s="406"/>
      <c r="Q3656" s="406"/>
      <c r="R3656" s="406"/>
      <c r="S3656" s="406"/>
      <c r="T3656" s="406"/>
      <c r="U3656" s="406"/>
      <c r="V3656" s="406"/>
      <c r="W3656" s="406"/>
      <c r="X3656" s="406"/>
      <c r="Y3656" s="406"/>
      <c r="Z3656" s="406"/>
      <c r="AA3656" s="406"/>
      <c r="AB3656" s="406"/>
      <c r="AC3656" s="406"/>
      <c r="AD3656" s="406"/>
      <c r="AE3656" s="406"/>
      <c r="AF3656" s="406"/>
      <c r="AG3656" s="406"/>
      <c r="AH3656" s="406"/>
      <c r="AI3656" s="406"/>
      <c r="AJ3656" s="406"/>
      <c r="AK3656" s="406"/>
      <c r="AL3656" s="406"/>
      <c r="AM3656" s="406"/>
      <c r="AN3656" s="406"/>
      <c r="AO3656" s="406"/>
      <c r="AP3656" s="406"/>
      <c r="AQ3656" s="406"/>
      <c r="AR3656" s="406"/>
      <c r="AS3656" s="406"/>
      <c r="AT3656" s="406"/>
      <c r="AU3656" s="406"/>
      <c r="AV3656" s="406"/>
      <c r="AW3656" s="406"/>
      <c r="AX3656" s="406"/>
      <c r="AY3656" s="406"/>
      <c r="AZ3656" s="406"/>
      <c r="BA3656" s="406"/>
      <c r="BB3656" s="406"/>
      <c r="BC3656" s="406"/>
      <c r="BD3656" s="406"/>
      <c r="BE3656" s="406"/>
      <c r="BF3656" s="406"/>
      <c r="BG3656" s="406"/>
      <c r="BH3656" s="406"/>
      <c r="BI3656" s="406"/>
      <c r="BJ3656" s="406"/>
      <c r="BK3656" s="406"/>
      <c r="BL3656" s="406"/>
      <c r="BM3656" s="406"/>
      <c r="BN3656" s="406"/>
      <c r="BO3656" s="406"/>
      <c r="BP3656" s="406"/>
      <c r="BQ3656" s="406"/>
      <c r="BR3656" s="406"/>
      <c r="BS3656" s="406"/>
      <c r="BT3656" s="406"/>
      <c r="BU3656" s="406"/>
      <c r="BV3656" s="406"/>
      <c r="BW3656" s="406"/>
      <c r="BX3656" s="406"/>
      <c r="BY3656" s="406"/>
      <c r="BZ3656" s="406"/>
      <c r="CA3656" s="308"/>
      <c r="CB3656" s="3" t="str">
        <f t="shared" si="650"/>
        <v>Riadok bude skrytý.</v>
      </c>
      <c r="CC3656" s="271" t="s">
        <v>832</v>
      </c>
      <c r="CW3656" s="30">
        <f t="shared" si="654"/>
        <v>0</v>
      </c>
      <c r="CZ3656" s="30">
        <f t="shared" si="655"/>
        <v>1</v>
      </c>
      <c r="DA3656" s="30">
        <f t="shared" si="651"/>
        <v>0</v>
      </c>
      <c r="DB3656" s="140">
        <f t="shared" si="652"/>
        <v>0</v>
      </c>
      <c r="DS3656" s="130">
        <f>SI!BY3656</f>
        <v>873</v>
      </c>
      <c r="DZ3656" s="131">
        <f>SI!BZ3656</f>
        <v>0</v>
      </c>
    </row>
    <row r="3657" spans="1:130" hidden="1" x14ac:dyDescent="0.25">
      <c r="A3657" s="141"/>
      <c r="B3657" s="137" t="s">
        <v>749</v>
      </c>
      <c r="CA3657" s="265" t="s">
        <v>773</v>
      </c>
      <c r="CB3657" s="3" t="str">
        <f t="shared" si="650"/>
        <v>Riadok bude skrytý.</v>
      </c>
      <c r="CC3657" s="271" t="s">
        <v>832</v>
      </c>
      <c r="CW3657" s="30">
        <f>+IF(B3658="",0,1)</f>
        <v>0</v>
      </c>
      <c r="CZ3657" s="30">
        <f t="shared" si="655"/>
        <v>1</v>
      </c>
      <c r="DA3657" s="30">
        <f t="shared" si="651"/>
        <v>0</v>
      </c>
      <c r="DB3657" s="140">
        <f t="shared" si="652"/>
        <v>0</v>
      </c>
      <c r="DS3657" s="130">
        <f>SI!BY3657</f>
        <v>153</v>
      </c>
      <c r="DZ3657" s="131">
        <f>SI!BZ3657</f>
        <v>0</v>
      </c>
    </row>
    <row r="3658" spans="1:130" hidden="1" x14ac:dyDescent="0.25">
      <c r="A3658" s="141"/>
      <c r="B3658" s="406"/>
      <c r="C3658" s="406"/>
      <c r="D3658" s="406"/>
      <c r="E3658" s="406"/>
      <c r="F3658" s="406"/>
      <c r="G3658" s="406"/>
      <c r="H3658" s="406"/>
      <c r="I3658" s="406"/>
      <c r="J3658" s="406"/>
      <c r="K3658" s="406"/>
      <c r="L3658" s="406"/>
      <c r="M3658" s="406"/>
      <c r="N3658" s="406"/>
      <c r="O3658" s="406"/>
      <c r="P3658" s="406"/>
      <c r="Q3658" s="406"/>
      <c r="R3658" s="406"/>
      <c r="S3658" s="406"/>
      <c r="T3658" s="406"/>
      <c r="U3658" s="406"/>
      <c r="V3658" s="406"/>
      <c r="W3658" s="406"/>
      <c r="X3658" s="406"/>
      <c r="Y3658" s="406"/>
      <c r="Z3658" s="406"/>
      <c r="AA3658" s="406"/>
      <c r="AB3658" s="406"/>
      <c r="AC3658" s="406"/>
      <c r="AD3658" s="406"/>
      <c r="AE3658" s="406"/>
      <c r="AF3658" s="406"/>
      <c r="AG3658" s="406"/>
      <c r="AH3658" s="406"/>
      <c r="AI3658" s="406"/>
      <c r="AJ3658" s="406"/>
      <c r="AK3658" s="406"/>
      <c r="AL3658" s="406"/>
      <c r="AM3658" s="406"/>
      <c r="AN3658" s="406"/>
      <c r="AO3658" s="406"/>
      <c r="AP3658" s="406"/>
      <c r="AQ3658" s="406"/>
      <c r="AR3658" s="406"/>
      <c r="AS3658" s="406"/>
      <c r="AT3658" s="406"/>
      <c r="AU3658" s="406"/>
      <c r="AV3658" s="406"/>
      <c r="AW3658" s="406"/>
      <c r="AX3658" s="406"/>
      <c r="AY3658" s="406"/>
      <c r="AZ3658" s="406"/>
      <c r="BA3658" s="406"/>
      <c r="BB3658" s="406"/>
      <c r="BC3658" s="406"/>
      <c r="BD3658" s="406"/>
      <c r="BE3658" s="406"/>
      <c r="BF3658" s="406"/>
      <c r="BG3658" s="406"/>
      <c r="BH3658" s="406"/>
      <c r="BI3658" s="406"/>
      <c r="BJ3658" s="406"/>
      <c r="BK3658" s="406"/>
      <c r="BL3658" s="406"/>
      <c r="BM3658" s="406"/>
      <c r="BN3658" s="406"/>
      <c r="BO3658" s="406"/>
      <c r="BP3658" s="406"/>
      <c r="BQ3658" s="406"/>
      <c r="BR3658" s="406"/>
      <c r="BS3658" s="406"/>
      <c r="BT3658" s="406"/>
      <c r="BU3658" s="406"/>
      <c r="BV3658" s="406"/>
      <c r="BW3658" s="406"/>
      <c r="BX3658" s="406"/>
      <c r="BY3658" s="406"/>
      <c r="BZ3658" s="406"/>
      <c r="CA3658" s="308"/>
      <c r="CB3658" s="3" t="str">
        <f t="shared" si="650"/>
        <v>Riadok bude skrytý.</v>
      </c>
      <c r="CC3658" s="271" t="s">
        <v>832</v>
      </c>
      <c r="CW3658" s="30">
        <f t="shared" ref="CW3658:CW3664" si="656">+IF(B3658="",0,1)</f>
        <v>0</v>
      </c>
      <c r="CZ3658" s="30">
        <f t="shared" si="655"/>
        <v>1</v>
      </c>
      <c r="DA3658" s="30">
        <f t="shared" si="651"/>
        <v>0</v>
      </c>
      <c r="DB3658" s="140">
        <f t="shared" si="652"/>
        <v>0</v>
      </c>
      <c r="DS3658" s="130">
        <f>SI!BY3658</f>
        <v>475</v>
      </c>
      <c r="DZ3658" s="131">
        <f>SI!BZ3658</f>
        <v>0</v>
      </c>
    </row>
    <row r="3659" spans="1:130" hidden="1" x14ac:dyDescent="0.25">
      <c r="A3659" s="141"/>
      <c r="B3659" s="406"/>
      <c r="C3659" s="406"/>
      <c r="D3659" s="406"/>
      <c r="E3659" s="406"/>
      <c r="F3659" s="406"/>
      <c r="G3659" s="406"/>
      <c r="H3659" s="406"/>
      <c r="I3659" s="406"/>
      <c r="J3659" s="406"/>
      <c r="K3659" s="406"/>
      <c r="L3659" s="406"/>
      <c r="M3659" s="406"/>
      <c r="N3659" s="406"/>
      <c r="O3659" s="406"/>
      <c r="P3659" s="406"/>
      <c r="Q3659" s="406"/>
      <c r="R3659" s="406"/>
      <c r="S3659" s="406"/>
      <c r="T3659" s="406"/>
      <c r="U3659" s="406"/>
      <c r="V3659" s="406"/>
      <c r="W3659" s="406"/>
      <c r="X3659" s="406"/>
      <c r="Y3659" s="406"/>
      <c r="Z3659" s="406"/>
      <c r="AA3659" s="406"/>
      <c r="AB3659" s="406"/>
      <c r="AC3659" s="406"/>
      <c r="AD3659" s="406"/>
      <c r="AE3659" s="406"/>
      <c r="AF3659" s="406"/>
      <c r="AG3659" s="406"/>
      <c r="AH3659" s="406"/>
      <c r="AI3659" s="406"/>
      <c r="AJ3659" s="406"/>
      <c r="AK3659" s="406"/>
      <c r="AL3659" s="406"/>
      <c r="AM3659" s="406"/>
      <c r="AN3659" s="406"/>
      <c r="AO3659" s="406"/>
      <c r="AP3659" s="406"/>
      <c r="AQ3659" s="406"/>
      <c r="AR3659" s="406"/>
      <c r="AS3659" s="406"/>
      <c r="AT3659" s="406"/>
      <c r="AU3659" s="406"/>
      <c r="AV3659" s="406"/>
      <c r="AW3659" s="406"/>
      <c r="AX3659" s="406"/>
      <c r="AY3659" s="406"/>
      <c r="AZ3659" s="406"/>
      <c r="BA3659" s="406"/>
      <c r="BB3659" s="406"/>
      <c r="BC3659" s="406"/>
      <c r="BD3659" s="406"/>
      <c r="BE3659" s="406"/>
      <c r="BF3659" s="406"/>
      <c r="BG3659" s="406"/>
      <c r="BH3659" s="406"/>
      <c r="BI3659" s="406"/>
      <c r="BJ3659" s="406"/>
      <c r="BK3659" s="406"/>
      <c r="BL3659" s="406"/>
      <c r="BM3659" s="406"/>
      <c r="BN3659" s="406"/>
      <c r="BO3659" s="406"/>
      <c r="BP3659" s="406"/>
      <c r="BQ3659" s="406"/>
      <c r="BR3659" s="406"/>
      <c r="BS3659" s="406"/>
      <c r="BT3659" s="406"/>
      <c r="BU3659" s="406"/>
      <c r="BV3659" s="406"/>
      <c r="BW3659" s="406"/>
      <c r="BX3659" s="406"/>
      <c r="BY3659" s="406"/>
      <c r="BZ3659" s="406"/>
      <c r="CA3659" s="308"/>
      <c r="CB3659" s="3" t="str">
        <f t="shared" si="650"/>
        <v>Riadok bude skrytý.</v>
      </c>
      <c r="CC3659" s="271" t="s">
        <v>832</v>
      </c>
      <c r="CW3659" s="30">
        <f t="shared" si="656"/>
        <v>0</v>
      </c>
      <c r="CZ3659" s="30">
        <f t="shared" si="655"/>
        <v>1</v>
      </c>
      <c r="DA3659" s="30">
        <f t="shared" si="651"/>
        <v>0</v>
      </c>
      <c r="DB3659" s="140">
        <f t="shared" si="652"/>
        <v>0</v>
      </c>
      <c r="DS3659" s="130">
        <f>SI!BY3659</f>
        <v>173</v>
      </c>
      <c r="DZ3659" s="131">
        <f>SI!BZ3659</f>
        <v>0</v>
      </c>
    </row>
    <row r="3660" spans="1:130" hidden="1" x14ac:dyDescent="0.25">
      <c r="A3660" s="141"/>
      <c r="B3660" s="406"/>
      <c r="C3660" s="406"/>
      <c r="D3660" s="406"/>
      <c r="E3660" s="406"/>
      <c r="F3660" s="406"/>
      <c r="G3660" s="406"/>
      <c r="H3660" s="406"/>
      <c r="I3660" s="406"/>
      <c r="J3660" s="406"/>
      <c r="K3660" s="406"/>
      <c r="L3660" s="406"/>
      <c r="M3660" s="406"/>
      <c r="N3660" s="406"/>
      <c r="O3660" s="406"/>
      <c r="P3660" s="406"/>
      <c r="Q3660" s="406"/>
      <c r="R3660" s="406"/>
      <c r="S3660" s="406"/>
      <c r="T3660" s="406"/>
      <c r="U3660" s="406"/>
      <c r="V3660" s="406"/>
      <c r="W3660" s="406"/>
      <c r="X3660" s="406"/>
      <c r="Y3660" s="406"/>
      <c r="Z3660" s="406"/>
      <c r="AA3660" s="406"/>
      <c r="AB3660" s="406"/>
      <c r="AC3660" s="406"/>
      <c r="AD3660" s="406"/>
      <c r="AE3660" s="406"/>
      <c r="AF3660" s="406"/>
      <c r="AG3660" s="406"/>
      <c r="AH3660" s="406"/>
      <c r="AI3660" s="406"/>
      <c r="AJ3660" s="406"/>
      <c r="AK3660" s="406"/>
      <c r="AL3660" s="406"/>
      <c r="AM3660" s="406"/>
      <c r="AN3660" s="406"/>
      <c r="AO3660" s="406"/>
      <c r="AP3660" s="406"/>
      <c r="AQ3660" s="406"/>
      <c r="AR3660" s="406"/>
      <c r="AS3660" s="406"/>
      <c r="AT3660" s="406"/>
      <c r="AU3660" s="406"/>
      <c r="AV3660" s="406"/>
      <c r="AW3660" s="406"/>
      <c r="AX3660" s="406"/>
      <c r="AY3660" s="406"/>
      <c r="AZ3660" s="406"/>
      <c r="BA3660" s="406"/>
      <c r="BB3660" s="406"/>
      <c r="BC3660" s="406"/>
      <c r="BD3660" s="406"/>
      <c r="BE3660" s="406"/>
      <c r="BF3660" s="406"/>
      <c r="BG3660" s="406"/>
      <c r="BH3660" s="406"/>
      <c r="BI3660" s="406"/>
      <c r="BJ3660" s="406"/>
      <c r="BK3660" s="406"/>
      <c r="BL3660" s="406"/>
      <c r="BM3660" s="406"/>
      <c r="BN3660" s="406"/>
      <c r="BO3660" s="406"/>
      <c r="BP3660" s="406"/>
      <c r="BQ3660" s="406"/>
      <c r="BR3660" s="406"/>
      <c r="BS3660" s="406"/>
      <c r="BT3660" s="406"/>
      <c r="BU3660" s="406"/>
      <c r="BV3660" s="406"/>
      <c r="BW3660" s="406"/>
      <c r="BX3660" s="406"/>
      <c r="BY3660" s="406"/>
      <c r="BZ3660" s="406"/>
      <c r="CA3660" s="308"/>
      <c r="CB3660" s="3" t="str">
        <f t="shared" si="650"/>
        <v>Riadok bude skrytý.</v>
      </c>
      <c r="CC3660" s="271" t="s">
        <v>832</v>
      </c>
      <c r="CW3660" s="30">
        <f t="shared" si="656"/>
        <v>0</v>
      </c>
      <c r="CZ3660" s="30">
        <f t="shared" si="655"/>
        <v>1</v>
      </c>
      <c r="DA3660" s="30">
        <f t="shared" si="651"/>
        <v>0</v>
      </c>
      <c r="DB3660" s="140">
        <f t="shared" si="652"/>
        <v>0</v>
      </c>
      <c r="DS3660" s="130">
        <f>SI!BY3660</f>
        <v>607</v>
      </c>
      <c r="DZ3660" s="131">
        <f>SI!BZ3660</f>
        <v>0</v>
      </c>
    </row>
    <row r="3661" spans="1:130" hidden="1" x14ac:dyDescent="0.25">
      <c r="A3661" s="141"/>
      <c r="B3661" s="406"/>
      <c r="C3661" s="406"/>
      <c r="D3661" s="406"/>
      <c r="E3661" s="406"/>
      <c r="F3661" s="406"/>
      <c r="G3661" s="406"/>
      <c r="H3661" s="406"/>
      <c r="I3661" s="406"/>
      <c r="J3661" s="406"/>
      <c r="K3661" s="406"/>
      <c r="L3661" s="406"/>
      <c r="M3661" s="406"/>
      <c r="N3661" s="406"/>
      <c r="O3661" s="406"/>
      <c r="P3661" s="406"/>
      <c r="Q3661" s="406"/>
      <c r="R3661" s="406"/>
      <c r="S3661" s="406"/>
      <c r="T3661" s="406"/>
      <c r="U3661" s="406"/>
      <c r="V3661" s="406"/>
      <c r="W3661" s="406"/>
      <c r="X3661" s="406"/>
      <c r="Y3661" s="406"/>
      <c r="Z3661" s="406"/>
      <c r="AA3661" s="406"/>
      <c r="AB3661" s="406"/>
      <c r="AC3661" s="406"/>
      <c r="AD3661" s="406"/>
      <c r="AE3661" s="406"/>
      <c r="AF3661" s="406"/>
      <c r="AG3661" s="406"/>
      <c r="AH3661" s="406"/>
      <c r="AI3661" s="406"/>
      <c r="AJ3661" s="406"/>
      <c r="AK3661" s="406"/>
      <c r="AL3661" s="406"/>
      <c r="AM3661" s="406"/>
      <c r="AN3661" s="406"/>
      <c r="AO3661" s="406"/>
      <c r="AP3661" s="406"/>
      <c r="AQ3661" s="406"/>
      <c r="AR3661" s="406"/>
      <c r="AS3661" s="406"/>
      <c r="AT3661" s="406"/>
      <c r="AU3661" s="406"/>
      <c r="AV3661" s="406"/>
      <c r="AW3661" s="406"/>
      <c r="AX3661" s="406"/>
      <c r="AY3661" s="406"/>
      <c r="AZ3661" s="406"/>
      <c r="BA3661" s="406"/>
      <c r="BB3661" s="406"/>
      <c r="BC3661" s="406"/>
      <c r="BD3661" s="406"/>
      <c r="BE3661" s="406"/>
      <c r="BF3661" s="406"/>
      <c r="BG3661" s="406"/>
      <c r="BH3661" s="406"/>
      <c r="BI3661" s="406"/>
      <c r="BJ3661" s="406"/>
      <c r="BK3661" s="406"/>
      <c r="BL3661" s="406"/>
      <c r="BM3661" s="406"/>
      <c r="BN3661" s="406"/>
      <c r="BO3661" s="406"/>
      <c r="BP3661" s="406"/>
      <c r="BQ3661" s="406"/>
      <c r="BR3661" s="406"/>
      <c r="BS3661" s="406"/>
      <c r="BT3661" s="406"/>
      <c r="BU3661" s="406"/>
      <c r="BV3661" s="406"/>
      <c r="BW3661" s="406"/>
      <c r="BX3661" s="406"/>
      <c r="BY3661" s="406"/>
      <c r="BZ3661" s="406"/>
      <c r="CA3661" s="308"/>
      <c r="CB3661" s="3" t="str">
        <f t="shared" si="650"/>
        <v>Riadok bude skrytý.</v>
      </c>
      <c r="CC3661" s="271" t="s">
        <v>832</v>
      </c>
      <c r="CW3661" s="30">
        <f t="shared" si="656"/>
        <v>0</v>
      </c>
      <c r="CZ3661" s="30">
        <f t="shared" si="655"/>
        <v>1</v>
      </c>
      <c r="DA3661" s="30">
        <f t="shared" si="651"/>
        <v>0</v>
      </c>
      <c r="DB3661" s="140">
        <f t="shared" si="652"/>
        <v>0</v>
      </c>
      <c r="DS3661" s="130">
        <f>SI!BY3661</f>
        <v>221</v>
      </c>
      <c r="DZ3661" s="131">
        <f>SI!BZ3661</f>
        <v>0</v>
      </c>
    </row>
    <row r="3662" spans="1:130" hidden="1" x14ac:dyDescent="0.25">
      <c r="A3662" s="141"/>
      <c r="B3662" s="406"/>
      <c r="C3662" s="406"/>
      <c r="D3662" s="406"/>
      <c r="E3662" s="406"/>
      <c r="F3662" s="406"/>
      <c r="G3662" s="406"/>
      <c r="H3662" s="406"/>
      <c r="I3662" s="406"/>
      <c r="J3662" s="406"/>
      <c r="K3662" s="406"/>
      <c r="L3662" s="406"/>
      <c r="M3662" s="406"/>
      <c r="N3662" s="406"/>
      <c r="O3662" s="406"/>
      <c r="P3662" s="406"/>
      <c r="Q3662" s="406"/>
      <c r="R3662" s="406"/>
      <c r="S3662" s="406"/>
      <c r="T3662" s="406"/>
      <c r="U3662" s="406"/>
      <c r="V3662" s="406"/>
      <c r="W3662" s="406"/>
      <c r="X3662" s="406"/>
      <c r="Y3662" s="406"/>
      <c r="Z3662" s="406"/>
      <c r="AA3662" s="406"/>
      <c r="AB3662" s="406"/>
      <c r="AC3662" s="406"/>
      <c r="AD3662" s="406"/>
      <c r="AE3662" s="406"/>
      <c r="AF3662" s="406"/>
      <c r="AG3662" s="406"/>
      <c r="AH3662" s="406"/>
      <c r="AI3662" s="406"/>
      <c r="AJ3662" s="406"/>
      <c r="AK3662" s="406"/>
      <c r="AL3662" s="406"/>
      <c r="AM3662" s="406"/>
      <c r="AN3662" s="406"/>
      <c r="AO3662" s="406"/>
      <c r="AP3662" s="406"/>
      <c r="AQ3662" s="406"/>
      <c r="AR3662" s="406"/>
      <c r="AS3662" s="406"/>
      <c r="AT3662" s="406"/>
      <c r="AU3662" s="406"/>
      <c r="AV3662" s="406"/>
      <c r="AW3662" s="406"/>
      <c r="AX3662" s="406"/>
      <c r="AY3662" s="406"/>
      <c r="AZ3662" s="406"/>
      <c r="BA3662" s="406"/>
      <c r="BB3662" s="406"/>
      <c r="BC3662" s="406"/>
      <c r="BD3662" s="406"/>
      <c r="BE3662" s="406"/>
      <c r="BF3662" s="406"/>
      <c r="BG3662" s="406"/>
      <c r="BH3662" s="406"/>
      <c r="BI3662" s="406"/>
      <c r="BJ3662" s="406"/>
      <c r="BK3662" s="406"/>
      <c r="BL3662" s="406"/>
      <c r="BM3662" s="406"/>
      <c r="BN3662" s="406"/>
      <c r="BO3662" s="406"/>
      <c r="BP3662" s="406"/>
      <c r="BQ3662" s="406"/>
      <c r="BR3662" s="406"/>
      <c r="BS3662" s="406"/>
      <c r="BT3662" s="406"/>
      <c r="BU3662" s="406"/>
      <c r="BV3662" s="406"/>
      <c r="BW3662" s="406"/>
      <c r="BX3662" s="406"/>
      <c r="BY3662" s="406"/>
      <c r="BZ3662" s="406"/>
      <c r="CA3662" s="308"/>
      <c r="CB3662" s="3" t="str">
        <f t="shared" si="650"/>
        <v>Riadok bude skrytý.</v>
      </c>
      <c r="CC3662" s="271" t="s">
        <v>832</v>
      </c>
      <c r="CW3662" s="30">
        <f t="shared" si="656"/>
        <v>0</v>
      </c>
      <c r="CZ3662" s="30">
        <f t="shared" si="655"/>
        <v>1</v>
      </c>
      <c r="DA3662" s="30">
        <f t="shared" si="651"/>
        <v>0</v>
      </c>
      <c r="DB3662" s="140">
        <f t="shared" si="652"/>
        <v>0</v>
      </c>
      <c r="DS3662" s="130">
        <f>SI!BY3662</f>
        <v>165</v>
      </c>
      <c r="DZ3662" s="131">
        <f>SI!BZ3662</f>
        <v>0</v>
      </c>
    </row>
    <row r="3663" spans="1:130" hidden="1" x14ac:dyDescent="0.25">
      <c r="A3663" s="141"/>
      <c r="B3663" s="406"/>
      <c r="C3663" s="406"/>
      <c r="D3663" s="406"/>
      <c r="E3663" s="406"/>
      <c r="F3663" s="406"/>
      <c r="G3663" s="406"/>
      <c r="H3663" s="406"/>
      <c r="I3663" s="406"/>
      <c r="J3663" s="406"/>
      <c r="K3663" s="406"/>
      <c r="L3663" s="406"/>
      <c r="M3663" s="406"/>
      <c r="N3663" s="406"/>
      <c r="O3663" s="406"/>
      <c r="P3663" s="406"/>
      <c r="Q3663" s="406"/>
      <c r="R3663" s="406"/>
      <c r="S3663" s="406"/>
      <c r="T3663" s="406"/>
      <c r="U3663" s="406"/>
      <c r="V3663" s="406"/>
      <c r="W3663" s="406"/>
      <c r="X3663" s="406"/>
      <c r="Y3663" s="406"/>
      <c r="Z3663" s="406"/>
      <c r="AA3663" s="406"/>
      <c r="AB3663" s="406"/>
      <c r="AC3663" s="406"/>
      <c r="AD3663" s="406"/>
      <c r="AE3663" s="406"/>
      <c r="AF3663" s="406"/>
      <c r="AG3663" s="406"/>
      <c r="AH3663" s="406"/>
      <c r="AI3663" s="406"/>
      <c r="AJ3663" s="406"/>
      <c r="AK3663" s="406"/>
      <c r="AL3663" s="406"/>
      <c r="AM3663" s="406"/>
      <c r="AN3663" s="406"/>
      <c r="AO3663" s="406"/>
      <c r="AP3663" s="406"/>
      <c r="AQ3663" s="406"/>
      <c r="AR3663" s="406"/>
      <c r="AS3663" s="406"/>
      <c r="AT3663" s="406"/>
      <c r="AU3663" s="406"/>
      <c r="AV3663" s="406"/>
      <c r="AW3663" s="406"/>
      <c r="AX3663" s="406"/>
      <c r="AY3663" s="406"/>
      <c r="AZ3663" s="406"/>
      <c r="BA3663" s="406"/>
      <c r="BB3663" s="406"/>
      <c r="BC3663" s="406"/>
      <c r="BD3663" s="406"/>
      <c r="BE3663" s="406"/>
      <c r="BF3663" s="406"/>
      <c r="BG3663" s="406"/>
      <c r="BH3663" s="406"/>
      <c r="BI3663" s="406"/>
      <c r="BJ3663" s="406"/>
      <c r="BK3663" s="406"/>
      <c r="BL3663" s="406"/>
      <c r="BM3663" s="406"/>
      <c r="BN3663" s="406"/>
      <c r="BO3663" s="406"/>
      <c r="BP3663" s="406"/>
      <c r="BQ3663" s="406"/>
      <c r="BR3663" s="406"/>
      <c r="BS3663" s="406"/>
      <c r="BT3663" s="406"/>
      <c r="BU3663" s="406"/>
      <c r="BV3663" s="406"/>
      <c r="BW3663" s="406"/>
      <c r="BX3663" s="406"/>
      <c r="BY3663" s="406"/>
      <c r="BZ3663" s="406"/>
      <c r="CA3663" s="308"/>
      <c r="CB3663" s="3" t="str">
        <f t="shared" si="650"/>
        <v>Riadok bude skrytý.</v>
      </c>
      <c r="CC3663" s="271" t="s">
        <v>832</v>
      </c>
      <c r="CW3663" s="30">
        <f t="shared" si="656"/>
        <v>0</v>
      </c>
      <c r="CZ3663" s="30">
        <f t="shared" si="655"/>
        <v>1</v>
      </c>
      <c r="DA3663" s="30">
        <f t="shared" si="651"/>
        <v>0</v>
      </c>
      <c r="DB3663" s="140">
        <f t="shared" si="652"/>
        <v>0</v>
      </c>
      <c r="DS3663" s="130">
        <f>SI!BY3663</f>
        <v>193</v>
      </c>
      <c r="DZ3663" s="131">
        <f>SI!BZ3663</f>
        <v>0</v>
      </c>
    </row>
    <row r="3664" spans="1:130" hidden="1" x14ac:dyDescent="0.25">
      <c r="A3664" s="141"/>
      <c r="B3664" s="406"/>
      <c r="C3664" s="406"/>
      <c r="D3664" s="406"/>
      <c r="E3664" s="406"/>
      <c r="F3664" s="406"/>
      <c r="G3664" s="406"/>
      <c r="H3664" s="406"/>
      <c r="I3664" s="406"/>
      <c r="J3664" s="406"/>
      <c r="K3664" s="406"/>
      <c r="L3664" s="406"/>
      <c r="M3664" s="406"/>
      <c r="N3664" s="406"/>
      <c r="O3664" s="406"/>
      <c r="P3664" s="406"/>
      <c r="Q3664" s="406"/>
      <c r="R3664" s="406"/>
      <c r="S3664" s="406"/>
      <c r="T3664" s="406"/>
      <c r="U3664" s="406"/>
      <c r="V3664" s="406"/>
      <c r="W3664" s="406"/>
      <c r="X3664" s="406"/>
      <c r="Y3664" s="406"/>
      <c r="Z3664" s="406"/>
      <c r="AA3664" s="406"/>
      <c r="AB3664" s="406"/>
      <c r="AC3664" s="406"/>
      <c r="AD3664" s="406"/>
      <c r="AE3664" s="406"/>
      <c r="AF3664" s="406"/>
      <c r="AG3664" s="406"/>
      <c r="AH3664" s="406"/>
      <c r="AI3664" s="406"/>
      <c r="AJ3664" s="406"/>
      <c r="AK3664" s="406"/>
      <c r="AL3664" s="406"/>
      <c r="AM3664" s="406"/>
      <c r="AN3664" s="406"/>
      <c r="AO3664" s="406"/>
      <c r="AP3664" s="406"/>
      <c r="AQ3664" s="406"/>
      <c r="AR3664" s="406"/>
      <c r="AS3664" s="406"/>
      <c r="AT3664" s="406"/>
      <c r="AU3664" s="406"/>
      <c r="AV3664" s="406"/>
      <c r="AW3664" s="406"/>
      <c r="AX3664" s="406"/>
      <c r="AY3664" s="406"/>
      <c r="AZ3664" s="406"/>
      <c r="BA3664" s="406"/>
      <c r="BB3664" s="406"/>
      <c r="BC3664" s="406"/>
      <c r="BD3664" s="406"/>
      <c r="BE3664" s="406"/>
      <c r="BF3664" s="406"/>
      <c r="BG3664" s="406"/>
      <c r="BH3664" s="406"/>
      <c r="BI3664" s="406"/>
      <c r="BJ3664" s="406"/>
      <c r="BK3664" s="406"/>
      <c r="BL3664" s="406"/>
      <c r="BM3664" s="406"/>
      <c r="BN3664" s="406"/>
      <c r="BO3664" s="406"/>
      <c r="BP3664" s="406"/>
      <c r="BQ3664" s="406"/>
      <c r="BR3664" s="406"/>
      <c r="BS3664" s="406"/>
      <c r="BT3664" s="406"/>
      <c r="BU3664" s="406"/>
      <c r="BV3664" s="406"/>
      <c r="BW3664" s="406"/>
      <c r="BX3664" s="406"/>
      <c r="BY3664" s="406"/>
      <c r="BZ3664" s="406"/>
      <c r="CA3664" s="308"/>
      <c r="CB3664" s="3" t="str">
        <f t="shared" si="650"/>
        <v>Riadok bude skrytý.</v>
      </c>
      <c r="CC3664" s="271" t="s">
        <v>832</v>
      </c>
      <c r="CW3664" s="30">
        <f t="shared" si="656"/>
        <v>0</v>
      </c>
      <c r="CZ3664" s="30">
        <f t="shared" si="655"/>
        <v>1</v>
      </c>
      <c r="DA3664" s="30">
        <f t="shared" si="651"/>
        <v>0</v>
      </c>
      <c r="DB3664" s="140">
        <f t="shared" si="652"/>
        <v>0</v>
      </c>
      <c r="DS3664" s="130">
        <f>SI!BY3664</f>
        <v>706</v>
      </c>
      <c r="DZ3664" s="131">
        <f>SI!BZ3664</f>
        <v>0</v>
      </c>
    </row>
    <row r="3665" spans="1:130" hidden="1" x14ac:dyDescent="0.25">
      <c r="A3665" s="141"/>
      <c r="B3665" s="137" t="str">
        <f>+IF($E$52&lt;&gt;"",IF(ROUNDDOWN(CODE(MID($E$52,1,1))/10,0)*0+(LEN(SI!J2)+2)=DS3665,"Vyplatené dividendy a výška nerozdeleného zisku","NEPOVOLENÉ POUŽITIE!"),"NEPOVOLENÉ POUŽITIE!")</f>
        <v>Vyplatené dividendy a výška nerozdeleného zisku</v>
      </c>
      <c r="CA3665" s="265" t="s">
        <v>773</v>
      </c>
      <c r="CB3665" s="3" t="str">
        <f t="shared" si="650"/>
        <v>Riadok bude skrytý.</v>
      </c>
      <c r="CC3665" s="271" t="s">
        <v>832</v>
      </c>
      <c r="CW3665" s="30">
        <f>+IF(B3666="",0,1)</f>
        <v>0</v>
      </c>
      <c r="CZ3665" s="30">
        <f t="shared" si="655"/>
        <v>1</v>
      </c>
      <c r="DA3665" s="30">
        <f t="shared" si="651"/>
        <v>0</v>
      </c>
      <c r="DB3665" s="140">
        <f t="shared" si="652"/>
        <v>0</v>
      </c>
      <c r="DS3665" s="130">
        <f>SI!BY3665</f>
        <v>15</v>
      </c>
      <c r="DZ3665" s="131">
        <f>SI!BZ3665</f>
        <v>0</v>
      </c>
    </row>
    <row r="3666" spans="1:130" hidden="1" x14ac:dyDescent="0.25">
      <c r="A3666" s="141"/>
      <c r="B3666" s="406"/>
      <c r="C3666" s="406"/>
      <c r="D3666" s="406"/>
      <c r="E3666" s="406"/>
      <c r="F3666" s="406"/>
      <c r="G3666" s="406"/>
      <c r="H3666" s="406"/>
      <c r="I3666" s="406"/>
      <c r="J3666" s="406"/>
      <c r="K3666" s="406"/>
      <c r="L3666" s="406"/>
      <c r="M3666" s="406"/>
      <c r="N3666" s="406"/>
      <c r="O3666" s="406"/>
      <c r="P3666" s="406"/>
      <c r="Q3666" s="406"/>
      <c r="R3666" s="406"/>
      <c r="S3666" s="406"/>
      <c r="T3666" s="406"/>
      <c r="U3666" s="406"/>
      <c r="V3666" s="406"/>
      <c r="W3666" s="406"/>
      <c r="X3666" s="406"/>
      <c r="Y3666" s="406"/>
      <c r="Z3666" s="406"/>
      <c r="AA3666" s="406"/>
      <c r="AB3666" s="406"/>
      <c r="AC3666" s="406"/>
      <c r="AD3666" s="406"/>
      <c r="AE3666" s="406"/>
      <c r="AF3666" s="406"/>
      <c r="AG3666" s="406"/>
      <c r="AH3666" s="406"/>
      <c r="AI3666" s="406"/>
      <c r="AJ3666" s="406"/>
      <c r="AK3666" s="406"/>
      <c r="AL3666" s="406"/>
      <c r="AM3666" s="406"/>
      <c r="AN3666" s="406"/>
      <c r="AO3666" s="406"/>
      <c r="AP3666" s="406"/>
      <c r="AQ3666" s="406"/>
      <c r="AR3666" s="406"/>
      <c r="AS3666" s="406"/>
      <c r="AT3666" s="406"/>
      <c r="AU3666" s="406"/>
      <c r="AV3666" s="406"/>
      <c r="AW3666" s="406"/>
      <c r="AX3666" s="406"/>
      <c r="AY3666" s="406"/>
      <c r="AZ3666" s="406"/>
      <c r="BA3666" s="406"/>
      <c r="BB3666" s="406"/>
      <c r="BC3666" s="406"/>
      <c r="BD3666" s="406"/>
      <c r="BE3666" s="406"/>
      <c r="BF3666" s="406"/>
      <c r="BG3666" s="406"/>
      <c r="BH3666" s="406"/>
      <c r="BI3666" s="406"/>
      <c r="BJ3666" s="406"/>
      <c r="BK3666" s="406"/>
      <c r="BL3666" s="406"/>
      <c r="BM3666" s="406"/>
      <c r="BN3666" s="406"/>
      <c r="BO3666" s="406"/>
      <c r="BP3666" s="406"/>
      <c r="BQ3666" s="406"/>
      <c r="BR3666" s="406"/>
      <c r="BS3666" s="406"/>
      <c r="BT3666" s="406"/>
      <c r="BU3666" s="406"/>
      <c r="BV3666" s="406"/>
      <c r="BW3666" s="406"/>
      <c r="BX3666" s="406"/>
      <c r="BY3666" s="406"/>
      <c r="BZ3666" s="406"/>
      <c r="CA3666" s="308"/>
      <c r="CB3666" s="3" t="str">
        <f t="shared" si="650"/>
        <v>Riadok bude skrytý.</v>
      </c>
      <c r="CC3666" s="271" t="s">
        <v>832</v>
      </c>
      <c r="CW3666" s="30">
        <f t="shared" ref="CW3666:CW3672" si="657">+IF(B3666="",0,1)</f>
        <v>0</v>
      </c>
      <c r="CZ3666" s="30">
        <f t="shared" si="655"/>
        <v>1</v>
      </c>
      <c r="DA3666" s="30">
        <f t="shared" si="651"/>
        <v>0</v>
      </c>
      <c r="DB3666" s="140">
        <f t="shared" si="652"/>
        <v>0</v>
      </c>
      <c r="DS3666" s="130">
        <f>SI!BY3666</f>
        <v>836</v>
      </c>
      <c r="DZ3666" s="131">
        <f>SI!BZ3666</f>
        <v>0</v>
      </c>
    </row>
    <row r="3667" spans="1:130" hidden="1" x14ac:dyDescent="0.25">
      <c r="A3667" s="141"/>
      <c r="B3667" s="406"/>
      <c r="C3667" s="406"/>
      <c r="D3667" s="406"/>
      <c r="E3667" s="406"/>
      <c r="F3667" s="406"/>
      <c r="G3667" s="406"/>
      <c r="H3667" s="406"/>
      <c r="I3667" s="406"/>
      <c r="J3667" s="406"/>
      <c r="K3667" s="406"/>
      <c r="L3667" s="406"/>
      <c r="M3667" s="406"/>
      <c r="N3667" s="406"/>
      <c r="O3667" s="406"/>
      <c r="P3667" s="406"/>
      <c r="Q3667" s="406"/>
      <c r="R3667" s="406"/>
      <c r="S3667" s="406"/>
      <c r="T3667" s="406"/>
      <c r="U3667" s="406"/>
      <c r="V3667" s="406"/>
      <c r="W3667" s="406"/>
      <c r="X3667" s="406"/>
      <c r="Y3667" s="406"/>
      <c r="Z3667" s="406"/>
      <c r="AA3667" s="406"/>
      <c r="AB3667" s="406"/>
      <c r="AC3667" s="406"/>
      <c r="AD3667" s="406"/>
      <c r="AE3667" s="406"/>
      <c r="AF3667" s="406"/>
      <c r="AG3667" s="406"/>
      <c r="AH3667" s="406"/>
      <c r="AI3667" s="406"/>
      <c r="AJ3667" s="406"/>
      <c r="AK3667" s="406"/>
      <c r="AL3667" s="406"/>
      <c r="AM3667" s="406"/>
      <c r="AN3667" s="406"/>
      <c r="AO3667" s="406"/>
      <c r="AP3667" s="406"/>
      <c r="AQ3667" s="406"/>
      <c r="AR3667" s="406"/>
      <c r="AS3667" s="406"/>
      <c r="AT3667" s="406"/>
      <c r="AU3667" s="406"/>
      <c r="AV3667" s="406"/>
      <c r="AW3667" s="406"/>
      <c r="AX3667" s="406"/>
      <c r="AY3667" s="406"/>
      <c r="AZ3667" s="406"/>
      <c r="BA3667" s="406"/>
      <c r="BB3667" s="406"/>
      <c r="BC3667" s="406"/>
      <c r="BD3667" s="406"/>
      <c r="BE3667" s="406"/>
      <c r="BF3667" s="406"/>
      <c r="BG3667" s="406"/>
      <c r="BH3667" s="406"/>
      <c r="BI3667" s="406"/>
      <c r="BJ3667" s="406"/>
      <c r="BK3667" s="406"/>
      <c r="BL3667" s="406"/>
      <c r="BM3667" s="406"/>
      <c r="BN3667" s="406"/>
      <c r="BO3667" s="406"/>
      <c r="BP3667" s="406"/>
      <c r="BQ3667" s="406"/>
      <c r="BR3667" s="406"/>
      <c r="BS3667" s="406"/>
      <c r="BT3667" s="406"/>
      <c r="BU3667" s="406"/>
      <c r="BV3667" s="406"/>
      <c r="BW3667" s="406"/>
      <c r="BX3667" s="406"/>
      <c r="BY3667" s="406"/>
      <c r="BZ3667" s="406"/>
      <c r="CA3667" s="308"/>
      <c r="CB3667" s="3" t="str">
        <f t="shared" si="650"/>
        <v>Riadok bude skrytý.</v>
      </c>
      <c r="CC3667" s="271" t="s">
        <v>832</v>
      </c>
      <c r="CW3667" s="30">
        <f t="shared" si="657"/>
        <v>0</v>
      </c>
      <c r="CZ3667" s="30">
        <f t="shared" si="655"/>
        <v>1</v>
      </c>
      <c r="DA3667" s="30">
        <f t="shared" si="651"/>
        <v>0</v>
      </c>
      <c r="DB3667" s="140">
        <f t="shared" si="652"/>
        <v>0</v>
      </c>
      <c r="DS3667" s="130">
        <f>SI!BY3667</f>
        <v>201</v>
      </c>
      <c r="DZ3667" s="131">
        <f>SI!BZ3667</f>
        <v>0</v>
      </c>
    </row>
    <row r="3668" spans="1:130" hidden="1" x14ac:dyDescent="0.25">
      <c r="A3668" s="141"/>
      <c r="B3668" s="406"/>
      <c r="C3668" s="406"/>
      <c r="D3668" s="406"/>
      <c r="E3668" s="406"/>
      <c r="F3668" s="406"/>
      <c r="G3668" s="406"/>
      <c r="H3668" s="406"/>
      <c r="I3668" s="406"/>
      <c r="J3668" s="406"/>
      <c r="K3668" s="406"/>
      <c r="L3668" s="406"/>
      <c r="M3668" s="406"/>
      <c r="N3668" s="406"/>
      <c r="O3668" s="406"/>
      <c r="P3668" s="406"/>
      <c r="Q3668" s="406"/>
      <c r="R3668" s="406"/>
      <c r="S3668" s="406"/>
      <c r="T3668" s="406"/>
      <c r="U3668" s="406"/>
      <c r="V3668" s="406"/>
      <c r="W3668" s="406"/>
      <c r="X3668" s="406"/>
      <c r="Y3668" s="406"/>
      <c r="Z3668" s="406"/>
      <c r="AA3668" s="406"/>
      <c r="AB3668" s="406"/>
      <c r="AC3668" s="406"/>
      <c r="AD3668" s="406"/>
      <c r="AE3668" s="406"/>
      <c r="AF3668" s="406"/>
      <c r="AG3668" s="406"/>
      <c r="AH3668" s="406"/>
      <c r="AI3668" s="406"/>
      <c r="AJ3668" s="406"/>
      <c r="AK3668" s="406"/>
      <c r="AL3668" s="406"/>
      <c r="AM3668" s="406"/>
      <c r="AN3668" s="406"/>
      <c r="AO3668" s="406"/>
      <c r="AP3668" s="406"/>
      <c r="AQ3668" s="406"/>
      <c r="AR3668" s="406"/>
      <c r="AS3668" s="406"/>
      <c r="AT3668" s="406"/>
      <c r="AU3668" s="406"/>
      <c r="AV3668" s="406"/>
      <c r="AW3668" s="406"/>
      <c r="AX3668" s="406"/>
      <c r="AY3668" s="406"/>
      <c r="AZ3668" s="406"/>
      <c r="BA3668" s="406"/>
      <c r="BB3668" s="406"/>
      <c r="BC3668" s="406"/>
      <c r="BD3668" s="406"/>
      <c r="BE3668" s="406"/>
      <c r="BF3668" s="406"/>
      <c r="BG3668" s="406"/>
      <c r="BH3668" s="406"/>
      <c r="BI3668" s="406"/>
      <c r="BJ3668" s="406"/>
      <c r="BK3668" s="406"/>
      <c r="BL3668" s="406"/>
      <c r="BM3668" s="406"/>
      <c r="BN3668" s="406"/>
      <c r="BO3668" s="406"/>
      <c r="BP3668" s="406"/>
      <c r="BQ3668" s="406"/>
      <c r="BR3668" s="406"/>
      <c r="BS3668" s="406"/>
      <c r="BT3668" s="406"/>
      <c r="BU3668" s="406"/>
      <c r="BV3668" s="406"/>
      <c r="BW3668" s="406"/>
      <c r="BX3668" s="406"/>
      <c r="BY3668" s="406"/>
      <c r="BZ3668" s="406"/>
      <c r="CA3668" s="308"/>
      <c r="CB3668" s="3" t="str">
        <f t="shared" si="650"/>
        <v>Riadok bude skrytý.</v>
      </c>
      <c r="CC3668" s="271" t="s">
        <v>832</v>
      </c>
      <c r="CW3668" s="30">
        <f t="shared" si="657"/>
        <v>0</v>
      </c>
      <c r="CZ3668" s="30">
        <f t="shared" si="655"/>
        <v>1</v>
      </c>
      <c r="DA3668" s="30">
        <f t="shared" si="651"/>
        <v>0</v>
      </c>
      <c r="DB3668" s="140">
        <f t="shared" si="652"/>
        <v>0</v>
      </c>
      <c r="DS3668" s="130">
        <f>SI!BY3668</f>
        <v>863</v>
      </c>
      <c r="DZ3668" s="131">
        <f>SI!BZ3668</f>
        <v>0</v>
      </c>
    </row>
    <row r="3669" spans="1:130" hidden="1" x14ac:dyDescent="0.25">
      <c r="A3669" s="141"/>
      <c r="B3669" s="406"/>
      <c r="C3669" s="406"/>
      <c r="D3669" s="406"/>
      <c r="E3669" s="406"/>
      <c r="F3669" s="406"/>
      <c r="G3669" s="406"/>
      <c r="H3669" s="406"/>
      <c r="I3669" s="406"/>
      <c r="J3669" s="406"/>
      <c r="K3669" s="406"/>
      <c r="L3669" s="406"/>
      <c r="M3669" s="406"/>
      <c r="N3669" s="406"/>
      <c r="O3669" s="406"/>
      <c r="P3669" s="406"/>
      <c r="Q3669" s="406"/>
      <c r="R3669" s="406"/>
      <c r="S3669" s="406"/>
      <c r="T3669" s="406"/>
      <c r="U3669" s="406"/>
      <c r="V3669" s="406"/>
      <c r="W3669" s="406"/>
      <c r="X3669" s="406"/>
      <c r="Y3669" s="406"/>
      <c r="Z3669" s="406"/>
      <c r="AA3669" s="406"/>
      <c r="AB3669" s="406"/>
      <c r="AC3669" s="406"/>
      <c r="AD3669" s="406"/>
      <c r="AE3669" s="406"/>
      <c r="AF3669" s="406"/>
      <c r="AG3669" s="406"/>
      <c r="AH3669" s="406"/>
      <c r="AI3669" s="406"/>
      <c r="AJ3669" s="406"/>
      <c r="AK3669" s="406"/>
      <c r="AL3669" s="406"/>
      <c r="AM3669" s="406"/>
      <c r="AN3669" s="406"/>
      <c r="AO3669" s="406"/>
      <c r="AP3669" s="406"/>
      <c r="AQ3669" s="406"/>
      <c r="AR3669" s="406"/>
      <c r="AS3669" s="406"/>
      <c r="AT3669" s="406"/>
      <c r="AU3669" s="406"/>
      <c r="AV3669" s="406"/>
      <c r="AW3669" s="406"/>
      <c r="AX3669" s="406"/>
      <c r="AY3669" s="406"/>
      <c r="AZ3669" s="406"/>
      <c r="BA3669" s="406"/>
      <c r="BB3669" s="406"/>
      <c r="BC3669" s="406"/>
      <c r="BD3669" s="406"/>
      <c r="BE3669" s="406"/>
      <c r="BF3669" s="406"/>
      <c r="BG3669" s="406"/>
      <c r="BH3669" s="406"/>
      <c r="BI3669" s="406"/>
      <c r="BJ3669" s="406"/>
      <c r="BK3669" s="406"/>
      <c r="BL3669" s="406"/>
      <c r="BM3669" s="406"/>
      <c r="BN3669" s="406"/>
      <c r="BO3669" s="406"/>
      <c r="BP3669" s="406"/>
      <c r="BQ3669" s="406"/>
      <c r="BR3669" s="406"/>
      <c r="BS3669" s="406"/>
      <c r="BT3669" s="406"/>
      <c r="BU3669" s="406"/>
      <c r="BV3669" s="406"/>
      <c r="BW3669" s="406"/>
      <c r="BX3669" s="406"/>
      <c r="BY3669" s="406"/>
      <c r="BZ3669" s="406"/>
      <c r="CA3669" s="308"/>
      <c r="CB3669" s="3" t="str">
        <f t="shared" si="650"/>
        <v>Riadok bude skrytý.</v>
      </c>
      <c r="CC3669" s="271" t="s">
        <v>832</v>
      </c>
      <c r="CW3669" s="30">
        <f t="shared" si="657"/>
        <v>0</v>
      </c>
      <c r="CZ3669" s="30">
        <f t="shared" si="655"/>
        <v>1</v>
      </c>
      <c r="DA3669" s="30">
        <f t="shared" si="651"/>
        <v>0</v>
      </c>
      <c r="DB3669" s="140">
        <f t="shared" si="652"/>
        <v>0</v>
      </c>
      <c r="DS3669" s="130">
        <f>SI!BY3669</f>
        <v>195</v>
      </c>
      <c r="DZ3669" s="131">
        <f>SI!BZ3669</f>
        <v>0</v>
      </c>
    </row>
    <row r="3670" spans="1:130" hidden="1" x14ac:dyDescent="0.25">
      <c r="A3670" s="141"/>
      <c r="B3670" s="406"/>
      <c r="C3670" s="406"/>
      <c r="D3670" s="406"/>
      <c r="E3670" s="406"/>
      <c r="F3670" s="406"/>
      <c r="G3670" s="406"/>
      <c r="H3670" s="406"/>
      <c r="I3670" s="406"/>
      <c r="J3670" s="406"/>
      <c r="K3670" s="406"/>
      <c r="L3670" s="406"/>
      <c r="M3670" s="406"/>
      <c r="N3670" s="406"/>
      <c r="O3670" s="406"/>
      <c r="P3670" s="406"/>
      <c r="Q3670" s="406"/>
      <c r="R3670" s="406"/>
      <c r="S3670" s="406"/>
      <c r="T3670" s="406"/>
      <c r="U3670" s="406"/>
      <c r="V3670" s="406"/>
      <c r="W3670" s="406"/>
      <c r="X3670" s="406"/>
      <c r="Y3670" s="406"/>
      <c r="Z3670" s="406"/>
      <c r="AA3670" s="406"/>
      <c r="AB3670" s="406"/>
      <c r="AC3670" s="406"/>
      <c r="AD3670" s="406"/>
      <c r="AE3670" s="406"/>
      <c r="AF3670" s="406"/>
      <c r="AG3670" s="406"/>
      <c r="AH3670" s="406"/>
      <c r="AI3670" s="406"/>
      <c r="AJ3670" s="406"/>
      <c r="AK3670" s="406"/>
      <c r="AL3670" s="406"/>
      <c r="AM3670" s="406"/>
      <c r="AN3670" s="406"/>
      <c r="AO3670" s="406"/>
      <c r="AP3670" s="406"/>
      <c r="AQ3670" s="406"/>
      <c r="AR3670" s="406"/>
      <c r="AS3670" s="406"/>
      <c r="AT3670" s="406"/>
      <c r="AU3670" s="406"/>
      <c r="AV3670" s="406"/>
      <c r="AW3670" s="406"/>
      <c r="AX3670" s="406"/>
      <c r="AY3670" s="406"/>
      <c r="AZ3670" s="406"/>
      <c r="BA3670" s="406"/>
      <c r="BB3670" s="406"/>
      <c r="BC3670" s="406"/>
      <c r="BD3670" s="406"/>
      <c r="BE3670" s="406"/>
      <c r="BF3670" s="406"/>
      <c r="BG3670" s="406"/>
      <c r="BH3670" s="406"/>
      <c r="BI3670" s="406"/>
      <c r="BJ3670" s="406"/>
      <c r="BK3670" s="406"/>
      <c r="BL3670" s="406"/>
      <c r="BM3670" s="406"/>
      <c r="BN3670" s="406"/>
      <c r="BO3670" s="406"/>
      <c r="BP3670" s="406"/>
      <c r="BQ3670" s="406"/>
      <c r="BR3670" s="406"/>
      <c r="BS3670" s="406"/>
      <c r="BT3670" s="406"/>
      <c r="BU3670" s="406"/>
      <c r="BV3670" s="406"/>
      <c r="BW3670" s="406"/>
      <c r="BX3670" s="406"/>
      <c r="BY3670" s="406"/>
      <c r="BZ3670" s="406"/>
      <c r="CA3670" s="308"/>
      <c r="CB3670" s="3" t="str">
        <f t="shared" si="650"/>
        <v>Riadok bude skrytý.</v>
      </c>
      <c r="CC3670" s="271" t="s">
        <v>832</v>
      </c>
      <c r="CW3670" s="30">
        <f t="shared" si="657"/>
        <v>0</v>
      </c>
      <c r="CZ3670" s="30">
        <f t="shared" si="655"/>
        <v>1</v>
      </c>
      <c r="DA3670" s="30">
        <f t="shared" si="651"/>
        <v>0</v>
      </c>
      <c r="DB3670" s="140">
        <f t="shared" si="652"/>
        <v>0</v>
      </c>
      <c r="DS3670" s="130">
        <f>SI!BY3670</f>
        <v>926</v>
      </c>
      <c r="DZ3670" s="131">
        <f>SI!BZ3670</f>
        <v>0</v>
      </c>
    </row>
    <row r="3671" spans="1:130" hidden="1" x14ac:dyDescent="0.25">
      <c r="A3671" s="141"/>
      <c r="B3671" s="406"/>
      <c r="C3671" s="406"/>
      <c r="D3671" s="406"/>
      <c r="E3671" s="406"/>
      <c r="F3671" s="406"/>
      <c r="G3671" s="406"/>
      <c r="H3671" s="406"/>
      <c r="I3671" s="406"/>
      <c r="J3671" s="406"/>
      <c r="K3671" s="406"/>
      <c r="L3671" s="406"/>
      <c r="M3671" s="406"/>
      <c r="N3671" s="406"/>
      <c r="O3671" s="406"/>
      <c r="P3671" s="406"/>
      <c r="Q3671" s="406"/>
      <c r="R3671" s="406"/>
      <c r="S3671" s="406"/>
      <c r="T3671" s="406"/>
      <c r="U3671" s="406"/>
      <c r="V3671" s="406"/>
      <c r="W3671" s="406"/>
      <c r="X3671" s="406"/>
      <c r="Y3671" s="406"/>
      <c r="Z3671" s="406"/>
      <c r="AA3671" s="406"/>
      <c r="AB3671" s="406"/>
      <c r="AC3671" s="406"/>
      <c r="AD3671" s="406"/>
      <c r="AE3671" s="406"/>
      <c r="AF3671" s="406"/>
      <c r="AG3671" s="406"/>
      <c r="AH3671" s="406"/>
      <c r="AI3671" s="406"/>
      <c r="AJ3671" s="406"/>
      <c r="AK3671" s="406"/>
      <c r="AL3671" s="406"/>
      <c r="AM3671" s="406"/>
      <c r="AN3671" s="406"/>
      <c r="AO3671" s="406"/>
      <c r="AP3671" s="406"/>
      <c r="AQ3671" s="406"/>
      <c r="AR3671" s="406"/>
      <c r="AS3671" s="406"/>
      <c r="AT3671" s="406"/>
      <c r="AU3671" s="406"/>
      <c r="AV3671" s="406"/>
      <c r="AW3671" s="406"/>
      <c r="AX3671" s="406"/>
      <c r="AY3671" s="406"/>
      <c r="AZ3671" s="406"/>
      <c r="BA3671" s="406"/>
      <c r="BB3671" s="406"/>
      <c r="BC3671" s="406"/>
      <c r="BD3671" s="406"/>
      <c r="BE3671" s="406"/>
      <c r="BF3671" s="406"/>
      <c r="BG3671" s="406"/>
      <c r="BH3671" s="406"/>
      <c r="BI3671" s="406"/>
      <c r="BJ3671" s="406"/>
      <c r="BK3671" s="406"/>
      <c r="BL3671" s="406"/>
      <c r="BM3671" s="406"/>
      <c r="BN3671" s="406"/>
      <c r="BO3671" s="406"/>
      <c r="BP3671" s="406"/>
      <c r="BQ3671" s="406"/>
      <c r="BR3671" s="406"/>
      <c r="BS3671" s="406"/>
      <c r="BT3671" s="406"/>
      <c r="BU3671" s="406"/>
      <c r="BV3671" s="406"/>
      <c r="BW3671" s="406"/>
      <c r="BX3671" s="406"/>
      <c r="BY3671" s="406"/>
      <c r="BZ3671" s="406"/>
      <c r="CA3671" s="308"/>
      <c r="CB3671" s="3" t="str">
        <f t="shared" si="650"/>
        <v>Riadok bude skrytý.</v>
      </c>
      <c r="CC3671" s="271" t="s">
        <v>832</v>
      </c>
      <c r="CW3671" s="30">
        <f t="shared" si="657"/>
        <v>0</v>
      </c>
      <c r="CZ3671" s="30">
        <f t="shared" si="655"/>
        <v>1</v>
      </c>
      <c r="DA3671" s="30">
        <f t="shared" si="651"/>
        <v>0</v>
      </c>
      <c r="DB3671" s="140">
        <f t="shared" si="652"/>
        <v>0</v>
      </c>
      <c r="DS3671" s="130">
        <f>SI!BY3671</f>
        <v>144</v>
      </c>
      <c r="DZ3671" s="131">
        <f>SI!BZ3671</f>
        <v>0</v>
      </c>
    </row>
    <row r="3672" spans="1:130" hidden="1" x14ac:dyDescent="0.25">
      <c r="A3672" s="141"/>
      <c r="B3672" s="406"/>
      <c r="C3672" s="406"/>
      <c r="D3672" s="406"/>
      <c r="E3672" s="406"/>
      <c r="F3672" s="406"/>
      <c r="G3672" s="406"/>
      <c r="H3672" s="406"/>
      <c r="I3672" s="406"/>
      <c r="J3672" s="406"/>
      <c r="K3672" s="406"/>
      <c r="L3672" s="406"/>
      <c r="M3672" s="406"/>
      <c r="N3672" s="406"/>
      <c r="O3672" s="406"/>
      <c r="P3672" s="406"/>
      <c r="Q3672" s="406"/>
      <c r="R3672" s="406"/>
      <c r="S3672" s="406"/>
      <c r="T3672" s="406"/>
      <c r="U3672" s="406"/>
      <c r="V3672" s="406"/>
      <c r="W3672" s="406"/>
      <c r="X3672" s="406"/>
      <c r="Y3672" s="406"/>
      <c r="Z3672" s="406"/>
      <c r="AA3672" s="406"/>
      <c r="AB3672" s="406"/>
      <c r="AC3672" s="406"/>
      <c r="AD3672" s="406"/>
      <c r="AE3672" s="406"/>
      <c r="AF3672" s="406"/>
      <c r="AG3672" s="406"/>
      <c r="AH3672" s="406"/>
      <c r="AI3672" s="406"/>
      <c r="AJ3672" s="406"/>
      <c r="AK3672" s="406"/>
      <c r="AL3672" s="406"/>
      <c r="AM3672" s="406"/>
      <c r="AN3672" s="406"/>
      <c r="AO3672" s="406"/>
      <c r="AP3672" s="406"/>
      <c r="AQ3672" s="406"/>
      <c r="AR3672" s="406"/>
      <c r="AS3672" s="406"/>
      <c r="AT3672" s="406"/>
      <c r="AU3672" s="406"/>
      <c r="AV3672" s="406"/>
      <c r="AW3672" s="406"/>
      <c r="AX3672" s="406"/>
      <c r="AY3672" s="406"/>
      <c r="AZ3672" s="406"/>
      <c r="BA3672" s="406"/>
      <c r="BB3672" s="406"/>
      <c r="BC3672" s="406"/>
      <c r="BD3672" s="406"/>
      <c r="BE3672" s="406"/>
      <c r="BF3672" s="406"/>
      <c r="BG3672" s="406"/>
      <c r="BH3672" s="406"/>
      <c r="BI3672" s="406"/>
      <c r="BJ3672" s="406"/>
      <c r="BK3672" s="406"/>
      <c r="BL3672" s="406"/>
      <c r="BM3672" s="406"/>
      <c r="BN3672" s="406"/>
      <c r="BO3672" s="406"/>
      <c r="BP3672" s="406"/>
      <c r="BQ3672" s="406"/>
      <c r="BR3672" s="406"/>
      <c r="BS3672" s="406"/>
      <c r="BT3672" s="406"/>
      <c r="BU3672" s="406"/>
      <c r="BV3672" s="406"/>
      <c r="BW3672" s="406"/>
      <c r="BX3672" s="406"/>
      <c r="BY3672" s="406"/>
      <c r="BZ3672" s="406"/>
      <c r="CA3672" s="308"/>
      <c r="CB3672" s="3" t="str">
        <f t="shared" si="650"/>
        <v>Riadok bude skrytý.</v>
      </c>
      <c r="CC3672" s="271" t="s">
        <v>832</v>
      </c>
      <c r="CW3672" s="30">
        <f t="shared" si="657"/>
        <v>0</v>
      </c>
      <c r="CZ3672" s="30">
        <f t="shared" si="655"/>
        <v>1</v>
      </c>
      <c r="DA3672" s="30">
        <f t="shared" si="651"/>
        <v>0</v>
      </c>
      <c r="DB3672" s="140">
        <f t="shared" si="652"/>
        <v>0</v>
      </c>
      <c r="DS3672" s="130">
        <f>SI!BY3672</f>
        <v>760</v>
      </c>
      <c r="DZ3672" s="131">
        <f>SI!BZ3672</f>
        <v>0</v>
      </c>
    </row>
    <row r="3673" spans="1:130" hidden="1" x14ac:dyDescent="0.25">
      <c r="A3673" s="141"/>
      <c r="B3673" s="137" t="s">
        <v>750</v>
      </c>
      <c r="CA3673" s="265" t="s">
        <v>773</v>
      </c>
      <c r="CB3673" s="3" t="str">
        <f t="shared" si="650"/>
        <v>Riadok bude skrytý.</v>
      </c>
      <c r="CC3673" s="271" t="s">
        <v>832</v>
      </c>
      <c r="CW3673" s="30">
        <f>+IF(B3674="",0,1)</f>
        <v>0</v>
      </c>
      <c r="CZ3673" s="30">
        <f t="shared" si="655"/>
        <v>1</v>
      </c>
      <c r="DA3673" s="30">
        <f t="shared" si="651"/>
        <v>0</v>
      </c>
      <c r="DB3673" s="140">
        <f t="shared" si="652"/>
        <v>0</v>
      </c>
      <c r="DS3673" s="130">
        <f>SI!BY3673</f>
        <v>154</v>
      </c>
      <c r="DZ3673" s="131">
        <f>SI!BZ3673</f>
        <v>0</v>
      </c>
    </row>
    <row r="3674" spans="1:130" hidden="1" x14ac:dyDescent="0.25">
      <c r="A3674" s="141"/>
      <c r="B3674" s="406"/>
      <c r="C3674" s="406"/>
      <c r="D3674" s="406"/>
      <c r="E3674" s="406"/>
      <c r="F3674" s="406"/>
      <c r="G3674" s="406"/>
      <c r="H3674" s="406"/>
      <c r="I3674" s="406"/>
      <c r="J3674" s="406"/>
      <c r="K3674" s="406"/>
      <c r="L3674" s="406"/>
      <c r="M3674" s="406"/>
      <c r="N3674" s="406"/>
      <c r="O3674" s="406"/>
      <c r="P3674" s="406"/>
      <c r="Q3674" s="406"/>
      <c r="R3674" s="406"/>
      <c r="S3674" s="406"/>
      <c r="T3674" s="406"/>
      <c r="U3674" s="406"/>
      <c r="V3674" s="406"/>
      <c r="W3674" s="406"/>
      <c r="X3674" s="406"/>
      <c r="Y3674" s="406"/>
      <c r="Z3674" s="406"/>
      <c r="AA3674" s="406"/>
      <c r="AB3674" s="406"/>
      <c r="AC3674" s="406"/>
      <c r="AD3674" s="406"/>
      <c r="AE3674" s="406"/>
      <c r="AF3674" s="406"/>
      <c r="AG3674" s="406"/>
      <c r="AH3674" s="406"/>
      <c r="AI3674" s="406"/>
      <c r="AJ3674" s="406"/>
      <c r="AK3674" s="406"/>
      <c r="AL3674" s="406"/>
      <c r="AM3674" s="406"/>
      <c r="AN3674" s="406"/>
      <c r="AO3674" s="406"/>
      <c r="AP3674" s="406"/>
      <c r="AQ3674" s="406"/>
      <c r="AR3674" s="406"/>
      <c r="AS3674" s="406"/>
      <c r="AT3674" s="406"/>
      <c r="AU3674" s="406"/>
      <c r="AV3674" s="406"/>
      <c r="AW3674" s="406"/>
      <c r="AX3674" s="406"/>
      <c r="AY3674" s="406"/>
      <c r="AZ3674" s="406"/>
      <c r="BA3674" s="406"/>
      <c r="BB3674" s="406"/>
      <c r="BC3674" s="406"/>
      <c r="BD3674" s="406"/>
      <c r="BE3674" s="406"/>
      <c r="BF3674" s="406"/>
      <c r="BG3674" s="406"/>
      <c r="BH3674" s="406"/>
      <c r="BI3674" s="406"/>
      <c r="BJ3674" s="406"/>
      <c r="BK3674" s="406"/>
      <c r="BL3674" s="406"/>
      <c r="BM3674" s="406"/>
      <c r="BN3674" s="406"/>
      <c r="BO3674" s="406"/>
      <c r="BP3674" s="406"/>
      <c r="BQ3674" s="406"/>
      <c r="BR3674" s="406"/>
      <c r="BS3674" s="406"/>
      <c r="BT3674" s="406"/>
      <c r="BU3674" s="406"/>
      <c r="BV3674" s="406"/>
      <c r="BW3674" s="406"/>
      <c r="BX3674" s="406"/>
      <c r="BY3674" s="406"/>
      <c r="BZ3674" s="406"/>
      <c r="CA3674" s="308"/>
      <c r="CB3674" s="3" t="str">
        <f t="shared" si="650"/>
        <v>Riadok bude skrytý.</v>
      </c>
      <c r="CC3674" s="271" t="s">
        <v>832</v>
      </c>
      <c r="CW3674" s="30">
        <f t="shared" ref="CW3674:CW3680" si="658">+IF(B3674="",0,1)</f>
        <v>0</v>
      </c>
      <c r="CZ3674" s="30">
        <f t="shared" si="655"/>
        <v>1</v>
      </c>
      <c r="DA3674" s="30">
        <f t="shared" si="651"/>
        <v>0</v>
      </c>
      <c r="DB3674" s="140">
        <f t="shared" si="652"/>
        <v>0</v>
      </c>
      <c r="DS3674" s="130">
        <f>SI!BY3674</f>
        <v>984</v>
      </c>
      <c r="DZ3674" s="131">
        <f>SI!BZ3674</f>
        <v>0</v>
      </c>
    </row>
    <row r="3675" spans="1:130" hidden="1" x14ac:dyDescent="0.25">
      <c r="A3675" s="141"/>
      <c r="B3675" s="406"/>
      <c r="C3675" s="406"/>
      <c r="D3675" s="406"/>
      <c r="E3675" s="406"/>
      <c r="F3675" s="406"/>
      <c r="G3675" s="406"/>
      <c r="H3675" s="406"/>
      <c r="I3675" s="406"/>
      <c r="J3675" s="406"/>
      <c r="K3675" s="406"/>
      <c r="L3675" s="406"/>
      <c r="M3675" s="406"/>
      <c r="N3675" s="406"/>
      <c r="O3675" s="406"/>
      <c r="P3675" s="406"/>
      <c r="Q3675" s="406"/>
      <c r="R3675" s="406"/>
      <c r="S3675" s="406"/>
      <c r="T3675" s="406"/>
      <c r="U3675" s="406"/>
      <c r="V3675" s="406"/>
      <c r="W3675" s="406"/>
      <c r="X3675" s="406"/>
      <c r="Y3675" s="406"/>
      <c r="Z3675" s="406"/>
      <c r="AA3675" s="406"/>
      <c r="AB3675" s="406"/>
      <c r="AC3675" s="406"/>
      <c r="AD3675" s="406"/>
      <c r="AE3675" s="406"/>
      <c r="AF3675" s="406"/>
      <c r="AG3675" s="406"/>
      <c r="AH3675" s="406"/>
      <c r="AI3675" s="406"/>
      <c r="AJ3675" s="406"/>
      <c r="AK3675" s="406"/>
      <c r="AL3675" s="406"/>
      <c r="AM3675" s="406"/>
      <c r="AN3675" s="406"/>
      <c r="AO3675" s="406"/>
      <c r="AP3675" s="406"/>
      <c r="AQ3675" s="406"/>
      <c r="AR3675" s="406"/>
      <c r="AS3675" s="406"/>
      <c r="AT3675" s="406"/>
      <c r="AU3675" s="406"/>
      <c r="AV3675" s="406"/>
      <c r="AW3675" s="406"/>
      <c r="AX3675" s="406"/>
      <c r="AY3675" s="406"/>
      <c r="AZ3675" s="406"/>
      <c r="BA3675" s="406"/>
      <c r="BB3675" s="406"/>
      <c r="BC3675" s="406"/>
      <c r="BD3675" s="406"/>
      <c r="BE3675" s="406"/>
      <c r="BF3675" s="406"/>
      <c r="BG3675" s="406"/>
      <c r="BH3675" s="406"/>
      <c r="BI3675" s="406"/>
      <c r="BJ3675" s="406"/>
      <c r="BK3675" s="406"/>
      <c r="BL3675" s="406"/>
      <c r="BM3675" s="406"/>
      <c r="BN3675" s="406"/>
      <c r="BO3675" s="406"/>
      <c r="BP3675" s="406"/>
      <c r="BQ3675" s="406"/>
      <c r="BR3675" s="406"/>
      <c r="BS3675" s="406"/>
      <c r="BT3675" s="406"/>
      <c r="BU3675" s="406"/>
      <c r="BV3675" s="406"/>
      <c r="BW3675" s="406"/>
      <c r="BX3675" s="406"/>
      <c r="BY3675" s="406"/>
      <c r="BZ3675" s="406"/>
      <c r="CA3675" s="308"/>
      <c r="CB3675" s="3" t="str">
        <f t="shared" si="650"/>
        <v>Riadok bude skrytý.</v>
      </c>
      <c r="CC3675" s="271" t="s">
        <v>832</v>
      </c>
      <c r="CW3675" s="30">
        <f t="shared" si="658"/>
        <v>0</v>
      </c>
      <c r="CZ3675" s="30">
        <f t="shared" si="655"/>
        <v>1</v>
      </c>
      <c r="DA3675" s="30">
        <f t="shared" si="651"/>
        <v>0</v>
      </c>
      <c r="DB3675" s="140">
        <f t="shared" si="652"/>
        <v>0</v>
      </c>
      <c r="DS3675" s="130">
        <f>SI!BY3675</f>
        <v>150</v>
      </c>
      <c r="DZ3675" s="131">
        <f>SI!BZ3675</f>
        <v>0</v>
      </c>
    </row>
    <row r="3676" spans="1:130" hidden="1" x14ac:dyDescent="0.25">
      <c r="A3676" s="141"/>
      <c r="B3676" s="406"/>
      <c r="C3676" s="406"/>
      <c r="D3676" s="406"/>
      <c r="E3676" s="406"/>
      <c r="F3676" s="406"/>
      <c r="G3676" s="406"/>
      <c r="H3676" s="406"/>
      <c r="I3676" s="406"/>
      <c r="J3676" s="406"/>
      <c r="K3676" s="406"/>
      <c r="L3676" s="406"/>
      <c r="M3676" s="406"/>
      <c r="N3676" s="406"/>
      <c r="O3676" s="406"/>
      <c r="P3676" s="406"/>
      <c r="Q3676" s="406"/>
      <c r="R3676" s="406"/>
      <c r="S3676" s="406"/>
      <c r="T3676" s="406"/>
      <c r="U3676" s="406"/>
      <c r="V3676" s="406"/>
      <c r="W3676" s="406"/>
      <c r="X3676" s="406"/>
      <c r="Y3676" s="406"/>
      <c r="Z3676" s="406"/>
      <c r="AA3676" s="406"/>
      <c r="AB3676" s="406"/>
      <c r="AC3676" s="406"/>
      <c r="AD3676" s="406"/>
      <c r="AE3676" s="406"/>
      <c r="AF3676" s="406"/>
      <c r="AG3676" s="406"/>
      <c r="AH3676" s="406"/>
      <c r="AI3676" s="406"/>
      <c r="AJ3676" s="406"/>
      <c r="AK3676" s="406"/>
      <c r="AL3676" s="406"/>
      <c r="AM3676" s="406"/>
      <c r="AN3676" s="406"/>
      <c r="AO3676" s="406"/>
      <c r="AP3676" s="406"/>
      <c r="AQ3676" s="406"/>
      <c r="AR3676" s="406"/>
      <c r="AS3676" s="406"/>
      <c r="AT3676" s="406"/>
      <c r="AU3676" s="406"/>
      <c r="AV3676" s="406"/>
      <c r="AW3676" s="406"/>
      <c r="AX3676" s="406"/>
      <c r="AY3676" s="406"/>
      <c r="AZ3676" s="406"/>
      <c r="BA3676" s="406"/>
      <c r="BB3676" s="406"/>
      <c r="BC3676" s="406"/>
      <c r="BD3676" s="406"/>
      <c r="BE3676" s="406"/>
      <c r="BF3676" s="406"/>
      <c r="BG3676" s="406"/>
      <c r="BH3676" s="406"/>
      <c r="BI3676" s="406"/>
      <c r="BJ3676" s="406"/>
      <c r="BK3676" s="406"/>
      <c r="BL3676" s="406"/>
      <c r="BM3676" s="406"/>
      <c r="BN3676" s="406"/>
      <c r="BO3676" s="406"/>
      <c r="BP3676" s="406"/>
      <c r="BQ3676" s="406"/>
      <c r="BR3676" s="406"/>
      <c r="BS3676" s="406"/>
      <c r="BT3676" s="406"/>
      <c r="BU3676" s="406"/>
      <c r="BV3676" s="406"/>
      <c r="BW3676" s="406"/>
      <c r="BX3676" s="406"/>
      <c r="BY3676" s="406"/>
      <c r="BZ3676" s="406"/>
      <c r="CA3676" s="308"/>
      <c r="CB3676" s="3" t="str">
        <f t="shared" si="650"/>
        <v>Riadok bude skrytý.</v>
      </c>
      <c r="CC3676" s="271" t="s">
        <v>832</v>
      </c>
      <c r="CW3676" s="30">
        <f t="shared" si="658"/>
        <v>0</v>
      </c>
      <c r="CZ3676" s="30">
        <f t="shared" si="655"/>
        <v>1</v>
      </c>
      <c r="DA3676" s="30">
        <f t="shared" si="651"/>
        <v>0</v>
      </c>
      <c r="DB3676" s="140">
        <f t="shared" si="652"/>
        <v>0</v>
      </c>
      <c r="DS3676" s="130">
        <f>SI!BY3676</f>
        <v>133</v>
      </c>
      <c r="DZ3676" s="131">
        <f>SI!BZ3676</f>
        <v>0</v>
      </c>
    </row>
    <row r="3677" spans="1:130" hidden="1" x14ac:dyDescent="0.25">
      <c r="A3677" s="141"/>
      <c r="B3677" s="406"/>
      <c r="C3677" s="406"/>
      <c r="D3677" s="406"/>
      <c r="E3677" s="406"/>
      <c r="F3677" s="406"/>
      <c r="G3677" s="406"/>
      <c r="H3677" s="406"/>
      <c r="I3677" s="406"/>
      <c r="J3677" s="406"/>
      <c r="K3677" s="406"/>
      <c r="L3677" s="406"/>
      <c r="M3677" s="406"/>
      <c r="N3677" s="406"/>
      <c r="O3677" s="406"/>
      <c r="P3677" s="406"/>
      <c r="Q3677" s="406"/>
      <c r="R3677" s="406"/>
      <c r="S3677" s="406"/>
      <c r="T3677" s="406"/>
      <c r="U3677" s="406"/>
      <c r="V3677" s="406"/>
      <c r="W3677" s="406"/>
      <c r="X3677" s="406"/>
      <c r="Y3677" s="406"/>
      <c r="Z3677" s="406"/>
      <c r="AA3677" s="406"/>
      <c r="AB3677" s="406"/>
      <c r="AC3677" s="406"/>
      <c r="AD3677" s="406"/>
      <c r="AE3677" s="406"/>
      <c r="AF3677" s="406"/>
      <c r="AG3677" s="406"/>
      <c r="AH3677" s="406"/>
      <c r="AI3677" s="406"/>
      <c r="AJ3677" s="406"/>
      <c r="AK3677" s="406"/>
      <c r="AL3677" s="406"/>
      <c r="AM3677" s="406"/>
      <c r="AN3677" s="406"/>
      <c r="AO3677" s="406"/>
      <c r="AP3677" s="406"/>
      <c r="AQ3677" s="406"/>
      <c r="AR3677" s="406"/>
      <c r="AS3677" s="406"/>
      <c r="AT3677" s="406"/>
      <c r="AU3677" s="406"/>
      <c r="AV3677" s="406"/>
      <c r="AW3677" s="406"/>
      <c r="AX3677" s="406"/>
      <c r="AY3677" s="406"/>
      <c r="AZ3677" s="406"/>
      <c r="BA3677" s="406"/>
      <c r="BB3677" s="406"/>
      <c r="BC3677" s="406"/>
      <c r="BD3677" s="406"/>
      <c r="BE3677" s="406"/>
      <c r="BF3677" s="406"/>
      <c r="BG3677" s="406"/>
      <c r="BH3677" s="406"/>
      <c r="BI3677" s="406"/>
      <c r="BJ3677" s="406"/>
      <c r="BK3677" s="406"/>
      <c r="BL3677" s="406"/>
      <c r="BM3677" s="406"/>
      <c r="BN3677" s="406"/>
      <c r="BO3677" s="406"/>
      <c r="BP3677" s="406"/>
      <c r="BQ3677" s="406"/>
      <c r="BR3677" s="406"/>
      <c r="BS3677" s="406"/>
      <c r="BT3677" s="406"/>
      <c r="BU3677" s="406"/>
      <c r="BV3677" s="406"/>
      <c r="BW3677" s="406"/>
      <c r="BX3677" s="406"/>
      <c r="BY3677" s="406"/>
      <c r="BZ3677" s="406"/>
      <c r="CA3677" s="308"/>
      <c r="CB3677" s="3" t="str">
        <f t="shared" si="650"/>
        <v>Riadok bude skrytý.</v>
      </c>
      <c r="CC3677" s="271" t="s">
        <v>832</v>
      </c>
      <c r="CW3677" s="30">
        <f t="shared" si="658"/>
        <v>0</v>
      </c>
      <c r="CZ3677" s="30">
        <f t="shared" si="655"/>
        <v>1</v>
      </c>
      <c r="DA3677" s="30">
        <f t="shared" si="651"/>
        <v>0</v>
      </c>
      <c r="DB3677" s="140">
        <f t="shared" si="652"/>
        <v>0</v>
      </c>
      <c r="DS3677" s="130">
        <f>SI!BY3677</f>
        <v>726</v>
      </c>
      <c r="DZ3677" s="131">
        <f>SI!BZ3677</f>
        <v>0</v>
      </c>
    </row>
    <row r="3678" spans="1:130" hidden="1" x14ac:dyDescent="0.25">
      <c r="A3678" s="141"/>
      <c r="B3678" s="406"/>
      <c r="C3678" s="406"/>
      <c r="D3678" s="406"/>
      <c r="E3678" s="406"/>
      <c r="F3678" s="406"/>
      <c r="G3678" s="406"/>
      <c r="H3678" s="406"/>
      <c r="I3678" s="406"/>
      <c r="J3678" s="406"/>
      <c r="K3678" s="406"/>
      <c r="L3678" s="406"/>
      <c r="M3678" s="406"/>
      <c r="N3678" s="406"/>
      <c r="O3678" s="406"/>
      <c r="P3678" s="406"/>
      <c r="Q3678" s="406"/>
      <c r="R3678" s="406"/>
      <c r="S3678" s="406"/>
      <c r="T3678" s="406"/>
      <c r="U3678" s="406"/>
      <c r="V3678" s="406"/>
      <c r="W3678" s="406"/>
      <c r="X3678" s="406"/>
      <c r="Y3678" s="406"/>
      <c r="Z3678" s="406"/>
      <c r="AA3678" s="406"/>
      <c r="AB3678" s="406"/>
      <c r="AC3678" s="406"/>
      <c r="AD3678" s="406"/>
      <c r="AE3678" s="406"/>
      <c r="AF3678" s="406"/>
      <c r="AG3678" s="406"/>
      <c r="AH3678" s="406"/>
      <c r="AI3678" s="406"/>
      <c r="AJ3678" s="406"/>
      <c r="AK3678" s="406"/>
      <c r="AL3678" s="406"/>
      <c r="AM3678" s="406"/>
      <c r="AN3678" s="406"/>
      <c r="AO3678" s="406"/>
      <c r="AP3678" s="406"/>
      <c r="AQ3678" s="406"/>
      <c r="AR3678" s="406"/>
      <c r="AS3678" s="406"/>
      <c r="AT3678" s="406"/>
      <c r="AU3678" s="406"/>
      <c r="AV3678" s="406"/>
      <c r="AW3678" s="406"/>
      <c r="AX3678" s="406"/>
      <c r="AY3678" s="406"/>
      <c r="AZ3678" s="406"/>
      <c r="BA3678" s="406"/>
      <c r="BB3678" s="406"/>
      <c r="BC3678" s="406"/>
      <c r="BD3678" s="406"/>
      <c r="BE3678" s="406"/>
      <c r="BF3678" s="406"/>
      <c r="BG3678" s="406"/>
      <c r="BH3678" s="406"/>
      <c r="BI3678" s="406"/>
      <c r="BJ3678" s="406"/>
      <c r="BK3678" s="406"/>
      <c r="BL3678" s="406"/>
      <c r="BM3678" s="406"/>
      <c r="BN3678" s="406"/>
      <c r="BO3678" s="406"/>
      <c r="BP3678" s="406"/>
      <c r="BQ3678" s="406"/>
      <c r="BR3678" s="406"/>
      <c r="BS3678" s="406"/>
      <c r="BT3678" s="406"/>
      <c r="BU3678" s="406"/>
      <c r="BV3678" s="406"/>
      <c r="BW3678" s="406"/>
      <c r="BX3678" s="406"/>
      <c r="BY3678" s="406"/>
      <c r="BZ3678" s="406"/>
      <c r="CA3678" s="308"/>
      <c r="CB3678" s="3" t="str">
        <f t="shared" si="650"/>
        <v>Riadok bude skrytý.</v>
      </c>
      <c r="CC3678" s="271" t="s">
        <v>832</v>
      </c>
      <c r="CW3678" s="30">
        <f t="shared" si="658"/>
        <v>0</v>
      </c>
      <c r="CZ3678" s="30">
        <f t="shared" si="655"/>
        <v>1</v>
      </c>
      <c r="DA3678" s="30">
        <f t="shared" si="651"/>
        <v>0</v>
      </c>
      <c r="DB3678" s="140">
        <f t="shared" si="652"/>
        <v>0</v>
      </c>
      <c r="DS3678" s="130">
        <f>SI!BY3678</f>
        <v>153</v>
      </c>
      <c r="DZ3678" s="131">
        <f>SI!BZ3678</f>
        <v>0</v>
      </c>
    </row>
    <row r="3679" spans="1:130" hidden="1" x14ac:dyDescent="0.25">
      <c r="A3679" s="141"/>
      <c r="B3679" s="406"/>
      <c r="C3679" s="406"/>
      <c r="D3679" s="406"/>
      <c r="E3679" s="406"/>
      <c r="F3679" s="406"/>
      <c r="G3679" s="406"/>
      <c r="H3679" s="406"/>
      <c r="I3679" s="406"/>
      <c r="J3679" s="406"/>
      <c r="K3679" s="406"/>
      <c r="L3679" s="406"/>
      <c r="M3679" s="406"/>
      <c r="N3679" s="406"/>
      <c r="O3679" s="406"/>
      <c r="P3679" s="406"/>
      <c r="Q3679" s="406"/>
      <c r="R3679" s="406"/>
      <c r="S3679" s="406"/>
      <c r="T3679" s="406"/>
      <c r="U3679" s="406"/>
      <c r="V3679" s="406"/>
      <c r="W3679" s="406"/>
      <c r="X3679" s="406"/>
      <c r="Y3679" s="406"/>
      <c r="Z3679" s="406"/>
      <c r="AA3679" s="406"/>
      <c r="AB3679" s="406"/>
      <c r="AC3679" s="406"/>
      <c r="AD3679" s="406"/>
      <c r="AE3679" s="406"/>
      <c r="AF3679" s="406"/>
      <c r="AG3679" s="406"/>
      <c r="AH3679" s="406"/>
      <c r="AI3679" s="406"/>
      <c r="AJ3679" s="406"/>
      <c r="AK3679" s="406"/>
      <c r="AL3679" s="406"/>
      <c r="AM3679" s="406"/>
      <c r="AN3679" s="406"/>
      <c r="AO3679" s="406"/>
      <c r="AP3679" s="406"/>
      <c r="AQ3679" s="406"/>
      <c r="AR3679" s="406"/>
      <c r="AS3679" s="406"/>
      <c r="AT3679" s="406"/>
      <c r="AU3679" s="406"/>
      <c r="AV3679" s="406"/>
      <c r="AW3679" s="406"/>
      <c r="AX3679" s="406"/>
      <c r="AY3679" s="406"/>
      <c r="AZ3679" s="406"/>
      <c r="BA3679" s="406"/>
      <c r="BB3679" s="406"/>
      <c r="BC3679" s="406"/>
      <c r="BD3679" s="406"/>
      <c r="BE3679" s="406"/>
      <c r="BF3679" s="406"/>
      <c r="BG3679" s="406"/>
      <c r="BH3679" s="406"/>
      <c r="BI3679" s="406"/>
      <c r="BJ3679" s="406"/>
      <c r="BK3679" s="406"/>
      <c r="BL3679" s="406"/>
      <c r="BM3679" s="406"/>
      <c r="BN3679" s="406"/>
      <c r="BO3679" s="406"/>
      <c r="BP3679" s="406"/>
      <c r="BQ3679" s="406"/>
      <c r="BR3679" s="406"/>
      <c r="BS3679" s="406"/>
      <c r="BT3679" s="406"/>
      <c r="BU3679" s="406"/>
      <c r="BV3679" s="406"/>
      <c r="BW3679" s="406"/>
      <c r="BX3679" s="406"/>
      <c r="BY3679" s="406"/>
      <c r="BZ3679" s="406"/>
      <c r="CA3679" s="308"/>
      <c r="CB3679" s="3" t="str">
        <f t="shared" si="650"/>
        <v>Riadok bude skrytý.</v>
      </c>
      <c r="CC3679" s="271" t="s">
        <v>832</v>
      </c>
      <c r="CW3679" s="30">
        <f t="shared" si="658"/>
        <v>0</v>
      </c>
      <c r="CZ3679" s="30">
        <f t="shared" si="655"/>
        <v>1</v>
      </c>
      <c r="DA3679" s="30">
        <f t="shared" si="651"/>
        <v>0</v>
      </c>
      <c r="DB3679" s="140">
        <f t="shared" si="652"/>
        <v>0</v>
      </c>
      <c r="DS3679" s="130">
        <f>SI!BY3679</f>
        <v>285</v>
      </c>
      <c r="DZ3679" s="131">
        <f>SI!BZ3679</f>
        <v>0</v>
      </c>
    </row>
    <row r="3680" spans="1:130" hidden="1" x14ac:dyDescent="0.25">
      <c r="A3680" s="141"/>
      <c r="B3680" s="406"/>
      <c r="C3680" s="406"/>
      <c r="D3680" s="406"/>
      <c r="E3680" s="406"/>
      <c r="F3680" s="406"/>
      <c r="G3680" s="406"/>
      <c r="H3680" s="406"/>
      <c r="I3680" s="406"/>
      <c r="J3680" s="406"/>
      <c r="K3680" s="406"/>
      <c r="L3680" s="406"/>
      <c r="M3680" s="406"/>
      <c r="N3680" s="406"/>
      <c r="O3680" s="406"/>
      <c r="P3680" s="406"/>
      <c r="Q3680" s="406"/>
      <c r="R3680" s="406"/>
      <c r="S3680" s="406"/>
      <c r="T3680" s="406"/>
      <c r="U3680" s="406"/>
      <c r="V3680" s="406"/>
      <c r="W3680" s="406"/>
      <c r="X3680" s="406"/>
      <c r="Y3680" s="406"/>
      <c r="Z3680" s="406"/>
      <c r="AA3680" s="406"/>
      <c r="AB3680" s="406"/>
      <c r="AC3680" s="406"/>
      <c r="AD3680" s="406"/>
      <c r="AE3680" s="406"/>
      <c r="AF3680" s="406"/>
      <c r="AG3680" s="406"/>
      <c r="AH3680" s="406"/>
      <c r="AI3680" s="406"/>
      <c r="AJ3680" s="406"/>
      <c r="AK3680" s="406"/>
      <c r="AL3680" s="406"/>
      <c r="AM3680" s="406"/>
      <c r="AN3680" s="406"/>
      <c r="AO3680" s="406"/>
      <c r="AP3680" s="406"/>
      <c r="AQ3680" s="406"/>
      <c r="AR3680" s="406"/>
      <c r="AS3680" s="406"/>
      <c r="AT3680" s="406"/>
      <c r="AU3680" s="406"/>
      <c r="AV3680" s="406"/>
      <c r="AW3680" s="406"/>
      <c r="AX3680" s="406"/>
      <c r="AY3680" s="406"/>
      <c r="AZ3680" s="406"/>
      <c r="BA3680" s="406"/>
      <c r="BB3680" s="406"/>
      <c r="BC3680" s="406"/>
      <c r="BD3680" s="406"/>
      <c r="BE3680" s="406"/>
      <c r="BF3680" s="406"/>
      <c r="BG3680" s="406"/>
      <c r="BH3680" s="406"/>
      <c r="BI3680" s="406"/>
      <c r="BJ3680" s="406"/>
      <c r="BK3680" s="406"/>
      <c r="BL3680" s="406"/>
      <c r="BM3680" s="406"/>
      <c r="BN3680" s="406"/>
      <c r="BO3680" s="406"/>
      <c r="BP3680" s="406"/>
      <c r="BQ3680" s="406"/>
      <c r="BR3680" s="406"/>
      <c r="BS3680" s="406"/>
      <c r="BT3680" s="406"/>
      <c r="BU3680" s="406"/>
      <c r="BV3680" s="406"/>
      <c r="BW3680" s="406"/>
      <c r="BX3680" s="406"/>
      <c r="BY3680" s="406"/>
      <c r="BZ3680" s="406"/>
      <c r="CA3680" s="308"/>
      <c r="CB3680" s="3" t="str">
        <f t="shared" si="650"/>
        <v>Riadok bude skrytý.</v>
      </c>
      <c r="CC3680" s="271" t="s">
        <v>832</v>
      </c>
      <c r="CW3680" s="30">
        <f t="shared" si="658"/>
        <v>0</v>
      </c>
      <c r="CZ3680" s="30">
        <f t="shared" si="655"/>
        <v>1</v>
      </c>
      <c r="DA3680" s="30">
        <f t="shared" si="651"/>
        <v>0</v>
      </c>
      <c r="DB3680" s="140">
        <f t="shared" si="652"/>
        <v>0</v>
      </c>
      <c r="DS3680" s="130">
        <f>SI!BY3680</f>
        <v>172</v>
      </c>
      <c r="DZ3680" s="131">
        <f>SI!BZ3680</f>
        <v>0</v>
      </c>
    </row>
    <row r="3681" spans="1:130" x14ac:dyDescent="0.25">
      <c r="A3681" s="141"/>
      <c r="CA3681" s="142"/>
      <c r="CB3681" s="3" t="str">
        <f t="shared" si="650"/>
        <v>Riadok bude vidieť.</v>
      </c>
      <c r="CC3681" s="271" t="s">
        <v>832</v>
      </c>
      <c r="CW3681" s="49">
        <v>1</v>
      </c>
      <c r="CZ3681" s="30">
        <f t="shared" si="655"/>
        <v>1</v>
      </c>
      <c r="DA3681" s="30">
        <f t="shared" si="651"/>
        <v>1</v>
      </c>
      <c r="DB3681" s="140">
        <f t="shared" si="652"/>
        <v>1</v>
      </c>
      <c r="DS3681" s="130">
        <f>SI!BY3681</f>
        <v>1114</v>
      </c>
      <c r="DZ3681" s="131">
        <f>SI!BZ3681</f>
        <v>0</v>
      </c>
    </row>
    <row r="3682" spans="1:130" ht="17" hidden="1" thickBot="1" x14ac:dyDescent="0.35">
      <c r="A3682" s="141"/>
      <c r="B3682" s="21"/>
      <c r="C3682" s="268"/>
      <c r="D3682" s="268"/>
      <c r="E3682" s="22" t="s">
        <v>751</v>
      </c>
      <c r="F3682" s="268"/>
      <c r="G3682" s="125"/>
      <c r="H3682" s="22"/>
      <c r="I3682" s="268"/>
      <c r="J3682" s="268"/>
      <c r="K3682" s="268"/>
      <c r="L3682" s="268"/>
      <c r="M3682" s="268"/>
      <c r="N3682" s="268"/>
      <c r="O3682" s="268"/>
      <c r="P3682" s="268"/>
      <c r="Q3682" s="268"/>
      <c r="R3682" s="268"/>
      <c r="S3682" s="268"/>
      <c r="T3682" s="268"/>
      <c r="U3682" s="268"/>
      <c r="V3682" s="268"/>
      <c r="W3682" s="268"/>
      <c r="X3682" s="268"/>
      <c r="Y3682" s="268"/>
      <c r="Z3682" s="268"/>
      <c r="AA3682" s="268"/>
      <c r="AB3682" s="268"/>
      <c r="AC3682" s="268"/>
      <c r="AD3682" s="268"/>
      <c r="AE3682" s="268"/>
      <c r="AF3682" s="268"/>
      <c r="AG3682" s="268"/>
      <c r="AH3682" s="268"/>
      <c r="AI3682" s="28"/>
      <c r="AJ3682" s="28"/>
      <c r="AK3682" s="29"/>
      <c r="AL3682" s="29"/>
      <c r="AM3682" s="29"/>
      <c r="AN3682" s="29"/>
      <c r="AO3682" s="29"/>
      <c r="AP3682" s="29"/>
      <c r="AQ3682" s="29"/>
      <c r="AR3682" s="29"/>
      <c r="AS3682" s="29"/>
      <c r="AT3682" s="29"/>
      <c r="AU3682" s="29"/>
      <c r="AV3682" s="268"/>
      <c r="AW3682" s="268"/>
      <c r="AX3682" s="268"/>
      <c r="AY3682" s="268"/>
      <c r="AZ3682" s="268"/>
      <c r="BA3682" s="268"/>
      <c r="BB3682" s="268"/>
      <c r="BC3682" s="268"/>
      <c r="BD3682" s="932" t="str">
        <f>+SI!J2</f>
        <v>Resumo s.r.o.</v>
      </c>
      <c r="BE3682" s="932"/>
      <c r="BF3682" s="932"/>
      <c r="BG3682" s="932"/>
      <c r="BH3682" s="932"/>
      <c r="BI3682" s="932"/>
      <c r="BJ3682" s="932"/>
      <c r="BK3682" s="932"/>
      <c r="BL3682" s="932"/>
      <c r="BM3682" s="932"/>
      <c r="BN3682" s="932"/>
      <c r="BO3682" s="932"/>
      <c r="BP3682" s="932"/>
      <c r="BQ3682" s="932"/>
      <c r="BR3682" s="932"/>
      <c r="BS3682" s="932"/>
      <c r="BT3682" s="932"/>
      <c r="BU3682" s="932"/>
      <c r="BV3682" s="932"/>
      <c r="BW3682" s="932"/>
      <c r="BX3682" s="932"/>
      <c r="BY3682" s="932"/>
      <c r="BZ3682" s="933"/>
      <c r="CA3682" s="265" t="s">
        <v>773</v>
      </c>
      <c r="CB3682" s="3" t="str">
        <f t="shared" si="650"/>
        <v>Riadok bude skrytý.</v>
      </c>
      <c r="CC3682" s="271" t="s">
        <v>832</v>
      </c>
      <c r="CW3682" s="49">
        <v>1</v>
      </c>
      <c r="CZ3682" s="30">
        <f t="shared" si="655"/>
        <v>1</v>
      </c>
      <c r="DA3682" s="30">
        <f t="shared" si="651"/>
        <v>1</v>
      </c>
      <c r="DB3682" s="2">
        <f>+IF($CD$1="malé",0,DA3682)</f>
        <v>0</v>
      </c>
      <c r="DS3682" s="130">
        <f>SI!BY3682</f>
        <v>183</v>
      </c>
      <c r="DZ3682" s="131">
        <f>SI!BZ3682</f>
        <v>0</v>
      </c>
    </row>
    <row r="3683" spans="1:130" hidden="1" x14ac:dyDescent="0.25">
      <c r="A3683" s="141"/>
      <c r="CA3683" s="142"/>
      <c r="CB3683" s="3" t="str">
        <f t="shared" si="650"/>
        <v>Riadok bude skrytý.</v>
      </c>
      <c r="CC3683" s="271" t="s">
        <v>832</v>
      </c>
      <c r="CW3683" s="49">
        <v>1</v>
      </c>
      <c r="CZ3683" s="30">
        <f t="shared" si="655"/>
        <v>1</v>
      </c>
      <c r="DA3683" s="30">
        <f t="shared" si="651"/>
        <v>1</v>
      </c>
      <c r="DB3683" s="2">
        <f>+IF($CD$1="malé",0,DA3683)</f>
        <v>0</v>
      </c>
      <c r="DS3683" s="130">
        <f>SI!BY3683</f>
        <v>377</v>
      </c>
      <c r="DZ3683" s="131">
        <f>SI!BZ3683</f>
        <v>0</v>
      </c>
    </row>
    <row r="3684" spans="1:130" x14ac:dyDescent="0.25">
      <c r="A3684" s="141"/>
      <c r="B3684" s="137" t="s">
        <v>752</v>
      </c>
      <c r="J3684" s="385" t="s">
        <v>1011</v>
      </c>
      <c r="K3684" s="385"/>
      <c r="L3684" s="385"/>
      <c r="M3684" s="385"/>
      <c r="N3684" s="385"/>
      <c r="O3684" s="137" t="str">
        <f>+IF($S$52&lt;&gt;"",IF((CODE(MID($S$52,1,1))/100)&lt;10,IF(COMBIN(LEN(SI!J3),2)=DS3684,"udelené výlučné právo alebo osobitné právo, alebo právo poskytovať služby vo ","NEPOVOLENÉ POUŽITIE !"),"NEPOVOLENÉ POUŽITIE!"),"NEPOVOLENÉ POUŽITIE !")</f>
        <v xml:space="preserve">udelené výlučné právo alebo osobitné právo, alebo právo poskytovať služby vo </v>
      </c>
      <c r="P3684" s="38"/>
      <c r="CA3684" s="142"/>
      <c r="CB3684" s="3" t="str">
        <f t="shared" si="650"/>
        <v>Riadok bude vidieť.</v>
      </c>
      <c r="CC3684" s="271" t="s">
        <v>832</v>
      </c>
      <c r="CW3684" s="49">
        <v>1</v>
      </c>
      <c r="CZ3684" s="30">
        <f t="shared" si="655"/>
        <v>1</v>
      </c>
      <c r="DA3684" s="30">
        <f t="shared" si="651"/>
        <v>1</v>
      </c>
      <c r="DB3684" s="140">
        <f t="shared" ref="DB3684:DB3712" si="659">+DA3684</f>
        <v>1</v>
      </c>
      <c r="DS3684" s="130">
        <f>SI!BY3684</f>
        <v>10</v>
      </c>
      <c r="DZ3684" s="131">
        <f>SI!BZ3684</f>
        <v>0</v>
      </c>
    </row>
    <row r="3685" spans="1:130" x14ac:dyDescent="0.25">
      <c r="A3685" s="141"/>
      <c r="B3685" s="137" t="s">
        <v>753</v>
      </c>
      <c r="CA3685" s="142"/>
      <c r="CB3685" s="3" t="str">
        <f t="shared" si="650"/>
        <v>Riadok bude vidieť.</v>
      </c>
      <c r="CC3685" s="271" t="s">
        <v>832</v>
      </c>
      <c r="CW3685" s="49">
        <v>1</v>
      </c>
      <c r="CZ3685" s="30">
        <f t="shared" si="655"/>
        <v>1</v>
      </c>
      <c r="DA3685" s="30">
        <f t="shared" si="651"/>
        <v>1</v>
      </c>
      <c r="DB3685" s="140">
        <f t="shared" si="659"/>
        <v>1</v>
      </c>
      <c r="DS3685" s="130">
        <f>SI!BY3685</f>
        <v>1040</v>
      </c>
      <c r="DZ3685" s="131">
        <f>SI!BZ3685</f>
        <v>0</v>
      </c>
    </row>
    <row r="3686" spans="1:130" x14ac:dyDescent="0.25">
      <c r="A3686" s="141"/>
      <c r="CA3686" s="142"/>
      <c r="CB3686" s="3" t="str">
        <f t="shared" si="650"/>
        <v>Riadok bude vidieť.</v>
      </c>
      <c r="CC3686" s="271" t="s">
        <v>832</v>
      </c>
      <c r="CW3686" s="49">
        <v>1</v>
      </c>
      <c r="CZ3686" s="30">
        <f t="shared" si="655"/>
        <v>1</v>
      </c>
      <c r="DA3686" s="30">
        <f t="shared" si="651"/>
        <v>1</v>
      </c>
      <c r="DB3686" s="140">
        <f t="shared" si="659"/>
        <v>1</v>
      </c>
      <c r="DS3686" s="130">
        <f>SI!BY3686</f>
        <v>109</v>
      </c>
      <c r="DZ3686" s="131">
        <f>SI!BZ3686</f>
        <v>0</v>
      </c>
    </row>
    <row r="3687" spans="1:130" hidden="1" x14ac:dyDescent="0.25">
      <c r="A3687" s="141"/>
      <c r="B3687" s="137" t="str">
        <f>+IF(J3684="je","Spoločnosť uvádza nasledujúce informácie:","")</f>
        <v/>
      </c>
      <c r="CA3687" s="265" t="s">
        <v>773</v>
      </c>
      <c r="CB3687" s="3" t="str">
        <f t="shared" si="650"/>
        <v>Riadok bude skrytý.</v>
      </c>
      <c r="CC3687" s="271" t="s">
        <v>832</v>
      </c>
      <c r="CW3687" s="30">
        <f>+IF($J$3684="nie je",0,1)</f>
        <v>0</v>
      </c>
      <c r="CZ3687" s="30">
        <f t="shared" si="655"/>
        <v>1</v>
      </c>
      <c r="DA3687" s="30">
        <f t="shared" si="651"/>
        <v>0</v>
      </c>
      <c r="DB3687" s="140">
        <f t="shared" si="659"/>
        <v>0</v>
      </c>
      <c r="DS3687" s="130">
        <f>SI!BY3687</f>
        <v>528</v>
      </c>
      <c r="DZ3687" s="131">
        <f>SI!BZ3687</f>
        <v>0</v>
      </c>
    </row>
    <row r="3688" spans="1:130" hidden="1" x14ac:dyDescent="0.25">
      <c r="A3688" s="141"/>
      <c r="B3688" s="137" t="s">
        <v>755</v>
      </c>
      <c r="CA3688" s="308"/>
      <c r="CB3688" s="3" t="str">
        <f t="shared" si="650"/>
        <v>Riadok bude skrytý.</v>
      </c>
      <c r="CC3688" s="271" t="s">
        <v>832</v>
      </c>
      <c r="CW3688" s="30">
        <f>+IF(B3689="",0,1)</f>
        <v>0</v>
      </c>
      <c r="CZ3688" s="30">
        <f t="shared" si="655"/>
        <v>1</v>
      </c>
      <c r="DA3688" s="30">
        <f t="shared" si="651"/>
        <v>0</v>
      </c>
      <c r="DB3688" s="140">
        <f t="shared" si="659"/>
        <v>0</v>
      </c>
      <c r="DS3688" s="130">
        <f>SI!BY3688</f>
        <v>159</v>
      </c>
      <c r="DZ3688" s="131">
        <f>SI!BZ3688</f>
        <v>0</v>
      </c>
    </row>
    <row r="3689" spans="1:130" hidden="1" x14ac:dyDescent="0.25">
      <c r="A3689" s="141"/>
      <c r="B3689" s="406"/>
      <c r="C3689" s="406"/>
      <c r="D3689" s="406"/>
      <c r="E3689" s="406"/>
      <c r="F3689" s="406"/>
      <c r="G3689" s="406"/>
      <c r="H3689" s="406"/>
      <c r="I3689" s="406"/>
      <c r="J3689" s="406"/>
      <c r="K3689" s="406"/>
      <c r="L3689" s="406"/>
      <c r="M3689" s="406"/>
      <c r="N3689" s="406"/>
      <c r="O3689" s="406"/>
      <c r="P3689" s="406"/>
      <c r="Q3689" s="406"/>
      <c r="R3689" s="406"/>
      <c r="S3689" s="406"/>
      <c r="T3689" s="406"/>
      <c r="U3689" s="406"/>
      <c r="V3689" s="406"/>
      <c r="W3689" s="406"/>
      <c r="X3689" s="406"/>
      <c r="Y3689" s="406"/>
      <c r="Z3689" s="406"/>
      <c r="AA3689" s="406"/>
      <c r="AB3689" s="406"/>
      <c r="AC3689" s="406"/>
      <c r="AD3689" s="406"/>
      <c r="AE3689" s="406"/>
      <c r="AF3689" s="406"/>
      <c r="AG3689" s="406"/>
      <c r="AH3689" s="406"/>
      <c r="AI3689" s="406"/>
      <c r="AJ3689" s="406"/>
      <c r="AK3689" s="406"/>
      <c r="AL3689" s="406"/>
      <c r="AM3689" s="406"/>
      <c r="AN3689" s="406"/>
      <c r="AO3689" s="406"/>
      <c r="AP3689" s="406"/>
      <c r="AQ3689" s="406"/>
      <c r="AR3689" s="406"/>
      <c r="AS3689" s="406"/>
      <c r="AT3689" s="406"/>
      <c r="AU3689" s="406"/>
      <c r="AV3689" s="406"/>
      <c r="AW3689" s="406"/>
      <c r="AX3689" s="406"/>
      <c r="AY3689" s="406"/>
      <c r="AZ3689" s="406"/>
      <c r="BA3689" s="406"/>
      <c r="BB3689" s="406"/>
      <c r="BC3689" s="406"/>
      <c r="BD3689" s="406"/>
      <c r="BE3689" s="406"/>
      <c r="BF3689" s="406"/>
      <c r="BG3689" s="406"/>
      <c r="BH3689" s="406"/>
      <c r="BI3689" s="406"/>
      <c r="BJ3689" s="406"/>
      <c r="BK3689" s="406"/>
      <c r="BL3689" s="406"/>
      <c r="BM3689" s="406"/>
      <c r="BN3689" s="406"/>
      <c r="BO3689" s="406"/>
      <c r="BP3689" s="406"/>
      <c r="BQ3689" s="406"/>
      <c r="BR3689" s="406"/>
      <c r="BS3689" s="406"/>
      <c r="BT3689" s="406"/>
      <c r="BU3689" s="406"/>
      <c r="BV3689" s="406"/>
      <c r="BW3689" s="406"/>
      <c r="BX3689" s="406"/>
      <c r="BY3689" s="406"/>
      <c r="BZ3689" s="406"/>
      <c r="CA3689" s="308"/>
      <c r="CB3689" s="3" t="str">
        <f t="shared" si="650"/>
        <v>Riadok bude skrytý.</v>
      </c>
      <c r="CC3689" s="271" t="s">
        <v>832</v>
      </c>
      <c r="CW3689" s="30">
        <f t="shared" ref="CW3689:CW3695" si="660">+IF(B3689="",0,1)</f>
        <v>0</v>
      </c>
      <c r="CZ3689" s="30">
        <f t="shared" si="655"/>
        <v>1</v>
      </c>
      <c r="DA3689" s="30">
        <f t="shared" si="651"/>
        <v>0</v>
      </c>
      <c r="DB3689" s="140">
        <f t="shared" si="659"/>
        <v>0</v>
      </c>
      <c r="DS3689" s="130">
        <f>SI!BY3689</f>
        <v>932</v>
      </c>
      <c r="DZ3689" s="131">
        <f>SI!BZ3689</f>
        <v>0</v>
      </c>
    </row>
    <row r="3690" spans="1:130" hidden="1" x14ac:dyDescent="0.25">
      <c r="A3690" s="141"/>
      <c r="B3690" s="406"/>
      <c r="C3690" s="406"/>
      <c r="D3690" s="406"/>
      <c r="E3690" s="406"/>
      <c r="F3690" s="406"/>
      <c r="G3690" s="406"/>
      <c r="H3690" s="406"/>
      <c r="I3690" s="406"/>
      <c r="J3690" s="406"/>
      <c r="K3690" s="406"/>
      <c r="L3690" s="406"/>
      <c r="M3690" s="406"/>
      <c r="N3690" s="406"/>
      <c r="O3690" s="406"/>
      <c r="P3690" s="406"/>
      <c r="Q3690" s="406"/>
      <c r="R3690" s="406"/>
      <c r="S3690" s="406"/>
      <c r="T3690" s="406"/>
      <c r="U3690" s="406"/>
      <c r="V3690" s="406"/>
      <c r="W3690" s="406"/>
      <c r="X3690" s="406"/>
      <c r="Y3690" s="406"/>
      <c r="Z3690" s="406"/>
      <c r="AA3690" s="406"/>
      <c r="AB3690" s="406"/>
      <c r="AC3690" s="406"/>
      <c r="AD3690" s="406"/>
      <c r="AE3690" s="406"/>
      <c r="AF3690" s="406"/>
      <c r="AG3690" s="406"/>
      <c r="AH3690" s="406"/>
      <c r="AI3690" s="406"/>
      <c r="AJ3690" s="406"/>
      <c r="AK3690" s="406"/>
      <c r="AL3690" s="406"/>
      <c r="AM3690" s="406"/>
      <c r="AN3690" s="406"/>
      <c r="AO3690" s="406"/>
      <c r="AP3690" s="406"/>
      <c r="AQ3690" s="406"/>
      <c r="AR3690" s="406"/>
      <c r="AS3690" s="406"/>
      <c r="AT3690" s="406"/>
      <c r="AU3690" s="406"/>
      <c r="AV3690" s="406"/>
      <c r="AW3690" s="406"/>
      <c r="AX3690" s="406"/>
      <c r="AY3690" s="406"/>
      <c r="AZ3690" s="406"/>
      <c r="BA3690" s="406"/>
      <c r="BB3690" s="406"/>
      <c r="BC3690" s="406"/>
      <c r="BD3690" s="406"/>
      <c r="BE3690" s="406"/>
      <c r="BF3690" s="406"/>
      <c r="BG3690" s="406"/>
      <c r="BH3690" s="406"/>
      <c r="BI3690" s="406"/>
      <c r="BJ3690" s="406"/>
      <c r="BK3690" s="406"/>
      <c r="BL3690" s="406"/>
      <c r="BM3690" s="406"/>
      <c r="BN3690" s="406"/>
      <c r="BO3690" s="406"/>
      <c r="BP3690" s="406"/>
      <c r="BQ3690" s="406"/>
      <c r="BR3690" s="406"/>
      <c r="BS3690" s="406"/>
      <c r="BT3690" s="406"/>
      <c r="BU3690" s="406"/>
      <c r="BV3690" s="406"/>
      <c r="BW3690" s="406"/>
      <c r="BX3690" s="406"/>
      <c r="BY3690" s="406"/>
      <c r="BZ3690" s="406"/>
      <c r="CA3690" s="308"/>
      <c r="CB3690" s="3" t="str">
        <f t="shared" si="650"/>
        <v>Riadok bude skrytý.</v>
      </c>
      <c r="CC3690" s="271" t="s">
        <v>832</v>
      </c>
      <c r="CW3690" s="30">
        <f t="shared" si="660"/>
        <v>0</v>
      </c>
      <c r="CZ3690" s="30">
        <f t="shared" si="655"/>
        <v>1</v>
      </c>
      <c r="DA3690" s="30">
        <f t="shared" si="651"/>
        <v>0</v>
      </c>
      <c r="DB3690" s="140">
        <f t="shared" si="659"/>
        <v>0</v>
      </c>
      <c r="DS3690" s="130">
        <f>SI!BY3690</f>
        <v>777</v>
      </c>
      <c r="DZ3690" s="131">
        <f>SI!BZ3690</f>
        <v>0</v>
      </c>
    </row>
    <row r="3691" spans="1:130" hidden="1" x14ac:dyDescent="0.25">
      <c r="A3691" s="141"/>
      <c r="B3691" s="406"/>
      <c r="C3691" s="406"/>
      <c r="D3691" s="406"/>
      <c r="E3691" s="406"/>
      <c r="F3691" s="406"/>
      <c r="G3691" s="406"/>
      <c r="H3691" s="406"/>
      <c r="I3691" s="406"/>
      <c r="J3691" s="406"/>
      <c r="K3691" s="406"/>
      <c r="L3691" s="406"/>
      <c r="M3691" s="406"/>
      <c r="N3691" s="406"/>
      <c r="O3691" s="406"/>
      <c r="P3691" s="406"/>
      <c r="Q3691" s="406"/>
      <c r="R3691" s="406"/>
      <c r="S3691" s="406"/>
      <c r="T3691" s="406"/>
      <c r="U3691" s="406"/>
      <c r="V3691" s="406"/>
      <c r="W3691" s="406"/>
      <c r="X3691" s="406"/>
      <c r="Y3691" s="406"/>
      <c r="Z3691" s="406"/>
      <c r="AA3691" s="406"/>
      <c r="AB3691" s="406"/>
      <c r="AC3691" s="406"/>
      <c r="AD3691" s="406"/>
      <c r="AE3691" s="406"/>
      <c r="AF3691" s="406"/>
      <c r="AG3691" s="406"/>
      <c r="AH3691" s="406"/>
      <c r="AI3691" s="406"/>
      <c r="AJ3691" s="406"/>
      <c r="AK3691" s="406"/>
      <c r="AL3691" s="406"/>
      <c r="AM3691" s="406"/>
      <c r="AN3691" s="406"/>
      <c r="AO3691" s="406"/>
      <c r="AP3691" s="406"/>
      <c r="AQ3691" s="406"/>
      <c r="AR3691" s="406"/>
      <c r="AS3691" s="406"/>
      <c r="AT3691" s="406"/>
      <c r="AU3691" s="406"/>
      <c r="AV3691" s="406"/>
      <c r="AW3691" s="406"/>
      <c r="AX3691" s="406"/>
      <c r="AY3691" s="406"/>
      <c r="AZ3691" s="406"/>
      <c r="BA3691" s="406"/>
      <c r="BB3691" s="406"/>
      <c r="BC3691" s="406"/>
      <c r="BD3691" s="406"/>
      <c r="BE3691" s="406"/>
      <c r="BF3691" s="406"/>
      <c r="BG3691" s="406"/>
      <c r="BH3691" s="406"/>
      <c r="BI3691" s="406"/>
      <c r="BJ3691" s="406"/>
      <c r="BK3691" s="406"/>
      <c r="BL3691" s="406"/>
      <c r="BM3691" s="406"/>
      <c r="BN3691" s="406"/>
      <c r="BO3691" s="406"/>
      <c r="BP3691" s="406"/>
      <c r="BQ3691" s="406"/>
      <c r="BR3691" s="406"/>
      <c r="BS3691" s="406"/>
      <c r="BT3691" s="406"/>
      <c r="BU3691" s="406"/>
      <c r="BV3691" s="406"/>
      <c r="BW3691" s="406"/>
      <c r="BX3691" s="406"/>
      <c r="BY3691" s="406"/>
      <c r="BZ3691" s="406"/>
      <c r="CA3691" s="308"/>
      <c r="CB3691" s="3" t="str">
        <f t="shared" si="650"/>
        <v>Riadok bude skrytý.</v>
      </c>
      <c r="CC3691" s="271" t="s">
        <v>832</v>
      </c>
      <c r="CW3691" s="30">
        <f t="shared" si="660"/>
        <v>0</v>
      </c>
      <c r="CZ3691" s="30">
        <f t="shared" si="655"/>
        <v>1</v>
      </c>
      <c r="DA3691" s="30">
        <f t="shared" si="651"/>
        <v>0</v>
      </c>
      <c r="DB3691" s="140">
        <f t="shared" si="659"/>
        <v>0</v>
      </c>
      <c r="DS3691" s="130">
        <f>SI!BY3691</f>
        <v>133</v>
      </c>
      <c r="DZ3691" s="131">
        <f>SI!BZ3691</f>
        <v>0</v>
      </c>
    </row>
    <row r="3692" spans="1:130" hidden="1" x14ac:dyDescent="0.25">
      <c r="A3692" s="141"/>
      <c r="B3692" s="406"/>
      <c r="C3692" s="406"/>
      <c r="D3692" s="406"/>
      <c r="E3692" s="406"/>
      <c r="F3692" s="406"/>
      <c r="G3692" s="406"/>
      <c r="H3692" s="406"/>
      <c r="I3692" s="406"/>
      <c r="J3692" s="406"/>
      <c r="K3692" s="406"/>
      <c r="L3692" s="406"/>
      <c r="M3692" s="406"/>
      <c r="N3692" s="406"/>
      <c r="O3692" s="406"/>
      <c r="P3692" s="406"/>
      <c r="Q3692" s="406"/>
      <c r="R3692" s="406"/>
      <c r="S3692" s="406"/>
      <c r="T3692" s="406"/>
      <c r="U3692" s="406"/>
      <c r="V3692" s="406"/>
      <c r="W3692" s="406"/>
      <c r="X3692" s="406"/>
      <c r="Y3692" s="406"/>
      <c r="Z3692" s="406"/>
      <c r="AA3692" s="406"/>
      <c r="AB3692" s="406"/>
      <c r="AC3692" s="406"/>
      <c r="AD3692" s="406"/>
      <c r="AE3692" s="406"/>
      <c r="AF3692" s="406"/>
      <c r="AG3692" s="406"/>
      <c r="AH3692" s="406"/>
      <c r="AI3692" s="406"/>
      <c r="AJ3692" s="406"/>
      <c r="AK3692" s="406"/>
      <c r="AL3692" s="406"/>
      <c r="AM3692" s="406"/>
      <c r="AN3692" s="406"/>
      <c r="AO3692" s="406"/>
      <c r="AP3692" s="406"/>
      <c r="AQ3692" s="406"/>
      <c r="AR3692" s="406"/>
      <c r="AS3692" s="406"/>
      <c r="AT3692" s="406"/>
      <c r="AU3692" s="406"/>
      <c r="AV3692" s="406"/>
      <c r="AW3692" s="406"/>
      <c r="AX3692" s="406"/>
      <c r="AY3692" s="406"/>
      <c r="AZ3692" s="406"/>
      <c r="BA3692" s="406"/>
      <c r="BB3692" s="406"/>
      <c r="BC3692" s="406"/>
      <c r="BD3692" s="406"/>
      <c r="BE3692" s="406"/>
      <c r="BF3692" s="406"/>
      <c r="BG3692" s="406"/>
      <c r="BH3692" s="406"/>
      <c r="BI3692" s="406"/>
      <c r="BJ3692" s="406"/>
      <c r="BK3692" s="406"/>
      <c r="BL3692" s="406"/>
      <c r="BM3692" s="406"/>
      <c r="BN3692" s="406"/>
      <c r="BO3692" s="406"/>
      <c r="BP3692" s="406"/>
      <c r="BQ3692" s="406"/>
      <c r="BR3692" s="406"/>
      <c r="BS3692" s="406"/>
      <c r="BT3692" s="406"/>
      <c r="BU3692" s="406"/>
      <c r="BV3692" s="406"/>
      <c r="BW3692" s="406"/>
      <c r="BX3692" s="406"/>
      <c r="BY3692" s="406"/>
      <c r="BZ3692" s="406"/>
      <c r="CA3692" s="308"/>
      <c r="CB3692" s="3" t="str">
        <f t="shared" si="650"/>
        <v>Riadok bude skrytý.</v>
      </c>
      <c r="CC3692" s="271" t="s">
        <v>832</v>
      </c>
      <c r="CW3692" s="30">
        <f t="shared" si="660"/>
        <v>0</v>
      </c>
      <c r="CZ3692" s="30">
        <f t="shared" si="655"/>
        <v>1</v>
      </c>
      <c r="DA3692" s="30">
        <f t="shared" si="651"/>
        <v>0</v>
      </c>
      <c r="DB3692" s="140">
        <f t="shared" si="659"/>
        <v>0</v>
      </c>
      <c r="DS3692" s="130">
        <f>SI!BY3692</f>
        <v>218</v>
      </c>
      <c r="DZ3692" s="131">
        <f>SI!BZ3692</f>
        <v>0</v>
      </c>
    </row>
    <row r="3693" spans="1:130" hidden="1" x14ac:dyDescent="0.25">
      <c r="A3693" s="141"/>
      <c r="B3693" s="406"/>
      <c r="C3693" s="406"/>
      <c r="D3693" s="406"/>
      <c r="E3693" s="406"/>
      <c r="F3693" s="406"/>
      <c r="G3693" s="406"/>
      <c r="H3693" s="406"/>
      <c r="I3693" s="406"/>
      <c r="J3693" s="406"/>
      <c r="K3693" s="406"/>
      <c r="L3693" s="406"/>
      <c r="M3693" s="406"/>
      <c r="N3693" s="406"/>
      <c r="O3693" s="406"/>
      <c r="P3693" s="406"/>
      <c r="Q3693" s="406"/>
      <c r="R3693" s="406"/>
      <c r="S3693" s="406"/>
      <c r="T3693" s="406"/>
      <c r="U3693" s="406"/>
      <c r="V3693" s="406"/>
      <c r="W3693" s="406"/>
      <c r="X3693" s="406"/>
      <c r="Y3693" s="406"/>
      <c r="Z3693" s="406"/>
      <c r="AA3693" s="406"/>
      <c r="AB3693" s="406"/>
      <c r="AC3693" s="406"/>
      <c r="AD3693" s="406"/>
      <c r="AE3693" s="406"/>
      <c r="AF3693" s="406"/>
      <c r="AG3693" s="406"/>
      <c r="AH3693" s="406"/>
      <c r="AI3693" s="406"/>
      <c r="AJ3693" s="406"/>
      <c r="AK3693" s="406"/>
      <c r="AL3693" s="406"/>
      <c r="AM3693" s="406"/>
      <c r="AN3693" s="406"/>
      <c r="AO3693" s="406"/>
      <c r="AP3693" s="406"/>
      <c r="AQ3693" s="406"/>
      <c r="AR3693" s="406"/>
      <c r="AS3693" s="406"/>
      <c r="AT3693" s="406"/>
      <c r="AU3693" s="406"/>
      <c r="AV3693" s="406"/>
      <c r="AW3693" s="406"/>
      <c r="AX3693" s="406"/>
      <c r="AY3693" s="406"/>
      <c r="AZ3693" s="406"/>
      <c r="BA3693" s="406"/>
      <c r="BB3693" s="406"/>
      <c r="BC3693" s="406"/>
      <c r="BD3693" s="406"/>
      <c r="BE3693" s="406"/>
      <c r="BF3693" s="406"/>
      <c r="BG3693" s="406"/>
      <c r="BH3693" s="406"/>
      <c r="BI3693" s="406"/>
      <c r="BJ3693" s="406"/>
      <c r="BK3693" s="406"/>
      <c r="BL3693" s="406"/>
      <c r="BM3693" s="406"/>
      <c r="BN3693" s="406"/>
      <c r="BO3693" s="406"/>
      <c r="BP3693" s="406"/>
      <c r="BQ3693" s="406"/>
      <c r="BR3693" s="406"/>
      <c r="BS3693" s="406"/>
      <c r="BT3693" s="406"/>
      <c r="BU3693" s="406"/>
      <c r="BV3693" s="406"/>
      <c r="BW3693" s="406"/>
      <c r="BX3693" s="406"/>
      <c r="BY3693" s="406"/>
      <c r="BZ3693" s="406"/>
      <c r="CA3693" s="308"/>
      <c r="CB3693" s="3" t="str">
        <f t="shared" si="650"/>
        <v>Riadok bude skrytý.</v>
      </c>
      <c r="CC3693" s="271" t="s">
        <v>832</v>
      </c>
      <c r="CW3693" s="30">
        <f t="shared" si="660"/>
        <v>0</v>
      </c>
      <c r="CZ3693" s="30">
        <f t="shared" si="655"/>
        <v>1</v>
      </c>
      <c r="DA3693" s="30">
        <f t="shared" si="651"/>
        <v>0</v>
      </c>
      <c r="DB3693" s="140">
        <f t="shared" si="659"/>
        <v>0</v>
      </c>
      <c r="DS3693" s="130">
        <f>SI!BY3693</f>
        <v>138</v>
      </c>
      <c r="DZ3693" s="131">
        <f>SI!BZ3693</f>
        <v>0</v>
      </c>
    </row>
    <row r="3694" spans="1:130" hidden="1" x14ac:dyDescent="0.25">
      <c r="A3694" s="141"/>
      <c r="B3694" s="406"/>
      <c r="C3694" s="406"/>
      <c r="D3694" s="406"/>
      <c r="E3694" s="406"/>
      <c r="F3694" s="406"/>
      <c r="G3694" s="406"/>
      <c r="H3694" s="406"/>
      <c r="I3694" s="406"/>
      <c r="J3694" s="406"/>
      <c r="K3694" s="406"/>
      <c r="L3694" s="406"/>
      <c r="M3694" s="406"/>
      <c r="N3694" s="406"/>
      <c r="O3694" s="406"/>
      <c r="P3694" s="406"/>
      <c r="Q3694" s="406"/>
      <c r="R3694" s="406"/>
      <c r="S3694" s="406"/>
      <c r="T3694" s="406"/>
      <c r="U3694" s="406"/>
      <c r="V3694" s="406"/>
      <c r="W3694" s="406"/>
      <c r="X3694" s="406"/>
      <c r="Y3694" s="406"/>
      <c r="Z3694" s="406"/>
      <c r="AA3694" s="406"/>
      <c r="AB3694" s="406"/>
      <c r="AC3694" s="406"/>
      <c r="AD3694" s="406"/>
      <c r="AE3694" s="406"/>
      <c r="AF3694" s="406"/>
      <c r="AG3694" s="406"/>
      <c r="AH3694" s="406"/>
      <c r="AI3694" s="406"/>
      <c r="AJ3694" s="406"/>
      <c r="AK3694" s="406"/>
      <c r="AL3694" s="406"/>
      <c r="AM3694" s="406"/>
      <c r="AN3694" s="406"/>
      <c r="AO3694" s="406"/>
      <c r="AP3694" s="406"/>
      <c r="AQ3694" s="406"/>
      <c r="AR3694" s="406"/>
      <c r="AS3694" s="406"/>
      <c r="AT3694" s="406"/>
      <c r="AU3694" s="406"/>
      <c r="AV3694" s="406"/>
      <c r="AW3694" s="406"/>
      <c r="AX3694" s="406"/>
      <c r="AY3694" s="406"/>
      <c r="AZ3694" s="406"/>
      <c r="BA3694" s="406"/>
      <c r="BB3694" s="406"/>
      <c r="BC3694" s="406"/>
      <c r="BD3694" s="406"/>
      <c r="BE3694" s="406"/>
      <c r="BF3694" s="406"/>
      <c r="BG3694" s="406"/>
      <c r="BH3694" s="406"/>
      <c r="BI3694" s="406"/>
      <c r="BJ3694" s="406"/>
      <c r="BK3694" s="406"/>
      <c r="BL3694" s="406"/>
      <c r="BM3694" s="406"/>
      <c r="BN3694" s="406"/>
      <c r="BO3694" s="406"/>
      <c r="BP3694" s="406"/>
      <c r="BQ3694" s="406"/>
      <c r="BR3694" s="406"/>
      <c r="BS3694" s="406"/>
      <c r="BT3694" s="406"/>
      <c r="BU3694" s="406"/>
      <c r="BV3694" s="406"/>
      <c r="BW3694" s="406"/>
      <c r="BX3694" s="406"/>
      <c r="BY3694" s="406"/>
      <c r="BZ3694" s="406"/>
      <c r="CA3694" s="308"/>
      <c r="CB3694" s="3" t="str">
        <f t="shared" si="650"/>
        <v>Riadok bude skrytý.</v>
      </c>
      <c r="CC3694" s="271" t="s">
        <v>832</v>
      </c>
      <c r="CW3694" s="30">
        <f t="shared" si="660"/>
        <v>0</v>
      </c>
      <c r="CZ3694" s="30">
        <f t="shared" si="655"/>
        <v>1</v>
      </c>
      <c r="DA3694" s="30">
        <f t="shared" si="651"/>
        <v>0</v>
      </c>
      <c r="DB3694" s="140">
        <f t="shared" si="659"/>
        <v>0</v>
      </c>
      <c r="DS3694" s="130">
        <f>SI!BY3694</f>
        <v>1029</v>
      </c>
      <c r="DZ3694" s="131">
        <f>SI!BZ3694</f>
        <v>0</v>
      </c>
    </row>
    <row r="3695" spans="1:130" hidden="1" x14ac:dyDescent="0.25">
      <c r="A3695" s="141"/>
      <c r="B3695" s="406"/>
      <c r="C3695" s="406"/>
      <c r="D3695" s="406"/>
      <c r="E3695" s="406"/>
      <c r="F3695" s="406"/>
      <c r="G3695" s="406"/>
      <c r="H3695" s="406"/>
      <c r="I3695" s="406"/>
      <c r="J3695" s="406"/>
      <c r="K3695" s="406"/>
      <c r="L3695" s="406"/>
      <c r="M3695" s="406"/>
      <c r="N3695" s="406"/>
      <c r="O3695" s="406"/>
      <c r="P3695" s="406"/>
      <c r="Q3695" s="406"/>
      <c r="R3695" s="406"/>
      <c r="S3695" s="406"/>
      <c r="T3695" s="406"/>
      <c r="U3695" s="406"/>
      <c r="V3695" s="406"/>
      <c r="W3695" s="406"/>
      <c r="X3695" s="406"/>
      <c r="Y3695" s="406"/>
      <c r="Z3695" s="406"/>
      <c r="AA3695" s="406"/>
      <c r="AB3695" s="406"/>
      <c r="AC3695" s="406"/>
      <c r="AD3695" s="406"/>
      <c r="AE3695" s="406"/>
      <c r="AF3695" s="406"/>
      <c r="AG3695" s="406"/>
      <c r="AH3695" s="406"/>
      <c r="AI3695" s="406"/>
      <c r="AJ3695" s="406"/>
      <c r="AK3695" s="406"/>
      <c r="AL3695" s="406"/>
      <c r="AM3695" s="406"/>
      <c r="AN3695" s="406"/>
      <c r="AO3695" s="406"/>
      <c r="AP3695" s="406"/>
      <c r="AQ3695" s="406"/>
      <c r="AR3695" s="406"/>
      <c r="AS3695" s="406"/>
      <c r="AT3695" s="406"/>
      <c r="AU3695" s="406"/>
      <c r="AV3695" s="406"/>
      <c r="AW3695" s="406"/>
      <c r="AX3695" s="406"/>
      <c r="AY3695" s="406"/>
      <c r="AZ3695" s="406"/>
      <c r="BA3695" s="406"/>
      <c r="BB3695" s="406"/>
      <c r="BC3695" s="406"/>
      <c r="BD3695" s="406"/>
      <c r="BE3695" s="406"/>
      <c r="BF3695" s="406"/>
      <c r="BG3695" s="406"/>
      <c r="BH3695" s="406"/>
      <c r="BI3695" s="406"/>
      <c r="BJ3695" s="406"/>
      <c r="BK3695" s="406"/>
      <c r="BL3695" s="406"/>
      <c r="BM3695" s="406"/>
      <c r="BN3695" s="406"/>
      <c r="BO3695" s="406"/>
      <c r="BP3695" s="406"/>
      <c r="BQ3695" s="406"/>
      <c r="BR3695" s="406"/>
      <c r="BS3695" s="406"/>
      <c r="BT3695" s="406"/>
      <c r="BU3695" s="406"/>
      <c r="BV3695" s="406"/>
      <c r="BW3695" s="406"/>
      <c r="BX3695" s="406"/>
      <c r="BY3695" s="406"/>
      <c r="BZ3695" s="406"/>
      <c r="CA3695" s="308"/>
      <c r="CB3695" s="3" t="str">
        <f t="shared" si="650"/>
        <v>Riadok bude skrytý.</v>
      </c>
      <c r="CC3695" s="271" t="s">
        <v>832</v>
      </c>
      <c r="CW3695" s="30">
        <f t="shared" si="660"/>
        <v>0</v>
      </c>
      <c r="CZ3695" s="30">
        <f t="shared" si="655"/>
        <v>1</v>
      </c>
      <c r="DA3695" s="30">
        <f t="shared" si="651"/>
        <v>0</v>
      </c>
      <c r="DB3695" s="140">
        <f t="shared" si="659"/>
        <v>0</v>
      </c>
      <c r="DS3695" s="130">
        <f>SI!BY3695</f>
        <v>135</v>
      </c>
      <c r="DZ3695" s="131">
        <f>SI!BZ3695</f>
        <v>0</v>
      </c>
    </row>
    <row r="3696" spans="1:130" hidden="1" x14ac:dyDescent="0.25">
      <c r="A3696" s="141"/>
      <c r="B3696" s="137" t="str">
        <f>+IF($M$52&lt;&gt;"",IF(SQRT(INT(FACT(DAY(24324))*FACT(DAY(24385))/576))=DS3696,"Všetkych druhoch činností Spoločnosti a všetkých formách prijatej náhrady:","NEPOVOLENÉ POUŽITIE!"),"NEPOVOLENÉ POUŽITIE!")</f>
        <v>Všetkych druhoch činností Spoločnosti a všetkých formách prijatej náhrady:</v>
      </c>
      <c r="CA3696" s="265" t="s">
        <v>773</v>
      </c>
      <c r="CB3696" s="3" t="str">
        <f t="shared" si="650"/>
        <v>Riadok bude skrytý.</v>
      </c>
      <c r="CC3696" s="271" t="s">
        <v>832</v>
      </c>
      <c r="CW3696" s="30">
        <f>+IF(B3697="",0,1)</f>
        <v>0</v>
      </c>
      <c r="CZ3696" s="30">
        <f t="shared" si="655"/>
        <v>1</v>
      </c>
      <c r="DA3696" s="30">
        <f t="shared" si="651"/>
        <v>0</v>
      </c>
      <c r="DB3696" s="140">
        <f t="shared" si="659"/>
        <v>0</v>
      </c>
      <c r="DS3696" s="130">
        <f>SI!BY3696</f>
        <v>5</v>
      </c>
      <c r="DZ3696" s="131">
        <f>SI!BZ3696</f>
        <v>0</v>
      </c>
    </row>
    <row r="3697" spans="1:130" hidden="1" x14ac:dyDescent="0.25">
      <c r="A3697" s="141"/>
      <c r="B3697" s="406"/>
      <c r="C3697" s="406"/>
      <c r="D3697" s="406"/>
      <c r="E3697" s="406"/>
      <c r="F3697" s="406"/>
      <c r="G3697" s="406"/>
      <c r="H3697" s="406"/>
      <c r="I3697" s="406"/>
      <c r="J3697" s="406"/>
      <c r="K3697" s="406"/>
      <c r="L3697" s="406"/>
      <c r="M3697" s="406"/>
      <c r="N3697" s="406"/>
      <c r="O3697" s="406"/>
      <c r="P3697" s="406"/>
      <c r="Q3697" s="406"/>
      <c r="R3697" s="406"/>
      <c r="S3697" s="406"/>
      <c r="T3697" s="406"/>
      <c r="U3697" s="406"/>
      <c r="V3697" s="406"/>
      <c r="W3697" s="406"/>
      <c r="X3697" s="406"/>
      <c r="Y3697" s="406"/>
      <c r="Z3697" s="406"/>
      <c r="AA3697" s="406"/>
      <c r="AB3697" s="406"/>
      <c r="AC3697" s="406"/>
      <c r="AD3697" s="406"/>
      <c r="AE3697" s="406"/>
      <c r="AF3697" s="406"/>
      <c r="AG3697" s="406"/>
      <c r="AH3697" s="406"/>
      <c r="AI3697" s="406"/>
      <c r="AJ3697" s="406"/>
      <c r="AK3697" s="406"/>
      <c r="AL3697" s="406"/>
      <c r="AM3697" s="406"/>
      <c r="AN3697" s="406"/>
      <c r="AO3697" s="406"/>
      <c r="AP3697" s="406"/>
      <c r="AQ3697" s="406"/>
      <c r="AR3697" s="406"/>
      <c r="AS3697" s="406"/>
      <c r="AT3697" s="406"/>
      <c r="AU3697" s="406"/>
      <c r="AV3697" s="406"/>
      <c r="AW3697" s="406"/>
      <c r="AX3697" s="406"/>
      <c r="AY3697" s="406"/>
      <c r="AZ3697" s="406"/>
      <c r="BA3697" s="406"/>
      <c r="BB3697" s="406"/>
      <c r="BC3697" s="406"/>
      <c r="BD3697" s="406"/>
      <c r="BE3697" s="406"/>
      <c r="BF3697" s="406"/>
      <c r="BG3697" s="406"/>
      <c r="BH3697" s="406"/>
      <c r="BI3697" s="406"/>
      <c r="BJ3697" s="406"/>
      <c r="BK3697" s="406"/>
      <c r="BL3697" s="406"/>
      <c r="BM3697" s="406"/>
      <c r="BN3697" s="406"/>
      <c r="BO3697" s="406"/>
      <c r="BP3697" s="406"/>
      <c r="BQ3697" s="406"/>
      <c r="BR3697" s="406"/>
      <c r="BS3697" s="406"/>
      <c r="BT3697" s="406"/>
      <c r="BU3697" s="406"/>
      <c r="BV3697" s="406"/>
      <c r="BW3697" s="406"/>
      <c r="BX3697" s="406"/>
      <c r="BY3697" s="406"/>
      <c r="BZ3697" s="406"/>
      <c r="CA3697" s="308"/>
      <c r="CB3697" s="3" t="str">
        <f t="shared" si="650"/>
        <v>Riadok bude skrytý.</v>
      </c>
      <c r="CC3697" s="271" t="s">
        <v>832</v>
      </c>
      <c r="CW3697" s="30">
        <f t="shared" ref="CW3697:CW3703" si="661">+IF(B3697="",0,1)</f>
        <v>0</v>
      </c>
      <c r="CZ3697" s="30">
        <f t="shared" si="655"/>
        <v>1</v>
      </c>
      <c r="DA3697" s="30">
        <f t="shared" si="651"/>
        <v>0</v>
      </c>
      <c r="DB3697" s="140">
        <f t="shared" si="659"/>
        <v>0</v>
      </c>
      <c r="DS3697" s="130">
        <f>SI!BY3697</f>
        <v>157</v>
      </c>
      <c r="DZ3697" s="131">
        <f>SI!BZ3697</f>
        <v>0</v>
      </c>
    </row>
    <row r="3698" spans="1:130" hidden="1" x14ac:dyDescent="0.25">
      <c r="A3698" s="141"/>
      <c r="B3698" s="406"/>
      <c r="C3698" s="406"/>
      <c r="D3698" s="406"/>
      <c r="E3698" s="406"/>
      <c r="F3698" s="406"/>
      <c r="G3698" s="406"/>
      <c r="H3698" s="406"/>
      <c r="I3698" s="406"/>
      <c r="J3698" s="406"/>
      <c r="K3698" s="406"/>
      <c r="L3698" s="406"/>
      <c r="M3698" s="406"/>
      <c r="N3698" s="406"/>
      <c r="O3698" s="406"/>
      <c r="P3698" s="406"/>
      <c r="Q3698" s="406"/>
      <c r="R3698" s="406"/>
      <c r="S3698" s="406"/>
      <c r="T3698" s="406"/>
      <c r="U3698" s="406"/>
      <c r="V3698" s="406"/>
      <c r="W3698" s="406"/>
      <c r="X3698" s="406"/>
      <c r="Y3698" s="406"/>
      <c r="Z3698" s="406"/>
      <c r="AA3698" s="406"/>
      <c r="AB3698" s="406"/>
      <c r="AC3698" s="406"/>
      <c r="AD3698" s="406"/>
      <c r="AE3698" s="406"/>
      <c r="AF3698" s="406"/>
      <c r="AG3698" s="406"/>
      <c r="AH3698" s="406"/>
      <c r="AI3698" s="406"/>
      <c r="AJ3698" s="406"/>
      <c r="AK3698" s="406"/>
      <c r="AL3698" s="406"/>
      <c r="AM3698" s="406"/>
      <c r="AN3698" s="406"/>
      <c r="AO3698" s="406"/>
      <c r="AP3698" s="406"/>
      <c r="AQ3698" s="406"/>
      <c r="AR3698" s="406"/>
      <c r="AS3698" s="406"/>
      <c r="AT3698" s="406"/>
      <c r="AU3698" s="406"/>
      <c r="AV3698" s="406"/>
      <c r="AW3698" s="406"/>
      <c r="AX3698" s="406"/>
      <c r="AY3698" s="406"/>
      <c r="AZ3698" s="406"/>
      <c r="BA3698" s="406"/>
      <c r="BB3698" s="406"/>
      <c r="BC3698" s="406"/>
      <c r="BD3698" s="406"/>
      <c r="BE3698" s="406"/>
      <c r="BF3698" s="406"/>
      <c r="BG3698" s="406"/>
      <c r="BH3698" s="406"/>
      <c r="BI3698" s="406"/>
      <c r="BJ3698" s="406"/>
      <c r="BK3698" s="406"/>
      <c r="BL3698" s="406"/>
      <c r="BM3698" s="406"/>
      <c r="BN3698" s="406"/>
      <c r="BO3698" s="406"/>
      <c r="BP3698" s="406"/>
      <c r="BQ3698" s="406"/>
      <c r="BR3698" s="406"/>
      <c r="BS3698" s="406"/>
      <c r="BT3698" s="406"/>
      <c r="BU3698" s="406"/>
      <c r="BV3698" s="406"/>
      <c r="BW3698" s="406"/>
      <c r="BX3698" s="406"/>
      <c r="BY3698" s="406"/>
      <c r="BZ3698" s="406"/>
      <c r="CA3698" s="308"/>
      <c r="CB3698" s="3" t="str">
        <f t="shared" si="650"/>
        <v>Riadok bude skrytý.</v>
      </c>
      <c r="CC3698" s="271" t="s">
        <v>832</v>
      </c>
      <c r="CW3698" s="30">
        <f t="shared" si="661"/>
        <v>0</v>
      </c>
      <c r="CZ3698" s="30">
        <f t="shared" si="655"/>
        <v>1</v>
      </c>
      <c r="DA3698" s="30">
        <f t="shared" si="651"/>
        <v>0</v>
      </c>
      <c r="DB3698" s="140">
        <f t="shared" si="659"/>
        <v>0</v>
      </c>
      <c r="DS3698" s="130">
        <f>SI!BY3698</f>
        <v>162</v>
      </c>
      <c r="DZ3698" s="131">
        <f>SI!BZ3698</f>
        <v>0</v>
      </c>
    </row>
    <row r="3699" spans="1:130" hidden="1" x14ac:dyDescent="0.25">
      <c r="A3699" s="141"/>
      <c r="B3699" s="406"/>
      <c r="C3699" s="406"/>
      <c r="D3699" s="406"/>
      <c r="E3699" s="406"/>
      <c r="F3699" s="406"/>
      <c r="G3699" s="406"/>
      <c r="H3699" s="406"/>
      <c r="I3699" s="406"/>
      <c r="J3699" s="406"/>
      <c r="K3699" s="406"/>
      <c r="L3699" s="406"/>
      <c r="M3699" s="406"/>
      <c r="N3699" s="406"/>
      <c r="O3699" s="406"/>
      <c r="P3699" s="406"/>
      <c r="Q3699" s="406"/>
      <c r="R3699" s="406"/>
      <c r="S3699" s="406"/>
      <c r="T3699" s="406"/>
      <c r="U3699" s="406"/>
      <c r="V3699" s="406"/>
      <c r="W3699" s="406"/>
      <c r="X3699" s="406"/>
      <c r="Y3699" s="406"/>
      <c r="Z3699" s="406"/>
      <c r="AA3699" s="406"/>
      <c r="AB3699" s="406"/>
      <c r="AC3699" s="406"/>
      <c r="AD3699" s="406"/>
      <c r="AE3699" s="406"/>
      <c r="AF3699" s="406"/>
      <c r="AG3699" s="406"/>
      <c r="AH3699" s="406"/>
      <c r="AI3699" s="406"/>
      <c r="AJ3699" s="406"/>
      <c r="AK3699" s="406"/>
      <c r="AL3699" s="406"/>
      <c r="AM3699" s="406"/>
      <c r="AN3699" s="406"/>
      <c r="AO3699" s="406"/>
      <c r="AP3699" s="406"/>
      <c r="AQ3699" s="406"/>
      <c r="AR3699" s="406"/>
      <c r="AS3699" s="406"/>
      <c r="AT3699" s="406"/>
      <c r="AU3699" s="406"/>
      <c r="AV3699" s="406"/>
      <c r="AW3699" s="406"/>
      <c r="AX3699" s="406"/>
      <c r="AY3699" s="406"/>
      <c r="AZ3699" s="406"/>
      <c r="BA3699" s="406"/>
      <c r="BB3699" s="406"/>
      <c r="BC3699" s="406"/>
      <c r="BD3699" s="406"/>
      <c r="BE3699" s="406"/>
      <c r="BF3699" s="406"/>
      <c r="BG3699" s="406"/>
      <c r="BH3699" s="406"/>
      <c r="BI3699" s="406"/>
      <c r="BJ3699" s="406"/>
      <c r="BK3699" s="406"/>
      <c r="BL3699" s="406"/>
      <c r="BM3699" s="406"/>
      <c r="BN3699" s="406"/>
      <c r="BO3699" s="406"/>
      <c r="BP3699" s="406"/>
      <c r="BQ3699" s="406"/>
      <c r="BR3699" s="406"/>
      <c r="BS3699" s="406"/>
      <c r="BT3699" s="406"/>
      <c r="BU3699" s="406"/>
      <c r="BV3699" s="406"/>
      <c r="BW3699" s="406"/>
      <c r="BX3699" s="406"/>
      <c r="BY3699" s="406"/>
      <c r="BZ3699" s="406"/>
      <c r="CA3699" s="308"/>
      <c r="CB3699" s="3" t="str">
        <f t="shared" ref="CB3699:CB3741" si="662">+IF(DB3699=0,"Riadok bude skrytý.","Riadok bude vidieť.")</f>
        <v>Riadok bude skrytý.</v>
      </c>
      <c r="CC3699" s="271" t="s">
        <v>832</v>
      </c>
      <c r="CW3699" s="30">
        <f t="shared" si="661"/>
        <v>0</v>
      </c>
      <c r="CZ3699" s="30">
        <f t="shared" si="655"/>
        <v>1</v>
      </c>
      <c r="DA3699" s="30">
        <f t="shared" si="651"/>
        <v>0</v>
      </c>
      <c r="DB3699" s="140">
        <f t="shared" si="659"/>
        <v>0</v>
      </c>
      <c r="DS3699" s="130">
        <f>SI!BY3699</f>
        <v>112</v>
      </c>
      <c r="DZ3699" s="131">
        <f>SI!BZ3699</f>
        <v>0</v>
      </c>
    </row>
    <row r="3700" spans="1:130" hidden="1" x14ac:dyDescent="0.25">
      <c r="A3700" s="141"/>
      <c r="B3700" s="406"/>
      <c r="C3700" s="406"/>
      <c r="D3700" s="406"/>
      <c r="E3700" s="406"/>
      <c r="F3700" s="406"/>
      <c r="G3700" s="406"/>
      <c r="H3700" s="406"/>
      <c r="I3700" s="406"/>
      <c r="J3700" s="406"/>
      <c r="K3700" s="406"/>
      <c r="L3700" s="406"/>
      <c r="M3700" s="406"/>
      <c r="N3700" s="406"/>
      <c r="O3700" s="406"/>
      <c r="P3700" s="406"/>
      <c r="Q3700" s="406"/>
      <c r="R3700" s="406"/>
      <c r="S3700" s="406"/>
      <c r="T3700" s="406"/>
      <c r="U3700" s="406"/>
      <c r="V3700" s="406"/>
      <c r="W3700" s="406"/>
      <c r="X3700" s="406"/>
      <c r="Y3700" s="406"/>
      <c r="Z3700" s="406"/>
      <c r="AA3700" s="406"/>
      <c r="AB3700" s="406"/>
      <c r="AC3700" s="406"/>
      <c r="AD3700" s="406"/>
      <c r="AE3700" s="406"/>
      <c r="AF3700" s="406"/>
      <c r="AG3700" s="406"/>
      <c r="AH3700" s="406"/>
      <c r="AI3700" s="406"/>
      <c r="AJ3700" s="406"/>
      <c r="AK3700" s="406"/>
      <c r="AL3700" s="406"/>
      <c r="AM3700" s="406"/>
      <c r="AN3700" s="406"/>
      <c r="AO3700" s="406"/>
      <c r="AP3700" s="406"/>
      <c r="AQ3700" s="406"/>
      <c r="AR3700" s="406"/>
      <c r="AS3700" s="406"/>
      <c r="AT3700" s="406"/>
      <c r="AU3700" s="406"/>
      <c r="AV3700" s="406"/>
      <c r="AW3700" s="406"/>
      <c r="AX3700" s="406"/>
      <c r="AY3700" s="406"/>
      <c r="AZ3700" s="406"/>
      <c r="BA3700" s="406"/>
      <c r="BB3700" s="406"/>
      <c r="BC3700" s="406"/>
      <c r="BD3700" s="406"/>
      <c r="BE3700" s="406"/>
      <c r="BF3700" s="406"/>
      <c r="BG3700" s="406"/>
      <c r="BH3700" s="406"/>
      <c r="BI3700" s="406"/>
      <c r="BJ3700" s="406"/>
      <c r="BK3700" s="406"/>
      <c r="BL3700" s="406"/>
      <c r="BM3700" s="406"/>
      <c r="BN3700" s="406"/>
      <c r="BO3700" s="406"/>
      <c r="BP3700" s="406"/>
      <c r="BQ3700" s="406"/>
      <c r="BR3700" s="406"/>
      <c r="BS3700" s="406"/>
      <c r="BT3700" s="406"/>
      <c r="BU3700" s="406"/>
      <c r="BV3700" s="406"/>
      <c r="BW3700" s="406"/>
      <c r="BX3700" s="406"/>
      <c r="BY3700" s="406"/>
      <c r="BZ3700" s="406"/>
      <c r="CA3700" s="308"/>
      <c r="CB3700" s="3" t="str">
        <f t="shared" si="662"/>
        <v>Riadok bude skrytý.</v>
      </c>
      <c r="CC3700" s="271" t="s">
        <v>832</v>
      </c>
      <c r="CW3700" s="30">
        <f t="shared" si="661"/>
        <v>0</v>
      </c>
      <c r="CZ3700" s="30">
        <f t="shared" si="655"/>
        <v>1</v>
      </c>
      <c r="DA3700" s="30">
        <f t="shared" si="651"/>
        <v>0</v>
      </c>
      <c r="DB3700" s="140">
        <f t="shared" si="659"/>
        <v>0</v>
      </c>
      <c r="DS3700" s="130">
        <f>SI!BY3700</f>
        <v>162</v>
      </c>
      <c r="DZ3700" s="131">
        <f>SI!BZ3700</f>
        <v>0</v>
      </c>
    </row>
    <row r="3701" spans="1:130" hidden="1" x14ac:dyDescent="0.25">
      <c r="A3701" s="141"/>
      <c r="B3701" s="406"/>
      <c r="C3701" s="406"/>
      <c r="D3701" s="406"/>
      <c r="E3701" s="406"/>
      <c r="F3701" s="406"/>
      <c r="G3701" s="406"/>
      <c r="H3701" s="406"/>
      <c r="I3701" s="406"/>
      <c r="J3701" s="406"/>
      <c r="K3701" s="406"/>
      <c r="L3701" s="406"/>
      <c r="M3701" s="406"/>
      <c r="N3701" s="406"/>
      <c r="O3701" s="406"/>
      <c r="P3701" s="406"/>
      <c r="Q3701" s="406"/>
      <c r="R3701" s="406"/>
      <c r="S3701" s="406"/>
      <c r="T3701" s="406"/>
      <c r="U3701" s="406"/>
      <c r="V3701" s="406"/>
      <c r="W3701" s="406"/>
      <c r="X3701" s="406"/>
      <c r="Y3701" s="406"/>
      <c r="Z3701" s="406"/>
      <c r="AA3701" s="406"/>
      <c r="AB3701" s="406"/>
      <c r="AC3701" s="406"/>
      <c r="AD3701" s="406"/>
      <c r="AE3701" s="406"/>
      <c r="AF3701" s="406"/>
      <c r="AG3701" s="406"/>
      <c r="AH3701" s="406"/>
      <c r="AI3701" s="406"/>
      <c r="AJ3701" s="406"/>
      <c r="AK3701" s="406"/>
      <c r="AL3701" s="406"/>
      <c r="AM3701" s="406"/>
      <c r="AN3701" s="406"/>
      <c r="AO3701" s="406"/>
      <c r="AP3701" s="406"/>
      <c r="AQ3701" s="406"/>
      <c r="AR3701" s="406"/>
      <c r="AS3701" s="406"/>
      <c r="AT3701" s="406"/>
      <c r="AU3701" s="406"/>
      <c r="AV3701" s="406"/>
      <c r="AW3701" s="406"/>
      <c r="AX3701" s="406"/>
      <c r="AY3701" s="406"/>
      <c r="AZ3701" s="406"/>
      <c r="BA3701" s="406"/>
      <c r="BB3701" s="406"/>
      <c r="BC3701" s="406"/>
      <c r="BD3701" s="406"/>
      <c r="BE3701" s="406"/>
      <c r="BF3701" s="406"/>
      <c r="BG3701" s="406"/>
      <c r="BH3701" s="406"/>
      <c r="BI3701" s="406"/>
      <c r="BJ3701" s="406"/>
      <c r="BK3701" s="406"/>
      <c r="BL3701" s="406"/>
      <c r="BM3701" s="406"/>
      <c r="BN3701" s="406"/>
      <c r="BO3701" s="406"/>
      <c r="BP3701" s="406"/>
      <c r="BQ3701" s="406"/>
      <c r="BR3701" s="406"/>
      <c r="BS3701" s="406"/>
      <c r="BT3701" s="406"/>
      <c r="BU3701" s="406"/>
      <c r="BV3701" s="406"/>
      <c r="BW3701" s="406"/>
      <c r="BX3701" s="406"/>
      <c r="BY3701" s="406"/>
      <c r="BZ3701" s="406"/>
      <c r="CA3701" s="308"/>
      <c r="CB3701" s="3" t="str">
        <f t="shared" si="662"/>
        <v>Riadok bude skrytý.</v>
      </c>
      <c r="CC3701" s="271" t="s">
        <v>832</v>
      </c>
      <c r="CW3701" s="30">
        <f t="shared" si="661"/>
        <v>0</v>
      </c>
      <c r="CZ3701" s="30">
        <f t="shared" si="655"/>
        <v>1</v>
      </c>
      <c r="DA3701" s="30">
        <f t="shared" ref="DA3701:DA3741" si="663">+IF(CW3701+CX3701+CY3701=0,0,IF(CZ3701=0,0,1))</f>
        <v>0</v>
      </c>
      <c r="DB3701" s="140">
        <f t="shared" si="659"/>
        <v>0</v>
      </c>
      <c r="DS3701" s="130">
        <f>SI!BY3701</f>
        <v>119</v>
      </c>
      <c r="DZ3701" s="131">
        <f>SI!BZ3701</f>
        <v>0</v>
      </c>
    </row>
    <row r="3702" spans="1:130" hidden="1" x14ac:dyDescent="0.25">
      <c r="A3702" s="141"/>
      <c r="B3702" s="406"/>
      <c r="C3702" s="406"/>
      <c r="D3702" s="406"/>
      <c r="E3702" s="406"/>
      <c r="F3702" s="406"/>
      <c r="G3702" s="406"/>
      <c r="H3702" s="406"/>
      <c r="I3702" s="406"/>
      <c r="J3702" s="406"/>
      <c r="K3702" s="406"/>
      <c r="L3702" s="406"/>
      <c r="M3702" s="406"/>
      <c r="N3702" s="406"/>
      <c r="O3702" s="406"/>
      <c r="P3702" s="406"/>
      <c r="Q3702" s="406"/>
      <c r="R3702" s="406"/>
      <c r="S3702" s="406"/>
      <c r="T3702" s="406"/>
      <c r="U3702" s="406"/>
      <c r="V3702" s="406"/>
      <c r="W3702" s="406"/>
      <c r="X3702" s="406"/>
      <c r="Y3702" s="406"/>
      <c r="Z3702" s="406"/>
      <c r="AA3702" s="406"/>
      <c r="AB3702" s="406"/>
      <c r="AC3702" s="406"/>
      <c r="AD3702" s="406"/>
      <c r="AE3702" s="406"/>
      <c r="AF3702" s="406"/>
      <c r="AG3702" s="406"/>
      <c r="AH3702" s="406"/>
      <c r="AI3702" s="406"/>
      <c r="AJ3702" s="406"/>
      <c r="AK3702" s="406"/>
      <c r="AL3702" s="406"/>
      <c r="AM3702" s="406"/>
      <c r="AN3702" s="406"/>
      <c r="AO3702" s="406"/>
      <c r="AP3702" s="406"/>
      <c r="AQ3702" s="406"/>
      <c r="AR3702" s="406"/>
      <c r="AS3702" s="406"/>
      <c r="AT3702" s="406"/>
      <c r="AU3702" s="406"/>
      <c r="AV3702" s="406"/>
      <c r="AW3702" s="406"/>
      <c r="AX3702" s="406"/>
      <c r="AY3702" s="406"/>
      <c r="AZ3702" s="406"/>
      <c r="BA3702" s="406"/>
      <c r="BB3702" s="406"/>
      <c r="BC3702" s="406"/>
      <c r="BD3702" s="406"/>
      <c r="BE3702" s="406"/>
      <c r="BF3702" s="406"/>
      <c r="BG3702" s="406"/>
      <c r="BH3702" s="406"/>
      <c r="BI3702" s="406"/>
      <c r="BJ3702" s="406"/>
      <c r="BK3702" s="406"/>
      <c r="BL3702" s="406"/>
      <c r="BM3702" s="406"/>
      <c r="BN3702" s="406"/>
      <c r="BO3702" s="406"/>
      <c r="BP3702" s="406"/>
      <c r="BQ3702" s="406"/>
      <c r="BR3702" s="406"/>
      <c r="BS3702" s="406"/>
      <c r="BT3702" s="406"/>
      <c r="BU3702" s="406"/>
      <c r="BV3702" s="406"/>
      <c r="BW3702" s="406"/>
      <c r="BX3702" s="406"/>
      <c r="BY3702" s="406"/>
      <c r="BZ3702" s="406"/>
      <c r="CA3702" s="308"/>
      <c r="CB3702" s="3" t="str">
        <f t="shared" si="662"/>
        <v>Riadok bude skrytý.</v>
      </c>
      <c r="CC3702" s="271" t="s">
        <v>832</v>
      </c>
      <c r="CW3702" s="30">
        <f t="shared" si="661"/>
        <v>0</v>
      </c>
      <c r="CZ3702" s="30">
        <f t="shared" si="655"/>
        <v>1</v>
      </c>
      <c r="DA3702" s="30">
        <f t="shared" si="663"/>
        <v>0</v>
      </c>
      <c r="DB3702" s="140">
        <f t="shared" si="659"/>
        <v>0</v>
      </c>
      <c r="DS3702" s="130">
        <f>SI!BY3702</f>
        <v>126</v>
      </c>
      <c r="DZ3702" s="131">
        <f>SI!BZ3702</f>
        <v>0</v>
      </c>
    </row>
    <row r="3703" spans="1:130" hidden="1" x14ac:dyDescent="0.25">
      <c r="A3703" s="141"/>
      <c r="B3703" s="406"/>
      <c r="C3703" s="406"/>
      <c r="D3703" s="406"/>
      <c r="E3703" s="406"/>
      <c r="F3703" s="406"/>
      <c r="G3703" s="406"/>
      <c r="H3703" s="406"/>
      <c r="I3703" s="406"/>
      <c r="J3703" s="406"/>
      <c r="K3703" s="406"/>
      <c r="L3703" s="406"/>
      <c r="M3703" s="406"/>
      <c r="N3703" s="406"/>
      <c r="O3703" s="406"/>
      <c r="P3703" s="406"/>
      <c r="Q3703" s="406"/>
      <c r="R3703" s="406"/>
      <c r="S3703" s="406"/>
      <c r="T3703" s="406"/>
      <c r="U3703" s="406"/>
      <c r="V3703" s="406"/>
      <c r="W3703" s="406"/>
      <c r="X3703" s="406"/>
      <c r="Y3703" s="406"/>
      <c r="Z3703" s="406"/>
      <c r="AA3703" s="406"/>
      <c r="AB3703" s="406"/>
      <c r="AC3703" s="406"/>
      <c r="AD3703" s="406"/>
      <c r="AE3703" s="406"/>
      <c r="AF3703" s="406"/>
      <c r="AG3703" s="406"/>
      <c r="AH3703" s="406"/>
      <c r="AI3703" s="406"/>
      <c r="AJ3703" s="406"/>
      <c r="AK3703" s="406"/>
      <c r="AL3703" s="406"/>
      <c r="AM3703" s="406"/>
      <c r="AN3703" s="406"/>
      <c r="AO3703" s="406"/>
      <c r="AP3703" s="406"/>
      <c r="AQ3703" s="406"/>
      <c r="AR3703" s="406"/>
      <c r="AS3703" s="406"/>
      <c r="AT3703" s="406"/>
      <c r="AU3703" s="406"/>
      <c r="AV3703" s="406"/>
      <c r="AW3703" s="406"/>
      <c r="AX3703" s="406"/>
      <c r="AY3703" s="406"/>
      <c r="AZ3703" s="406"/>
      <c r="BA3703" s="406"/>
      <c r="BB3703" s="406"/>
      <c r="BC3703" s="406"/>
      <c r="BD3703" s="406"/>
      <c r="BE3703" s="406"/>
      <c r="BF3703" s="406"/>
      <c r="BG3703" s="406"/>
      <c r="BH3703" s="406"/>
      <c r="BI3703" s="406"/>
      <c r="BJ3703" s="406"/>
      <c r="BK3703" s="406"/>
      <c r="BL3703" s="406"/>
      <c r="BM3703" s="406"/>
      <c r="BN3703" s="406"/>
      <c r="BO3703" s="406"/>
      <c r="BP3703" s="406"/>
      <c r="BQ3703" s="406"/>
      <c r="BR3703" s="406"/>
      <c r="BS3703" s="406"/>
      <c r="BT3703" s="406"/>
      <c r="BU3703" s="406"/>
      <c r="BV3703" s="406"/>
      <c r="BW3703" s="406"/>
      <c r="BX3703" s="406"/>
      <c r="BY3703" s="406"/>
      <c r="BZ3703" s="406"/>
      <c r="CA3703" s="308"/>
      <c r="CB3703" s="3" t="str">
        <f t="shared" si="662"/>
        <v>Riadok bude skrytý.</v>
      </c>
      <c r="CC3703" s="271" t="s">
        <v>832</v>
      </c>
      <c r="CW3703" s="30">
        <f t="shared" si="661"/>
        <v>0</v>
      </c>
      <c r="CZ3703" s="30">
        <f t="shared" si="655"/>
        <v>1</v>
      </c>
      <c r="DA3703" s="30">
        <f t="shared" si="663"/>
        <v>0</v>
      </c>
      <c r="DB3703" s="140">
        <f t="shared" si="659"/>
        <v>0</v>
      </c>
      <c r="DS3703" s="130">
        <f>SI!BY3703</f>
        <v>181</v>
      </c>
      <c r="DZ3703" s="131">
        <f>SI!BZ3703</f>
        <v>0</v>
      </c>
    </row>
    <row r="3704" spans="1:130" hidden="1" x14ac:dyDescent="0.25">
      <c r="A3704" s="141"/>
      <c r="B3704" s="137" t="s">
        <v>754</v>
      </c>
      <c r="CA3704" s="265" t="s">
        <v>773</v>
      </c>
      <c r="CB3704" s="3" t="str">
        <f t="shared" si="662"/>
        <v>Riadok bude skrytý.</v>
      </c>
      <c r="CC3704" s="271" t="s">
        <v>832</v>
      </c>
      <c r="CW3704" s="30">
        <f>+IF(B3705="",0,1)</f>
        <v>0</v>
      </c>
      <c r="CZ3704" s="30">
        <f t="shared" si="655"/>
        <v>1</v>
      </c>
      <c r="DA3704" s="30">
        <f t="shared" si="663"/>
        <v>0</v>
      </c>
      <c r="DB3704" s="140">
        <f t="shared" si="659"/>
        <v>0</v>
      </c>
      <c r="DS3704" s="130">
        <f>SI!BY3704</f>
        <v>849</v>
      </c>
      <c r="DZ3704" s="131">
        <f>SI!BZ3704</f>
        <v>0</v>
      </c>
    </row>
    <row r="3705" spans="1:130" hidden="1" x14ac:dyDescent="0.25">
      <c r="A3705" s="141"/>
      <c r="B3705" s="406"/>
      <c r="C3705" s="406"/>
      <c r="D3705" s="406"/>
      <c r="E3705" s="406"/>
      <c r="F3705" s="406"/>
      <c r="G3705" s="406"/>
      <c r="H3705" s="406"/>
      <c r="I3705" s="406"/>
      <c r="J3705" s="406"/>
      <c r="K3705" s="406"/>
      <c r="L3705" s="406"/>
      <c r="M3705" s="406"/>
      <c r="N3705" s="406"/>
      <c r="O3705" s="406"/>
      <c r="P3705" s="406"/>
      <c r="Q3705" s="406"/>
      <c r="R3705" s="406"/>
      <c r="S3705" s="406"/>
      <c r="T3705" s="406"/>
      <c r="U3705" s="406"/>
      <c r="V3705" s="406"/>
      <c r="W3705" s="406"/>
      <c r="X3705" s="406"/>
      <c r="Y3705" s="406"/>
      <c r="Z3705" s="406"/>
      <c r="AA3705" s="406"/>
      <c r="AB3705" s="406"/>
      <c r="AC3705" s="406"/>
      <c r="AD3705" s="406"/>
      <c r="AE3705" s="406"/>
      <c r="AF3705" s="406"/>
      <c r="AG3705" s="406"/>
      <c r="AH3705" s="406"/>
      <c r="AI3705" s="406"/>
      <c r="AJ3705" s="406"/>
      <c r="AK3705" s="406"/>
      <c r="AL3705" s="406"/>
      <c r="AM3705" s="406"/>
      <c r="AN3705" s="406"/>
      <c r="AO3705" s="406"/>
      <c r="AP3705" s="406"/>
      <c r="AQ3705" s="406"/>
      <c r="AR3705" s="406"/>
      <c r="AS3705" s="406"/>
      <c r="AT3705" s="406"/>
      <c r="AU3705" s="406"/>
      <c r="AV3705" s="406"/>
      <c r="AW3705" s="406"/>
      <c r="AX3705" s="406"/>
      <c r="AY3705" s="406"/>
      <c r="AZ3705" s="406"/>
      <c r="BA3705" s="406"/>
      <c r="BB3705" s="406"/>
      <c r="BC3705" s="406"/>
      <c r="BD3705" s="406"/>
      <c r="BE3705" s="406"/>
      <c r="BF3705" s="406"/>
      <c r="BG3705" s="406"/>
      <c r="BH3705" s="406"/>
      <c r="BI3705" s="406"/>
      <c r="BJ3705" s="406"/>
      <c r="BK3705" s="406"/>
      <c r="BL3705" s="406"/>
      <c r="BM3705" s="406"/>
      <c r="BN3705" s="406"/>
      <c r="BO3705" s="406"/>
      <c r="BP3705" s="406"/>
      <c r="BQ3705" s="406"/>
      <c r="BR3705" s="406"/>
      <c r="BS3705" s="406"/>
      <c r="BT3705" s="406"/>
      <c r="BU3705" s="406"/>
      <c r="BV3705" s="406"/>
      <c r="BW3705" s="406"/>
      <c r="BX3705" s="406"/>
      <c r="BY3705" s="406"/>
      <c r="BZ3705" s="406"/>
      <c r="CA3705" s="308"/>
      <c r="CB3705" s="3" t="str">
        <f t="shared" si="662"/>
        <v>Riadok bude skrytý.</v>
      </c>
      <c r="CC3705" s="271" t="s">
        <v>832</v>
      </c>
      <c r="CW3705" s="30">
        <f t="shared" ref="CW3705:CW3711" si="664">+IF(B3705="",0,1)</f>
        <v>0</v>
      </c>
      <c r="CZ3705" s="30">
        <f t="shared" si="655"/>
        <v>1</v>
      </c>
      <c r="DA3705" s="30">
        <f t="shared" si="663"/>
        <v>0</v>
      </c>
      <c r="DB3705" s="140">
        <f t="shared" si="659"/>
        <v>0</v>
      </c>
      <c r="DS3705" s="130">
        <f>SI!BY3705</f>
        <v>187</v>
      </c>
      <c r="DZ3705" s="131">
        <f>SI!BZ3705</f>
        <v>0</v>
      </c>
    </row>
    <row r="3706" spans="1:130" hidden="1" x14ac:dyDescent="0.25">
      <c r="A3706" s="141"/>
      <c r="B3706" s="406"/>
      <c r="C3706" s="406"/>
      <c r="D3706" s="406"/>
      <c r="E3706" s="406"/>
      <c r="F3706" s="406"/>
      <c r="G3706" s="406"/>
      <c r="H3706" s="406"/>
      <c r="I3706" s="406"/>
      <c r="J3706" s="406"/>
      <c r="K3706" s="406"/>
      <c r="L3706" s="406"/>
      <c r="M3706" s="406"/>
      <c r="N3706" s="406"/>
      <c r="O3706" s="406"/>
      <c r="P3706" s="406"/>
      <c r="Q3706" s="406"/>
      <c r="R3706" s="406"/>
      <c r="S3706" s="406"/>
      <c r="T3706" s="406"/>
      <c r="U3706" s="406"/>
      <c r="V3706" s="406"/>
      <c r="W3706" s="406"/>
      <c r="X3706" s="406"/>
      <c r="Y3706" s="406"/>
      <c r="Z3706" s="406"/>
      <c r="AA3706" s="406"/>
      <c r="AB3706" s="406"/>
      <c r="AC3706" s="406"/>
      <c r="AD3706" s="406"/>
      <c r="AE3706" s="406"/>
      <c r="AF3706" s="406"/>
      <c r="AG3706" s="406"/>
      <c r="AH3706" s="406"/>
      <c r="AI3706" s="406"/>
      <c r="AJ3706" s="406"/>
      <c r="AK3706" s="406"/>
      <c r="AL3706" s="406"/>
      <c r="AM3706" s="406"/>
      <c r="AN3706" s="406"/>
      <c r="AO3706" s="406"/>
      <c r="AP3706" s="406"/>
      <c r="AQ3706" s="406"/>
      <c r="AR3706" s="406"/>
      <c r="AS3706" s="406"/>
      <c r="AT3706" s="406"/>
      <c r="AU3706" s="406"/>
      <c r="AV3706" s="406"/>
      <c r="AW3706" s="406"/>
      <c r="AX3706" s="406"/>
      <c r="AY3706" s="406"/>
      <c r="AZ3706" s="406"/>
      <c r="BA3706" s="406"/>
      <c r="BB3706" s="406"/>
      <c r="BC3706" s="406"/>
      <c r="BD3706" s="406"/>
      <c r="BE3706" s="406"/>
      <c r="BF3706" s="406"/>
      <c r="BG3706" s="406"/>
      <c r="BH3706" s="406"/>
      <c r="BI3706" s="406"/>
      <c r="BJ3706" s="406"/>
      <c r="BK3706" s="406"/>
      <c r="BL3706" s="406"/>
      <c r="BM3706" s="406"/>
      <c r="BN3706" s="406"/>
      <c r="BO3706" s="406"/>
      <c r="BP3706" s="406"/>
      <c r="BQ3706" s="406"/>
      <c r="BR3706" s="406"/>
      <c r="BS3706" s="406"/>
      <c r="BT3706" s="406"/>
      <c r="BU3706" s="406"/>
      <c r="BV3706" s="406"/>
      <c r="BW3706" s="406"/>
      <c r="BX3706" s="406"/>
      <c r="BY3706" s="406"/>
      <c r="BZ3706" s="406"/>
      <c r="CA3706" s="308"/>
      <c r="CB3706" s="3" t="str">
        <f t="shared" si="662"/>
        <v>Riadok bude skrytý.</v>
      </c>
      <c r="CC3706" s="271" t="s">
        <v>832</v>
      </c>
      <c r="CW3706" s="30">
        <f t="shared" si="664"/>
        <v>0</v>
      </c>
      <c r="CZ3706" s="30">
        <f t="shared" si="655"/>
        <v>1</v>
      </c>
      <c r="DA3706" s="30">
        <f t="shared" si="663"/>
        <v>0</v>
      </c>
      <c r="DB3706" s="140">
        <f t="shared" si="659"/>
        <v>0</v>
      </c>
      <c r="DS3706" s="130">
        <f>SI!BY3706</f>
        <v>1025</v>
      </c>
      <c r="DZ3706" s="131">
        <f>SI!BZ3706</f>
        <v>0</v>
      </c>
    </row>
    <row r="3707" spans="1:130" hidden="1" x14ac:dyDescent="0.25">
      <c r="A3707" s="141"/>
      <c r="B3707" s="406"/>
      <c r="C3707" s="406"/>
      <c r="D3707" s="406"/>
      <c r="E3707" s="406"/>
      <c r="F3707" s="406"/>
      <c r="G3707" s="406"/>
      <c r="H3707" s="406"/>
      <c r="I3707" s="406"/>
      <c r="J3707" s="406"/>
      <c r="K3707" s="406"/>
      <c r="L3707" s="406"/>
      <c r="M3707" s="406"/>
      <c r="N3707" s="406"/>
      <c r="O3707" s="406"/>
      <c r="P3707" s="406"/>
      <c r="Q3707" s="406"/>
      <c r="R3707" s="406"/>
      <c r="S3707" s="406"/>
      <c r="T3707" s="406"/>
      <c r="U3707" s="406"/>
      <c r="V3707" s="406"/>
      <c r="W3707" s="406"/>
      <c r="X3707" s="406"/>
      <c r="Y3707" s="406"/>
      <c r="Z3707" s="406"/>
      <c r="AA3707" s="406"/>
      <c r="AB3707" s="406"/>
      <c r="AC3707" s="406"/>
      <c r="AD3707" s="406"/>
      <c r="AE3707" s="406"/>
      <c r="AF3707" s="406"/>
      <c r="AG3707" s="406"/>
      <c r="AH3707" s="406"/>
      <c r="AI3707" s="406"/>
      <c r="AJ3707" s="406"/>
      <c r="AK3707" s="406"/>
      <c r="AL3707" s="406"/>
      <c r="AM3707" s="406"/>
      <c r="AN3707" s="406"/>
      <c r="AO3707" s="406"/>
      <c r="AP3707" s="406"/>
      <c r="AQ3707" s="406"/>
      <c r="AR3707" s="406"/>
      <c r="AS3707" s="406"/>
      <c r="AT3707" s="406"/>
      <c r="AU3707" s="406"/>
      <c r="AV3707" s="406"/>
      <c r="AW3707" s="406"/>
      <c r="AX3707" s="406"/>
      <c r="AY3707" s="406"/>
      <c r="AZ3707" s="406"/>
      <c r="BA3707" s="406"/>
      <c r="BB3707" s="406"/>
      <c r="BC3707" s="406"/>
      <c r="BD3707" s="406"/>
      <c r="BE3707" s="406"/>
      <c r="BF3707" s="406"/>
      <c r="BG3707" s="406"/>
      <c r="BH3707" s="406"/>
      <c r="BI3707" s="406"/>
      <c r="BJ3707" s="406"/>
      <c r="BK3707" s="406"/>
      <c r="BL3707" s="406"/>
      <c r="BM3707" s="406"/>
      <c r="BN3707" s="406"/>
      <c r="BO3707" s="406"/>
      <c r="BP3707" s="406"/>
      <c r="BQ3707" s="406"/>
      <c r="BR3707" s="406"/>
      <c r="BS3707" s="406"/>
      <c r="BT3707" s="406"/>
      <c r="BU3707" s="406"/>
      <c r="BV3707" s="406"/>
      <c r="BW3707" s="406"/>
      <c r="BX3707" s="406"/>
      <c r="BY3707" s="406"/>
      <c r="BZ3707" s="406"/>
      <c r="CA3707" s="308"/>
      <c r="CB3707" s="3" t="str">
        <f t="shared" si="662"/>
        <v>Riadok bude skrytý.</v>
      </c>
      <c r="CC3707" s="271" t="s">
        <v>832</v>
      </c>
      <c r="CW3707" s="30">
        <f t="shared" si="664"/>
        <v>0</v>
      </c>
      <c r="CZ3707" s="30">
        <f t="shared" si="655"/>
        <v>1</v>
      </c>
      <c r="DA3707" s="30">
        <f t="shared" si="663"/>
        <v>0</v>
      </c>
      <c r="DB3707" s="140">
        <f t="shared" si="659"/>
        <v>0</v>
      </c>
      <c r="DS3707" s="130">
        <f>SI!BY3707</f>
        <v>118</v>
      </c>
      <c r="DZ3707" s="131">
        <f>SI!BZ3707</f>
        <v>0</v>
      </c>
    </row>
    <row r="3708" spans="1:130" hidden="1" x14ac:dyDescent="0.25">
      <c r="A3708" s="141"/>
      <c r="B3708" s="406"/>
      <c r="C3708" s="406"/>
      <c r="D3708" s="406"/>
      <c r="E3708" s="406"/>
      <c r="F3708" s="406"/>
      <c r="G3708" s="406"/>
      <c r="H3708" s="406"/>
      <c r="I3708" s="406"/>
      <c r="J3708" s="406"/>
      <c r="K3708" s="406"/>
      <c r="L3708" s="406"/>
      <c r="M3708" s="406"/>
      <c r="N3708" s="406"/>
      <c r="O3708" s="406"/>
      <c r="P3708" s="406"/>
      <c r="Q3708" s="406"/>
      <c r="R3708" s="406"/>
      <c r="S3708" s="406"/>
      <c r="T3708" s="406"/>
      <c r="U3708" s="406"/>
      <c r="V3708" s="406"/>
      <c r="W3708" s="406"/>
      <c r="X3708" s="406"/>
      <c r="Y3708" s="406"/>
      <c r="Z3708" s="406"/>
      <c r="AA3708" s="406"/>
      <c r="AB3708" s="406"/>
      <c r="AC3708" s="406"/>
      <c r="AD3708" s="406"/>
      <c r="AE3708" s="406"/>
      <c r="AF3708" s="406"/>
      <c r="AG3708" s="406"/>
      <c r="AH3708" s="406"/>
      <c r="AI3708" s="406"/>
      <c r="AJ3708" s="406"/>
      <c r="AK3708" s="406"/>
      <c r="AL3708" s="406"/>
      <c r="AM3708" s="406"/>
      <c r="AN3708" s="406"/>
      <c r="AO3708" s="406"/>
      <c r="AP3708" s="406"/>
      <c r="AQ3708" s="406"/>
      <c r="AR3708" s="406"/>
      <c r="AS3708" s="406"/>
      <c r="AT3708" s="406"/>
      <c r="AU3708" s="406"/>
      <c r="AV3708" s="406"/>
      <c r="AW3708" s="406"/>
      <c r="AX3708" s="406"/>
      <c r="AY3708" s="406"/>
      <c r="AZ3708" s="406"/>
      <c r="BA3708" s="406"/>
      <c r="BB3708" s="406"/>
      <c r="BC3708" s="406"/>
      <c r="BD3708" s="406"/>
      <c r="BE3708" s="406"/>
      <c r="BF3708" s="406"/>
      <c r="BG3708" s="406"/>
      <c r="BH3708" s="406"/>
      <c r="BI3708" s="406"/>
      <c r="BJ3708" s="406"/>
      <c r="BK3708" s="406"/>
      <c r="BL3708" s="406"/>
      <c r="BM3708" s="406"/>
      <c r="BN3708" s="406"/>
      <c r="BO3708" s="406"/>
      <c r="BP3708" s="406"/>
      <c r="BQ3708" s="406"/>
      <c r="BR3708" s="406"/>
      <c r="BS3708" s="406"/>
      <c r="BT3708" s="406"/>
      <c r="BU3708" s="406"/>
      <c r="BV3708" s="406"/>
      <c r="BW3708" s="406"/>
      <c r="BX3708" s="406"/>
      <c r="BY3708" s="406"/>
      <c r="BZ3708" s="406"/>
      <c r="CA3708" s="308"/>
      <c r="CB3708" s="3" t="str">
        <f t="shared" si="662"/>
        <v>Riadok bude skrytý.</v>
      </c>
      <c r="CC3708" s="271" t="s">
        <v>832</v>
      </c>
      <c r="CW3708" s="30">
        <f t="shared" si="664"/>
        <v>0</v>
      </c>
      <c r="CZ3708" s="30">
        <f t="shared" si="655"/>
        <v>1</v>
      </c>
      <c r="DA3708" s="30">
        <f t="shared" si="663"/>
        <v>0</v>
      </c>
      <c r="DB3708" s="140">
        <f t="shared" si="659"/>
        <v>0</v>
      </c>
      <c r="DS3708" s="130">
        <f>SI!BY3708</f>
        <v>2</v>
      </c>
      <c r="DZ3708" s="131">
        <f>SI!BZ3708</f>
        <v>0</v>
      </c>
    </row>
    <row r="3709" spans="1:130" hidden="1" x14ac:dyDescent="0.25">
      <c r="A3709" s="141"/>
      <c r="B3709" s="406"/>
      <c r="C3709" s="406"/>
      <c r="D3709" s="406"/>
      <c r="E3709" s="406"/>
      <c r="F3709" s="406"/>
      <c r="G3709" s="406"/>
      <c r="H3709" s="406"/>
      <c r="I3709" s="406"/>
      <c r="J3709" s="406"/>
      <c r="K3709" s="406"/>
      <c r="L3709" s="406"/>
      <c r="M3709" s="406"/>
      <c r="N3709" s="406"/>
      <c r="O3709" s="406"/>
      <c r="P3709" s="406"/>
      <c r="Q3709" s="406"/>
      <c r="R3709" s="406"/>
      <c r="S3709" s="406"/>
      <c r="T3709" s="406"/>
      <c r="U3709" s="406"/>
      <c r="V3709" s="406"/>
      <c r="W3709" s="406"/>
      <c r="X3709" s="406"/>
      <c r="Y3709" s="406"/>
      <c r="Z3709" s="406"/>
      <c r="AA3709" s="406"/>
      <c r="AB3709" s="406"/>
      <c r="AC3709" s="406"/>
      <c r="AD3709" s="406"/>
      <c r="AE3709" s="406"/>
      <c r="AF3709" s="406"/>
      <c r="AG3709" s="406"/>
      <c r="AH3709" s="406"/>
      <c r="AI3709" s="406"/>
      <c r="AJ3709" s="406"/>
      <c r="AK3709" s="406"/>
      <c r="AL3709" s="406"/>
      <c r="AM3709" s="406"/>
      <c r="AN3709" s="406"/>
      <c r="AO3709" s="406"/>
      <c r="AP3709" s="406"/>
      <c r="AQ3709" s="406"/>
      <c r="AR3709" s="406"/>
      <c r="AS3709" s="406"/>
      <c r="AT3709" s="406"/>
      <c r="AU3709" s="406"/>
      <c r="AV3709" s="406"/>
      <c r="AW3709" s="406"/>
      <c r="AX3709" s="406"/>
      <c r="AY3709" s="406"/>
      <c r="AZ3709" s="406"/>
      <c r="BA3709" s="406"/>
      <c r="BB3709" s="406"/>
      <c r="BC3709" s="406"/>
      <c r="BD3709" s="406"/>
      <c r="BE3709" s="406"/>
      <c r="BF3709" s="406"/>
      <c r="BG3709" s="406"/>
      <c r="BH3709" s="406"/>
      <c r="BI3709" s="406"/>
      <c r="BJ3709" s="406"/>
      <c r="BK3709" s="406"/>
      <c r="BL3709" s="406"/>
      <c r="BM3709" s="406"/>
      <c r="BN3709" s="406"/>
      <c r="BO3709" s="406"/>
      <c r="BP3709" s="406"/>
      <c r="BQ3709" s="406"/>
      <c r="BR3709" s="406"/>
      <c r="BS3709" s="406"/>
      <c r="BT3709" s="406"/>
      <c r="BU3709" s="406"/>
      <c r="BV3709" s="406"/>
      <c r="BW3709" s="406"/>
      <c r="BX3709" s="406"/>
      <c r="BY3709" s="406"/>
      <c r="BZ3709" s="406"/>
      <c r="CA3709" s="308"/>
      <c r="CB3709" s="3" t="str">
        <f t="shared" si="662"/>
        <v>Riadok bude skrytý.</v>
      </c>
      <c r="CC3709" s="271" t="s">
        <v>832</v>
      </c>
      <c r="CW3709" s="30">
        <f t="shared" si="664"/>
        <v>0</v>
      </c>
      <c r="CZ3709" s="30">
        <f t="shared" si="655"/>
        <v>1</v>
      </c>
      <c r="DA3709" s="30">
        <f t="shared" si="663"/>
        <v>0</v>
      </c>
      <c r="DB3709" s="140">
        <f t="shared" si="659"/>
        <v>0</v>
      </c>
      <c r="DS3709" s="130">
        <f>SI!BY3709</f>
        <v>189</v>
      </c>
      <c r="DZ3709" s="131">
        <f>SI!BZ3709</f>
        <v>0</v>
      </c>
    </row>
    <row r="3710" spans="1:130" hidden="1" x14ac:dyDescent="0.25">
      <c r="A3710" s="141"/>
      <c r="B3710" s="406"/>
      <c r="C3710" s="406"/>
      <c r="D3710" s="406"/>
      <c r="E3710" s="406"/>
      <c r="F3710" s="406"/>
      <c r="G3710" s="406"/>
      <c r="H3710" s="406"/>
      <c r="I3710" s="406"/>
      <c r="J3710" s="406"/>
      <c r="K3710" s="406"/>
      <c r="L3710" s="406"/>
      <c r="M3710" s="406"/>
      <c r="N3710" s="406"/>
      <c r="O3710" s="406"/>
      <c r="P3710" s="406"/>
      <c r="Q3710" s="406"/>
      <c r="R3710" s="406"/>
      <c r="S3710" s="406"/>
      <c r="T3710" s="406"/>
      <c r="U3710" s="406"/>
      <c r="V3710" s="406"/>
      <c r="W3710" s="406"/>
      <c r="X3710" s="406"/>
      <c r="Y3710" s="406"/>
      <c r="Z3710" s="406"/>
      <c r="AA3710" s="406"/>
      <c r="AB3710" s="406"/>
      <c r="AC3710" s="406"/>
      <c r="AD3710" s="406"/>
      <c r="AE3710" s="406"/>
      <c r="AF3710" s="406"/>
      <c r="AG3710" s="406"/>
      <c r="AH3710" s="406"/>
      <c r="AI3710" s="406"/>
      <c r="AJ3710" s="406"/>
      <c r="AK3710" s="406"/>
      <c r="AL3710" s="406"/>
      <c r="AM3710" s="406"/>
      <c r="AN3710" s="406"/>
      <c r="AO3710" s="406"/>
      <c r="AP3710" s="406"/>
      <c r="AQ3710" s="406"/>
      <c r="AR3710" s="406"/>
      <c r="AS3710" s="406"/>
      <c r="AT3710" s="406"/>
      <c r="AU3710" s="406"/>
      <c r="AV3710" s="406"/>
      <c r="AW3710" s="406"/>
      <c r="AX3710" s="406"/>
      <c r="AY3710" s="406"/>
      <c r="AZ3710" s="406"/>
      <c r="BA3710" s="406"/>
      <c r="BB3710" s="406"/>
      <c r="BC3710" s="406"/>
      <c r="BD3710" s="406"/>
      <c r="BE3710" s="406"/>
      <c r="BF3710" s="406"/>
      <c r="BG3710" s="406"/>
      <c r="BH3710" s="406"/>
      <c r="BI3710" s="406"/>
      <c r="BJ3710" s="406"/>
      <c r="BK3710" s="406"/>
      <c r="BL3710" s="406"/>
      <c r="BM3710" s="406"/>
      <c r="BN3710" s="406"/>
      <c r="BO3710" s="406"/>
      <c r="BP3710" s="406"/>
      <c r="BQ3710" s="406"/>
      <c r="BR3710" s="406"/>
      <c r="BS3710" s="406"/>
      <c r="BT3710" s="406"/>
      <c r="BU3710" s="406"/>
      <c r="BV3710" s="406"/>
      <c r="BW3710" s="406"/>
      <c r="BX3710" s="406"/>
      <c r="BY3710" s="406"/>
      <c r="BZ3710" s="406"/>
      <c r="CA3710" s="308"/>
      <c r="CB3710" s="3" t="str">
        <f t="shared" si="662"/>
        <v>Riadok bude skrytý.</v>
      </c>
      <c r="CC3710" s="271" t="s">
        <v>832</v>
      </c>
      <c r="CW3710" s="30">
        <f t="shared" si="664"/>
        <v>0</v>
      </c>
      <c r="CZ3710" s="30">
        <f t="shared" si="655"/>
        <v>1</v>
      </c>
      <c r="DA3710" s="30">
        <f t="shared" si="663"/>
        <v>0</v>
      </c>
      <c r="DB3710" s="140">
        <f t="shared" si="659"/>
        <v>0</v>
      </c>
      <c r="DS3710" s="130">
        <f>SI!BY3710</f>
        <v>902</v>
      </c>
      <c r="DZ3710" s="131">
        <f>SI!BZ3710</f>
        <v>0</v>
      </c>
    </row>
    <row r="3711" spans="1:130" hidden="1" x14ac:dyDescent="0.25">
      <c r="A3711" s="141"/>
      <c r="B3711" s="406"/>
      <c r="C3711" s="406"/>
      <c r="D3711" s="406"/>
      <c r="E3711" s="406"/>
      <c r="F3711" s="406"/>
      <c r="G3711" s="406"/>
      <c r="H3711" s="406"/>
      <c r="I3711" s="406"/>
      <c r="J3711" s="406"/>
      <c r="K3711" s="406"/>
      <c r="L3711" s="406"/>
      <c r="M3711" s="406"/>
      <c r="N3711" s="406"/>
      <c r="O3711" s="406"/>
      <c r="P3711" s="406"/>
      <c r="Q3711" s="406"/>
      <c r="R3711" s="406"/>
      <c r="S3711" s="406"/>
      <c r="T3711" s="406"/>
      <c r="U3711" s="406"/>
      <c r="V3711" s="406"/>
      <c r="W3711" s="406"/>
      <c r="X3711" s="406"/>
      <c r="Y3711" s="406"/>
      <c r="Z3711" s="406"/>
      <c r="AA3711" s="406"/>
      <c r="AB3711" s="406"/>
      <c r="AC3711" s="406"/>
      <c r="AD3711" s="406"/>
      <c r="AE3711" s="406"/>
      <c r="AF3711" s="406"/>
      <c r="AG3711" s="406"/>
      <c r="AH3711" s="406"/>
      <c r="AI3711" s="406"/>
      <c r="AJ3711" s="406"/>
      <c r="AK3711" s="406"/>
      <c r="AL3711" s="406"/>
      <c r="AM3711" s="406"/>
      <c r="AN3711" s="406"/>
      <c r="AO3711" s="406"/>
      <c r="AP3711" s="406"/>
      <c r="AQ3711" s="406"/>
      <c r="AR3711" s="406"/>
      <c r="AS3711" s="406"/>
      <c r="AT3711" s="406"/>
      <c r="AU3711" s="406"/>
      <c r="AV3711" s="406"/>
      <c r="AW3711" s="406"/>
      <c r="AX3711" s="406"/>
      <c r="AY3711" s="406"/>
      <c r="AZ3711" s="406"/>
      <c r="BA3711" s="406"/>
      <c r="BB3711" s="406"/>
      <c r="BC3711" s="406"/>
      <c r="BD3711" s="406"/>
      <c r="BE3711" s="406"/>
      <c r="BF3711" s="406"/>
      <c r="BG3711" s="406"/>
      <c r="BH3711" s="406"/>
      <c r="BI3711" s="406"/>
      <c r="BJ3711" s="406"/>
      <c r="BK3711" s="406"/>
      <c r="BL3711" s="406"/>
      <c r="BM3711" s="406"/>
      <c r="BN3711" s="406"/>
      <c r="BO3711" s="406"/>
      <c r="BP3711" s="406"/>
      <c r="BQ3711" s="406"/>
      <c r="BR3711" s="406"/>
      <c r="BS3711" s="406"/>
      <c r="BT3711" s="406"/>
      <c r="BU3711" s="406"/>
      <c r="BV3711" s="406"/>
      <c r="BW3711" s="406"/>
      <c r="BX3711" s="406"/>
      <c r="BY3711" s="406"/>
      <c r="BZ3711" s="406"/>
      <c r="CA3711" s="308"/>
      <c r="CB3711" s="3" t="str">
        <f t="shared" si="662"/>
        <v>Riadok bude skrytý.</v>
      </c>
      <c r="CC3711" s="271" t="s">
        <v>832</v>
      </c>
      <c r="CW3711" s="30">
        <f t="shared" si="664"/>
        <v>0</v>
      </c>
      <c r="CZ3711" s="30">
        <f t="shared" si="655"/>
        <v>1</v>
      </c>
      <c r="DA3711" s="30">
        <f t="shared" si="663"/>
        <v>0</v>
      </c>
      <c r="DB3711" s="140">
        <f t="shared" si="659"/>
        <v>0</v>
      </c>
      <c r="DS3711" s="130">
        <f>SI!BY3711</f>
        <v>132</v>
      </c>
      <c r="DZ3711" s="131">
        <f>SI!BZ3711</f>
        <v>0</v>
      </c>
    </row>
    <row r="3712" spans="1:130" x14ac:dyDescent="0.25">
      <c r="A3712" s="141"/>
      <c r="B3712" s="56"/>
      <c r="C3712" s="56"/>
      <c r="D3712" s="56"/>
      <c r="E3712" s="56"/>
      <c r="F3712" s="56"/>
      <c r="G3712" s="56"/>
      <c r="H3712" s="56"/>
      <c r="I3712" s="56"/>
      <c r="J3712" s="56"/>
      <c r="K3712" s="56"/>
      <c r="L3712" s="56"/>
      <c r="M3712" s="56"/>
      <c r="N3712" s="56"/>
      <c r="O3712" s="56"/>
      <c r="P3712" s="56"/>
      <c r="Q3712" s="56"/>
      <c r="R3712" s="56"/>
      <c r="S3712" s="56"/>
      <c r="T3712" s="56"/>
      <c r="U3712" s="56"/>
      <c r="V3712" s="56"/>
      <c r="W3712" s="56"/>
      <c r="X3712" s="56"/>
      <c r="Y3712" s="56"/>
      <c r="Z3712" s="56"/>
      <c r="AA3712" s="56"/>
      <c r="AB3712" s="56"/>
      <c r="AC3712" s="56"/>
      <c r="AD3712" s="56"/>
      <c r="AE3712" s="56"/>
      <c r="AF3712" s="56"/>
      <c r="AG3712" s="56"/>
      <c r="AH3712" s="56"/>
      <c r="AI3712" s="56"/>
      <c r="AJ3712" s="56"/>
      <c r="AK3712" s="56"/>
      <c r="AL3712" s="56"/>
      <c r="AM3712" s="56"/>
      <c r="AN3712" s="56"/>
      <c r="AO3712" s="56"/>
      <c r="AP3712" s="56"/>
      <c r="AQ3712" s="56"/>
      <c r="AR3712" s="56"/>
      <c r="AS3712" s="56"/>
      <c r="AT3712" s="56"/>
      <c r="AU3712" s="56"/>
      <c r="AV3712" s="56"/>
      <c r="AW3712" s="56"/>
      <c r="AX3712" s="56"/>
      <c r="AY3712" s="56"/>
      <c r="AZ3712" s="56"/>
      <c r="BA3712" s="56"/>
      <c r="BB3712" s="56"/>
      <c r="BC3712" s="56"/>
      <c r="BD3712" s="56"/>
      <c r="BE3712" s="56"/>
      <c r="BF3712" s="56"/>
      <c r="BG3712" s="56"/>
      <c r="BH3712" s="56"/>
      <c r="BI3712" s="56"/>
      <c r="BJ3712" s="56"/>
      <c r="BK3712" s="56"/>
      <c r="BL3712" s="56"/>
      <c r="BM3712" s="56"/>
      <c r="BN3712" s="56"/>
      <c r="BO3712" s="56"/>
      <c r="BP3712" s="56"/>
      <c r="BQ3712" s="56"/>
      <c r="BR3712" s="56"/>
      <c r="BS3712" s="56"/>
      <c r="BT3712" s="56"/>
      <c r="BU3712" s="56"/>
      <c r="BV3712" s="56"/>
      <c r="BW3712" s="56"/>
      <c r="BX3712" s="56"/>
      <c r="BY3712" s="56"/>
      <c r="BZ3712" s="56"/>
      <c r="CA3712" s="308"/>
      <c r="CB3712" s="5" t="str">
        <f t="shared" si="662"/>
        <v>Riadok bude vidieť.</v>
      </c>
      <c r="CC3712" s="311" t="s">
        <v>832</v>
      </c>
      <c r="CW3712" s="49">
        <v>1</v>
      </c>
      <c r="CZ3712" s="30">
        <f t="shared" ref="CZ3712:CZ3741" si="665">IF(CC3712="",1,IF(CC3712="Chcem skryť riadok.",0,1))</f>
        <v>1</v>
      </c>
      <c r="DA3712" s="30">
        <f t="shared" si="663"/>
        <v>1</v>
      </c>
      <c r="DB3712" s="140">
        <f t="shared" si="659"/>
        <v>1</v>
      </c>
    </row>
    <row r="3713" spans="1:132" s="30" customFormat="1" ht="10.55" hidden="1" customHeight="1" x14ac:dyDescent="0.25">
      <c r="A3713" s="226"/>
      <c r="B3713" s="1510" t="s">
        <v>808</v>
      </c>
      <c r="C3713" s="1510"/>
      <c r="D3713" s="1510"/>
      <c r="E3713" s="1510"/>
      <c r="F3713" s="1510"/>
      <c r="G3713" s="1510"/>
      <c r="H3713" s="1510"/>
      <c r="I3713" s="1510"/>
      <c r="J3713" s="1510"/>
      <c r="K3713" s="1510"/>
      <c r="L3713" s="1510"/>
      <c r="M3713" s="1510"/>
      <c r="N3713" s="1510"/>
      <c r="O3713" s="1510"/>
      <c r="P3713" s="1510"/>
      <c r="Q3713" s="1510"/>
      <c r="R3713" s="1510"/>
      <c r="S3713" s="1510"/>
      <c r="T3713" s="1510"/>
      <c r="U3713" s="1510"/>
      <c r="V3713" s="1510"/>
      <c r="W3713" s="1510"/>
      <c r="X3713" s="1510"/>
      <c r="Y3713" s="1510"/>
      <c r="Z3713" s="1510"/>
      <c r="AA3713" s="1510"/>
      <c r="AB3713" s="1510"/>
      <c r="AC3713" s="1510"/>
      <c r="AD3713" s="1510"/>
      <c r="AE3713" s="1510"/>
      <c r="AF3713" s="1510"/>
      <c r="AG3713" s="1510"/>
      <c r="AH3713" s="1510"/>
      <c r="AI3713" s="1510"/>
      <c r="AJ3713" s="1510"/>
      <c r="AK3713" s="1510"/>
      <c r="AL3713" s="1510"/>
      <c r="AM3713" s="1510"/>
      <c r="AN3713" s="1510"/>
      <c r="AO3713" s="1510"/>
      <c r="AP3713" s="1510"/>
      <c r="AQ3713" s="1510"/>
      <c r="AR3713" s="1510"/>
      <c r="AS3713" s="1510"/>
      <c r="AT3713" s="1510"/>
      <c r="AU3713" s="1510"/>
      <c r="AV3713" s="1510"/>
      <c r="AW3713" s="1510"/>
      <c r="AX3713" s="1510"/>
      <c r="AY3713" s="1510"/>
      <c r="AZ3713" s="1510"/>
      <c r="BA3713" s="1510"/>
      <c r="BB3713" s="1510"/>
      <c r="BC3713" s="1510"/>
      <c r="BD3713" s="1510"/>
      <c r="BE3713" s="1510"/>
      <c r="BF3713" s="1510"/>
      <c r="BG3713" s="1510"/>
      <c r="BH3713" s="1510"/>
      <c r="BI3713" s="1510"/>
      <c r="BJ3713" s="1510"/>
      <c r="BK3713" s="1510"/>
      <c r="BL3713" s="1510"/>
      <c r="BM3713" s="1510"/>
      <c r="BN3713" s="1510"/>
      <c r="BO3713" s="1510"/>
      <c r="BP3713" s="1510"/>
      <c r="BQ3713" s="1510"/>
      <c r="BR3713" s="1510"/>
      <c r="BS3713" s="1510"/>
      <c r="BT3713" s="1510"/>
      <c r="BU3713" s="1510"/>
      <c r="BV3713" s="1510"/>
      <c r="BW3713" s="1510"/>
      <c r="BX3713" s="1510"/>
      <c r="BY3713" s="1510"/>
      <c r="BZ3713" s="1510"/>
      <c r="CA3713" s="265" t="s">
        <v>773</v>
      </c>
      <c r="CB3713" s="5" t="str">
        <f t="shared" si="662"/>
        <v>Riadok bude skrytý.</v>
      </c>
      <c r="CC3713" s="311" t="s">
        <v>832</v>
      </c>
      <c r="CD3713" s="2"/>
      <c r="CW3713" s="49">
        <v>1</v>
      </c>
      <c r="CZ3713" s="30">
        <f t="shared" si="665"/>
        <v>1</v>
      </c>
      <c r="DA3713" s="30">
        <f t="shared" si="663"/>
        <v>1</v>
      </c>
      <c r="DB3713" s="2">
        <f t="shared" ref="DB3713:DB3741" si="666">+IF($CD$1="malé",0,DA3713)</f>
        <v>0</v>
      </c>
      <c r="DR3713" s="84"/>
      <c r="DS3713" s="130"/>
      <c r="DT3713" s="130"/>
      <c r="DU3713" s="130"/>
      <c r="DV3713" s="130"/>
      <c r="DW3713" s="130"/>
      <c r="DX3713" s="130"/>
      <c r="DY3713" s="130"/>
      <c r="DZ3713" s="132"/>
      <c r="EA3713" s="84"/>
      <c r="EB3713" s="84"/>
    </row>
    <row r="3714" spans="1:132" s="30" customFormat="1" ht="10.55" hidden="1" customHeight="1" x14ac:dyDescent="0.25">
      <c r="A3714" s="226"/>
      <c r="B3714" s="312"/>
      <c r="C3714" s="312"/>
      <c r="D3714" s="312"/>
      <c r="E3714" s="312"/>
      <c r="F3714" s="312"/>
      <c r="G3714" s="312"/>
      <c r="H3714" s="312"/>
      <c r="I3714" s="312"/>
      <c r="J3714" s="312"/>
      <c r="K3714" s="312"/>
      <c r="L3714" s="312"/>
      <c r="M3714" s="312"/>
      <c r="N3714" s="312"/>
      <c r="O3714" s="312"/>
      <c r="P3714" s="312"/>
      <c r="Q3714" s="312"/>
      <c r="R3714" s="312"/>
      <c r="S3714" s="312"/>
      <c r="T3714" s="312"/>
      <c r="U3714" s="312"/>
      <c r="V3714" s="312"/>
      <c r="W3714" s="312"/>
      <c r="X3714" s="312"/>
      <c r="Y3714" s="312"/>
      <c r="Z3714" s="312"/>
      <c r="AA3714" s="312"/>
      <c r="AB3714" s="312"/>
      <c r="AC3714" s="312"/>
      <c r="AD3714" s="312"/>
      <c r="AE3714" s="312"/>
      <c r="AF3714" s="312"/>
      <c r="AG3714" s="312"/>
      <c r="AH3714" s="312"/>
      <c r="AI3714" s="312"/>
      <c r="AJ3714" s="312"/>
      <c r="AK3714" s="312"/>
      <c r="AL3714" s="312"/>
      <c r="AM3714" s="312"/>
      <c r="AN3714" s="312"/>
      <c r="AO3714" s="312"/>
      <c r="AP3714" s="312"/>
      <c r="AQ3714" s="312"/>
      <c r="AR3714" s="312"/>
      <c r="AS3714" s="312"/>
      <c r="AT3714" s="312"/>
      <c r="AU3714" s="312"/>
      <c r="AV3714" s="312"/>
      <c r="AW3714" s="312"/>
      <c r="AX3714" s="312"/>
      <c r="AY3714" s="312"/>
      <c r="AZ3714" s="312"/>
      <c r="BA3714" s="312"/>
      <c r="BB3714" s="312"/>
      <c r="BC3714" s="312"/>
      <c r="BD3714" s="312"/>
      <c r="BE3714" s="312"/>
      <c r="BF3714" s="312"/>
      <c r="BG3714" s="312"/>
      <c r="BH3714" s="312"/>
      <c r="BI3714" s="312"/>
      <c r="BJ3714" s="312"/>
      <c r="BK3714" s="312"/>
      <c r="BL3714" s="312"/>
      <c r="BM3714" s="312"/>
      <c r="BN3714" s="312"/>
      <c r="BO3714" s="312"/>
      <c r="BP3714" s="312"/>
      <c r="BQ3714" s="312"/>
      <c r="BR3714" s="312"/>
      <c r="BS3714" s="312"/>
      <c r="BT3714" s="312"/>
      <c r="BU3714" s="312"/>
      <c r="BV3714" s="312"/>
      <c r="BW3714" s="312"/>
      <c r="BX3714" s="312"/>
      <c r="BY3714" s="312"/>
      <c r="BZ3714" s="312"/>
      <c r="CA3714" s="308"/>
      <c r="CB3714" s="5" t="str">
        <f t="shared" si="662"/>
        <v>Riadok bude skrytý.</v>
      </c>
      <c r="CC3714" s="311" t="s">
        <v>832</v>
      </c>
      <c r="CD3714" s="2"/>
      <c r="CW3714" s="49">
        <v>1</v>
      </c>
      <c r="CZ3714" s="30">
        <f t="shared" si="665"/>
        <v>1</v>
      </c>
      <c r="DA3714" s="30">
        <f t="shared" si="663"/>
        <v>1</v>
      </c>
      <c r="DB3714" s="2">
        <f t="shared" si="666"/>
        <v>0</v>
      </c>
      <c r="DR3714" s="84"/>
      <c r="DS3714" s="130"/>
      <c r="DT3714" s="130"/>
      <c r="DU3714" s="130"/>
      <c r="DV3714" s="130"/>
      <c r="DW3714" s="130"/>
      <c r="DX3714" s="130"/>
      <c r="DY3714" s="130"/>
      <c r="DZ3714" s="132"/>
      <c r="EA3714" s="84"/>
      <c r="EB3714" s="84"/>
    </row>
    <row r="3715" spans="1:132" s="30" customFormat="1" ht="10.55" hidden="1" customHeight="1" x14ac:dyDescent="0.25">
      <c r="A3715" s="226"/>
      <c r="B3715" s="1510" t="s">
        <v>985</v>
      </c>
      <c r="C3715" s="1510"/>
      <c r="D3715" s="1510"/>
      <c r="E3715" s="1510"/>
      <c r="F3715" s="1510"/>
      <c r="G3715" s="1510"/>
      <c r="H3715" s="1510"/>
      <c r="I3715" s="1510"/>
      <c r="J3715" s="1510"/>
      <c r="K3715" s="1510"/>
      <c r="L3715" s="1510"/>
      <c r="M3715" s="1510"/>
      <c r="N3715" s="1510"/>
      <c r="O3715" s="1510"/>
      <c r="P3715" s="1510"/>
      <c r="Q3715" s="1510"/>
      <c r="R3715" s="1510"/>
      <c r="S3715" s="1510"/>
      <c r="T3715" s="1510"/>
      <c r="U3715" s="1510"/>
      <c r="V3715" s="1510"/>
      <c r="W3715" s="1510"/>
      <c r="X3715" s="1510"/>
      <c r="Y3715" s="1510"/>
      <c r="Z3715" s="1510"/>
      <c r="AA3715" s="1510"/>
      <c r="AB3715" s="1510"/>
      <c r="AC3715" s="1510"/>
      <c r="AD3715" s="1510"/>
      <c r="AE3715" s="1510"/>
      <c r="AF3715" s="1510"/>
      <c r="AG3715" s="1510"/>
      <c r="AH3715" s="1510"/>
      <c r="AI3715" s="1510"/>
      <c r="AJ3715" s="1510"/>
      <c r="AK3715" s="1510"/>
      <c r="AL3715" s="1510"/>
      <c r="AM3715" s="1510"/>
      <c r="AN3715" s="1510"/>
      <c r="AO3715" s="1510"/>
      <c r="AP3715" s="1510"/>
      <c r="AQ3715" s="1510"/>
      <c r="AR3715" s="1510"/>
      <c r="AS3715" s="1510"/>
      <c r="AT3715" s="1510"/>
      <c r="AU3715" s="1510"/>
      <c r="AV3715" s="1510"/>
      <c r="AW3715" s="1510"/>
      <c r="AX3715" s="1510"/>
      <c r="AY3715" s="1510"/>
      <c r="AZ3715" s="1510"/>
      <c r="BA3715" s="1510"/>
      <c r="BB3715" s="1510"/>
      <c r="BC3715" s="1510"/>
      <c r="BD3715" s="1510"/>
      <c r="BE3715" s="1510"/>
      <c r="BF3715" s="1510"/>
      <c r="BG3715" s="1510"/>
      <c r="BH3715" s="1510"/>
      <c r="BI3715" s="1510"/>
      <c r="BJ3715" s="1510"/>
      <c r="BK3715" s="1510"/>
      <c r="BL3715" s="1510"/>
      <c r="BM3715" s="1510"/>
      <c r="BN3715" s="1510"/>
      <c r="BO3715" s="1510"/>
      <c r="BP3715" s="1510"/>
      <c r="BQ3715" s="1510"/>
      <c r="BR3715" s="1510"/>
      <c r="BS3715" s="1510"/>
      <c r="BT3715" s="1510"/>
      <c r="BU3715" s="1510"/>
      <c r="BV3715" s="1510"/>
      <c r="BW3715" s="1510"/>
      <c r="BX3715" s="1510"/>
      <c r="BY3715" s="1510"/>
      <c r="BZ3715" s="1510"/>
      <c r="CA3715" s="308"/>
      <c r="CB3715" s="5" t="str">
        <f t="shared" si="662"/>
        <v>Riadok bude skrytý.</v>
      </c>
      <c r="CC3715" s="311" t="s">
        <v>832</v>
      </c>
      <c r="CD3715" s="2"/>
      <c r="CW3715" s="49">
        <v>1</v>
      </c>
      <c r="CZ3715" s="30">
        <f t="shared" si="665"/>
        <v>1</v>
      </c>
      <c r="DA3715" s="30">
        <f t="shared" si="663"/>
        <v>1</v>
      </c>
      <c r="DB3715" s="2">
        <f t="shared" si="666"/>
        <v>0</v>
      </c>
      <c r="DR3715" s="84"/>
      <c r="DS3715" s="130"/>
      <c r="DT3715" s="130"/>
      <c r="DU3715" s="130"/>
      <c r="DV3715" s="130"/>
      <c r="DW3715" s="130"/>
      <c r="DX3715" s="130"/>
      <c r="DY3715" s="130"/>
      <c r="DZ3715" s="132"/>
      <c r="EA3715" s="84"/>
      <c r="EB3715" s="84"/>
    </row>
    <row r="3716" spans="1:132" s="30" customFormat="1" ht="10.55" hidden="1" customHeight="1" x14ac:dyDescent="0.25">
      <c r="A3716" s="226"/>
      <c r="B3716" s="1510" t="s">
        <v>986</v>
      </c>
      <c r="C3716" s="1510"/>
      <c r="D3716" s="1510"/>
      <c r="E3716" s="1510"/>
      <c r="F3716" s="1510"/>
      <c r="G3716" s="1510"/>
      <c r="H3716" s="1510"/>
      <c r="I3716" s="1510"/>
      <c r="J3716" s="1510"/>
      <c r="K3716" s="1510"/>
      <c r="L3716" s="1510"/>
      <c r="M3716" s="1510"/>
      <c r="N3716" s="1510"/>
      <c r="O3716" s="1510"/>
      <c r="P3716" s="1510"/>
      <c r="Q3716" s="1510"/>
      <c r="R3716" s="1510"/>
      <c r="S3716" s="1510"/>
      <c r="T3716" s="1510"/>
      <c r="U3716" s="1510"/>
      <c r="V3716" s="1510"/>
      <c r="W3716" s="1510"/>
      <c r="X3716" s="1510"/>
      <c r="Y3716" s="1510"/>
      <c r="Z3716" s="1510"/>
      <c r="AA3716" s="1510"/>
      <c r="AB3716" s="1510"/>
      <c r="AC3716" s="1510"/>
      <c r="AD3716" s="1510"/>
      <c r="AE3716" s="1510"/>
      <c r="AF3716" s="1510"/>
      <c r="AG3716" s="1510"/>
      <c r="AH3716" s="1510"/>
      <c r="AI3716" s="1510"/>
      <c r="AJ3716" s="1510"/>
      <c r="AK3716" s="1510"/>
      <c r="AL3716" s="1510"/>
      <c r="AM3716" s="1510"/>
      <c r="AN3716" s="1510"/>
      <c r="AO3716" s="1510"/>
      <c r="AP3716" s="1510"/>
      <c r="AQ3716" s="1510"/>
      <c r="AR3716" s="1510"/>
      <c r="AS3716" s="1510"/>
      <c r="AT3716" s="1510"/>
      <c r="AU3716" s="1510"/>
      <c r="AV3716" s="1510"/>
      <c r="AW3716" s="1510"/>
      <c r="AX3716" s="1510"/>
      <c r="AY3716" s="1510"/>
      <c r="AZ3716" s="1510"/>
      <c r="BA3716" s="1510"/>
      <c r="BB3716" s="1510"/>
      <c r="BC3716" s="1510"/>
      <c r="BD3716" s="1510"/>
      <c r="BE3716" s="1510"/>
      <c r="BF3716" s="1510"/>
      <c r="BG3716" s="1510"/>
      <c r="BH3716" s="1510"/>
      <c r="BI3716" s="1510"/>
      <c r="BJ3716" s="1510"/>
      <c r="BK3716" s="1510"/>
      <c r="BL3716" s="1510"/>
      <c r="BM3716" s="1510"/>
      <c r="BN3716" s="1510"/>
      <c r="BO3716" s="1510"/>
      <c r="BP3716" s="1510"/>
      <c r="BQ3716" s="1510"/>
      <c r="BR3716" s="1510"/>
      <c r="BS3716" s="1510"/>
      <c r="BT3716" s="1510"/>
      <c r="BU3716" s="1510"/>
      <c r="BV3716" s="1510"/>
      <c r="BW3716" s="1510"/>
      <c r="BX3716" s="1510"/>
      <c r="BY3716" s="1510"/>
      <c r="BZ3716" s="1510"/>
      <c r="CA3716" s="308"/>
      <c r="CB3716" s="5" t="str">
        <f t="shared" si="662"/>
        <v>Riadok bude skrytý.</v>
      </c>
      <c r="CC3716" s="311" t="s">
        <v>832</v>
      </c>
      <c r="CD3716" s="2"/>
      <c r="CW3716" s="49">
        <v>1</v>
      </c>
      <c r="CZ3716" s="30">
        <f t="shared" si="665"/>
        <v>1</v>
      </c>
      <c r="DA3716" s="30">
        <f t="shared" si="663"/>
        <v>1</v>
      </c>
      <c r="DB3716" s="2">
        <f t="shared" si="666"/>
        <v>0</v>
      </c>
      <c r="DR3716" s="84"/>
      <c r="DS3716" s="130"/>
      <c r="DT3716" s="130"/>
      <c r="DU3716" s="130"/>
      <c r="DV3716" s="130"/>
      <c r="DW3716" s="130"/>
      <c r="DX3716" s="130"/>
      <c r="DY3716" s="130"/>
      <c r="DZ3716" s="132"/>
      <c r="EA3716" s="84"/>
      <c r="EB3716" s="84"/>
    </row>
    <row r="3717" spans="1:132" s="30" customFormat="1" ht="10.55" hidden="1" customHeight="1" x14ac:dyDescent="0.25">
      <c r="A3717" s="226"/>
      <c r="B3717" s="1510" t="s">
        <v>987</v>
      </c>
      <c r="C3717" s="1510"/>
      <c r="D3717" s="1510"/>
      <c r="E3717" s="1510"/>
      <c r="F3717" s="1510"/>
      <c r="G3717" s="1510"/>
      <c r="H3717" s="1510"/>
      <c r="I3717" s="1510"/>
      <c r="J3717" s="1510"/>
      <c r="K3717" s="1510"/>
      <c r="L3717" s="1510"/>
      <c r="M3717" s="1510"/>
      <c r="N3717" s="1510"/>
      <c r="O3717" s="1510"/>
      <c r="P3717" s="1510"/>
      <c r="Q3717" s="1510"/>
      <c r="R3717" s="1510"/>
      <c r="S3717" s="1510"/>
      <c r="T3717" s="1510"/>
      <c r="U3717" s="1510"/>
      <c r="V3717" s="1510"/>
      <c r="W3717" s="1510"/>
      <c r="X3717" s="1510"/>
      <c r="Y3717" s="1510"/>
      <c r="Z3717" s="1510"/>
      <c r="AA3717" s="1510"/>
      <c r="AB3717" s="1510"/>
      <c r="AC3717" s="1510"/>
      <c r="AD3717" s="1510"/>
      <c r="AE3717" s="1510"/>
      <c r="AF3717" s="1510"/>
      <c r="AG3717" s="1510"/>
      <c r="AH3717" s="1510"/>
      <c r="AI3717" s="1510"/>
      <c r="AJ3717" s="1510"/>
      <c r="AK3717" s="1510"/>
      <c r="AL3717" s="1510"/>
      <c r="AM3717" s="1510"/>
      <c r="AN3717" s="1510"/>
      <c r="AO3717" s="1510"/>
      <c r="AP3717" s="1510"/>
      <c r="AQ3717" s="1510"/>
      <c r="AR3717" s="1510"/>
      <c r="AS3717" s="1510"/>
      <c r="AT3717" s="1510"/>
      <c r="AU3717" s="1510"/>
      <c r="AV3717" s="1510"/>
      <c r="AW3717" s="1510"/>
      <c r="AX3717" s="1510"/>
      <c r="AY3717" s="1510"/>
      <c r="AZ3717" s="1510"/>
      <c r="BA3717" s="1510"/>
      <c r="BB3717" s="1510"/>
      <c r="BC3717" s="1510"/>
      <c r="BD3717" s="1510"/>
      <c r="BE3717" s="1510"/>
      <c r="BF3717" s="1510"/>
      <c r="BG3717" s="1510"/>
      <c r="BH3717" s="1510"/>
      <c r="BI3717" s="1510"/>
      <c r="BJ3717" s="1510"/>
      <c r="BK3717" s="1510"/>
      <c r="BL3717" s="1510"/>
      <c r="BM3717" s="1510"/>
      <c r="BN3717" s="1510"/>
      <c r="BO3717" s="1510"/>
      <c r="BP3717" s="1510"/>
      <c r="BQ3717" s="1510"/>
      <c r="BR3717" s="1510"/>
      <c r="BS3717" s="1510"/>
      <c r="BT3717" s="1510"/>
      <c r="BU3717" s="1510"/>
      <c r="BV3717" s="1510"/>
      <c r="BW3717" s="1510"/>
      <c r="BX3717" s="1510"/>
      <c r="BY3717" s="1510"/>
      <c r="BZ3717" s="1510"/>
      <c r="CA3717" s="308"/>
      <c r="CB3717" s="5" t="str">
        <f t="shared" si="662"/>
        <v>Riadok bude skrytý.</v>
      </c>
      <c r="CC3717" s="311" t="s">
        <v>832</v>
      </c>
      <c r="CD3717" s="2"/>
      <c r="CW3717" s="49">
        <v>1</v>
      </c>
      <c r="CZ3717" s="30">
        <f t="shared" si="665"/>
        <v>1</v>
      </c>
      <c r="DA3717" s="30">
        <f t="shared" si="663"/>
        <v>1</v>
      </c>
      <c r="DB3717" s="2">
        <f t="shared" si="666"/>
        <v>0</v>
      </c>
      <c r="DR3717" s="84"/>
      <c r="DS3717" s="130"/>
      <c r="DT3717" s="130"/>
      <c r="DU3717" s="130"/>
      <c r="DV3717" s="130"/>
      <c r="DW3717" s="130"/>
      <c r="DX3717" s="130"/>
      <c r="DY3717" s="130"/>
      <c r="DZ3717" s="132"/>
      <c r="EA3717" s="84"/>
      <c r="EB3717" s="84"/>
    </row>
    <row r="3718" spans="1:132" s="30" customFormat="1" ht="10.55" hidden="1" customHeight="1" x14ac:dyDescent="0.25">
      <c r="A3718" s="226"/>
      <c r="B3718" s="1510" t="s">
        <v>823</v>
      </c>
      <c r="C3718" s="1510"/>
      <c r="D3718" s="1510"/>
      <c r="E3718" s="1510"/>
      <c r="F3718" s="1510"/>
      <c r="G3718" s="1510"/>
      <c r="H3718" s="1510"/>
      <c r="I3718" s="1510"/>
      <c r="J3718" s="1510"/>
      <c r="K3718" s="1510"/>
      <c r="L3718" s="1510"/>
      <c r="M3718" s="1510"/>
      <c r="N3718" s="1510"/>
      <c r="O3718" s="1510"/>
      <c r="P3718" s="1510"/>
      <c r="Q3718" s="1510"/>
      <c r="R3718" s="1510"/>
      <c r="S3718" s="1510"/>
      <c r="T3718" s="1510"/>
      <c r="U3718" s="1510"/>
      <c r="V3718" s="1510"/>
      <c r="W3718" s="1510"/>
      <c r="X3718" s="1510"/>
      <c r="Y3718" s="1510"/>
      <c r="Z3718" s="1510"/>
      <c r="AA3718" s="1510"/>
      <c r="AB3718" s="1510"/>
      <c r="AC3718" s="1510"/>
      <c r="AD3718" s="1510"/>
      <c r="AE3718" s="1510"/>
      <c r="AF3718" s="1510"/>
      <c r="AG3718" s="1510"/>
      <c r="AH3718" s="1510"/>
      <c r="AI3718" s="1510"/>
      <c r="AJ3718" s="1510"/>
      <c r="AK3718" s="1510"/>
      <c r="AL3718" s="1510"/>
      <c r="AM3718" s="1510"/>
      <c r="AN3718" s="1510"/>
      <c r="AO3718" s="1510"/>
      <c r="AP3718" s="1510"/>
      <c r="AQ3718" s="1510"/>
      <c r="AR3718" s="1510"/>
      <c r="AS3718" s="1510"/>
      <c r="AT3718" s="1510"/>
      <c r="AU3718" s="1510"/>
      <c r="AV3718" s="1510"/>
      <c r="AW3718" s="1510"/>
      <c r="AX3718" s="1510"/>
      <c r="AY3718" s="1510"/>
      <c r="AZ3718" s="1510"/>
      <c r="BA3718" s="1510"/>
      <c r="BB3718" s="1510"/>
      <c r="BC3718" s="1510"/>
      <c r="BD3718" s="1510"/>
      <c r="BE3718" s="1510"/>
      <c r="BF3718" s="1510"/>
      <c r="BG3718" s="1510"/>
      <c r="BH3718" s="1510"/>
      <c r="BI3718" s="1510"/>
      <c r="BJ3718" s="1510"/>
      <c r="BK3718" s="1510"/>
      <c r="BL3718" s="1510"/>
      <c r="BM3718" s="1510"/>
      <c r="BN3718" s="1510"/>
      <c r="BO3718" s="1510"/>
      <c r="BP3718" s="1510"/>
      <c r="BQ3718" s="1510"/>
      <c r="BR3718" s="1510"/>
      <c r="BS3718" s="1510"/>
      <c r="BT3718" s="1510"/>
      <c r="BU3718" s="1510"/>
      <c r="BV3718" s="1510"/>
      <c r="BW3718" s="1510"/>
      <c r="BX3718" s="1510"/>
      <c r="BY3718" s="1510"/>
      <c r="BZ3718" s="1510"/>
      <c r="CA3718" s="308"/>
      <c r="CB3718" s="5" t="str">
        <f t="shared" si="662"/>
        <v>Riadok bude skrytý.</v>
      </c>
      <c r="CC3718" s="311" t="s">
        <v>832</v>
      </c>
      <c r="CD3718" s="2"/>
      <c r="CW3718" s="49">
        <v>1</v>
      </c>
      <c r="CZ3718" s="30">
        <f t="shared" si="665"/>
        <v>1</v>
      </c>
      <c r="DA3718" s="30">
        <f t="shared" si="663"/>
        <v>1</v>
      </c>
      <c r="DB3718" s="2">
        <f t="shared" si="666"/>
        <v>0</v>
      </c>
      <c r="DR3718" s="84"/>
      <c r="DS3718" s="130"/>
      <c r="DT3718" s="130"/>
      <c r="DU3718" s="130"/>
      <c r="DV3718" s="130"/>
      <c r="DW3718" s="130"/>
      <c r="DX3718" s="130"/>
      <c r="DY3718" s="130"/>
      <c r="DZ3718" s="132"/>
      <c r="EA3718" s="84"/>
      <c r="EB3718" s="84"/>
    </row>
    <row r="3719" spans="1:132" s="30" customFormat="1" ht="10.55" hidden="1" customHeight="1" x14ac:dyDescent="0.25">
      <c r="A3719" s="226"/>
      <c r="B3719" s="1510" t="s">
        <v>988</v>
      </c>
      <c r="C3719" s="1510"/>
      <c r="D3719" s="1510"/>
      <c r="E3719" s="1510"/>
      <c r="F3719" s="1510"/>
      <c r="G3719" s="1510"/>
      <c r="H3719" s="1510"/>
      <c r="I3719" s="1510"/>
      <c r="J3719" s="1510"/>
      <c r="K3719" s="1510"/>
      <c r="L3719" s="1510"/>
      <c r="M3719" s="1510"/>
      <c r="N3719" s="1510"/>
      <c r="O3719" s="1510"/>
      <c r="P3719" s="1510"/>
      <c r="Q3719" s="1510"/>
      <c r="R3719" s="1510"/>
      <c r="S3719" s="1510"/>
      <c r="T3719" s="1510"/>
      <c r="U3719" s="1510"/>
      <c r="V3719" s="1510"/>
      <c r="W3719" s="1510"/>
      <c r="X3719" s="1510"/>
      <c r="Y3719" s="1510"/>
      <c r="Z3719" s="1510"/>
      <c r="AA3719" s="1510"/>
      <c r="AB3719" s="1510"/>
      <c r="AC3719" s="1510"/>
      <c r="AD3719" s="1510"/>
      <c r="AE3719" s="1510"/>
      <c r="AF3719" s="1510"/>
      <c r="AG3719" s="1510"/>
      <c r="AH3719" s="1510"/>
      <c r="AI3719" s="1510"/>
      <c r="AJ3719" s="1510"/>
      <c r="AK3719" s="1510"/>
      <c r="AL3719" s="1510"/>
      <c r="AM3719" s="1510"/>
      <c r="AN3719" s="1510"/>
      <c r="AO3719" s="1510"/>
      <c r="AP3719" s="1510"/>
      <c r="AQ3719" s="1510"/>
      <c r="AR3719" s="1510"/>
      <c r="AS3719" s="1510"/>
      <c r="AT3719" s="1510"/>
      <c r="AU3719" s="1510"/>
      <c r="AV3719" s="1510"/>
      <c r="AW3719" s="1510"/>
      <c r="AX3719" s="1510"/>
      <c r="AY3719" s="1510"/>
      <c r="AZ3719" s="1510"/>
      <c r="BA3719" s="1510"/>
      <c r="BB3719" s="1510"/>
      <c r="BC3719" s="1510"/>
      <c r="BD3719" s="1510"/>
      <c r="BE3719" s="1510"/>
      <c r="BF3719" s="1510"/>
      <c r="BG3719" s="1510"/>
      <c r="BH3719" s="1510"/>
      <c r="BI3719" s="1510"/>
      <c r="BJ3719" s="1510"/>
      <c r="BK3719" s="1510"/>
      <c r="BL3719" s="1510"/>
      <c r="BM3719" s="1510"/>
      <c r="BN3719" s="1510"/>
      <c r="BO3719" s="1510"/>
      <c r="BP3719" s="1510"/>
      <c r="BQ3719" s="1510"/>
      <c r="BR3719" s="1510"/>
      <c r="BS3719" s="1510"/>
      <c r="BT3719" s="1510"/>
      <c r="BU3719" s="1510"/>
      <c r="BV3719" s="1510"/>
      <c r="BW3719" s="1510"/>
      <c r="BX3719" s="1510"/>
      <c r="BY3719" s="1510"/>
      <c r="BZ3719" s="1510"/>
      <c r="CA3719" s="308"/>
      <c r="CB3719" s="5" t="str">
        <f t="shared" si="662"/>
        <v>Riadok bude skrytý.</v>
      </c>
      <c r="CC3719" s="311" t="s">
        <v>832</v>
      </c>
      <c r="CD3719" s="2"/>
      <c r="CW3719" s="49">
        <v>1</v>
      </c>
      <c r="CZ3719" s="30">
        <f t="shared" si="665"/>
        <v>1</v>
      </c>
      <c r="DA3719" s="30">
        <f t="shared" si="663"/>
        <v>1</v>
      </c>
      <c r="DB3719" s="2">
        <f t="shared" si="666"/>
        <v>0</v>
      </c>
      <c r="DR3719" s="84"/>
      <c r="DS3719" s="130"/>
      <c r="DT3719" s="130"/>
      <c r="DU3719" s="130"/>
      <c r="DV3719" s="130"/>
      <c r="DW3719" s="130"/>
      <c r="DX3719" s="130"/>
      <c r="DY3719" s="130"/>
      <c r="DZ3719" s="132"/>
      <c r="EA3719" s="84"/>
      <c r="EB3719" s="84"/>
    </row>
    <row r="3720" spans="1:132" s="30" customFormat="1" ht="10.55" hidden="1" customHeight="1" x14ac:dyDescent="0.25">
      <c r="A3720" s="226"/>
      <c r="B3720" s="1510" t="s">
        <v>989</v>
      </c>
      <c r="C3720" s="1510"/>
      <c r="D3720" s="1510"/>
      <c r="E3720" s="1510"/>
      <c r="F3720" s="1510"/>
      <c r="G3720" s="1510"/>
      <c r="H3720" s="1510"/>
      <c r="I3720" s="1510"/>
      <c r="J3720" s="1510"/>
      <c r="K3720" s="1510"/>
      <c r="L3720" s="1510"/>
      <c r="M3720" s="1510"/>
      <c r="N3720" s="1510"/>
      <c r="O3720" s="1510"/>
      <c r="P3720" s="1510"/>
      <c r="Q3720" s="1510"/>
      <c r="R3720" s="1510"/>
      <c r="S3720" s="1510"/>
      <c r="T3720" s="1510"/>
      <c r="U3720" s="1510"/>
      <c r="V3720" s="1510"/>
      <c r="W3720" s="1510"/>
      <c r="X3720" s="1510"/>
      <c r="Y3720" s="1510"/>
      <c r="Z3720" s="1510"/>
      <c r="AA3720" s="1510"/>
      <c r="AB3720" s="1510"/>
      <c r="AC3720" s="1510"/>
      <c r="AD3720" s="1510"/>
      <c r="AE3720" s="1510"/>
      <c r="AF3720" s="1510"/>
      <c r="AG3720" s="1510"/>
      <c r="AH3720" s="1510"/>
      <c r="AI3720" s="1510"/>
      <c r="AJ3720" s="1510"/>
      <c r="AK3720" s="1510"/>
      <c r="AL3720" s="1510"/>
      <c r="AM3720" s="1510"/>
      <c r="AN3720" s="1510"/>
      <c r="AO3720" s="1510"/>
      <c r="AP3720" s="1510"/>
      <c r="AQ3720" s="1510"/>
      <c r="AR3720" s="1510"/>
      <c r="AS3720" s="1510"/>
      <c r="AT3720" s="1510"/>
      <c r="AU3720" s="1510"/>
      <c r="AV3720" s="1510"/>
      <c r="AW3720" s="1510"/>
      <c r="AX3720" s="1510"/>
      <c r="AY3720" s="1510"/>
      <c r="AZ3720" s="1510"/>
      <c r="BA3720" s="1510"/>
      <c r="BB3720" s="1510"/>
      <c r="BC3720" s="1510"/>
      <c r="BD3720" s="1510"/>
      <c r="BE3720" s="1510"/>
      <c r="BF3720" s="1510"/>
      <c r="BG3720" s="1510"/>
      <c r="BH3720" s="1510"/>
      <c r="BI3720" s="1510"/>
      <c r="BJ3720" s="1510"/>
      <c r="BK3720" s="1510"/>
      <c r="BL3720" s="1510"/>
      <c r="BM3720" s="1510"/>
      <c r="BN3720" s="1510"/>
      <c r="BO3720" s="1510"/>
      <c r="BP3720" s="1510"/>
      <c r="BQ3720" s="1510"/>
      <c r="BR3720" s="1510"/>
      <c r="BS3720" s="1510"/>
      <c r="BT3720" s="1510"/>
      <c r="BU3720" s="1510"/>
      <c r="BV3720" s="1510"/>
      <c r="BW3720" s="1510"/>
      <c r="BX3720" s="1510"/>
      <c r="BY3720" s="1510"/>
      <c r="BZ3720" s="1510"/>
      <c r="CA3720" s="308"/>
      <c r="CB3720" s="5" t="str">
        <f t="shared" si="662"/>
        <v>Riadok bude skrytý.</v>
      </c>
      <c r="CC3720" s="311" t="s">
        <v>832</v>
      </c>
      <c r="CD3720" s="2"/>
      <c r="CW3720" s="49">
        <v>1</v>
      </c>
      <c r="CZ3720" s="30">
        <f t="shared" si="665"/>
        <v>1</v>
      </c>
      <c r="DA3720" s="30">
        <f t="shared" si="663"/>
        <v>1</v>
      </c>
      <c r="DB3720" s="2">
        <f t="shared" si="666"/>
        <v>0</v>
      </c>
      <c r="DR3720" s="84"/>
      <c r="DS3720" s="130"/>
      <c r="DT3720" s="130"/>
      <c r="DU3720" s="130"/>
      <c r="DV3720" s="130"/>
      <c r="DW3720" s="130"/>
      <c r="DX3720" s="130"/>
      <c r="DY3720" s="130"/>
      <c r="DZ3720" s="132"/>
      <c r="EA3720" s="84"/>
      <c r="EB3720" s="84"/>
    </row>
    <row r="3721" spans="1:132" s="30" customFormat="1" ht="10.55" hidden="1" customHeight="1" x14ac:dyDescent="0.25">
      <c r="A3721" s="226"/>
      <c r="B3721" s="1510" t="s">
        <v>990</v>
      </c>
      <c r="C3721" s="1510"/>
      <c r="D3721" s="1510"/>
      <c r="E3721" s="1510"/>
      <c r="F3721" s="1510"/>
      <c r="G3721" s="1510"/>
      <c r="H3721" s="1510"/>
      <c r="I3721" s="1510"/>
      <c r="J3721" s="1510"/>
      <c r="K3721" s="1510"/>
      <c r="L3721" s="1510"/>
      <c r="M3721" s="1510"/>
      <c r="N3721" s="1510"/>
      <c r="O3721" s="1510"/>
      <c r="P3721" s="1510"/>
      <c r="Q3721" s="1510"/>
      <c r="R3721" s="1510"/>
      <c r="S3721" s="1510"/>
      <c r="T3721" s="1510"/>
      <c r="U3721" s="1510"/>
      <c r="V3721" s="1510"/>
      <c r="W3721" s="1510"/>
      <c r="X3721" s="1510"/>
      <c r="Y3721" s="1510"/>
      <c r="Z3721" s="1510"/>
      <c r="AA3721" s="1510"/>
      <c r="AB3721" s="1510"/>
      <c r="AC3721" s="1510"/>
      <c r="AD3721" s="1510"/>
      <c r="AE3721" s="1510"/>
      <c r="AF3721" s="1510"/>
      <c r="AG3721" s="1510"/>
      <c r="AH3721" s="1510"/>
      <c r="AI3721" s="1510"/>
      <c r="AJ3721" s="1510"/>
      <c r="AK3721" s="1510"/>
      <c r="AL3721" s="1510"/>
      <c r="AM3721" s="1510"/>
      <c r="AN3721" s="1510"/>
      <c r="AO3721" s="1510"/>
      <c r="AP3721" s="1510"/>
      <c r="AQ3721" s="1510"/>
      <c r="AR3721" s="1510"/>
      <c r="AS3721" s="1510"/>
      <c r="AT3721" s="1510"/>
      <c r="AU3721" s="1510"/>
      <c r="AV3721" s="1510"/>
      <c r="AW3721" s="1510"/>
      <c r="AX3721" s="1510"/>
      <c r="AY3721" s="1510"/>
      <c r="AZ3721" s="1510"/>
      <c r="BA3721" s="1510"/>
      <c r="BB3721" s="1510"/>
      <c r="BC3721" s="1510"/>
      <c r="BD3721" s="1510"/>
      <c r="BE3721" s="1510"/>
      <c r="BF3721" s="1510"/>
      <c r="BG3721" s="1510"/>
      <c r="BH3721" s="1510"/>
      <c r="BI3721" s="1510"/>
      <c r="BJ3721" s="1510"/>
      <c r="BK3721" s="1510"/>
      <c r="BL3721" s="1510"/>
      <c r="BM3721" s="1510"/>
      <c r="BN3721" s="1510"/>
      <c r="BO3721" s="1510"/>
      <c r="BP3721" s="1510"/>
      <c r="BQ3721" s="1510"/>
      <c r="BR3721" s="1510"/>
      <c r="BS3721" s="1510"/>
      <c r="BT3721" s="1510"/>
      <c r="BU3721" s="1510"/>
      <c r="BV3721" s="1510"/>
      <c r="BW3721" s="1510"/>
      <c r="BX3721" s="1510"/>
      <c r="BY3721" s="1510"/>
      <c r="BZ3721" s="1510"/>
      <c r="CA3721" s="308"/>
      <c r="CB3721" s="5" t="str">
        <f t="shared" si="662"/>
        <v>Riadok bude skrytý.</v>
      </c>
      <c r="CC3721" s="311" t="s">
        <v>832</v>
      </c>
      <c r="CD3721" s="2"/>
      <c r="CW3721" s="49">
        <v>1</v>
      </c>
      <c r="CZ3721" s="30">
        <f t="shared" si="665"/>
        <v>1</v>
      </c>
      <c r="DA3721" s="30">
        <f t="shared" si="663"/>
        <v>1</v>
      </c>
      <c r="DB3721" s="2">
        <f t="shared" si="666"/>
        <v>0</v>
      </c>
      <c r="DR3721" s="84"/>
      <c r="DS3721" s="130"/>
      <c r="DT3721" s="130"/>
      <c r="DU3721" s="130"/>
      <c r="DV3721" s="130"/>
      <c r="DW3721" s="130"/>
      <c r="DX3721" s="130"/>
      <c r="DY3721" s="130"/>
      <c r="DZ3721" s="132"/>
      <c r="EA3721" s="84"/>
      <c r="EB3721" s="84"/>
    </row>
    <row r="3722" spans="1:132" s="30" customFormat="1" ht="10.55" hidden="1" customHeight="1" x14ac:dyDescent="0.25">
      <c r="A3722" s="226"/>
      <c r="B3722" s="1510" t="s">
        <v>991</v>
      </c>
      <c r="C3722" s="1510"/>
      <c r="D3722" s="1510"/>
      <c r="E3722" s="1510"/>
      <c r="F3722" s="1510"/>
      <c r="G3722" s="1510"/>
      <c r="H3722" s="1510"/>
      <c r="I3722" s="1510"/>
      <c r="J3722" s="1510"/>
      <c r="K3722" s="1510"/>
      <c r="L3722" s="1510"/>
      <c r="M3722" s="1510"/>
      <c r="N3722" s="1510"/>
      <c r="O3722" s="1510"/>
      <c r="P3722" s="1510"/>
      <c r="Q3722" s="1510"/>
      <c r="R3722" s="1510"/>
      <c r="S3722" s="1510"/>
      <c r="T3722" s="1510"/>
      <c r="U3722" s="1510"/>
      <c r="V3722" s="1510"/>
      <c r="W3722" s="1510"/>
      <c r="X3722" s="1510"/>
      <c r="Y3722" s="1510"/>
      <c r="Z3722" s="1510"/>
      <c r="AA3722" s="1510"/>
      <c r="AB3722" s="1510"/>
      <c r="AC3722" s="1510"/>
      <c r="AD3722" s="1510"/>
      <c r="AE3722" s="1510"/>
      <c r="AF3722" s="1510"/>
      <c r="AG3722" s="1510"/>
      <c r="AH3722" s="1510"/>
      <c r="AI3722" s="1510"/>
      <c r="AJ3722" s="1510"/>
      <c r="AK3722" s="1510"/>
      <c r="AL3722" s="1510"/>
      <c r="AM3722" s="1510"/>
      <c r="AN3722" s="1510"/>
      <c r="AO3722" s="1510"/>
      <c r="AP3722" s="1510"/>
      <c r="AQ3722" s="1510"/>
      <c r="AR3722" s="1510"/>
      <c r="AS3722" s="1510"/>
      <c r="AT3722" s="1510"/>
      <c r="AU3722" s="1510"/>
      <c r="AV3722" s="1510"/>
      <c r="AW3722" s="1510"/>
      <c r="AX3722" s="1510"/>
      <c r="AY3722" s="1510"/>
      <c r="AZ3722" s="1510"/>
      <c r="BA3722" s="1510"/>
      <c r="BB3722" s="1510"/>
      <c r="BC3722" s="1510"/>
      <c r="BD3722" s="1510"/>
      <c r="BE3722" s="1510"/>
      <c r="BF3722" s="1510"/>
      <c r="BG3722" s="1510"/>
      <c r="BH3722" s="1510"/>
      <c r="BI3722" s="1510"/>
      <c r="BJ3722" s="1510"/>
      <c r="BK3722" s="1510"/>
      <c r="BL3722" s="1510"/>
      <c r="BM3722" s="1510"/>
      <c r="BN3722" s="1510"/>
      <c r="BO3722" s="1510"/>
      <c r="BP3722" s="1510"/>
      <c r="BQ3722" s="1510"/>
      <c r="BR3722" s="1510"/>
      <c r="BS3722" s="1510"/>
      <c r="BT3722" s="1510"/>
      <c r="BU3722" s="1510"/>
      <c r="BV3722" s="1510"/>
      <c r="BW3722" s="1510"/>
      <c r="BX3722" s="1510"/>
      <c r="BY3722" s="1510"/>
      <c r="BZ3722" s="1510"/>
      <c r="CA3722" s="308"/>
      <c r="CB3722" s="5" t="str">
        <f t="shared" si="662"/>
        <v>Riadok bude skrytý.</v>
      </c>
      <c r="CC3722" s="311" t="s">
        <v>832</v>
      </c>
      <c r="CD3722" s="2"/>
      <c r="CW3722" s="49">
        <v>1</v>
      </c>
      <c r="CZ3722" s="30">
        <f t="shared" si="665"/>
        <v>1</v>
      </c>
      <c r="DA3722" s="30">
        <f t="shared" si="663"/>
        <v>1</v>
      </c>
      <c r="DB3722" s="2">
        <f t="shared" si="666"/>
        <v>0</v>
      </c>
      <c r="DR3722" s="84"/>
      <c r="DS3722" s="130"/>
      <c r="DT3722" s="130"/>
      <c r="DU3722" s="130"/>
      <c r="DV3722" s="130"/>
      <c r="DW3722" s="130"/>
      <c r="DX3722" s="130"/>
      <c r="DY3722" s="130"/>
      <c r="DZ3722" s="132"/>
      <c r="EA3722" s="84"/>
      <c r="EB3722" s="84"/>
    </row>
    <row r="3723" spans="1:132" s="30" customFormat="1" ht="10.55" hidden="1" customHeight="1" x14ac:dyDescent="0.25">
      <c r="A3723" s="226"/>
      <c r="B3723" s="1510" t="s">
        <v>992</v>
      </c>
      <c r="C3723" s="1510"/>
      <c r="D3723" s="1510"/>
      <c r="E3723" s="1510"/>
      <c r="F3723" s="1510"/>
      <c r="G3723" s="1510"/>
      <c r="H3723" s="1510"/>
      <c r="I3723" s="1510"/>
      <c r="J3723" s="1510"/>
      <c r="K3723" s="1510"/>
      <c r="L3723" s="1510"/>
      <c r="M3723" s="1510"/>
      <c r="N3723" s="1510"/>
      <c r="O3723" s="1510"/>
      <c r="P3723" s="1510"/>
      <c r="Q3723" s="1510"/>
      <c r="R3723" s="1510"/>
      <c r="S3723" s="1510"/>
      <c r="T3723" s="1510"/>
      <c r="U3723" s="1510"/>
      <c r="V3723" s="1510"/>
      <c r="W3723" s="1510"/>
      <c r="X3723" s="1510"/>
      <c r="Y3723" s="1510"/>
      <c r="Z3723" s="1510"/>
      <c r="AA3723" s="1510"/>
      <c r="AB3723" s="1510"/>
      <c r="AC3723" s="1510"/>
      <c r="AD3723" s="1510"/>
      <c r="AE3723" s="1510"/>
      <c r="AF3723" s="1510"/>
      <c r="AG3723" s="1510"/>
      <c r="AH3723" s="1510"/>
      <c r="AI3723" s="1510"/>
      <c r="AJ3723" s="1510"/>
      <c r="AK3723" s="1510"/>
      <c r="AL3723" s="1510"/>
      <c r="AM3723" s="1510"/>
      <c r="AN3723" s="1510"/>
      <c r="AO3723" s="1510"/>
      <c r="AP3723" s="1510"/>
      <c r="AQ3723" s="1510"/>
      <c r="AR3723" s="1510"/>
      <c r="AS3723" s="1510"/>
      <c r="AT3723" s="1510"/>
      <c r="AU3723" s="1510"/>
      <c r="AV3723" s="1510"/>
      <c r="AW3723" s="1510"/>
      <c r="AX3723" s="1510"/>
      <c r="AY3723" s="1510"/>
      <c r="AZ3723" s="1510"/>
      <c r="BA3723" s="1510"/>
      <c r="BB3723" s="1510"/>
      <c r="BC3723" s="1510"/>
      <c r="BD3723" s="1510"/>
      <c r="BE3723" s="1510"/>
      <c r="BF3723" s="1510"/>
      <c r="BG3723" s="1510"/>
      <c r="BH3723" s="1510"/>
      <c r="BI3723" s="1510"/>
      <c r="BJ3723" s="1510"/>
      <c r="BK3723" s="1510"/>
      <c r="BL3723" s="1510"/>
      <c r="BM3723" s="1510"/>
      <c r="BN3723" s="1510"/>
      <c r="BO3723" s="1510"/>
      <c r="BP3723" s="1510"/>
      <c r="BQ3723" s="1510"/>
      <c r="BR3723" s="1510"/>
      <c r="BS3723" s="1510"/>
      <c r="BT3723" s="1510"/>
      <c r="BU3723" s="1510"/>
      <c r="BV3723" s="1510"/>
      <c r="BW3723" s="1510"/>
      <c r="BX3723" s="1510"/>
      <c r="BY3723" s="1510"/>
      <c r="BZ3723" s="1510"/>
      <c r="CA3723" s="308"/>
      <c r="CB3723" s="5" t="str">
        <f t="shared" si="662"/>
        <v>Riadok bude skrytý.</v>
      </c>
      <c r="CC3723" s="311" t="s">
        <v>832</v>
      </c>
      <c r="CD3723" s="2"/>
      <c r="CW3723" s="49">
        <v>1</v>
      </c>
      <c r="CZ3723" s="30">
        <f t="shared" si="665"/>
        <v>1</v>
      </c>
      <c r="DA3723" s="30">
        <f t="shared" si="663"/>
        <v>1</v>
      </c>
      <c r="DB3723" s="2">
        <f t="shared" si="666"/>
        <v>0</v>
      </c>
      <c r="DR3723" s="84"/>
      <c r="DS3723" s="130"/>
      <c r="DT3723" s="130"/>
      <c r="DU3723" s="130"/>
      <c r="DV3723" s="130"/>
      <c r="DW3723" s="130"/>
      <c r="DX3723" s="130"/>
      <c r="DY3723" s="130"/>
      <c r="DZ3723" s="132"/>
      <c r="EA3723" s="84"/>
      <c r="EB3723" s="84"/>
    </row>
    <row r="3724" spans="1:132" s="30" customFormat="1" ht="10.55" hidden="1" customHeight="1" x14ac:dyDescent="0.25">
      <c r="A3724" s="226"/>
      <c r="B3724" s="313"/>
      <c r="C3724" s="314"/>
      <c r="D3724" s="314"/>
      <c r="E3724" s="314"/>
      <c r="F3724" s="314"/>
      <c r="G3724" s="314"/>
      <c r="H3724" s="314"/>
      <c r="I3724" s="314"/>
      <c r="J3724" s="314"/>
      <c r="K3724" s="314"/>
      <c r="L3724" s="314"/>
      <c r="M3724" s="314"/>
      <c r="N3724" s="314"/>
      <c r="O3724" s="314"/>
      <c r="P3724" s="314"/>
      <c r="Q3724" s="314"/>
      <c r="R3724" s="314"/>
      <c r="S3724" s="314"/>
      <c r="T3724" s="314"/>
      <c r="U3724" s="314"/>
      <c r="V3724" s="314"/>
      <c r="W3724" s="314"/>
      <c r="X3724" s="314"/>
      <c r="Y3724" s="314"/>
      <c r="Z3724" s="314"/>
      <c r="AA3724" s="314"/>
      <c r="AB3724" s="314"/>
      <c r="AC3724" s="314"/>
      <c r="AD3724" s="314"/>
      <c r="AE3724" s="314"/>
      <c r="AF3724" s="314"/>
      <c r="AG3724" s="314"/>
      <c r="AH3724" s="314"/>
      <c r="AI3724" s="314"/>
      <c r="AJ3724" s="314"/>
      <c r="AK3724" s="314"/>
      <c r="AL3724" s="314"/>
      <c r="AM3724" s="313"/>
      <c r="AN3724" s="313"/>
      <c r="AO3724" s="313"/>
      <c r="AP3724" s="313"/>
      <c r="AQ3724" s="313"/>
      <c r="AR3724" s="313"/>
      <c r="AS3724" s="313"/>
      <c r="AT3724" s="313"/>
      <c r="AU3724" s="313"/>
      <c r="AV3724" s="313"/>
      <c r="AW3724" s="313"/>
      <c r="AX3724" s="313"/>
      <c r="AY3724" s="313"/>
      <c r="AZ3724" s="313"/>
      <c r="BA3724" s="313"/>
      <c r="BB3724" s="313"/>
      <c r="BC3724" s="313"/>
      <c r="BD3724" s="313"/>
      <c r="BE3724" s="313"/>
      <c r="BF3724" s="313"/>
      <c r="BG3724" s="313"/>
      <c r="BH3724" s="313"/>
      <c r="BI3724" s="313"/>
      <c r="BJ3724" s="313"/>
      <c r="BK3724" s="313"/>
      <c r="BL3724" s="313"/>
      <c r="BM3724" s="313"/>
      <c r="BN3724" s="313"/>
      <c r="BO3724" s="313"/>
      <c r="BP3724" s="313"/>
      <c r="BQ3724" s="313"/>
      <c r="BR3724" s="313"/>
      <c r="BS3724" s="313"/>
      <c r="BT3724" s="313"/>
      <c r="BU3724" s="313"/>
      <c r="BV3724" s="313"/>
      <c r="BW3724" s="313"/>
      <c r="BX3724" s="313"/>
      <c r="BY3724" s="313"/>
      <c r="BZ3724" s="313"/>
      <c r="CA3724" s="308"/>
      <c r="CB3724" s="5" t="str">
        <f t="shared" si="662"/>
        <v>Riadok bude skrytý.</v>
      </c>
      <c r="CC3724" s="311" t="s">
        <v>832</v>
      </c>
      <c r="CD3724" s="2"/>
      <c r="CW3724" s="49">
        <v>1</v>
      </c>
      <c r="CZ3724" s="30">
        <f t="shared" si="665"/>
        <v>1</v>
      </c>
      <c r="DA3724" s="30">
        <f t="shared" si="663"/>
        <v>1</v>
      </c>
      <c r="DB3724" s="2">
        <f t="shared" si="666"/>
        <v>0</v>
      </c>
      <c r="DR3724" s="84"/>
      <c r="DS3724" s="130"/>
      <c r="DT3724" s="130"/>
      <c r="DU3724" s="130"/>
      <c r="DV3724" s="130"/>
      <c r="DW3724" s="130"/>
      <c r="DX3724" s="130"/>
      <c r="DY3724" s="130"/>
      <c r="DZ3724" s="132"/>
      <c r="EA3724" s="84"/>
      <c r="EB3724" s="84"/>
    </row>
    <row r="3725" spans="1:132" s="30" customFormat="1" ht="10.55" hidden="1" customHeight="1" x14ac:dyDescent="0.25">
      <c r="A3725" s="226"/>
      <c r="B3725" s="313"/>
      <c r="C3725" s="1510" t="s">
        <v>809</v>
      </c>
      <c r="D3725" s="1510"/>
      <c r="E3725" s="1510"/>
      <c r="F3725" s="1510"/>
      <c r="G3725" s="1510"/>
      <c r="H3725" s="1510"/>
      <c r="I3725" s="1510"/>
      <c r="J3725" s="1510"/>
      <c r="K3725" s="1510"/>
      <c r="L3725" s="1510"/>
      <c r="M3725" s="1510"/>
      <c r="N3725" s="1510"/>
      <c r="O3725" s="1510"/>
      <c r="P3725" s="1510"/>
      <c r="Q3725" s="1510"/>
      <c r="R3725" s="1510"/>
      <c r="S3725" s="1510"/>
      <c r="T3725" s="1510"/>
      <c r="U3725" s="1510"/>
      <c r="V3725" s="1510"/>
      <c r="W3725" s="1510"/>
      <c r="X3725" s="1510"/>
      <c r="Y3725" s="1510"/>
      <c r="Z3725" s="1510"/>
      <c r="AA3725" s="1510"/>
      <c r="AB3725" s="1510"/>
      <c r="AC3725" s="1510"/>
      <c r="AD3725" s="1510"/>
      <c r="AE3725" s="1510"/>
      <c r="AF3725" s="1510"/>
      <c r="AG3725" s="1510"/>
      <c r="AH3725" s="1510"/>
      <c r="AI3725" s="1510"/>
      <c r="AJ3725" s="1510"/>
      <c r="AK3725" s="1510"/>
      <c r="AL3725" s="1510"/>
      <c r="AM3725" s="313"/>
      <c r="AN3725" s="313"/>
      <c r="AO3725" s="313"/>
      <c r="AP3725" s="313"/>
      <c r="AQ3725" s="313"/>
      <c r="AR3725" s="313"/>
      <c r="AS3725" s="313"/>
      <c r="AT3725" s="313"/>
      <c r="AU3725" s="313"/>
      <c r="AV3725" s="313"/>
      <c r="AW3725" s="313"/>
      <c r="AX3725" s="313"/>
      <c r="AY3725" s="313"/>
      <c r="AZ3725" s="313"/>
      <c r="BA3725" s="313"/>
      <c r="BB3725" s="313"/>
      <c r="BC3725" s="313"/>
      <c r="BD3725" s="313"/>
      <c r="BE3725" s="313"/>
      <c r="BF3725" s="313"/>
      <c r="BG3725" s="313"/>
      <c r="BH3725" s="313"/>
      <c r="BI3725" s="313"/>
      <c r="BJ3725" s="313"/>
      <c r="BK3725" s="313"/>
      <c r="BL3725" s="313"/>
      <c r="BM3725" s="313"/>
      <c r="BN3725" s="313"/>
      <c r="BO3725" s="313"/>
      <c r="BP3725" s="313"/>
      <c r="BQ3725" s="313"/>
      <c r="BR3725" s="313"/>
      <c r="BS3725" s="313"/>
      <c r="BT3725" s="313"/>
      <c r="BU3725" s="313"/>
      <c r="BV3725" s="313"/>
      <c r="BW3725" s="313"/>
      <c r="BX3725" s="313"/>
      <c r="BY3725" s="313"/>
      <c r="BZ3725" s="313"/>
      <c r="CA3725" s="308"/>
      <c r="CB3725" s="5" t="str">
        <f t="shared" si="662"/>
        <v>Riadok bude skrytý.</v>
      </c>
      <c r="CC3725" s="311" t="s">
        <v>832</v>
      </c>
      <c r="CD3725" s="2"/>
      <c r="CW3725" s="49">
        <v>1</v>
      </c>
      <c r="CZ3725" s="30">
        <f t="shared" si="665"/>
        <v>1</v>
      </c>
      <c r="DA3725" s="30">
        <f t="shared" si="663"/>
        <v>1</v>
      </c>
      <c r="DB3725" s="2">
        <f t="shared" si="666"/>
        <v>0</v>
      </c>
      <c r="DR3725" s="84"/>
      <c r="DS3725" s="130"/>
      <c r="DT3725" s="130"/>
      <c r="DU3725" s="130"/>
      <c r="DV3725" s="130"/>
      <c r="DW3725" s="130"/>
      <c r="DX3725" s="130"/>
      <c r="DY3725" s="130"/>
      <c r="DZ3725" s="132"/>
      <c r="EA3725" s="84"/>
      <c r="EB3725" s="84"/>
    </row>
    <row r="3726" spans="1:132" s="30" customFormat="1" ht="10.55" hidden="1" customHeight="1" x14ac:dyDescent="0.25">
      <c r="A3726" s="226"/>
      <c r="B3726" s="313"/>
      <c r="C3726" s="1510" t="s">
        <v>811</v>
      </c>
      <c r="D3726" s="1510"/>
      <c r="E3726" s="1510"/>
      <c r="F3726" s="1510"/>
      <c r="G3726" s="1510"/>
      <c r="H3726" s="1510"/>
      <c r="I3726" s="1510"/>
      <c r="J3726" s="1510"/>
      <c r="K3726" s="1510"/>
      <c r="L3726" s="1510"/>
      <c r="M3726" s="1510"/>
      <c r="N3726" s="1510"/>
      <c r="O3726" s="1510"/>
      <c r="P3726" s="1510"/>
      <c r="Q3726" s="1510"/>
      <c r="R3726" s="1510"/>
      <c r="S3726" s="1510"/>
      <c r="T3726" s="1510"/>
      <c r="U3726" s="1510"/>
      <c r="V3726" s="1510"/>
      <c r="W3726" s="1510"/>
      <c r="X3726" s="1510"/>
      <c r="Y3726" s="1510"/>
      <c r="Z3726" s="1510"/>
      <c r="AA3726" s="1510"/>
      <c r="AB3726" s="1510"/>
      <c r="AC3726" s="1510"/>
      <c r="AD3726" s="1510"/>
      <c r="AE3726" s="1510"/>
      <c r="AF3726" s="1510"/>
      <c r="AG3726" s="1510"/>
      <c r="AH3726" s="1510"/>
      <c r="AI3726" s="1510"/>
      <c r="AJ3726" s="1510"/>
      <c r="AK3726" s="1510"/>
      <c r="AL3726" s="1510"/>
      <c r="AM3726" s="313"/>
      <c r="AN3726" s="313"/>
      <c r="AO3726" s="313"/>
      <c r="AP3726" s="313"/>
      <c r="AQ3726" s="313"/>
      <c r="AR3726" s="313"/>
      <c r="AS3726" s="313"/>
      <c r="AT3726" s="313"/>
      <c r="AU3726" s="313"/>
      <c r="AV3726" s="313"/>
      <c r="AW3726" s="313"/>
      <c r="AX3726" s="313"/>
      <c r="AY3726" s="313"/>
      <c r="AZ3726" s="313"/>
      <c r="BA3726" s="313"/>
      <c r="BB3726" s="313"/>
      <c r="BC3726" s="313"/>
      <c r="BD3726" s="313"/>
      <c r="BE3726" s="313"/>
      <c r="BF3726" s="313"/>
      <c r="BG3726" s="313"/>
      <c r="BH3726" s="313"/>
      <c r="BI3726" s="313"/>
      <c r="BJ3726" s="313"/>
      <c r="BK3726" s="313"/>
      <c r="BL3726" s="313"/>
      <c r="BM3726" s="313"/>
      <c r="BN3726" s="313"/>
      <c r="BO3726" s="313"/>
      <c r="BP3726" s="313"/>
      <c r="BQ3726" s="313"/>
      <c r="BR3726" s="313"/>
      <c r="BS3726" s="313"/>
      <c r="BT3726" s="313"/>
      <c r="BU3726" s="313"/>
      <c r="BV3726" s="313"/>
      <c r="BW3726" s="313"/>
      <c r="BX3726" s="313"/>
      <c r="BY3726" s="313"/>
      <c r="BZ3726" s="313"/>
      <c r="CA3726" s="308"/>
      <c r="CB3726" s="5" t="str">
        <f t="shared" si="662"/>
        <v>Riadok bude skrytý.</v>
      </c>
      <c r="CC3726" s="311" t="s">
        <v>832</v>
      </c>
      <c r="CD3726" s="2"/>
      <c r="CW3726" s="49">
        <v>1</v>
      </c>
      <c r="CZ3726" s="30">
        <f t="shared" si="665"/>
        <v>1</v>
      </c>
      <c r="DA3726" s="30">
        <f t="shared" si="663"/>
        <v>1</v>
      </c>
      <c r="DB3726" s="2">
        <f t="shared" si="666"/>
        <v>0</v>
      </c>
      <c r="DR3726" s="84"/>
      <c r="DS3726" s="130"/>
      <c r="DT3726" s="130"/>
      <c r="DU3726" s="130"/>
      <c r="DV3726" s="130"/>
      <c r="DW3726" s="130"/>
      <c r="DX3726" s="130"/>
      <c r="DY3726" s="130"/>
      <c r="DZ3726" s="132"/>
      <c r="EA3726" s="84"/>
      <c r="EB3726" s="84"/>
    </row>
    <row r="3727" spans="1:132" s="30" customFormat="1" ht="10.55" hidden="1" customHeight="1" x14ac:dyDescent="0.25">
      <c r="A3727" s="226"/>
      <c r="B3727" s="312"/>
      <c r="C3727" s="1510" t="s">
        <v>984</v>
      </c>
      <c r="D3727" s="1510"/>
      <c r="E3727" s="1510"/>
      <c r="F3727" s="1510"/>
      <c r="G3727" s="1510"/>
      <c r="H3727" s="1510"/>
      <c r="I3727" s="1510"/>
      <c r="J3727" s="1510"/>
      <c r="K3727" s="1510"/>
      <c r="L3727" s="1510"/>
      <c r="M3727" s="1510"/>
      <c r="N3727" s="1510"/>
      <c r="O3727" s="1510"/>
      <c r="P3727" s="1510"/>
      <c r="Q3727" s="1510"/>
      <c r="R3727" s="1510"/>
      <c r="S3727" s="1510"/>
      <c r="T3727" s="1510"/>
      <c r="U3727" s="1510"/>
      <c r="V3727" s="1510"/>
      <c r="W3727" s="1510"/>
      <c r="X3727" s="1510"/>
      <c r="Y3727" s="1510"/>
      <c r="Z3727" s="1510"/>
      <c r="AA3727" s="1510"/>
      <c r="AB3727" s="1510"/>
      <c r="AC3727" s="1510"/>
      <c r="AD3727" s="1510"/>
      <c r="AE3727" s="1510"/>
      <c r="AF3727" s="1510"/>
      <c r="AG3727" s="1510"/>
      <c r="AH3727" s="1510"/>
      <c r="AI3727" s="1510"/>
      <c r="AJ3727" s="1510"/>
      <c r="AK3727" s="1510"/>
      <c r="AL3727" s="1510"/>
      <c r="AM3727" s="6"/>
      <c r="AN3727" s="6"/>
      <c r="AO3727" s="6"/>
      <c r="AP3727" s="1510"/>
      <c r="AQ3727" s="1510"/>
      <c r="AR3727" s="1510"/>
      <c r="AS3727" s="1510"/>
      <c r="AT3727" s="1510"/>
      <c r="AU3727" s="1510"/>
      <c r="AV3727" s="1510"/>
      <c r="AW3727" s="1510"/>
      <c r="AX3727" s="1510"/>
      <c r="AY3727" s="1510"/>
      <c r="AZ3727" s="1510"/>
      <c r="BA3727" s="1510"/>
      <c r="BB3727" s="1510"/>
      <c r="BC3727" s="1510"/>
      <c r="BD3727" s="1510"/>
      <c r="BE3727" s="1510"/>
      <c r="BF3727" s="1510"/>
      <c r="BG3727" s="1510"/>
      <c r="BH3727" s="1510"/>
      <c r="BI3727" s="1510"/>
      <c r="BJ3727" s="1510"/>
      <c r="BK3727" s="1510"/>
      <c r="BL3727" s="1510"/>
      <c r="BM3727" s="1510"/>
      <c r="BN3727" s="1510"/>
      <c r="BO3727" s="1510"/>
      <c r="BP3727" s="1510"/>
      <c r="BQ3727" s="1510"/>
      <c r="BR3727" s="1510"/>
      <c r="BS3727" s="1510"/>
      <c r="BT3727" s="1510"/>
      <c r="BU3727" s="1510"/>
      <c r="BV3727" s="1510"/>
      <c r="BW3727" s="1510"/>
      <c r="BX3727" s="1510"/>
      <c r="BY3727" s="1510"/>
      <c r="BZ3727" s="313"/>
      <c r="CA3727" s="308"/>
      <c r="CB3727" s="5" t="str">
        <f t="shared" si="662"/>
        <v>Riadok bude skrytý.</v>
      </c>
      <c r="CC3727" s="311" t="s">
        <v>832</v>
      </c>
      <c r="CD3727" s="2"/>
      <c r="CW3727" s="49">
        <v>1</v>
      </c>
      <c r="CZ3727" s="30">
        <f t="shared" si="665"/>
        <v>1</v>
      </c>
      <c r="DA3727" s="30">
        <f t="shared" si="663"/>
        <v>1</v>
      </c>
      <c r="DB3727" s="2">
        <f t="shared" si="666"/>
        <v>0</v>
      </c>
      <c r="DR3727" s="84"/>
      <c r="DS3727" s="130"/>
      <c r="DT3727" s="130"/>
      <c r="DU3727" s="130"/>
      <c r="DV3727" s="130"/>
      <c r="DW3727" s="130"/>
      <c r="DX3727" s="130"/>
      <c r="DY3727" s="130"/>
      <c r="DZ3727" s="132"/>
      <c r="EA3727" s="84"/>
      <c r="EB3727" s="84"/>
    </row>
    <row r="3728" spans="1:132" s="30" customFormat="1" ht="10.55" hidden="1" customHeight="1" x14ac:dyDescent="0.25">
      <c r="A3728" s="226"/>
      <c r="B3728" s="312"/>
      <c r="C3728" s="1510" t="s">
        <v>812</v>
      </c>
      <c r="D3728" s="1510"/>
      <c r="E3728" s="1510"/>
      <c r="F3728" s="1510"/>
      <c r="G3728" s="1510"/>
      <c r="H3728" s="1510"/>
      <c r="I3728" s="1510"/>
      <c r="J3728" s="1510"/>
      <c r="K3728" s="1510"/>
      <c r="L3728" s="1510"/>
      <c r="M3728" s="1510"/>
      <c r="N3728" s="1510"/>
      <c r="O3728" s="1510"/>
      <c r="P3728" s="1510"/>
      <c r="Q3728" s="1510"/>
      <c r="R3728" s="1510"/>
      <c r="S3728" s="1510"/>
      <c r="T3728" s="1510"/>
      <c r="U3728" s="1510"/>
      <c r="V3728" s="1510"/>
      <c r="W3728" s="1510"/>
      <c r="X3728" s="1510"/>
      <c r="Y3728" s="1510"/>
      <c r="Z3728" s="1510"/>
      <c r="AA3728" s="1510"/>
      <c r="AB3728" s="1510"/>
      <c r="AC3728" s="1510"/>
      <c r="AD3728" s="1510"/>
      <c r="AE3728" s="1510"/>
      <c r="AF3728" s="1510"/>
      <c r="AG3728" s="1510"/>
      <c r="AH3728" s="1510"/>
      <c r="AI3728" s="1510"/>
      <c r="AJ3728" s="1510"/>
      <c r="AK3728" s="1510"/>
      <c r="AL3728" s="1510"/>
      <c r="AM3728" s="314"/>
      <c r="AN3728" s="314"/>
      <c r="AO3728" s="314"/>
      <c r="AP3728" s="314"/>
      <c r="AQ3728" s="314"/>
      <c r="AR3728" s="314"/>
      <c r="AS3728" s="314"/>
      <c r="AT3728" s="314"/>
      <c r="AU3728" s="314"/>
      <c r="AV3728" s="314"/>
      <c r="AW3728" s="314"/>
      <c r="AX3728" s="314"/>
      <c r="AY3728" s="314"/>
      <c r="AZ3728" s="314"/>
      <c r="BA3728" s="314"/>
      <c r="BB3728" s="314"/>
      <c r="BC3728" s="314"/>
      <c r="BD3728" s="314"/>
      <c r="BE3728" s="314"/>
      <c r="BF3728" s="314"/>
      <c r="BG3728" s="314"/>
      <c r="BH3728" s="314"/>
      <c r="BI3728" s="314"/>
      <c r="BJ3728" s="314"/>
      <c r="BK3728" s="314"/>
      <c r="BL3728" s="314"/>
      <c r="BM3728" s="314"/>
      <c r="BN3728" s="314"/>
      <c r="BO3728" s="314"/>
      <c r="BP3728" s="314"/>
      <c r="BQ3728" s="314"/>
      <c r="BR3728" s="314"/>
      <c r="BS3728" s="314"/>
      <c r="BT3728" s="314"/>
      <c r="BU3728" s="314"/>
      <c r="BV3728" s="314"/>
      <c r="BW3728" s="313"/>
      <c r="BX3728" s="313"/>
      <c r="BY3728" s="313"/>
      <c r="BZ3728" s="312"/>
      <c r="CA3728" s="308"/>
      <c r="CB3728" s="5" t="str">
        <f t="shared" si="662"/>
        <v>Riadok bude skrytý.</v>
      </c>
      <c r="CC3728" s="311" t="s">
        <v>832</v>
      </c>
      <c r="CD3728" s="2"/>
      <c r="CW3728" s="49">
        <v>1</v>
      </c>
      <c r="CZ3728" s="30">
        <f t="shared" si="665"/>
        <v>1</v>
      </c>
      <c r="DA3728" s="30">
        <f t="shared" si="663"/>
        <v>1</v>
      </c>
      <c r="DB3728" s="2">
        <f t="shared" si="666"/>
        <v>0</v>
      </c>
      <c r="DR3728" s="84"/>
      <c r="DS3728" s="130"/>
      <c r="DT3728" s="130"/>
      <c r="DU3728" s="130"/>
      <c r="DV3728" s="130"/>
      <c r="DW3728" s="130"/>
      <c r="DX3728" s="130"/>
      <c r="DY3728" s="130"/>
      <c r="DZ3728" s="132"/>
      <c r="EA3728" s="84"/>
      <c r="EB3728" s="84"/>
    </row>
    <row r="3729" spans="1:132" s="30" customFormat="1" ht="10.55" hidden="1" customHeight="1" x14ac:dyDescent="0.25">
      <c r="A3729" s="226"/>
      <c r="B3729" s="312"/>
      <c r="C3729" s="1510" t="s">
        <v>813</v>
      </c>
      <c r="D3729" s="1510"/>
      <c r="E3729" s="1510"/>
      <c r="F3729" s="1510"/>
      <c r="G3729" s="1510"/>
      <c r="H3729" s="1510"/>
      <c r="I3729" s="1510"/>
      <c r="J3729" s="1510"/>
      <c r="K3729" s="1510"/>
      <c r="L3729" s="1510"/>
      <c r="M3729" s="1510"/>
      <c r="N3729" s="1510"/>
      <c r="O3729" s="1510"/>
      <c r="P3729" s="1510"/>
      <c r="Q3729" s="1510"/>
      <c r="R3729" s="1510"/>
      <c r="S3729" s="1510"/>
      <c r="T3729" s="1510"/>
      <c r="U3729" s="1510"/>
      <c r="V3729" s="1510"/>
      <c r="W3729" s="1510"/>
      <c r="X3729" s="1510"/>
      <c r="Y3729" s="1510"/>
      <c r="Z3729" s="1510"/>
      <c r="AA3729" s="1510"/>
      <c r="AB3729" s="1510"/>
      <c r="AC3729" s="1510"/>
      <c r="AD3729" s="1510"/>
      <c r="AE3729" s="1510"/>
      <c r="AF3729" s="1510"/>
      <c r="AG3729" s="1510"/>
      <c r="AH3729" s="1510"/>
      <c r="AI3729" s="1510"/>
      <c r="AJ3729" s="1510"/>
      <c r="AK3729" s="1510"/>
      <c r="AL3729" s="1510"/>
      <c r="AM3729" s="6"/>
      <c r="AN3729" s="6"/>
      <c r="AO3729" s="6"/>
      <c r="AP3729" s="313"/>
      <c r="AQ3729" s="313"/>
      <c r="AR3729" s="313"/>
      <c r="AS3729" s="313"/>
      <c r="AT3729" s="313"/>
      <c r="AU3729" s="313"/>
      <c r="AV3729" s="313"/>
      <c r="AW3729" s="313"/>
      <c r="AX3729" s="313"/>
      <c r="AY3729" s="313"/>
      <c r="AZ3729" s="313"/>
      <c r="BA3729" s="313"/>
      <c r="BB3729" s="313"/>
      <c r="BC3729" s="313"/>
      <c r="BD3729" s="313"/>
      <c r="BE3729" s="313"/>
      <c r="BF3729" s="313"/>
      <c r="BG3729" s="313"/>
      <c r="BH3729" s="313"/>
      <c r="BI3729" s="313"/>
      <c r="BJ3729" s="313"/>
      <c r="BK3729" s="313"/>
      <c r="BL3729" s="313"/>
      <c r="BM3729" s="313"/>
      <c r="BN3729" s="313"/>
      <c r="BO3729" s="313"/>
      <c r="BP3729" s="313"/>
      <c r="BQ3729" s="313"/>
      <c r="BR3729" s="313"/>
      <c r="BS3729" s="313"/>
      <c r="BT3729" s="313"/>
      <c r="BU3729" s="313"/>
      <c r="BV3729" s="313"/>
      <c r="BW3729" s="313"/>
      <c r="BX3729" s="313"/>
      <c r="BY3729" s="313"/>
      <c r="BZ3729" s="312"/>
      <c r="CA3729" s="308"/>
      <c r="CB3729" s="5" t="str">
        <f t="shared" si="662"/>
        <v>Riadok bude skrytý.</v>
      </c>
      <c r="CC3729" s="311" t="s">
        <v>832</v>
      </c>
      <c r="CD3729" s="2"/>
      <c r="CW3729" s="49">
        <v>1</v>
      </c>
      <c r="CZ3729" s="30">
        <f t="shared" si="665"/>
        <v>1</v>
      </c>
      <c r="DA3729" s="30">
        <f t="shared" si="663"/>
        <v>1</v>
      </c>
      <c r="DB3729" s="2">
        <f t="shared" si="666"/>
        <v>0</v>
      </c>
      <c r="DR3729" s="84"/>
      <c r="DS3729" s="130"/>
      <c r="DT3729" s="130"/>
      <c r="DU3729" s="130"/>
      <c r="DV3729" s="130"/>
      <c r="DW3729" s="130"/>
      <c r="DX3729" s="130"/>
      <c r="DY3729" s="130"/>
      <c r="DZ3729" s="132"/>
      <c r="EA3729" s="84"/>
      <c r="EB3729" s="84"/>
    </row>
    <row r="3730" spans="1:132" s="30" customFormat="1" ht="10.55" hidden="1" customHeight="1" x14ac:dyDescent="0.25">
      <c r="A3730" s="226"/>
      <c r="B3730" s="312"/>
      <c r="C3730" s="1510" t="s">
        <v>814</v>
      </c>
      <c r="D3730" s="1510"/>
      <c r="E3730" s="1510"/>
      <c r="F3730" s="1510"/>
      <c r="G3730" s="1510"/>
      <c r="H3730" s="1510"/>
      <c r="I3730" s="1510"/>
      <c r="J3730" s="1510"/>
      <c r="K3730" s="1510"/>
      <c r="L3730" s="1510"/>
      <c r="M3730" s="1510"/>
      <c r="N3730" s="1510"/>
      <c r="O3730" s="1510"/>
      <c r="P3730" s="1510"/>
      <c r="Q3730" s="1510"/>
      <c r="R3730" s="1510"/>
      <c r="S3730" s="1510"/>
      <c r="T3730" s="1510"/>
      <c r="U3730" s="1510"/>
      <c r="V3730" s="1510"/>
      <c r="W3730" s="1510"/>
      <c r="X3730" s="1510"/>
      <c r="Y3730" s="1510"/>
      <c r="Z3730" s="1510"/>
      <c r="AA3730" s="1510"/>
      <c r="AB3730" s="1510"/>
      <c r="AC3730" s="1510"/>
      <c r="AD3730" s="1510"/>
      <c r="AE3730" s="1510"/>
      <c r="AF3730" s="1510"/>
      <c r="AG3730" s="1510"/>
      <c r="AH3730" s="1510"/>
      <c r="AI3730" s="1510"/>
      <c r="AJ3730" s="1510"/>
      <c r="AK3730" s="1510"/>
      <c r="AL3730" s="1510"/>
      <c r="AM3730" s="6"/>
      <c r="AN3730" s="6"/>
      <c r="AO3730" s="6"/>
      <c r="AP3730" s="313"/>
      <c r="AQ3730" s="313"/>
      <c r="AR3730" s="313"/>
      <c r="AS3730" s="313"/>
      <c r="AT3730" s="313"/>
      <c r="AU3730" s="313"/>
      <c r="AV3730" s="313"/>
      <c r="AW3730" s="313"/>
      <c r="AX3730" s="313"/>
      <c r="AY3730" s="313"/>
      <c r="AZ3730" s="313"/>
      <c r="BA3730" s="313"/>
      <c r="BB3730" s="313"/>
      <c r="BC3730" s="313"/>
      <c r="BD3730" s="313"/>
      <c r="BE3730" s="313"/>
      <c r="BF3730" s="313"/>
      <c r="BG3730" s="313"/>
      <c r="BH3730" s="313"/>
      <c r="BI3730" s="313"/>
      <c r="BJ3730" s="313"/>
      <c r="BK3730" s="313"/>
      <c r="BL3730" s="313"/>
      <c r="BM3730" s="313"/>
      <c r="BN3730" s="313"/>
      <c r="BO3730" s="313"/>
      <c r="BP3730" s="313"/>
      <c r="BQ3730" s="313"/>
      <c r="BR3730" s="313"/>
      <c r="BS3730" s="313"/>
      <c r="BT3730" s="313"/>
      <c r="BU3730" s="313"/>
      <c r="BV3730" s="313"/>
      <c r="BW3730" s="313"/>
      <c r="BX3730" s="313"/>
      <c r="BY3730" s="313"/>
      <c r="BZ3730" s="312"/>
      <c r="CA3730" s="308"/>
      <c r="CB3730" s="5" t="str">
        <f t="shared" si="662"/>
        <v>Riadok bude skrytý.</v>
      </c>
      <c r="CC3730" s="311" t="s">
        <v>832</v>
      </c>
      <c r="CD3730" s="2"/>
      <c r="CW3730" s="49">
        <v>1</v>
      </c>
      <c r="CZ3730" s="30">
        <f t="shared" si="665"/>
        <v>1</v>
      </c>
      <c r="DA3730" s="30">
        <f t="shared" si="663"/>
        <v>1</v>
      </c>
      <c r="DB3730" s="2">
        <f t="shared" si="666"/>
        <v>0</v>
      </c>
      <c r="DR3730" s="84"/>
      <c r="DS3730" s="130"/>
      <c r="DT3730" s="130"/>
      <c r="DU3730" s="130"/>
      <c r="DV3730" s="130"/>
      <c r="DW3730" s="130"/>
      <c r="DX3730" s="130"/>
      <c r="DY3730" s="130"/>
      <c r="DZ3730" s="132"/>
      <c r="EA3730" s="84"/>
      <c r="EB3730" s="84"/>
    </row>
    <row r="3731" spans="1:132" s="30" customFormat="1" ht="10.55" hidden="1" customHeight="1" x14ac:dyDescent="0.25">
      <c r="A3731" s="226"/>
      <c r="B3731" s="312"/>
      <c r="C3731" s="1510" t="s">
        <v>815</v>
      </c>
      <c r="D3731" s="1510"/>
      <c r="E3731" s="1510"/>
      <c r="F3731" s="1510"/>
      <c r="G3731" s="1510"/>
      <c r="H3731" s="1510"/>
      <c r="I3731" s="1510"/>
      <c r="J3731" s="1510"/>
      <c r="K3731" s="1510"/>
      <c r="L3731" s="1510"/>
      <c r="M3731" s="1510"/>
      <c r="N3731" s="1510"/>
      <c r="O3731" s="1510"/>
      <c r="P3731" s="1510"/>
      <c r="Q3731" s="1510"/>
      <c r="R3731" s="1510"/>
      <c r="S3731" s="1510"/>
      <c r="T3731" s="1510"/>
      <c r="U3731" s="1510"/>
      <c r="V3731" s="1510"/>
      <c r="W3731" s="1510"/>
      <c r="X3731" s="1510"/>
      <c r="Y3731" s="1510"/>
      <c r="Z3731" s="1510"/>
      <c r="AA3731" s="1510"/>
      <c r="AB3731" s="1510"/>
      <c r="AC3731" s="1510"/>
      <c r="AD3731" s="1510"/>
      <c r="AE3731" s="1510"/>
      <c r="AF3731" s="1510"/>
      <c r="AG3731" s="1510"/>
      <c r="AH3731" s="1510"/>
      <c r="AI3731" s="1510"/>
      <c r="AJ3731" s="1510"/>
      <c r="AK3731" s="1510"/>
      <c r="AL3731" s="1510"/>
      <c r="AM3731" s="6"/>
      <c r="AN3731" s="6"/>
      <c r="AO3731" s="6"/>
      <c r="AP3731" s="313"/>
      <c r="AQ3731" s="313"/>
      <c r="AR3731" s="313"/>
      <c r="AS3731" s="313"/>
      <c r="AT3731" s="313"/>
      <c r="AU3731" s="313"/>
      <c r="AV3731" s="313"/>
      <c r="AW3731" s="313"/>
      <c r="AX3731" s="313"/>
      <c r="AY3731" s="313"/>
      <c r="AZ3731" s="313"/>
      <c r="BA3731" s="313"/>
      <c r="BB3731" s="313"/>
      <c r="BC3731" s="313"/>
      <c r="BD3731" s="313"/>
      <c r="BE3731" s="313"/>
      <c r="BF3731" s="313"/>
      <c r="BG3731" s="313"/>
      <c r="BH3731" s="313"/>
      <c r="BI3731" s="313"/>
      <c r="BJ3731" s="313"/>
      <c r="BK3731" s="313"/>
      <c r="BL3731" s="313"/>
      <c r="BM3731" s="313"/>
      <c r="BN3731" s="313"/>
      <c r="BO3731" s="313"/>
      <c r="BP3731" s="313"/>
      <c r="BQ3731" s="313"/>
      <c r="BR3731" s="313"/>
      <c r="BS3731" s="313"/>
      <c r="BT3731" s="313"/>
      <c r="BU3731" s="313"/>
      <c r="BV3731" s="313"/>
      <c r="BW3731" s="313"/>
      <c r="BX3731" s="313"/>
      <c r="BY3731" s="313"/>
      <c r="BZ3731" s="312"/>
      <c r="CA3731" s="308"/>
      <c r="CB3731" s="5" t="str">
        <f t="shared" si="662"/>
        <v>Riadok bude skrytý.</v>
      </c>
      <c r="CC3731" s="311" t="s">
        <v>832</v>
      </c>
      <c r="CD3731" s="2"/>
      <c r="CW3731" s="49">
        <v>1</v>
      </c>
      <c r="CZ3731" s="30">
        <f t="shared" si="665"/>
        <v>1</v>
      </c>
      <c r="DA3731" s="30">
        <f t="shared" si="663"/>
        <v>1</v>
      </c>
      <c r="DB3731" s="2">
        <f t="shared" si="666"/>
        <v>0</v>
      </c>
      <c r="DR3731" s="84"/>
      <c r="DS3731" s="130"/>
      <c r="DT3731" s="130"/>
      <c r="DU3731" s="130"/>
      <c r="DV3731" s="130"/>
      <c r="DW3731" s="130"/>
      <c r="DX3731" s="130"/>
      <c r="DY3731" s="130"/>
      <c r="DZ3731" s="132"/>
      <c r="EA3731" s="84"/>
      <c r="EB3731" s="84"/>
    </row>
    <row r="3732" spans="1:132" s="30" customFormat="1" ht="10.55" hidden="1" customHeight="1" x14ac:dyDescent="0.25">
      <c r="A3732" s="226"/>
      <c r="B3732" s="312"/>
      <c r="C3732" s="1510" t="s">
        <v>816</v>
      </c>
      <c r="D3732" s="1510"/>
      <c r="E3732" s="1510"/>
      <c r="F3732" s="1510"/>
      <c r="G3732" s="1510"/>
      <c r="H3732" s="1510"/>
      <c r="I3732" s="1510"/>
      <c r="J3732" s="1510"/>
      <c r="K3732" s="1510"/>
      <c r="L3732" s="1510"/>
      <c r="M3732" s="1510"/>
      <c r="N3732" s="1510"/>
      <c r="O3732" s="1510"/>
      <c r="P3732" s="1510"/>
      <c r="Q3732" s="1510"/>
      <c r="R3732" s="1510"/>
      <c r="S3732" s="1510"/>
      <c r="T3732" s="1510"/>
      <c r="U3732" s="1510"/>
      <c r="V3732" s="1510"/>
      <c r="W3732" s="1510"/>
      <c r="X3732" s="1510"/>
      <c r="Y3732" s="1510"/>
      <c r="Z3732" s="1510"/>
      <c r="AA3732" s="1510"/>
      <c r="AB3732" s="1510"/>
      <c r="AC3732" s="1510"/>
      <c r="AD3732" s="1510"/>
      <c r="AE3732" s="1510"/>
      <c r="AF3732" s="1510"/>
      <c r="AG3732" s="1510"/>
      <c r="AH3732" s="1510"/>
      <c r="AI3732" s="1510"/>
      <c r="AJ3732" s="1510"/>
      <c r="AK3732" s="1510"/>
      <c r="AL3732" s="1510"/>
      <c r="AM3732" s="6"/>
      <c r="AN3732" s="6"/>
      <c r="AO3732" s="6"/>
      <c r="AP3732" s="313"/>
      <c r="AQ3732" s="313"/>
      <c r="AR3732" s="313"/>
      <c r="AS3732" s="313"/>
      <c r="AT3732" s="313"/>
      <c r="AU3732" s="313"/>
      <c r="AV3732" s="313"/>
      <c r="AW3732" s="313"/>
      <c r="AX3732" s="313"/>
      <c r="AY3732" s="313"/>
      <c r="AZ3732" s="313"/>
      <c r="BA3732" s="313"/>
      <c r="BB3732" s="313"/>
      <c r="BC3732" s="313"/>
      <c r="BD3732" s="313"/>
      <c r="BE3732" s="313"/>
      <c r="BF3732" s="313"/>
      <c r="BG3732" s="313"/>
      <c r="BH3732" s="313"/>
      <c r="BI3732" s="313"/>
      <c r="BJ3732" s="313"/>
      <c r="BK3732" s="313"/>
      <c r="BL3732" s="313"/>
      <c r="BM3732" s="313"/>
      <c r="BN3732" s="313"/>
      <c r="BO3732" s="313"/>
      <c r="BP3732" s="313"/>
      <c r="BQ3732" s="313"/>
      <c r="BR3732" s="313"/>
      <c r="BS3732" s="313"/>
      <c r="BT3732" s="313"/>
      <c r="BU3732" s="313"/>
      <c r="BV3732" s="313"/>
      <c r="BW3732" s="313"/>
      <c r="BX3732" s="313"/>
      <c r="BY3732" s="313"/>
      <c r="BZ3732" s="312"/>
      <c r="CA3732" s="308"/>
      <c r="CB3732" s="5" t="str">
        <f t="shared" si="662"/>
        <v>Riadok bude skrytý.</v>
      </c>
      <c r="CC3732" s="311" t="s">
        <v>832</v>
      </c>
      <c r="CD3732" s="2"/>
      <c r="CW3732" s="49">
        <v>1</v>
      </c>
      <c r="CZ3732" s="30">
        <f t="shared" si="665"/>
        <v>1</v>
      </c>
      <c r="DA3732" s="30">
        <f t="shared" si="663"/>
        <v>1</v>
      </c>
      <c r="DB3732" s="2">
        <f t="shared" si="666"/>
        <v>0</v>
      </c>
      <c r="DR3732" s="84"/>
      <c r="DS3732" s="130"/>
      <c r="DT3732" s="130"/>
      <c r="DU3732" s="130"/>
      <c r="DV3732" s="130"/>
      <c r="DW3732" s="130"/>
      <c r="DX3732" s="130"/>
      <c r="DY3732" s="130"/>
      <c r="DZ3732" s="132"/>
      <c r="EA3732" s="84"/>
      <c r="EB3732" s="84"/>
    </row>
    <row r="3733" spans="1:132" s="30" customFormat="1" ht="10.55" hidden="1" customHeight="1" x14ac:dyDescent="0.25">
      <c r="A3733" s="226"/>
      <c r="B3733" s="312"/>
      <c r="C3733" s="1510" t="s">
        <v>817</v>
      </c>
      <c r="D3733" s="1510"/>
      <c r="E3733" s="1510"/>
      <c r="F3733" s="1510"/>
      <c r="G3733" s="1510"/>
      <c r="H3733" s="1510"/>
      <c r="I3733" s="1510"/>
      <c r="J3733" s="1510"/>
      <c r="K3733" s="1510"/>
      <c r="L3733" s="1510"/>
      <c r="M3733" s="1510"/>
      <c r="N3733" s="1510"/>
      <c r="O3733" s="1510"/>
      <c r="P3733" s="1510"/>
      <c r="Q3733" s="1510"/>
      <c r="R3733" s="1510"/>
      <c r="S3733" s="1510"/>
      <c r="T3733" s="1510"/>
      <c r="U3733" s="1510"/>
      <c r="V3733" s="1510"/>
      <c r="W3733" s="1510"/>
      <c r="X3733" s="1510"/>
      <c r="Y3733" s="1510"/>
      <c r="Z3733" s="1510"/>
      <c r="AA3733" s="1510"/>
      <c r="AB3733" s="1510"/>
      <c r="AC3733" s="1510"/>
      <c r="AD3733" s="1510"/>
      <c r="AE3733" s="1510"/>
      <c r="AF3733" s="1510"/>
      <c r="AG3733" s="1510"/>
      <c r="AH3733" s="1510"/>
      <c r="AI3733" s="1510"/>
      <c r="AJ3733" s="1510"/>
      <c r="AK3733" s="1510"/>
      <c r="AL3733" s="1510"/>
      <c r="AM3733" s="6"/>
      <c r="AN3733" s="6"/>
      <c r="AO3733" s="6"/>
      <c r="AP3733" s="313"/>
      <c r="AQ3733" s="313"/>
      <c r="AR3733" s="313"/>
      <c r="AS3733" s="313"/>
      <c r="AT3733" s="313"/>
      <c r="AU3733" s="313"/>
      <c r="AV3733" s="313"/>
      <c r="AW3733" s="313"/>
      <c r="AX3733" s="313"/>
      <c r="AY3733" s="313"/>
      <c r="AZ3733" s="313"/>
      <c r="BA3733" s="313"/>
      <c r="BB3733" s="313"/>
      <c r="BC3733" s="313"/>
      <c r="BD3733" s="313"/>
      <c r="BE3733" s="313"/>
      <c r="BF3733" s="313"/>
      <c r="BG3733" s="313"/>
      <c r="BH3733" s="313"/>
      <c r="BI3733" s="313"/>
      <c r="BJ3733" s="313"/>
      <c r="BK3733" s="313"/>
      <c r="BL3733" s="313"/>
      <c r="BM3733" s="313"/>
      <c r="BN3733" s="313"/>
      <c r="BO3733" s="313"/>
      <c r="BP3733" s="313"/>
      <c r="BQ3733" s="313"/>
      <c r="BR3733" s="313"/>
      <c r="BS3733" s="313"/>
      <c r="BT3733" s="313"/>
      <c r="BU3733" s="313"/>
      <c r="BV3733" s="313"/>
      <c r="BW3733" s="313"/>
      <c r="BX3733" s="313"/>
      <c r="BY3733" s="313"/>
      <c r="BZ3733" s="312"/>
      <c r="CA3733" s="308"/>
      <c r="CB3733" s="5" t="str">
        <f t="shared" si="662"/>
        <v>Riadok bude skrytý.</v>
      </c>
      <c r="CC3733" s="311" t="s">
        <v>832</v>
      </c>
      <c r="CD3733" s="2"/>
      <c r="CW3733" s="49">
        <v>1</v>
      </c>
      <c r="CZ3733" s="30">
        <f t="shared" si="665"/>
        <v>1</v>
      </c>
      <c r="DA3733" s="30">
        <f t="shared" si="663"/>
        <v>1</v>
      </c>
      <c r="DB3733" s="2">
        <f t="shared" si="666"/>
        <v>0</v>
      </c>
      <c r="DR3733" s="84"/>
      <c r="DS3733" s="130"/>
      <c r="DT3733" s="130"/>
      <c r="DU3733" s="130"/>
      <c r="DV3733" s="130"/>
      <c r="DW3733" s="130"/>
      <c r="DX3733" s="130"/>
      <c r="DY3733" s="130"/>
      <c r="DZ3733" s="132"/>
      <c r="EA3733" s="84"/>
      <c r="EB3733" s="84"/>
    </row>
    <row r="3734" spans="1:132" s="30" customFormat="1" ht="10.55" hidden="1" customHeight="1" x14ac:dyDescent="0.25">
      <c r="A3734" s="226"/>
      <c r="B3734" s="312"/>
      <c r="C3734" s="1510" t="s">
        <v>810</v>
      </c>
      <c r="D3734" s="1510"/>
      <c r="E3734" s="1510"/>
      <c r="F3734" s="1510"/>
      <c r="G3734" s="1510"/>
      <c r="H3734" s="1510"/>
      <c r="I3734" s="1510"/>
      <c r="J3734" s="1510"/>
      <c r="K3734" s="1510"/>
      <c r="L3734" s="1510"/>
      <c r="M3734" s="1510"/>
      <c r="N3734" s="1510"/>
      <c r="O3734" s="1510"/>
      <c r="P3734" s="1510"/>
      <c r="Q3734" s="1510"/>
      <c r="R3734" s="1510"/>
      <c r="S3734" s="1510"/>
      <c r="T3734" s="1510"/>
      <c r="U3734" s="1510"/>
      <c r="V3734" s="1510"/>
      <c r="W3734" s="1510"/>
      <c r="X3734" s="1510"/>
      <c r="Y3734" s="1510"/>
      <c r="Z3734" s="1510"/>
      <c r="AA3734" s="1510"/>
      <c r="AB3734" s="1510"/>
      <c r="AC3734" s="1510"/>
      <c r="AD3734" s="1510"/>
      <c r="AE3734" s="1510"/>
      <c r="AF3734" s="1510"/>
      <c r="AG3734" s="1510"/>
      <c r="AH3734" s="1510"/>
      <c r="AI3734" s="1510"/>
      <c r="AJ3734" s="1510"/>
      <c r="AK3734" s="1510"/>
      <c r="AL3734" s="1510"/>
      <c r="AM3734" s="6"/>
      <c r="AN3734" s="6"/>
      <c r="AO3734" s="6"/>
      <c r="AP3734" s="313"/>
      <c r="AQ3734" s="313"/>
      <c r="AR3734" s="313"/>
      <c r="AS3734" s="313"/>
      <c r="AT3734" s="313"/>
      <c r="AU3734" s="313"/>
      <c r="AV3734" s="313"/>
      <c r="AW3734" s="313"/>
      <c r="AX3734" s="313"/>
      <c r="AY3734" s="313"/>
      <c r="AZ3734" s="313"/>
      <c r="BA3734" s="313"/>
      <c r="BB3734" s="313"/>
      <c r="BC3734" s="313"/>
      <c r="BD3734" s="313"/>
      <c r="BE3734" s="313"/>
      <c r="BF3734" s="313"/>
      <c r="BG3734" s="313"/>
      <c r="BH3734" s="313"/>
      <c r="BI3734" s="313"/>
      <c r="BJ3734" s="313"/>
      <c r="BK3734" s="313"/>
      <c r="BL3734" s="313"/>
      <c r="BM3734" s="313"/>
      <c r="BN3734" s="313"/>
      <c r="BO3734" s="313"/>
      <c r="BP3734" s="313"/>
      <c r="BQ3734" s="313"/>
      <c r="BR3734" s="313"/>
      <c r="BS3734" s="313"/>
      <c r="BT3734" s="313"/>
      <c r="BU3734" s="313"/>
      <c r="BV3734" s="313"/>
      <c r="BW3734" s="313"/>
      <c r="BX3734" s="313"/>
      <c r="BY3734" s="313"/>
      <c r="BZ3734" s="312"/>
      <c r="CA3734" s="308"/>
      <c r="CB3734" s="5" t="str">
        <f t="shared" si="662"/>
        <v>Riadok bude skrytý.</v>
      </c>
      <c r="CC3734" s="311" t="s">
        <v>832</v>
      </c>
      <c r="CD3734" s="2"/>
      <c r="CW3734" s="49">
        <v>1</v>
      </c>
      <c r="CZ3734" s="30">
        <f t="shared" si="665"/>
        <v>1</v>
      </c>
      <c r="DA3734" s="30">
        <f t="shared" si="663"/>
        <v>1</v>
      </c>
      <c r="DB3734" s="2">
        <f t="shared" si="666"/>
        <v>0</v>
      </c>
      <c r="DR3734" s="84"/>
      <c r="DS3734" s="130"/>
      <c r="DT3734" s="130"/>
      <c r="DU3734" s="130"/>
      <c r="DV3734" s="130"/>
      <c r="DW3734" s="130"/>
      <c r="DX3734" s="130"/>
      <c r="DY3734" s="130"/>
      <c r="DZ3734" s="132"/>
      <c r="EA3734" s="84"/>
      <c r="EB3734" s="84"/>
    </row>
    <row r="3735" spans="1:132" s="30" customFormat="1" ht="10.55" hidden="1" customHeight="1" x14ac:dyDescent="0.25">
      <c r="A3735" s="226"/>
      <c r="B3735" s="312"/>
      <c r="C3735" s="1510" t="s">
        <v>993</v>
      </c>
      <c r="D3735" s="1510"/>
      <c r="E3735" s="1510"/>
      <c r="F3735" s="1510"/>
      <c r="G3735" s="1510"/>
      <c r="H3735" s="1510"/>
      <c r="I3735" s="1510"/>
      <c r="J3735" s="1510"/>
      <c r="K3735" s="1510"/>
      <c r="L3735" s="1510"/>
      <c r="M3735" s="1510"/>
      <c r="N3735" s="1510"/>
      <c r="O3735" s="1510"/>
      <c r="P3735" s="1510"/>
      <c r="Q3735" s="1510"/>
      <c r="R3735" s="1510"/>
      <c r="S3735" s="1510"/>
      <c r="T3735" s="1510"/>
      <c r="U3735" s="1510"/>
      <c r="V3735" s="1510"/>
      <c r="W3735" s="1510"/>
      <c r="X3735" s="1510"/>
      <c r="Y3735" s="1510"/>
      <c r="Z3735" s="1510"/>
      <c r="AA3735" s="1510"/>
      <c r="AB3735" s="1510"/>
      <c r="AC3735" s="1510"/>
      <c r="AD3735" s="1510"/>
      <c r="AE3735" s="1510"/>
      <c r="AF3735" s="1510"/>
      <c r="AG3735" s="1510"/>
      <c r="AH3735" s="1510"/>
      <c r="AI3735" s="1510"/>
      <c r="AJ3735" s="1510"/>
      <c r="AK3735" s="1510"/>
      <c r="AL3735" s="1510"/>
      <c r="AM3735" s="6"/>
      <c r="AN3735" s="6"/>
      <c r="AO3735" s="6"/>
      <c r="AP3735" s="313"/>
      <c r="AQ3735" s="313"/>
      <c r="AR3735" s="313"/>
      <c r="AS3735" s="313"/>
      <c r="AT3735" s="313"/>
      <c r="AU3735" s="313"/>
      <c r="AV3735" s="313"/>
      <c r="AW3735" s="313"/>
      <c r="AX3735" s="313"/>
      <c r="AY3735" s="313"/>
      <c r="AZ3735" s="313"/>
      <c r="BA3735" s="313"/>
      <c r="BB3735" s="313"/>
      <c r="BC3735" s="313"/>
      <c r="BD3735" s="313"/>
      <c r="BE3735" s="313"/>
      <c r="BF3735" s="313"/>
      <c r="BG3735" s="313"/>
      <c r="BH3735" s="313"/>
      <c r="BI3735" s="313"/>
      <c r="BJ3735" s="313"/>
      <c r="BK3735" s="313"/>
      <c r="BL3735" s="313"/>
      <c r="BM3735" s="313"/>
      <c r="BN3735" s="313"/>
      <c r="BO3735" s="313"/>
      <c r="BP3735" s="313"/>
      <c r="BQ3735" s="313"/>
      <c r="BR3735" s="313"/>
      <c r="BS3735" s="313"/>
      <c r="BT3735" s="313"/>
      <c r="BU3735" s="313"/>
      <c r="BV3735" s="313"/>
      <c r="BW3735" s="313"/>
      <c r="BX3735" s="313"/>
      <c r="BY3735" s="313"/>
      <c r="BZ3735" s="312"/>
      <c r="CA3735" s="308"/>
      <c r="CB3735" s="5" t="str">
        <f t="shared" si="662"/>
        <v>Riadok bude skrytý.</v>
      </c>
      <c r="CC3735" s="311" t="s">
        <v>832</v>
      </c>
      <c r="CD3735" s="2"/>
      <c r="CW3735" s="49">
        <v>1</v>
      </c>
      <c r="CZ3735" s="30">
        <f t="shared" si="665"/>
        <v>1</v>
      </c>
      <c r="DA3735" s="30">
        <f t="shared" si="663"/>
        <v>1</v>
      </c>
      <c r="DB3735" s="2">
        <f t="shared" si="666"/>
        <v>0</v>
      </c>
      <c r="DR3735" s="84"/>
      <c r="DS3735" s="130"/>
      <c r="DT3735" s="130"/>
      <c r="DU3735" s="130"/>
      <c r="DV3735" s="130"/>
      <c r="DW3735" s="130"/>
      <c r="DX3735" s="130"/>
      <c r="DY3735" s="130"/>
      <c r="DZ3735" s="132"/>
      <c r="EA3735" s="84"/>
      <c r="EB3735" s="84"/>
    </row>
    <row r="3736" spans="1:132" s="30" customFormat="1" ht="10.55" hidden="1" customHeight="1" x14ac:dyDescent="0.25">
      <c r="A3736" s="226"/>
      <c r="B3736" s="312"/>
      <c r="C3736" s="1510" t="s">
        <v>818</v>
      </c>
      <c r="D3736" s="1510"/>
      <c r="E3736" s="1510"/>
      <c r="F3736" s="1510"/>
      <c r="G3736" s="1510"/>
      <c r="H3736" s="1510"/>
      <c r="I3736" s="1510"/>
      <c r="J3736" s="1510"/>
      <c r="K3736" s="1510"/>
      <c r="L3736" s="1510"/>
      <c r="M3736" s="1510"/>
      <c r="N3736" s="1510"/>
      <c r="O3736" s="1510"/>
      <c r="P3736" s="1510"/>
      <c r="Q3736" s="1510"/>
      <c r="R3736" s="1510"/>
      <c r="S3736" s="1510"/>
      <c r="T3736" s="1510"/>
      <c r="U3736" s="1510"/>
      <c r="V3736" s="1510"/>
      <c r="W3736" s="1510"/>
      <c r="X3736" s="1510"/>
      <c r="Y3736" s="1510"/>
      <c r="Z3736" s="1510"/>
      <c r="AA3736" s="1510"/>
      <c r="AB3736" s="1510"/>
      <c r="AC3736" s="1510"/>
      <c r="AD3736" s="1510"/>
      <c r="AE3736" s="1510"/>
      <c r="AF3736" s="1510"/>
      <c r="AG3736" s="1510"/>
      <c r="AH3736" s="1510"/>
      <c r="AI3736" s="1510"/>
      <c r="AJ3736" s="1510"/>
      <c r="AK3736" s="1510"/>
      <c r="AL3736" s="1510"/>
      <c r="AM3736" s="6"/>
      <c r="AN3736" s="6"/>
      <c r="AO3736" s="6"/>
      <c r="AP3736" s="313"/>
      <c r="AQ3736" s="313"/>
      <c r="AR3736" s="313"/>
      <c r="AS3736" s="313"/>
      <c r="AT3736" s="313"/>
      <c r="AU3736" s="313"/>
      <c r="AV3736" s="313"/>
      <c r="AW3736" s="313"/>
      <c r="AX3736" s="313"/>
      <c r="AY3736" s="313"/>
      <c r="AZ3736" s="313"/>
      <c r="BA3736" s="313"/>
      <c r="BB3736" s="313"/>
      <c r="BC3736" s="313"/>
      <c r="BD3736" s="313"/>
      <c r="BE3736" s="313"/>
      <c r="BF3736" s="313"/>
      <c r="BG3736" s="313"/>
      <c r="BH3736" s="313"/>
      <c r="BI3736" s="313"/>
      <c r="BJ3736" s="313"/>
      <c r="BK3736" s="313"/>
      <c r="BL3736" s="313"/>
      <c r="BM3736" s="313"/>
      <c r="BN3736" s="313"/>
      <c r="BO3736" s="313"/>
      <c r="BP3736" s="313"/>
      <c r="BQ3736" s="313"/>
      <c r="BR3736" s="313"/>
      <c r="BS3736" s="313"/>
      <c r="BT3736" s="313"/>
      <c r="BU3736" s="313"/>
      <c r="BV3736" s="313"/>
      <c r="BW3736" s="313"/>
      <c r="BX3736" s="313"/>
      <c r="BY3736" s="313"/>
      <c r="BZ3736" s="312"/>
      <c r="CA3736" s="308"/>
      <c r="CB3736" s="5" t="str">
        <f t="shared" si="662"/>
        <v>Riadok bude skrytý.</v>
      </c>
      <c r="CC3736" s="311" t="s">
        <v>832</v>
      </c>
      <c r="CD3736" s="2"/>
      <c r="CW3736" s="49">
        <v>1</v>
      </c>
      <c r="CZ3736" s="30">
        <f t="shared" si="665"/>
        <v>1</v>
      </c>
      <c r="DA3736" s="30">
        <f t="shared" si="663"/>
        <v>1</v>
      </c>
      <c r="DB3736" s="2">
        <f t="shared" si="666"/>
        <v>0</v>
      </c>
      <c r="DR3736" s="84"/>
      <c r="DS3736" s="130"/>
      <c r="DT3736" s="130"/>
      <c r="DU3736" s="130"/>
      <c r="DV3736" s="130"/>
      <c r="DW3736" s="130"/>
      <c r="DX3736" s="130"/>
      <c r="DY3736" s="130"/>
      <c r="DZ3736" s="132"/>
      <c r="EA3736" s="84"/>
      <c r="EB3736" s="84"/>
    </row>
    <row r="3737" spans="1:132" s="30" customFormat="1" ht="10.55" hidden="1" customHeight="1" x14ac:dyDescent="0.25">
      <c r="A3737" s="226"/>
      <c r="B3737" s="312"/>
      <c r="C3737" s="1510" t="s">
        <v>994</v>
      </c>
      <c r="D3737" s="1510"/>
      <c r="E3737" s="1510"/>
      <c r="F3737" s="1510"/>
      <c r="G3737" s="1510"/>
      <c r="H3737" s="1510"/>
      <c r="I3737" s="1510"/>
      <c r="J3737" s="1510"/>
      <c r="K3737" s="1510"/>
      <c r="L3737" s="1510"/>
      <c r="M3737" s="1510"/>
      <c r="N3737" s="1510"/>
      <c r="O3737" s="1510"/>
      <c r="P3737" s="1510"/>
      <c r="Q3737" s="1510"/>
      <c r="R3737" s="1510"/>
      <c r="S3737" s="1510"/>
      <c r="T3737" s="1510"/>
      <c r="U3737" s="1510"/>
      <c r="V3737" s="1510"/>
      <c r="W3737" s="1510"/>
      <c r="X3737" s="1510"/>
      <c r="Y3737" s="1510"/>
      <c r="Z3737" s="1510"/>
      <c r="AA3737" s="1510"/>
      <c r="AB3737" s="1510"/>
      <c r="AC3737" s="1510"/>
      <c r="AD3737" s="1510"/>
      <c r="AE3737" s="1510"/>
      <c r="AF3737" s="1510"/>
      <c r="AG3737" s="1510"/>
      <c r="AH3737" s="1510"/>
      <c r="AI3737" s="1510"/>
      <c r="AJ3737" s="1510"/>
      <c r="AK3737" s="1510"/>
      <c r="AL3737" s="1510"/>
      <c r="AM3737" s="6"/>
      <c r="AN3737" s="6"/>
      <c r="AO3737" s="6"/>
      <c r="AP3737" s="313"/>
      <c r="AQ3737" s="313"/>
      <c r="AR3737" s="313"/>
      <c r="AS3737" s="313"/>
      <c r="AT3737" s="313"/>
      <c r="AU3737" s="313"/>
      <c r="AV3737" s="313"/>
      <c r="AW3737" s="313"/>
      <c r="AX3737" s="313"/>
      <c r="AY3737" s="313"/>
      <c r="AZ3737" s="313"/>
      <c r="BA3737" s="313"/>
      <c r="BB3737" s="313"/>
      <c r="BC3737" s="313"/>
      <c r="BD3737" s="313"/>
      <c r="BE3737" s="313"/>
      <c r="BF3737" s="313"/>
      <c r="BG3737" s="313"/>
      <c r="BH3737" s="313"/>
      <c r="BI3737" s="313"/>
      <c r="BJ3737" s="313"/>
      <c r="BK3737" s="313"/>
      <c r="BL3737" s="313"/>
      <c r="BM3737" s="313"/>
      <c r="BN3737" s="313"/>
      <c r="BO3737" s="313"/>
      <c r="BP3737" s="313"/>
      <c r="BQ3737" s="313"/>
      <c r="BR3737" s="313"/>
      <c r="BS3737" s="313"/>
      <c r="BT3737" s="313"/>
      <c r="BU3737" s="313"/>
      <c r="BV3737" s="313"/>
      <c r="BW3737" s="313"/>
      <c r="BX3737" s="313"/>
      <c r="BY3737" s="313"/>
      <c r="BZ3737" s="312"/>
      <c r="CA3737" s="308"/>
      <c r="CB3737" s="5" t="str">
        <f t="shared" si="662"/>
        <v>Riadok bude skrytý.</v>
      </c>
      <c r="CC3737" s="311" t="s">
        <v>832</v>
      </c>
      <c r="CD3737" s="2"/>
      <c r="CW3737" s="49">
        <v>1</v>
      </c>
      <c r="CZ3737" s="30">
        <f t="shared" si="665"/>
        <v>1</v>
      </c>
      <c r="DA3737" s="30">
        <f t="shared" si="663"/>
        <v>1</v>
      </c>
      <c r="DB3737" s="2">
        <f t="shared" si="666"/>
        <v>0</v>
      </c>
      <c r="DR3737" s="84"/>
      <c r="DS3737" s="130"/>
      <c r="DT3737" s="130"/>
      <c r="DU3737" s="130"/>
      <c r="DV3737" s="130"/>
      <c r="DW3737" s="130"/>
      <c r="DX3737" s="130"/>
      <c r="DY3737" s="130"/>
      <c r="DZ3737" s="132"/>
      <c r="EA3737" s="84"/>
      <c r="EB3737" s="84"/>
    </row>
    <row r="3738" spans="1:132" s="30" customFormat="1" ht="10.55" hidden="1" customHeight="1" x14ac:dyDescent="0.25">
      <c r="A3738" s="226"/>
      <c r="B3738" s="312"/>
      <c r="C3738" s="1510" t="s">
        <v>819</v>
      </c>
      <c r="D3738" s="1510"/>
      <c r="E3738" s="1510"/>
      <c r="F3738" s="1510"/>
      <c r="G3738" s="1510"/>
      <c r="H3738" s="1510"/>
      <c r="I3738" s="1510"/>
      <c r="J3738" s="1510"/>
      <c r="K3738" s="1510"/>
      <c r="L3738" s="1510"/>
      <c r="M3738" s="1510"/>
      <c r="N3738" s="1510"/>
      <c r="O3738" s="1510"/>
      <c r="P3738" s="1510"/>
      <c r="Q3738" s="1510"/>
      <c r="R3738" s="1510"/>
      <c r="S3738" s="1510"/>
      <c r="T3738" s="1510"/>
      <c r="U3738" s="1510"/>
      <c r="V3738" s="1510"/>
      <c r="W3738" s="1510"/>
      <c r="X3738" s="1510"/>
      <c r="Y3738" s="1510"/>
      <c r="Z3738" s="1510"/>
      <c r="AA3738" s="1510"/>
      <c r="AB3738" s="1510"/>
      <c r="AC3738" s="1510"/>
      <c r="AD3738" s="1510"/>
      <c r="AE3738" s="1510"/>
      <c r="AF3738" s="1510"/>
      <c r="AG3738" s="1510"/>
      <c r="AH3738" s="1510"/>
      <c r="AI3738" s="1510"/>
      <c r="AJ3738" s="1510"/>
      <c r="AK3738" s="1510"/>
      <c r="AL3738" s="1510"/>
      <c r="AM3738" s="6"/>
      <c r="AN3738" s="6"/>
      <c r="AO3738" s="6"/>
      <c r="AP3738" s="313"/>
      <c r="AQ3738" s="313"/>
      <c r="AR3738" s="313"/>
      <c r="AS3738" s="313"/>
      <c r="AT3738" s="313"/>
      <c r="AU3738" s="313"/>
      <c r="AV3738" s="313"/>
      <c r="AW3738" s="313"/>
      <c r="AX3738" s="313"/>
      <c r="AY3738" s="313"/>
      <c r="AZ3738" s="313"/>
      <c r="BA3738" s="313"/>
      <c r="BB3738" s="313"/>
      <c r="BC3738" s="313"/>
      <c r="BD3738" s="313"/>
      <c r="BE3738" s="313"/>
      <c r="BF3738" s="313"/>
      <c r="BG3738" s="313"/>
      <c r="BH3738" s="313"/>
      <c r="BI3738" s="313"/>
      <c r="BJ3738" s="313"/>
      <c r="BK3738" s="313"/>
      <c r="BL3738" s="313"/>
      <c r="BM3738" s="313"/>
      <c r="BN3738" s="313"/>
      <c r="BO3738" s="313"/>
      <c r="BP3738" s="313"/>
      <c r="BQ3738" s="313"/>
      <c r="BR3738" s="313"/>
      <c r="BS3738" s="313"/>
      <c r="BT3738" s="313"/>
      <c r="BU3738" s="313"/>
      <c r="BV3738" s="313"/>
      <c r="BW3738" s="313"/>
      <c r="BX3738" s="313"/>
      <c r="BY3738" s="313"/>
      <c r="BZ3738" s="312"/>
      <c r="CA3738" s="308"/>
      <c r="CB3738" s="5" t="str">
        <f t="shared" si="662"/>
        <v>Riadok bude skrytý.</v>
      </c>
      <c r="CC3738" s="311" t="s">
        <v>832</v>
      </c>
      <c r="CD3738" s="2"/>
      <c r="CW3738" s="49">
        <v>1</v>
      </c>
      <c r="CZ3738" s="30">
        <f t="shared" si="665"/>
        <v>1</v>
      </c>
      <c r="DA3738" s="30">
        <f t="shared" si="663"/>
        <v>1</v>
      </c>
      <c r="DB3738" s="2">
        <f t="shared" si="666"/>
        <v>0</v>
      </c>
      <c r="DR3738" s="84"/>
      <c r="DS3738" s="130"/>
      <c r="DT3738" s="130"/>
      <c r="DU3738" s="130"/>
      <c r="DV3738" s="130"/>
      <c r="DW3738" s="130"/>
      <c r="DX3738" s="130"/>
      <c r="DY3738" s="130"/>
      <c r="DZ3738" s="132"/>
      <c r="EA3738" s="84"/>
      <c r="EB3738" s="84"/>
    </row>
    <row r="3739" spans="1:132" s="30" customFormat="1" ht="10.55" hidden="1" customHeight="1" x14ac:dyDescent="0.25">
      <c r="A3739" s="226"/>
      <c r="B3739" s="312"/>
      <c r="C3739" s="1510" t="s">
        <v>820</v>
      </c>
      <c r="D3739" s="1510"/>
      <c r="E3739" s="1510"/>
      <c r="F3739" s="1510"/>
      <c r="G3739" s="1510"/>
      <c r="H3739" s="1510"/>
      <c r="I3739" s="1510"/>
      <c r="J3739" s="1510"/>
      <c r="K3739" s="1510"/>
      <c r="L3739" s="1510"/>
      <c r="M3739" s="1510"/>
      <c r="N3739" s="1510"/>
      <c r="O3739" s="1510"/>
      <c r="P3739" s="1510"/>
      <c r="Q3739" s="1510"/>
      <c r="R3739" s="1510"/>
      <c r="S3739" s="1510"/>
      <c r="T3739" s="1510"/>
      <c r="U3739" s="1510"/>
      <c r="V3739" s="1510"/>
      <c r="W3739" s="1510"/>
      <c r="X3739" s="1510"/>
      <c r="Y3739" s="1510"/>
      <c r="Z3739" s="1510"/>
      <c r="AA3739" s="1510"/>
      <c r="AB3739" s="1510"/>
      <c r="AC3739" s="1510"/>
      <c r="AD3739" s="1510"/>
      <c r="AE3739" s="1510"/>
      <c r="AF3739" s="1510"/>
      <c r="AG3739" s="1510"/>
      <c r="AH3739" s="1510"/>
      <c r="AI3739" s="1510"/>
      <c r="AJ3739" s="1510"/>
      <c r="AK3739" s="1510"/>
      <c r="AL3739" s="1510"/>
      <c r="AM3739" s="6"/>
      <c r="AN3739" s="6"/>
      <c r="AO3739" s="6"/>
      <c r="AP3739" s="313"/>
      <c r="AQ3739" s="313"/>
      <c r="AR3739" s="313"/>
      <c r="AS3739" s="313"/>
      <c r="AT3739" s="313"/>
      <c r="AU3739" s="313"/>
      <c r="AV3739" s="313"/>
      <c r="AW3739" s="313"/>
      <c r="AX3739" s="313"/>
      <c r="AY3739" s="313"/>
      <c r="AZ3739" s="313"/>
      <c r="BA3739" s="313"/>
      <c r="BB3739" s="313"/>
      <c r="BC3739" s="313"/>
      <c r="BD3739" s="313"/>
      <c r="BE3739" s="313"/>
      <c r="BF3739" s="313"/>
      <c r="BG3739" s="313"/>
      <c r="BH3739" s="313"/>
      <c r="BI3739" s="313"/>
      <c r="BJ3739" s="313"/>
      <c r="BK3739" s="313"/>
      <c r="BL3739" s="313"/>
      <c r="BM3739" s="313"/>
      <c r="BN3739" s="313"/>
      <c r="BO3739" s="313"/>
      <c r="BP3739" s="313"/>
      <c r="BQ3739" s="313"/>
      <c r="BR3739" s="313"/>
      <c r="BS3739" s="313"/>
      <c r="BT3739" s="313"/>
      <c r="BU3739" s="313"/>
      <c r="BV3739" s="313"/>
      <c r="BW3739" s="313"/>
      <c r="BX3739" s="313"/>
      <c r="BY3739" s="313"/>
      <c r="BZ3739" s="312"/>
      <c r="CA3739" s="308"/>
      <c r="CB3739" s="5" t="str">
        <f t="shared" si="662"/>
        <v>Riadok bude skrytý.</v>
      </c>
      <c r="CC3739" s="311" t="s">
        <v>832</v>
      </c>
      <c r="CD3739" s="2"/>
      <c r="CW3739" s="49">
        <v>1</v>
      </c>
      <c r="CZ3739" s="30">
        <f t="shared" si="665"/>
        <v>1</v>
      </c>
      <c r="DA3739" s="30">
        <f t="shared" si="663"/>
        <v>1</v>
      </c>
      <c r="DB3739" s="2">
        <f t="shared" si="666"/>
        <v>0</v>
      </c>
      <c r="DR3739" s="84"/>
      <c r="DS3739" s="130"/>
      <c r="DT3739" s="130"/>
      <c r="DU3739" s="130"/>
      <c r="DV3739" s="130"/>
      <c r="DW3739" s="130"/>
      <c r="DX3739" s="130"/>
      <c r="DY3739" s="130"/>
      <c r="DZ3739" s="132"/>
      <c r="EA3739" s="84"/>
      <c r="EB3739" s="84"/>
    </row>
    <row r="3740" spans="1:132" s="30" customFormat="1" ht="10.55" hidden="1" customHeight="1" x14ac:dyDescent="0.25">
      <c r="A3740" s="226"/>
      <c r="B3740" s="312"/>
      <c r="C3740" s="1510" t="s">
        <v>821</v>
      </c>
      <c r="D3740" s="1510"/>
      <c r="E3740" s="1510"/>
      <c r="F3740" s="1510"/>
      <c r="G3740" s="1510"/>
      <c r="H3740" s="1510"/>
      <c r="I3740" s="1510"/>
      <c r="J3740" s="1510"/>
      <c r="K3740" s="1510"/>
      <c r="L3740" s="1510"/>
      <c r="M3740" s="1510"/>
      <c r="N3740" s="1510"/>
      <c r="O3740" s="1510"/>
      <c r="P3740" s="1510"/>
      <c r="Q3740" s="1510"/>
      <c r="R3740" s="1510"/>
      <c r="S3740" s="1510"/>
      <c r="T3740" s="1510"/>
      <c r="U3740" s="1510"/>
      <c r="V3740" s="1510"/>
      <c r="W3740" s="1510"/>
      <c r="X3740" s="1510"/>
      <c r="Y3740" s="1510"/>
      <c r="Z3740" s="1510"/>
      <c r="AA3740" s="1510"/>
      <c r="AB3740" s="1510"/>
      <c r="AC3740" s="1510"/>
      <c r="AD3740" s="1510"/>
      <c r="AE3740" s="1510"/>
      <c r="AF3740" s="1510"/>
      <c r="AG3740" s="1510"/>
      <c r="AH3740" s="1510"/>
      <c r="AI3740" s="1510"/>
      <c r="AJ3740" s="1510"/>
      <c r="AK3740" s="1510"/>
      <c r="AL3740" s="1510"/>
      <c r="AM3740" s="315"/>
      <c r="AN3740" s="315"/>
      <c r="AO3740" s="315"/>
      <c r="AP3740" s="313"/>
      <c r="AQ3740" s="313"/>
      <c r="AR3740" s="313"/>
      <c r="AS3740" s="313"/>
      <c r="AT3740" s="313"/>
      <c r="AU3740" s="313"/>
      <c r="AV3740" s="313"/>
      <c r="AW3740" s="313"/>
      <c r="AX3740" s="313"/>
      <c r="AY3740" s="313"/>
      <c r="AZ3740" s="313"/>
      <c r="BA3740" s="313"/>
      <c r="BB3740" s="313"/>
      <c r="BC3740" s="313"/>
      <c r="BD3740" s="313"/>
      <c r="BE3740" s="313"/>
      <c r="BF3740" s="313"/>
      <c r="BG3740" s="313"/>
      <c r="BH3740" s="313"/>
      <c r="BI3740" s="313"/>
      <c r="BJ3740" s="313"/>
      <c r="BK3740" s="313"/>
      <c r="BL3740" s="313"/>
      <c r="BM3740" s="313"/>
      <c r="BN3740" s="313"/>
      <c r="BO3740" s="313"/>
      <c r="BP3740" s="313"/>
      <c r="BQ3740" s="313"/>
      <c r="BR3740" s="313"/>
      <c r="BS3740" s="313"/>
      <c r="BT3740" s="313"/>
      <c r="BU3740" s="313"/>
      <c r="BV3740" s="313"/>
      <c r="BW3740" s="313"/>
      <c r="BX3740" s="313"/>
      <c r="BY3740" s="313"/>
      <c r="BZ3740" s="312"/>
      <c r="CA3740" s="308"/>
      <c r="CB3740" s="5" t="str">
        <f t="shared" si="662"/>
        <v>Riadok bude skrytý.</v>
      </c>
      <c r="CC3740" s="311" t="s">
        <v>832</v>
      </c>
      <c r="CD3740" s="2"/>
      <c r="CW3740" s="49">
        <v>1</v>
      </c>
      <c r="CZ3740" s="30">
        <f t="shared" si="665"/>
        <v>1</v>
      </c>
      <c r="DA3740" s="30">
        <f t="shared" si="663"/>
        <v>1</v>
      </c>
      <c r="DB3740" s="2">
        <f t="shared" si="666"/>
        <v>0</v>
      </c>
      <c r="DR3740" s="84"/>
      <c r="DS3740" s="130"/>
      <c r="DT3740" s="130"/>
      <c r="DU3740" s="130"/>
      <c r="DV3740" s="130"/>
      <c r="DW3740" s="130"/>
      <c r="DX3740" s="130"/>
      <c r="DY3740" s="130"/>
      <c r="DZ3740" s="132"/>
      <c r="EA3740" s="84"/>
      <c r="EB3740" s="84"/>
    </row>
    <row r="3741" spans="1:132" s="30" customFormat="1" ht="10.55" hidden="1" customHeight="1" x14ac:dyDescent="0.25">
      <c r="A3741" s="226"/>
      <c r="B3741" s="312"/>
      <c r="C3741" s="1510" t="s">
        <v>822</v>
      </c>
      <c r="D3741" s="1510"/>
      <c r="E3741" s="1510"/>
      <c r="F3741" s="1510"/>
      <c r="G3741" s="1510"/>
      <c r="H3741" s="1510"/>
      <c r="I3741" s="1510"/>
      <c r="J3741" s="1510"/>
      <c r="K3741" s="1510"/>
      <c r="L3741" s="1510"/>
      <c r="M3741" s="1510"/>
      <c r="N3741" s="1510"/>
      <c r="O3741" s="1510"/>
      <c r="P3741" s="1510"/>
      <c r="Q3741" s="1510"/>
      <c r="R3741" s="1510"/>
      <c r="S3741" s="1510"/>
      <c r="T3741" s="1510"/>
      <c r="U3741" s="1510"/>
      <c r="V3741" s="1510"/>
      <c r="W3741" s="1510"/>
      <c r="X3741" s="1510"/>
      <c r="Y3741" s="1510"/>
      <c r="Z3741" s="1510"/>
      <c r="AA3741" s="1510"/>
      <c r="AB3741" s="1510"/>
      <c r="AC3741" s="1510"/>
      <c r="AD3741" s="1510"/>
      <c r="AE3741" s="1510"/>
      <c r="AF3741" s="1510"/>
      <c r="AG3741" s="1510"/>
      <c r="AH3741" s="1510"/>
      <c r="AI3741" s="1510"/>
      <c r="AJ3741" s="1510"/>
      <c r="AK3741" s="1510"/>
      <c r="AL3741" s="1510"/>
      <c r="AM3741" s="6"/>
      <c r="AN3741" s="6"/>
      <c r="AO3741" s="6"/>
      <c r="AP3741" s="6"/>
      <c r="AQ3741" s="6"/>
      <c r="AR3741" s="6"/>
      <c r="AS3741" s="6"/>
      <c r="AT3741" s="6"/>
      <c r="AU3741" s="6"/>
      <c r="AV3741" s="6"/>
      <c r="AW3741" s="6"/>
      <c r="AX3741" s="312"/>
      <c r="AY3741" s="312"/>
      <c r="AZ3741" s="312"/>
      <c r="BA3741" s="312"/>
      <c r="BB3741" s="312"/>
      <c r="BC3741" s="312"/>
      <c r="BD3741" s="312"/>
      <c r="BE3741" s="312"/>
      <c r="BF3741" s="312"/>
      <c r="BG3741" s="312"/>
      <c r="BH3741" s="312"/>
      <c r="BI3741" s="312"/>
      <c r="BJ3741" s="312"/>
      <c r="BK3741" s="312"/>
      <c r="BL3741" s="312"/>
      <c r="BM3741" s="312"/>
      <c r="BN3741" s="312"/>
      <c r="BO3741" s="312"/>
      <c r="BP3741" s="312"/>
      <c r="BQ3741" s="312"/>
      <c r="BR3741" s="312"/>
      <c r="BS3741" s="312"/>
      <c r="BT3741" s="312"/>
      <c r="BU3741" s="312"/>
      <c r="BV3741" s="312"/>
      <c r="BW3741" s="312"/>
      <c r="BX3741" s="312"/>
      <c r="BY3741" s="312"/>
      <c r="BZ3741" s="312"/>
      <c r="CA3741" s="308"/>
      <c r="CB3741" s="5" t="str">
        <f t="shared" si="662"/>
        <v>Riadok bude skrytý.</v>
      </c>
      <c r="CC3741" s="311" t="s">
        <v>832</v>
      </c>
      <c r="CW3741" s="49">
        <v>1</v>
      </c>
      <c r="CZ3741" s="30">
        <f t="shared" si="665"/>
        <v>1</v>
      </c>
      <c r="DA3741" s="30">
        <f t="shared" si="663"/>
        <v>1</v>
      </c>
      <c r="DB3741" s="2">
        <f t="shared" si="666"/>
        <v>0</v>
      </c>
      <c r="DR3741" s="84"/>
      <c r="DS3741" s="130"/>
      <c r="DT3741" s="130"/>
      <c r="DU3741" s="130"/>
      <c r="DV3741" s="130"/>
      <c r="DW3741" s="130"/>
      <c r="DX3741" s="130"/>
      <c r="DY3741" s="130"/>
      <c r="DZ3741" s="132"/>
      <c r="EA3741" s="84"/>
      <c r="EB3741" s="84"/>
    </row>
    <row r="3742" spans="1:132" ht="7.5" customHeight="1" x14ac:dyDescent="0.25">
      <c r="A3742" s="141"/>
      <c r="B3742" s="141"/>
      <c r="C3742" s="141"/>
      <c r="D3742" s="141"/>
      <c r="E3742" s="141"/>
      <c r="F3742" s="141"/>
      <c r="G3742" s="141"/>
      <c r="H3742" s="141"/>
      <c r="I3742" s="141"/>
      <c r="J3742" s="141"/>
      <c r="K3742" s="141"/>
      <c r="L3742" s="141"/>
      <c r="M3742" s="141"/>
      <c r="N3742" s="141"/>
      <c r="O3742" s="141"/>
      <c r="P3742" s="141"/>
      <c r="Q3742" s="141"/>
      <c r="R3742" s="141"/>
      <c r="S3742" s="141"/>
      <c r="T3742" s="141"/>
      <c r="U3742" s="141"/>
      <c r="V3742" s="141"/>
      <c r="W3742" s="141"/>
      <c r="X3742" s="141"/>
      <c r="Y3742" s="141"/>
      <c r="Z3742" s="141"/>
      <c r="AA3742" s="141"/>
      <c r="AB3742" s="141"/>
      <c r="AC3742" s="141"/>
      <c r="AD3742" s="141"/>
      <c r="AE3742" s="141"/>
      <c r="AF3742" s="141"/>
      <c r="AG3742" s="141"/>
      <c r="AH3742" s="141"/>
      <c r="AI3742" s="141"/>
      <c r="AJ3742" s="141"/>
      <c r="AK3742" s="141"/>
      <c r="AL3742" s="141"/>
      <c r="AM3742" s="141"/>
      <c r="AN3742" s="141"/>
      <c r="AO3742" s="141"/>
      <c r="AP3742" s="141"/>
      <c r="AQ3742" s="141"/>
      <c r="AR3742" s="141"/>
      <c r="AS3742" s="141"/>
      <c r="AT3742" s="141"/>
      <c r="AU3742" s="141"/>
      <c r="AV3742" s="141"/>
      <c r="AW3742" s="141"/>
      <c r="AX3742" s="141"/>
      <c r="AY3742" s="141"/>
      <c r="AZ3742" s="141"/>
      <c r="BA3742" s="141"/>
      <c r="BB3742" s="141"/>
      <c r="BC3742" s="141"/>
      <c r="BD3742" s="141"/>
      <c r="BE3742" s="141"/>
      <c r="BF3742" s="141"/>
      <c r="BG3742" s="141"/>
      <c r="BH3742" s="141"/>
      <c r="BI3742" s="141"/>
      <c r="BJ3742" s="141"/>
      <c r="BK3742" s="141"/>
      <c r="BL3742" s="141"/>
      <c r="BM3742" s="141"/>
      <c r="BN3742" s="141"/>
      <c r="BO3742" s="141"/>
      <c r="BP3742" s="141"/>
      <c r="BQ3742" s="141"/>
      <c r="BR3742" s="141"/>
      <c r="BS3742" s="141"/>
      <c r="BT3742" s="141"/>
      <c r="BU3742" s="141"/>
      <c r="BV3742" s="141"/>
      <c r="BW3742" s="141"/>
      <c r="BX3742" s="141"/>
      <c r="BY3742" s="141"/>
      <c r="BZ3742" s="141"/>
      <c r="CA3742" s="270"/>
      <c r="CC3742" s="19"/>
    </row>
    <row r="3743" spans="1:132" x14ac:dyDescent="0.25">
      <c r="CC3743" s="19"/>
    </row>
    <row r="3744" spans="1:132" x14ac:dyDescent="0.25">
      <c r="CC3744" s="19"/>
    </row>
    <row r="3745" spans="81:81" x14ac:dyDescent="0.25">
      <c r="CC3745" s="19"/>
    </row>
    <row r="3746" spans="81:81" x14ac:dyDescent="0.25">
      <c r="CC3746" s="19"/>
    </row>
    <row r="3747" spans="81:81" x14ac:dyDescent="0.25">
      <c r="CC3747" s="19"/>
    </row>
    <row r="3748" spans="81:81" x14ac:dyDescent="0.25">
      <c r="CC3748" s="19"/>
    </row>
    <row r="3749" spans="81:81" x14ac:dyDescent="0.25">
      <c r="CC3749" s="19"/>
    </row>
    <row r="3750" spans="81:81" x14ac:dyDescent="0.25">
      <c r="CC3750" s="19"/>
    </row>
    <row r="3751" spans="81:81" x14ac:dyDescent="0.25">
      <c r="CC3751" s="19"/>
    </row>
    <row r="3752" spans="81:81" x14ac:dyDescent="0.25">
      <c r="CC3752" s="19"/>
    </row>
    <row r="3753" spans="81:81" x14ac:dyDescent="0.25">
      <c r="CC3753" s="19"/>
    </row>
    <row r="3754" spans="81:81" x14ac:dyDescent="0.25">
      <c r="CC3754" s="19"/>
    </row>
    <row r="3755" spans="81:81" x14ac:dyDescent="0.25">
      <c r="CC3755" s="19"/>
    </row>
    <row r="3756" spans="81:81" x14ac:dyDescent="0.25">
      <c r="CC3756" s="19"/>
    </row>
    <row r="3757" spans="81:81" x14ac:dyDescent="0.25">
      <c r="CC3757" s="19"/>
    </row>
    <row r="3758" spans="81:81" x14ac:dyDescent="0.25">
      <c r="CC3758" s="19"/>
    </row>
    <row r="3759" spans="81:81" x14ac:dyDescent="0.25">
      <c r="CC3759" s="19"/>
    </row>
    <row r="3760" spans="81:81" x14ac:dyDescent="0.25">
      <c r="CC3760" s="19"/>
    </row>
    <row r="3761" spans="81:81" x14ac:dyDescent="0.25">
      <c r="CC3761" s="19"/>
    </row>
    <row r="3762" spans="81:81" x14ac:dyDescent="0.25">
      <c r="CC3762" s="19"/>
    </row>
    <row r="3763" spans="81:81" x14ac:dyDescent="0.25">
      <c r="CC3763" s="19"/>
    </row>
    <row r="3764" spans="81:81" x14ac:dyDescent="0.25">
      <c r="CC3764" s="19"/>
    </row>
    <row r="3765" spans="81:81" x14ac:dyDescent="0.25">
      <c r="CC3765" s="19"/>
    </row>
    <row r="3766" spans="81:81" x14ac:dyDescent="0.25">
      <c r="CC3766" s="19"/>
    </row>
    <row r="3767" spans="81:81" x14ac:dyDescent="0.25">
      <c r="CC3767" s="19"/>
    </row>
    <row r="3768" spans="81:81" x14ac:dyDescent="0.25">
      <c r="CC3768" s="19"/>
    </row>
    <row r="3769" spans="81:81" x14ac:dyDescent="0.25">
      <c r="CC3769" s="19"/>
    </row>
    <row r="3770" spans="81:81" x14ac:dyDescent="0.25">
      <c r="CC3770" s="19"/>
    </row>
    <row r="3771" spans="81:81" x14ac:dyDescent="0.25">
      <c r="CC3771" s="19"/>
    </row>
    <row r="3772" spans="81:81" x14ac:dyDescent="0.25">
      <c r="CC3772" s="19"/>
    </row>
    <row r="3773" spans="81:81" x14ac:dyDescent="0.25">
      <c r="CC3773" s="19"/>
    </row>
    <row r="3774" spans="81:81" x14ac:dyDescent="0.25">
      <c r="CC3774" s="19"/>
    </row>
    <row r="3775" spans="81:81" x14ac:dyDescent="0.25">
      <c r="CC3775" s="19"/>
    </row>
    <row r="3776" spans="81:81" x14ac:dyDescent="0.25">
      <c r="CC3776" s="19"/>
    </row>
    <row r="3777" spans="81:81" x14ac:dyDescent="0.25">
      <c r="CC3777" s="19"/>
    </row>
    <row r="3778" spans="81:81" x14ac:dyDescent="0.25">
      <c r="CC3778" s="19"/>
    </row>
    <row r="3779" spans="81:81" x14ac:dyDescent="0.25">
      <c r="CC3779" s="19"/>
    </row>
    <row r="3780" spans="81:81" x14ac:dyDescent="0.25">
      <c r="CC3780" s="19"/>
    </row>
    <row r="3781" spans="81:81" x14ac:dyDescent="0.25">
      <c r="CC3781" s="19"/>
    </row>
    <row r="3782" spans="81:81" x14ac:dyDescent="0.25">
      <c r="CC3782" s="19"/>
    </row>
    <row r="3783" spans="81:81" x14ac:dyDescent="0.25">
      <c r="CC3783" s="19"/>
    </row>
    <row r="3784" spans="81:81" x14ac:dyDescent="0.25">
      <c r="CC3784" s="19"/>
    </row>
    <row r="3785" spans="81:81" x14ac:dyDescent="0.25">
      <c r="CC3785" s="19"/>
    </row>
    <row r="3786" spans="81:81" x14ac:dyDescent="0.25">
      <c r="CC3786" s="19"/>
    </row>
    <row r="3787" spans="81:81" x14ac:dyDescent="0.25">
      <c r="CC3787" s="19"/>
    </row>
    <row r="3788" spans="81:81" x14ac:dyDescent="0.25">
      <c r="CC3788" s="19"/>
    </row>
    <row r="3789" spans="81:81" x14ac:dyDescent="0.25">
      <c r="CC3789" s="19"/>
    </row>
    <row r="3790" spans="81:81" x14ac:dyDescent="0.25">
      <c r="CC3790" s="19"/>
    </row>
    <row r="3791" spans="81:81" x14ac:dyDescent="0.25">
      <c r="CC3791" s="19"/>
    </row>
    <row r="3792" spans="81:81" x14ac:dyDescent="0.25">
      <c r="CC3792" s="19"/>
    </row>
    <row r="3793" spans="81:81" x14ac:dyDescent="0.25">
      <c r="CC3793" s="19"/>
    </row>
    <row r="3794" spans="81:81" x14ac:dyDescent="0.25">
      <c r="CC3794" s="19"/>
    </row>
    <row r="3795" spans="81:81" x14ac:dyDescent="0.25">
      <c r="CC3795" s="19"/>
    </row>
    <row r="3796" spans="81:81" x14ac:dyDescent="0.25">
      <c r="CC3796" s="19"/>
    </row>
    <row r="3797" spans="81:81" x14ac:dyDescent="0.25">
      <c r="CC3797" s="19"/>
    </row>
    <row r="3798" spans="81:81" x14ac:dyDescent="0.25">
      <c r="CC3798" s="19"/>
    </row>
    <row r="3799" spans="81:81" x14ac:dyDescent="0.25">
      <c r="CC3799" s="19"/>
    </row>
    <row r="3800" spans="81:81" x14ac:dyDescent="0.25">
      <c r="CC3800" s="19"/>
    </row>
    <row r="3801" spans="81:81" x14ac:dyDescent="0.25">
      <c r="CC3801" s="19"/>
    </row>
    <row r="3802" spans="81:81" x14ac:dyDescent="0.25">
      <c r="CC3802" s="19"/>
    </row>
    <row r="3803" spans="81:81" x14ac:dyDescent="0.25">
      <c r="CC3803" s="19"/>
    </row>
    <row r="3804" spans="81:81" x14ac:dyDescent="0.25">
      <c r="CC3804" s="19"/>
    </row>
    <row r="3805" spans="81:81" x14ac:dyDescent="0.25">
      <c r="CC3805" s="19"/>
    </row>
    <row r="3806" spans="81:81" x14ac:dyDescent="0.25">
      <c r="CC3806" s="19"/>
    </row>
    <row r="3807" spans="81:81" x14ac:dyDescent="0.25">
      <c r="CC3807" s="19"/>
    </row>
    <row r="3808" spans="81:81" x14ac:dyDescent="0.25">
      <c r="CC3808" s="19"/>
    </row>
    <row r="3809" spans="81:81" x14ac:dyDescent="0.25">
      <c r="CC3809" s="19"/>
    </row>
    <row r="3810" spans="81:81" x14ac:dyDescent="0.25">
      <c r="CC3810" s="19"/>
    </row>
    <row r="3811" spans="81:81" x14ac:dyDescent="0.25">
      <c r="CC3811" s="19"/>
    </row>
    <row r="3812" spans="81:81" x14ac:dyDescent="0.25">
      <c r="CC3812" s="19"/>
    </row>
    <row r="3813" spans="81:81" x14ac:dyDescent="0.25">
      <c r="CC3813" s="19"/>
    </row>
    <row r="3814" spans="81:81" x14ac:dyDescent="0.25">
      <c r="CC3814" s="19"/>
    </row>
    <row r="3815" spans="81:81" x14ac:dyDescent="0.25">
      <c r="CC3815" s="19"/>
    </row>
    <row r="3816" spans="81:81" x14ac:dyDescent="0.25">
      <c r="CC3816" s="19"/>
    </row>
    <row r="3817" spans="81:81" x14ac:dyDescent="0.25">
      <c r="CC3817" s="19"/>
    </row>
    <row r="3818" spans="81:81" x14ac:dyDescent="0.25">
      <c r="CC3818" s="19"/>
    </row>
    <row r="3819" spans="81:81" x14ac:dyDescent="0.25">
      <c r="CC3819" s="19"/>
    </row>
    <row r="3820" spans="81:81" x14ac:dyDescent="0.25">
      <c r="CC3820" s="19"/>
    </row>
    <row r="3821" spans="81:81" x14ac:dyDescent="0.25">
      <c r="CC3821" s="19"/>
    </row>
    <row r="3822" spans="81:81" x14ac:dyDescent="0.25">
      <c r="CC3822" s="19"/>
    </row>
    <row r="3823" spans="81:81" x14ac:dyDescent="0.25">
      <c r="CC3823" s="19"/>
    </row>
    <row r="3824" spans="81:81" x14ac:dyDescent="0.25">
      <c r="CC3824" s="19"/>
    </row>
    <row r="3825" spans="81:81" x14ac:dyDescent="0.25">
      <c r="CC3825" s="19"/>
    </row>
    <row r="3826" spans="81:81" x14ac:dyDescent="0.25">
      <c r="CC3826" s="19"/>
    </row>
    <row r="3827" spans="81:81" x14ac:dyDescent="0.25">
      <c r="CC3827" s="19"/>
    </row>
    <row r="3828" spans="81:81" x14ac:dyDescent="0.25">
      <c r="CC3828" s="19"/>
    </row>
    <row r="3829" spans="81:81" x14ac:dyDescent="0.25">
      <c r="CC3829" s="19"/>
    </row>
    <row r="3830" spans="81:81" x14ac:dyDescent="0.25">
      <c r="CC3830" s="19"/>
    </row>
    <row r="3831" spans="81:81" x14ac:dyDescent="0.25">
      <c r="CC3831" s="19"/>
    </row>
    <row r="3832" spans="81:81" x14ac:dyDescent="0.25">
      <c r="CC3832" s="19"/>
    </row>
    <row r="3833" spans="81:81" x14ac:dyDescent="0.25">
      <c r="CC3833" s="19"/>
    </row>
    <row r="3834" spans="81:81" x14ac:dyDescent="0.25">
      <c r="CC3834" s="19"/>
    </row>
    <row r="3835" spans="81:81" x14ac:dyDescent="0.25">
      <c r="CC3835" s="19"/>
    </row>
    <row r="3836" spans="81:81" x14ac:dyDescent="0.25">
      <c r="CC3836" s="19"/>
    </row>
    <row r="3837" spans="81:81" x14ac:dyDescent="0.25">
      <c r="CC3837" s="19"/>
    </row>
    <row r="3838" spans="81:81" x14ac:dyDescent="0.25">
      <c r="CC3838" s="19"/>
    </row>
    <row r="3839" spans="81:81" x14ac:dyDescent="0.25">
      <c r="CC3839" s="19"/>
    </row>
    <row r="3840" spans="81:81" x14ac:dyDescent="0.25">
      <c r="CC3840" s="19"/>
    </row>
    <row r="3841" spans="81:81" x14ac:dyDescent="0.25">
      <c r="CC3841" s="19"/>
    </row>
    <row r="3842" spans="81:81" x14ac:dyDescent="0.25">
      <c r="CC3842" s="19"/>
    </row>
    <row r="3843" spans="81:81" x14ac:dyDescent="0.25">
      <c r="CC3843" s="19"/>
    </row>
    <row r="3844" spans="81:81" x14ac:dyDescent="0.25">
      <c r="CC3844" s="19"/>
    </row>
    <row r="3845" spans="81:81" x14ac:dyDescent="0.25">
      <c r="CC3845" s="19"/>
    </row>
    <row r="3846" spans="81:81" x14ac:dyDescent="0.25">
      <c r="CC3846" s="19"/>
    </row>
    <row r="3847" spans="81:81" x14ac:dyDescent="0.25">
      <c r="CC3847" s="19"/>
    </row>
    <row r="3848" spans="81:81" x14ac:dyDescent="0.25">
      <c r="CC3848" s="19"/>
    </row>
    <row r="3849" spans="81:81" x14ac:dyDescent="0.25">
      <c r="CC3849" s="19"/>
    </row>
    <row r="3850" spans="81:81" x14ac:dyDescent="0.25">
      <c r="CC3850" s="19"/>
    </row>
    <row r="3851" spans="81:81" x14ac:dyDescent="0.25">
      <c r="CC3851" s="19"/>
    </row>
    <row r="3852" spans="81:81" x14ac:dyDescent="0.25">
      <c r="CC3852" s="19"/>
    </row>
    <row r="3853" spans="81:81" x14ac:dyDescent="0.25">
      <c r="CC3853" s="19"/>
    </row>
    <row r="3854" spans="81:81" x14ac:dyDescent="0.25">
      <c r="CC3854" s="19"/>
    </row>
    <row r="3855" spans="81:81" x14ac:dyDescent="0.25">
      <c r="CC3855" s="19"/>
    </row>
    <row r="3856" spans="81:81" x14ac:dyDescent="0.25">
      <c r="CC3856" s="19"/>
    </row>
    <row r="3857" spans="81:81" x14ac:dyDescent="0.25">
      <c r="CC3857" s="19"/>
    </row>
    <row r="3858" spans="81:81" x14ac:dyDescent="0.25">
      <c r="CC3858" s="19"/>
    </row>
    <row r="3859" spans="81:81" x14ac:dyDescent="0.25">
      <c r="CC3859" s="19"/>
    </row>
    <row r="3860" spans="81:81" x14ac:dyDescent="0.25">
      <c r="CC3860" s="19"/>
    </row>
    <row r="3861" spans="81:81" x14ac:dyDescent="0.25">
      <c r="CC3861" s="19"/>
    </row>
    <row r="3862" spans="81:81" x14ac:dyDescent="0.25">
      <c r="CC3862" s="19"/>
    </row>
    <row r="3863" spans="81:81" x14ac:dyDescent="0.25">
      <c r="CC3863" s="19"/>
    </row>
    <row r="3864" spans="81:81" x14ac:dyDescent="0.25">
      <c r="CC3864" s="19"/>
    </row>
    <row r="3865" spans="81:81" x14ac:dyDescent="0.25">
      <c r="CC3865" s="19"/>
    </row>
    <row r="3866" spans="81:81" x14ac:dyDescent="0.25">
      <c r="CC3866" s="19"/>
    </row>
    <row r="3867" spans="81:81" x14ac:dyDescent="0.25">
      <c r="CC3867" s="19"/>
    </row>
    <row r="3868" spans="81:81" x14ac:dyDescent="0.25">
      <c r="CC3868" s="19"/>
    </row>
    <row r="3869" spans="81:81" x14ac:dyDescent="0.25">
      <c r="CC3869" s="19"/>
    </row>
    <row r="3870" spans="81:81" x14ac:dyDescent="0.25">
      <c r="CC3870" s="19"/>
    </row>
    <row r="3871" spans="81:81" x14ac:dyDescent="0.25">
      <c r="CC3871" s="19"/>
    </row>
    <row r="3872" spans="81:81" x14ac:dyDescent="0.25">
      <c r="CC3872" s="19"/>
    </row>
    <row r="3873" spans="81:81" x14ac:dyDescent="0.25">
      <c r="CC3873" s="19"/>
    </row>
    <row r="3874" spans="81:81" x14ac:dyDescent="0.25">
      <c r="CC3874" s="19"/>
    </row>
    <row r="3875" spans="81:81" x14ac:dyDescent="0.25">
      <c r="CC3875" s="19"/>
    </row>
    <row r="3876" spans="81:81" x14ac:dyDescent="0.25">
      <c r="CC3876" s="19"/>
    </row>
    <row r="3877" spans="81:81" x14ac:dyDescent="0.25">
      <c r="CC3877" s="19"/>
    </row>
    <row r="3878" spans="81:81" x14ac:dyDescent="0.25">
      <c r="CC3878" s="19"/>
    </row>
    <row r="3879" spans="81:81" x14ac:dyDescent="0.25">
      <c r="CC3879" s="19"/>
    </row>
    <row r="3880" spans="81:81" x14ac:dyDescent="0.25">
      <c r="CC3880" s="19"/>
    </row>
    <row r="3881" spans="81:81" x14ac:dyDescent="0.25">
      <c r="CC3881" s="19"/>
    </row>
    <row r="3882" spans="81:81" x14ac:dyDescent="0.25">
      <c r="CC3882" s="19"/>
    </row>
    <row r="3883" spans="81:81" x14ac:dyDescent="0.25">
      <c r="CC3883" s="19"/>
    </row>
    <row r="3884" spans="81:81" x14ac:dyDescent="0.25">
      <c r="CC3884" s="19"/>
    </row>
    <row r="3885" spans="81:81" x14ac:dyDescent="0.25">
      <c r="CC3885" s="19"/>
    </row>
    <row r="3886" spans="81:81" x14ac:dyDescent="0.25">
      <c r="CC3886" s="19"/>
    </row>
    <row r="3887" spans="81:81" x14ac:dyDescent="0.25">
      <c r="CC3887" s="19"/>
    </row>
    <row r="3888" spans="81:81" x14ac:dyDescent="0.25">
      <c r="CC3888" s="19"/>
    </row>
    <row r="3889" spans="81:81" x14ac:dyDescent="0.25">
      <c r="CC3889" s="19"/>
    </row>
    <row r="3890" spans="81:81" x14ac:dyDescent="0.25">
      <c r="CC3890" s="19"/>
    </row>
    <row r="3891" spans="81:81" x14ac:dyDescent="0.25">
      <c r="CC3891" s="19"/>
    </row>
    <row r="3892" spans="81:81" x14ac:dyDescent="0.25">
      <c r="CC3892" s="19"/>
    </row>
    <row r="3893" spans="81:81" x14ac:dyDescent="0.25">
      <c r="CC3893" s="19"/>
    </row>
    <row r="3894" spans="81:81" x14ac:dyDescent="0.25">
      <c r="CC3894" s="19"/>
    </row>
    <row r="3895" spans="81:81" x14ac:dyDescent="0.25">
      <c r="CC3895" s="19"/>
    </row>
    <row r="3896" spans="81:81" x14ac:dyDescent="0.25">
      <c r="CC3896" s="19"/>
    </row>
    <row r="3897" spans="81:81" x14ac:dyDescent="0.25">
      <c r="CC3897" s="19"/>
    </row>
    <row r="3898" spans="81:81" x14ac:dyDescent="0.25">
      <c r="CC3898" s="19"/>
    </row>
    <row r="3899" spans="81:81" x14ac:dyDescent="0.25">
      <c r="CC3899" s="19"/>
    </row>
    <row r="3900" spans="81:81" x14ac:dyDescent="0.25">
      <c r="CC3900" s="19"/>
    </row>
    <row r="3901" spans="81:81" x14ac:dyDescent="0.25">
      <c r="CC3901" s="19"/>
    </row>
    <row r="3902" spans="81:81" x14ac:dyDescent="0.25">
      <c r="CC3902" s="19"/>
    </row>
    <row r="3903" spans="81:81" x14ac:dyDescent="0.25">
      <c r="CC3903" s="19"/>
    </row>
    <row r="3904" spans="81:81" x14ac:dyDescent="0.25">
      <c r="CC3904" s="19"/>
    </row>
    <row r="3905" spans="81:81" x14ac:dyDescent="0.25">
      <c r="CC3905" s="19"/>
    </row>
    <row r="3906" spans="81:81" x14ac:dyDescent="0.25">
      <c r="CC3906" s="19"/>
    </row>
    <row r="3907" spans="81:81" x14ac:dyDescent="0.25">
      <c r="CC3907" s="19"/>
    </row>
    <row r="3908" spans="81:81" x14ac:dyDescent="0.25">
      <c r="CC3908" s="19"/>
    </row>
    <row r="3909" spans="81:81" x14ac:dyDescent="0.25">
      <c r="CC3909" s="19"/>
    </row>
    <row r="3910" spans="81:81" x14ac:dyDescent="0.25">
      <c r="CC3910" s="19"/>
    </row>
    <row r="3911" spans="81:81" x14ac:dyDescent="0.25">
      <c r="CC3911" s="19"/>
    </row>
    <row r="3912" spans="81:81" x14ac:dyDescent="0.25">
      <c r="CC3912" s="19"/>
    </row>
    <row r="3913" spans="81:81" x14ac:dyDescent="0.25">
      <c r="CC3913" s="19"/>
    </row>
    <row r="3914" spans="81:81" x14ac:dyDescent="0.25">
      <c r="CC3914" s="19"/>
    </row>
    <row r="3915" spans="81:81" x14ac:dyDescent="0.25">
      <c r="CC3915" s="19"/>
    </row>
    <row r="3916" spans="81:81" x14ac:dyDescent="0.25">
      <c r="CC3916" s="19"/>
    </row>
    <row r="3917" spans="81:81" x14ac:dyDescent="0.25">
      <c r="CC3917" s="19"/>
    </row>
    <row r="3918" spans="81:81" x14ac:dyDescent="0.25">
      <c r="CC3918" s="19"/>
    </row>
    <row r="3919" spans="81:81" x14ac:dyDescent="0.25">
      <c r="CC3919" s="19"/>
    </row>
    <row r="3920" spans="81:81" x14ac:dyDescent="0.25">
      <c r="CC3920" s="19"/>
    </row>
    <row r="3921" spans="81:81" x14ac:dyDescent="0.25">
      <c r="CC3921" s="19"/>
    </row>
    <row r="3922" spans="81:81" x14ac:dyDescent="0.25">
      <c r="CC3922" s="19"/>
    </row>
    <row r="3923" spans="81:81" x14ac:dyDescent="0.25">
      <c r="CC3923" s="19"/>
    </row>
    <row r="3924" spans="81:81" x14ac:dyDescent="0.25">
      <c r="CC3924" s="19"/>
    </row>
    <row r="3925" spans="81:81" x14ac:dyDescent="0.25">
      <c r="CC3925" s="19"/>
    </row>
    <row r="3926" spans="81:81" x14ac:dyDescent="0.25">
      <c r="CC3926" s="19"/>
    </row>
    <row r="3927" spans="81:81" x14ac:dyDescent="0.25">
      <c r="CC3927" s="19"/>
    </row>
    <row r="3928" spans="81:81" x14ac:dyDescent="0.25">
      <c r="CC3928" s="19"/>
    </row>
    <row r="3929" spans="81:81" x14ac:dyDescent="0.25">
      <c r="CC3929" s="19"/>
    </row>
    <row r="3930" spans="81:81" x14ac:dyDescent="0.25">
      <c r="CC3930" s="19"/>
    </row>
    <row r="3931" spans="81:81" x14ac:dyDescent="0.25">
      <c r="CC3931" s="19"/>
    </row>
    <row r="3932" spans="81:81" x14ac:dyDescent="0.25">
      <c r="CC3932" s="19"/>
    </row>
    <row r="3933" spans="81:81" x14ac:dyDescent="0.25">
      <c r="CC3933" s="19"/>
    </row>
    <row r="3934" spans="81:81" x14ac:dyDescent="0.25">
      <c r="CC3934" s="19"/>
    </row>
    <row r="3935" spans="81:81" x14ac:dyDescent="0.25">
      <c r="CC3935" s="19"/>
    </row>
    <row r="3936" spans="81:81" x14ac:dyDescent="0.25">
      <c r="CC3936" s="19"/>
    </row>
    <row r="3937" spans="81:81" x14ac:dyDescent="0.25">
      <c r="CC3937" s="19"/>
    </row>
    <row r="3938" spans="81:81" x14ac:dyDescent="0.25">
      <c r="CC3938" s="19"/>
    </row>
    <row r="3939" spans="81:81" x14ac:dyDescent="0.25">
      <c r="CC3939" s="19"/>
    </row>
    <row r="3940" spans="81:81" x14ac:dyDescent="0.25">
      <c r="CC3940" s="19"/>
    </row>
    <row r="3941" spans="81:81" x14ac:dyDescent="0.25">
      <c r="CC3941" s="19"/>
    </row>
    <row r="3942" spans="81:81" x14ac:dyDescent="0.25">
      <c r="CC3942" s="19"/>
    </row>
    <row r="3943" spans="81:81" x14ac:dyDescent="0.25">
      <c r="CC3943" s="19"/>
    </row>
    <row r="3944" spans="81:81" x14ac:dyDescent="0.25">
      <c r="CC3944" s="19"/>
    </row>
    <row r="3945" spans="81:81" x14ac:dyDescent="0.25">
      <c r="CC3945" s="19"/>
    </row>
    <row r="3946" spans="81:81" x14ac:dyDescent="0.25">
      <c r="CC3946" s="19"/>
    </row>
    <row r="3947" spans="81:81" x14ac:dyDescent="0.25">
      <c r="CC3947" s="19"/>
    </row>
    <row r="3948" spans="81:81" x14ac:dyDescent="0.25">
      <c r="CC3948" s="19"/>
    </row>
    <row r="3949" spans="81:81" x14ac:dyDescent="0.25">
      <c r="CC3949" s="19"/>
    </row>
    <row r="3950" spans="81:81" x14ac:dyDescent="0.25">
      <c r="CC3950" s="19"/>
    </row>
    <row r="3951" spans="81:81" x14ac:dyDescent="0.25">
      <c r="CC3951" s="19"/>
    </row>
    <row r="3952" spans="81:81" x14ac:dyDescent="0.25">
      <c r="CC3952" s="19"/>
    </row>
    <row r="3953" spans="81:81" x14ac:dyDescent="0.25">
      <c r="CC3953" s="19"/>
    </row>
    <row r="3954" spans="81:81" x14ac:dyDescent="0.25">
      <c r="CC3954" s="19"/>
    </row>
    <row r="3955" spans="81:81" x14ac:dyDescent="0.25">
      <c r="CC3955" s="19"/>
    </row>
    <row r="3956" spans="81:81" x14ac:dyDescent="0.25">
      <c r="CC3956" s="19"/>
    </row>
    <row r="3957" spans="81:81" x14ac:dyDescent="0.25">
      <c r="CC3957" s="19"/>
    </row>
    <row r="3958" spans="81:81" x14ac:dyDescent="0.25">
      <c r="CC3958" s="19"/>
    </row>
    <row r="3959" spans="81:81" x14ac:dyDescent="0.25">
      <c r="CC3959" s="19"/>
    </row>
    <row r="3960" spans="81:81" x14ac:dyDescent="0.25">
      <c r="CC3960" s="19"/>
    </row>
    <row r="3961" spans="81:81" x14ac:dyDescent="0.25">
      <c r="CC3961" s="19"/>
    </row>
    <row r="3962" spans="81:81" x14ac:dyDescent="0.25">
      <c r="CC3962" s="19"/>
    </row>
    <row r="3963" spans="81:81" x14ac:dyDescent="0.25">
      <c r="CC3963" s="19"/>
    </row>
    <row r="3964" spans="81:81" x14ac:dyDescent="0.25">
      <c r="CC3964" s="19"/>
    </row>
    <row r="3965" spans="81:81" x14ac:dyDescent="0.25">
      <c r="CC3965" s="19"/>
    </row>
    <row r="3966" spans="81:81" x14ac:dyDescent="0.25">
      <c r="CC3966" s="19"/>
    </row>
    <row r="3967" spans="81:81" x14ac:dyDescent="0.25">
      <c r="CC3967" s="19"/>
    </row>
    <row r="3968" spans="81:81" x14ac:dyDescent="0.25">
      <c r="CC3968" s="19"/>
    </row>
    <row r="3969" spans="81:81" x14ac:dyDescent="0.25">
      <c r="CC3969" s="19"/>
    </row>
    <row r="3970" spans="81:81" x14ac:dyDescent="0.25">
      <c r="CC3970" s="19"/>
    </row>
    <row r="3971" spans="81:81" x14ac:dyDescent="0.25">
      <c r="CC3971" s="19"/>
    </row>
    <row r="3972" spans="81:81" x14ac:dyDescent="0.25">
      <c r="CC3972" s="19"/>
    </row>
    <row r="3973" spans="81:81" x14ac:dyDescent="0.25">
      <c r="CC3973" s="19"/>
    </row>
    <row r="3974" spans="81:81" x14ac:dyDescent="0.25">
      <c r="CC3974" s="19"/>
    </row>
    <row r="3975" spans="81:81" x14ac:dyDescent="0.25">
      <c r="CC3975" s="19"/>
    </row>
    <row r="3976" spans="81:81" x14ac:dyDescent="0.25">
      <c r="CC3976" s="19"/>
    </row>
    <row r="3977" spans="81:81" x14ac:dyDescent="0.25">
      <c r="CC3977" s="19"/>
    </row>
    <row r="3978" spans="81:81" x14ac:dyDescent="0.25">
      <c r="CC3978" s="19"/>
    </row>
    <row r="3979" spans="81:81" x14ac:dyDescent="0.25">
      <c r="CC3979" s="19"/>
    </row>
    <row r="3980" spans="81:81" x14ac:dyDescent="0.25">
      <c r="CC3980" s="19"/>
    </row>
    <row r="3981" spans="81:81" x14ac:dyDescent="0.25">
      <c r="CC3981" s="19"/>
    </row>
    <row r="3982" spans="81:81" x14ac:dyDescent="0.25">
      <c r="CC3982" s="19"/>
    </row>
    <row r="3983" spans="81:81" x14ac:dyDescent="0.25">
      <c r="CC3983" s="19"/>
    </row>
    <row r="3984" spans="81:81" x14ac:dyDescent="0.25">
      <c r="CC3984" s="19"/>
    </row>
    <row r="3985" spans="81:81" x14ac:dyDescent="0.25">
      <c r="CC3985" s="19"/>
    </row>
    <row r="3986" spans="81:81" x14ac:dyDescent="0.25">
      <c r="CC3986" s="19"/>
    </row>
    <row r="3987" spans="81:81" x14ac:dyDescent="0.25">
      <c r="CC3987" s="19"/>
    </row>
    <row r="3988" spans="81:81" x14ac:dyDescent="0.25">
      <c r="CC3988" s="19"/>
    </row>
    <row r="3989" spans="81:81" x14ac:dyDescent="0.25">
      <c r="CC3989" s="19"/>
    </row>
    <row r="3990" spans="81:81" x14ac:dyDescent="0.25">
      <c r="CC3990" s="19"/>
    </row>
    <row r="3991" spans="81:81" x14ac:dyDescent="0.25">
      <c r="CC3991" s="19"/>
    </row>
    <row r="3992" spans="81:81" x14ac:dyDescent="0.25">
      <c r="CC3992" s="19"/>
    </row>
    <row r="3993" spans="81:81" x14ac:dyDescent="0.25">
      <c r="CC3993" s="19"/>
    </row>
    <row r="3994" spans="81:81" x14ac:dyDescent="0.25">
      <c r="CC3994" s="19"/>
    </row>
    <row r="3995" spans="81:81" x14ac:dyDescent="0.25">
      <c r="CC3995" s="19"/>
    </row>
    <row r="3996" spans="81:81" x14ac:dyDescent="0.25">
      <c r="CC3996" s="19"/>
    </row>
    <row r="3997" spans="81:81" x14ac:dyDescent="0.25">
      <c r="CC3997" s="19"/>
    </row>
    <row r="3998" spans="81:81" x14ac:dyDescent="0.25">
      <c r="CC3998" s="19"/>
    </row>
    <row r="3999" spans="81:81" x14ac:dyDescent="0.25">
      <c r="CC3999" s="19"/>
    </row>
    <row r="4000" spans="81:81" x14ac:dyDescent="0.25">
      <c r="CC4000" s="19"/>
    </row>
    <row r="4001" spans="81:81" x14ac:dyDescent="0.25">
      <c r="CC4001" s="19"/>
    </row>
    <row r="4002" spans="81:81" x14ac:dyDescent="0.25">
      <c r="CC4002" s="19"/>
    </row>
    <row r="4003" spans="81:81" x14ac:dyDescent="0.25">
      <c r="CC4003" s="19"/>
    </row>
    <row r="4004" spans="81:81" x14ac:dyDescent="0.25">
      <c r="CC4004" s="19"/>
    </row>
    <row r="4005" spans="81:81" x14ac:dyDescent="0.25">
      <c r="CC4005" s="19"/>
    </row>
    <row r="4006" spans="81:81" x14ac:dyDescent="0.25">
      <c r="CC4006" s="19"/>
    </row>
    <row r="4007" spans="81:81" x14ac:dyDescent="0.25">
      <c r="CC4007" s="19"/>
    </row>
    <row r="4008" spans="81:81" x14ac:dyDescent="0.25">
      <c r="CC4008" s="19"/>
    </row>
    <row r="4009" spans="81:81" x14ac:dyDescent="0.25">
      <c r="CC4009" s="19"/>
    </row>
    <row r="4010" spans="81:81" x14ac:dyDescent="0.25">
      <c r="CC4010" s="19"/>
    </row>
    <row r="4011" spans="81:81" x14ac:dyDescent="0.25">
      <c r="CC4011" s="19"/>
    </row>
    <row r="4012" spans="81:81" x14ac:dyDescent="0.25">
      <c r="CC4012" s="19"/>
    </row>
    <row r="4013" spans="81:81" x14ac:dyDescent="0.25">
      <c r="CC4013" s="19"/>
    </row>
    <row r="4014" spans="81:81" x14ac:dyDescent="0.25">
      <c r="CC4014" s="19"/>
    </row>
    <row r="4015" spans="81:81" x14ac:dyDescent="0.25">
      <c r="CC4015" s="19"/>
    </row>
    <row r="4016" spans="81:81" x14ac:dyDescent="0.25">
      <c r="CC4016" s="19"/>
    </row>
    <row r="4017" spans="81:81" x14ac:dyDescent="0.25">
      <c r="CC4017" s="19"/>
    </row>
    <row r="4018" spans="81:81" x14ac:dyDescent="0.25">
      <c r="CC4018" s="19"/>
    </row>
    <row r="4019" spans="81:81" x14ac:dyDescent="0.25">
      <c r="CC4019" s="19"/>
    </row>
    <row r="4020" spans="81:81" x14ac:dyDescent="0.25">
      <c r="CC4020" s="19"/>
    </row>
    <row r="4021" spans="81:81" x14ac:dyDescent="0.25">
      <c r="CC4021" s="19"/>
    </row>
    <row r="4022" spans="81:81" x14ac:dyDescent="0.25">
      <c r="CC4022" s="19"/>
    </row>
    <row r="4023" spans="81:81" x14ac:dyDescent="0.25">
      <c r="CC4023" s="19"/>
    </row>
    <row r="4024" spans="81:81" x14ac:dyDescent="0.25">
      <c r="CC4024" s="19"/>
    </row>
    <row r="4025" spans="81:81" x14ac:dyDescent="0.25">
      <c r="CC4025" s="19"/>
    </row>
    <row r="4026" spans="81:81" x14ac:dyDescent="0.25">
      <c r="CC4026" s="19"/>
    </row>
    <row r="4027" spans="81:81" x14ac:dyDescent="0.25">
      <c r="CC4027" s="19"/>
    </row>
    <row r="4028" spans="81:81" x14ac:dyDescent="0.25">
      <c r="CC4028" s="19"/>
    </row>
    <row r="4029" spans="81:81" x14ac:dyDescent="0.25">
      <c r="CC4029" s="19"/>
    </row>
    <row r="4030" spans="81:81" x14ac:dyDescent="0.25">
      <c r="CC4030" s="19"/>
    </row>
    <row r="4031" spans="81:81" x14ac:dyDescent="0.25">
      <c r="CC4031" s="19"/>
    </row>
    <row r="4032" spans="81:81" x14ac:dyDescent="0.25">
      <c r="CC4032" s="19"/>
    </row>
    <row r="4033" spans="81:81" x14ac:dyDescent="0.25">
      <c r="CC4033" s="19"/>
    </row>
    <row r="4034" spans="81:81" x14ac:dyDescent="0.25">
      <c r="CC4034" s="19"/>
    </row>
    <row r="4035" spans="81:81" x14ac:dyDescent="0.25">
      <c r="CC4035" s="19"/>
    </row>
    <row r="4036" spans="81:81" x14ac:dyDescent="0.25">
      <c r="CC4036" s="19"/>
    </row>
    <row r="4037" spans="81:81" x14ac:dyDescent="0.25">
      <c r="CC4037" s="19"/>
    </row>
    <row r="4038" spans="81:81" x14ac:dyDescent="0.25">
      <c r="CC4038" s="19"/>
    </row>
    <row r="4039" spans="81:81" x14ac:dyDescent="0.25">
      <c r="CC4039" s="19"/>
    </row>
    <row r="4040" spans="81:81" x14ac:dyDescent="0.25">
      <c r="CC4040" s="19"/>
    </row>
    <row r="4041" spans="81:81" x14ac:dyDescent="0.25">
      <c r="CC4041" s="19"/>
    </row>
    <row r="4042" spans="81:81" x14ac:dyDescent="0.25">
      <c r="CC4042" s="19"/>
    </row>
    <row r="4043" spans="81:81" x14ac:dyDescent="0.25">
      <c r="CC4043" s="19"/>
    </row>
    <row r="4044" spans="81:81" x14ac:dyDescent="0.25">
      <c r="CC4044" s="19"/>
    </row>
    <row r="4045" spans="81:81" x14ac:dyDescent="0.25">
      <c r="CC4045" s="19"/>
    </row>
    <row r="4046" spans="81:81" x14ac:dyDescent="0.25">
      <c r="CC4046" s="19"/>
    </row>
    <row r="4047" spans="81:81" x14ac:dyDescent="0.25">
      <c r="CC4047" s="19"/>
    </row>
    <row r="4048" spans="81:81" x14ac:dyDescent="0.25">
      <c r="CC4048" s="19"/>
    </row>
    <row r="4049" spans="81:81" x14ac:dyDescent="0.25">
      <c r="CC4049" s="19"/>
    </row>
    <row r="4050" spans="81:81" x14ac:dyDescent="0.25">
      <c r="CC4050" s="19"/>
    </row>
    <row r="4051" spans="81:81" x14ac:dyDescent="0.25">
      <c r="CC4051" s="19"/>
    </row>
    <row r="4052" spans="81:81" x14ac:dyDescent="0.25">
      <c r="CC4052" s="19"/>
    </row>
    <row r="4053" spans="81:81" x14ac:dyDescent="0.25">
      <c r="CC4053" s="19"/>
    </row>
    <row r="4054" spans="81:81" x14ac:dyDescent="0.25">
      <c r="CC4054" s="19"/>
    </row>
    <row r="4055" spans="81:81" x14ac:dyDescent="0.25">
      <c r="CC4055" s="19"/>
    </row>
    <row r="4056" spans="81:81" x14ac:dyDescent="0.25">
      <c r="CC4056" s="19"/>
    </row>
    <row r="4057" spans="81:81" x14ac:dyDescent="0.25">
      <c r="CC4057" s="19"/>
    </row>
    <row r="4058" spans="81:81" x14ac:dyDescent="0.25">
      <c r="CC4058" s="19"/>
    </row>
    <row r="4059" spans="81:81" x14ac:dyDescent="0.25">
      <c r="CC4059" s="19"/>
    </row>
    <row r="4060" spans="81:81" x14ac:dyDescent="0.25">
      <c r="CC4060" s="19"/>
    </row>
    <row r="4061" spans="81:81" x14ac:dyDescent="0.25">
      <c r="CC4061" s="19"/>
    </row>
    <row r="4062" spans="81:81" x14ac:dyDescent="0.25">
      <c r="CC4062" s="19"/>
    </row>
    <row r="4063" spans="81:81" x14ac:dyDescent="0.25">
      <c r="CC4063" s="19"/>
    </row>
    <row r="4064" spans="81:81" x14ac:dyDescent="0.25">
      <c r="CC4064" s="19"/>
    </row>
    <row r="4065" spans="81:81" x14ac:dyDescent="0.25">
      <c r="CC4065" s="19"/>
    </row>
    <row r="4066" spans="81:81" x14ac:dyDescent="0.25">
      <c r="CC4066" s="19"/>
    </row>
    <row r="4067" spans="81:81" x14ac:dyDescent="0.25">
      <c r="CC4067" s="19"/>
    </row>
    <row r="4068" spans="81:81" x14ac:dyDescent="0.25">
      <c r="CC4068" s="19"/>
    </row>
    <row r="4069" spans="81:81" x14ac:dyDescent="0.25">
      <c r="CC4069" s="19"/>
    </row>
    <row r="4070" spans="81:81" x14ac:dyDescent="0.25">
      <c r="CC4070" s="19"/>
    </row>
    <row r="4071" spans="81:81" x14ac:dyDescent="0.25">
      <c r="CC4071" s="19"/>
    </row>
    <row r="4072" spans="81:81" x14ac:dyDescent="0.25">
      <c r="CC4072" s="19"/>
    </row>
    <row r="4073" spans="81:81" x14ac:dyDescent="0.25">
      <c r="CC4073" s="19"/>
    </row>
    <row r="4074" spans="81:81" x14ac:dyDescent="0.25">
      <c r="CC4074" s="19"/>
    </row>
    <row r="4075" spans="81:81" x14ac:dyDescent="0.25">
      <c r="CC4075" s="19"/>
    </row>
    <row r="4076" spans="81:81" x14ac:dyDescent="0.25">
      <c r="CC4076" s="19"/>
    </row>
    <row r="4077" spans="81:81" x14ac:dyDescent="0.25">
      <c r="CC4077" s="19"/>
    </row>
    <row r="4078" spans="81:81" x14ac:dyDescent="0.25">
      <c r="CC4078" s="19"/>
    </row>
    <row r="4079" spans="81:81" x14ac:dyDescent="0.25">
      <c r="CC4079" s="19"/>
    </row>
    <row r="4080" spans="81:81" x14ac:dyDescent="0.25">
      <c r="CC4080" s="19"/>
    </row>
    <row r="4081" spans="81:81" x14ac:dyDescent="0.25">
      <c r="CC4081" s="19"/>
    </row>
    <row r="4082" spans="81:81" x14ac:dyDescent="0.25">
      <c r="CC4082" s="19"/>
    </row>
    <row r="4083" spans="81:81" x14ac:dyDescent="0.25">
      <c r="CC4083" s="19"/>
    </row>
    <row r="4084" spans="81:81" x14ac:dyDescent="0.25">
      <c r="CC4084" s="19"/>
    </row>
    <row r="4085" spans="81:81" x14ac:dyDescent="0.25">
      <c r="CC4085" s="19"/>
    </row>
    <row r="4086" spans="81:81" x14ac:dyDescent="0.25">
      <c r="CC4086" s="19"/>
    </row>
    <row r="4087" spans="81:81" x14ac:dyDescent="0.25">
      <c r="CC4087" s="19"/>
    </row>
    <row r="4088" spans="81:81" x14ac:dyDescent="0.25">
      <c r="CC4088" s="19"/>
    </row>
    <row r="4089" spans="81:81" x14ac:dyDescent="0.25">
      <c r="CC4089" s="19"/>
    </row>
    <row r="4090" spans="81:81" x14ac:dyDescent="0.25">
      <c r="CC4090" s="19"/>
    </row>
    <row r="4091" spans="81:81" x14ac:dyDescent="0.25">
      <c r="CC4091" s="19"/>
    </row>
    <row r="4092" spans="81:81" x14ac:dyDescent="0.25">
      <c r="CC4092" s="19"/>
    </row>
    <row r="4093" spans="81:81" x14ac:dyDescent="0.25">
      <c r="CC4093" s="19"/>
    </row>
    <row r="4094" spans="81:81" x14ac:dyDescent="0.25">
      <c r="CC4094" s="19"/>
    </row>
    <row r="4095" spans="81:81" x14ac:dyDescent="0.25">
      <c r="CC4095" s="19"/>
    </row>
    <row r="4096" spans="81:81" x14ac:dyDescent="0.25">
      <c r="CC4096" s="19"/>
    </row>
    <row r="4097" spans="81:81" x14ac:dyDescent="0.25">
      <c r="CC4097" s="19"/>
    </row>
    <row r="4098" spans="81:81" x14ac:dyDescent="0.25">
      <c r="CC4098" s="19"/>
    </row>
    <row r="4099" spans="81:81" x14ac:dyDescent="0.25">
      <c r="CC4099" s="19"/>
    </row>
    <row r="4100" spans="81:81" x14ac:dyDescent="0.25">
      <c r="CC4100" s="19"/>
    </row>
    <row r="4101" spans="81:81" x14ac:dyDescent="0.25">
      <c r="CC4101" s="19"/>
    </row>
    <row r="4102" spans="81:81" x14ac:dyDescent="0.25">
      <c r="CC4102" s="19"/>
    </row>
    <row r="4103" spans="81:81" x14ac:dyDescent="0.25">
      <c r="CC4103" s="19"/>
    </row>
    <row r="4104" spans="81:81" x14ac:dyDescent="0.25">
      <c r="CC4104" s="19"/>
    </row>
    <row r="4105" spans="81:81" x14ac:dyDescent="0.25">
      <c r="CC4105" s="19"/>
    </row>
    <row r="4106" spans="81:81" x14ac:dyDescent="0.25">
      <c r="CC4106" s="19"/>
    </row>
    <row r="4107" spans="81:81" x14ac:dyDescent="0.25">
      <c r="CC4107" s="19"/>
    </row>
    <row r="4108" spans="81:81" x14ac:dyDescent="0.25">
      <c r="CC4108" s="19"/>
    </row>
    <row r="4109" spans="81:81" x14ac:dyDescent="0.25">
      <c r="CC4109" s="19"/>
    </row>
    <row r="4110" spans="81:81" x14ac:dyDescent="0.25">
      <c r="CC4110" s="19"/>
    </row>
    <row r="4111" spans="81:81" x14ac:dyDescent="0.25">
      <c r="CC4111" s="19"/>
    </row>
    <row r="4112" spans="81:81" x14ac:dyDescent="0.25">
      <c r="CC4112" s="19"/>
    </row>
    <row r="4113" spans="81:81" x14ac:dyDescent="0.25">
      <c r="CC4113" s="19"/>
    </row>
    <row r="4114" spans="81:81" x14ac:dyDescent="0.25">
      <c r="CC4114" s="19"/>
    </row>
    <row r="4115" spans="81:81" x14ac:dyDescent="0.25">
      <c r="CC4115" s="19"/>
    </row>
    <row r="4116" spans="81:81" x14ac:dyDescent="0.25">
      <c r="CC4116" s="19"/>
    </row>
    <row r="4117" spans="81:81" x14ac:dyDescent="0.25">
      <c r="CC4117" s="19"/>
    </row>
    <row r="4118" spans="81:81" x14ac:dyDescent="0.25">
      <c r="CC4118" s="19"/>
    </row>
    <row r="4119" spans="81:81" x14ac:dyDescent="0.25">
      <c r="CC4119" s="19"/>
    </row>
    <row r="4120" spans="81:81" x14ac:dyDescent="0.25">
      <c r="CC4120" s="19"/>
    </row>
    <row r="4121" spans="81:81" x14ac:dyDescent="0.25">
      <c r="CC4121" s="19"/>
    </row>
    <row r="4122" spans="81:81" x14ac:dyDescent="0.25">
      <c r="CC4122" s="19"/>
    </row>
    <row r="4123" spans="81:81" x14ac:dyDescent="0.25">
      <c r="CC4123" s="19"/>
    </row>
    <row r="4124" spans="81:81" x14ac:dyDescent="0.25">
      <c r="CC4124" s="19"/>
    </row>
    <row r="4125" spans="81:81" x14ac:dyDescent="0.25">
      <c r="CC4125" s="19"/>
    </row>
    <row r="4126" spans="81:81" x14ac:dyDescent="0.25">
      <c r="CC4126" s="19"/>
    </row>
    <row r="4127" spans="81:81" x14ac:dyDescent="0.25">
      <c r="CC4127" s="19"/>
    </row>
    <row r="4128" spans="81:81" x14ac:dyDescent="0.25">
      <c r="CC4128" s="19"/>
    </row>
    <row r="4129" spans="81:81" x14ac:dyDescent="0.25">
      <c r="CC4129" s="19"/>
    </row>
    <row r="4130" spans="81:81" x14ac:dyDescent="0.25">
      <c r="CC4130" s="19"/>
    </row>
    <row r="4131" spans="81:81" x14ac:dyDescent="0.25">
      <c r="CC4131" s="19"/>
    </row>
    <row r="4132" spans="81:81" x14ac:dyDescent="0.25">
      <c r="CC4132" s="19"/>
    </row>
    <row r="4133" spans="81:81" x14ac:dyDescent="0.25">
      <c r="CC4133" s="19"/>
    </row>
    <row r="4134" spans="81:81" x14ac:dyDescent="0.25">
      <c r="CC4134" s="19"/>
    </row>
    <row r="4135" spans="81:81" x14ac:dyDescent="0.25">
      <c r="CC4135" s="19"/>
    </row>
    <row r="4136" spans="81:81" x14ac:dyDescent="0.25">
      <c r="CC4136" s="19"/>
    </row>
    <row r="4137" spans="81:81" x14ac:dyDescent="0.25">
      <c r="CC4137" s="19"/>
    </row>
    <row r="4138" spans="81:81" x14ac:dyDescent="0.25">
      <c r="CC4138" s="19"/>
    </row>
    <row r="4139" spans="81:81" x14ac:dyDescent="0.25">
      <c r="CC4139" s="19"/>
    </row>
    <row r="4140" spans="81:81" x14ac:dyDescent="0.25">
      <c r="CC4140" s="19"/>
    </row>
    <row r="4141" spans="81:81" x14ac:dyDescent="0.25">
      <c r="CC4141" s="19"/>
    </row>
    <row r="4142" spans="81:81" x14ac:dyDescent="0.25">
      <c r="CC4142" s="19"/>
    </row>
    <row r="4143" spans="81:81" x14ac:dyDescent="0.25">
      <c r="CC4143" s="19"/>
    </row>
    <row r="4144" spans="81:81" x14ac:dyDescent="0.25">
      <c r="CC4144" s="19"/>
    </row>
    <row r="4145" spans="81:81" x14ac:dyDescent="0.25">
      <c r="CC4145" s="19"/>
    </row>
    <row r="4146" spans="81:81" x14ac:dyDescent="0.25">
      <c r="CC4146" s="19"/>
    </row>
    <row r="4147" spans="81:81" x14ac:dyDescent="0.25">
      <c r="CC4147" s="19"/>
    </row>
    <row r="4148" spans="81:81" x14ac:dyDescent="0.25">
      <c r="CC4148" s="19"/>
    </row>
    <row r="4149" spans="81:81" x14ac:dyDescent="0.25">
      <c r="CC4149" s="19"/>
    </row>
    <row r="4150" spans="81:81" x14ac:dyDescent="0.25">
      <c r="CC4150" s="19"/>
    </row>
    <row r="4151" spans="81:81" x14ac:dyDescent="0.25">
      <c r="CC4151" s="19"/>
    </row>
    <row r="4152" spans="81:81" x14ac:dyDescent="0.25">
      <c r="CC4152" s="19"/>
    </row>
    <row r="4153" spans="81:81" x14ac:dyDescent="0.25">
      <c r="CC4153" s="19"/>
    </row>
    <row r="4154" spans="81:81" x14ac:dyDescent="0.25">
      <c r="CC4154" s="19"/>
    </row>
    <row r="4155" spans="81:81" x14ac:dyDescent="0.25">
      <c r="CC4155" s="19"/>
    </row>
    <row r="4156" spans="81:81" x14ac:dyDescent="0.25">
      <c r="CC4156" s="19"/>
    </row>
    <row r="4157" spans="81:81" x14ac:dyDescent="0.25">
      <c r="CC4157" s="19"/>
    </row>
    <row r="4158" spans="81:81" x14ac:dyDescent="0.25">
      <c r="CC4158" s="19"/>
    </row>
    <row r="4159" spans="81:81" x14ac:dyDescent="0.25">
      <c r="CC4159" s="19"/>
    </row>
    <row r="4160" spans="81:81" x14ac:dyDescent="0.25">
      <c r="CC4160" s="19"/>
    </row>
    <row r="4161" spans="81:81" x14ac:dyDescent="0.25">
      <c r="CC4161" s="19"/>
    </row>
    <row r="4162" spans="81:81" x14ac:dyDescent="0.25">
      <c r="CC4162" s="19"/>
    </row>
    <row r="4163" spans="81:81" x14ac:dyDescent="0.25">
      <c r="CC4163" s="19"/>
    </row>
    <row r="4164" spans="81:81" x14ac:dyDescent="0.25">
      <c r="CC4164" s="19"/>
    </row>
    <row r="4165" spans="81:81" x14ac:dyDescent="0.25">
      <c r="CC4165" s="19"/>
    </row>
    <row r="4166" spans="81:81" x14ac:dyDescent="0.25">
      <c r="CC4166" s="19"/>
    </row>
    <row r="4167" spans="81:81" x14ac:dyDescent="0.25">
      <c r="CC4167" s="19"/>
    </row>
    <row r="4168" spans="81:81" x14ac:dyDescent="0.25">
      <c r="CC4168" s="19"/>
    </row>
    <row r="4169" spans="81:81" x14ac:dyDescent="0.25">
      <c r="CC4169" s="19"/>
    </row>
    <row r="4170" spans="81:81" x14ac:dyDescent="0.25">
      <c r="CC4170" s="19"/>
    </row>
    <row r="4171" spans="81:81" x14ac:dyDescent="0.25">
      <c r="CC4171" s="19"/>
    </row>
    <row r="4172" spans="81:81" x14ac:dyDescent="0.25">
      <c r="CC4172" s="19"/>
    </row>
    <row r="4173" spans="81:81" x14ac:dyDescent="0.25">
      <c r="CC4173" s="19"/>
    </row>
    <row r="4174" spans="81:81" x14ac:dyDescent="0.25">
      <c r="CC4174" s="19"/>
    </row>
    <row r="4175" spans="81:81" x14ac:dyDescent="0.25">
      <c r="CC4175" s="19"/>
    </row>
    <row r="4176" spans="81:81" x14ac:dyDescent="0.25">
      <c r="CC4176" s="19"/>
    </row>
    <row r="4177" spans="81:81" x14ac:dyDescent="0.25">
      <c r="CC4177" s="19"/>
    </row>
    <row r="4178" spans="81:81" x14ac:dyDescent="0.25">
      <c r="CC4178" s="19"/>
    </row>
    <row r="4179" spans="81:81" x14ac:dyDescent="0.25">
      <c r="CC4179" s="19"/>
    </row>
    <row r="4180" spans="81:81" x14ac:dyDescent="0.25">
      <c r="CC4180" s="19"/>
    </row>
    <row r="4181" spans="81:81" x14ac:dyDescent="0.25">
      <c r="CC4181" s="19"/>
    </row>
    <row r="4182" spans="81:81" x14ac:dyDescent="0.25">
      <c r="CC4182" s="19"/>
    </row>
    <row r="4183" spans="81:81" x14ac:dyDescent="0.25">
      <c r="CC4183" s="19"/>
    </row>
    <row r="4184" spans="81:81" x14ac:dyDescent="0.25">
      <c r="CC4184" s="19"/>
    </row>
    <row r="4185" spans="81:81" x14ac:dyDescent="0.25">
      <c r="CC4185" s="19"/>
    </row>
    <row r="4186" spans="81:81" x14ac:dyDescent="0.25">
      <c r="CC4186" s="19"/>
    </row>
    <row r="4187" spans="81:81" x14ac:dyDescent="0.25">
      <c r="CC4187" s="19"/>
    </row>
    <row r="4188" spans="81:81" x14ac:dyDescent="0.25">
      <c r="CC4188" s="19"/>
    </row>
    <row r="4189" spans="81:81" x14ac:dyDescent="0.25">
      <c r="CC4189" s="19"/>
    </row>
    <row r="4190" spans="81:81" x14ac:dyDescent="0.25">
      <c r="CC4190" s="19"/>
    </row>
    <row r="4191" spans="81:81" x14ac:dyDescent="0.25">
      <c r="CC4191" s="19"/>
    </row>
    <row r="4192" spans="81:81" x14ac:dyDescent="0.25">
      <c r="CC4192" s="19"/>
    </row>
    <row r="4193" spans="81:81" x14ac:dyDescent="0.25">
      <c r="CC4193" s="19"/>
    </row>
    <row r="4194" spans="81:81" x14ac:dyDescent="0.25">
      <c r="CC4194" s="19"/>
    </row>
    <row r="4195" spans="81:81" x14ac:dyDescent="0.25">
      <c r="CC4195" s="19"/>
    </row>
    <row r="4196" spans="81:81" x14ac:dyDescent="0.25">
      <c r="CC4196" s="19"/>
    </row>
    <row r="4197" spans="81:81" x14ac:dyDescent="0.25">
      <c r="CC4197" s="19"/>
    </row>
    <row r="4198" spans="81:81" x14ac:dyDescent="0.25">
      <c r="CC4198" s="19"/>
    </row>
    <row r="4199" spans="81:81" x14ac:dyDescent="0.25">
      <c r="CC4199" s="19"/>
    </row>
    <row r="4200" spans="81:81" x14ac:dyDescent="0.25">
      <c r="CC4200" s="19"/>
    </row>
    <row r="4201" spans="81:81" x14ac:dyDescent="0.25">
      <c r="CC4201" s="19"/>
    </row>
    <row r="4202" spans="81:81" x14ac:dyDescent="0.25">
      <c r="CC4202" s="19"/>
    </row>
    <row r="4203" spans="81:81" x14ac:dyDescent="0.25">
      <c r="CC4203" s="19"/>
    </row>
    <row r="4204" spans="81:81" x14ac:dyDescent="0.25">
      <c r="CC4204" s="19"/>
    </row>
    <row r="4205" spans="81:81" x14ac:dyDescent="0.25">
      <c r="CC4205" s="19"/>
    </row>
    <row r="4206" spans="81:81" x14ac:dyDescent="0.25">
      <c r="CC4206" s="19"/>
    </row>
    <row r="4207" spans="81:81" x14ac:dyDescent="0.25">
      <c r="CC4207" s="19"/>
    </row>
    <row r="4208" spans="81:81" x14ac:dyDescent="0.25">
      <c r="CC4208" s="19"/>
    </row>
  </sheetData>
  <sheetProtection password="DAA7" sheet="1" formatCells="0" autoFilter="0"/>
  <autoFilter ref="CB1:CB3741">
    <filterColumn colId="0">
      <filters>
        <filter val="Riadok bude vidieť."/>
      </filters>
    </filterColumn>
  </autoFilter>
  <mergeCells count="8494">
    <mergeCell ref="J3616:BH3616"/>
    <mergeCell ref="J3617:BH3617"/>
    <mergeCell ref="B3618:I3618"/>
    <mergeCell ref="BR3604:BZ3604"/>
    <mergeCell ref="B3613:I3613"/>
    <mergeCell ref="B3570:I3570"/>
    <mergeCell ref="BI3570:BQ3570"/>
    <mergeCell ref="B3571:I3571"/>
    <mergeCell ref="BI3571:BQ3571"/>
    <mergeCell ref="J3574:BH3574"/>
    <mergeCell ref="J3575:BH3575"/>
    <mergeCell ref="B3572:I3572"/>
    <mergeCell ref="BI3572:BQ3572"/>
    <mergeCell ref="BI3620:BQ3620"/>
    <mergeCell ref="BI3617:BQ3617"/>
    <mergeCell ref="BI3619:BQ3619"/>
    <mergeCell ref="J3620:BH3620"/>
    <mergeCell ref="BI3615:BQ3615"/>
    <mergeCell ref="B3717:BZ3717"/>
    <mergeCell ref="BI3618:BQ3618"/>
    <mergeCell ref="B3678:BZ3678"/>
    <mergeCell ref="B3672:BZ3672"/>
    <mergeCell ref="B3711:BZ3711"/>
    <mergeCell ref="B3621:I3621"/>
    <mergeCell ref="BI3621:BQ3621"/>
    <mergeCell ref="B3620:I3620"/>
    <mergeCell ref="B3703:BZ3703"/>
    <mergeCell ref="B3705:BZ3705"/>
    <mergeCell ref="BI3591:BQ3591"/>
    <mergeCell ref="J3597:BH3597"/>
    <mergeCell ref="B3619:I3619"/>
    <mergeCell ref="B3614:I3614"/>
    <mergeCell ref="J3619:BH3619"/>
    <mergeCell ref="J3613:BH3613"/>
    <mergeCell ref="J3614:BH3614"/>
    <mergeCell ref="BI3614:BQ3614"/>
    <mergeCell ref="B3615:I3615"/>
    <mergeCell ref="B3585:I3585"/>
    <mergeCell ref="J3590:BH3590"/>
    <mergeCell ref="B3587:I3587"/>
    <mergeCell ref="B3592:I3592"/>
    <mergeCell ref="BI3587:BQ3587"/>
    <mergeCell ref="BI3597:BQ3597"/>
    <mergeCell ref="B3583:I3583"/>
    <mergeCell ref="BI3583:BQ3583"/>
    <mergeCell ref="B3578:I3578"/>
    <mergeCell ref="BI3582:BQ3582"/>
    <mergeCell ref="B3602:I3602"/>
    <mergeCell ref="B3576:I3576"/>
    <mergeCell ref="B3591:I3591"/>
    <mergeCell ref="J3582:BH3582"/>
    <mergeCell ref="B3601:I3601"/>
    <mergeCell ref="J3577:BH3577"/>
    <mergeCell ref="B3574:I3574"/>
    <mergeCell ref="BI3574:BQ3574"/>
    <mergeCell ref="B3598:I3598"/>
    <mergeCell ref="B3594:I3594"/>
    <mergeCell ref="BI3593:BQ3593"/>
    <mergeCell ref="BI3613:BQ3613"/>
    <mergeCell ref="B3608:I3608"/>
    <mergeCell ref="BI3608:BQ3608"/>
    <mergeCell ref="B3611:I3611"/>
    <mergeCell ref="J3607:BH3607"/>
    <mergeCell ref="B3593:I3593"/>
    <mergeCell ref="B3596:I3596"/>
    <mergeCell ref="B3606:I3606"/>
    <mergeCell ref="AY3242:BL3242"/>
    <mergeCell ref="BM3242:BZ3242"/>
    <mergeCell ref="B3243:AJ3243"/>
    <mergeCell ref="AY3243:BL3243"/>
    <mergeCell ref="J3581:BH3581"/>
    <mergeCell ref="BI3576:BQ3576"/>
    <mergeCell ref="B3577:I3577"/>
    <mergeCell ref="B3590:I3590"/>
    <mergeCell ref="B3584:I3584"/>
    <mergeCell ref="BI3584:BQ3584"/>
    <mergeCell ref="J3585:BH3585"/>
    <mergeCell ref="BI3585:BQ3585"/>
    <mergeCell ref="J3586:BH3586"/>
    <mergeCell ref="BI3586:BQ3586"/>
    <mergeCell ref="B3586:I3586"/>
    <mergeCell ref="B3582:I3582"/>
    <mergeCell ref="BM3251:BZ3251"/>
    <mergeCell ref="AR3285:BZ3285"/>
    <mergeCell ref="B3272:BZ3272"/>
    <mergeCell ref="B3273:BZ3273"/>
    <mergeCell ref="B3274:BZ3274"/>
    <mergeCell ref="J3591:BH3591"/>
    <mergeCell ref="B3247:AJ3247"/>
    <mergeCell ref="B3284:AB3285"/>
    <mergeCell ref="B3716:BZ3716"/>
    <mergeCell ref="AR3305:BZ3305"/>
    <mergeCell ref="AR3302:BZ3302"/>
    <mergeCell ref="AR3306:BZ3306"/>
    <mergeCell ref="AR3307:BZ3307"/>
    <mergeCell ref="B3715:BZ3715"/>
    <mergeCell ref="AC3305:AQ3305"/>
    <mergeCell ref="B3600:I3600"/>
    <mergeCell ref="B3605:I3605"/>
    <mergeCell ref="J3600:BH3600"/>
    <mergeCell ref="J3601:BH3601"/>
    <mergeCell ref="J3599:BH3599"/>
    <mergeCell ref="B3597:I3597"/>
    <mergeCell ref="B3603:I3603"/>
    <mergeCell ref="J3604:BH3604"/>
    <mergeCell ref="B3604:I3604"/>
    <mergeCell ref="J3605:BH3605"/>
    <mergeCell ref="B3588:I3588"/>
    <mergeCell ref="J3580:BH3580"/>
    <mergeCell ref="AR3290:BZ3290"/>
    <mergeCell ref="AR3291:BZ3291"/>
    <mergeCell ref="AR3287:BZ3287"/>
    <mergeCell ref="AC3291:AQ3291"/>
    <mergeCell ref="J3583:BH3583"/>
    <mergeCell ref="BI3543:BQ3543"/>
    <mergeCell ref="J3603:BH3603"/>
    <mergeCell ref="B3616:I3616"/>
    <mergeCell ref="BI3616:BQ3616"/>
    <mergeCell ref="B3617:I3617"/>
    <mergeCell ref="B3607:I3607"/>
    <mergeCell ref="B3244:AJ3244"/>
    <mergeCell ref="AK3244:AX3244"/>
    <mergeCell ref="AY3244:BL3244"/>
    <mergeCell ref="BM3244:BZ3244"/>
    <mergeCell ref="AA3242:AJ3242"/>
    <mergeCell ref="B3242:Z3242"/>
    <mergeCell ref="AK3238:AX3238"/>
    <mergeCell ref="AK3236:BZ3236"/>
    <mergeCell ref="B3234:AJ3236"/>
    <mergeCell ref="B3239:AJ3241"/>
    <mergeCell ref="AK3239:BZ3239"/>
    <mergeCell ref="AK3240:BZ3240"/>
    <mergeCell ref="AY3235:BL3235"/>
    <mergeCell ref="B3238:AJ3238"/>
    <mergeCell ref="AK3241:BZ3241"/>
    <mergeCell ref="AK3242:AX3242"/>
    <mergeCell ref="BJ3108:BZ3108"/>
    <mergeCell ref="AR3109:BI3109"/>
    <mergeCell ref="AR3112:BI3112"/>
    <mergeCell ref="B3112:AQ3112"/>
    <mergeCell ref="B3113:AQ3113"/>
    <mergeCell ref="B3126:BZ3126"/>
    <mergeCell ref="B3135:BZ3135"/>
    <mergeCell ref="BG3094:BZ3094"/>
    <mergeCell ref="AI3097:BF3097"/>
    <mergeCell ref="J3101:R3101"/>
    <mergeCell ref="BJ3105:BZ3105"/>
    <mergeCell ref="B2886:BZ2886"/>
    <mergeCell ref="B2884:BZ2884"/>
    <mergeCell ref="B2885:BZ2885"/>
    <mergeCell ref="BM2942:BZ2942"/>
    <mergeCell ref="B3093:AH3093"/>
    <mergeCell ref="AI3093:BF3093"/>
    <mergeCell ref="BG3093:BZ3093"/>
    <mergeCell ref="B464:BZ464"/>
    <mergeCell ref="B441:BZ441"/>
    <mergeCell ref="AG3161:BC3161"/>
    <mergeCell ref="B3162:AF3162"/>
    <mergeCell ref="B863:AR863"/>
    <mergeCell ref="AS863:BZ863"/>
    <mergeCell ref="B859:AR859"/>
    <mergeCell ref="AS859:BZ859"/>
    <mergeCell ref="BD1352:BM1352"/>
    <mergeCell ref="T1349:AF1350"/>
    <mergeCell ref="B861:AR861"/>
    <mergeCell ref="BJ3112:BZ3112"/>
    <mergeCell ref="B3105:AQ3105"/>
    <mergeCell ref="B3106:AQ3106"/>
    <mergeCell ref="B3107:AQ3107"/>
    <mergeCell ref="BJ3113:BZ3113"/>
    <mergeCell ref="AR3108:BI3108"/>
    <mergeCell ref="B2956:BZ2956"/>
    <mergeCell ref="B2976:AE2977"/>
    <mergeCell ref="BJ3109:BZ3109"/>
    <mergeCell ref="AR3110:BI3110"/>
    <mergeCell ref="B3108:AQ3108"/>
    <mergeCell ref="B3109:AQ3109"/>
    <mergeCell ref="AR3107:BI3107"/>
    <mergeCell ref="B3110:AQ3110"/>
    <mergeCell ref="B862:AR862"/>
    <mergeCell ref="X1384:AE1384"/>
    <mergeCell ref="AW926:BB927"/>
    <mergeCell ref="B890:BZ890"/>
    <mergeCell ref="B931:V931"/>
    <mergeCell ref="B3092:AH3092"/>
    <mergeCell ref="B1371:BZ1371"/>
    <mergeCell ref="AS1329:BD1329"/>
    <mergeCell ref="BE1329:BQ1329"/>
    <mergeCell ref="BJ3110:BZ3110"/>
    <mergeCell ref="B887:BZ887"/>
    <mergeCell ref="B1367:BZ1367"/>
    <mergeCell ref="AW930:BB930"/>
    <mergeCell ref="B889:BZ889"/>
    <mergeCell ref="AF2976:BC2976"/>
    <mergeCell ref="AF2977:AQ2977"/>
    <mergeCell ref="B3094:AH3094"/>
    <mergeCell ref="AI3094:BF3094"/>
    <mergeCell ref="AG3157:BC3157"/>
    <mergeCell ref="BD3157:BZ3157"/>
    <mergeCell ref="B3130:BZ3130"/>
    <mergeCell ref="B3124:BZ3124"/>
    <mergeCell ref="B3138:BZ3138"/>
    <mergeCell ref="B3136:BZ3136"/>
    <mergeCell ref="J3142:R3142"/>
    <mergeCell ref="B3129:BZ3129"/>
    <mergeCell ref="B3128:BZ3128"/>
    <mergeCell ref="B3122:BZ3122"/>
    <mergeCell ref="B3123:BZ3123"/>
    <mergeCell ref="B3127:BZ3127"/>
    <mergeCell ref="B3134:BZ3134"/>
    <mergeCell ref="B3146:AF3147"/>
    <mergeCell ref="BQ111:BR111"/>
    <mergeCell ref="BJ162:BP162"/>
    <mergeCell ref="AV302:BF302"/>
    <mergeCell ref="B243:BZ243"/>
    <mergeCell ref="B244:BZ244"/>
    <mergeCell ref="B3111:AQ3111"/>
    <mergeCell ref="BJ3111:BZ3111"/>
    <mergeCell ref="BG3097:BZ3097"/>
    <mergeCell ref="BG3092:BZ3092"/>
    <mergeCell ref="B3096:AH3096"/>
    <mergeCell ref="BF111:BH111"/>
    <mergeCell ref="BB111:BC111"/>
    <mergeCell ref="BD111:BE111"/>
    <mergeCell ref="BI111:BJ111"/>
    <mergeCell ref="BO111:BP111"/>
    <mergeCell ref="AR3111:BI3111"/>
    <mergeCell ref="AR3113:BI3113"/>
    <mergeCell ref="B3097:AH3097"/>
    <mergeCell ref="B3119:BZ3119"/>
    <mergeCell ref="BD3151:BZ3151"/>
    <mergeCell ref="AG3152:BC3152"/>
    <mergeCell ref="B3121:BZ3121"/>
    <mergeCell ref="BD3148:BZ3148"/>
    <mergeCell ref="AI3092:BF3092"/>
    <mergeCell ref="AI3090:BF3090"/>
    <mergeCell ref="BG3090:BZ3090"/>
    <mergeCell ref="BG3087:BZ3087"/>
    <mergeCell ref="J3085:R3085"/>
    <mergeCell ref="BG3088:BZ3088"/>
    <mergeCell ref="B3089:AH3089"/>
    <mergeCell ref="AI3089:BF3089"/>
    <mergeCell ref="BG3089:BZ3089"/>
    <mergeCell ref="B3087:AH3087"/>
    <mergeCell ref="B3088:AH3088"/>
    <mergeCell ref="B3079:AU3079"/>
    <mergeCell ref="AV3080:BZ3080"/>
    <mergeCell ref="AV3079:BZ3079"/>
    <mergeCell ref="B3080:AU3080"/>
    <mergeCell ref="B3081:AU3081"/>
    <mergeCell ref="B3090:AH3090"/>
    <mergeCell ref="B3091:AH3091"/>
    <mergeCell ref="B3125:BZ3125"/>
    <mergeCell ref="AI3091:BF3091"/>
    <mergeCell ref="AG3146:BZ3146"/>
    <mergeCell ref="AG3149:BC3149"/>
    <mergeCell ref="BD3149:BZ3149"/>
    <mergeCell ref="AG3150:BC3150"/>
    <mergeCell ref="BD3150:BZ3150"/>
    <mergeCell ref="AG3151:BC3151"/>
    <mergeCell ref="BG3091:BZ3091"/>
    <mergeCell ref="B2993:BZ2993"/>
    <mergeCell ref="B2994:BZ2994"/>
    <mergeCell ref="B2995:BZ2995"/>
    <mergeCell ref="B2980:AE2980"/>
    <mergeCell ref="BT2983:BZ2983"/>
    <mergeCell ref="J2951:R2951"/>
    <mergeCell ref="AW2947:BL2947"/>
    <mergeCell ref="AB2930:BA2930"/>
    <mergeCell ref="BB2930:BZ2930"/>
    <mergeCell ref="AB2931:BA2931"/>
    <mergeCell ref="BB2931:BZ2931"/>
    <mergeCell ref="AB2934:BA2934"/>
    <mergeCell ref="AB2933:BA2933"/>
    <mergeCell ref="BM2945:BZ2945"/>
    <mergeCell ref="AB2932:BA2932"/>
    <mergeCell ref="B2944:AV2944"/>
    <mergeCell ref="B2945:AV2945"/>
    <mergeCell ref="B2946:AV2946"/>
    <mergeCell ref="B2947:AV2947"/>
    <mergeCell ref="B2943:AV2943"/>
    <mergeCell ref="AW2942:BL2942"/>
    <mergeCell ref="AW2943:BL2943"/>
    <mergeCell ref="AW2945:BL2945"/>
    <mergeCell ref="AW2946:BL2946"/>
    <mergeCell ref="AW2944:BL2944"/>
    <mergeCell ref="BM2943:BZ2943"/>
    <mergeCell ref="B2942:AV2942"/>
    <mergeCell ref="B2932:AA2932"/>
    <mergeCell ref="B2940:AV2941"/>
    <mergeCell ref="B2962:BZ2962"/>
    <mergeCell ref="B2958:BZ2958"/>
    <mergeCell ref="BB2935:BZ2935"/>
    <mergeCell ref="BB2936:BZ2936"/>
    <mergeCell ref="B2935:AA2935"/>
    <mergeCell ref="B2934:AA2934"/>
    <mergeCell ref="BB2934:BZ2934"/>
    <mergeCell ref="BB2933:BZ2933"/>
    <mergeCell ref="B2931:AA2931"/>
    <mergeCell ref="AB2927:BA2927"/>
    <mergeCell ref="B2902:BZ2902"/>
    <mergeCell ref="B2904:BZ2904"/>
    <mergeCell ref="B2908:BZ2908"/>
    <mergeCell ref="BB2922:BZ2922"/>
    <mergeCell ref="B2917:AA2918"/>
    <mergeCell ref="AB2919:BA2919"/>
    <mergeCell ref="B2913:BZ2913"/>
    <mergeCell ref="B2920:AA2920"/>
    <mergeCell ref="B2912:BZ2912"/>
    <mergeCell ref="B2907:BZ2907"/>
    <mergeCell ref="B2903:BZ2903"/>
    <mergeCell ref="AB2925:BA2925"/>
    <mergeCell ref="AB2921:BA2921"/>
    <mergeCell ref="B2924:AA2924"/>
    <mergeCell ref="BB2924:BZ2924"/>
    <mergeCell ref="B2925:AA2925"/>
    <mergeCell ref="B2922:AA2922"/>
    <mergeCell ref="AB2923:BA2923"/>
    <mergeCell ref="BB2920:BZ2920"/>
    <mergeCell ref="B2905:BZ2905"/>
    <mergeCell ref="B2906:BZ2906"/>
    <mergeCell ref="B2910:BZ2910"/>
    <mergeCell ref="AB2918:BA2918"/>
    <mergeCell ref="BB2918:BZ2918"/>
    <mergeCell ref="AW2860:BL2860"/>
    <mergeCell ref="BM2860:BZ2860"/>
    <mergeCell ref="AW2861:BL2861"/>
    <mergeCell ref="AW2863:BL2863"/>
    <mergeCell ref="B2873:BZ2873"/>
    <mergeCell ref="B2864:AV2864"/>
    <mergeCell ref="B2895:BZ2895"/>
    <mergeCell ref="BD2888:BZ2888"/>
    <mergeCell ref="B2872:BZ2872"/>
    <mergeCell ref="B2882:BZ2882"/>
    <mergeCell ref="B2883:BZ2883"/>
    <mergeCell ref="B2876:BZ2876"/>
    <mergeCell ref="B2897:BZ2897"/>
    <mergeCell ref="AB2928:BA2928"/>
    <mergeCell ref="BB2923:BZ2923"/>
    <mergeCell ref="BB2921:BZ2921"/>
    <mergeCell ref="BB2929:BZ2929"/>
    <mergeCell ref="B2899:BZ2899"/>
    <mergeCell ref="J2892:P2892"/>
    <mergeCell ref="B2894:BZ2894"/>
    <mergeCell ref="B2901:BZ2901"/>
    <mergeCell ref="B2900:BZ2900"/>
    <mergeCell ref="BM2825:BZ2825"/>
    <mergeCell ref="AW2826:BL2826"/>
    <mergeCell ref="AW2835:BL2835"/>
    <mergeCell ref="B2747:BZ2747"/>
    <mergeCell ref="B2748:BZ2748"/>
    <mergeCell ref="B2795:BZ2795"/>
    <mergeCell ref="B2796:BZ2796"/>
    <mergeCell ref="B2797:BZ2797"/>
    <mergeCell ref="AW2809:BL2810"/>
    <mergeCell ref="B2753:BZ2753"/>
    <mergeCell ref="B2793:BZ2793"/>
    <mergeCell ref="BM2813:BZ2813"/>
    <mergeCell ref="BM2809:BZ2810"/>
    <mergeCell ref="BM2811:BZ2811"/>
    <mergeCell ref="AW2816:BL2816"/>
    <mergeCell ref="AW2811:BL2811"/>
    <mergeCell ref="AW2812:BL2812"/>
    <mergeCell ref="AW2817:BL2817"/>
    <mergeCell ref="BR2598:BZ2600"/>
    <mergeCell ref="BR2601:BZ2601"/>
    <mergeCell ref="BG2601:BQ2601"/>
    <mergeCell ref="BE2562:BZ2562"/>
    <mergeCell ref="B2588:BZ2588"/>
    <mergeCell ref="S2597:AL2597"/>
    <mergeCell ref="AM2597:BF2597"/>
    <mergeCell ref="B2597:R2600"/>
    <mergeCell ref="S2598:AB2600"/>
    <mergeCell ref="AC2598:AL2600"/>
    <mergeCell ref="AM2601:AV2601"/>
    <mergeCell ref="AL2727:BF2727"/>
    <mergeCell ref="BG2727:BZ2727"/>
    <mergeCell ref="AL2728:BF2728"/>
    <mergeCell ref="BG2728:BZ2728"/>
    <mergeCell ref="BG2729:BZ2729"/>
    <mergeCell ref="AL2729:BF2729"/>
    <mergeCell ref="AQ2552:BB2552"/>
    <mergeCell ref="BC2552:BO2552"/>
    <mergeCell ref="BP2552:BZ2552"/>
    <mergeCell ref="BP2546:BZ2546"/>
    <mergeCell ref="BC2553:BO2553"/>
    <mergeCell ref="BP2553:BZ2553"/>
    <mergeCell ref="AQ2548:BB2548"/>
    <mergeCell ref="AE2550:AP2550"/>
    <mergeCell ref="AQ2550:BB2550"/>
    <mergeCell ref="BP2550:BZ2550"/>
    <mergeCell ref="AH2559:BD2559"/>
    <mergeCell ref="BE2559:BZ2559"/>
    <mergeCell ref="BE2560:BZ2560"/>
    <mergeCell ref="AH2558:BZ2558"/>
    <mergeCell ref="BE2561:BZ2561"/>
    <mergeCell ref="AH2562:BD2562"/>
    <mergeCell ref="AH2565:BD2565"/>
    <mergeCell ref="BE2565:BZ2565"/>
    <mergeCell ref="AH2560:BD2560"/>
    <mergeCell ref="AH2561:BD2561"/>
    <mergeCell ref="BP2536:BZ2536"/>
    <mergeCell ref="AE2536:AP2536"/>
    <mergeCell ref="AQ2536:BB2536"/>
    <mergeCell ref="AE2530:BB2530"/>
    <mergeCell ref="AE2531:AP2531"/>
    <mergeCell ref="BP2533:BZ2533"/>
    <mergeCell ref="BC2534:BO2534"/>
    <mergeCell ref="BP2534:BZ2534"/>
    <mergeCell ref="AE2533:AP2533"/>
    <mergeCell ref="AQ2533:BB2533"/>
    <mergeCell ref="BC2533:BO2533"/>
    <mergeCell ref="BP2532:BZ2532"/>
    <mergeCell ref="AQ2531:BB2531"/>
    <mergeCell ref="AE2537:AP2537"/>
    <mergeCell ref="AQ2532:BB2532"/>
    <mergeCell ref="AE2534:AP2534"/>
    <mergeCell ref="AQ2534:BB2534"/>
    <mergeCell ref="AE2535:AP2535"/>
    <mergeCell ref="B2586:BZ2586"/>
    <mergeCell ref="B2574:BZ2574"/>
    <mergeCell ref="AE2542:AP2542"/>
    <mergeCell ref="AQ2542:BB2542"/>
    <mergeCell ref="BC2542:BO2542"/>
    <mergeCell ref="BP2542:BZ2542"/>
    <mergeCell ref="AQ2544:BB2544"/>
    <mergeCell ref="BC2544:BO2544"/>
    <mergeCell ref="BC2548:BO2548"/>
    <mergeCell ref="BP2548:BZ2548"/>
    <mergeCell ref="AE2549:AP2549"/>
    <mergeCell ref="AQ2549:BB2549"/>
    <mergeCell ref="BC2549:BO2549"/>
    <mergeCell ref="BP2549:BZ2549"/>
    <mergeCell ref="AQ2546:BB2546"/>
    <mergeCell ref="BC2546:BO2546"/>
    <mergeCell ref="AE2547:AP2547"/>
    <mergeCell ref="AQ2547:BB2547"/>
    <mergeCell ref="BC2547:BO2547"/>
    <mergeCell ref="BP2547:BZ2547"/>
    <mergeCell ref="AE2554:AP2554"/>
    <mergeCell ref="AQ2554:BB2554"/>
    <mergeCell ref="BC2554:BO2554"/>
    <mergeCell ref="BP2554:BZ2554"/>
    <mergeCell ref="AE2553:AP2553"/>
    <mergeCell ref="AQ2553:BB2553"/>
    <mergeCell ref="AE2545:AP2545"/>
    <mergeCell ref="AQ2545:BB2545"/>
    <mergeCell ref="BC2545:BO2545"/>
    <mergeCell ref="BP2545:BZ2545"/>
    <mergeCell ref="AE2546:AP2546"/>
    <mergeCell ref="AE2552:AP2552"/>
    <mergeCell ref="AD2515:AR2515"/>
    <mergeCell ref="AS2515:BH2515"/>
    <mergeCell ref="BI2515:BZ2515"/>
    <mergeCell ref="AD2512:AR2512"/>
    <mergeCell ref="AS2512:BH2512"/>
    <mergeCell ref="BI2512:BZ2512"/>
    <mergeCell ref="AD2514:AR2514"/>
    <mergeCell ref="AS2509:BH2509"/>
    <mergeCell ref="BI2509:BZ2509"/>
    <mergeCell ref="AD2510:AR2510"/>
    <mergeCell ref="AS2510:BH2510"/>
    <mergeCell ref="BI2510:BZ2510"/>
    <mergeCell ref="B2592:BZ2592"/>
    <mergeCell ref="AE2551:AP2551"/>
    <mergeCell ref="AQ2551:BB2551"/>
    <mergeCell ref="BC2551:BO2551"/>
    <mergeCell ref="BP2551:BZ2551"/>
    <mergeCell ref="B2561:AG2561"/>
    <mergeCell ref="B2558:AG2559"/>
    <mergeCell ref="B2590:BZ2590"/>
    <mergeCell ref="B2575:BZ2575"/>
    <mergeCell ref="B2587:BZ2587"/>
    <mergeCell ref="AD2516:AR2516"/>
    <mergeCell ref="AS2516:BH2516"/>
    <mergeCell ref="BI2516:BZ2516"/>
    <mergeCell ref="B2549:AD2549"/>
    <mergeCell ref="B2550:AD2550"/>
    <mergeCell ref="BC2529:BZ2529"/>
    <mergeCell ref="BC2530:BZ2530"/>
    <mergeCell ref="BC2531:BO2531"/>
    <mergeCell ref="BP2531:BZ2531"/>
    <mergeCell ref="BC2543:BO2543"/>
    <mergeCell ref="AD2513:AR2513"/>
    <mergeCell ref="AS2513:BH2513"/>
    <mergeCell ref="BI2513:BZ2513"/>
    <mergeCell ref="AD2511:AR2511"/>
    <mergeCell ref="AS2511:BH2511"/>
    <mergeCell ref="BI2508:BZ2508"/>
    <mergeCell ref="AD2509:AR2509"/>
    <mergeCell ref="B1641:T1641"/>
    <mergeCell ref="B1642:T1642"/>
    <mergeCell ref="B1643:T1643"/>
    <mergeCell ref="B1644:T1644"/>
    <mergeCell ref="AD1638:AK1640"/>
    <mergeCell ref="AD1641:AK1641"/>
    <mergeCell ref="AD1642:AK1642"/>
    <mergeCell ref="AD1643:AK1643"/>
    <mergeCell ref="AD1644:AK1644"/>
    <mergeCell ref="U1641:AC1641"/>
    <mergeCell ref="AD2504:AR2504"/>
    <mergeCell ref="AS2504:BH2504"/>
    <mergeCell ref="AD2505:AR2505"/>
    <mergeCell ref="AS2505:BH2505"/>
    <mergeCell ref="B2503:AC2504"/>
    <mergeCell ref="B2513:AC2513"/>
    <mergeCell ref="B2511:AC2511"/>
    <mergeCell ref="B2487:BZ2487"/>
    <mergeCell ref="B2483:BZ2483"/>
    <mergeCell ref="B2494:BZ2494"/>
    <mergeCell ref="B2474:BZ2474"/>
    <mergeCell ref="B2493:BZ2493"/>
    <mergeCell ref="BI2507:BZ2507"/>
    <mergeCell ref="B2461:BZ2461"/>
    <mergeCell ref="B2505:AC2505"/>
    <mergeCell ref="B1631:AB1631"/>
    <mergeCell ref="AC1627:BB1627"/>
    <mergeCell ref="BC1627:BZ1627"/>
    <mergeCell ref="AC1628:BB1628"/>
    <mergeCell ref="BC1628:BZ1628"/>
    <mergeCell ref="AC1629:BB1629"/>
    <mergeCell ref="AC1630:BB1630"/>
    <mergeCell ref="AC1631:BB1631"/>
    <mergeCell ref="BC1629:BZ1629"/>
    <mergeCell ref="BC1631:BZ1631"/>
    <mergeCell ref="AC1621:BB1621"/>
    <mergeCell ref="BC1621:BZ1621"/>
    <mergeCell ref="B1626:AB1627"/>
    <mergeCell ref="B1628:AB1628"/>
    <mergeCell ref="B1629:AB1629"/>
    <mergeCell ref="B1630:AB1630"/>
    <mergeCell ref="BC1630:BZ1630"/>
    <mergeCell ref="J1623:N1623"/>
    <mergeCell ref="AC1626:BZ1626"/>
    <mergeCell ref="B1620:AB1620"/>
    <mergeCell ref="B1621:AB1621"/>
    <mergeCell ref="AC1616:BB1616"/>
    <mergeCell ref="BC1616:BZ1616"/>
    <mergeCell ref="BC1617:BZ1617"/>
    <mergeCell ref="BC1619:BZ1619"/>
    <mergeCell ref="BC1620:BZ1620"/>
    <mergeCell ref="AC1617:BB1617"/>
    <mergeCell ref="AC1619:BB1619"/>
    <mergeCell ref="AC1620:BB1620"/>
    <mergeCell ref="AC1615:BB1615"/>
    <mergeCell ref="BC1615:BZ1615"/>
    <mergeCell ref="B1616:AB1616"/>
    <mergeCell ref="B1617:AB1617"/>
    <mergeCell ref="B1618:AB1618"/>
    <mergeCell ref="B1619:AB1619"/>
    <mergeCell ref="AC1618:BB1618"/>
    <mergeCell ref="BC1618:BZ1618"/>
    <mergeCell ref="B1615:AB1615"/>
    <mergeCell ref="B1596:X1596"/>
    <mergeCell ref="Y1596:AS1596"/>
    <mergeCell ref="AT1596:BL1596"/>
    <mergeCell ref="Y1595:AS1595"/>
    <mergeCell ref="BM1596:BZ1596"/>
    <mergeCell ref="B1605:X1605"/>
    <mergeCell ref="B1602:X1602"/>
    <mergeCell ref="Y1602:AS1602"/>
    <mergeCell ref="AT1602:BL1602"/>
    <mergeCell ref="BM1603:BZ1603"/>
    <mergeCell ref="B1609:X1609"/>
    <mergeCell ref="Y1609:AS1609"/>
    <mergeCell ref="AT1609:BL1609"/>
    <mergeCell ref="Y1607:AS1607"/>
    <mergeCell ref="AT1607:BL1607"/>
    <mergeCell ref="B1603:X1603"/>
    <mergeCell ref="Y1603:AS1603"/>
    <mergeCell ref="AT1603:BL1603"/>
    <mergeCell ref="B1604:X1604"/>
    <mergeCell ref="AT1604:BL1604"/>
    <mergeCell ref="B1606:X1606"/>
    <mergeCell ref="Y1606:AS1606"/>
    <mergeCell ref="Y1599:AS1599"/>
    <mergeCell ref="AT1599:BL1599"/>
    <mergeCell ref="AT1600:BL1600"/>
    <mergeCell ref="AT1606:BL1606"/>
    <mergeCell ref="B1607:X1607"/>
    <mergeCell ref="AN1502:BE1502"/>
    <mergeCell ref="V1503:AM1503"/>
    <mergeCell ref="V1504:AM1504"/>
    <mergeCell ref="BD1477:BZ1477"/>
    <mergeCell ref="AB1514:AZ1514"/>
    <mergeCell ref="AB1513:AZ1513"/>
    <mergeCell ref="AN1506:BE1506"/>
    <mergeCell ref="BD1473:BZ1473"/>
    <mergeCell ref="BD1474:BZ1474"/>
    <mergeCell ref="BD1475:BZ1475"/>
    <mergeCell ref="BD1476:BZ1476"/>
    <mergeCell ref="BF1502:BZ1503"/>
    <mergeCell ref="B1490:BZ1490"/>
    <mergeCell ref="B1514:AA1514"/>
    <mergeCell ref="V1506:AM1506"/>
    <mergeCell ref="AB1477:BC1477"/>
    <mergeCell ref="B1483:BZ1483"/>
    <mergeCell ref="B1489:BZ1489"/>
    <mergeCell ref="B1488:BZ1488"/>
    <mergeCell ref="B1474:AA1474"/>
    <mergeCell ref="U1401:AG1401"/>
    <mergeCell ref="B1401:T1401"/>
    <mergeCell ref="B1464:W1465"/>
    <mergeCell ref="AP1469:BG1469"/>
    <mergeCell ref="B1469:W1469"/>
    <mergeCell ref="X1464:AO1464"/>
    <mergeCell ref="BH1467:BZ1467"/>
    <mergeCell ref="BH1468:BZ1468"/>
    <mergeCell ref="BH1469:BZ1469"/>
    <mergeCell ref="X1469:AO1469"/>
    <mergeCell ref="AP1468:BG1468"/>
    <mergeCell ref="BJ1413:BZ1413"/>
    <mergeCell ref="BD1401:BP1401"/>
    <mergeCell ref="X1467:AO1467"/>
    <mergeCell ref="AP1464:BG1464"/>
    <mergeCell ref="B1458:BZ1458"/>
    <mergeCell ref="B1451:BZ1451"/>
    <mergeCell ref="B1455:BZ1455"/>
    <mergeCell ref="B1460:BZ1460"/>
    <mergeCell ref="AP1465:BG1465"/>
    <mergeCell ref="B1466:W1466"/>
    <mergeCell ref="B1467:W1467"/>
    <mergeCell ref="B1459:BZ1459"/>
    <mergeCell ref="B1454:BZ1454"/>
    <mergeCell ref="BU111:BV111"/>
    <mergeCell ref="Y292:AG292"/>
    <mergeCell ref="B410:BZ410"/>
    <mergeCell ref="B405:BZ405"/>
    <mergeCell ref="B855:AR855"/>
    <mergeCell ref="AS855:BZ855"/>
    <mergeCell ref="B1374:BZ1374"/>
    <mergeCell ref="BQ1338:BZ1338"/>
    <mergeCell ref="AJ931:AQ931"/>
    <mergeCell ref="B1329:S1329"/>
    <mergeCell ref="AR930:AV930"/>
    <mergeCell ref="AS861:BZ861"/>
    <mergeCell ref="B857:AR857"/>
    <mergeCell ref="AS857:BZ857"/>
    <mergeCell ref="BQ1394:BZ1394"/>
    <mergeCell ref="AT1394:BC1394"/>
    <mergeCell ref="B858:AR858"/>
    <mergeCell ref="AS858:BZ858"/>
    <mergeCell ref="BD1391:BP1392"/>
    <mergeCell ref="D896:L896"/>
    <mergeCell ref="B1330:S1330"/>
    <mergeCell ref="T1330:AF1330"/>
    <mergeCell ref="B1390:T1392"/>
    <mergeCell ref="B888:BZ888"/>
    <mergeCell ref="BQ1393:BZ1393"/>
    <mergeCell ref="AH1394:AS1394"/>
    <mergeCell ref="AT1393:BC1393"/>
    <mergeCell ref="B1393:T1393"/>
    <mergeCell ref="AH1393:AS1393"/>
    <mergeCell ref="B860:AR860"/>
    <mergeCell ref="AS860:BZ860"/>
    <mergeCell ref="B414:BZ414"/>
    <mergeCell ref="G102:AK107"/>
    <mergeCell ref="B489:BZ489"/>
    <mergeCell ref="B490:BZ490"/>
    <mergeCell ref="B491:BZ491"/>
    <mergeCell ref="AB1386:AC1386"/>
    <mergeCell ref="B448:BZ448"/>
    <mergeCell ref="BM111:BN111"/>
    <mergeCell ref="O86:O89"/>
    <mergeCell ref="Q86:Q89"/>
    <mergeCell ref="J92:J96"/>
    <mergeCell ref="F92:F96"/>
    <mergeCell ref="BS111:BT111"/>
    <mergeCell ref="D111:T111"/>
    <mergeCell ref="G86:G89"/>
    <mergeCell ref="I86:I89"/>
    <mergeCell ref="AP102:BU107"/>
    <mergeCell ref="B569:BZ569"/>
    <mergeCell ref="B511:BZ511"/>
    <mergeCell ref="B503:BZ503"/>
    <mergeCell ref="B437:BZ437"/>
    <mergeCell ref="B432:BZ432"/>
    <mergeCell ref="B454:BZ454"/>
    <mergeCell ref="B508:BZ508"/>
    <mergeCell ref="B498:BZ498"/>
    <mergeCell ref="B507:BZ507"/>
    <mergeCell ref="B488:BZ488"/>
    <mergeCell ref="BI91:BY95"/>
    <mergeCell ref="B420:AT420"/>
    <mergeCell ref="B403:BZ403"/>
    <mergeCell ref="B346:AA346"/>
    <mergeCell ref="B406:BZ406"/>
    <mergeCell ref="B407:BZ407"/>
    <mergeCell ref="AA79:AA82"/>
    <mergeCell ref="AC79:AC82"/>
    <mergeCell ref="O79:O82"/>
    <mergeCell ref="BU79:BU82"/>
    <mergeCell ref="K92:K95"/>
    <mergeCell ref="M92:M95"/>
    <mergeCell ref="O92:O95"/>
    <mergeCell ref="Q92:Q95"/>
    <mergeCell ref="BM79:BM82"/>
    <mergeCell ref="BO79:BO82"/>
    <mergeCell ref="BD79:BD82"/>
    <mergeCell ref="BF79:BF82"/>
    <mergeCell ref="BI79:BI82"/>
    <mergeCell ref="BQ79:BQ82"/>
    <mergeCell ref="BS79:BS82"/>
    <mergeCell ref="I79:I82"/>
    <mergeCell ref="M86:M89"/>
    <mergeCell ref="C91:Q91"/>
    <mergeCell ref="C92:C95"/>
    <mergeCell ref="E92:E95"/>
    <mergeCell ref="C79:C82"/>
    <mergeCell ref="E79:E82"/>
    <mergeCell ref="G79:G82"/>
    <mergeCell ref="Q79:Q82"/>
    <mergeCell ref="S79:S82"/>
    <mergeCell ref="U79:U82"/>
    <mergeCell ref="BW79:BW82"/>
    <mergeCell ref="BY79:BY82"/>
    <mergeCell ref="AK79:AK82"/>
    <mergeCell ref="AM79:AM82"/>
    <mergeCell ref="AP79:AP82"/>
    <mergeCell ref="AR79:AR82"/>
    <mergeCell ref="C85:Q85"/>
    <mergeCell ref="C86:C89"/>
    <mergeCell ref="E86:E89"/>
    <mergeCell ref="F86:F90"/>
    <mergeCell ref="AP91:BF95"/>
    <mergeCell ref="U91:AM95"/>
    <mergeCell ref="J86:J90"/>
    <mergeCell ref="G92:G95"/>
    <mergeCell ref="I92:I95"/>
    <mergeCell ref="M79:M82"/>
    <mergeCell ref="AE79:AE82"/>
    <mergeCell ref="AG79:AG82"/>
    <mergeCell ref="AI79:AI82"/>
    <mergeCell ref="Y79:Y82"/>
    <mergeCell ref="BI85:BY90"/>
    <mergeCell ref="U85:AJ90"/>
    <mergeCell ref="BK79:BK82"/>
    <mergeCell ref="AV79:AV82"/>
    <mergeCell ref="AX79:AX82"/>
    <mergeCell ref="AZ79:AZ82"/>
    <mergeCell ref="BB79:BB82"/>
    <mergeCell ref="K86:K89"/>
    <mergeCell ref="AP85:BF90"/>
    <mergeCell ref="W79:W82"/>
    <mergeCell ref="AT79:AT82"/>
    <mergeCell ref="K79:K82"/>
    <mergeCell ref="BU69:BU72"/>
    <mergeCell ref="AV74:AV77"/>
    <mergeCell ref="AX74:AX77"/>
    <mergeCell ref="AZ74:AZ77"/>
    <mergeCell ref="BB74:BB77"/>
    <mergeCell ref="BD74:BD77"/>
    <mergeCell ref="AK69:AK72"/>
    <mergeCell ref="BW69:BW72"/>
    <mergeCell ref="BY69:BY72"/>
    <mergeCell ref="AE74:AE77"/>
    <mergeCell ref="AG74:AG77"/>
    <mergeCell ref="AI74:AI77"/>
    <mergeCell ref="AK74:AK77"/>
    <mergeCell ref="AM74:AM77"/>
    <mergeCell ref="AP74:AP77"/>
    <mergeCell ref="AR74:AR77"/>
    <mergeCell ref="AT74:AT77"/>
    <mergeCell ref="BB69:BB72"/>
    <mergeCell ref="BD69:BD72"/>
    <mergeCell ref="BF69:BF72"/>
    <mergeCell ref="BI69:BI72"/>
    <mergeCell ref="BK69:BK72"/>
    <mergeCell ref="BM69:BM72"/>
    <mergeCell ref="BO69:BO72"/>
    <mergeCell ref="BQ69:BQ72"/>
    <mergeCell ref="BS69:BS72"/>
    <mergeCell ref="AI69:AI72"/>
    <mergeCell ref="BB64:BB67"/>
    <mergeCell ref="BD64:BD67"/>
    <mergeCell ref="C74:C77"/>
    <mergeCell ref="E74:E77"/>
    <mergeCell ref="G74:G77"/>
    <mergeCell ref="I74:I77"/>
    <mergeCell ref="O74:O77"/>
    <mergeCell ref="K74:K77"/>
    <mergeCell ref="M74:M77"/>
    <mergeCell ref="AT69:AT72"/>
    <mergeCell ref="AV69:AV72"/>
    <mergeCell ref="AX69:AX72"/>
    <mergeCell ref="AZ69:AZ72"/>
    <mergeCell ref="Q74:Q77"/>
    <mergeCell ref="S74:S77"/>
    <mergeCell ref="U74:U77"/>
    <mergeCell ref="W74:W77"/>
    <mergeCell ref="Y74:Y77"/>
    <mergeCell ref="AA74:AA77"/>
    <mergeCell ref="C69:C72"/>
    <mergeCell ref="E69:E72"/>
    <mergeCell ref="G69:G72"/>
    <mergeCell ref="I69:I72"/>
    <mergeCell ref="K69:K72"/>
    <mergeCell ref="O69:O72"/>
    <mergeCell ref="Q69:Q72"/>
    <mergeCell ref="S69:S72"/>
    <mergeCell ref="U69:U72"/>
    <mergeCell ref="W69:W72"/>
    <mergeCell ref="Y69:Y72"/>
    <mergeCell ref="AA69:AA72"/>
    <mergeCell ref="AC69:AC72"/>
    <mergeCell ref="S64:S67"/>
    <mergeCell ref="U64:U67"/>
    <mergeCell ref="W64:W67"/>
    <mergeCell ref="Y64:Y67"/>
    <mergeCell ref="AA64:AA67"/>
    <mergeCell ref="AP64:AP67"/>
    <mergeCell ref="AR64:AR67"/>
    <mergeCell ref="AK64:AK67"/>
    <mergeCell ref="AM64:AM67"/>
    <mergeCell ref="AP69:AP72"/>
    <mergeCell ref="AR69:AR72"/>
    <mergeCell ref="AM69:AM72"/>
    <mergeCell ref="AT64:AT67"/>
    <mergeCell ref="AV64:AV67"/>
    <mergeCell ref="AX64:AX67"/>
    <mergeCell ref="AZ64:AZ67"/>
    <mergeCell ref="AE69:AE72"/>
    <mergeCell ref="AG69:AG72"/>
    <mergeCell ref="AZ57:AZ60"/>
    <mergeCell ref="BQ64:BQ67"/>
    <mergeCell ref="BS64:BS67"/>
    <mergeCell ref="BU64:BU67"/>
    <mergeCell ref="BW64:BW67"/>
    <mergeCell ref="BY64:BY67"/>
    <mergeCell ref="BF64:BF67"/>
    <mergeCell ref="BK64:BK67"/>
    <mergeCell ref="BM64:BM67"/>
    <mergeCell ref="BO64:BO67"/>
    <mergeCell ref="C57:C60"/>
    <mergeCell ref="E57:E60"/>
    <mergeCell ref="G57:G60"/>
    <mergeCell ref="I57:I60"/>
    <mergeCell ref="K57:K60"/>
    <mergeCell ref="M57:M60"/>
    <mergeCell ref="O57:O60"/>
    <mergeCell ref="Q57:Q60"/>
    <mergeCell ref="S57:S60"/>
    <mergeCell ref="U57:U60"/>
    <mergeCell ref="W57:W60"/>
    <mergeCell ref="Y57:Y60"/>
    <mergeCell ref="AA57:AA60"/>
    <mergeCell ref="AC57:AC60"/>
    <mergeCell ref="C64:C67"/>
    <mergeCell ref="E64:E67"/>
    <mergeCell ref="G64:G67"/>
    <mergeCell ref="I64:I67"/>
    <mergeCell ref="K64:K67"/>
    <mergeCell ref="M64:M67"/>
    <mergeCell ref="O64:O67"/>
    <mergeCell ref="Q64:Q67"/>
    <mergeCell ref="BB57:BB60"/>
    <mergeCell ref="BD57:BD60"/>
    <mergeCell ref="BF57:BF60"/>
    <mergeCell ref="BI57:BI60"/>
    <mergeCell ref="BK57:BK60"/>
    <mergeCell ref="BK52:BK55"/>
    <mergeCell ref="BM57:BM60"/>
    <mergeCell ref="BS52:BS55"/>
    <mergeCell ref="BU52:BU55"/>
    <mergeCell ref="AC64:AC67"/>
    <mergeCell ref="AT52:AT55"/>
    <mergeCell ref="AT57:AT60"/>
    <mergeCell ref="AE64:AE67"/>
    <mergeCell ref="AG64:AG67"/>
    <mergeCell ref="AI64:AI67"/>
    <mergeCell ref="AV52:AV55"/>
    <mergeCell ref="AX52:AX55"/>
    <mergeCell ref="AZ52:AZ55"/>
    <mergeCell ref="BB52:BB55"/>
    <mergeCell ref="BD52:BD55"/>
    <mergeCell ref="BF52:BF55"/>
    <mergeCell ref="BI52:BI55"/>
    <mergeCell ref="BM52:BM55"/>
    <mergeCell ref="AE57:AE60"/>
    <mergeCell ref="AG57:AG60"/>
    <mergeCell ref="AI57:AI60"/>
    <mergeCell ref="AK57:AK60"/>
    <mergeCell ref="AM57:AM60"/>
    <mergeCell ref="AP57:AP60"/>
    <mergeCell ref="AR57:AR60"/>
    <mergeCell ref="AV57:AV60"/>
    <mergeCell ref="AX57:AX60"/>
    <mergeCell ref="E34:E37"/>
    <mergeCell ref="F44:F48"/>
    <mergeCell ref="BW52:BW55"/>
    <mergeCell ref="BS31:BS34"/>
    <mergeCell ref="BU31:BU34"/>
    <mergeCell ref="BW31:BW34"/>
    <mergeCell ref="BJ39:BK42"/>
    <mergeCell ref="BY52:BY55"/>
    <mergeCell ref="BO57:BO60"/>
    <mergeCell ref="BQ57:BQ60"/>
    <mergeCell ref="BS57:BS60"/>
    <mergeCell ref="BU57:BU60"/>
    <mergeCell ref="BW57:BW60"/>
    <mergeCell ref="BY57:BY60"/>
    <mergeCell ref="BO52:BO55"/>
    <mergeCell ref="BQ52:BQ55"/>
    <mergeCell ref="BY31:BY34"/>
    <mergeCell ref="BW45:BW48"/>
    <mergeCell ref="BY45:BY48"/>
    <mergeCell ref="BM39:BM42"/>
    <mergeCell ref="BO39:BO42"/>
    <mergeCell ref="BS39:BS42"/>
    <mergeCell ref="BU39:BU42"/>
    <mergeCell ref="BW39:BW42"/>
    <mergeCell ref="BY39:BY42"/>
    <mergeCell ref="AP30:AV32"/>
    <mergeCell ref="AN34:AV37"/>
    <mergeCell ref="AN45:AV48"/>
    <mergeCell ref="AX38:BI48"/>
    <mergeCell ref="AX26:BI32"/>
    <mergeCell ref="BJ31:BK34"/>
    <mergeCell ref="BJ45:BK48"/>
    <mergeCell ref="G34:G37"/>
    <mergeCell ref="C52:C55"/>
    <mergeCell ref="E52:E55"/>
    <mergeCell ref="G52:G55"/>
    <mergeCell ref="I52:I55"/>
    <mergeCell ref="K52:K55"/>
    <mergeCell ref="M52:M55"/>
    <mergeCell ref="M34:M37"/>
    <mergeCell ref="U52:U55"/>
    <mergeCell ref="W52:W55"/>
    <mergeCell ref="Y52:Y55"/>
    <mergeCell ref="AA52:AA55"/>
    <mergeCell ref="BU24:BU27"/>
    <mergeCell ref="AA41:AA43"/>
    <mergeCell ref="AA46:AA48"/>
    <mergeCell ref="BM31:BM34"/>
    <mergeCell ref="BO31:BO34"/>
    <mergeCell ref="AD35:AK37"/>
    <mergeCell ref="C39:S42"/>
    <mergeCell ref="BM45:BM48"/>
    <mergeCell ref="BO45:BO48"/>
    <mergeCell ref="BS45:BS48"/>
    <mergeCell ref="BU45:BU48"/>
    <mergeCell ref="AD41:AM43"/>
    <mergeCell ref="AD46:AM48"/>
    <mergeCell ref="C44:C47"/>
    <mergeCell ref="E44:E47"/>
    <mergeCell ref="G44:G47"/>
    <mergeCell ref="C29:S32"/>
    <mergeCell ref="AA30:AA32"/>
    <mergeCell ref="AD30:AK32"/>
    <mergeCell ref="C34:C37"/>
    <mergeCell ref="O52:O55"/>
    <mergeCell ref="Q52:Q55"/>
    <mergeCell ref="S52:S55"/>
    <mergeCell ref="I24:I27"/>
    <mergeCell ref="K24:K27"/>
    <mergeCell ref="M24:M27"/>
    <mergeCell ref="O24:O27"/>
    <mergeCell ref="K34:K37"/>
    <mergeCell ref="J44:J48"/>
    <mergeCell ref="O34:O37"/>
    <mergeCell ref="AC52:AC55"/>
    <mergeCell ref="AE52:AE55"/>
    <mergeCell ref="AG52:AG55"/>
    <mergeCell ref="AI52:AI55"/>
    <mergeCell ref="AK52:AK55"/>
    <mergeCell ref="AM52:AM55"/>
    <mergeCell ref="AP52:AP55"/>
    <mergeCell ref="AM30:AM32"/>
    <mergeCell ref="AA35:AA37"/>
    <mergeCell ref="I34:I37"/>
    <mergeCell ref="Q34:Q37"/>
    <mergeCell ref="I44:I47"/>
    <mergeCell ref="K44:K47"/>
    <mergeCell ref="AP25:AV27"/>
    <mergeCell ref="AR52:AR55"/>
    <mergeCell ref="AV16:AV19"/>
    <mergeCell ref="AX16:AX19"/>
    <mergeCell ref="AZ16:AZ19"/>
    <mergeCell ref="BD16:BD19"/>
    <mergeCell ref="BO16:BO19"/>
    <mergeCell ref="BQ16:BQ19"/>
    <mergeCell ref="BB16:BB19"/>
    <mergeCell ref="BS16:BS19"/>
    <mergeCell ref="BU16:BU19"/>
    <mergeCell ref="BW16:BW19"/>
    <mergeCell ref="BY16:BY19"/>
    <mergeCell ref="Q24:Q27"/>
    <mergeCell ref="S24:S27"/>
    <mergeCell ref="U24:U27"/>
    <mergeCell ref="BF16:BF19"/>
    <mergeCell ref="C22:W22"/>
    <mergeCell ref="Y22:AI22"/>
    <mergeCell ref="AK22:AV22"/>
    <mergeCell ref="AA25:AA27"/>
    <mergeCell ref="AM25:AM27"/>
    <mergeCell ref="AD25:AK27"/>
    <mergeCell ref="BS22:BY22"/>
    <mergeCell ref="BJ24:BK27"/>
    <mergeCell ref="BW24:BW27"/>
    <mergeCell ref="BY24:BY27"/>
    <mergeCell ref="C24:C27"/>
    <mergeCell ref="E24:E27"/>
    <mergeCell ref="G24:G27"/>
    <mergeCell ref="BM24:BM27"/>
    <mergeCell ref="BO24:BO27"/>
    <mergeCell ref="BS24:BS27"/>
    <mergeCell ref="AT16:AT19"/>
    <mergeCell ref="DC3:DE3"/>
    <mergeCell ref="Q16:Q19"/>
    <mergeCell ref="S16:S19"/>
    <mergeCell ref="Y7:AI10"/>
    <mergeCell ref="AR16:AR19"/>
    <mergeCell ref="DF3:DH3"/>
    <mergeCell ref="AP7:AP10"/>
    <mergeCell ref="AG16:AG19"/>
    <mergeCell ref="U16:U19"/>
    <mergeCell ref="W16:W19"/>
    <mergeCell ref="DI3:DK3"/>
    <mergeCell ref="B13:BZ13"/>
    <mergeCell ref="C16:C19"/>
    <mergeCell ref="E16:E19"/>
    <mergeCell ref="G16:G19"/>
    <mergeCell ref="AE16:AE19"/>
    <mergeCell ref="I16:I19"/>
    <mergeCell ref="K16:K19"/>
    <mergeCell ref="O16:O19"/>
    <mergeCell ref="AM7:AM10"/>
    <mergeCell ref="Y16:Y19"/>
    <mergeCell ref="AA16:AA19"/>
    <mergeCell ref="AC16:AC19"/>
    <mergeCell ref="AK16:AK19"/>
    <mergeCell ref="AM16:AM19"/>
    <mergeCell ref="AP16:AP19"/>
    <mergeCell ref="AI16:AI19"/>
    <mergeCell ref="AS7:AS11"/>
    <mergeCell ref="AN7:AN11"/>
    <mergeCell ref="AK7:AK10"/>
    <mergeCell ref="CC2:CC3"/>
    <mergeCell ref="CC6:CC11"/>
    <mergeCell ref="AH1397:AS1397"/>
    <mergeCell ref="AT1399:BC1399"/>
    <mergeCell ref="B327:BZ327"/>
    <mergeCell ref="B428:AT428"/>
    <mergeCell ref="B450:BZ450"/>
    <mergeCell ref="B475:BZ475"/>
    <mergeCell ref="B329:BZ329"/>
    <mergeCell ref="BM2946:BZ2946"/>
    <mergeCell ref="B572:BZ572"/>
    <mergeCell ref="B445:BZ445"/>
    <mergeCell ref="B456:BZ456"/>
    <mergeCell ref="B556:BZ556"/>
    <mergeCell ref="B551:BZ551"/>
    <mergeCell ref="B800:BZ800"/>
    <mergeCell ref="BM2944:BZ2944"/>
    <mergeCell ref="B2928:AA2928"/>
    <mergeCell ref="AB2922:BA2922"/>
    <mergeCell ref="B831:BZ831"/>
    <mergeCell ref="B881:BZ881"/>
    <mergeCell ref="B2919:AA2919"/>
    <mergeCell ref="AE850:AM850"/>
    <mergeCell ref="B2911:BZ2911"/>
    <mergeCell ref="BB2917:BZ2917"/>
    <mergeCell ref="B789:BZ789"/>
    <mergeCell ref="B1420:BZ1420"/>
    <mergeCell ref="B1426:BZ1426"/>
    <mergeCell ref="B1408:BI1408"/>
    <mergeCell ref="B1419:BZ1419"/>
    <mergeCell ref="J1403:N1403"/>
    <mergeCell ref="B1407:BI1407"/>
    <mergeCell ref="BJ1406:BR1406"/>
    <mergeCell ref="B1468:W1468"/>
    <mergeCell ref="B797:BZ797"/>
    <mergeCell ref="B798:BZ798"/>
    <mergeCell ref="B565:BZ565"/>
    <mergeCell ref="B821:BZ821"/>
    <mergeCell ref="B1394:T1394"/>
    <mergeCell ref="B1418:BZ1418"/>
    <mergeCell ref="U1400:AG1400"/>
    <mergeCell ref="BQ1399:BZ1399"/>
    <mergeCell ref="BQ1397:BZ1397"/>
    <mergeCell ref="BQ1400:BZ1400"/>
    <mergeCell ref="BJ1415:BZ1415"/>
    <mergeCell ref="BS1406:BZ1406"/>
    <mergeCell ref="BQ1396:BZ1396"/>
    <mergeCell ref="AT1401:BC1401"/>
    <mergeCell ref="AH1401:AS1401"/>
    <mergeCell ref="BD1396:BP1396"/>
    <mergeCell ref="AT1395:BC1395"/>
    <mergeCell ref="AT1396:BC1396"/>
    <mergeCell ref="U1399:AG1399"/>
    <mergeCell ref="B790:BZ790"/>
    <mergeCell ref="B796:BZ796"/>
    <mergeCell ref="B792:BZ792"/>
    <mergeCell ref="B791:BZ791"/>
    <mergeCell ref="AS853:BZ853"/>
    <mergeCell ref="B837:BZ837"/>
    <mergeCell ref="B816:BZ816"/>
    <mergeCell ref="C848:BZ848"/>
    <mergeCell ref="B799:BZ799"/>
    <mergeCell ref="BD1397:BP1397"/>
    <mergeCell ref="BD1399:BP1399"/>
    <mergeCell ref="BQ1398:BZ1398"/>
    <mergeCell ref="BD1398:BP1398"/>
    <mergeCell ref="B3027:BZ3027"/>
    <mergeCell ref="AF2981:AQ2981"/>
    <mergeCell ref="B3006:BZ3006"/>
    <mergeCell ref="B3008:BZ3008"/>
    <mergeCell ref="B2971:BZ2971"/>
    <mergeCell ref="B2972:BZ2972"/>
    <mergeCell ref="AF2985:AQ2985"/>
    <mergeCell ref="BM2851:BZ2851"/>
    <mergeCell ref="BM2853:BZ2853"/>
    <mergeCell ref="AW2852:BL2852"/>
    <mergeCell ref="BM2862:BZ2862"/>
    <mergeCell ref="B2862:AV2862"/>
    <mergeCell ref="B2858:AV2858"/>
    <mergeCell ref="B2860:AV2860"/>
    <mergeCell ref="AR2982:AV2982"/>
    <mergeCell ref="AF2980:AQ2980"/>
    <mergeCell ref="B2989:AE2989"/>
    <mergeCell ref="B2985:AE2985"/>
    <mergeCell ref="AR2980:AV2980"/>
    <mergeCell ref="BT2986:BZ2986"/>
    <mergeCell ref="B2988:AE2988"/>
    <mergeCell ref="BO2987:BS2987"/>
    <mergeCell ref="BD2987:BN2987"/>
    <mergeCell ref="AF2982:AQ2982"/>
    <mergeCell ref="B2909:BZ2909"/>
    <mergeCell ref="B2863:AV2863"/>
    <mergeCell ref="AW2855:BL2855"/>
    <mergeCell ref="B2859:AV2859"/>
    <mergeCell ref="BM2863:BZ2863"/>
    <mergeCell ref="AW2864:BL2864"/>
    <mergeCell ref="B2879:BZ2879"/>
    <mergeCell ref="B2875:BZ2875"/>
    <mergeCell ref="AW2822:BL2822"/>
    <mergeCell ref="BM2822:BZ2822"/>
    <mergeCell ref="BM2832:BZ2832"/>
    <mergeCell ref="B2821:AV2821"/>
    <mergeCell ref="AW2832:BL2832"/>
    <mergeCell ref="BM2830:BZ2830"/>
    <mergeCell ref="AW2830:BL2830"/>
    <mergeCell ref="B2824:AV2824"/>
    <mergeCell ref="BM2836:BZ2836"/>
    <mergeCell ref="AW2838:BL2838"/>
    <mergeCell ref="BM2838:BZ2838"/>
    <mergeCell ref="BM2812:BZ2812"/>
    <mergeCell ref="BM2818:BZ2818"/>
    <mergeCell ref="B2955:BZ2955"/>
    <mergeCell ref="BD2976:BZ2976"/>
    <mergeCell ref="B2964:BZ2964"/>
    <mergeCell ref="BD3014:BZ3014"/>
    <mergeCell ref="AW2850:BL2850"/>
    <mergeCell ref="BM2845:BZ2845"/>
    <mergeCell ref="AW2847:BL2847"/>
    <mergeCell ref="AW2843:BL2843"/>
    <mergeCell ref="AW2845:BL2845"/>
    <mergeCell ref="B2844:AV2844"/>
    <mergeCell ref="B2830:AV2830"/>
    <mergeCell ref="AW2829:BL2829"/>
    <mergeCell ref="AW2825:BL2825"/>
    <mergeCell ref="BM2819:BZ2819"/>
    <mergeCell ref="BM2826:BZ2826"/>
    <mergeCell ref="AW2824:BL2824"/>
    <mergeCell ref="AW2821:BL2821"/>
    <mergeCell ref="BM2823:BZ2823"/>
    <mergeCell ref="AW2819:BL2819"/>
    <mergeCell ref="B2814:AV2814"/>
    <mergeCell ref="B2818:AV2818"/>
    <mergeCell ref="B2788:BZ2788"/>
    <mergeCell ref="BF2767:BZ2767"/>
    <mergeCell ref="B2799:BZ2799"/>
    <mergeCell ref="B2829:AV2829"/>
    <mergeCell ref="B2833:AV2833"/>
    <mergeCell ref="B2827:AV2827"/>
    <mergeCell ref="B2817:AV2817"/>
    <mergeCell ref="BM2814:BZ2814"/>
    <mergeCell ref="B2828:AV2828"/>
    <mergeCell ref="B2803:BZ2803"/>
    <mergeCell ref="B2804:BZ2804"/>
    <mergeCell ref="B2802:BZ2802"/>
    <mergeCell ref="B2842:AV2842"/>
    <mergeCell ref="B2837:AV2837"/>
    <mergeCell ref="B2839:AV2839"/>
    <mergeCell ref="AW2841:BL2841"/>
    <mergeCell ref="B2838:AV2838"/>
    <mergeCell ref="B2836:AV2836"/>
    <mergeCell ref="B2831:AV2831"/>
    <mergeCell ref="B2832:AV2832"/>
    <mergeCell ref="AW2831:BL2831"/>
    <mergeCell ref="B2794:BZ2794"/>
    <mergeCell ref="B2801:BZ2801"/>
    <mergeCell ref="B2809:AV2810"/>
    <mergeCell ref="B2812:AV2812"/>
    <mergeCell ref="B2813:AV2813"/>
    <mergeCell ref="BM2834:BZ2834"/>
    <mergeCell ref="BM2824:BZ2824"/>
    <mergeCell ref="BM2831:BZ2831"/>
    <mergeCell ref="BM2821:BZ2821"/>
    <mergeCell ref="T2649:AE2649"/>
    <mergeCell ref="B2705:AK2705"/>
    <mergeCell ref="B2738:BZ2738"/>
    <mergeCell ref="B2791:BZ2791"/>
    <mergeCell ref="B2792:BZ2792"/>
    <mergeCell ref="B2737:BZ2737"/>
    <mergeCell ref="B2800:BZ2800"/>
    <mergeCell ref="AW2828:BL2828"/>
    <mergeCell ref="AW2823:BL2823"/>
    <mergeCell ref="AW2827:BL2827"/>
    <mergeCell ref="B2819:AV2819"/>
    <mergeCell ref="BM2820:BZ2820"/>
    <mergeCell ref="B2822:AV2822"/>
    <mergeCell ref="BM2828:BZ2828"/>
    <mergeCell ref="B2825:AV2825"/>
    <mergeCell ref="BM2827:BZ2827"/>
    <mergeCell ref="B2826:AV2826"/>
    <mergeCell ref="AL2714:BF2714"/>
    <mergeCell ref="AL2720:BF2720"/>
    <mergeCell ref="B2731:AK2731"/>
    <mergeCell ref="B2741:BZ2741"/>
    <mergeCell ref="B2666:BZ2666"/>
    <mergeCell ref="B2664:BZ2664"/>
    <mergeCell ref="BF2768:BZ2768"/>
    <mergeCell ref="BD2777:BZ2777"/>
    <mergeCell ref="B2785:BZ2785"/>
    <mergeCell ref="B2798:BZ2798"/>
    <mergeCell ref="B2743:BZ2743"/>
    <mergeCell ref="AW2815:BL2815"/>
    <mergeCell ref="BM2817:BZ2817"/>
    <mergeCell ref="BM2816:BZ2816"/>
    <mergeCell ref="AW2818:BL2818"/>
    <mergeCell ref="T2652:AE2652"/>
    <mergeCell ref="BD2645:BO2645"/>
    <mergeCell ref="BD2646:BO2646"/>
    <mergeCell ref="T2645:AE2645"/>
    <mergeCell ref="T2648:AE2648"/>
    <mergeCell ref="BM2829:BZ2829"/>
    <mergeCell ref="B2691:AK2691"/>
    <mergeCell ref="AL2688:BF2688"/>
    <mergeCell ref="AL2689:BF2689"/>
    <mergeCell ref="AL2693:BF2693"/>
    <mergeCell ref="B2688:AK2688"/>
    <mergeCell ref="B2739:BZ2739"/>
    <mergeCell ref="AL2730:BF2730"/>
    <mergeCell ref="B2815:AV2815"/>
    <mergeCell ref="AW2820:BL2820"/>
    <mergeCell ref="BG2711:BZ2711"/>
    <mergeCell ref="BG2725:BZ2725"/>
    <mergeCell ref="B2716:AK2716"/>
    <mergeCell ref="BG2710:BZ2710"/>
    <mergeCell ref="AK2761:BE2761"/>
    <mergeCell ref="BF2761:BZ2761"/>
    <mergeCell ref="AK2760:BE2760"/>
    <mergeCell ref="BF2760:BZ2760"/>
    <mergeCell ref="B2750:BZ2750"/>
    <mergeCell ref="B2751:BZ2751"/>
    <mergeCell ref="B2756:BZ2756"/>
    <mergeCell ref="B2752:BZ2752"/>
    <mergeCell ref="B2760:AJ2761"/>
    <mergeCell ref="AW2813:BL2813"/>
    <mergeCell ref="BM2815:BZ2815"/>
    <mergeCell ref="AW2814:BL2814"/>
    <mergeCell ref="B2820:AV2820"/>
    <mergeCell ref="AC2607:AL2607"/>
    <mergeCell ref="BG2598:BQ2600"/>
    <mergeCell ref="S2602:AB2602"/>
    <mergeCell ref="S2603:AB2603"/>
    <mergeCell ref="AM2607:AV2607"/>
    <mergeCell ref="BG2603:BQ2603"/>
    <mergeCell ref="BG2607:BQ2607"/>
    <mergeCell ref="AW2598:BF2600"/>
    <mergeCell ref="AW2604:BF2604"/>
    <mergeCell ref="AM2606:AV2606"/>
    <mergeCell ref="BG2730:BZ2730"/>
    <mergeCell ref="AL2725:BF2725"/>
    <mergeCell ref="B2707:AK2707"/>
    <mergeCell ref="BG2712:BZ2712"/>
    <mergeCell ref="B2715:AK2715"/>
    <mergeCell ref="B2602:R2602"/>
    <mergeCell ref="S2605:AB2605"/>
    <mergeCell ref="AC2603:AL2603"/>
    <mergeCell ref="AM2603:AV2603"/>
    <mergeCell ref="AW2603:BF2603"/>
    <mergeCell ref="BG2724:BZ2724"/>
    <mergeCell ref="BR2608:BZ2608"/>
    <mergeCell ref="BR2604:BZ2604"/>
    <mergeCell ref="BG2608:BQ2608"/>
    <mergeCell ref="BR2607:BZ2607"/>
    <mergeCell ref="AC2605:AL2605"/>
    <mergeCell ref="BD2648:BO2648"/>
    <mergeCell ref="BD2642:BO2644"/>
    <mergeCell ref="AF2649:AR2649"/>
    <mergeCell ref="AW2612:BF2612"/>
    <mergeCell ref="AL2687:BF2687"/>
    <mergeCell ref="AM2608:AV2608"/>
    <mergeCell ref="AW2608:BF2608"/>
    <mergeCell ref="S2604:AB2604"/>
    <mergeCell ref="AC2604:AL2604"/>
    <mergeCell ref="AM2604:AV2604"/>
    <mergeCell ref="AC2602:AL2602"/>
    <mergeCell ref="B2601:R2601"/>
    <mergeCell ref="S2601:AB2601"/>
    <mergeCell ref="AC2608:AL2608"/>
    <mergeCell ref="J2658:R2658"/>
    <mergeCell ref="B2669:BZ2669"/>
    <mergeCell ref="B2665:BZ2665"/>
    <mergeCell ref="S2610:AB2610"/>
    <mergeCell ref="AF2642:AR2644"/>
    <mergeCell ref="AC2611:AL2611"/>
    <mergeCell ref="T2641:AE2641"/>
    <mergeCell ref="T2642:AE2644"/>
    <mergeCell ref="B2624:BZ2624"/>
    <mergeCell ref="BG2611:BQ2611"/>
    <mergeCell ref="AS2642:BC2644"/>
    <mergeCell ref="B2634:BZ2634"/>
    <mergeCell ref="B2603:R2603"/>
    <mergeCell ref="B2619:BZ2619"/>
    <mergeCell ref="AC2601:AL2601"/>
    <mergeCell ref="AW2601:BF2601"/>
    <mergeCell ref="BG2604:BQ2604"/>
    <mergeCell ref="BG2605:BQ2605"/>
    <mergeCell ref="BG2606:BQ2606"/>
    <mergeCell ref="BR2603:BZ2603"/>
    <mergeCell ref="AW2606:BF2606"/>
    <mergeCell ref="AM2605:AV2605"/>
    <mergeCell ref="AW2605:BF2605"/>
    <mergeCell ref="B2610:R2610"/>
    <mergeCell ref="BR2612:BZ2612"/>
    <mergeCell ref="B2630:BZ2630"/>
    <mergeCell ref="B2633:BZ2633"/>
    <mergeCell ref="B2621:BZ2621"/>
    <mergeCell ref="B2629:BZ2629"/>
    <mergeCell ref="S2612:AB2612"/>
    <mergeCell ref="B2611:R2611"/>
    <mergeCell ref="AM2610:AV2610"/>
    <mergeCell ref="T2646:AE2646"/>
    <mergeCell ref="AC2612:AL2612"/>
    <mergeCell ref="AM2612:AV2612"/>
    <mergeCell ref="AF2645:AR2645"/>
    <mergeCell ref="AF2641:BC2641"/>
    <mergeCell ref="AM2611:AV2611"/>
    <mergeCell ref="AW2611:BF2611"/>
    <mergeCell ref="B2631:BZ2631"/>
    <mergeCell ref="J2616:T2616"/>
    <mergeCell ref="BP2642:BZ2644"/>
    <mergeCell ref="S2611:AB2611"/>
    <mergeCell ref="BD2641:BZ2641"/>
    <mergeCell ref="BP2645:BZ2645"/>
    <mergeCell ref="AC2610:AL2610"/>
    <mergeCell ref="B2623:BZ2623"/>
    <mergeCell ref="AW2610:BF2610"/>
    <mergeCell ref="AW2609:BF2609"/>
    <mergeCell ref="AF2646:AR2646"/>
    <mergeCell ref="B2620:BZ2620"/>
    <mergeCell ref="BG2612:BQ2612"/>
    <mergeCell ref="B2641:S2644"/>
    <mergeCell ref="B2618:BZ2618"/>
    <mergeCell ref="S2609:AB2609"/>
    <mergeCell ref="AC2609:AL2609"/>
    <mergeCell ref="AM2609:AV2609"/>
    <mergeCell ref="B2563:AG2563"/>
    <mergeCell ref="B2533:AD2533"/>
    <mergeCell ref="AQ2535:BB2535"/>
    <mergeCell ref="BC2532:BO2532"/>
    <mergeCell ref="B2604:R2604"/>
    <mergeCell ref="B2605:R2605"/>
    <mergeCell ref="B2576:BZ2576"/>
    <mergeCell ref="B2585:BZ2585"/>
    <mergeCell ref="B2579:BZ2579"/>
    <mergeCell ref="B2584:BZ2584"/>
    <mergeCell ref="B2581:BZ2581"/>
    <mergeCell ref="BR2602:BZ2602"/>
    <mergeCell ref="BG2597:BZ2597"/>
    <mergeCell ref="BG2602:BQ2602"/>
    <mergeCell ref="B2546:AD2546"/>
    <mergeCell ref="BD2567:BZ2567"/>
    <mergeCell ref="B2552:AD2552"/>
    <mergeCell ref="B2553:AD2553"/>
    <mergeCell ref="J2571:T2571"/>
    <mergeCell ref="B2548:AD2548"/>
    <mergeCell ref="B2554:AD2554"/>
    <mergeCell ref="B2562:AG2562"/>
    <mergeCell ref="B2627:BZ2627"/>
    <mergeCell ref="BR2606:BZ2606"/>
    <mergeCell ref="S2606:AB2606"/>
    <mergeCell ref="AC2606:AL2606"/>
    <mergeCell ref="B2535:AD2535"/>
    <mergeCell ref="B2534:AD2534"/>
    <mergeCell ref="B2536:AD2536"/>
    <mergeCell ref="B2606:R2606"/>
    <mergeCell ref="B2538:AD2538"/>
    <mergeCell ref="AE2538:AP2538"/>
    <mergeCell ref="AQ2538:BB2538"/>
    <mergeCell ref="AM2598:AV2600"/>
    <mergeCell ref="B2529:AD2531"/>
    <mergeCell ref="AE2529:BB2529"/>
    <mergeCell ref="B2544:AD2544"/>
    <mergeCell ref="BC2538:BO2538"/>
    <mergeCell ref="AE2541:AP2541"/>
    <mergeCell ref="BR2605:BZ2605"/>
    <mergeCell ref="AM2602:AV2602"/>
    <mergeCell ref="AW2602:BF2602"/>
    <mergeCell ref="BP2543:BZ2543"/>
    <mergeCell ref="BP2538:BZ2538"/>
    <mergeCell ref="BC2541:BO2541"/>
    <mergeCell ref="BP2541:BZ2541"/>
    <mergeCell ref="B2551:AD2551"/>
    <mergeCell ref="AE2544:AP2544"/>
    <mergeCell ref="B2591:BZ2591"/>
    <mergeCell ref="B2578:BZ2578"/>
    <mergeCell ref="AH2563:BD2563"/>
    <mergeCell ref="BE2563:BZ2563"/>
    <mergeCell ref="AH2564:BD2564"/>
    <mergeCell ref="BE2564:BZ2564"/>
    <mergeCell ref="B2565:AG2565"/>
    <mergeCell ref="B2547:AD2547"/>
    <mergeCell ref="BC2550:BO2550"/>
    <mergeCell ref="AE2532:AP2532"/>
    <mergeCell ref="B2540:AD2540"/>
    <mergeCell ref="B2545:AD2545"/>
    <mergeCell ref="AE2543:AP2543"/>
    <mergeCell ref="AQ2543:BB2543"/>
    <mergeCell ref="AQ2541:BB2541"/>
    <mergeCell ref="BP2537:BZ2537"/>
    <mergeCell ref="B2577:BZ2577"/>
    <mergeCell ref="B2560:AG2560"/>
    <mergeCell ref="BP2544:BZ2544"/>
    <mergeCell ref="AE2548:AP2548"/>
    <mergeCell ref="B2519:AC2519"/>
    <mergeCell ref="AS2518:BH2518"/>
    <mergeCell ref="AD2522:AR2522"/>
    <mergeCell ref="BI2518:BZ2518"/>
    <mergeCell ref="B2523:AC2523"/>
    <mergeCell ref="B2520:AC2520"/>
    <mergeCell ref="AS2520:BH2520"/>
    <mergeCell ref="AS2521:BH2521"/>
    <mergeCell ref="B2564:AG2564"/>
    <mergeCell ref="BC2539:BO2539"/>
    <mergeCell ref="BP2539:BZ2539"/>
    <mergeCell ref="AE2540:AP2540"/>
    <mergeCell ref="AQ2540:BB2540"/>
    <mergeCell ref="BC2540:BO2540"/>
    <mergeCell ref="BP2540:BZ2540"/>
    <mergeCell ref="AQ2537:BB2537"/>
    <mergeCell ref="BC2535:BO2535"/>
    <mergeCell ref="BP2535:BZ2535"/>
    <mergeCell ref="BC2536:BO2536"/>
    <mergeCell ref="B2492:BZ2492"/>
    <mergeCell ref="B2469:BZ2469"/>
    <mergeCell ref="B2482:BZ2482"/>
    <mergeCell ref="J2478:R2478"/>
    <mergeCell ref="B2484:BZ2484"/>
    <mergeCell ref="AD2508:AR2508"/>
    <mergeCell ref="AS2508:BH2508"/>
    <mergeCell ref="B2510:AC2510"/>
    <mergeCell ref="AM2434:BF2434"/>
    <mergeCell ref="B2439:AL2439"/>
    <mergeCell ref="B2440:AL2440"/>
    <mergeCell ref="BG2432:BZ2432"/>
    <mergeCell ref="BG2433:BZ2433"/>
    <mergeCell ref="B2541:AD2541"/>
    <mergeCell ref="B2583:BZ2583"/>
    <mergeCell ref="B2582:BZ2582"/>
    <mergeCell ref="B2543:AD2543"/>
    <mergeCell ref="BI2527:BZ2527"/>
    <mergeCell ref="B2532:AD2532"/>
    <mergeCell ref="B2527:AC2527"/>
    <mergeCell ref="AE2539:AP2539"/>
    <mergeCell ref="AQ2539:BB2539"/>
    <mergeCell ref="B2539:AD2539"/>
    <mergeCell ref="BC2537:BO2537"/>
    <mergeCell ref="AS2526:BH2526"/>
    <mergeCell ref="BI2520:BZ2520"/>
    <mergeCell ref="AD2521:AR2521"/>
    <mergeCell ref="BI2526:BZ2526"/>
    <mergeCell ref="AD2525:AR2525"/>
    <mergeCell ref="AD2523:AR2523"/>
    <mergeCell ref="BI2522:BZ2522"/>
    <mergeCell ref="AD2524:AR2524"/>
    <mergeCell ref="AM2447:BF2447"/>
    <mergeCell ref="AM2444:BF2444"/>
    <mergeCell ref="BG2446:BZ2446"/>
    <mergeCell ref="B2458:BZ2458"/>
    <mergeCell ref="B2459:BZ2459"/>
    <mergeCell ref="B2457:BZ2457"/>
    <mergeCell ref="B2432:AL2432"/>
    <mergeCell ref="BG2438:BZ2438"/>
    <mergeCell ref="AM2438:BF2438"/>
    <mergeCell ref="AM2436:BF2436"/>
    <mergeCell ref="BG2436:BZ2436"/>
    <mergeCell ref="B2387:S2387"/>
    <mergeCell ref="B2471:BZ2471"/>
    <mergeCell ref="B2472:BZ2472"/>
    <mergeCell ref="B2473:BZ2473"/>
    <mergeCell ref="B2480:BZ2480"/>
    <mergeCell ref="B2470:BZ2470"/>
    <mergeCell ref="B2468:BZ2468"/>
    <mergeCell ref="AB2373:AH2373"/>
    <mergeCell ref="AB2372:AH2372"/>
    <mergeCell ref="T2374:AA2374"/>
    <mergeCell ref="B2374:S2374"/>
    <mergeCell ref="T2375:AA2375"/>
    <mergeCell ref="AB2375:AH2375"/>
    <mergeCell ref="B2368:S2368"/>
    <mergeCell ref="BM2365:BZ2365"/>
    <mergeCell ref="BA2364:BL2364"/>
    <mergeCell ref="BA2369:BL2369"/>
    <mergeCell ref="B2345:S2345"/>
    <mergeCell ref="AQ2368:AZ2368"/>
    <mergeCell ref="AM2452:BF2452"/>
    <mergeCell ref="BG2452:BZ2452"/>
    <mergeCell ref="AM2450:BF2450"/>
    <mergeCell ref="BG2445:BZ2445"/>
    <mergeCell ref="B2460:BZ2460"/>
    <mergeCell ref="AB2374:AH2374"/>
    <mergeCell ref="B2383:S2383"/>
    <mergeCell ref="B2381:S2381"/>
    <mergeCell ref="B2375:S2375"/>
    <mergeCell ref="BG2437:BZ2437"/>
    <mergeCell ref="B2451:AL2451"/>
    <mergeCell ref="BG2450:BZ2450"/>
    <mergeCell ref="AM2451:BF2451"/>
    <mergeCell ref="BG2451:BZ2451"/>
    <mergeCell ref="BG2439:BZ2439"/>
    <mergeCell ref="BG2440:BZ2440"/>
    <mergeCell ref="AM2441:BF2441"/>
    <mergeCell ref="B2441:AL2441"/>
    <mergeCell ref="BG2443:BZ2443"/>
    <mergeCell ref="AM2446:BF2446"/>
    <mergeCell ref="BQ2280:BZ2280"/>
    <mergeCell ref="AU2281:BF2281"/>
    <mergeCell ref="B2284:BZ2284"/>
    <mergeCell ref="B2288:BZ2288"/>
    <mergeCell ref="B2289:BZ2289"/>
    <mergeCell ref="B2318:BZ2318"/>
    <mergeCell ref="AI2335:AP2335"/>
    <mergeCell ref="B2343:S2343"/>
    <mergeCell ref="T2343:AA2343"/>
    <mergeCell ref="AQ2372:AZ2372"/>
    <mergeCell ref="BA2372:BL2372"/>
    <mergeCell ref="B2347:BZ2347"/>
    <mergeCell ref="BA2368:BL2368"/>
    <mergeCell ref="BM2368:BZ2368"/>
    <mergeCell ref="B2351:S2351"/>
    <mergeCell ref="T2368:AA2368"/>
    <mergeCell ref="B2357:S2357"/>
    <mergeCell ref="AI2371:AP2371"/>
    <mergeCell ref="BM2371:BZ2371"/>
    <mergeCell ref="BM2372:BZ2372"/>
    <mergeCell ref="AI2276:AT2276"/>
    <mergeCell ref="BG2278:BP2278"/>
    <mergeCell ref="BQ2277:BZ2277"/>
    <mergeCell ref="BG2274:BP2274"/>
    <mergeCell ref="AI2280:AT2280"/>
    <mergeCell ref="AU2276:BF2276"/>
    <mergeCell ref="AU2280:BF2280"/>
    <mergeCell ref="AU2278:BF2278"/>
    <mergeCell ref="AI2277:AT2277"/>
    <mergeCell ref="B2319:BZ2319"/>
    <mergeCell ref="BG2277:BP2277"/>
    <mergeCell ref="AU2277:BF2277"/>
    <mergeCell ref="B2322:BZ2322"/>
    <mergeCell ref="U2277:AH2277"/>
    <mergeCell ref="B2296:BZ2296"/>
    <mergeCell ref="B2299:BZ2299"/>
    <mergeCell ref="B2300:BZ2300"/>
    <mergeCell ref="B2297:BZ2297"/>
    <mergeCell ref="B2317:BZ2317"/>
    <mergeCell ref="AU2279:BF2279"/>
    <mergeCell ref="BQ2279:BZ2279"/>
    <mergeCell ref="AI2279:AT2279"/>
    <mergeCell ref="BQ2275:BZ2275"/>
    <mergeCell ref="BQ2276:BZ2276"/>
    <mergeCell ref="BQ2281:BZ2281"/>
    <mergeCell ref="B2281:T2281"/>
    <mergeCell ref="AI2275:AT2275"/>
    <mergeCell ref="B2280:T2280"/>
    <mergeCell ref="BG2280:BP2280"/>
    <mergeCell ref="B2320:BZ2320"/>
    <mergeCell ref="B2321:BZ2321"/>
    <mergeCell ref="BQ2278:BZ2278"/>
    <mergeCell ref="B1914:AK1914"/>
    <mergeCell ref="B1779:U1779"/>
    <mergeCell ref="V1781:AM1781"/>
    <mergeCell ref="AH1737:AS1737"/>
    <mergeCell ref="AN1779:BF1779"/>
    <mergeCell ref="BE1737:BO1737"/>
    <mergeCell ref="BE1742:BO1743"/>
    <mergeCell ref="AT1761:BC1761"/>
    <mergeCell ref="BG1778:BZ1778"/>
    <mergeCell ref="AX2226:BF2226"/>
    <mergeCell ref="U2223:AC2223"/>
    <mergeCell ref="B2226:T2226"/>
    <mergeCell ref="J1772:R1772"/>
    <mergeCell ref="B1741:AG1743"/>
    <mergeCell ref="BN2101:BZ2101"/>
    <mergeCell ref="B1910:AK1910"/>
    <mergeCell ref="BE1739:BO1739"/>
    <mergeCell ref="V1778:AM1778"/>
    <mergeCell ref="B2060:BZ2060"/>
    <mergeCell ref="B2070:BZ2070"/>
    <mergeCell ref="J2068:R2068"/>
    <mergeCell ref="BD2104:BM2104"/>
    <mergeCell ref="BD2103:BM2103"/>
    <mergeCell ref="B2105:S2105"/>
    <mergeCell ref="B2122:S2124"/>
    <mergeCell ref="AG2125:AR2125"/>
    <mergeCell ref="AD2226:AK2226"/>
    <mergeCell ref="B2201:AA2201"/>
    <mergeCell ref="AL2226:AW2226"/>
    <mergeCell ref="BB2202:BZ2202"/>
    <mergeCell ref="B2205:AA2205"/>
    <mergeCell ref="B1908:AK1908"/>
    <mergeCell ref="B1913:AK1913"/>
    <mergeCell ref="B1747:AG1747"/>
    <mergeCell ref="AH1730:AS1731"/>
    <mergeCell ref="AT1734:BD1734"/>
    <mergeCell ref="B1737:AG1737"/>
    <mergeCell ref="AH1738:AS1738"/>
    <mergeCell ref="B2129:S2129"/>
    <mergeCell ref="BN2127:BZ2127"/>
    <mergeCell ref="V1507:AM1507"/>
    <mergeCell ref="T1546:AF1547"/>
    <mergeCell ref="AB1511:AZ1511"/>
    <mergeCell ref="AB1512:AZ1512"/>
    <mergeCell ref="BA1512:BZ1512"/>
    <mergeCell ref="AG1546:AR1547"/>
    <mergeCell ref="B1521:BZ1521"/>
    <mergeCell ref="B1539:BZ1539"/>
    <mergeCell ref="BN2100:BZ2100"/>
    <mergeCell ref="B1697:X1697"/>
    <mergeCell ref="B1918:AK1918"/>
    <mergeCell ref="B1998:BZ1998"/>
    <mergeCell ref="V1776:AM1777"/>
    <mergeCell ref="AN1776:BF1777"/>
    <mergeCell ref="B1717:BZ1717"/>
    <mergeCell ref="BG1895:BZ1895"/>
    <mergeCell ref="B1889:AK1890"/>
    <mergeCell ref="B1892:AK1892"/>
    <mergeCell ref="AN1778:BF1778"/>
    <mergeCell ref="AH1739:AS1739"/>
    <mergeCell ref="B1782:U1782"/>
    <mergeCell ref="B1776:U1777"/>
    <mergeCell ref="B1909:AK1909"/>
    <mergeCell ref="B1915:AK1915"/>
    <mergeCell ref="B1907:AK1907"/>
    <mergeCell ref="V1780:AM1780"/>
    <mergeCell ref="AN1505:BE1505"/>
    <mergeCell ref="BF1507:BZ1507"/>
    <mergeCell ref="BF1505:BZ1505"/>
    <mergeCell ref="X1465:AO1465"/>
    <mergeCell ref="X1466:AO1466"/>
    <mergeCell ref="X1468:AO1468"/>
    <mergeCell ref="B1448:BZ1448"/>
    <mergeCell ref="AB1476:BC1476"/>
    <mergeCell ref="BD1471:BZ1472"/>
    <mergeCell ref="BP1739:BZ1739"/>
    <mergeCell ref="Y1582:AS1582"/>
    <mergeCell ref="AT1582:BL1582"/>
    <mergeCell ref="BF1504:BZ1504"/>
    <mergeCell ref="AB1515:AZ1515"/>
    <mergeCell ref="B1522:BZ1522"/>
    <mergeCell ref="AS1546:BC1547"/>
    <mergeCell ref="T1545:BZ1545"/>
    <mergeCell ref="B1525:BZ1525"/>
    <mergeCell ref="BD1548:BO1548"/>
    <mergeCell ref="AN1503:BE1503"/>
    <mergeCell ref="AN1504:BE1504"/>
    <mergeCell ref="AN1507:BE1507"/>
    <mergeCell ref="V1505:AM1505"/>
    <mergeCell ref="AS1559:BC1559"/>
    <mergeCell ref="BE1735:BO1735"/>
    <mergeCell ref="B1778:U1778"/>
    <mergeCell ref="B1695:X1696"/>
    <mergeCell ref="B1698:X1698"/>
    <mergeCell ref="AH1729:BZ1729"/>
    <mergeCell ref="BJ1407:BZ1407"/>
    <mergeCell ref="J1410:R1410"/>
    <mergeCell ref="B1406:BI1406"/>
    <mergeCell ref="BJ1408:BZ1408"/>
    <mergeCell ref="B1400:T1400"/>
    <mergeCell ref="AT1400:BC1400"/>
    <mergeCell ref="B1581:X1581"/>
    <mergeCell ref="B1487:BZ1487"/>
    <mergeCell ref="B1484:BZ1484"/>
    <mergeCell ref="B1496:BZ1496"/>
    <mergeCell ref="BA1509:BZ1510"/>
    <mergeCell ref="B1491:BZ1491"/>
    <mergeCell ref="J1479:R1479"/>
    <mergeCell ref="AB1509:AZ1509"/>
    <mergeCell ref="AB1510:AZ1510"/>
    <mergeCell ref="B1502:U1503"/>
    <mergeCell ref="B1481:BZ1481"/>
    <mergeCell ref="BA1513:BZ1513"/>
    <mergeCell ref="B1423:BZ1423"/>
    <mergeCell ref="B1424:BZ1424"/>
    <mergeCell ref="B1486:BZ1486"/>
    <mergeCell ref="B1504:U1504"/>
    <mergeCell ref="B1475:AA1475"/>
    <mergeCell ref="B1476:AA1476"/>
    <mergeCell ref="B1427:BZ1427"/>
    <mergeCell ref="AB1471:BC1471"/>
    <mergeCell ref="AB1472:BC1472"/>
    <mergeCell ref="AB1473:BC1473"/>
    <mergeCell ref="B1471:AA1472"/>
    <mergeCell ref="B1497:BZ1497"/>
    <mergeCell ref="B1492:BZ1492"/>
    <mergeCell ref="B1494:BZ1494"/>
    <mergeCell ref="B1425:BZ1425"/>
    <mergeCell ref="AH1391:AS1392"/>
    <mergeCell ref="BQ1395:BZ1395"/>
    <mergeCell ref="U1394:AG1394"/>
    <mergeCell ref="U1391:AG1392"/>
    <mergeCell ref="BQ1391:BZ1392"/>
    <mergeCell ref="BD1393:BP1393"/>
    <mergeCell ref="BD1394:BP1394"/>
    <mergeCell ref="B1377:BZ1377"/>
    <mergeCell ref="U1396:AG1396"/>
    <mergeCell ref="AH1399:AS1399"/>
    <mergeCell ref="B1397:T1397"/>
    <mergeCell ref="AH1398:AS1398"/>
    <mergeCell ref="B1399:T1399"/>
    <mergeCell ref="AT1391:BC1392"/>
    <mergeCell ref="BD1395:BP1395"/>
    <mergeCell ref="U1393:AG1393"/>
    <mergeCell ref="B1398:T1398"/>
    <mergeCell ref="B1422:BZ1422"/>
    <mergeCell ref="U1398:AG1398"/>
    <mergeCell ref="B1395:T1395"/>
    <mergeCell ref="AT1397:BC1397"/>
    <mergeCell ref="AH1400:AS1400"/>
    <mergeCell ref="AT1398:BC1398"/>
    <mergeCell ref="AH1395:AS1395"/>
    <mergeCell ref="AH1396:AS1396"/>
    <mergeCell ref="B1415:BI1415"/>
    <mergeCell ref="B1413:BI1413"/>
    <mergeCell ref="BQ1401:BZ1401"/>
    <mergeCell ref="BJ1414:BZ1414"/>
    <mergeCell ref="BD1400:BP1400"/>
    <mergeCell ref="B1414:BI1414"/>
    <mergeCell ref="B1327:S1327"/>
    <mergeCell ref="T1327:AF1327"/>
    <mergeCell ref="AG1327:AR1327"/>
    <mergeCell ref="AG1321:AR1321"/>
    <mergeCell ref="AS1316:BD1316"/>
    <mergeCell ref="B1319:BZ1319"/>
    <mergeCell ref="AS1321:BD1321"/>
    <mergeCell ref="AS1315:BD1315"/>
    <mergeCell ref="BR1317:BZ1317"/>
    <mergeCell ref="AS1328:BD1328"/>
    <mergeCell ref="BR1327:BZ1327"/>
    <mergeCell ref="AG1324:AR1324"/>
    <mergeCell ref="BE1327:BQ1327"/>
    <mergeCell ref="AG1356:AR1356"/>
    <mergeCell ref="T1356:AF1356"/>
    <mergeCell ref="AG1352:AR1352"/>
    <mergeCell ref="AG1354:AR1354"/>
    <mergeCell ref="BR1330:BZ1330"/>
    <mergeCell ref="T1343:AC1343"/>
    <mergeCell ref="AD1341:AL1341"/>
    <mergeCell ref="BQ1340:BZ1340"/>
    <mergeCell ref="AS1353:BC1353"/>
    <mergeCell ref="BN1351:BZ1351"/>
    <mergeCell ref="BQ1344:BZ1344"/>
    <mergeCell ref="B1341:S1341"/>
    <mergeCell ref="B1328:S1328"/>
    <mergeCell ref="B1352:S1352"/>
    <mergeCell ref="T1351:AF1351"/>
    <mergeCell ref="BR1329:BZ1329"/>
    <mergeCell ref="B1317:S1317"/>
    <mergeCell ref="AG1309:AR1309"/>
    <mergeCell ref="AS1301:BD1301"/>
    <mergeCell ref="BE1302:BQ1302"/>
    <mergeCell ref="BR1302:BZ1302"/>
    <mergeCell ref="T1300:AF1300"/>
    <mergeCell ref="T1299:AF1299"/>
    <mergeCell ref="T1311:AF1311"/>
    <mergeCell ref="T1316:AF1316"/>
    <mergeCell ref="AM1340:AU1340"/>
    <mergeCell ref="AD1343:AL1343"/>
    <mergeCell ref="T1341:AC1341"/>
    <mergeCell ref="T1335:AC1337"/>
    <mergeCell ref="BQ1337:BZ1337"/>
    <mergeCell ref="B1312:S1312"/>
    <mergeCell ref="T1323:AF1323"/>
    <mergeCell ref="B1315:S1315"/>
    <mergeCell ref="B1320:S1320"/>
    <mergeCell ref="B1326:S1326"/>
    <mergeCell ref="B1313:S1313"/>
    <mergeCell ref="BQ1339:BZ1339"/>
    <mergeCell ref="AV1335:BE1337"/>
    <mergeCell ref="AD1339:AL1339"/>
    <mergeCell ref="BQ1335:BZ1336"/>
    <mergeCell ref="T1321:AF1321"/>
    <mergeCell ref="B1323:S1323"/>
    <mergeCell ref="BQ1341:BZ1341"/>
    <mergeCell ref="BQ1342:BZ1342"/>
    <mergeCell ref="BF1342:BP1342"/>
    <mergeCell ref="BF1338:BP1338"/>
    <mergeCell ref="BF1340:BP1340"/>
    <mergeCell ref="BF1339:BP1339"/>
    <mergeCell ref="BR1303:BZ1303"/>
    <mergeCell ref="BR1309:BZ1309"/>
    <mergeCell ref="BE1305:BQ1305"/>
    <mergeCell ref="T1302:AF1302"/>
    <mergeCell ref="BE1304:BQ1304"/>
    <mergeCell ref="BR1304:BZ1304"/>
    <mergeCell ref="BR1305:BZ1305"/>
    <mergeCell ref="BO1266:BZ1266"/>
    <mergeCell ref="J1263:N1263"/>
    <mergeCell ref="B1261:BI1261"/>
    <mergeCell ref="AL1254:AS1254"/>
    <mergeCell ref="J1256:N1256"/>
    <mergeCell ref="BO1267:BZ1267"/>
    <mergeCell ref="B1299:S1299"/>
    <mergeCell ref="B1309:S1309"/>
    <mergeCell ref="B1339:S1339"/>
    <mergeCell ref="BD1349:BM1351"/>
    <mergeCell ref="BN1349:BZ1350"/>
    <mergeCell ref="B1340:S1340"/>
    <mergeCell ref="AD1340:AL1340"/>
    <mergeCell ref="T1340:AC1340"/>
    <mergeCell ref="B1305:S1305"/>
    <mergeCell ref="AG1310:AR1310"/>
    <mergeCell ref="AS1330:BD1330"/>
    <mergeCell ref="B1321:S1321"/>
    <mergeCell ref="AG1330:AR1330"/>
    <mergeCell ref="T1317:AF1317"/>
    <mergeCell ref="B1324:S1324"/>
    <mergeCell ref="T1307:AF1307"/>
    <mergeCell ref="B1308:BZ1308"/>
    <mergeCell ref="AS1310:BD1310"/>
    <mergeCell ref="AG1311:AR1311"/>
    <mergeCell ref="T1282:BZ1282"/>
    <mergeCell ref="AL1249:AS1249"/>
    <mergeCell ref="AD1249:AK1249"/>
    <mergeCell ref="Q1251:V1251"/>
    <mergeCell ref="Q1253:V1253"/>
    <mergeCell ref="BS1249:BZ1249"/>
    <mergeCell ref="AT1254:AY1254"/>
    <mergeCell ref="AZ1254:BE1254"/>
    <mergeCell ref="B1267:AK1267"/>
    <mergeCell ref="BR1288:BZ1288"/>
    <mergeCell ref="AZ1250:BE1250"/>
    <mergeCell ref="AG1288:AR1288"/>
    <mergeCell ref="B1252:BZ1252"/>
    <mergeCell ref="BN1352:BZ1352"/>
    <mergeCell ref="BF1254:BK1254"/>
    <mergeCell ref="BJ1261:BZ1261"/>
    <mergeCell ref="B1303:S1303"/>
    <mergeCell ref="B1316:S1316"/>
    <mergeCell ref="T1315:AF1315"/>
    <mergeCell ref="AG1315:AR1315"/>
    <mergeCell ref="T1304:AF1304"/>
    <mergeCell ref="T1309:AF1309"/>
    <mergeCell ref="B1307:S1307"/>
    <mergeCell ref="AG1307:AR1307"/>
    <mergeCell ref="B1310:S1310"/>
    <mergeCell ref="AG1313:AR1313"/>
    <mergeCell ref="T1310:AF1310"/>
    <mergeCell ref="BE1301:BQ1301"/>
    <mergeCell ref="BR1301:BZ1301"/>
    <mergeCell ref="AS1305:BD1305"/>
    <mergeCell ref="AS1303:BD1303"/>
    <mergeCell ref="BE1303:BQ1303"/>
    <mergeCell ref="AT1217:AY1218"/>
    <mergeCell ref="AL1250:AS1250"/>
    <mergeCell ref="Q1245:V1245"/>
    <mergeCell ref="W1248:AC1248"/>
    <mergeCell ref="Q1242:V1242"/>
    <mergeCell ref="Q1243:V1243"/>
    <mergeCell ref="AZ1243:BE1243"/>
    <mergeCell ref="AT1243:AY1243"/>
    <mergeCell ref="AD1242:AK1242"/>
    <mergeCell ref="B1249:P1249"/>
    <mergeCell ref="Q1244:V1244"/>
    <mergeCell ref="B1246:BZ1246"/>
    <mergeCell ref="AL1245:AS1245"/>
    <mergeCell ref="B1244:P1244"/>
    <mergeCell ref="BL1245:BR1245"/>
    <mergeCell ref="AT1248:AY1248"/>
    <mergeCell ref="AZ1248:BE1248"/>
    <mergeCell ref="W1244:AC1244"/>
    <mergeCell ref="AL1244:AS1244"/>
    <mergeCell ref="W1242:AC1242"/>
    <mergeCell ref="W1245:AC1245"/>
    <mergeCell ref="AD1245:AK1245"/>
    <mergeCell ref="AZ1242:BE1242"/>
    <mergeCell ref="AD1248:AK1248"/>
    <mergeCell ref="W1247:AC1247"/>
    <mergeCell ref="AL1248:AS1248"/>
    <mergeCell ref="AT1250:AY1250"/>
    <mergeCell ref="AD1247:AK1247"/>
    <mergeCell ref="B1248:P1248"/>
    <mergeCell ref="AT1247:AY1247"/>
    <mergeCell ref="BS1243:BZ1243"/>
    <mergeCell ref="BL1227:BR1227"/>
    <mergeCell ref="B1204:BZ1204"/>
    <mergeCell ref="B1092:P1092"/>
    <mergeCell ref="Q1092:V1092"/>
    <mergeCell ref="B1210:BZ1210"/>
    <mergeCell ref="B1202:BZ1202"/>
    <mergeCell ref="W1092:AC1092"/>
    <mergeCell ref="AL1092:AS1092"/>
    <mergeCell ref="AY1163:BM1163"/>
    <mergeCell ref="B1172:BZ1172"/>
    <mergeCell ref="B1205:BZ1205"/>
    <mergeCell ref="BF1244:BK1244"/>
    <mergeCell ref="BF1242:BK1242"/>
    <mergeCell ref="B1178:BZ1178"/>
    <mergeCell ref="B1179:BZ1179"/>
    <mergeCell ref="B1181:BZ1181"/>
    <mergeCell ref="B1186:BZ1186"/>
    <mergeCell ref="B1197:BZ1197"/>
    <mergeCell ref="Q1224:V1224"/>
    <mergeCell ref="B1212:BZ1212"/>
    <mergeCell ref="AZ1219:BE1219"/>
    <mergeCell ref="AT1225:AY1225"/>
    <mergeCell ref="AD1228:AK1228"/>
    <mergeCell ref="W1243:AC1243"/>
    <mergeCell ref="AZ1241:BE1241"/>
    <mergeCell ref="B1242:P1242"/>
    <mergeCell ref="AD1243:AK1243"/>
    <mergeCell ref="AL1243:AS1243"/>
    <mergeCell ref="B1225:P1225"/>
    <mergeCell ref="Q1228:V1228"/>
    <mergeCell ref="B1176:BZ1176"/>
    <mergeCell ref="AZ1092:BE1092"/>
    <mergeCell ref="AZ1221:BE1221"/>
    <mergeCell ref="AL1224:AS1224"/>
    <mergeCell ref="BL1225:BR1225"/>
    <mergeCell ref="AD1227:AK1227"/>
    <mergeCell ref="BF1225:BK1225"/>
    <mergeCell ref="BS1222:BZ1222"/>
    <mergeCell ref="B1227:P1227"/>
    <mergeCell ref="AD1221:AK1221"/>
    <mergeCell ref="BF1217:BK1218"/>
    <mergeCell ref="BL1217:BR1218"/>
    <mergeCell ref="W1224:AC1224"/>
    <mergeCell ref="BS1217:BZ1218"/>
    <mergeCell ref="AD1217:AK1218"/>
    <mergeCell ref="AL1219:AS1219"/>
    <mergeCell ref="B1216:P1218"/>
    <mergeCell ref="AZ1217:BE1218"/>
    <mergeCell ref="BL1230:BR1230"/>
    <mergeCell ref="BS1230:BZ1230"/>
    <mergeCell ref="BS1228:BZ1228"/>
    <mergeCell ref="BL1221:BR1221"/>
    <mergeCell ref="BF1230:BK1230"/>
    <mergeCell ref="AZ1223:BE1223"/>
    <mergeCell ref="BS1229:BZ1229"/>
    <mergeCell ref="AZ1230:BE1230"/>
    <mergeCell ref="BF1228:BK1228"/>
    <mergeCell ref="BL1224:BR1224"/>
    <mergeCell ref="AD1223:AK1223"/>
    <mergeCell ref="AT1223:AY1223"/>
    <mergeCell ref="AD1224:AK1224"/>
    <mergeCell ref="W1225:AC1225"/>
    <mergeCell ref="BF1224:BK1224"/>
    <mergeCell ref="AT1229:AY1229"/>
    <mergeCell ref="B1220:BZ1220"/>
    <mergeCell ref="BS1079:BZ1079"/>
    <mergeCell ref="B1240:BZ1240"/>
    <mergeCell ref="AT1242:AY1242"/>
    <mergeCell ref="BL1241:BR1241"/>
    <mergeCell ref="AT1237:AY1238"/>
    <mergeCell ref="BF1239:BK1239"/>
    <mergeCell ref="BS1239:BZ1239"/>
    <mergeCell ref="Q1225:V1225"/>
    <mergeCell ref="AL1234:AS1234"/>
    <mergeCell ref="AZ1081:BE1081"/>
    <mergeCell ref="AD1079:AK1079"/>
    <mergeCell ref="BF1082:BK1082"/>
    <mergeCell ref="AZ1091:BE1091"/>
    <mergeCell ref="BL1091:BR1091"/>
    <mergeCell ref="BF1091:BK1091"/>
    <mergeCell ref="B938:V938"/>
    <mergeCell ref="B981:BZ981"/>
    <mergeCell ref="B949:V949"/>
    <mergeCell ref="Q1078:V1078"/>
    <mergeCell ref="B1071:P1071"/>
    <mergeCell ref="B1081:P1081"/>
    <mergeCell ref="B1206:BZ1206"/>
    <mergeCell ref="AD1225:AK1225"/>
    <mergeCell ref="B1224:P1224"/>
    <mergeCell ref="Q1227:V1227"/>
    <mergeCell ref="AY1161:BM1161"/>
    <mergeCell ref="BQ966:BZ966"/>
    <mergeCell ref="BS1081:BZ1081"/>
    <mergeCell ref="BL1080:BR1080"/>
    <mergeCell ref="BL1081:BR1081"/>
    <mergeCell ref="BL1085:BR1085"/>
    <mergeCell ref="B1090:P1090"/>
    <mergeCell ref="B867:BZ867"/>
    <mergeCell ref="B875:BZ875"/>
    <mergeCell ref="BJ930:BP930"/>
    <mergeCell ref="BC930:BI930"/>
    <mergeCell ref="B1083:BZ1083"/>
    <mergeCell ref="W1091:AC1091"/>
    <mergeCell ref="W1090:AC1090"/>
    <mergeCell ref="AL1090:AS1090"/>
    <mergeCell ref="AD1091:AK1091"/>
    <mergeCell ref="Q1091:V1091"/>
    <mergeCell ref="B1091:P1091"/>
    <mergeCell ref="B1174:BZ1174"/>
    <mergeCell ref="B1175:BZ1175"/>
    <mergeCell ref="AD926:AI927"/>
    <mergeCell ref="B912:BZ912"/>
    <mergeCell ref="B913:BZ913"/>
    <mergeCell ref="B891:BZ891"/>
    <mergeCell ref="B1084:P1084"/>
    <mergeCell ref="Q1084:V1084"/>
    <mergeCell ref="BQ926:BZ927"/>
    <mergeCell ref="B873:BZ873"/>
    <mergeCell ref="B874:BZ874"/>
    <mergeCell ref="BL1086:BR1086"/>
    <mergeCell ref="BS1086:BZ1086"/>
    <mergeCell ref="AD1086:AK1086"/>
    <mergeCell ref="BO1133:BZ1133"/>
    <mergeCell ref="AL1134:AZ1134"/>
    <mergeCell ref="B1086:P1086"/>
    <mergeCell ref="W1085:AC1085"/>
    <mergeCell ref="B910:BZ910"/>
    <mergeCell ref="B908:BZ908"/>
    <mergeCell ref="B921:BZ921"/>
    <mergeCell ref="B869:BZ869"/>
    <mergeCell ref="B878:BZ878"/>
    <mergeCell ref="W925:BZ925"/>
    <mergeCell ref="AK896:AT896"/>
    <mergeCell ref="AR926:AV927"/>
    <mergeCell ref="AJ926:AQ927"/>
    <mergeCell ref="B846:BZ846"/>
    <mergeCell ref="B883:BZ883"/>
    <mergeCell ref="AS862:BZ862"/>
    <mergeCell ref="B865:BZ865"/>
    <mergeCell ref="B868:BZ868"/>
    <mergeCell ref="B884:BZ884"/>
    <mergeCell ref="B880:BZ880"/>
    <mergeCell ref="B1077:BZ1077"/>
    <mergeCell ref="AT1082:AY1082"/>
    <mergeCell ref="BF1092:BK1092"/>
    <mergeCell ref="BC938:BI938"/>
    <mergeCell ref="B983:BZ983"/>
    <mergeCell ref="B942:V942"/>
    <mergeCell ref="AZ1086:BE1086"/>
    <mergeCell ref="BL1092:BR1092"/>
    <mergeCell ref="BS1092:BZ1092"/>
    <mergeCell ref="AZ1084:BE1084"/>
    <mergeCell ref="B991:BZ991"/>
    <mergeCell ref="AL1079:AS1079"/>
    <mergeCell ref="Q1080:V1080"/>
    <mergeCell ref="BF1080:BK1080"/>
    <mergeCell ref="B1082:P1082"/>
    <mergeCell ref="B988:BZ988"/>
    <mergeCell ref="AZ1079:BE1079"/>
    <mergeCell ref="BL1079:BR1079"/>
    <mergeCell ref="B885:BZ885"/>
    <mergeCell ref="AD938:AI938"/>
    <mergeCell ref="AW938:BB938"/>
    <mergeCell ref="W938:AC938"/>
    <mergeCell ref="W933:AC933"/>
    <mergeCell ref="AD933:AI933"/>
    <mergeCell ref="B872:BZ872"/>
    <mergeCell ref="B932:V932"/>
    <mergeCell ref="BJ928:BP928"/>
    <mergeCell ref="AW932:BB932"/>
    <mergeCell ref="B930:V930"/>
    <mergeCell ref="BS895:BZ895"/>
    <mergeCell ref="BQ928:BZ928"/>
    <mergeCell ref="BJ926:BP927"/>
    <mergeCell ref="B911:BZ911"/>
    <mergeCell ref="B917:BZ917"/>
    <mergeCell ref="BC933:BI933"/>
    <mergeCell ref="BC932:BI932"/>
    <mergeCell ref="AR928:AV928"/>
    <mergeCell ref="AW931:BB931"/>
    <mergeCell ref="BC928:BI928"/>
    <mergeCell ref="B879:BZ879"/>
    <mergeCell ref="B876:BZ876"/>
    <mergeCell ref="B877:BZ877"/>
    <mergeCell ref="B928:V928"/>
    <mergeCell ref="AJ928:AQ928"/>
    <mergeCell ref="B882:BZ882"/>
    <mergeCell ref="B929:BZ929"/>
    <mergeCell ref="B832:BZ832"/>
    <mergeCell ref="B845:BZ845"/>
    <mergeCell ref="B839:BZ839"/>
    <mergeCell ref="B866:BZ866"/>
    <mergeCell ref="B842:BZ842"/>
    <mergeCell ref="AS856:BZ856"/>
    <mergeCell ref="B843:BZ843"/>
    <mergeCell ref="B853:AR853"/>
    <mergeCell ref="B854:AR854"/>
    <mergeCell ref="AS854:BZ854"/>
    <mergeCell ref="B833:BZ833"/>
    <mergeCell ref="B834:BZ834"/>
    <mergeCell ref="B814:BZ814"/>
    <mergeCell ref="B815:BZ815"/>
    <mergeCell ref="B808:BZ808"/>
    <mergeCell ref="B811:BZ811"/>
    <mergeCell ref="B810:BZ810"/>
    <mergeCell ref="B812:BZ812"/>
    <mergeCell ref="B835:BZ835"/>
    <mergeCell ref="B836:BZ836"/>
    <mergeCell ref="B840:BZ840"/>
    <mergeCell ref="B856:AR856"/>
    <mergeCell ref="B838:BZ838"/>
    <mergeCell ref="B841:BZ841"/>
    <mergeCell ref="B822:BZ822"/>
    <mergeCell ref="B801:BZ801"/>
    <mergeCell ref="B823:BZ823"/>
    <mergeCell ref="B829:BZ829"/>
    <mergeCell ref="B844:BZ844"/>
    <mergeCell ref="B818:BZ818"/>
    <mergeCell ref="B747:BZ747"/>
    <mergeCell ref="B809:BZ809"/>
    <mergeCell ref="B807:BZ807"/>
    <mergeCell ref="B794:BZ794"/>
    <mergeCell ref="B795:BZ795"/>
    <mergeCell ref="B813:BZ813"/>
    <mergeCell ref="B828:BZ828"/>
    <mergeCell ref="B817:BZ817"/>
    <mergeCell ref="B819:BZ819"/>
    <mergeCell ref="B824:BZ824"/>
    <mergeCell ref="B827:BZ827"/>
    <mergeCell ref="B775:BZ775"/>
    <mergeCell ref="B769:BZ769"/>
    <mergeCell ref="B770:BZ770"/>
    <mergeCell ref="B773:BZ773"/>
    <mergeCell ref="B762:BZ762"/>
    <mergeCell ref="B758:BZ758"/>
    <mergeCell ref="B771:BZ771"/>
    <mergeCell ref="B767:BZ767"/>
    <mergeCell ref="B766:BZ766"/>
    <mergeCell ref="B776:BZ776"/>
    <mergeCell ref="B778:BZ778"/>
    <mergeCell ref="B779:BZ779"/>
    <mergeCell ref="B780:BZ780"/>
    <mergeCell ref="B750:BZ750"/>
    <mergeCell ref="B793:BZ793"/>
    <mergeCell ref="B761:BZ761"/>
    <mergeCell ref="B702:BZ702"/>
    <mergeCell ref="B726:BZ726"/>
    <mergeCell ref="B730:BZ730"/>
    <mergeCell ref="B723:BZ723"/>
    <mergeCell ref="B732:BZ732"/>
    <mergeCell ref="B728:BZ728"/>
    <mergeCell ref="B718:BZ718"/>
    <mergeCell ref="B714:BZ714"/>
    <mergeCell ref="B717:BZ717"/>
    <mergeCell ref="B709:BZ709"/>
    <mergeCell ref="B710:BZ710"/>
    <mergeCell ref="B707:BZ707"/>
    <mergeCell ref="B680:BZ680"/>
    <mergeCell ref="B691:BZ691"/>
    <mergeCell ref="B704:BZ704"/>
    <mergeCell ref="B720:BZ720"/>
    <mergeCell ref="B721:BZ721"/>
    <mergeCell ref="B712:BZ712"/>
    <mergeCell ref="B684:BZ684"/>
    <mergeCell ref="B682:BZ682"/>
    <mergeCell ref="B690:BZ690"/>
    <mergeCell ref="B741:BZ741"/>
    <mergeCell ref="B768:BZ768"/>
    <mergeCell ref="B743:BZ743"/>
    <mergeCell ref="B744:BZ744"/>
    <mergeCell ref="B745:BZ745"/>
    <mergeCell ref="B751:BZ751"/>
    <mergeCell ref="B755:BZ755"/>
    <mergeCell ref="B752:BZ752"/>
    <mergeCell ref="B757:BZ757"/>
    <mergeCell ref="B729:BZ729"/>
    <mergeCell ref="B724:BZ724"/>
    <mergeCell ref="B725:BZ725"/>
    <mergeCell ref="B731:BZ731"/>
    <mergeCell ref="B658:BZ658"/>
    <mergeCell ref="B706:BZ706"/>
    <mergeCell ref="B699:BZ699"/>
    <mergeCell ref="B700:BZ700"/>
    <mergeCell ref="B688:BZ688"/>
    <mergeCell ref="B689:BZ689"/>
    <mergeCell ref="B679:BZ679"/>
    <mergeCell ref="B698:BZ698"/>
    <mergeCell ref="B695:BZ695"/>
    <mergeCell ref="B705:BZ705"/>
    <mergeCell ref="B678:BZ678"/>
    <mergeCell ref="B666:BZ666"/>
    <mergeCell ref="B692:BZ692"/>
    <mergeCell ref="B703:BZ703"/>
    <mergeCell ref="B685:BZ685"/>
    <mergeCell ref="B686:BZ686"/>
    <mergeCell ref="B696:BZ696"/>
    <mergeCell ref="B697:BZ697"/>
    <mergeCell ref="B701:BZ701"/>
    <mergeCell ref="B516:BZ516"/>
    <mergeCell ref="B531:BZ531"/>
    <mergeCell ref="B577:BZ577"/>
    <mergeCell ref="B581:BZ581"/>
    <mergeCell ref="B600:BZ600"/>
    <mergeCell ref="B640:BZ640"/>
    <mergeCell ref="B646:BZ646"/>
    <mergeCell ref="B619:BZ619"/>
    <mergeCell ref="B615:BZ615"/>
    <mergeCell ref="B613:BZ613"/>
    <mergeCell ref="B645:BZ645"/>
    <mergeCell ref="B647:BZ647"/>
    <mergeCell ref="B655:BZ655"/>
    <mergeCell ref="B656:BZ656"/>
    <mergeCell ref="B653:BZ653"/>
    <mergeCell ref="B636:BZ636"/>
    <mergeCell ref="B623:BZ623"/>
    <mergeCell ref="B635:BZ635"/>
    <mergeCell ref="B641:BZ641"/>
    <mergeCell ref="B642:BZ642"/>
    <mergeCell ref="B633:BZ633"/>
    <mergeCell ref="B626:BZ626"/>
    <mergeCell ref="B634:BZ634"/>
    <mergeCell ref="B632:BZ632"/>
    <mergeCell ref="B654:BZ654"/>
    <mergeCell ref="B648:BZ648"/>
    <mergeCell ref="B652:BZ652"/>
    <mergeCell ref="B571:BZ571"/>
    <mergeCell ref="B560:BZ560"/>
    <mergeCell ref="B492:BZ492"/>
    <mergeCell ref="B501:BZ501"/>
    <mergeCell ref="B499:BZ499"/>
    <mergeCell ref="B506:BZ506"/>
    <mergeCell ref="B504:BZ504"/>
    <mergeCell ref="B505:BZ505"/>
    <mergeCell ref="B497:BZ497"/>
    <mergeCell ref="B510:BZ510"/>
    <mergeCell ref="B601:BZ601"/>
    <mergeCell ref="B604:BZ604"/>
    <mergeCell ref="B611:BZ611"/>
    <mergeCell ref="B594:BZ594"/>
    <mergeCell ref="B603:BZ603"/>
    <mergeCell ref="B536:BZ536"/>
    <mergeCell ref="B534:BZ534"/>
    <mergeCell ref="B559:BZ559"/>
    <mergeCell ref="B535:BZ535"/>
    <mergeCell ref="B526:BZ526"/>
    <mergeCell ref="C518:BZ518"/>
    <mergeCell ref="B608:BZ608"/>
    <mergeCell ref="B607:BZ607"/>
    <mergeCell ref="B550:BZ550"/>
    <mergeCell ref="B595:BZ595"/>
    <mergeCell ref="B586:BZ586"/>
    <mergeCell ref="B587:BZ587"/>
    <mergeCell ref="B575:BZ575"/>
    <mergeCell ref="B570:BZ570"/>
    <mergeCell ref="B519:BZ519"/>
    <mergeCell ref="B524:BZ524"/>
    <mergeCell ref="B520:BZ520"/>
    <mergeCell ref="C540:BZ540"/>
    <mergeCell ref="B557:BZ557"/>
    <mergeCell ref="B564:BZ564"/>
    <mergeCell ref="B573:BZ573"/>
    <mergeCell ref="B527:BZ527"/>
    <mergeCell ref="B528:BZ528"/>
    <mergeCell ref="B541:BZ541"/>
    <mergeCell ref="B529:BZ529"/>
    <mergeCell ref="B574:BZ574"/>
    <mergeCell ref="B566:BZ566"/>
    <mergeCell ref="B567:BZ567"/>
    <mergeCell ref="B558:BZ558"/>
    <mergeCell ref="B596:BZ596"/>
    <mergeCell ref="B592:BZ592"/>
    <mergeCell ref="B568:BZ568"/>
    <mergeCell ref="B589:BZ589"/>
    <mergeCell ref="B580:BZ580"/>
    <mergeCell ref="B590:BZ590"/>
    <mergeCell ref="B673:BZ673"/>
    <mergeCell ref="B667:BZ667"/>
    <mergeCell ref="B670:BZ670"/>
    <mergeCell ref="B582:BZ582"/>
    <mergeCell ref="B612:BZ612"/>
    <mergeCell ref="B618:BZ618"/>
    <mergeCell ref="B621:BZ621"/>
    <mergeCell ref="B629:BZ629"/>
    <mergeCell ref="B630:BZ630"/>
    <mergeCell ref="B610:BZ610"/>
    <mergeCell ref="B639:BZ639"/>
    <mergeCell ref="B638:BZ638"/>
    <mergeCell ref="B631:BZ631"/>
    <mergeCell ref="B637:BZ637"/>
    <mergeCell ref="B665:BZ665"/>
    <mergeCell ref="B657:BZ657"/>
    <mergeCell ref="B643:BZ643"/>
    <mergeCell ref="B625:BZ625"/>
    <mergeCell ref="B734:BZ734"/>
    <mergeCell ref="B708:BZ708"/>
    <mergeCell ref="B739:BZ739"/>
    <mergeCell ref="B733:BZ733"/>
    <mergeCell ref="B722:BZ722"/>
    <mergeCell ref="B719:BZ719"/>
    <mergeCell ref="B711:BZ711"/>
    <mergeCell ref="B713:BZ713"/>
    <mergeCell ref="B609:BZ609"/>
    <mergeCell ref="B614:BZ614"/>
    <mergeCell ref="B617:BZ617"/>
    <mergeCell ref="B624:BZ624"/>
    <mergeCell ref="B616:BZ616"/>
    <mergeCell ref="B622:BZ622"/>
    <mergeCell ref="B674:BZ674"/>
    <mergeCell ref="B727:BZ727"/>
    <mergeCell ref="B669:BZ669"/>
    <mergeCell ref="B668:BZ668"/>
    <mergeCell ref="B675:BZ675"/>
    <mergeCell ref="B676:BZ676"/>
    <mergeCell ref="B677:BZ677"/>
    <mergeCell ref="B683:BZ683"/>
    <mergeCell ref="B681:BZ681"/>
    <mergeCell ref="B651:BZ651"/>
    <mergeCell ref="B662:BZ662"/>
    <mergeCell ref="B663:BZ663"/>
    <mergeCell ref="B661:BZ661"/>
    <mergeCell ref="B660:BZ660"/>
    <mergeCell ref="B664:BZ664"/>
    <mergeCell ref="B659:BZ659"/>
    <mergeCell ref="B736:BZ736"/>
    <mergeCell ref="B783:BZ783"/>
    <mergeCell ref="B785:BZ785"/>
    <mergeCell ref="B774:BZ774"/>
    <mergeCell ref="BR300:BZ300"/>
    <mergeCell ref="B309:BZ309"/>
    <mergeCell ref="B316:BZ316"/>
    <mergeCell ref="B320:BZ320"/>
    <mergeCell ref="B328:BZ328"/>
    <mergeCell ref="AB347:BC347"/>
    <mergeCell ref="AI342:AN342"/>
    <mergeCell ref="B321:U321"/>
    <mergeCell ref="Y300:AG300"/>
    <mergeCell ref="AH300:AU300"/>
    <mergeCell ref="B523:BZ523"/>
    <mergeCell ref="B522:BZ522"/>
    <mergeCell ref="B470:BZ470"/>
    <mergeCell ref="B440:BZ440"/>
    <mergeCell ref="B460:BZ460"/>
    <mergeCell ref="B436:BZ436"/>
    <mergeCell ref="B514:BZ514"/>
    <mergeCell ref="B513:BZ513"/>
    <mergeCell ref="B486:BZ486"/>
    <mergeCell ref="B487:BZ487"/>
    <mergeCell ref="C606:BZ606"/>
    <mergeCell ref="B620:BZ620"/>
    <mergeCell ref="B644:BZ644"/>
    <mergeCell ref="B742:BZ742"/>
    <mergeCell ref="B753:BZ753"/>
    <mergeCell ref="B756:BZ756"/>
    <mergeCell ref="B735:BZ735"/>
    <mergeCell ref="B687:BZ687"/>
    <mergeCell ref="AP3727:BY3727"/>
    <mergeCell ref="B2852:AV2852"/>
    <mergeCell ref="BM2947:BZ2947"/>
    <mergeCell ref="B2861:AV2861"/>
    <mergeCell ref="BR2611:BZ2611"/>
    <mergeCell ref="B2612:R2612"/>
    <mergeCell ref="B2823:AV2823"/>
    <mergeCell ref="B3177:BZ3177"/>
    <mergeCell ref="AW2851:BL2851"/>
    <mergeCell ref="B2626:BZ2626"/>
    <mergeCell ref="AM2449:BF2449"/>
    <mergeCell ref="BG2448:BZ2448"/>
    <mergeCell ref="BG2449:BZ2449"/>
    <mergeCell ref="B2456:BZ2456"/>
    <mergeCell ref="B2452:AL2452"/>
    <mergeCell ref="B2448:AL2448"/>
    <mergeCell ref="B2455:BZ2455"/>
    <mergeCell ref="B2449:AL2449"/>
    <mergeCell ref="B2868:BZ2868"/>
    <mergeCell ref="BM2848:BZ2848"/>
    <mergeCell ref="AW2853:BL2853"/>
    <mergeCell ref="B2488:BZ2488"/>
    <mergeCell ref="B2512:AC2512"/>
    <mergeCell ref="BI2511:BZ2511"/>
    <mergeCell ref="AS2506:BH2506"/>
    <mergeCell ref="B2508:AC2508"/>
    <mergeCell ref="B2485:BZ2485"/>
    <mergeCell ref="AD2506:AR2506"/>
    <mergeCell ref="AD2507:AR2507"/>
    <mergeCell ref="AS2507:BH2507"/>
    <mergeCell ref="B2507:AC2507"/>
    <mergeCell ref="B2509:AC2509"/>
    <mergeCell ref="B375:BZ375"/>
    <mergeCell ref="BF389:BP389"/>
    <mergeCell ref="AU391:BE391"/>
    <mergeCell ref="BQ392:BZ392"/>
    <mergeCell ref="B398:BZ398"/>
    <mergeCell ref="B391:AT391"/>
    <mergeCell ref="BQ386:BZ386"/>
    <mergeCell ref="BQ387:BZ387"/>
    <mergeCell ref="B380:BZ380"/>
    <mergeCell ref="B361:BZ361"/>
    <mergeCell ref="BQ423:BZ423"/>
    <mergeCell ref="B482:BZ482"/>
    <mergeCell ref="B598:BZ598"/>
    <mergeCell ref="B579:BZ579"/>
    <mergeCell ref="B591:BZ591"/>
    <mergeCell ref="B578:BZ578"/>
    <mergeCell ref="B500:BZ500"/>
    <mergeCell ref="B588:BZ588"/>
    <mergeCell ref="B493:BZ493"/>
    <mergeCell ref="B481:BZ481"/>
    <mergeCell ref="B585:BZ585"/>
    <mergeCell ref="B521:BZ521"/>
    <mergeCell ref="B544:BZ544"/>
    <mergeCell ref="B563:BZ563"/>
    <mergeCell ref="B515:BZ515"/>
    <mergeCell ref="B554:BZ554"/>
    <mergeCell ref="B597:BZ597"/>
    <mergeCell ref="B494:BZ494"/>
    <mergeCell ref="B462:BZ462"/>
    <mergeCell ref="B463:BZ463"/>
    <mergeCell ref="B469:BZ469"/>
    <mergeCell ref="B465:BZ465"/>
    <mergeCell ref="B479:BZ479"/>
    <mergeCell ref="B434:BZ434"/>
    <mergeCell ref="BQ428:BZ428"/>
    <mergeCell ref="B468:BZ468"/>
    <mergeCell ref="B478:BZ478"/>
    <mergeCell ref="B446:BZ446"/>
    <mergeCell ref="B476:BZ476"/>
    <mergeCell ref="B471:BZ471"/>
    <mergeCell ref="B443:BZ443"/>
    <mergeCell ref="B442:BZ442"/>
    <mergeCell ref="B455:BZ455"/>
    <mergeCell ref="B453:BZ453"/>
    <mergeCell ref="B461:BZ461"/>
    <mergeCell ref="B458:BZ458"/>
    <mergeCell ref="B552:BZ552"/>
    <mergeCell ref="B530:BZ530"/>
    <mergeCell ref="B547:BZ547"/>
    <mergeCell ref="B548:BZ548"/>
    <mergeCell ref="B546:BZ546"/>
    <mergeCell ref="B543:BZ543"/>
    <mergeCell ref="B542:BZ542"/>
    <mergeCell ref="B532:BZ532"/>
    <mergeCell ref="B537:BZ537"/>
    <mergeCell ref="B549:BZ549"/>
    <mergeCell ref="B444:BZ444"/>
    <mergeCell ref="B459:BZ459"/>
    <mergeCell ref="B509:BZ509"/>
    <mergeCell ref="B435:BZ435"/>
    <mergeCell ref="B512:BZ512"/>
    <mergeCell ref="B466:BZ466"/>
    <mergeCell ref="B467:BZ467"/>
    <mergeCell ref="B477:BZ477"/>
    <mergeCell ref="B408:BZ408"/>
    <mergeCell ref="B409:BZ409"/>
    <mergeCell ref="B396:BZ396"/>
    <mergeCell ref="B404:BZ404"/>
    <mergeCell ref="B399:BZ399"/>
    <mergeCell ref="B400:BZ400"/>
    <mergeCell ref="B394:BZ394"/>
    <mergeCell ref="B449:BZ449"/>
    <mergeCell ref="B457:BZ457"/>
    <mergeCell ref="BQ426:BZ426"/>
    <mergeCell ref="B424:AT424"/>
    <mergeCell ref="AU417:BE418"/>
    <mergeCell ref="B431:BZ431"/>
    <mergeCell ref="AU422:BE422"/>
    <mergeCell ref="B438:BZ438"/>
    <mergeCell ref="AU425:BE425"/>
    <mergeCell ref="BF425:BP425"/>
    <mergeCell ref="AU428:BE428"/>
    <mergeCell ref="BF428:BP428"/>
    <mergeCell ref="B447:BZ447"/>
    <mergeCell ref="B439:BZ439"/>
    <mergeCell ref="B417:AT418"/>
    <mergeCell ref="AU427:BE427"/>
    <mergeCell ref="BF427:BP427"/>
    <mergeCell ref="B423:AT423"/>
    <mergeCell ref="AU419:BE419"/>
    <mergeCell ref="BF426:BP426"/>
    <mergeCell ref="BF422:BP422"/>
    <mergeCell ref="BQ425:BZ425"/>
    <mergeCell ref="B425:AT425"/>
    <mergeCell ref="B364:BZ364"/>
    <mergeCell ref="B377:BZ377"/>
    <mergeCell ref="BQ422:BZ422"/>
    <mergeCell ref="AU420:BE420"/>
    <mergeCell ref="AU423:BE423"/>
    <mergeCell ref="BF423:BP423"/>
    <mergeCell ref="B2848:AV2848"/>
    <mergeCell ref="BQ424:BZ424"/>
    <mergeCell ref="B373:BZ373"/>
    <mergeCell ref="BF385:BP385"/>
    <mergeCell ref="AU424:BE424"/>
    <mergeCell ref="BQ383:BZ383"/>
    <mergeCell ref="B422:AT422"/>
    <mergeCell ref="BF420:BP420"/>
    <mergeCell ref="BF421:BP421"/>
    <mergeCell ref="AU421:BE421"/>
    <mergeCell ref="B421:AT421"/>
    <mergeCell ref="BQ421:BZ421"/>
    <mergeCell ref="B388:AT388"/>
    <mergeCell ref="B386:AT386"/>
    <mergeCell ref="B419:AT419"/>
    <mergeCell ref="B393:BZ393"/>
    <mergeCell ref="BF419:BP419"/>
    <mergeCell ref="BQ417:BZ418"/>
    <mergeCell ref="BQ381:BZ382"/>
    <mergeCell ref="BQ388:BZ388"/>
    <mergeCell ref="BF384:BP384"/>
    <mergeCell ref="BQ385:BZ385"/>
    <mergeCell ref="B387:AT387"/>
    <mergeCell ref="BF388:BP388"/>
    <mergeCell ref="BQ384:BZ384"/>
    <mergeCell ref="B2463:BZ2463"/>
    <mergeCell ref="B480:BZ480"/>
    <mergeCell ref="AW2844:BL2844"/>
    <mergeCell ref="BM2844:BZ2844"/>
    <mergeCell ref="AL2710:BF2710"/>
    <mergeCell ref="BG2714:BZ2714"/>
    <mergeCell ref="AL2709:BF2709"/>
    <mergeCell ref="BG2709:BZ2709"/>
    <mergeCell ref="B2845:AV2845"/>
    <mergeCell ref="B2847:AV2847"/>
    <mergeCell ref="BG2708:BZ2708"/>
    <mergeCell ref="BM2855:BZ2855"/>
    <mergeCell ref="BM2854:BZ2854"/>
    <mergeCell ref="B2522:AC2522"/>
    <mergeCell ref="AS2522:BH2522"/>
    <mergeCell ref="AS2523:BH2523"/>
    <mergeCell ref="B2518:AC2518"/>
    <mergeCell ref="AS2524:BH2524"/>
    <mergeCell ref="BI2524:BZ2524"/>
    <mergeCell ref="AD2520:AR2520"/>
    <mergeCell ref="AD2518:AR2518"/>
    <mergeCell ref="BD2116:BM2116"/>
    <mergeCell ref="AS2111:BC2111"/>
    <mergeCell ref="BD2125:BM2125"/>
    <mergeCell ref="B2442:AL2442"/>
    <mergeCell ref="B765:BZ765"/>
    <mergeCell ref="B748:BZ748"/>
    <mergeCell ref="B754:BZ754"/>
    <mergeCell ref="B749:BZ749"/>
    <mergeCell ref="B746:BZ746"/>
    <mergeCell ref="B787:BZ787"/>
    <mergeCell ref="B763:BZ763"/>
    <mergeCell ref="B772:BZ772"/>
    <mergeCell ref="B485:BZ485"/>
    <mergeCell ref="B602:BZ602"/>
    <mergeCell ref="AM2448:BF2448"/>
    <mergeCell ref="BG2447:BZ2447"/>
    <mergeCell ref="AD2527:AR2527"/>
    <mergeCell ref="B2506:AC2506"/>
    <mergeCell ref="B2489:BZ2489"/>
    <mergeCell ref="BI2503:BZ2504"/>
    <mergeCell ref="AD2503:BH2503"/>
    <mergeCell ref="B2496:BZ2496"/>
    <mergeCell ref="B2465:BZ2465"/>
    <mergeCell ref="B2490:BZ2490"/>
    <mergeCell ref="B2491:BZ2491"/>
    <mergeCell ref="B2466:BZ2466"/>
    <mergeCell ref="B2467:BZ2467"/>
    <mergeCell ref="B2517:AC2517"/>
    <mergeCell ref="AD2517:AR2517"/>
    <mergeCell ref="B2515:AC2515"/>
    <mergeCell ref="B2516:AC2516"/>
    <mergeCell ref="AS2514:BH2514"/>
    <mergeCell ref="BI2514:BZ2514"/>
    <mergeCell ref="BI2505:BZ2505"/>
    <mergeCell ref="BI2506:BZ2506"/>
    <mergeCell ref="BI2519:BZ2519"/>
    <mergeCell ref="BI2523:BZ2523"/>
    <mergeCell ref="BI2521:BZ2521"/>
    <mergeCell ref="AS2519:BH2519"/>
    <mergeCell ref="B2521:AC2521"/>
    <mergeCell ref="B2495:BZ2495"/>
    <mergeCell ref="B2497:BZ2497"/>
    <mergeCell ref="B784:BZ784"/>
    <mergeCell ref="B786:BZ786"/>
    <mergeCell ref="AG2132:AR2132"/>
    <mergeCell ref="AS2132:BC2132"/>
    <mergeCell ref="BD2132:BM2132"/>
    <mergeCell ref="AG2126:AR2126"/>
    <mergeCell ref="BN2126:BZ2126"/>
    <mergeCell ref="BN2115:BZ2115"/>
    <mergeCell ref="AS2118:BC2118"/>
    <mergeCell ref="B2130:S2130"/>
    <mergeCell ref="J2230:P2230"/>
    <mergeCell ref="BG2281:BP2281"/>
    <mergeCell ref="B2251:BZ2251"/>
    <mergeCell ref="AI2278:AT2278"/>
    <mergeCell ref="BD2112:BM2112"/>
    <mergeCell ref="AS2128:BC2128"/>
    <mergeCell ref="BD2128:BM2128"/>
    <mergeCell ref="BN2128:BZ2128"/>
    <mergeCell ref="AW2856:BL2856"/>
    <mergeCell ref="BM2856:BZ2856"/>
    <mergeCell ref="B2853:AV2853"/>
    <mergeCell ref="B2846:AV2846"/>
    <mergeCell ref="B2849:AV2849"/>
    <mergeCell ref="BM2852:BZ2852"/>
    <mergeCell ref="B2854:AV2854"/>
    <mergeCell ref="B2855:AV2855"/>
    <mergeCell ref="AW2854:BL2854"/>
    <mergeCell ref="BM2847:BZ2847"/>
    <mergeCell ref="AI2281:AT2281"/>
    <mergeCell ref="B2233:AA2234"/>
    <mergeCell ref="BQ2274:BZ2274"/>
    <mergeCell ref="B2257:BZ2257"/>
    <mergeCell ref="T2349:AA2349"/>
    <mergeCell ref="B2333:S2334"/>
    <mergeCell ref="BF391:BP391"/>
    <mergeCell ref="B385:AT385"/>
    <mergeCell ref="B390:AT390"/>
    <mergeCell ref="AU390:BE390"/>
    <mergeCell ref="BC926:BI927"/>
    <mergeCell ref="B788:BZ788"/>
    <mergeCell ref="B802:BZ802"/>
    <mergeCell ref="AU426:BE426"/>
    <mergeCell ref="AJ930:AQ930"/>
    <mergeCell ref="AW928:BB928"/>
    <mergeCell ref="B1364:BZ1364"/>
    <mergeCell ref="C871:BZ871"/>
    <mergeCell ref="AD932:AI932"/>
    <mergeCell ref="B886:BZ886"/>
    <mergeCell ref="AD931:AI931"/>
    <mergeCell ref="AX896:BG896"/>
    <mergeCell ref="AD928:AI928"/>
    <mergeCell ref="AR932:AV932"/>
    <mergeCell ref="BF387:BP387"/>
    <mergeCell ref="BF386:BP386"/>
    <mergeCell ref="B411:BZ411"/>
    <mergeCell ref="AU392:BE392"/>
    <mergeCell ref="BF392:BP392"/>
    <mergeCell ref="B389:AT389"/>
    <mergeCell ref="BQ390:BZ390"/>
    <mergeCell ref="B413:BZ413"/>
    <mergeCell ref="B412:BZ412"/>
    <mergeCell ref="B395:BZ395"/>
    <mergeCell ref="B401:BZ401"/>
    <mergeCell ref="B402:BZ402"/>
    <mergeCell ref="BD1357:BM1357"/>
    <mergeCell ref="Q1082:V1082"/>
    <mergeCell ref="B1365:BZ1365"/>
    <mergeCell ref="B1493:BZ1493"/>
    <mergeCell ref="B1485:BZ1485"/>
    <mergeCell ref="BN1358:BZ1358"/>
    <mergeCell ref="AG1358:AR1358"/>
    <mergeCell ref="AT1574:BL1574"/>
    <mergeCell ref="B1356:S1356"/>
    <mergeCell ref="BN1357:BZ1357"/>
    <mergeCell ref="BN1353:BZ1353"/>
    <mergeCell ref="AS1357:BC1357"/>
    <mergeCell ref="AS1354:BC1354"/>
    <mergeCell ref="AS1356:BC1356"/>
    <mergeCell ref="AG1353:AR1353"/>
    <mergeCell ref="BN1355:BZ1355"/>
    <mergeCell ref="B1357:S1357"/>
    <mergeCell ref="T1358:AF1358"/>
    <mergeCell ref="BD1353:BM1353"/>
    <mergeCell ref="BD1354:BM1354"/>
    <mergeCell ref="T1357:AF1357"/>
    <mergeCell ref="BD1358:BM1358"/>
    <mergeCell ref="B1355:S1355"/>
    <mergeCell ref="B1373:BZ1373"/>
    <mergeCell ref="U1395:AG1395"/>
    <mergeCell ref="BD1356:BM1356"/>
    <mergeCell ref="BN1354:BZ1354"/>
    <mergeCell ref="BN1356:BZ1356"/>
    <mergeCell ref="BD1546:BO1547"/>
    <mergeCell ref="BH1466:BZ1466"/>
    <mergeCell ref="AB1475:BC1475"/>
    <mergeCell ref="B1457:BZ1457"/>
    <mergeCell ref="B1450:BZ1450"/>
    <mergeCell ref="B1376:BZ1376"/>
    <mergeCell ref="U1390:BZ1390"/>
    <mergeCell ref="BO1839:BZ1839"/>
    <mergeCell ref="B1802:BZ1802"/>
    <mergeCell ref="BH1464:BZ1465"/>
    <mergeCell ref="AP1467:BG1467"/>
    <mergeCell ref="B1462:BZ1462"/>
    <mergeCell ref="AB1474:BC1474"/>
    <mergeCell ref="BG1779:BZ1779"/>
    <mergeCell ref="BM1583:BZ1583"/>
    <mergeCell ref="B1689:BZ1689"/>
    <mergeCell ref="AN1782:BF1782"/>
    <mergeCell ref="AF1838:AV1838"/>
    <mergeCell ref="BA1514:BZ1514"/>
    <mergeCell ref="AT1587:BL1587"/>
    <mergeCell ref="Y1574:AS1574"/>
    <mergeCell ref="BG1776:BZ1777"/>
    <mergeCell ref="BM1573:BZ1573"/>
    <mergeCell ref="Y1573:AS1573"/>
    <mergeCell ref="AT1580:BL1580"/>
    <mergeCell ref="BQ1643:BZ1643"/>
    <mergeCell ref="AX1636:BZ1636"/>
    <mergeCell ref="B1613:AB1614"/>
    <mergeCell ref="AC1613:BB1614"/>
    <mergeCell ref="BC1613:BZ1614"/>
    <mergeCell ref="BA1511:BZ1511"/>
    <mergeCell ref="BA1515:BZ1515"/>
    <mergeCell ref="B1512:AA1512"/>
    <mergeCell ref="T1562:AF1562"/>
    <mergeCell ref="B1523:BZ1523"/>
    <mergeCell ref="U1397:AG1397"/>
    <mergeCell ref="B1396:T1396"/>
    <mergeCell ref="AT1732:BD1732"/>
    <mergeCell ref="B1461:BZ1461"/>
    <mergeCell ref="AP1466:BG1466"/>
    <mergeCell ref="B1428:BZ1428"/>
    <mergeCell ref="B1429:BZ1429"/>
    <mergeCell ref="AT1576:BL1576"/>
    <mergeCell ref="AG1564:AR1564"/>
    <mergeCell ref="Y1571:AS1571"/>
    <mergeCell ref="AT1581:BL1581"/>
    <mergeCell ref="AT1583:BL1583"/>
    <mergeCell ref="AT1595:BL1595"/>
    <mergeCell ref="Y1575:AS1575"/>
    <mergeCell ref="Y1584:AS1584"/>
    <mergeCell ref="AT1584:BL1584"/>
    <mergeCell ref="B1584:X1584"/>
    <mergeCell ref="U1637:AW1637"/>
    <mergeCell ref="BG1638:BP1640"/>
    <mergeCell ref="AL1641:AW1641"/>
    <mergeCell ref="BM1577:BZ1577"/>
    <mergeCell ref="Y1581:AS1581"/>
    <mergeCell ref="AT1577:BL1577"/>
    <mergeCell ref="BQ1641:BZ1641"/>
    <mergeCell ref="B1554:S1554"/>
    <mergeCell ref="BD1550:BO1550"/>
    <mergeCell ref="AG1550:AR1550"/>
    <mergeCell ref="T1549:AF1549"/>
    <mergeCell ref="BF1506:BZ1506"/>
    <mergeCell ref="B1498:BZ1498"/>
    <mergeCell ref="B1495:BZ1495"/>
    <mergeCell ref="B1505:U1505"/>
    <mergeCell ref="B1499:BZ1499"/>
    <mergeCell ref="B1500:BZ1500"/>
    <mergeCell ref="V1502:AM1502"/>
    <mergeCell ref="BI2525:BZ2525"/>
    <mergeCell ref="AS2525:BH2525"/>
    <mergeCell ref="B2498:BZ2498"/>
    <mergeCell ref="B2573:BZ2573"/>
    <mergeCell ref="AS2527:BH2527"/>
    <mergeCell ref="BN2129:BZ2129"/>
    <mergeCell ref="AW1838:BN1838"/>
    <mergeCell ref="BP1748:BZ1748"/>
    <mergeCell ref="AT1746:BD1746"/>
    <mergeCell ref="BG1889:BZ1890"/>
    <mergeCell ref="AT1738:BD1738"/>
    <mergeCell ref="AL1643:AW1643"/>
    <mergeCell ref="B1685:BZ1685"/>
    <mergeCell ref="AZ1700:BZ1700"/>
    <mergeCell ref="Y1577:AS1577"/>
    <mergeCell ref="BG1641:BP1641"/>
    <mergeCell ref="B1580:X1580"/>
    <mergeCell ref="Y1580:AS1580"/>
    <mergeCell ref="AZ1699:BZ1699"/>
    <mergeCell ref="J1886:R1886"/>
    <mergeCell ref="AL1642:AW1642"/>
    <mergeCell ref="T2135:AF2135"/>
    <mergeCell ref="T2139:AF2139"/>
    <mergeCell ref="AG2139:AR2139"/>
    <mergeCell ref="T2138:AF2138"/>
    <mergeCell ref="B2168:BZ2168"/>
    <mergeCell ref="B2164:BZ2164"/>
    <mergeCell ref="B2156:BZ2156"/>
    <mergeCell ref="AM2439:BF2439"/>
    <mergeCell ref="BG2442:BZ2442"/>
    <mergeCell ref="BG2441:BZ2441"/>
    <mergeCell ref="AM2440:BF2440"/>
    <mergeCell ref="B3595:I3595"/>
    <mergeCell ref="B3579:I3579"/>
    <mergeCell ref="BI3579:BQ3579"/>
    <mergeCell ref="BI3592:BQ3592"/>
    <mergeCell ref="J3606:BH3606"/>
    <mergeCell ref="BI3602:BQ3602"/>
    <mergeCell ref="B3573:I3573"/>
    <mergeCell ref="BI3573:BQ3573"/>
    <mergeCell ref="J3572:BH3572"/>
    <mergeCell ref="J3573:BH3573"/>
    <mergeCell ref="B3575:I3575"/>
    <mergeCell ref="AG2109:AR2109"/>
    <mergeCell ref="BD2123:BM2124"/>
    <mergeCell ref="B3589:I3589"/>
    <mergeCell ref="BI3589:BQ3589"/>
    <mergeCell ref="J3588:BH3588"/>
    <mergeCell ref="J3589:BH3589"/>
    <mergeCell ref="BI3598:BQ3598"/>
    <mergeCell ref="BI3595:BQ3595"/>
    <mergeCell ref="BI3594:BQ3594"/>
    <mergeCell ref="BI3605:BQ3605"/>
    <mergeCell ref="BD2126:BM2126"/>
    <mergeCell ref="BD2136:BM2136"/>
    <mergeCell ref="BD2133:BM2133"/>
    <mergeCell ref="B2157:BZ2157"/>
    <mergeCell ref="B2462:BZ2462"/>
    <mergeCell ref="B2486:BZ2486"/>
    <mergeCell ref="B2514:AC2514"/>
    <mergeCell ref="B2464:BZ2464"/>
    <mergeCell ref="B2499:BZ2499"/>
    <mergeCell ref="B2525:AC2525"/>
    <mergeCell ref="B2481:BZ2481"/>
    <mergeCell ref="B3566:I3566"/>
    <mergeCell ref="BI3566:BQ3566"/>
    <mergeCell ref="B3567:I3567"/>
    <mergeCell ref="B3563:I3563"/>
    <mergeCell ref="BI3563:BQ3563"/>
    <mergeCell ref="B3564:I3564"/>
    <mergeCell ref="BI3564:BQ3564"/>
    <mergeCell ref="AS2517:BH2517"/>
    <mergeCell ref="BI2517:BZ2517"/>
    <mergeCell ref="AD2526:AR2526"/>
    <mergeCell ref="AD2519:AR2519"/>
    <mergeCell ref="B3612:I3612"/>
    <mergeCell ref="BI3612:BQ3612"/>
    <mergeCell ref="BI3610:BQ3610"/>
    <mergeCell ref="J3610:BH3610"/>
    <mergeCell ref="J3611:BH3611"/>
    <mergeCell ref="J3609:BH3609"/>
    <mergeCell ref="BI3611:BQ3611"/>
    <mergeCell ref="B3609:I3609"/>
    <mergeCell ref="BI3609:BQ3609"/>
    <mergeCell ref="B3610:I3610"/>
    <mergeCell ref="J3608:BH3608"/>
    <mergeCell ref="J3579:BH3579"/>
    <mergeCell ref="B3580:I3580"/>
    <mergeCell ref="BI3580:BQ3580"/>
    <mergeCell ref="J3587:BH3587"/>
    <mergeCell ref="B3581:I3581"/>
    <mergeCell ref="BI3600:BQ3600"/>
    <mergeCell ref="BI3599:BQ3599"/>
    <mergeCell ref="BI3604:BQ3604"/>
    <mergeCell ref="B3599:I3599"/>
    <mergeCell ref="BI3596:BQ3596"/>
    <mergeCell ref="B3561:I3561"/>
    <mergeCell ref="BI3561:BQ3561"/>
    <mergeCell ref="J3558:BH3558"/>
    <mergeCell ref="B3553:I3553"/>
    <mergeCell ref="BI3553:BQ3553"/>
    <mergeCell ref="B3554:I3554"/>
    <mergeCell ref="BI3554:BQ3554"/>
    <mergeCell ref="BI3558:BQ3558"/>
    <mergeCell ref="BI3555:BQ3555"/>
    <mergeCell ref="B3556:I3556"/>
    <mergeCell ref="J3555:BH3555"/>
    <mergeCell ref="J3556:BH3556"/>
    <mergeCell ref="J3557:BH3557"/>
    <mergeCell ref="J3553:BH3553"/>
    <mergeCell ref="J3554:BH3554"/>
    <mergeCell ref="BI3581:BQ3581"/>
    <mergeCell ref="BI3606:BQ3606"/>
    <mergeCell ref="BI3603:BQ3603"/>
    <mergeCell ref="J3602:BH3602"/>
    <mergeCell ref="B3568:I3568"/>
    <mergeCell ref="BI3568:BQ3568"/>
    <mergeCell ref="J3564:BH3564"/>
    <mergeCell ref="BI3567:BQ3567"/>
    <mergeCell ref="J3566:BH3566"/>
    <mergeCell ref="B3562:I3562"/>
    <mergeCell ref="B3569:I3569"/>
    <mergeCell ref="BI3569:BQ3569"/>
    <mergeCell ref="J3569:BH3569"/>
    <mergeCell ref="B3565:I3565"/>
    <mergeCell ref="BI3565:BQ3565"/>
    <mergeCell ref="J3568:BH3568"/>
    <mergeCell ref="J3565:BH3565"/>
    <mergeCell ref="B3548:I3548"/>
    <mergeCell ref="BI3548:BQ3548"/>
    <mergeCell ref="B3549:I3549"/>
    <mergeCell ref="BI3549:BQ3549"/>
    <mergeCell ref="J3549:BH3549"/>
    <mergeCell ref="J3547:BH3547"/>
    <mergeCell ref="J3548:BH3548"/>
    <mergeCell ref="B3547:I3547"/>
    <mergeCell ref="BI3547:BQ3547"/>
    <mergeCell ref="B3546:I3546"/>
    <mergeCell ref="BI3546:BQ3546"/>
    <mergeCell ref="J3546:BH3546"/>
    <mergeCell ref="J3552:BH3552"/>
    <mergeCell ref="B3560:I3560"/>
    <mergeCell ref="BI3560:BQ3560"/>
    <mergeCell ref="BI3556:BQ3556"/>
    <mergeCell ref="B3555:I3555"/>
    <mergeCell ref="B3557:I3557"/>
    <mergeCell ref="AZ1085:BE1085"/>
    <mergeCell ref="BS1084:BZ1084"/>
    <mergeCell ref="BD2109:BM2109"/>
    <mergeCell ref="B2128:S2128"/>
    <mergeCell ref="B2114:S2114"/>
    <mergeCell ref="B2450:AL2450"/>
    <mergeCell ref="BD1549:BO1549"/>
    <mergeCell ref="B1805:BZ1805"/>
    <mergeCell ref="V1779:AM1779"/>
    <mergeCell ref="B2100:S2100"/>
    <mergeCell ref="BP1742:BZ1743"/>
    <mergeCell ref="AN1781:BF1781"/>
    <mergeCell ref="T2107:AF2107"/>
    <mergeCell ref="B2113:S2113"/>
    <mergeCell ref="B2110:S2110"/>
    <mergeCell ref="AG2108:AR2108"/>
    <mergeCell ref="T2115:AF2115"/>
    <mergeCell ref="T2114:AF2114"/>
    <mergeCell ref="AG2113:AR2113"/>
    <mergeCell ref="BG1642:BP1642"/>
    <mergeCell ref="AL1638:AW1640"/>
    <mergeCell ref="BM1605:BZ1605"/>
    <mergeCell ref="AT1608:BL1608"/>
    <mergeCell ref="BD2115:BM2115"/>
    <mergeCell ref="AS2112:BC2112"/>
    <mergeCell ref="B1678:BZ1678"/>
    <mergeCell ref="BN1147:BZ1147"/>
    <mergeCell ref="B1173:BZ1173"/>
    <mergeCell ref="B1540:BZ1540"/>
    <mergeCell ref="B1548:S1548"/>
    <mergeCell ref="B1372:BZ1372"/>
    <mergeCell ref="T1564:AF1564"/>
    <mergeCell ref="B1526:BZ1526"/>
    <mergeCell ref="B1482:BZ1482"/>
    <mergeCell ref="B1538:BZ1538"/>
    <mergeCell ref="B1111:BI1111"/>
    <mergeCell ref="B1177:BZ1177"/>
    <mergeCell ref="B1209:BZ1209"/>
    <mergeCell ref="Q1216:BZ1216"/>
    <mergeCell ref="Q1219:V1219"/>
    <mergeCell ref="B1211:BZ1211"/>
    <mergeCell ref="BS1219:BZ1219"/>
    <mergeCell ref="BF1219:BK1219"/>
    <mergeCell ref="BL1219:BR1219"/>
    <mergeCell ref="AT1219:AY1219"/>
    <mergeCell ref="W1217:AC1218"/>
    <mergeCell ref="B1134:AK1134"/>
    <mergeCell ref="AL1133:AZ1133"/>
    <mergeCell ref="B1421:BZ1421"/>
    <mergeCell ref="B1431:BZ1431"/>
    <mergeCell ref="B1430:BZ1430"/>
    <mergeCell ref="AG1357:AR1357"/>
    <mergeCell ref="B1166:AX1166"/>
    <mergeCell ref="AY1158:BM1158"/>
    <mergeCell ref="B1165:AX1165"/>
    <mergeCell ref="B1162:AX1162"/>
    <mergeCell ref="BN1143:BZ1143"/>
    <mergeCell ref="B1145:AA1145"/>
    <mergeCell ref="B1141:AA1141"/>
    <mergeCell ref="B1144:AA1144"/>
    <mergeCell ref="BN1141:BZ1141"/>
    <mergeCell ref="AB1145:AX1145"/>
    <mergeCell ref="BN1145:BZ1145"/>
    <mergeCell ref="AY1142:BM1142"/>
    <mergeCell ref="T1548:AF1548"/>
    <mergeCell ref="B933:V933"/>
    <mergeCell ref="B934:V934"/>
    <mergeCell ref="B936:V936"/>
    <mergeCell ref="AW933:BB933"/>
    <mergeCell ref="B426:AT426"/>
    <mergeCell ref="BS1085:BZ1085"/>
    <mergeCell ref="BL1082:BR1082"/>
    <mergeCell ref="BQ939:BZ939"/>
    <mergeCell ref="AD1080:AK1080"/>
    <mergeCell ref="AT1080:AY1080"/>
    <mergeCell ref="BS1080:BZ1080"/>
    <mergeCell ref="AT1076:AY1076"/>
    <mergeCell ref="BL1071:BR1071"/>
    <mergeCell ref="BS1076:BZ1076"/>
    <mergeCell ref="BF1081:BK1081"/>
    <mergeCell ref="B483:BZ483"/>
    <mergeCell ref="B472:BZ472"/>
    <mergeCell ref="B957:V957"/>
    <mergeCell ref="J1000:N1000"/>
    <mergeCell ref="B944:V944"/>
    <mergeCell ref="AJ934:AQ934"/>
    <mergeCell ref="BQ944:BZ944"/>
    <mergeCell ref="B484:BZ484"/>
    <mergeCell ref="B806:BZ806"/>
    <mergeCell ref="B820:BZ820"/>
    <mergeCell ref="AZ1082:BE1082"/>
    <mergeCell ref="AL1082:AS1082"/>
    <mergeCell ref="AT1085:AY1085"/>
    <mergeCell ref="Q1085:V1085"/>
    <mergeCell ref="W1082:AC1082"/>
    <mergeCell ref="AD1082:AK1082"/>
    <mergeCell ref="DC4:DM4"/>
    <mergeCell ref="C78:S78"/>
    <mergeCell ref="BR180:BZ180"/>
    <mergeCell ref="BR181:BZ181"/>
    <mergeCell ref="BG182:BQ182"/>
    <mergeCell ref="CC22:CC49"/>
    <mergeCell ref="B141:AI141"/>
    <mergeCell ref="AE121:AL121"/>
    <mergeCell ref="CC86:CC95"/>
    <mergeCell ref="C131:BZ131"/>
    <mergeCell ref="BF390:BP390"/>
    <mergeCell ref="Y191:BF191"/>
    <mergeCell ref="BF417:BP418"/>
    <mergeCell ref="B355:AA355"/>
    <mergeCell ref="B381:AT382"/>
    <mergeCell ref="B374:BZ374"/>
    <mergeCell ref="B372:BZ372"/>
    <mergeCell ref="BD352:BZ352"/>
    <mergeCell ref="B368:BZ368"/>
    <mergeCell ref="B369:BZ369"/>
    <mergeCell ref="B360:BZ360"/>
    <mergeCell ref="B356:BZ356"/>
    <mergeCell ref="C357:BZ357"/>
    <mergeCell ref="BR301:BZ301"/>
    <mergeCell ref="B308:BZ308"/>
    <mergeCell ref="J306:N306"/>
    <mergeCell ref="B349:AA349"/>
    <mergeCell ref="AH301:AU301"/>
    <mergeCell ref="Y302:AG302"/>
    <mergeCell ref="AB350:BC350"/>
    <mergeCell ref="AU384:BE384"/>
    <mergeCell ref="AU385:BE385"/>
    <mergeCell ref="Y181:BF181"/>
    <mergeCell ref="B433:BZ433"/>
    <mergeCell ref="BG296:BQ296"/>
    <mergeCell ref="B525:BZ525"/>
    <mergeCell ref="BD304:BZ304"/>
    <mergeCell ref="B322:BZ322"/>
    <mergeCell ref="B348:AA348"/>
    <mergeCell ref="BD355:BZ355"/>
    <mergeCell ref="B416:BZ416"/>
    <mergeCell ref="BQ420:BZ420"/>
    <mergeCell ref="B925:V927"/>
    <mergeCell ref="B805:BZ805"/>
    <mergeCell ref="W926:AC927"/>
    <mergeCell ref="B427:AT427"/>
    <mergeCell ref="B502:BZ502"/>
    <mergeCell ref="B378:BZ378"/>
    <mergeCell ref="B376:BZ376"/>
    <mergeCell ref="BD893:BZ893"/>
    <mergeCell ref="B538:BZ538"/>
    <mergeCell ref="B903:BZ903"/>
    <mergeCell ref="BQ427:BZ427"/>
    <mergeCell ref="AU381:BE382"/>
    <mergeCell ref="BF381:BP382"/>
    <mergeCell ref="Y188:BF188"/>
    <mergeCell ref="BG186:BQ186"/>
    <mergeCell ref="BR185:BZ185"/>
    <mergeCell ref="AK274:AV274"/>
    <mergeCell ref="BR293:BZ293"/>
    <mergeCell ref="BG291:BQ291"/>
    <mergeCell ref="AW282:BK282"/>
    <mergeCell ref="Y189:BF189"/>
    <mergeCell ref="BR292:BZ292"/>
    <mergeCell ref="AD1076:AK1076"/>
    <mergeCell ref="AT1079:AY1079"/>
    <mergeCell ref="B1076:P1076"/>
    <mergeCell ref="Q1076:V1076"/>
    <mergeCell ref="AZ1076:BE1076"/>
    <mergeCell ref="AL1076:AS1076"/>
    <mergeCell ref="AZ1078:BE1078"/>
    <mergeCell ref="B1078:P1078"/>
    <mergeCell ref="B937:V937"/>
    <mergeCell ref="AD1074:AK1075"/>
    <mergeCell ref="B533:BZ533"/>
    <mergeCell ref="W928:AC928"/>
    <mergeCell ref="B599:BZ599"/>
    <mergeCell ref="B593:BZ593"/>
    <mergeCell ref="BQ931:BZ931"/>
    <mergeCell ref="BQ930:BZ930"/>
    <mergeCell ref="BC931:BI931"/>
    <mergeCell ref="BJ931:BP931"/>
    <mergeCell ref="AR931:AV931"/>
    <mergeCell ref="W930:AC930"/>
    <mergeCell ref="BJ936:BP936"/>
    <mergeCell ref="BQ936:BZ936"/>
    <mergeCell ref="W931:AC931"/>
    <mergeCell ref="AD930:AI930"/>
    <mergeCell ref="AJ933:AQ933"/>
    <mergeCell ref="AR933:AV933"/>
    <mergeCell ref="W932:AC932"/>
    <mergeCell ref="B830:BZ830"/>
    <mergeCell ref="AZ1056:BE1056"/>
    <mergeCell ref="B777:BZ777"/>
    <mergeCell ref="B740:BZ740"/>
    <mergeCell ref="B764:BZ764"/>
    <mergeCell ref="B1035:BZ1035"/>
    <mergeCell ref="AL1062:AS1062"/>
    <mergeCell ref="AL1061:AS1061"/>
    <mergeCell ref="B1056:P1056"/>
    <mergeCell ref="B1059:P1059"/>
    <mergeCell ref="AZ1062:BE1062"/>
    <mergeCell ref="Q1060:V1060"/>
    <mergeCell ref="W1061:AC1061"/>
    <mergeCell ref="AT1058:AY1058"/>
    <mergeCell ref="AZ1058:BE1058"/>
    <mergeCell ref="AD1056:AK1056"/>
    <mergeCell ref="AT1062:AY1062"/>
    <mergeCell ref="BF1078:BK1078"/>
    <mergeCell ref="AT1074:AY1075"/>
    <mergeCell ref="AT1071:AY1071"/>
    <mergeCell ref="AZ1071:BE1071"/>
    <mergeCell ref="BL1074:BR1075"/>
    <mergeCell ref="BF1068:BK1068"/>
    <mergeCell ref="BF1060:BK1060"/>
    <mergeCell ref="BL1060:BR1060"/>
    <mergeCell ref="AZ1067:BE1067"/>
    <mergeCell ref="Q1073:BZ1073"/>
    <mergeCell ref="BL1076:BR1076"/>
    <mergeCell ref="AZ1074:BE1075"/>
    <mergeCell ref="BS1074:BZ1075"/>
    <mergeCell ref="W1076:AC1076"/>
    <mergeCell ref="W1056:AC1056"/>
    <mergeCell ref="AD1071:AK1071"/>
    <mergeCell ref="BF1074:BK1075"/>
    <mergeCell ref="BS1071:BZ1071"/>
    <mergeCell ref="AD1065:AK1065"/>
    <mergeCell ref="BS1066:BZ1066"/>
    <mergeCell ref="Q1056:V1056"/>
    <mergeCell ref="B1047:P1049"/>
    <mergeCell ref="B1053:P1053"/>
    <mergeCell ref="AD1048:AK1049"/>
    <mergeCell ref="BF1070:BK1070"/>
    <mergeCell ref="AL1068:AS1068"/>
    <mergeCell ref="AT1068:AY1068"/>
    <mergeCell ref="AZ1068:BE1068"/>
    <mergeCell ref="B1069:BZ1069"/>
    <mergeCell ref="BL1070:BR1070"/>
    <mergeCell ref="AL1070:AS1070"/>
    <mergeCell ref="AT1070:AY1070"/>
    <mergeCell ref="BS1068:BZ1068"/>
    <mergeCell ref="BS1060:BZ1060"/>
    <mergeCell ref="BS1054:BZ1054"/>
    <mergeCell ref="AL1056:AS1056"/>
    <mergeCell ref="BL1059:BR1059"/>
    <mergeCell ref="BF1055:BK1055"/>
    <mergeCell ref="AZ1059:BE1059"/>
    <mergeCell ref="BL1055:BR1055"/>
    <mergeCell ref="AT1060:AY1060"/>
    <mergeCell ref="AL1065:AS1065"/>
    <mergeCell ref="AD1060:AK1060"/>
    <mergeCell ref="AL1064:AS1064"/>
    <mergeCell ref="AD1062:AK1062"/>
    <mergeCell ref="AD1054:AK1054"/>
    <mergeCell ref="BS1058:BZ1058"/>
    <mergeCell ref="AL1059:AS1059"/>
    <mergeCell ref="AL1067:AS1067"/>
    <mergeCell ref="W1062:AC1062"/>
    <mergeCell ref="B982:BZ982"/>
    <mergeCell ref="BJ971:BP971"/>
    <mergeCell ref="B1003:BI1003"/>
    <mergeCell ref="BS1055:BZ1055"/>
    <mergeCell ref="W1060:AC1060"/>
    <mergeCell ref="Q1062:V1062"/>
    <mergeCell ref="B995:BZ995"/>
    <mergeCell ref="AD972:AI972"/>
    <mergeCell ref="W968:AC968"/>
    <mergeCell ref="BJ969:BP969"/>
    <mergeCell ref="BQ969:BZ969"/>
    <mergeCell ref="AJ974:AQ974"/>
    <mergeCell ref="BQ970:BZ970"/>
    <mergeCell ref="B969:V969"/>
    <mergeCell ref="BQ968:BZ968"/>
    <mergeCell ref="W970:AC970"/>
    <mergeCell ref="AD970:AI970"/>
    <mergeCell ref="AJ970:AQ970"/>
    <mergeCell ref="B990:BZ990"/>
    <mergeCell ref="B971:V971"/>
    <mergeCell ref="BC971:BI971"/>
    <mergeCell ref="B989:BZ989"/>
    <mergeCell ref="AD971:AI971"/>
    <mergeCell ref="BC970:BI970"/>
    <mergeCell ref="BQ974:BZ974"/>
    <mergeCell ref="B975:V975"/>
    <mergeCell ref="AW968:BB968"/>
    <mergeCell ref="AL1055:AS1055"/>
    <mergeCell ref="B1034:BZ1034"/>
    <mergeCell ref="B986:BZ986"/>
    <mergeCell ref="BF1059:BK1059"/>
    <mergeCell ref="B980:BZ980"/>
    <mergeCell ref="B1004:BI1004"/>
    <mergeCell ref="B1031:BZ1031"/>
    <mergeCell ref="AM1020:AZ1020"/>
    <mergeCell ref="AM1015:AZ1015"/>
    <mergeCell ref="AM1014:AZ1014"/>
    <mergeCell ref="W957:AC957"/>
    <mergeCell ref="AD957:AI957"/>
    <mergeCell ref="BO1020:BZ1020"/>
    <mergeCell ref="BA1013:BN1013"/>
    <mergeCell ref="AJ968:AQ968"/>
    <mergeCell ref="AR968:AV968"/>
    <mergeCell ref="W972:AC972"/>
    <mergeCell ref="BQ965:BZ965"/>
    <mergeCell ref="AM1016:AZ1016"/>
    <mergeCell ref="BO1018:BZ1018"/>
    <mergeCell ref="B992:BZ992"/>
    <mergeCell ref="B993:BZ993"/>
    <mergeCell ref="J1007:N1007"/>
    <mergeCell ref="BC969:BI969"/>
    <mergeCell ref="W971:AC971"/>
    <mergeCell ref="BQ975:BZ975"/>
    <mergeCell ref="B973:BZ973"/>
    <mergeCell ref="BC975:BI975"/>
    <mergeCell ref="B974:V974"/>
    <mergeCell ref="W974:AC974"/>
    <mergeCell ref="BJ970:BP970"/>
    <mergeCell ref="B994:BZ994"/>
    <mergeCell ref="BA1016:BN1016"/>
    <mergeCell ref="B970:V970"/>
    <mergeCell ref="BC968:BI968"/>
    <mergeCell ref="B1055:P1055"/>
    <mergeCell ref="W1055:AC1055"/>
    <mergeCell ref="W1054:AC1054"/>
    <mergeCell ref="Q1047:BZ1047"/>
    <mergeCell ref="BS1048:BZ1049"/>
    <mergeCell ref="B1050:P1050"/>
    <mergeCell ref="W1048:AC1049"/>
    <mergeCell ref="AZ1050:BE1050"/>
    <mergeCell ref="Q1055:V1055"/>
    <mergeCell ref="AD1055:AK1055"/>
    <mergeCell ref="B1054:P1054"/>
    <mergeCell ref="Q1053:V1053"/>
    <mergeCell ref="AZ1052:BE1052"/>
    <mergeCell ref="BL1048:BR1049"/>
    <mergeCell ref="AT1048:AY1049"/>
    <mergeCell ref="BF1050:BK1050"/>
    <mergeCell ref="BL1050:BR1050"/>
    <mergeCell ref="BF1048:BK1049"/>
    <mergeCell ref="AT1050:AY1050"/>
    <mergeCell ref="B1051:BZ1051"/>
    <mergeCell ref="AD1050:AK1050"/>
    <mergeCell ref="W1050:AC1050"/>
    <mergeCell ref="AD1053:AK1053"/>
    <mergeCell ref="AZ1054:BE1054"/>
    <mergeCell ref="B1019:AL1019"/>
    <mergeCell ref="B1018:AL1018"/>
    <mergeCell ref="B998:BZ998"/>
    <mergeCell ref="B965:V965"/>
    <mergeCell ref="W965:AC965"/>
    <mergeCell ref="AD965:AI965"/>
    <mergeCell ref="B1017:AL1017"/>
    <mergeCell ref="AM1013:AZ1013"/>
    <mergeCell ref="B1015:AL1015"/>
    <mergeCell ref="BC965:BI965"/>
    <mergeCell ref="AR971:AV971"/>
    <mergeCell ref="AW971:BB971"/>
    <mergeCell ref="Q1054:V1054"/>
    <mergeCell ref="AL1048:AS1049"/>
    <mergeCell ref="AL1050:AS1050"/>
    <mergeCell ref="AM1011:AZ1011"/>
    <mergeCell ref="BS1050:BZ1050"/>
    <mergeCell ref="BF1053:BK1053"/>
    <mergeCell ref="W1053:AC1053"/>
    <mergeCell ref="B1028:BZ1028"/>
    <mergeCell ref="B1052:P1052"/>
    <mergeCell ref="Q1052:V1052"/>
    <mergeCell ref="AD968:AI968"/>
    <mergeCell ref="J977:R977"/>
    <mergeCell ref="BC972:BI972"/>
    <mergeCell ref="B972:V972"/>
    <mergeCell ref="B1005:BI1005"/>
    <mergeCell ref="B984:BZ984"/>
    <mergeCell ref="B968:V968"/>
    <mergeCell ref="BO1019:BZ1019"/>
    <mergeCell ref="B979:BZ979"/>
    <mergeCell ref="B985:BZ985"/>
    <mergeCell ref="BJ965:BP965"/>
    <mergeCell ref="BJ975:BP975"/>
    <mergeCell ref="BJ974:BP974"/>
    <mergeCell ref="BC974:BI974"/>
    <mergeCell ref="AW972:BB972"/>
    <mergeCell ref="BJ1004:BZ1004"/>
    <mergeCell ref="B1016:AL1016"/>
    <mergeCell ref="BA1012:BN1012"/>
    <mergeCell ref="BA1015:BN1015"/>
    <mergeCell ref="W1058:AC1058"/>
    <mergeCell ref="BS1052:BZ1052"/>
    <mergeCell ref="BL1053:BR1053"/>
    <mergeCell ref="BF1052:BK1052"/>
    <mergeCell ref="BL1052:BR1052"/>
    <mergeCell ref="AT1056:AY1056"/>
    <mergeCell ref="BL1058:BR1058"/>
    <mergeCell ref="AT1055:AY1055"/>
    <mergeCell ref="AL1054:AS1054"/>
    <mergeCell ref="AL1053:AS1053"/>
    <mergeCell ref="AM1018:AZ1018"/>
    <mergeCell ref="AM1019:AZ1019"/>
    <mergeCell ref="AW965:BB965"/>
    <mergeCell ref="AM1012:AZ1012"/>
    <mergeCell ref="AM1017:AZ1017"/>
    <mergeCell ref="BO1016:BZ1016"/>
    <mergeCell ref="BO1015:BZ1015"/>
    <mergeCell ref="AM1010:AZ1010"/>
    <mergeCell ref="BO1013:BZ1013"/>
    <mergeCell ref="BO1014:BZ1014"/>
    <mergeCell ref="B1042:BZ1042"/>
    <mergeCell ref="B1036:BZ1036"/>
    <mergeCell ref="B1030:BZ1030"/>
    <mergeCell ref="B1039:BZ1039"/>
    <mergeCell ref="AT1052:AY1052"/>
    <mergeCell ref="Q1048:V1049"/>
    <mergeCell ref="B1032:BZ1032"/>
    <mergeCell ref="AL1052:AS1052"/>
    <mergeCell ref="B1038:BZ1038"/>
    <mergeCell ref="B1020:AL1020"/>
    <mergeCell ref="B1037:BZ1037"/>
    <mergeCell ref="AZ1048:BE1049"/>
    <mergeCell ref="B1043:BZ1043"/>
    <mergeCell ref="B1044:BZ1044"/>
    <mergeCell ref="B1040:BZ1040"/>
    <mergeCell ref="BF1066:BK1066"/>
    <mergeCell ref="BF1065:BK1065"/>
    <mergeCell ref="BS1061:BZ1061"/>
    <mergeCell ref="BL1067:BR1067"/>
    <mergeCell ref="BS1067:BZ1067"/>
    <mergeCell ref="BF1062:BK1062"/>
    <mergeCell ref="AZ1053:BE1053"/>
    <mergeCell ref="BF1058:BK1058"/>
    <mergeCell ref="BF1064:BK1064"/>
    <mergeCell ref="AZ1066:BE1066"/>
    <mergeCell ref="AZ1055:BE1055"/>
    <mergeCell ref="BS1056:BZ1056"/>
    <mergeCell ref="AT1066:AY1066"/>
    <mergeCell ref="Q1058:V1058"/>
    <mergeCell ref="BS1059:BZ1059"/>
    <mergeCell ref="BL1062:BR1062"/>
    <mergeCell ref="BS1062:BZ1062"/>
    <mergeCell ref="AT1064:AY1064"/>
    <mergeCell ref="BL1066:BR1066"/>
    <mergeCell ref="BS1064:BZ1064"/>
    <mergeCell ref="BA1017:BN1017"/>
    <mergeCell ref="B1013:AL1013"/>
    <mergeCell ref="AD1052:AK1052"/>
    <mergeCell ref="Q1050:V1050"/>
    <mergeCell ref="AZ1070:BE1070"/>
    <mergeCell ref="AD1066:AK1066"/>
    <mergeCell ref="BL1054:BR1054"/>
    <mergeCell ref="BL1061:BR1061"/>
    <mergeCell ref="AD1068:AK1068"/>
    <mergeCell ref="BF1061:BK1061"/>
    <mergeCell ref="AT1053:AY1053"/>
    <mergeCell ref="AT1054:AY1054"/>
    <mergeCell ref="B1057:BZ1057"/>
    <mergeCell ref="BS1053:BZ1053"/>
    <mergeCell ref="B1058:P1058"/>
    <mergeCell ref="AD1058:AK1058"/>
    <mergeCell ref="BL1056:BR1056"/>
    <mergeCell ref="BF1056:BK1056"/>
    <mergeCell ref="BF1054:BK1054"/>
    <mergeCell ref="AL1058:AS1058"/>
    <mergeCell ref="Q1059:V1059"/>
    <mergeCell ref="W1059:AC1059"/>
    <mergeCell ref="Q1061:V1061"/>
    <mergeCell ref="Q1067:V1067"/>
    <mergeCell ref="B1065:P1065"/>
    <mergeCell ref="AD1067:AK1067"/>
    <mergeCell ref="Q1066:V1066"/>
    <mergeCell ref="AT1059:AY1059"/>
    <mergeCell ref="AZ1061:BE1061"/>
    <mergeCell ref="AD1059:AK1059"/>
    <mergeCell ref="AL1060:AS1060"/>
    <mergeCell ref="B1060:P1060"/>
    <mergeCell ref="AZ1060:BE1060"/>
    <mergeCell ref="AZ1065:BE1065"/>
    <mergeCell ref="B1063:BZ1063"/>
    <mergeCell ref="B1062:P1062"/>
    <mergeCell ref="AL1066:AS1066"/>
    <mergeCell ref="BL1064:BR1064"/>
    <mergeCell ref="BS1065:BZ1065"/>
    <mergeCell ref="AZ1064:BE1064"/>
    <mergeCell ref="Q1065:V1065"/>
    <mergeCell ref="J1136:N1136"/>
    <mergeCell ref="BO1127:BZ1127"/>
    <mergeCell ref="Q1081:V1081"/>
    <mergeCell ref="Q1079:V1079"/>
    <mergeCell ref="W1079:AC1079"/>
    <mergeCell ref="AL1131:AZ1131"/>
    <mergeCell ref="BL1088:BR1088"/>
    <mergeCell ref="B1094:P1094"/>
    <mergeCell ref="BA1129:BN1129"/>
    <mergeCell ref="B1073:P1075"/>
    <mergeCell ref="W1071:AC1071"/>
    <mergeCell ref="W1066:AC1066"/>
    <mergeCell ref="Q1071:V1071"/>
    <mergeCell ref="B1070:P1070"/>
    <mergeCell ref="W1074:AC1075"/>
    <mergeCell ref="BS1070:BZ1070"/>
    <mergeCell ref="B1064:P1064"/>
    <mergeCell ref="Q1064:V1064"/>
    <mergeCell ref="W1064:AC1064"/>
    <mergeCell ref="AD1064:AK1064"/>
    <mergeCell ref="B1068:P1068"/>
    <mergeCell ref="BF1067:BK1067"/>
    <mergeCell ref="AL1071:AS1071"/>
    <mergeCell ref="AT1065:AY1065"/>
    <mergeCell ref="Q1074:V1075"/>
    <mergeCell ref="BN1165:BZ1165"/>
    <mergeCell ref="AY1140:BM1140"/>
    <mergeCell ref="AL1221:AS1221"/>
    <mergeCell ref="B1222:P1222"/>
    <mergeCell ref="Q1222:V1222"/>
    <mergeCell ref="W1222:AC1222"/>
    <mergeCell ref="AY1167:BM1167"/>
    <mergeCell ref="AB1141:AX1141"/>
    <mergeCell ref="B1156:AX1157"/>
    <mergeCell ref="AY1156:BZ1156"/>
    <mergeCell ref="B1161:AX1161"/>
    <mergeCell ref="AL1217:AS1218"/>
    <mergeCell ref="B1214:BZ1214"/>
    <mergeCell ref="AY1160:BM1160"/>
    <mergeCell ref="B1080:P1080"/>
    <mergeCell ref="AY1159:BM1159"/>
    <mergeCell ref="AY1162:BM1162"/>
    <mergeCell ref="BN1160:BZ1160"/>
    <mergeCell ref="BN1161:BZ1161"/>
    <mergeCell ref="B1143:AA1143"/>
    <mergeCell ref="BL1065:BR1065"/>
    <mergeCell ref="BL1068:BR1068"/>
    <mergeCell ref="W1070:AC1070"/>
    <mergeCell ref="B1127:AK1127"/>
    <mergeCell ref="B1160:AX1160"/>
    <mergeCell ref="B1189:BZ1189"/>
    <mergeCell ref="BF1076:BK1076"/>
    <mergeCell ref="BL1078:BR1078"/>
    <mergeCell ref="AL1074:AS1075"/>
    <mergeCell ref="B1079:P1079"/>
    <mergeCell ref="AY1164:BM1164"/>
    <mergeCell ref="B1167:AX1167"/>
    <mergeCell ref="AY1165:BM1165"/>
    <mergeCell ref="AY1166:BM1166"/>
    <mergeCell ref="B1147:AA1147"/>
    <mergeCell ref="B1171:BZ1171"/>
    <mergeCell ref="B1187:BZ1187"/>
    <mergeCell ref="BN1158:BZ1158"/>
    <mergeCell ref="B1182:BZ1182"/>
    <mergeCell ref="BO1129:BZ1129"/>
    <mergeCell ref="B1184:BZ1184"/>
    <mergeCell ref="B1185:BZ1185"/>
    <mergeCell ref="J1152:R1152"/>
    <mergeCell ref="AB1144:AX1144"/>
    <mergeCell ref="BN1157:BZ1157"/>
    <mergeCell ref="AB1143:AX1143"/>
    <mergeCell ref="AY1150:BM1150"/>
    <mergeCell ref="B1159:AX1159"/>
    <mergeCell ref="AY1146:BM1146"/>
    <mergeCell ref="B1146:AA1146"/>
    <mergeCell ref="B1149:AA1149"/>
    <mergeCell ref="B1148:AA1148"/>
    <mergeCell ref="BN1159:BZ1159"/>
    <mergeCell ref="BO1126:BZ1126"/>
    <mergeCell ref="B1124:AK1124"/>
    <mergeCell ref="J1099:N1099"/>
    <mergeCell ref="BJ1115:BZ1115"/>
    <mergeCell ref="BO1125:BZ1125"/>
    <mergeCell ref="BA1127:BN1127"/>
    <mergeCell ref="BA1124:BN1124"/>
    <mergeCell ref="B1125:AK1125"/>
    <mergeCell ref="BA1126:BN1126"/>
    <mergeCell ref="AL1129:AZ1129"/>
    <mergeCell ref="BA1128:BN1128"/>
    <mergeCell ref="AL1127:AZ1127"/>
    <mergeCell ref="B1129:AK1129"/>
    <mergeCell ref="B1126:AK1126"/>
    <mergeCell ref="B1118:BI1118"/>
    <mergeCell ref="B1109:BI1109"/>
    <mergeCell ref="BJ1111:BZ1111"/>
    <mergeCell ref="BJ1103:BZ1103"/>
    <mergeCell ref="BJ1104:BZ1104"/>
    <mergeCell ref="BJ1109:BZ1109"/>
    <mergeCell ref="B1115:BI1115"/>
    <mergeCell ref="B1113:BI1113"/>
    <mergeCell ref="B1116:BI1116"/>
    <mergeCell ref="B1103:BI1103"/>
    <mergeCell ref="BA1125:BN1125"/>
    <mergeCell ref="BJ1118:BZ1118"/>
    <mergeCell ref="BO1124:BZ1124"/>
    <mergeCell ref="BS1090:BZ1090"/>
    <mergeCell ref="BS1088:BZ1088"/>
    <mergeCell ref="AZ1088:BE1088"/>
    <mergeCell ref="BF1090:BK1090"/>
    <mergeCell ref="BL1090:BR1090"/>
    <mergeCell ref="BJ1114:BZ1114"/>
    <mergeCell ref="BS1091:BZ1091"/>
    <mergeCell ref="W1093:AC1093"/>
    <mergeCell ref="AD1093:AK1093"/>
    <mergeCell ref="BJ1117:BZ1117"/>
    <mergeCell ref="BJ1113:BZ1113"/>
    <mergeCell ref="BJ1116:BZ1116"/>
    <mergeCell ref="B1114:BI1114"/>
    <mergeCell ref="B1119:BI1119"/>
    <mergeCell ref="B1088:P1088"/>
    <mergeCell ref="BL1096:BR1096"/>
    <mergeCell ref="AD1096:AK1096"/>
    <mergeCell ref="BJ1112:BZ1112"/>
    <mergeCell ref="B1104:BI1104"/>
    <mergeCell ref="B1117:BI1117"/>
    <mergeCell ref="Q1090:V1090"/>
    <mergeCell ref="BF1227:BK1227"/>
    <mergeCell ref="BF1223:BK1223"/>
    <mergeCell ref="BL1223:BR1223"/>
    <mergeCell ref="BS1224:BZ1224"/>
    <mergeCell ref="BN1142:BZ1142"/>
    <mergeCell ref="BF1221:BK1221"/>
    <mergeCell ref="AY1157:BM1157"/>
    <mergeCell ref="AB1147:AX1147"/>
    <mergeCell ref="AY1139:BZ1139"/>
    <mergeCell ref="BN1146:BZ1146"/>
    <mergeCell ref="BO1130:BZ1130"/>
    <mergeCell ref="BA1130:BN1130"/>
    <mergeCell ref="AY1141:BM1141"/>
    <mergeCell ref="B1133:AK1133"/>
    <mergeCell ref="AY1145:BM1145"/>
    <mergeCell ref="B1158:AX1158"/>
    <mergeCell ref="B1132:AK1132"/>
    <mergeCell ref="BA1133:BN1133"/>
    <mergeCell ref="BA1132:BN1132"/>
    <mergeCell ref="B1170:BZ1170"/>
    <mergeCell ref="BS1223:BZ1223"/>
    <mergeCell ref="B1200:BZ1200"/>
    <mergeCell ref="BN1162:BZ1162"/>
    <mergeCell ref="AB1149:AX1149"/>
    <mergeCell ref="B1163:AX1163"/>
    <mergeCell ref="AY1143:BM1143"/>
    <mergeCell ref="AY1144:BM1144"/>
    <mergeCell ref="BN1163:BZ1163"/>
    <mergeCell ref="BN1164:BZ1164"/>
    <mergeCell ref="BN1166:BZ1166"/>
    <mergeCell ref="B1164:AX1164"/>
    <mergeCell ref="BN1167:BZ1167"/>
    <mergeCell ref="B1236:P1238"/>
    <mergeCell ref="B1243:P1243"/>
    <mergeCell ref="B1268:AK1268"/>
    <mergeCell ref="AZ1251:BE1251"/>
    <mergeCell ref="W1251:AC1251"/>
    <mergeCell ref="AL1251:AS1251"/>
    <mergeCell ref="B1251:P1251"/>
    <mergeCell ref="BF1251:BK1251"/>
    <mergeCell ref="W1253:AC1253"/>
    <mergeCell ref="AZ1247:BE1247"/>
    <mergeCell ref="BF1241:BK1241"/>
    <mergeCell ref="BS1241:BZ1241"/>
    <mergeCell ref="BS1248:BZ1248"/>
    <mergeCell ref="AD1237:AK1238"/>
    <mergeCell ref="AT1239:AY1239"/>
    <mergeCell ref="AL1237:AS1238"/>
    <mergeCell ref="AD1239:AK1239"/>
    <mergeCell ref="AZ1245:BE1245"/>
    <mergeCell ref="BL1242:BR1242"/>
    <mergeCell ref="BF1248:BK1248"/>
    <mergeCell ref="BL1248:BR1248"/>
    <mergeCell ref="BL1243:BR1243"/>
    <mergeCell ref="BL1247:BR1247"/>
    <mergeCell ref="AZ1244:BE1244"/>
    <mergeCell ref="BF1243:BK1243"/>
    <mergeCell ref="BF1253:BK1253"/>
    <mergeCell ref="BL1253:BR1253"/>
    <mergeCell ref="BL1250:BR1250"/>
    <mergeCell ref="BS1250:BZ1250"/>
    <mergeCell ref="BL1251:BR1251"/>
    <mergeCell ref="BS1253:BZ1253"/>
    <mergeCell ref="BS1251:BZ1251"/>
    <mergeCell ref="AS1295:BD1295"/>
    <mergeCell ref="BE1298:BQ1298"/>
    <mergeCell ref="BE1300:BQ1300"/>
    <mergeCell ref="AS1298:BD1298"/>
    <mergeCell ref="AS1290:BD1290"/>
    <mergeCell ref="BR1299:BZ1299"/>
    <mergeCell ref="BE1299:BQ1299"/>
    <mergeCell ref="AG1299:AR1299"/>
    <mergeCell ref="AG1293:AR1293"/>
    <mergeCell ref="B1239:P1239"/>
    <mergeCell ref="AL1239:AS1239"/>
    <mergeCell ref="AL1241:AS1241"/>
    <mergeCell ref="AT1241:AY1241"/>
    <mergeCell ref="B1270:AK1270"/>
    <mergeCell ref="AZ1249:BE1249"/>
    <mergeCell ref="BS1242:BZ1242"/>
    <mergeCell ref="BS1244:BZ1244"/>
    <mergeCell ref="AT1244:AY1244"/>
    <mergeCell ref="BS1245:BZ1245"/>
    <mergeCell ref="BL1244:BR1244"/>
    <mergeCell ref="BL1249:BR1249"/>
    <mergeCell ref="BO1268:BZ1268"/>
    <mergeCell ref="AS1291:BD1291"/>
    <mergeCell ref="AL1273:AZ1273"/>
    <mergeCell ref="AG1285:AR1285"/>
    <mergeCell ref="AS1283:BD1284"/>
    <mergeCell ref="AL1276:AZ1276"/>
    <mergeCell ref="AL1272:AZ1272"/>
    <mergeCell ref="AL1275:AZ1275"/>
    <mergeCell ref="BO1272:BZ1272"/>
    <mergeCell ref="BR1287:BZ1287"/>
    <mergeCell ref="BO1276:BZ1276"/>
    <mergeCell ref="W1239:AC1239"/>
    <mergeCell ref="AS1289:BD1289"/>
    <mergeCell ref="AS1293:BD1293"/>
    <mergeCell ref="B1269:AK1269"/>
    <mergeCell ref="AL1242:AS1242"/>
    <mergeCell ref="T1283:AF1284"/>
    <mergeCell ref="B1291:S1291"/>
    <mergeCell ref="T1290:AF1290"/>
    <mergeCell ref="B1230:P1230"/>
    <mergeCell ref="Q1230:V1230"/>
    <mergeCell ref="AL1233:AS1233"/>
    <mergeCell ref="Q1231:V1231"/>
    <mergeCell ref="B1231:P1231"/>
    <mergeCell ref="B1241:P1241"/>
    <mergeCell ref="B1234:P1234"/>
    <mergeCell ref="Q1233:V1233"/>
    <mergeCell ref="B1233:P1233"/>
    <mergeCell ref="AL1231:AS1231"/>
    <mergeCell ref="AZ1239:BE1239"/>
    <mergeCell ref="B1287:S1287"/>
    <mergeCell ref="BA1273:BN1273"/>
    <mergeCell ref="AL1267:AZ1267"/>
    <mergeCell ref="AL1271:AZ1271"/>
    <mergeCell ref="B1259:BI1259"/>
    <mergeCell ref="BA1275:BN1275"/>
    <mergeCell ref="BE1283:BQ1284"/>
    <mergeCell ref="BA1276:BN1276"/>
    <mergeCell ref="BA1270:BN1270"/>
    <mergeCell ref="B1245:P1245"/>
    <mergeCell ref="BE1292:BQ1292"/>
    <mergeCell ref="BE1291:BQ1291"/>
    <mergeCell ref="BE1290:BQ1290"/>
    <mergeCell ref="B1253:P1253"/>
    <mergeCell ref="AL1266:AZ1266"/>
    <mergeCell ref="BA1266:BN1266"/>
    <mergeCell ref="AZ1253:BE1253"/>
    <mergeCell ref="AD1241:AK1241"/>
    <mergeCell ref="Q1241:V1241"/>
    <mergeCell ref="Q1239:V1239"/>
    <mergeCell ref="BO1274:BZ1274"/>
    <mergeCell ref="BA1274:BN1274"/>
    <mergeCell ref="AD1250:AK1250"/>
    <mergeCell ref="B1274:AK1274"/>
    <mergeCell ref="BS1247:BZ1247"/>
    <mergeCell ref="BS1237:BZ1238"/>
    <mergeCell ref="BF1249:BK1249"/>
    <mergeCell ref="Q1248:V1248"/>
    <mergeCell ref="BF1237:BK1238"/>
    <mergeCell ref="BF1247:BK1247"/>
    <mergeCell ref="B1271:AK1271"/>
    <mergeCell ref="AZ1237:BE1238"/>
    <mergeCell ref="AT1249:AY1249"/>
    <mergeCell ref="BL1239:BR1239"/>
    <mergeCell ref="Q1247:V1247"/>
    <mergeCell ref="BA1268:BN1268"/>
    <mergeCell ref="BA1272:BN1272"/>
    <mergeCell ref="AL1269:AZ1269"/>
    <mergeCell ref="BA1269:BN1269"/>
    <mergeCell ref="AL1268:AZ1268"/>
    <mergeCell ref="AT1245:AY1245"/>
    <mergeCell ref="AL1247:AS1247"/>
    <mergeCell ref="AD1244:AK1244"/>
    <mergeCell ref="B1272:AK1272"/>
    <mergeCell ref="BL1237:BR1238"/>
    <mergeCell ref="AD1231:AK1231"/>
    <mergeCell ref="BS1231:BZ1231"/>
    <mergeCell ref="AZ1231:BE1231"/>
    <mergeCell ref="AZ1234:BE1234"/>
    <mergeCell ref="BF1231:BK1231"/>
    <mergeCell ref="AT1234:AY1234"/>
    <mergeCell ref="BL1234:BR1234"/>
    <mergeCell ref="Q1236:BZ1236"/>
    <mergeCell ref="W1233:AC1233"/>
    <mergeCell ref="BS1233:BZ1233"/>
    <mergeCell ref="Q1234:V1234"/>
    <mergeCell ref="AD1233:AK1233"/>
    <mergeCell ref="AL1227:AS1227"/>
    <mergeCell ref="W1231:AC1231"/>
    <mergeCell ref="AZ1227:BE1227"/>
    <mergeCell ref="AT1227:AY1227"/>
    <mergeCell ref="W1237:AC1238"/>
    <mergeCell ref="Q1229:V1229"/>
    <mergeCell ref="W1229:AC1229"/>
    <mergeCell ref="AD1229:AK1229"/>
    <mergeCell ref="Q1237:V1238"/>
    <mergeCell ref="AT1231:AY1231"/>
    <mergeCell ref="BF1233:BK1233"/>
    <mergeCell ref="BL1231:BR1231"/>
    <mergeCell ref="AL1230:AS1230"/>
    <mergeCell ref="BF1229:BK1229"/>
    <mergeCell ref="W1227:AC1227"/>
    <mergeCell ref="AZ1229:BE1229"/>
    <mergeCell ref="AL1228:AS1228"/>
    <mergeCell ref="AL1229:AS1229"/>
    <mergeCell ref="AT1228:AY1228"/>
    <mergeCell ref="W1228:AC1228"/>
    <mergeCell ref="AZ1222:BE1222"/>
    <mergeCell ref="B1232:BZ1232"/>
    <mergeCell ref="BS1225:BZ1225"/>
    <mergeCell ref="AZ1225:BE1225"/>
    <mergeCell ref="BL1229:BR1229"/>
    <mergeCell ref="AL1225:AS1225"/>
    <mergeCell ref="AZ1224:BE1224"/>
    <mergeCell ref="AL1222:AS1222"/>
    <mergeCell ref="AT1221:AY1221"/>
    <mergeCell ref="BS1227:BZ1227"/>
    <mergeCell ref="B1228:P1228"/>
    <mergeCell ref="BF1222:BK1222"/>
    <mergeCell ref="BL1222:BR1222"/>
    <mergeCell ref="BS1234:BZ1234"/>
    <mergeCell ref="B1229:P1229"/>
    <mergeCell ref="B1188:BZ1188"/>
    <mergeCell ref="B1196:BZ1196"/>
    <mergeCell ref="W1219:AC1219"/>
    <mergeCell ref="AD1219:AK1219"/>
    <mergeCell ref="B1198:BZ1198"/>
    <mergeCell ref="B1219:P1219"/>
    <mergeCell ref="B1221:P1221"/>
    <mergeCell ref="Q1221:V1221"/>
    <mergeCell ref="W1234:AC1234"/>
    <mergeCell ref="BL1233:BR1233"/>
    <mergeCell ref="AD1234:AK1234"/>
    <mergeCell ref="BF1234:BK1234"/>
    <mergeCell ref="AT1233:AY1233"/>
    <mergeCell ref="AZ1233:BE1233"/>
    <mergeCell ref="B1226:BZ1226"/>
    <mergeCell ref="AD1222:AK1222"/>
    <mergeCell ref="B1213:BZ1213"/>
    <mergeCell ref="AT1222:AY1222"/>
    <mergeCell ref="AL1223:AS1223"/>
    <mergeCell ref="W1223:AC1223"/>
    <mergeCell ref="B1208:BZ1208"/>
    <mergeCell ref="AZ1228:BE1228"/>
    <mergeCell ref="B1223:P1223"/>
    <mergeCell ref="Q1223:V1223"/>
    <mergeCell ref="W1230:AC1230"/>
    <mergeCell ref="AT1230:AY1230"/>
    <mergeCell ref="AD1230:AK1230"/>
    <mergeCell ref="AT1224:AY1224"/>
    <mergeCell ref="BL1228:BR1228"/>
    <mergeCell ref="BE1285:BQ1285"/>
    <mergeCell ref="BE1289:BQ1289"/>
    <mergeCell ref="BE1288:BQ1288"/>
    <mergeCell ref="B1286:BZ1286"/>
    <mergeCell ref="W1241:AC1241"/>
    <mergeCell ref="T1287:AF1287"/>
    <mergeCell ref="AG1287:AR1287"/>
    <mergeCell ref="BR1283:BZ1284"/>
    <mergeCell ref="B1276:AK1276"/>
    <mergeCell ref="B1273:AK1273"/>
    <mergeCell ref="BO1275:BZ1275"/>
    <mergeCell ref="BF1245:BK1245"/>
    <mergeCell ref="B1275:AK1275"/>
    <mergeCell ref="J1278:N1278"/>
    <mergeCell ref="B1282:S1284"/>
    <mergeCell ref="AD1253:AK1253"/>
    <mergeCell ref="BO1269:BZ1269"/>
    <mergeCell ref="AL1270:AZ1270"/>
    <mergeCell ref="BA1271:BN1271"/>
    <mergeCell ref="BO1273:BZ1273"/>
    <mergeCell ref="B1344:AC1344"/>
    <mergeCell ref="T1354:AF1354"/>
    <mergeCell ref="B1343:S1343"/>
    <mergeCell ref="B1292:S1292"/>
    <mergeCell ref="T1291:AF1291"/>
    <mergeCell ref="B1289:S1289"/>
    <mergeCell ref="AG1291:AR1291"/>
    <mergeCell ref="B1288:S1288"/>
    <mergeCell ref="AG1300:AR1300"/>
    <mergeCell ref="AG1303:AR1303"/>
    <mergeCell ref="AG1301:AR1301"/>
    <mergeCell ref="B1318:S1318"/>
    <mergeCell ref="T1289:AF1289"/>
    <mergeCell ref="AG1290:AR1290"/>
    <mergeCell ref="AG1302:AR1302"/>
    <mergeCell ref="AS1302:BD1302"/>
    <mergeCell ref="AS1304:BD1304"/>
    <mergeCell ref="AG1304:AR1304"/>
    <mergeCell ref="B1302:S1302"/>
    <mergeCell ref="T1305:AF1305"/>
    <mergeCell ref="B1306:S1306"/>
    <mergeCell ref="AS1288:BD1288"/>
    <mergeCell ref="AD1337:AL1337"/>
    <mergeCell ref="AM1335:AU1337"/>
    <mergeCell ref="AD1335:AL1336"/>
    <mergeCell ref="AV1342:BE1342"/>
    <mergeCell ref="T1328:AF1328"/>
    <mergeCell ref="B1296:S1296"/>
    <mergeCell ref="T1298:AF1298"/>
    <mergeCell ref="B1294:S1294"/>
    <mergeCell ref="BE1295:BQ1295"/>
    <mergeCell ref="AS1299:BD1299"/>
    <mergeCell ref="AG1355:AR1355"/>
    <mergeCell ref="AD1342:AL1342"/>
    <mergeCell ref="AV1341:BE1341"/>
    <mergeCell ref="T1355:AF1355"/>
    <mergeCell ref="AM1339:AU1339"/>
    <mergeCell ref="BD1355:BM1355"/>
    <mergeCell ref="T1329:AF1329"/>
    <mergeCell ref="AG1329:AR1329"/>
    <mergeCell ref="B1335:S1337"/>
    <mergeCell ref="AD1344:AL1344"/>
    <mergeCell ref="B1354:S1354"/>
    <mergeCell ref="B1342:S1342"/>
    <mergeCell ref="B1338:S1338"/>
    <mergeCell ref="AD1338:AL1338"/>
    <mergeCell ref="T1338:AC1338"/>
    <mergeCell ref="T1339:AC1339"/>
    <mergeCell ref="T1353:AF1353"/>
    <mergeCell ref="J1346:R1346"/>
    <mergeCell ref="AM1342:AU1342"/>
    <mergeCell ref="AV1340:BE1340"/>
    <mergeCell ref="AV1338:BE1338"/>
    <mergeCell ref="AV1339:BE1339"/>
    <mergeCell ref="AM1338:AU1338"/>
    <mergeCell ref="AM1341:AU1341"/>
    <mergeCell ref="BE1330:BQ1330"/>
    <mergeCell ref="BF1344:BP1344"/>
    <mergeCell ref="AV1344:BE1344"/>
    <mergeCell ref="T1352:AF1352"/>
    <mergeCell ref="AS1355:BC1355"/>
    <mergeCell ref="AG1349:AR1351"/>
    <mergeCell ref="T1342:AC1342"/>
    <mergeCell ref="AM1343:AU1343"/>
    <mergeCell ref="BE1294:BQ1294"/>
    <mergeCell ref="AG1294:AR1294"/>
    <mergeCell ref="BR1296:BZ1296"/>
    <mergeCell ref="BR1294:BZ1294"/>
    <mergeCell ref="T1296:AF1296"/>
    <mergeCell ref="T1322:AF1322"/>
    <mergeCell ref="T1312:AF1312"/>
    <mergeCell ref="B1304:S1304"/>
    <mergeCell ref="T1313:AF1313"/>
    <mergeCell ref="B1322:S1322"/>
    <mergeCell ref="T1303:AF1303"/>
    <mergeCell ref="AG1292:AR1292"/>
    <mergeCell ref="AS1285:BD1285"/>
    <mergeCell ref="T1285:AF1285"/>
    <mergeCell ref="BR1314:BZ1314"/>
    <mergeCell ref="BE1313:BQ1313"/>
    <mergeCell ref="BE1316:BQ1316"/>
    <mergeCell ref="BR1313:BZ1313"/>
    <mergeCell ref="BR1298:BZ1298"/>
    <mergeCell ref="BE1287:BQ1287"/>
    <mergeCell ref="BR1292:BZ1292"/>
    <mergeCell ref="BR1293:BZ1293"/>
    <mergeCell ref="BR1300:BZ1300"/>
    <mergeCell ref="AS1296:BD1296"/>
    <mergeCell ref="AS1300:BD1300"/>
    <mergeCell ref="BR1291:BZ1291"/>
    <mergeCell ref="BR1290:BZ1290"/>
    <mergeCell ref="AG1298:AR1298"/>
    <mergeCell ref="AG1296:AR1296"/>
    <mergeCell ref="BR1289:BZ1289"/>
    <mergeCell ref="AG1289:AR1289"/>
    <mergeCell ref="BR1295:BZ1295"/>
    <mergeCell ref="BO1270:BZ1270"/>
    <mergeCell ref="AL1274:AZ1274"/>
    <mergeCell ref="AS1294:BD1294"/>
    <mergeCell ref="AS1292:BD1292"/>
    <mergeCell ref="BR1285:BZ1285"/>
    <mergeCell ref="BE1307:BQ1307"/>
    <mergeCell ref="BR1307:BZ1307"/>
    <mergeCell ref="BE1309:BQ1309"/>
    <mergeCell ref="BE1293:BQ1293"/>
    <mergeCell ref="BE1296:BQ1296"/>
    <mergeCell ref="B1297:BZ1297"/>
    <mergeCell ref="B1285:S1285"/>
    <mergeCell ref="AS1306:BD1306"/>
    <mergeCell ref="BE1306:BQ1306"/>
    <mergeCell ref="BE1315:BQ1315"/>
    <mergeCell ref="BR1321:BZ1321"/>
    <mergeCell ref="BR1316:BZ1316"/>
    <mergeCell ref="BE1311:BQ1311"/>
    <mergeCell ref="BR1315:BZ1315"/>
    <mergeCell ref="T1314:AF1314"/>
    <mergeCell ref="AS1313:BD1313"/>
    <mergeCell ref="B1295:S1295"/>
    <mergeCell ref="B1300:S1300"/>
    <mergeCell ref="T1294:AF1294"/>
    <mergeCell ref="T1301:AF1301"/>
    <mergeCell ref="B1301:S1301"/>
    <mergeCell ref="AG1283:AR1284"/>
    <mergeCell ref="T1293:AF1293"/>
    <mergeCell ref="T1288:AF1288"/>
    <mergeCell ref="B1293:S1293"/>
    <mergeCell ref="AG1295:AR1295"/>
    <mergeCell ref="T1295:AF1295"/>
    <mergeCell ref="AG1328:AR1328"/>
    <mergeCell ref="BE1328:BQ1328"/>
    <mergeCell ref="AS1311:BD1311"/>
    <mergeCell ref="AS1307:BD1307"/>
    <mergeCell ref="BR1311:BZ1311"/>
    <mergeCell ref="AS1312:BD1312"/>
    <mergeCell ref="BR1310:BZ1310"/>
    <mergeCell ref="BR1306:BZ1306"/>
    <mergeCell ref="BE1310:BQ1310"/>
    <mergeCell ref="AS1309:BD1309"/>
    <mergeCell ref="BF1335:BP1337"/>
    <mergeCell ref="AG1316:AR1316"/>
    <mergeCell ref="BR1322:BZ1322"/>
    <mergeCell ref="BR1320:BZ1320"/>
    <mergeCell ref="BE1321:BQ1321"/>
    <mergeCell ref="BE1322:BQ1322"/>
    <mergeCell ref="AS1320:BD1320"/>
    <mergeCell ref="BE1320:BQ1320"/>
    <mergeCell ref="BE1312:BQ1312"/>
    <mergeCell ref="BR1312:BZ1312"/>
    <mergeCell ref="BE1325:BQ1325"/>
    <mergeCell ref="AS1324:BD1324"/>
    <mergeCell ref="BE1324:BQ1324"/>
    <mergeCell ref="AG1322:AR1322"/>
    <mergeCell ref="AS1322:BD1322"/>
    <mergeCell ref="AS1325:BD1325"/>
    <mergeCell ref="BE1314:BQ1314"/>
    <mergeCell ref="BR1318:BZ1318"/>
    <mergeCell ref="AG1306:AR1306"/>
    <mergeCell ref="AG1312:AR1312"/>
    <mergeCell ref="AG1318:AR1318"/>
    <mergeCell ref="AG1314:AR1314"/>
    <mergeCell ref="T1325:AF1325"/>
    <mergeCell ref="T1320:AF1320"/>
    <mergeCell ref="AG1320:AR1320"/>
    <mergeCell ref="AS1314:BD1314"/>
    <mergeCell ref="AS1318:BD1318"/>
    <mergeCell ref="BE1318:BQ1318"/>
    <mergeCell ref="B1452:BZ1452"/>
    <mergeCell ref="B1447:BZ1447"/>
    <mergeCell ref="B1437:BZ1437"/>
    <mergeCell ref="B1446:BZ1446"/>
    <mergeCell ref="T1557:AF1558"/>
    <mergeCell ref="BP1557:BZ1558"/>
    <mergeCell ref="AG1557:AR1558"/>
    <mergeCell ref="B1537:BZ1537"/>
    <mergeCell ref="B1535:BZ1535"/>
    <mergeCell ref="B1536:BZ1536"/>
    <mergeCell ref="BF1343:BP1343"/>
    <mergeCell ref="B1349:S1351"/>
    <mergeCell ref="AS1349:BC1351"/>
    <mergeCell ref="AM1344:AU1344"/>
    <mergeCell ref="B1456:BZ1456"/>
    <mergeCell ref="B1432:BZ1432"/>
    <mergeCell ref="B1433:BZ1433"/>
    <mergeCell ref="B1434:BZ1434"/>
    <mergeCell ref="B1435:BZ1435"/>
    <mergeCell ref="B1449:BZ1449"/>
    <mergeCell ref="B1453:BZ1453"/>
    <mergeCell ref="AS1352:BC1352"/>
    <mergeCell ref="B1380:BZ1380"/>
    <mergeCell ref="AS1358:BC1358"/>
    <mergeCell ref="AG1548:AR1548"/>
    <mergeCell ref="B1524:BZ1524"/>
    <mergeCell ref="AG1561:AR1561"/>
    <mergeCell ref="B1552:S1552"/>
    <mergeCell ref="BU1567:BZ1567"/>
    <mergeCell ref="BP1561:BZ1561"/>
    <mergeCell ref="T1556:BZ1556"/>
    <mergeCell ref="BP1560:BZ1560"/>
    <mergeCell ref="B1556:S1558"/>
    <mergeCell ref="B1532:BZ1532"/>
    <mergeCell ref="B1533:BZ1533"/>
    <mergeCell ref="B1531:BZ1531"/>
    <mergeCell ref="AS1552:BC1552"/>
    <mergeCell ref="AS1553:BC1553"/>
    <mergeCell ref="BP1546:BZ1547"/>
    <mergeCell ref="T1550:AF1550"/>
    <mergeCell ref="AG1551:AR1551"/>
    <mergeCell ref="AS1548:BC1548"/>
    <mergeCell ref="T1552:AF1552"/>
    <mergeCell ref="BP1548:BZ1548"/>
    <mergeCell ref="J1542:R1542"/>
    <mergeCell ref="B1563:S1563"/>
    <mergeCell ref="B1565:S1565"/>
    <mergeCell ref="AG1565:AR1565"/>
    <mergeCell ref="AS1565:BC1565"/>
    <mergeCell ref="BD1551:BO1551"/>
    <mergeCell ref="B1553:S1553"/>
    <mergeCell ref="AS1550:BC1550"/>
    <mergeCell ref="T1559:AF1559"/>
    <mergeCell ref="BP1551:BZ1551"/>
    <mergeCell ref="T1554:AF1554"/>
    <mergeCell ref="BP1553:BZ1553"/>
    <mergeCell ref="B1560:S1560"/>
    <mergeCell ref="AG1562:AR1562"/>
    <mergeCell ref="B1528:BZ1528"/>
    <mergeCell ref="AG1554:AR1554"/>
    <mergeCell ref="BD1554:BO1554"/>
    <mergeCell ref="AS1560:BC1560"/>
    <mergeCell ref="AS1563:BC1563"/>
    <mergeCell ref="BD1559:BO1559"/>
    <mergeCell ref="BD1557:BO1558"/>
    <mergeCell ref="AG1560:AR1560"/>
    <mergeCell ref="B1530:BZ1530"/>
    <mergeCell ref="B1368:BZ1368"/>
    <mergeCell ref="AT1730:BD1731"/>
    <mergeCell ref="J1706:N1706"/>
    <mergeCell ref="B1708:BZ1708"/>
    <mergeCell ref="Y1700:AY1700"/>
    <mergeCell ref="Y1701:AY1701"/>
    <mergeCell ref="B1713:BZ1713"/>
    <mergeCell ref="B1719:BZ1719"/>
    <mergeCell ref="B1724:BZ1724"/>
    <mergeCell ref="B1725:BZ1725"/>
    <mergeCell ref="B1715:BZ1715"/>
    <mergeCell ref="AT1569:BL1570"/>
    <mergeCell ref="B1680:BZ1680"/>
    <mergeCell ref="B1686:BZ1686"/>
    <mergeCell ref="AT1585:BL1585"/>
    <mergeCell ref="B1586:X1586"/>
    <mergeCell ref="Y1586:AS1586"/>
    <mergeCell ref="Y1585:AS1585"/>
    <mergeCell ref="B1684:BZ1684"/>
    <mergeCell ref="B1572:BZ1572"/>
    <mergeCell ref="B1577:X1577"/>
    <mergeCell ref="AX1638:BF1640"/>
    <mergeCell ref="AX1637:BZ1637"/>
    <mergeCell ref="BU1589:BZ1589"/>
    <mergeCell ref="BM1581:BZ1581"/>
    <mergeCell ref="BM1582:BZ1582"/>
    <mergeCell ref="BM1574:BZ1574"/>
    <mergeCell ref="B1573:X1573"/>
    <mergeCell ref="Y1597:AS1597"/>
    <mergeCell ref="AT1597:BL1597"/>
    <mergeCell ref="B1600:X1600"/>
    <mergeCell ref="Y1600:AS1600"/>
    <mergeCell ref="Y1587:AS1587"/>
    <mergeCell ref="B1681:BZ1681"/>
    <mergeCell ref="B1682:BZ1682"/>
    <mergeCell ref="AT1593:BL1593"/>
    <mergeCell ref="B1582:X1582"/>
    <mergeCell ref="BD1565:BO1565"/>
    <mergeCell ref="BQ1644:BZ1644"/>
    <mergeCell ref="BQ1638:BZ1640"/>
    <mergeCell ref="B1647:BZ1647"/>
    <mergeCell ref="AL1644:AW1644"/>
    <mergeCell ref="AT1578:BL1578"/>
    <mergeCell ref="AT1575:BL1575"/>
    <mergeCell ref="Y1576:AS1576"/>
    <mergeCell ref="BM1595:BZ1595"/>
    <mergeCell ref="B1595:X1595"/>
    <mergeCell ref="Y1578:AS1578"/>
    <mergeCell ref="BG1644:BP1644"/>
    <mergeCell ref="Y1583:AS1583"/>
    <mergeCell ref="U1642:AC1642"/>
    <mergeCell ref="U1638:AC1640"/>
    <mergeCell ref="BM1591:BZ1592"/>
    <mergeCell ref="BM1597:BZ1597"/>
    <mergeCell ref="BP1565:BZ1565"/>
    <mergeCell ref="BG1643:BP1643"/>
    <mergeCell ref="Y1696:AY1696"/>
    <mergeCell ref="AX1642:BF1642"/>
    <mergeCell ref="J1670:R1670"/>
    <mergeCell ref="AZ1695:BZ1695"/>
    <mergeCell ref="AZ1696:BZ1696"/>
    <mergeCell ref="B1662:BZ1662"/>
    <mergeCell ref="B1651:BZ1651"/>
    <mergeCell ref="B1652:BZ1652"/>
    <mergeCell ref="B1660:BZ1660"/>
    <mergeCell ref="B1658:BZ1658"/>
    <mergeCell ref="B1591:X1592"/>
    <mergeCell ref="B1700:X1700"/>
    <mergeCell ref="B1654:BZ1654"/>
    <mergeCell ref="Y1605:AS1605"/>
    <mergeCell ref="Y1604:AS1604"/>
    <mergeCell ref="B1659:BZ1659"/>
    <mergeCell ref="BM1593:BZ1593"/>
    <mergeCell ref="AX1641:BF1641"/>
    <mergeCell ref="AT1605:BL1605"/>
    <mergeCell ref="AX1643:BF1643"/>
    <mergeCell ref="B1649:BZ1649"/>
    <mergeCell ref="B1648:BZ1648"/>
    <mergeCell ref="BM1608:BZ1608"/>
    <mergeCell ref="BM1609:BZ1609"/>
    <mergeCell ref="U1636:AW1636"/>
    <mergeCell ref="BM1606:BZ1606"/>
    <mergeCell ref="B1599:X1599"/>
    <mergeCell ref="B1598:X1598"/>
    <mergeCell ref="Y1598:AS1598"/>
    <mergeCell ref="AT1598:BL1598"/>
    <mergeCell ref="Y1593:AS1593"/>
    <mergeCell ref="B1597:X1597"/>
    <mergeCell ref="B1636:T1640"/>
    <mergeCell ref="BM1600:BZ1600"/>
    <mergeCell ref="BM1604:BZ1604"/>
    <mergeCell ref="BM1607:BZ1607"/>
    <mergeCell ref="B1608:X1608"/>
    <mergeCell ref="Y1608:AS1608"/>
    <mergeCell ref="B1587:X1587"/>
    <mergeCell ref="AT1745:BD1745"/>
    <mergeCell ref="B1727:BZ1727"/>
    <mergeCell ref="BP1733:BZ1733"/>
    <mergeCell ref="BE1733:BO1733"/>
    <mergeCell ref="BP1732:BZ1732"/>
    <mergeCell ref="B1665:BZ1665"/>
    <mergeCell ref="B1666:BZ1666"/>
    <mergeCell ref="AX1644:BF1644"/>
    <mergeCell ref="BM1587:BZ1587"/>
    <mergeCell ref="BM1599:BZ1599"/>
    <mergeCell ref="B1718:BZ1718"/>
    <mergeCell ref="U1643:AC1643"/>
    <mergeCell ref="B1674:BZ1674"/>
    <mergeCell ref="U1644:AC1644"/>
    <mergeCell ref="Y1699:AY1699"/>
    <mergeCell ref="B1690:BZ1690"/>
    <mergeCell ref="B1661:BZ1661"/>
    <mergeCell ref="B1688:BZ1688"/>
    <mergeCell ref="AZ1701:BZ1701"/>
    <mergeCell ref="AZ1702:BZ1702"/>
    <mergeCell ref="B1709:BZ1709"/>
    <mergeCell ref="B1672:BZ1672"/>
    <mergeCell ref="BP1730:BZ1731"/>
    <mergeCell ref="AZ1697:BZ1697"/>
    <mergeCell ref="B1579:BZ1579"/>
    <mergeCell ref="BM1580:BZ1580"/>
    <mergeCell ref="B1585:X1585"/>
    <mergeCell ref="BM1584:BZ1584"/>
    <mergeCell ref="BM1585:BZ1585"/>
    <mergeCell ref="BM1576:BZ1576"/>
    <mergeCell ref="BM1578:BZ1578"/>
    <mergeCell ref="B1576:X1576"/>
    <mergeCell ref="B1583:X1583"/>
    <mergeCell ref="B1571:X1571"/>
    <mergeCell ref="BM1569:BZ1570"/>
    <mergeCell ref="B1569:X1570"/>
    <mergeCell ref="Y1569:AS1570"/>
    <mergeCell ref="BM1575:BZ1575"/>
    <mergeCell ref="B1575:X1575"/>
    <mergeCell ref="BM1571:BZ1571"/>
    <mergeCell ref="B1574:X1574"/>
    <mergeCell ref="AT1571:BL1571"/>
    <mergeCell ref="AT1573:BL1573"/>
    <mergeCell ref="B1578:X1578"/>
    <mergeCell ref="AT1586:BL1586"/>
    <mergeCell ref="Y1591:AS1592"/>
    <mergeCell ref="AT1591:BL1592"/>
    <mergeCell ref="B1601:BZ1601"/>
    <mergeCell ref="BM1598:BZ1598"/>
    <mergeCell ref="BM1602:BZ1602"/>
    <mergeCell ref="B1593:X1593"/>
    <mergeCell ref="BM1586:BZ1586"/>
    <mergeCell ref="AT1739:BD1739"/>
    <mergeCell ref="BP1746:BZ1746"/>
    <mergeCell ref="BP1736:BZ1736"/>
    <mergeCell ref="BE1744:BO1744"/>
    <mergeCell ref="B1712:BZ1712"/>
    <mergeCell ref="Y1697:AY1697"/>
    <mergeCell ref="AZ1698:BZ1698"/>
    <mergeCell ref="B1702:X1702"/>
    <mergeCell ref="B1714:BZ1714"/>
    <mergeCell ref="Y1702:AY1702"/>
    <mergeCell ref="B1710:BZ1710"/>
    <mergeCell ref="B1720:BZ1720"/>
    <mergeCell ref="BQ1642:BZ1642"/>
    <mergeCell ref="BP1744:BZ1744"/>
    <mergeCell ref="AH1742:AS1743"/>
    <mergeCell ref="AT1742:BD1743"/>
    <mergeCell ref="B1732:AG1732"/>
    <mergeCell ref="AT1736:BD1736"/>
    <mergeCell ref="BP1737:BZ1737"/>
    <mergeCell ref="BP1735:BZ1735"/>
    <mergeCell ref="B1733:AG1733"/>
    <mergeCell ref="AT1733:BD1733"/>
    <mergeCell ref="BE1738:BO1738"/>
    <mergeCell ref="B1594:BZ1594"/>
    <mergeCell ref="BE1749:BO1749"/>
    <mergeCell ref="B1650:BZ1650"/>
    <mergeCell ref="B1716:BZ1716"/>
    <mergeCell ref="B1677:BZ1677"/>
    <mergeCell ref="B1655:BZ1655"/>
    <mergeCell ref="B1656:BZ1656"/>
    <mergeCell ref="B1699:X1699"/>
    <mergeCell ref="B1687:BZ1687"/>
    <mergeCell ref="B1722:BZ1722"/>
    <mergeCell ref="B1691:BZ1691"/>
    <mergeCell ref="B1675:BZ1675"/>
    <mergeCell ref="B1676:BZ1676"/>
    <mergeCell ref="B1723:BZ1723"/>
    <mergeCell ref="B1683:BZ1683"/>
    <mergeCell ref="AT1744:BD1744"/>
    <mergeCell ref="B1751:AG1751"/>
    <mergeCell ref="B1744:AG1744"/>
    <mergeCell ref="AH1744:AS1744"/>
    <mergeCell ref="BP1747:BZ1747"/>
    <mergeCell ref="Y1698:AY1698"/>
    <mergeCell ref="B1701:X1701"/>
    <mergeCell ref="B1653:BZ1653"/>
    <mergeCell ref="Y1695:AY1695"/>
    <mergeCell ref="AH1734:AS1734"/>
    <mergeCell ref="AH1735:AS1735"/>
    <mergeCell ref="AH1736:AS1736"/>
    <mergeCell ref="B1734:AG1734"/>
    <mergeCell ref="AH1747:AS1747"/>
    <mergeCell ref="AT1735:BD1735"/>
    <mergeCell ref="B1726:BZ1726"/>
    <mergeCell ref="AT1737:BD1737"/>
    <mergeCell ref="BP1734:BZ1734"/>
    <mergeCell ref="BE1734:BO1734"/>
    <mergeCell ref="AH1732:AS1732"/>
    <mergeCell ref="BE1732:BO1732"/>
    <mergeCell ref="BE1730:BO1731"/>
    <mergeCell ref="AH1733:AS1733"/>
    <mergeCell ref="B1729:AG1731"/>
    <mergeCell ref="B1663:BZ1663"/>
    <mergeCell ref="B1721:BZ1721"/>
    <mergeCell ref="BP1756:BZ1757"/>
    <mergeCell ref="BP1758:BZ1758"/>
    <mergeCell ref="BD1758:BO1758"/>
    <mergeCell ref="BE1745:BO1745"/>
    <mergeCell ref="B1738:AG1738"/>
    <mergeCell ref="B1739:AG1739"/>
    <mergeCell ref="B1746:AG1746"/>
    <mergeCell ref="AH1741:BZ1741"/>
    <mergeCell ref="B1673:BZ1673"/>
    <mergeCell ref="BP1738:BZ1738"/>
    <mergeCell ref="B1679:BZ1679"/>
    <mergeCell ref="B1664:BZ1664"/>
    <mergeCell ref="B1711:BZ1711"/>
    <mergeCell ref="BE1746:BO1746"/>
    <mergeCell ref="B1748:AG1748"/>
    <mergeCell ref="AH1758:AS1758"/>
    <mergeCell ref="B1756:T1757"/>
    <mergeCell ref="B1735:AG1735"/>
    <mergeCell ref="B1736:AG1736"/>
    <mergeCell ref="BE1736:BO1736"/>
    <mergeCell ref="B1790:BZ1790"/>
    <mergeCell ref="BG1782:BZ1782"/>
    <mergeCell ref="V1782:AM1782"/>
    <mergeCell ref="B1788:BZ1788"/>
    <mergeCell ref="B1783:U1783"/>
    <mergeCell ref="V1783:AM1783"/>
    <mergeCell ref="AN1783:BF1783"/>
    <mergeCell ref="BE1750:BO1750"/>
    <mergeCell ref="J1763:N1763"/>
    <mergeCell ref="BP1761:BZ1761"/>
    <mergeCell ref="BD1761:BO1761"/>
    <mergeCell ref="AY1768:BL1768"/>
    <mergeCell ref="BM1768:BZ1768"/>
    <mergeCell ref="B1768:AX1768"/>
    <mergeCell ref="AT1758:BC1758"/>
    <mergeCell ref="BE1747:BO1747"/>
    <mergeCell ref="AH1746:AS1746"/>
    <mergeCell ref="BP1749:BZ1749"/>
    <mergeCell ref="B1749:AG1749"/>
    <mergeCell ref="U1761:AG1761"/>
    <mergeCell ref="B1750:AG1750"/>
    <mergeCell ref="B1760:T1760"/>
    <mergeCell ref="AT1760:BC1760"/>
    <mergeCell ref="B1759:T1759"/>
    <mergeCell ref="AT1748:BD1748"/>
    <mergeCell ref="AT1747:BD1747"/>
    <mergeCell ref="AT1756:BC1757"/>
    <mergeCell ref="B1758:T1758"/>
    <mergeCell ref="AH1751:AS1751"/>
    <mergeCell ref="AH1756:AS1757"/>
    <mergeCell ref="AH1748:AS1748"/>
    <mergeCell ref="U1758:AG1758"/>
    <mergeCell ref="BP1760:BZ1760"/>
    <mergeCell ref="AN1780:BF1780"/>
    <mergeCell ref="BG1780:BZ1780"/>
    <mergeCell ref="AH1745:AS1745"/>
    <mergeCell ref="BP1745:BZ1745"/>
    <mergeCell ref="AH1749:AS1749"/>
    <mergeCell ref="AT1749:BD1749"/>
    <mergeCell ref="U1760:AG1760"/>
    <mergeCell ref="BP1750:BZ1750"/>
    <mergeCell ref="U1759:AG1759"/>
    <mergeCell ref="BD1760:BO1760"/>
    <mergeCell ref="BP1759:BZ1759"/>
    <mergeCell ref="BG1783:BZ1783"/>
    <mergeCell ref="BG1781:BZ1781"/>
    <mergeCell ref="AY1770:BZ1770"/>
    <mergeCell ref="B1770:AX1770"/>
    <mergeCell ref="B1769:AX1769"/>
    <mergeCell ref="U1756:AG1757"/>
    <mergeCell ref="BD1759:BO1759"/>
    <mergeCell ref="BD1756:BO1757"/>
    <mergeCell ref="B1761:T1761"/>
    <mergeCell ref="AH1761:AS1761"/>
    <mergeCell ref="AH1759:AS1759"/>
    <mergeCell ref="AT1751:BD1751"/>
    <mergeCell ref="BE1751:BO1751"/>
    <mergeCell ref="BE1748:BO1748"/>
    <mergeCell ref="B1745:AG1745"/>
    <mergeCell ref="AH1760:AS1760"/>
    <mergeCell ref="BP1751:BZ1751"/>
    <mergeCell ref="AH1750:AS1750"/>
    <mergeCell ref="AT1759:BC1759"/>
    <mergeCell ref="AT1750:BD1750"/>
    <mergeCell ref="B1905:AK1905"/>
    <mergeCell ref="B1902:AK1902"/>
    <mergeCell ref="Q1839:AE1839"/>
    <mergeCell ref="BG1901:BZ1901"/>
    <mergeCell ref="BG1898:BZ1898"/>
    <mergeCell ref="AL1899:BF1899"/>
    <mergeCell ref="BG1899:BZ1899"/>
    <mergeCell ref="AL1900:BF1900"/>
    <mergeCell ref="AL1891:BF1891"/>
    <mergeCell ref="AL1901:BF1901"/>
    <mergeCell ref="B1780:U1780"/>
    <mergeCell ref="B1818:BZ1818"/>
    <mergeCell ref="BG1903:BZ1903"/>
    <mergeCell ref="AF1837:AV1837"/>
    <mergeCell ref="AW1837:BN1837"/>
    <mergeCell ref="BO1837:BZ1837"/>
    <mergeCell ref="AL1902:BF1902"/>
    <mergeCell ref="AL1896:BF1896"/>
    <mergeCell ref="B1899:AK1899"/>
    <mergeCell ref="B1839:P1839"/>
    <mergeCell ref="B1792:BZ1792"/>
    <mergeCell ref="B1786:BZ1786"/>
    <mergeCell ref="B1789:BZ1789"/>
    <mergeCell ref="B1791:BZ1791"/>
    <mergeCell ref="BG1896:BZ1896"/>
    <mergeCell ref="AL1893:BF1893"/>
    <mergeCell ref="B1896:AK1896"/>
    <mergeCell ref="AL1889:BF1890"/>
    <mergeCell ref="B1825:BZ1825"/>
    <mergeCell ref="BO1838:BZ1838"/>
    <mergeCell ref="B1830:BZ1830"/>
    <mergeCell ref="B1831:BZ1831"/>
    <mergeCell ref="B1897:AK1897"/>
    <mergeCell ref="B1920:AK1920"/>
    <mergeCell ref="B1798:BZ1798"/>
    <mergeCell ref="B1800:BZ1800"/>
    <mergeCell ref="B1803:BZ1803"/>
    <mergeCell ref="B1804:BZ1804"/>
    <mergeCell ref="B1904:AK1904"/>
    <mergeCell ref="BG1894:BZ1894"/>
    <mergeCell ref="AL1892:BF1892"/>
    <mergeCell ref="AW1846:BN1846"/>
    <mergeCell ref="BG1917:BZ1917"/>
    <mergeCell ref="BG1900:BZ1900"/>
    <mergeCell ref="B1891:AK1891"/>
    <mergeCell ref="AL1895:BF1895"/>
    <mergeCell ref="BG1892:BZ1892"/>
    <mergeCell ref="BG1897:BZ1897"/>
    <mergeCell ref="B1894:AK1894"/>
    <mergeCell ref="B1893:AK1893"/>
    <mergeCell ref="BG1891:BZ1891"/>
    <mergeCell ref="B1898:AK1898"/>
    <mergeCell ref="B1895:AK1895"/>
    <mergeCell ref="AL1897:BF1897"/>
    <mergeCell ref="B1906:AK1906"/>
    <mergeCell ref="BG1902:BZ1902"/>
    <mergeCell ref="AL1903:BF1903"/>
    <mergeCell ref="B1903:AK1903"/>
    <mergeCell ref="B1901:AK1901"/>
    <mergeCell ref="AL1905:BF1905"/>
    <mergeCell ref="AL1906:BF1906"/>
    <mergeCell ref="B1900:AK1900"/>
    <mergeCell ref="AL1898:BF1898"/>
    <mergeCell ref="BG1906:BZ1906"/>
    <mergeCell ref="B2061:BZ2061"/>
    <mergeCell ref="B2081:BZ2081"/>
    <mergeCell ref="B2049:BZ2049"/>
    <mergeCell ref="B2083:BZ2083"/>
    <mergeCell ref="B2076:BZ2076"/>
    <mergeCell ref="B2099:S2099"/>
    <mergeCell ref="B2064:BZ2064"/>
    <mergeCell ref="BN2097:BZ2097"/>
    <mergeCell ref="B2096:S2096"/>
    <mergeCell ref="AS2096:BC2096"/>
    <mergeCell ref="BD2096:BM2096"/>
    <mergeCell ref="AG2096:AR2096"/>
    <mergeCell ref="BD2099:BM2099"/>
    <mergeCell ref="BD2098:BM2098"/>
    <mergeCell ref="B2098:S2098"/>
    <mergeCell ref="B2072:BZ2072"/>
    <mergeCell ref="T2099:AF2099"/>
    <mergeCell ref="T2097:AF2097"/>
    <mergeCell ref="B2053:BZ2053"/>
    <mergeCell ref="BD2094:BM2095"/>
    <mergeCell ref="BN2096:BZ2096"/>
    <mergeCell ref="B2093:S2095"/>
    <mergeCell ref="AG2094:AR2095"/>
    <mergeCell ref="T2094:AF2095"/>
    <mergeCell ref="T2096:AF2096"/>
    <mergeCell ref="BN2094:BZ2095"/>
    <mergeCell ref="AS2094:BC2095"/>
    <mergeCell ref="T2093:BZ2093"/>
    <mergeCell ref="B2079:BZ2079"/>
    <mergeCell ref="B2056:BZ2056"/>
    <mergeCell ref="B2057:BZ2057"/>
    <mergeCell ref="B2047:BZ2047"/>
    <mergeCell ref="B2058:BZ2058"/>
    <mergeCell ref="B1999:BZ1999"/>
    <mergeCell ref="B2000:BZ2000"/>
    <mergeCell ref="B2063:BZ2063"/>
    <mergeCell ref="B2054:BZ2054"/>
    <mergeCell ref="B2051:BZ2051"/>
    <mergeCell ref="B2059:BZ2059"/>
    <mergeCell ref="B2017:BA2017"/>
    <mergeCell ref="B2071:BZ2071"/>
    <mergeCell ref="BD2101:BM2101"/>
    <mergeCell ref="T2110:AF2110"/>
    <mergeCell ref="T2100:AF2100"/>
    <mergeCell ref="AG2106:AR2106"/>
    <mergeCell ref="AG2107:AR2107"/>
    <mergeCell ref="AG2100:AR2100"/>
    <mergeCell ref="AS2101:BC2101"/>
    <mergeCell ref="AS2103:BC2103"/>
    <mergeCell ref="T2103:AF2103"/>
    <mergeCell ref="AG2110:AR2110"/>
    <mergeCell ref="AG2099:AR2099"/>
    <mergeCell ref="AS2106:BC2106"/>
    <mergeCell ref="AS2105:BC2105"/>
    <mergeCell ref="B2109:S2109"/>
    <mergeCell ref="AG2101:AR2101"/>
    <mergeCell ref="B2097:S2097"/>
    <mergeCell ref="B2108:S2108"/>
    <mergeCell ref="B2102:S2102"/>
    <mergeCell ref="B2101:S2101"/>
    <mergeCell ref="T2106:AF2106"/>
    <mergeCell ref="B2104:S2104"/>
    <mergeCell ref="BN2098:BZ2098"/>
    <mergeCell ref="BD2107:BM2107"/>
    <mergeCell ref="BD2114:BM2114"/>
    <mergeCell ref="BN2111:BZ2111"/>
    <mergeCell ref="AS2110:BC2110"/>
    <mergeCell ref="AS2108:BC2108"/>
    <mergeCell ref="BD2110:BM2110"/>
    <mergeCell ref="BN2112:BZ2112"/>
    <mergeCell ref="BN2107:BZ2107"/>
    <mergeCell ref="T2112:AF2112"/>
    <mergeCell ref="B2112:S2112"/>
    <mergeCell ref="AG2104:AR2104"/>
    <mergeCell ref="AS2113:BC2113"/>
    <mergeCell ref="AS2107:BC2107"/>
    <mergeCell ref="BN2108:BZ2108"/>
    <mergeCell ref="BD2113:BM2113"/>
    <mergeCell ref="BN2113:BZ2113"/>
    <mergeCell ref="AG2114:AR2114"/>
    <mergeCell ref="T2109:AF2109"/>
    <mergeCell ref="AG2111:AR2111"/>
    <mergeCell ref="AS2109:BC2109"/>
    <mergeCell ref="BN2110:BZ2110"/>
    <mergeCell ref="BD2111:BM2111"/>
    <mergeCell ref="T2111:AF2111"/>
    <mergeCell ref="BD2118:BM2118"/>
    <mergeCell ref="BN2118:BZ2118"/>
    <mergeCell ref="BN2117:BZ2117"/>
    <mergeCell ref="AS2115:BC2115"/>
    <mergeCell ref="BD2127:BM2127"/>
    <mergeCell ref="AS2127:BC2127"/>
    <mergeCell ref="T2134:AF2134"/>
    <mergeCell ref="T2130:AF2130"/>
    <mergeCell ref="AG2131:AR2131"/>
    <mergeCell ref="AS2131:BC2131"/>
    <mergeCell ref="T2127:AF2127"/>
    <mergeCell ref="BD2131:BM2131"/>
    <mergeCell ref="T2131:AF2131"/>
    <mergeCell ref="T2128:AF2128"/>
    <mergeCell ref="AG2130:AR2130"/>
    <mergeCell ref="T2129:AF2129"/>
    <mergeCell ref="AG2127:AR2127"/>
    <mergeCell ref="T2118:AF2118"/>
    <mergeCell ref="AG2118:AR2118"/>
    <mergeCell ref="BD2134:BM2134"/>
    <mergeCell ref="BN2134:BZ2134"/>
    <mergeCell ref="T2122:BZ2122"/>
    <mergeCell ref="AS2130:BC2130"/>
    <mergeCell ref="BD2130:BM2130"/>
    <mergeCell ref="AS2123:BC2124"/>
    <mergeCell ref="BN2116:BZ2116"/>
    <mergeCell ref="BN2125:BZ2125"/>
    <mergeCell ref="BN2123:BZ2124"/>
    <mergeCell ref="AS2125:BC2125"/>
    <mergeCell ref="BN2131:BZ2131"/>
    <mergeCell ref="AS2117:BC2117"/>
    <mergeCell ref="BD2117:BM2117"/>
    <mergeCell ref="B2126:S2126"/>
    <mergeCell ref="T2113:AF2113"/>
    <mergeCell ref="AG2129:AR2129"/>
    <mergeCell ref="AS2126:BC2126"/>
    <mergeCell ref="B2117:S2117"/>
    <mergeCell ref="T2123:AF2124"/>
    <mergeCell ref="AG2123:AR2124"/>
    <mergeCell ref="T2125:AF2125"/>
    <mergeCell ref="T2126:AF2126"/>
    <mergeCell ref="AS2116:BC2116"/>
    <mergeCell ref="B2116:S2116"/>
    <mergeCell ref="B2125:S2125"/>
    <mergeCell ref="B2127:S2127"/>
    <mergeCell ref="B2115:S2115"/>
    <mergeCell ref="B2118:S2118"/>
    <mergeCell ref="B2444:AL2444"/>
    <mergeCell ref="B2136:S2136"/>
    <mergeCell ref="AG2137:AR2137"/>
    <mergeCell ref="AG2133:AR2133"/>
    <mergeCell ref="AX2225:BF2225"/>
    <mergeCell ref="U2226:AC2226"/>
    <mergeCell ref="BA2233:BZ2233"/>
    <mergeCell ref="B2236:AA2236"/>
    <mergeCell ref="BD2129:BM2129"/>
    <mergeCell ref="AS2129:BC2129"/>
    <mergeCell ref="B2133:S2133"/>
    <mergeCell ref="T2363:AA2364"/>
    <mergeCell ref="T2335:AA2335"/>
    <mergeCell ref="T2337:AA2337"/>
    <mergeCell ref="T2338:AA2338"/>
    <mergeCell ref="T2340:AA2340"/>
    <mergeCell ref="B2286:BZ2286"/>
    <mergeCell ref="B2134:S2134"/>
    <mergeCell ref="B2137:S2137"/>
    <mergeCell ref="B2447:AL2447"/>
    <mergeCell ref="AM2445:BF2445"/>
    <mergeCell ref="B2445:AL2445"/>
    <mergeCell ref="BG2444:BZ2444"/>
    <mergeCell ref="AM2442:BF2442"/>
    <mergeCell ref="B2245:BZ2245"/>
    <mergeCell ref="B2446:AL2446"/>
    <mergeCell ref="B2443:AL2443"/>
    <mergeCell ref="AI2274:AT2274"/>
    <mergeCell ref="BM2370:BZ2370"/>
    <mergeCell ref="J2215:N2215"/>
    <mergeCell ref="AI2370:AP2370"/>
    <mergeCell ref="B2165:BZ2165"/>
    <mergeCell ref="AM2443:BF2443"/>
    <mergeCell ref="B2158:BZ2158"/>
    <mergeCell ref="AG2144:AR2144"/>
    <mergeCell ref="BN2135:BZ2135"/>
    <mergeCell ref="B2159:BZ2159"/>
    <mergeCell ref="B2161:BZ2161"/>
    <mergeCell ref="B2192:BZ2192"/>
    <mergeCell ref="B2175:BZ2175"/>
    <mergeCell ref="AS2139:BC2139"/>
    <mergeCell ref="AG2134:AR2134"/>
    <mergeCell ref="AB2236:AZ2236"/>
    <mergeCell ref="AB2237:AZ2237"/>
    <mergeCell ref="B2225:T2225"/>
    <mergeCell ref="AB2233:AZ2233"/>
    <mergeCell ref="B2237:AA2237"/>
    <mergeCell ref="B2261:BZ2261"/>
    <mergeCell ref="B2235:AA2235"/>
    <mergeCell ref="BN2132:BZ2132"/>
    <mergeCell ref="B2132:S2132"/>
    <mergeCell ref="B2178:BZ2178"/>
    <mergeCell ref="T2144:AF2144"/>
    <mergeCell ref="B2176:BZ2176"/>
    <mergeCell ref="J2173:R2173"/>
    <mergeCell ref="AS2145:BC2145"/>
    <mergeCell ref="BD2145:BM2145"/>
    <mergeCell ref="B2204:AA2204"/>
    <mergeCell ref="B2247:BZ2247"/>
    <mergeCell ref="B2179:BZ2179"/>
    <mergeCell ref="B2191:BZ2191"/>
    <mergeCell ref="B2131:S2131"/>
    <mergeCell ref="B2138:S2138"/>
    <mergeCell ref="AS2137:BC2137"/>
    <mergeCell ref="T2133:AF2133"/>
    <mergeCell ref="B2177:BZ2177"/>
    <mergeCell ref="AS2143:BC2143"/>
    <mergeCell ref="AG2142:AR2142"/>
    <mergeCell ref="B2135:S2135"/>
    <mergeCell ref="BD2139:BM2139"/>
    <mergeCell ref="BD2135:BM2135"/>
    <mergeCell ref="B2181:BZ2181"/>
    <mergeCell ref="B2145:S2145"/>
    <mergeCell ref="B2166:BZ2166"/>
    <mergeCell ref="B2139:S2139"/>
    <mergeCell ref="B2150:BZ2150"/>
    <mergeCell ref="B2143:S2143"/>
    <mergeCell ref="AS2146:BC2146"/>
    <mergeCell ref="AS2135:BC2135"/>
    <mergeCell ref="AG2136:AR2136"/>
    <mergeCell ref="BN2136:BZ2136"/>
    <mergeCell ref="AG2135:AR2135"/>
    <mergeCell ref="B2142:S2142"/>
    <mergeCell ref="B2153:BZ2153"/>
    <mergeCell ref="BD2137:BM2137"/>
    <mergeCell ref="BN2140:BZ2140"/>
    <mergeCell ref="B2141:S2141"/>
    <mergeCell ref="AG2141:AR2141"/>
    <mergeCell ref="B2140:S2140"/>
    <mergeCell ref="T2137:AF2137"/>
    <mergeCell ref="AG2146:AR2146"/>
    <mergeCell ref="B2144:S2144"/>
    <mergeCell ref="AB2202:BA2202"/>
    <mergeCell ref="AB2203:BA2203"/>
    <mergeCell ref="AD2224:AK2224"/>
    <mergeCell ref="U2220:AC2222"/>
    <mergeCell ref="AB2201:BA2201"/>
    <mergeCell ref="AL2224:AW2224"/>
    <mergeCell ref="BQ2223:BZ2223"/>
    <mergeCell ref="BG2224:BP2224"/>
    <mergeCell ref="BG2223:BP2223"/>
    <mergeCell ref="AD2223:AK2223"/>
    <mergeCell ref="AL2223:AW2223"/>
    <mergeCell ref="AS2142:BC2142"/>
    <mergeCell ref="AS2147:BC2147"/>
    <mergeCell ref="AG2138:AR2138"/>
    <mergeCell ref="AS2141:BC2141"/>
    <mergeCell ref="T2140:AF2140"/>
    <mergeCell ref="AG2140:AR2140"/>
    <mergeCell ref="AS2140:BC2140"/>
    <mergeCell ref="BD2140:BM2140"/>
    <mergeCell ref="B2185:BZ2185"/>
    <mergeCell ref="AS2136:BC2136"/>
    <mergeCell ref="T2142:AF2142"/>
    <mergeCell ref="AB2200:BA2200"/>
    <mergeCell ref="B2223:T2223"/>
    <mergeCell ref="BQ2224:BZ2224"/>
    <mergeCell ref="T2143:AF2143"/>
    <mergeCell ref="AG2143:AR2143"/>
    <mergeCell ref="B2183:BZ2183"/>
    <mergeCell ref="BQ2220:BZ2222"/>
    <mergeCell ref="B2218:T2222"/>
    <mergeCell ref="AX2223:BF2223"/>
    <mergeCell ref="B2186:BZ2186"/>
    <mergeCell ref="B2184:BZ2184"/>
    <mergeCell ref="B2180:BZ2180"/>
    <mergeCell ref="AB2199:BA2199"/>
    <mergeCell ref="B2224:T2224"/>
    <mergeCell ref="BD2146:BM2146"/>
    <mergeCell ref="BN2145:BZ2145"/>
    <mergeCell ref="BD2143:BM2143"/>
    <mergeCell ref="BN2143:BZ2143"/>
    <mergeCell ref="BD2142:BM2142"/>
    <mergeCell ref="BN2142:BZ2142"/>
    <mergeCell ref="BN2146:BZ2146"/>
    <mergeCell ref="BC2213:BZ2213"/>
    <mergeCell ref="B2167:BZ2167"/>
    <mergeCell ref="AX2224:BF2224"/>
    <mergeCell ref="AX2220:BF2222"/>
    <mergeCell ref="B2146:S2146"/>
    <mergeCell ref="B2198:AA2199"/>
    <mergeCell ref="B2160:BZ2160"/>
    <mergeCell ref="B2155:BZ2155"/>
    <mergeCell ref="B2193:BZ2193"/>
    <mergeCell ref="B2182:BZ2182"/>
    <mergeCell ref="U2276:AH2276"/>
    <mergeCell ref="B2295:BZ2295"/>
    <mergeCell ref="AU2273:BF2273"/>
    <mergeCell ref="AU2274:BF2274"/>
    <mergeCell ref="AM2432:BF2432"/>
    <mergeCell ref="BG2275:BP2275"/>
    <mergeCell ref="AM2431:BF2431"/>
    <mergeCell ref="B2424:AL2424"/>
    <mergeCell ref="T2390:AA2390"/>
    <mergeCell ref="B2310:BZ2310"/>
    <mergeCell ref="B2311:BZ2311"/>
    <mergeCell ref="B2312:BZ2312"/>
    <mergeCell ref="BM2338:BZ2338"/>
    <mergeCell ref="B2336:BZ2336"/>
    <mergeCell ref="B2303:BZ2303"/>
    <mergeCell ref="AB2343:AH2343"/>
    <mergeCell ref="AI2273:AT2273"/>
    <mergeCell ref="BG2279:BP2279"/>
    <mergeCell ref="BG2276:BP2276"/>
    <mergeCell ref="B2315:BZ2315"/>
    <mergeCell ref="T2371:AA2371"/>
    <mergeCell ref="AB2371:AH2371"/>
    <mergeCell ref="BA2371:BL2371"/>
    <mergeCell ref="B2340:S2340"/>
    <mergeCell ref="BM2340:BZ2340"/>
    <mergeCell ref="B2314:BZ2314"/>
    <mergeCell ref="AM2428:BF2428"/>
    <mergeCell ref="AQ2375:AZ2375"/>
    <mergeCell ref="B2371:S2371"/>
    <mergeCell ref="AB2369:AH2369"/>
    <mergeCell ref="AI2367:AP2367"/>
    <mergeCell ref="AB2337:AH2337"/>
    <mergeCell ref="B2285:BZ2285"/>
    <mergeCell ref="B2316:BZ2316"/>
    <mergeCell ref="J2307:R2307"/>
    <mergeCell ref="T2339:AA2339"/>
    <mergeCell ref="B2287:BZ2287"/>
    <mergeCell ref="B2292:BZ2292"/>
    <mergeCell ref="B2337:S2337"/>
    <mergeCell ref="B2290:BZ2290"/>
    <mergeCell ref="B2301:BZ2301"/>
    <mergeCell ref="B2293:BZ2293"/>
    <mergeCell ref="B2309:BZ2309"/>
    <mergeCell ref="AQ2337:AZ2337"/>
    <mergeCell ref="B2344:S2344"/>
    <mergeCell ref="AI2350:AP2350"/>
    <mergeCell ref="AQ2367:AZ2367"/>
    <mergeCell ref="B2349:S2349"/>
    <mergeCell ref="AB2345:AH2345"/>
    <mergeCell ref="AI2345:AP2345"/>
    <mergeCell ref="B2324:BZ2324"/>
    <mergeCell ref="BM2343:BZ2343"/>
    <mergeCell ref="AI2343:AP2343"/>
    <mergeCell ref="AQ2343:AZ2343"/>
    <mergeCell ref="AQ2334:AZ2334"/>
    <mergeCell ref="AB2335:AH2335"/>
    <mergeCell ref="BM2337:BZ2337"/>
    <mergeCell ref="BA2334:BL2334"/>
    <mergeCell ref="BM2334:BZ2334"/>
    <mergeCell ref="AB2339:AH2339"/>
    <mergeCell ref="AI2337:AP2337"/>
    <mergeCell ref="BM2335:BZ2335"/>
    <mergeCell ref="BA2337:BL2337"/>
    <mergeCell ref="AQ2335:AZ2335"/>
    <mergeCell ref="B2438:AL2438"/>
    <mergeCell ref="AM2437:BF2437"/>
    <mergeCell ref="BM2367:BZ2367"/>
    <mergeCell ref="B2390:S2390"/>
    <mergeCell ref="B2431:AL2431"/>
    <mergeCell ref="B2407:AL2408"/>
    <mergeCell ref="AI2390:AP2390"/>
    <mergeCell ref="AM2421:BF2421"/>
    <mergeCell ref="BM2369:BZ2369"/>
    <mergeCell ref="AI2375:AP2375"/>
    <mergeCell ref="AM2435:BF2435"/>
    <mergeCell ref="B2392:S2392"/>
    <mergeCell ref="AM2415:BF2415"/>
    <mergeCell ref="B2378:S2378"/>
    <mergeCell ref="B2376:S2376"/>
    <mergeCell ref="BA2396:BL2396"/>
    <mergeCell ref="BA2390:BL2390"/>
    <mergeCell ref="AQ2370:AZ2370"/>
    <mergeCell ref="T2383:AA2383"/>
    <mergeCell ref="B2437:AL2437"/>
    <mergeCell ref="AM2433:BF2433"/>
    <mergeCell ref="B2433:AL2433"/>
    <mergeCell ref="B2413:AL2413"/>
    <mergeCell ref="BG2435:BZ2435"/>
    <mergeCell ref="BG2431:BZ2431"/>
    <mergeCell ref="BA2375:BL2375"/>
    <mergeCell ref="BM2375:BZ2375"/>
    <mergeCell ref="BM2373:BZ2373"/>
    <mergeCell ref="BA2374:BL2374"/>
    <mergeCell ref="AI2373:AP2373"/>
    <mergeCell ref="B2373:S2373"/>
    <mergeCell ref="T2373:AA2373"/>
    <mergeCell ref="BM2345:BZ2345"/>
    <mergeCell ref="BA2351:BL2351"/>
    <mergeCell ref="BA2344:BL2344"/>
    <mergeCell ref="BM2351:BZ2351"/>
    <mergeCell ref="BA2363:BL2363"/>
    <mergeCell ref="B2342:S2342"/>
    <mergeCell ref="B2323:BZ2323"/>
    <mergeCell ref="AQ2338:AZ2338"/>
    <mergeCell ref="BG2434:BZ2434"/>
    <mergeCell ref="B2434:AL2434"/>
    <mergeCell ref="B2435:AL2435"/>
    <mergeCell ref="B2436:AL2436"/>
    <mergeCell ref="T2345:AA2345"/>
    <mergeCell ref="B2346:S2346"/>
    <mergeCell ref="AI2379:AP2379"/>
    <mergeCell ref="T2379:AA2379"/>
    <mergeCell ref="T2380:AA2380"/>
    <mergeCell ref="AI2385:AP2385"/>
    <mergeCell ref="B2354:S2354"/>
    <mergeCell ref="AB2351:AH2351"/>
    <mergeCell ref="B2363:S2364"/>
    <mergeCell ref="T2369:AA2369"/>
    <mergeCell ref="B2326:BZ2326"/>
    <mergeCell ref="B2327:BZ2327"/>
    <mergeCell ref="B2335:S2335"/>
    <mergeCell ref="AQ2363:AZ2363"/>
    <mergeCell ref="AQ2364:AZ2364"/>
    <mergeCell ref="B2328:BZ2328"/>
    <mergeCell ref="B2339:S2339"/>
    <mergeCell ref="B2338:S2338"/>
    <mergeCell ref="B2325:BZ2325"/>
    <mergeCell ref="BA2335:BL2335"/>
    <mergeCell ref="BA2376:BL2376"/>
    <mergeCell ref="AQ2376:AZ2376"/>
    <mergeCell ref="AB2387:AH2387"/>
    <mergeCell ref="AB2378:AH2378"/>
    <mergeCell ref="BA2385:BL2385"/>
    <mergeCell ref="AQ2395:AZ2395"/>
    <mergeCell ref="BA2395:BL2395"/>
    <mergeCell ref="B2352:S2352"/>
    <mergeCell ref="B2356:S2356"/>
    <mergeCell ref="T2365:AA2365"/>
    <mergeCell ref="AB2365:AH2365"/>
    <mergeCell ref="T2372:AA2372"/>
    <mergeCell ref="AI2369:AP2369"/>
    <mergeCell ref="AI2372:AP2372"/>
    <mergeCell ref="T2367:AA2367"/>
    <mergeCell ref="AI2368:AP2368"/>
    <mergeCell ref="AI2363:AP2364"/>
    <mergeCell ref="B2353:S2353"/>
    <mergeCell ref="K2359:P2359"/>
    <mergeCell ref="AB2363:AH2364"/>
    <mergeCell ref="AB2368:AH2368"/>
    <mergeCell ref="B2380:S2380"/>
    <mergeCell ref="T2393:AA2393"/>
    <mergeCell ref="AB2381:AH2381"/>
    <mergeCell ref="B2370:S2370"/>
    <mergeCell ref="AI2365:AP2365"/>
    <mergeCell ref="AB2367:AH2367"/>
    <mergeCell ref="AB2355:AH2355"/>
    <mergeCell ref="AI2355:AP2355"/>
    <mergeCell ref="T2357:AA2357"/>
    <mergeCell ref="B2367:S2367"/>
    <mergeCell ref="B2366:BZ2366"/>
    <mergeCell ref="B2382:S2382"/>
    <mergeCell ref="B2386:S2386"/>
    <mergeCell ref="B2389:S2389"/>
    <mergeCell ref="AB2383:AH2383"/>
    <mergeCell ref="T2370:AA2370"/>
    <mergeCell ref="AB2380:AH2380"/>
    <mergeCell ref="AI2380:AP2380"/>
    <mergeCell ref="AB2379:AH2379"/>
    <mergeCell ref="AI2374:AP2374"/>
    <mergeCell ref="B2379:S2379"/>
    <mergeCell ref="B2372:S2372"/>
    <mergeCell ref="AB2370:AH2370"/>
    <mergeCell ref="AM2417:BF2417"/>
    <mergeCell ref="AM2416:BF2416"/>
    <mergeCell ref="BG2417:BZ2417"/>
    <mergeCell ref="BG2423:BZ2423"/>
    <mergeCell ref="AM2422:BF2422"/>
    <mergeCell ref="B2415:AL2415"/>
    <mergeCell ref="BG2420:BZ2420"/>
    <mergeCell ref="B2412:AL2412"/>
    <mergeCell ref="B2411:AL2411"/>
    <mergeCell ref="AQ2396:AZ2396"/>
    <mergeCell ref="BG2411:BZ2411"/>
    <mergeCell ref="AB2395:AH2395"/>
    <mergeCell ref="AQ2394:AZ2394"/>
    <mergeCell ref="AI2395:AP2395"/>
    <mergeCell ref="BM2391:BZ2391"/>
    <mergeCell ref="AB2390:AH2390"/>
    <mergeCell ref="BM2395:BZ2395"/>
    <mergeCell ref="BA2381:BL2381"/>
    <mergeCell ref="BM2381:BZ2381"/>
    <mergeCell ref="AI2394:AP2394"/>
    <mergeCell ref="B2425:AL2425"/>
    <mergeCell ref="B2416:AL2416"/>
    <mergeCell ref="B2423:AL2423"/>
    <mergeCell ref="B2426:AL2426"/>
    <mergeCell ref="AM2413:BF2413"/>
    <mergeCell ref="B2397:S2397"/>
    <mergeCell ref="B2395:S2395"/>
    <mergeCell ref="AQ2385:AZ2385"/>
    <mergeCell ref="B2384:S2384"/>
    <mergeCell ref="AQ2389:AZ2389"/>
    <mergeCell ref="BA2389:BL2389"/>
    <mergeCell ref="AI2392:AP2392"/>
    <mergeCell ref="B2396:S2396"/>
    <mergeCell ref="T2397:AA2397"/>
    <mergeCell ref="AI2387:AP2387"/>
    <mergeCell ref="BG2419:BZ2419"/>
    <mergeCell ref="BG2609:BQ2609"/>
    <mergeCell ref="BG2416:BZ2416"/>
    <mergeCell ref="BG2415:BZ2415"/>
    <mergeCell ref="AM2420:BF2420"/>
    <mergeCell ref="BG2425:BZ2425"/>
    <mergeCell ref="BG2428:BZ2428"/>
    <mergeCell ref="B2428:AL2428"/>
    <mergeCell ref="AM2429:BF2429"/>
    <mergeCell ref="BG2429:BZ2429"/>
    <mergeCell ref="AM2430:BF2430"/>
    <mergeCell ref="AM2423:BF2423"/>
    <mergeCell ref="BG2430:BZ2430"/>
    <mergeCell ref="B2589:BZ2589"/>
    <mergeCell ref="B2537:AD2537"/>
    <mergeCell ref="AB2394:AH2394"/>
    <mergeCell ref="B2427:AL2427"/>
    <mergeCell ref="BG2424:BZ2424"/>
    <mergeCell ref="AM2424:BF2424"/>
    <mergeCell ref="AM2426:BF2426"/>
    <mergeCell ref="BG2421:BZ2421"/>
    <mergeCell ref="BG2427:BZ2427"/>
    <mergeCell ref="AM2425:BF2425"/>
    <mergeCell ref="B2421:AL2421"/>
    <mergeCell ref="AM2414:BF2414"/>
    <mergeCell ref="BG2422:BZ2422"/>
    <mergeCell ref="AM2427:BF2427"/>
    <mergeCell ref="AM2418:BF2418"/>
    <mergeCell ref="BG2414:BZ2414"/>
    <mergeCell ref="B2744:BZ2744"/>
    <mergeCell ref="B2745:BZ2745"/>
    <mergeCell ref="B2746:BZ2746"/>
    <mergeCell ref="B2787:BZ2787"/>
    <mergeCell ref="BF2766:BZ2766"/>
    <mergeCell ref="AK2765:BE2765"/>
    <mergeCell ref="AK2768:BE2768"/>
    <mergeCell ref="B2768:AJ2768"/>
    <mergeCell ref="B2646:S2646"/>
    <mergeCell ref="B2647:S2647"/>
    <mergeCell ref="B2762:AJ2762"/>
    <mergeCell ref="AK2762:BE2762"/>
    <mergeCell ref="B2740:BZ2740"/>
    <mergeCell ref="B2742:BZ2742"/>
    <mergeCell ref="B2754:BZ2754"/>
    <mergeCell ref="AS2649:BC2649"/>
    <mergeCell ref="AL2712:BF2712"/>
    <mergeCell ref="BG2731:BZ2731"/>
    <mergeCell ref="AL2732:BF2732"/>
    <mergeCell ref="BG2732:BZ2732"/>
    <mergeCell ref="B2668:BZ2668"/>
    <mergeCell ref="AS2653:BC2653"/>
    <mergeCell ref="J3069:N3069"/>
    <mergeCell ref="AV3065:BZ3065"/>
    <mergeCell ref="AV3062:BZ3062"/>
    <mergeCell ref="BO2988:BS2988"/>
    <mergeCell ref="BD2983:BN2983"/>
    <mergeCell ref="B2984:AE2984"/>
    <mergeCell ref="B3005:BZ3005"/>
    <mergeCell ref="B3029:BZ3029"/>
    <mergeCell ref="B3025:BZ3025"/>
    <mergeCell ref="BT2990:BZ2990"/>
    <mergeCell ref="BT2987:BZ2987"/>
    <mergeCell ref="AF2987:AQ2987"/>
    <mergeCell ref="AR2981:AV2981"/>
    <mergeCell ref="B3045:AU3045"/>
    <mergeCell ref="B3060:AU3060"/>
    <mergeCell ref="AV3053:BZ3053"/>
    <mergeCell ref="B3044:AU3044"/>
    <mergeCell ref="B2981:AE2981"/>
    <mergeCell ref="B2982:AE2982"/>
    <mergeCell ref="AV3051:BZ3051"/>
    <mergeCell ref="J3055:N3055"/>
    <mergeCell ref="B3053:AU3053"/>
    <mergeCell ref="B3034:BZ3034"/>
    <mergeCell ref="T2653:AE2653"/>
    <mergeCell ref="B2843:AV2843"/>
    <mergeCell ref="B2816:AV2816"/>
    <mergeCell ref="BM2835:BZ2835"/>
    <mergeCell ref="BM2833:BZ2833"/>
    <mergeCell ref="AW2833:BL2833"/>
    <mergeCell ref="B2835:AV2835"/>
    <mergeCell ref="B3030:BZ3030"/>
    <mergeCell ref="B3043:AU3043"/>
    <mergeCell ref="B3036:BZ3036"/>
    <mergeCell ref="AV3050:BZ3050"/>
    <mergeCell ref="B3049:AU3049"/>
    <mergeCell ref="B3035:BZ3035"/>
    <mergeCell ref="AV3043:BZ3043"/>
    <mergeCell ref="J3041:N3041"/>
    <mergeCell ref="AW2987:BC2987"/>
    <mergeCell ref="B2986:AE2986"/>
    <mergeCell ref="AF2984:AQ2984"/>
    <mergeCell ref="BT2984:BZ2984"/>
    <mergeCell ref="BO2986:BS2986"/>
    <mergeCell ref="BO2982:BS2982"/>
    <mergeCell ref="B3021:BZ3021"/>
    <mergeCell ref="B3063:AU3063"/>
    <mergeCell ref="B3061:AU3061"/>
    <mergeCell ref="AV3058:BZ3058"/>
    <mergeCell ref="B3050:AU3050"/>
    <mergeCell ref="B3051:AU3051"/>
    <mergeCell ref="B3052:AU3052"/>
    <mergeCell ref="AV3048:BZ3048"/>
    <mergeCell ref="B3028:BZ3028"/>
    <mergeCell ref="B3026:BZ3026"/>
    <mergeCell ref="AV3045:BZ3045"/>
    <mergeCell ref="BD2982:BN2982"/>
    <mergeCell ref="BO2983:BS2983"/>
    <mergeCell ref="AW2983:BC2983"/>
    <mergeCell ref="AR2986:AV2986"/>
    <mergeCell ref="AW2986:BC2986"/>
    <mergeCell ref="AF2983:AQ2983"/>
    <mergeCell ref="B2997:BZ2997"/>
    <mergeCell ref="AV3047:BZ3047"/>
    <mergeCell ref="B3032:BZ3032"/>
    <mergeCell ref="B3031:BZ3031"/>
    <mergeCell ref="AW2984:BC2984"/>
    <mergeCell ref="B3033:BZ3033"/>
    <mergeCell ref="AV3046:BZ3046"/>
    <mergeCell ref="AW2990:BC2990"/>
    <mergeCell ref="AF2989:AQ2989"/>
    <mergeCell ref="AF2990:AQ2990"/>
    <mergeCell ref="BM3237:BZ3237"/>
    <mergeCell ref="B3290:AB3290"/>
    <mergeCell ref="AK3247:AX3247"/>
    <mergeCell ref="AY3247:BL3247"/>
    <mergeCell ref="BM3243:BZ3243"/>
    <mergeCell ref="B3246:AJ3246"/>
    <mergeCell ref="AK3246:BZ3246"/>
    <mergeCell ref="AR3284:BZ3284"/>
    <mergeCell ref="AW2989:BC2989"/>
    <mergeCell ref="BT2989:BZ2989"/>
    <mergeCell ref="BD2990:BN2990"/>
    <mergeCell ref="BT2988:BZ2988"/>
    <mergeCell ref="AV3061:BZ3061"/>
    <mergeCell ref="BT2985:BZ2985"/>
    <mergeCell ref="AY3245:BL3245"/>
    <mergeCell ref="AK3243:AX3243"/>
    <mergeCell ref="AK3234:BZ3234"/>
    <mergeCell ref="B3268:BZ3268"/>
    <mergeCell ref="B3269:BZ3269"/>
    <mergeCell ref="B3270:BZ3270"/>
    <mergeCell ref="B3275:BZ3275"/>
    <mergeCell ref="B3277:BZ3277"/>
    <mergeCell ref="B3276:BZ3276"/>
    <mergeCell ref="AW2981:BC2981"/>
    <mergeCell ref="B2999:BZ2999"/>
    <mergeCell ref="AR2983:AV2983"/>
    <mergeCell ref="B3011:BZ3011"/>
    <mergeCell ref="BD2985:BN2985"/>
    <mergeCell ref="B2990:AE2990"/>
    <mergeCell ref="B3047:AU3047"/>
    <mergeCell ref="B3022:BZ3022"/>
    <mergeCell ref="B3023:BZ3023"/>
    <mergeCell ref="B3024:BZ3024"/>
    <mergeCell ref="B3037:BZ3037"/>
    <mergeCell ref="B3012:BZ3012"/>
    <mergeCell ref="B3019:BZ3019"/>
    <mergeCell ref="AR2990:AV2990"/>
    <mergeCell ref="B3004:BZ3004"/>
    <mergeCell ref="B3000:BZ3000"/>
    <mergeCell ref="B2987:AE2987"/>
    <mergeCell ref="AR2988:AV2988"/>
    <mergeCell ref="B2998:BZ2998"/>
    <mergeCell ref="AW2988:BC2988"/>
    <mergeCell ref="AF2988:AQ2988"/>
    <mergeCell ref="BO2984:BS2984"/>
    <mergeCell ref="BD2984:BN2984"/>
    <mergeCell ref="AR2985:AV2985"/>
    <mergeCell ref="B3020:BZ3020"/>
    <mergeCell ref="BO2990:BS2990"/>
    <mergeCell ref="J3016:R3016"/>
    <mergeCell ref="B3001:BZ3001"/>
    <mergeCell ref="B3018:BZ3018"/>
    <mergeCell ref="BD2988:BN2988"/>
    <mergeCell ref="BD2989:BN2989"/>
    <mergeCell ref="B2996:BZ2996"/>
    <mergeCell ref="B3719:BZ3719"/>
    <mergeCell ref="B3411:S3411"/>
    <mergeCell ref="AG3399:AR3400"/>
    <mergeCell ref="B3408:S3408"/>
    <mergeCell ref="T3409:AF3409"/>
    <mergeCell ref="AS3387:BD3387"/>
    <mergeCell ref="T3387:AF3387"/>
    <mergeCell ref="AV3063:BZ3063"/>
    <mergeCell ref="B3046:AU3046"/>
    <mergeCell ref="B3718:BZ3718"/>
    <mergeCell ref="AG3385:AR3385"/>
    <mergeCell ref="AS3389:BD3389"/>
    <mergeCell ref="AS3384:BD3384"/>
    <mergeCell ref="AG3387:AR3387"/>
    <mergeCell ref="B3390:S3390"/>
    <mergeCell ref="BP3410:BZ3410"/>
    <mergeCell ref="AS3411:BD3411"/>
    <mergeCell ref="BE3399:BO3400"/>
    <mergeCell ref="AS3392:BD3392"/>
    <mergeCell ref="J3544:BH3544"/>
    <mergeCell ref="T3415:AF3415"/>
    <mergeCell ref="AG3415:AR3415"/>
    <mergeCell ref="B3388:S3388"/>
    <mergeCell ref="B3389:S3389"/>
    <mergeCell ref="B3385:S3385"/>
    <mergeCell ref="B3386:S3386"/>
    <mergeCell ref="AG3409:AR3409"/>
    <mergeCell ref="AS3409:BD3409"/>
    <mergeCell ref="BE3409:BO3409"/>
    <mergeCell ref="BE3385:BO3385"/>
    <mergeCell ref="BE3387:BO3387"/>
    <mergeCell ref="AG3408:AR3408"/>
    <mergeCell ref="B2959:BZ2959"/>
    <mergeCell ref="AW2977:BC2977"/>
    <mergeCell ref="BD3115:BZ3115"/>
    <mergeCell ref="BM3252:BZ3252"/>
    <mergeCell ref="B3002:BZ3002"/>
    <mergeCell ref="B2963:BZ2963"/>
    <mergeCell ref="B3120:BZ3120"/>
    <mergeCell ref="BP3384:BZ3384"/>
    <mergeCell ref="B3384:S3384"/>
    <mergeCell ref="AV3057:BZ3057"/>
    <mergeCell ref="AW2980:BC2980"/>
    <mergeCell ref="B3064:AU3064"/>
    <mergeCell ref="AR2984:AV2984"/>
    <mergeCell ref="AR2987:AV2987"/>
    <mergeCell ref="AV3044:BZ3044"/>
    <mergeCell ref="AV3049:BZ3049"/>
    <mergeCell ref="BD2986:BN2986"/>
    <mergeCell ref="AF2986:AQ2986"/>
    <mergeCell ref="B3375:S3375"/>
    <mergeCell ref="AG3384:AR3384"/>
    <mergeCell ref="B3383:S3383"/>
    <mergeCell ref="BE3383:BO3383"/>
    <mergeCell ref="BP3383:BZ3383"/>
    <mergeCell ref="AG3383:AR3383"/>
    <mergeCell ref="B3249:AJ3249"/>
    <mergeCell ref="B3201:BZ3201"/>
    <mergeCell ref="AK3235:AX3235"/>
    <mergeCell ref="BM3245:BZ3245"/>
    <mergeCell ref="B3204:BZ3204"/>
    <mergeCell ref="B3245:AJ3245"/>
    <mergeCell ref="AY3237:BL3237"/>
    <mergeCell ref="B3226:BZ3226"/>
    <mergeCell ref="T3402:AF3402"/>
    <mergeCell ref="B3550:I3550"/>
    <mergeCell ref="B3559:I3559"/>
    <mergeCell ref="BI3559:BQ3559"/>
    <mergeCell ref="B3558:I3558"/>
    <mergeCell ref="B3544:I3544"/>
    <mergeCell ref="BI3544:BQ3544"/>
    <mergeCell ref="B3545:I3545"/>
    <mergeCell ref="B3387:S3387"/>
    <mergeCell ref="T3389:AF3389"/>
    <mergeCell ref="AG3392:AR3392"/>
    <mergeCell ref="AS3385:BD3385"/>
    <mergeCell ref="BP3399:BZ3400"/>
    <mergeCell ref="T3399:AF3400"/>
    <mergeCell ref="T3388:AF3388"/>
    <mergeCell ref="T3398:BZ3398"/>
    <mergeCell ref="AG3393:AR3393"/>
    <mergeCell ref="AS3393:BD3393"/>
    <mergeCell ref="AS3390:BD3390"/>
    <mergeCell ref="BP3406:BZ3406"/>
    <mergeCell ref="AS3406:BD3406"/>
    <mergeCell ref="T3406:AF3406"/>
    <mergeCell ref="BE3406:BO3406"/>
    <mergeCell ref="AS3408:BD3408"/>
    <mergeCell ref="BE3408:BO3408"/>
    <mergeCell ref="AS3407:BD3407"/>
    <mergeCell ref="B3551:I3551"/>
    <mergeCell ref="BI3551:BQ3551"/>
    <mergeCell ref="B3552:I3552"/>
    <mergeCell ref="BI3552:BQ3552"/>
    <mergeCell ref="J3550:BH3550"/>
    <mergeCell ref="J3551:BH3551"/>
    <mergeCell ref="CD2:CV3"/>
    <mergeCell ref="CD52:CF73"/>
    <mergeCell ref="CC74:CC83"/>
    <mergeCell ref="CC51:CC72"/>
    <mergeCell ref="B3248:AJ3248"/>
    <mergeCell ref="BM3249:BZ3249"/>
    <mergeCell ref="AK3248:AX3248"/>
    <mergeCell ref="AK3245:AX3245"/>
    <mergeCell ref="BO1017:BZ1017"/>
    <mergeCell ref="B3221:BZ3221"/>
    <mergeCell ref="AY3238:BL3238"/>
    <mergeCell ref="B3327:AF3327"/>
    <mergeCell ref="AG3327:AO3327"/>
    <mergeCell ref="AK3249:AX3249"/>
    <mergeCell ref="AY3249:BL3249"/>
    <mergeCell ref="AY3252:BL3252"/>
    <mergeCell ref="BM3250:BZ3250"/>
    <mergeCell ref="B3228:BZ3228"/>
    <mergeCell ref="AK3250:AX3250"/>
    <mergeCell ref="B3250:AJ3250"/>
    <mergeCell ref="BM3235:BZ3235"/>
    <mergeCell ref="BM3238:BZ3238"/>
    <mergeCell ref="B3220:BZ3220"/>
    <mergeCell ref="BM3247:BZ3247"/>
    <mergeCell ref="B3289:AB3289"/>
    <mergeCell ref="B3252:AJ3252"/>
    <mergeCell ref="B3287:AB3287"/>
    <mergeCell ref="AK3252:AX3252"/>
    <mergeCell ref="AY3250:BL3250"/>
    <mergeCell ref="B3251:AJ3251"/>
    <mergeCell ref="AK3251:AX3251"/>
    <mergeCell ref="AY3251:BL3251"/>
    <mergeCell ref="C3726:AL3726"/>
    <mergeCell ref="B3377:S3377"/>
    <mergeCell ref="C3725:AL3725"/>
    <mergeCell ref="BP3415:BZ3415"/>
    <mergeCell ref="B3376:S3376"/>
    <mergeCell ref="AG3381:AR3381"/>
    <mergeCell ref="AS3381:BD3381"/>
    <mergeCell ref="T3380:AF3380"/>
    <mergeCell ref="BP3387:BZ3387"/>
    <mergeCell ref="T3407:AF3407"/>
    <mergeCell ref="BG3333:BZ3333"/>
    <mergeCell ref="AP3337:BF3337"/>
    <mergeCell ref="BG3318:BZ3318"/>
    <mergeCell ref="AC3295:AQ3295"/>
    <mergeCell ref="AS3383:BD3383"/>
    <mergeCell ref="T3379:AF3379"/>
    <mergeCell ref="B3721:BZ3721"/>
    <mergeCell ref="AG3379:AR3379"/>
    <mergeCell ref="B3713:BZ3713"/>
    <mergeCell ref="T3417:AF3417"/>
    <mergeCell ref="AS3415:BD3415"/>
    <mergeCell ref="AS3377:BD3377"/>
    <mergeCell ref="BP3375:BZ3375"/>
    <mergeCell ref="AS3382:BD3382"/>
    <mergeCell ref="AG3382:AR3382"/>
    <mergeCell ref="B3382:S3382"/>
    <mergeCell ref="B3381:S3381"/>
    <mergeCell ref="AG3380:AR3380"/>
    <mergeCell ref="T3381:AF3381"/>
    <mergeCell ref="T3382:AF3382"/>
    <mergeCell ref="AS3380:BD3380"/>
    <mergeCell ref="B3296:AB3296"/>
    <mergeCell ref="C3741:AL3741"/>
    <mergeCell ref="C3740:AL3740"/>
    <mergeCell ref="B3401:S3401"/>
    <mergeCell ref="B3391:S3391"/>
    <mergeCell ref="B3392:S3392"/>
    <mergeCell ref="C3734:AL3734"/>
    <mergeCell ref="B3393:S3393"/>
    <mergeCell ref="C3739:AL3739"/>
    <mergeCell ref="C3733:AL3733"/>
    <mergeCell ref="C3735:AL3735"/>
    <mergeCell ref="C3731:AL3731"/>
    <mergeCell ref="B3330:AF3330"/>
    <mergeCell ref="AG3330:AO3330"/>
    <mergeCell ref="AP3330:BF3330"/>
    <mergeCell ref="BG3330:BZ3330"/>
    <mergeCell ref="B3326:AF3326"/>
    <mergeCell ref="AG3323:AO3323"/>
    <mergeCell ref="B3331:AF3331"/>
    <mergeCell ref="BG3326:BZ3326"/>
    <mergeCell ref="C3727:AL3727"/>
    <mergeCell ref="B3328:AF3328"/>
    <mergeCell ref="AP3329:BF3329"/>
    <mergeCell ref="B3329:AF3329"/>
    <mergeCell ref="B3720:BZ3720"/>
    <mergeCell ref="B3363:BZ3363"/>
    <mergeCell ref="B3364:BZ3364"/>
    <mergeCell ref="B3378:S3378"/>
    <mergeCell ref="AG3328:AO3328"/>
    <mergeCell ref="AG3329:AO3329"/>
    <mergeCell ref="C3728:AL3728"/>
    <mergeCell ref="C3729:AL3729"/>
    <mergeCell ref="BE3388:BO3388"/>
    <mergeCell ref="BE3410:BO3410"/>
    <mergeCell ref="BE3414:BO3414"/>
    <mergeCell ref="BE3412:BO3412"/>
    <mergeCell ref="BE3413:BO3413"/>
    <mergeCell ref="B3267:BZ3267"/>
    <mergeCell ref="AG3335:AO3335"/>
    <mergeCell ref="AP3333:BF3333"/>
    <mergeCell ref="B3362:BZ3362"/>
    <mergeCell ref="AP3327:BF3327"/>
    <mergeCell ref="AR3298:BZ3298"/>
    <mergeCell ref="AR3299:BZ3299"/>
    <mergeCell ref="AR3301:BZ3301"/>
    <mergeCell ref="B3314:AF3316"/>
    <mergeCell ref="B3307:AB3307"/>
    <mergeCell ref="AC3307:AQ3307"/>
    <mergeCell ref="AC3302:AQ3302"/>
    <mergeCell ref="BD3340:BZ3340"/>
    <mergeCell ref="AG3332:AO3332"/>
    <mergeCell ref="BP3388:BZ3388"/>
    <mergeCell ref="AP3328:BF3328"/>
    <mergeCell ref="BG3327:BZ3327"/>
    <mergeCell ref="B3345:BZ3345"/>
    <mergeCell ref="B3291:AB3291"/>
    <mergeCell ref="BP3379:BZ3379"/>
    <mergeCell ref="BP3378:BZ3378"/>
    <mergeCell ref="T3377:AF3377"/>
    <mergeCell ref="AG3377:AR3377"/>
    <mergeCell ref="B3357:BZ3357"/>
    <mergeCell ref="B3358:BZ3358"/>
    <mergeCell ref="B3332:AF3332"/>
    <mergeCell ref="B3344:BZ3344"/>
    <mergeCell ref="B3333:AF3333"/>
    <mergeCell ref="B3405:S3405"/>
    <mergeCell ref="B3323:AF3323"/>
    <mergeCell ref="AG3319:AO3319"/>
    <mergeCell ref="B3299:AB3299"/>
    <mergeCell ref="BG3319:BZ3319"/>
    <mergeCell ref="BG3325:BZ3325"/>
    <mergeCell ref="B3293:AB3293"/>
    <mergeCell ref="B3266:BZ3266"/>
    <mergeCell ref="T3384:AF3384"/>
    <mergeCell ref="T3383:AF3383"/>
    <mergeCell ref="BE3379:BO3379"/>
    <mergeCell ref="BP3380:BZ3380"/>
    <mergeCell ref="B3380:S3380"/>
    <mergeCell ref="B3379:S3379"/>
    <mergeCell ref="B3271:BZ3271"/>
    <mergeCell ref="C3738:AL3738"/>
    <mergeCell ref="C3732:AL3732"/>
    <mergeCell ref="B3352:BZ3352"/>
    <mergeCell ref="B3361:BZ3361"/>
    <mergeCell ref="BE3382:BO3382"/>
    <mergeCell ref="B3294:AB3294"/>
    <mergeCell ref="AG3388:AR3388"/>
    <mergeCell ref="AS3388:BD3388"/>
    <mergeCell ref="C3730:AL3730"/>
    <mergeCell ref="BE3378:BO3378"/>
    <mergeCell ref="B3722:BZ3722"/>
    <mergeCell ref="B3723:BZ3723"/>
    <mergeCell ref="C3736:AL3736"/>
    <mergeCell ref="C3737:AL3737"/>
    <mergeCell ref="J3455:BH3455"/>
    <mergeCell ref="B3409:S3409"/>
    <mergeCell ref="B3410:S3410"/>
    <mergeCell ref="AP3322:BF3322"/>
    <mergeCell ref="AC3303:AQ3303"/>
    <mergeCell ref="AC3298:AQ3298"/>
    <mergeCell ref="BP3403:BZ3403"/>
    <mergeCell ref="BP3404:BZ3404"/>
    <mergeCell ref="AS3391:BD3391"/>
    <mergeCell ref="BE3391:BO3391"/>
    <mergeCell ref="AS3405:BD3405"/>
    <mergeCell ref="BE3392:BO3392"/>
    <mergeCell ref="BP3392:BZ3392"/>
    <mergeCell ref="BE3403:BO3403"/>
    <mergeCell ref="AG3403:AR3403"/>
    <mergeCell ref="AG3402:AR3402"/>
    <mergeCell ref="BE3404:BO3404"/>
    <mergeCell ref="AS3403:BD3403"/>
    <mergeCell ref="T3403:AF3403"/>
    <mergeCell ref="T3404:AF3404"/>
    <mergeCell ref="T3405:AF3405"/>
    <mergeCell ref="AS3386:BD3386"/>
    <mergeCell ref="BE3386:BO3386"/>
    <mergeCell ref="BP3386:BZ3386"/>
    <mergeCell ref="AS3399:BD3400"/>
    <mergeCell ref="AG3334:AO3334"/>
    <mergeCell ref="B3353:BZ3353"/>
    <mergeCell ref="B3334:AF3334"/>
    <mergeCell ref="B3335:AF3335"/>
    <mergeCell ref="AG3404:AR3404"/>
    <mergeCell ref="AS3404:BD3404"/>
    <mergeCell ref="AG3405:AR3405"/>
    <mergeCell ref="T3385:AF3385"/>
    <mergeCell ref="B3398:S3400"/>
    <mergeCell ref="B3402:S3402"/>
    <mergeCell ref="BE3407:BO3407"/>
    <mergeCell ref="T3401:AF3401"/>
    <mergeCell ref="AG3401:AR3401"/>
    <mergeCell ref="AS3401:BD3401"/>
    <mergeCell ref="BE3401:BO3401"/>
    <mergeCell ref="BP3401:BZ3401"/>
    <mergeCell ref="BP3402:BZ3402"/>
    <mergeCell ref="BR3467:BZ3467"/>
    <mergeCell ref="BP3405:BZ3405"/>
    <mergeCell ref="BR3468:BZ3468"/>
    <mergeCell ref="BP3407:BZ3407"/>
    <mergeCell ref="BP3413:BZ3413"/>
    <mergeCell ref="BP3412:BZ3412"/>
    <mergeCell ref="BP3414:BZ3414"/>
    <mergeCell ref="BP3408:BZ3408"/>
    <mergeCell ref="BR3464:BZ3464"/>
    <mergeCell ref="BI3462:BQ3462"/>
    <mergeCell ref="BI3463:BQ3463"/>
    <mergeCell ref="BR3455:BZ3455"/>
    <mergeCell ref="B3430:BZ3430"/>
    <mergeCell ref="BR3465:BZ3465"/>
    <mergeCell ref="BR3453:BZ3453"/>
    <mergeCell ref="BI3465:BQ3465"/>
    <mergeCell ref="B3463:I3463"/>
    <mergeCell ref="J3454:BH3454"/>
    <mergeCell ref="BI3464:BQ3464"/>
    <mergeCell ref="BI3460:BQ3460"/>
    <mergeCell ref="BP3411:BZ3411"/>
    <mergeCell ref="BR3466:BZ3466"/>
    <mergeCell ref="BP3409:BZ3409"/>
    <mergeCell ref="B3403:S3403"/>
    <mergeCell ref="B3404:S3404"/>
    <mergeCell ref="AG3407:AR3407"/>
    <mergeCell ref="BJ3447:BR3447"/>
    <mergeCell ref="B3455:I3455"/>
    <mergeCell ref="B3425:BZ3425"/>
    <mergeCell ref="B3453:I3453"/>
    <mergeCell ref="AG3416:AR3416"/>
    <mergeCell ref="B3413:S3413"/>
    <mergeCell ref="AG3418:AR3418"/>
    <mergeCell ref="BE3418:BO3418"/>
    <mergeCell ref="B3417:S3417"/>
    <mergeCell ref="AG3413:AR3413"/>
    <mergeCell ref="T3413:AF3413"/>
    <mergeCell ref="AS3418:BD3418"/>
    <mergeCell ref="BE3415:BO3415"/>
    <mergeCell ref="AS3413:BD3413"/>
    <mergeCell ref="T3410:AF3410"/>
    <mergeCell ref="T3411:AF3411"/>
    <mergeCell ref="AG3411:AR3411"/>
    <mergeCell ref="T3414:AF3414"/>
    <mergeCell ref="AG3410:AR3410"/>
    <mergeCell ref="AS3410:BD3410"/>
    <mergeCell ref="T3412:AF3412"/>
    <mergeCell ref="AG3412:AR3412"/>
    <mergeCell ref="AG3414:AR3414"/>
    <mergeCell ref="AS3414:BD3414"/>
    <mergeCell ref="AS3412:BD3412"/>
    <mergeCell ref="BE3411:BO3411"/>
    <mergeCell ref="AS3416:BD3416"/>
    <mergeCell ref="AG3417:AR3417"/>
    <mergeCell ref="AS3417:BD3417"/>
    <mergeCell ref="BE3417:BO3417"/>
    <mergeCell ref="B3441:BZ3441"/>
    <mergeCell ref="BR3459:BZ3459"/>
    <mergeCell ref="BR3460:BZ3460"/>
    <mergeCell ref="BR3461:BZ3461"/>
    <mergeCell ref="BR3462:BZ3462"/>
    <mergeCell ref="BR3463:BZ3463"/>
    <mergeCell ref="BR3469:BZ3469"/>
    <mergeCell ref="J3475:BH3475"/>
    <mergeCell ref="BR3470:BZ3470"/>
    <mergeCell ref="BR3471:BZ3471"/>
    <mergeCell ref="J3495:BH3495"/>
    <mergeCell ref="J3503:BH3503"/>
    <mergeCell ref="BR3490:BZ3490"/>
    <mergeCell ref="BR3488:BZ3488"/>
    <mergeCell ref="BR3491:BZ3491"/>
    <mergeCell ref="BR3492:BZ3492"/>
    <mergeCell ref="BR3526:BZ3526"/>
    <mergeCell ref="BR3529:BZ3529"/>
    <mergeCell ref="BR3489:BZ3489"/>
    <mergeCell ref="BR3511:BZ3511"/>
    <mergeCell ref="BR3512:BZ3512"/>
    <mergeCell ref="BR3513:BZ3513"/>
    <mergeCell ref="J3515:BH3515"/>
    <mergeCell ref="J3459:BH3459"/>
    <mergeCell ref="B3460:I3460"/>
    <mergeCell ref="J3510:BH3510"/>
    <mergeCell ref="B3462:I3462"/>
    <mergeCell ref="B3465:I3465"/>
    <mergeCell ref="B3470:I3470"/>
    <mergeCell ref="J3476:BH3476"/>
    <mergeCell ref="J3462:BH3462"/>
    <mergeCell ref="J3463:BH3463"/>
    <mergeCell ref="B3464:I3464"/>
    <mergeCell ref="J3464:BH3464"/>
    <mergeCell ref="B3471:I3471"/>
    <mergeCell ref="J3468:BH3468"/>
    <mergeCell ref="J3465:BH3465"/>
    <mergeCell ref="B3466:I3466"/>
    <mergeCell ref="BI3466:BQ3466"/>
    <mergeCell ref="B3467:I3467"/>
    <mergeCell ref="J3467:BH3467"/>
    <mergeCell ref="J3470:BH3470"/>
    <mergeCell ref="BI3472:BQ3472"/>
    <mergeCell ref="J3501:BH3501"/>
    <mergeCell ref="J3469:BH3469"/>
    <mergeCell ref="J3471:BH3471"/>
    <mergeCell ref="J3477:BH3477"/>
    <mergeCell ref="B3482:I3482"/>
    <mergeCell ref="BI3482:BQ3482"/>
    <mergeCell ref="B3407:S3407"/>
    <mergeCell ref="BI3452:BQ3452"/>
    <mergeCell ref="B3412:S3412"/>
    <mergeCell ref="BI3450:BQ3451"/>
    <mergeCell ref="B3450:I3451"/>
    <mergeCell ref="B3435:BZ3435"/>
    <mergeCell ref="B3432:BZ3432"/>
    <mergeCell ref="B3415:S3415"/>
    <mergeCell ref="J3447:N3447"/>
    <mergeCell ref="J3453:BH3453"/>
    <mergeCell ref="B3434:BZ3434"/>
    <mergeCell ref="B3456:I3456"/>
    <mergeCell ref="B3431:BZ3431"/>
    <mergeCell ref="B3439:BZ3439"/>
    <mergeCell ref="B3440:BZ3440"/>
    <mergeCell ref="J3450:BH3451"/>
    <mergeCell ref="BD3445:BZ3445"/>
    <mergeCell ref="BR3454:BZ3454"/>
    <mergeCell ref="J3456:BH3456"/>
    <mergeCell ref="B3428:BZ3428"/>
    <mergeCell ref="B3429:BZ3429"/>
    <mergeCell ref="B3452:I3452"/>
    <mergeCell ref="AR3448:AZ3448"/>
    <mergeCell ref="B3433:BZ3433"/>
    <mergeCell ref="B3442:BZ3442"/>
    <mergeCell ref="BR3458:BZ3458"/>
    <mergeCell ref="B3420:S3420"/>
    <mergeCell ref="BP3419:BZ3419"/>
    <mergeCell ref="B3458:I3458"/>
    <mergeCell ref="BI3458:BQ3458"/>
    <mergeCell ref="B3454:I3454"/>
    <mergeCell ref="T3408:AF3408"/>
    <mergeCell ref="AI3445:AT3445"/>
    <mergeCell ref="BI3455:BQ3455"/>
    <mergeCell ref="BI3454:BQ3454"/>
    <mergeCell ref="B3436:BZ3436"/>
    <mergeCell ref="J3482:BH3482"/>
    <mergeCell ref="J3483:BH3483"/>
    <mergeCell ref="BI3481:BQ3481"/>
    <mergeCell ref="B3421:S3421"/>
    <mergeCell ref="B3416:S3416"/>
    <mergeCell ref="B3418:S3418"/>
    <mergeCell ref="AS3421:BD3421"/>
    <mergeCell ref="BE3421:BO3421"/>
    <mergeCell ref="B3475:I3475"/>
    <mergeCell ref="BI3475:BQ3475"/>
    <mergeCell ref="J3474:BH3474"/>
    <mergeCell ref="BI3474:BQ3474"/>
    <mergeCell ref="BI3471:BQ3471"/>
    <mergeCell ref="T3418:AF3418"/>
    <mergeCell ref="BP3416:BZ3416"/>
    <mergeCell ref="BP3417:BZ3417"/>
    <mergeCell ref="BE3416:BO3416"/>
    <mergeCell ref="T3421:AF3421"/>
    <mergeCell ref="AG3421:AR3421"/>
    <mergeCell ref="T3420:AF3420"/>
    <mergeCell ref="AG3420:AR3420"/>
    <mergeCell ref="AS3420:BD3420"/>
    <mergeCell ref="T3416:AF3416"/>
    <mergeCell ref="BI3453:BQ3453"/>
    <mergeCell ref="B3457:I3457"/>
    <mergeCell ref="B3468:I3468"/>
    <mergeCell ref="J3458:BH3458"/>
    <mergeCell ref="J3457:BH3457"/>
    <mergeCell ref="J3478:BH3478"/>
    <mergeCell ref="B3476:I3476"/>
    <mergeCell ref="BI3476:BQ3476"/>
    <mergeCell ref="BR3456:BZ3456"/>
    <mergeCell ref="BI3457:BQ3457"/>
    <mergeCell ref="B3477:I3477"/>
    <mergeCell ref="B3478:I3478"/>
    <mergeCell ref="BI3478:BQ3478"/>
    <mergeCell ref="BI3477:BQ3477"/>
    <mergeCell ref="J3480:BH3480"/>
    <mergeCell ref="J3481:BH3481"/>
    <mergeCell ref="B3479:I3479"/>
    <mergeCell ref="BI3479:BQ3479"/>
    <mergeCell ref="J3479:BH3479"/>
    <mergeCell ref="B3480:I3480"/>
    <mergeCell ref="BI3480:BQ3480"/>
    <mergeCell ref="B3481:I3481"/>
    <mergeCell ref="B3474:I3474"/>
    <mergeCell ref="J3473:BH3473"/>
    <mergeCell ref="BR3474:BZ3474"/>
    <mergeCell ref="BI3456:BQ3456"/>
    <mergeCell ref="BI3467:BQ3467"/>
    <mergeCell ref="J3466:BH3466"/>
    <mergeCell ref="BI3470:BQ3470"/>
    <mergeCell ref="B3472:I3472"/>
    <mergeCell ref="B3461:I3461"/>
    <mergeCell ref="BI3461:BQ3461"/>
    <mergeCell ref="J3460:BH3460"/>
    <mergeCell ref="J3461:BH3461"/>
    <mergeCell ref="B3459:I3459"/>
    <mergeCell ref="B3484:I3484"/>
    <mergeCell ref="BI3484:BQ3484"/>
    <mergeCell ref="B3485:I3485"/>
    <mergeCell ref="BI3485:BQ3485"/>
    <mergeCell ref="J3484:BH3484"/>
    <mergeCell ref="J3485:BH3485"/>
    <mergeCell ref="B3486:I3486"/>
    <mergeCell ref="BI3486:BQ3486"/>
    <mergeCell ref="B3487:I3487"/>
    <mergeCell ref="BI3487:BQ3487"/>
    <mergeCell ref="J3486:BH3486"/>
    <mergeCell ref="J3487:BH3487"/>
    <mergeCell ref="B3488:I3488"/>
    <mergeCell ref="BI3488:BQ3488"/>
    <mergeCell ref="B3489:I3489"/>
    <mergeCell ref="B3483:I3483"/>
    <mergeCell ref="BI3483:BQ3483"/>
    <mergeCell ref="BI3489:BQ3489"/>
    <mergeCell ref="J3488:BH3488"/>
    <mergeCell ref="J3489:BH3489"/>
    <mergeCell ref="B3497:I3497"/>
    <mergeCell ref="BI3497:BQ3497"/>
    <mergeCell ref="J3496:BH3496"/>
    <mergeCell ref="J3497:BH3497"/>
    <mergeCell ref="B3498:I3498"/>
    <mergeCell ref="BI3498:BQ3498"/>
    <mergeCell ref="B3499:I3499"/>
    <mergeCell ref="BI3499:BQ3499"/>
    <mergeCell ref="J3498:BH3498"/>
    <mergeCell ref="J3499:BH3499"/>
    <mergeCell ref="B3500:I3500"/>
    <mergeCell ref="BI3500:BQ3500"/>
    <mergeCell ref="B3501:I3501"/>
    <mergeCell ref="BI3501:BQ3501"/>
    <mergeCell ref="J3500:BH3500"/>
    <mergeCell ref="B3490:I3490"/>
    <mergeCell ref="BI3490:BQ3490"/>
    <mergeCell ref="B3491:I3491"/>
    <mergeCell ref="BI3491:BQ3491"/>
    <mergeCell ref="J3490:BH3490"/>
    <mergeCell ref="J3491:BH3491"/>
    <mergeCell ref="B3492:I3492"/>
    <mergeCell ref="BI3492:BQ3492"/>
    <mergeCell ref="B3493:I3493"/>
    <mergeCell ref="BI3493:BQ3493"/>
    <mergeCell ref="J3492:BH3492"/>
    <mergeCell ref="J3493:BH3493"/>
    <mergeCell ref="B3494:I3494"/>
    <mergeCell ref="BI3494:BQ3494"/>
    <mergeCell ref="B3495:I3495"/>
    <mergeCell ref="BI3495:BQ3495"/>
    <mergeCell ref="J3494:BH3494"/>
    <mergeCell ref="B3504:I3504"/>
    <mergeCell ref="BI3504:BQ3504"/>
    <mergeCell ref="BI3505:BQ3505"/>
    <mergeCell ref="J3504:BH3504"/>
    <mergeCell ref="J3505:BH3505"/>
    <mergeCell ref="B3505:I3505"/>
    <mergeCell ref="B3506:I3506"/>
    <mergeCell ref="BI3506:BQ3506"/>
    <mergeCell ref="B3507:I3507"/>
    <mergeCell ref="BI3507:BQ3507"/>
    <mergeCell ref="J3506:BH3506"/>
    <mergeCell ref="B3531:I3531"/>
    <mergeCell ref="BI3515:BQ3515"/>
    <mergeCell ref="B3512:I3512"/>
    <mergeCell ref="B3514:I3514"/>
    <mergeCell ref="J3523:BH3523"/>
    <mergeCell ref="J3514:BH3514"/>
    <mergeCell ref="B3511:I3511"/>
    <mergeCell ref="J3512:BH3512"/>
    <mergeCell ref="B3510:I3510"/>
    <mergeCell ref="BI3510:BQ3510"/>
    <mergeCell ref="J3507:BH3507"/>
    <mergeCell ref="J3508:BH3508"/>
    <mergeCell ref="J3526:BH3526"/>
    <mergeCell ref="BI3525:BQ3525"/>
    <mergeCell ref="B3513:I3513"/>
    <mergeCell ref="BI3513:BQ3513"/>
    <mergeCell ref="B3529:I3529"/>
    <mergeCell ref="BI3529:BQ3529"/>
    <mergeCell ref="BI3514:BQ3514"/>
    <mergeCell ref="B3527:I3527"/>
    <mergeCell ref="B3525:I3525"/>
    <mergeCell ref="B3515:I3515"/>
    <mergeCell ref="J3522:BH3522"/>
    <mergeCell ref="J3538:BH3538"/>
    <mergeCell ref="J3540:BH3540"/>
    <mergeCell ref="B3539:I3539"/>
    <mergeCell ref="J3539:BH3539"/>
    <mergeCell ref="B3537:I3537"/>
    <mergeCell ref="B3538:I3538"/>
    <mergeCell ref="BI3537:BQ3537"/>
    <mergeCell ref="BI3539:BQ3539"/>
    <mergeCell ref="BI3521:BQ3521"/>
    <mergeCell ref="J3521:BH3521"/>
    <mergeCell ref="BI3511:BQ3511"/>
    <mergeCell ref="B3509:I3509"/>
    <mergeCell ref="BI3509:BQ3509"/>
    <mergeCell ref="J3511:BH3511"/>
    <mergeCell ref="B3524:I3524"/>
    <mergeCell ref="B3540:I3540"/>
    <mergeCell ref="BI3524:BQ3524"/>
    <mergeCell ref="BI3526:BQ3526"/>
    <mergeCell ref="BI3530:BQ3530"/>
    <mergeCell ref="J3528:BH3528"/>
    <mergeCell ref="J3518:BH3518"/>
    <mergeCell ref="J3513:BH3513"/>
    <mergeCell ref="J3529:BH3529"/>
    <mergeCell ref="J3532:BH3532"/>
    <mergeCell ref="BJ932:BP932"/>
    <mergeCell ref="BJ933:BP933"/>
    <mergeCell ref="BJ934:BP934"/>
    <mergeCell ref="AJ932:AQ932"/>
    <mergeCell ref="BC937:BI937"/>
    <mergeCell ref="AW936:BB936"/>
    <mergeCell ref="BJ937:BP937"/>
    <mergeCell ref="J3519:BH3519"/>
    <mergeCell ref="AJ942:AQ942"/>
    <mergeCell ref="AD942:AI942"/>
    <mergeCell ref="W943:AC943"/>
    <mergeCell ref="AJ943:AQ943"/>
    <mergeCell ref="BA1014:BN1014"/>
    <mergeCell ref="B1014:AL1014"/>
    <mergeCell ref="BG2718:BZ2718"/>
    <mergeCell ref="J1106:N1106"/>
    <mergeCell ref="AY1148:BM1148"/>
    <mergeCell ref="B2635:BZ2635"/>
    <mergeCell ref="B940:V940"/>
    <mergeCell ref="B943:V943"/>
    <mergeCell ref="BI3516:BQ3516"/>
    <mergeCell ref="J3516:BH3516"/>
    <mergeCell ref="B2628:BZ2628"/>
    <mergeCell ref="BM2376:BZ2376"/>
    <mergeCell ref="BA2379:BL2379"/>
    <mergeCell ref="AM2412:BF2412"/>
    <mergeCell ref="AQ2379:AZ2379"/>
    <mergeCell ref="B3516:I3516"/>
    <mergeCell ref="B3517:I3517"/>
    <mergeCell ref="J3517:BH3517"/>
    <mergeCell ref="BI3518:BQ3518"/>
    <mergeCell ref="B3519:I3519"/>
    <mergeCell ref="BG2719:BZ2719"/>
    <mergeCell ref="BG2716:BZ2716"/>
    <mergeCell ref="BG2693:BZ2693"/>
    <mergeCell ref="AM2411:BF2411"/>
    <mergeCell ref="AM2419:BF2419"/>
    <mergeCell ref="AL2711:BF2711"/>
    <mergeCell ref="BJ1119:BZ1119"/>
    <mergeCell ref="W1081:AC1081"/>
    <mergeCell ref="BP2652:BZ2652"/>
    <mergeCell ref="BD2649:BO2649"/>
    <mergeCell ref="AS2654:BC2654"/>
    <mergeCell ref="T2654:AE2654"/>
    <mergeCell ref="B2420:AL2420"/>
    <mergeCell ref="B2417:AL2417"/>
    <mergeCell ref="B2410:AL2410"/>
    <mergeCell ref="AB1148:AX1148"/>
    <mergeCell ref="AF2648:AR2648"/>
    <mergeCell ref="AS2646:BC2646"/>
    <mergeCell ref="AS2647:BC2647"/>
    <mergeCell ref="AS2645:BC2645"/>
    <mergeCell ref="B2649:S2649"/>
    <mergeCell ref="B2542:AD2542"/>
    <mergeCell ref="B2419:AL2419"/>
    <mergeCell ref="BG2413:BZ2413"/>
    <mergeCell ref="AQ2387:AZ2387"/>
    <mergeCell ref="AQ2378:AZ2378"/>
    <mergeCell ref="BM2398:BZ2398"/>
    <mergeCell ref="AM2407:BF2408"/>
    <mergeCell ref="AM2409:BF2409"/>
    <mergeCell ref="BM2380:BZ2380"/>
    <mergeCell ref="B2701:AK2701"/>
    <mergeCell ref="AF2654:AR2654"/>
    <mergeCell ref="BJ938:BP938"/>
    <mergeCell ref="AR938:AV938"/>
    <mergeCell ref="BQ940:BZ940"/>
    <mergeCell ref="W1221:AC1221"/>
    <mergeCell ref="BC942:BI942"/>
    <mergeCell ref="B1012:AL1012"/>
    <mergeCell ref="BA1011:BN1011"/>
    <mergeCell ref="AD944:AI944"/>
    <mergeCell ref="AD946:AI946"/>
    <mergeCell ref="W948:AC948"/>
    <mergeCell ref="BA1018:BN1018"/>
    <mergeCell ref="BO1012:BZ1012"/>
    <mergeCell ref="AB1150:AX1150"/>
    <mergeCell ref="BN1150:BZ1150"/>
    <mergeCell ref="B1207:BZ1207"/>
    <mergeCell ref="B1180:BZ1180"/>
    <mergeCell ref="BS1221:BZ1221"/>
    <mergeCell ref="B1203:BZ1203"/>
    <mergeCell ref="B1102:BI1102"/>
    <mergeCell ref="AD1088:AK1088"/>
    <mergeCell ref="AT1091:AY1091"/>
    <mergeCell ref="AT1086:AY1086"/>
    <mergeCell ref="W1086:AC1086"/>
    <mergeCell ref="BO1131:BZ1131"/>
    <mergeCell ref="B1130:AK1130"/>
    <mergeCell ref="BO1132:BZ1132"/>
    <mergeCell ref="B1085:P1085"/>
    <mergeCell ref="AL1091:AS1091"/>
    <mergeCell ref="AL1085:AS1085"/>
    <mergeCell ref="Q1086:V1086"/>
    <mergeCell ref="W1094:AC1094"/>
    <mergeCell ref="B1089:BZ1089"/>
    <mergeCell ref="B3508:I3508"/>
    <mergeCell ref="BI3508:BQ3508"/>
    <mergeCell ref="AL2719:BF2719"/>
    <mergeCell ref="BG2610:BQ2610"/>
    <mergeCell ref="W937:AC937"/>
    <mergeCell ref="AD937:AI937"/>
    <mergeCell ref="AW934:BB934"/>
    <mergeCell ref="B935:BZ935"/>
    <mergeCell ref="AD940:AI940"/>
    <mergeCell ref="AD939:AI939"/>
    <mergeCell ref="BJ939:BP939"/>
    <mergeCell ref="AJ940:AQ940"/>
    <mergeCell ref="BC940:BI940"/>
    <mergeCell ref="AW937:BB937"/>
    <mergeCell ref="AJ937:AQ937"/>
    <mergeCell ref="B1201:BZ1201"/>
    <mergeCell ref="BO1128:BZ1128"/>
    <mergeCell ref="AL1128:AZ1128"/>
    <mergeCell ref="B1128:AK1128"/>
    <mergeCell ref="AT1097:AY1097"/>
    <mergeCell ref="AL1124:AZ1124"/>
    <mergeCell ref="W1097:AC1097"/>
    <mergeCell ref="AD1097:AK1097"/>
    <mergeCell ref="AD943:AI943"/>
    <mergeCell ref="B1011:AL1011"/>
    <mergeCell ref="W934:AC934"/>
    <mergeCell ref="W940:AC940"/>
    <mergeCell ref="AL1078:AS1078"/>
    <mergeCell ref="AL1080:AS1080"/>
    <mergeCell ref="AT1081:AY1081"/>
    <mergeCell ref="W952:AC953"/>
    <mergeCell ref="AD952:AI953"/>
    <mergeCell ref="BJ943:BP943"/>
    <mergeCell ref="BS1093:BZ1093"/>
    <mergeCell ref="BO1134:BZ1134"/>
    <mergeCell ref="AT1093:AY1093"/>
    <mergeCell ref="BG2721:BZ2721"/>
    <mergeCell ref="B2713:AK2713"/>
    <mergeCell ref="BG2707:BZ2707"/>
    <mergeCell ref="AL2706:BF2706"/>
    <mergeCell ref="BG2694:BZ2694"/>
    <mergeCell ref="BG2696:BZ2696"/>
    <mergeCell ref="BG2702:BZ2702"/>
    <mergeCell ref="AL2699:BF2699"/>
    <mergeCell ref="AL2696:BF2696"/>
    <mergeCell ref="B2670:BZ2670"/>
    <mergeCell ref="BG2700:BZ2700"/>
    <mergeCell ref="B2695:AK2695"/>
    <mergeCell ref="BG2690:BZ2690"/>
    <mergeCell ref="AL2692:BF2692"/>
    <mergeCell ref="B2673:BZ2673"/>
    <mergeCell ref="B2674:BZ2674"/>
    <mergeCell ref="BG2684:BZ2685"/>
    <mergeCell ref="BG2697:BZ2697"/>
    <mergeCell ref="BP2646:BZ2646"/>
    <mergeCell ref="B2429:AL2429"/>
    <mergeCell ref="B2667:BZ2667"/>
    <mergeCell ref="BG2412:BZ2412"/>
    <mergeCell ref="B2409:AL2409"/>
    <mergeCell ref="AM2410:BF2410"/>
    <mergeCell ref="BG2418:BZ2418"/>
    <mergeCell ref="B2418:AL2418"/>
    <mergeCell ref="B2632:BZ2632"/>
    <mergeCell ref="B2686:AK2686"/>
    <mergeCell ref="AS2648:BC2648"/>
    <mergeCell ref="T2104:AF2104"/>
    <mergeCell ref="T2105:AF2105"/>
    <mergeCell ref="BG2706:BZ2706"/>
    <mergeCell ref="AL2707:BF2707"/>
    <mergeCell ref="B2524:AC2524"/>
    <mergeCell ref="B2607:R2607"/>
    <mergeCell ref="B2608:R2608"/>
    <mergeCell ref="B2609:R2609"/>
    <mergeCell ref="S2608:AB2608"/>
    <mergeCell ref="B2430:AL2430"/>
    <mergeCell ref="B2422:AL2422"/>
    <mergeCell ref="B2414:AL2414"/>
    <mergeCell ref="S2607:AB2607"/>
    <mergeCell ref="B2526:AC2526"/>
    <mergeCell ref="B2672:BZ2672"/>
    <mergeCell ref="BG2689:BZ2689"/>
    <mergeCell ref="B2675:BZ2675"/>
    <mergeCell ref="AL2684:BF2685"/>
    <mergeCell ref="BG2688:BZ2688"/>
    <mergeCell ref="B2679:BZ2679"/>
    <mergeCell ref="B2625:BZ2625"/>
    <mergeCell ref="BD2647:BO2647"/>
    <mergeCell ref="B2636:BZ2636"/>
    <mergeCell ref="AW2607:BF2607"/>
    <mergeCell ref="BR2610:BZ2610"/>
    <mergeCell ref="B2684:AK2685"/>
    <mergeCell ref="B2645:S2645"/>
    <mergeCell ref="BG2426:BZ2426"/>
    <mergeCell ref="BR2609:BZ2609"/>
    <mergeCell ref="B2580:BZ2580"/>
    <mergeCell ref="B2622:BZ2622"/>
    <mergeCell ref="AQ2384:AZ2384"/>
    <mergeCell ref="AB2385:AH2385"/>
    <mergeCell ref="T2376:AA2376"/>
    <mergeCell ref="AB2376:AH2376"/>
    <mergeCell ref="T2398:AA2398"/>
    <mergeCell ref="AB2398:AH2398"/>
    <mergeCell ref="BG2407:BZ2408"/>
    <mergeCell ref="AI2378:AP2378"/>
    <mergeCell ref="B2393:S2393"/>
    <mergeCell ref="T2391:AA2391"/>
    <mergeCell ref="BG2410:BZ2410"/>
    <mergeCell ref="BM2393:BZ2393"/>
    <mergeCell ref="BM2390:BZ2390"/>
    <mergeCell ref="T2396:AA2396"/>
    <mergeCell ref="T2392:AA2392"/>
    <mergeCell ref="AB2384:AH2384"/>
    <mergeCell ref="B2385:S2385"/>
    <mergeCell ref="AB2392:AH2392"/>
    <mergeCell ref="B2394:S2394"/>
    <mergeCell ref="AI2383:AP2383"/>
    <mergeCell ref="T2384:AA2384"/>
    <mergeCell ref="AQ2380:AZ2380"/>
    <mergeCell ref="BA2380:BL2380"/>
    <mergeCell ref="J2402:R2402"/>
    <mergeCell ref="BA2387:BL2387"/>
    <mergeCell ref="BG2409:BZ2409"/>
    <mergeCell ref="B2398:S2398"/>
    <mergeCell ref="BA2382:BL2382"/>
    <mergeCell ref="BM2382:BZ2382"/>
    <mergeCell ref="BM2379:BZ2379"/>
    <mergeCell ref="AI2396:AP2396"/>
    <mergeCell ref="B2391:S2391"/>
    <mergeCell ref="AN2036:BB2036"/>
    <mergeCell ref="T2101:AF2101"/>
    <mergeCell ref="T2102:AF2102"/>
    <mergeCell ref="T2350:AA2350"/>
    <mergeCell ref="BA2367:BL2367"/>
    <mergeCell ref="AQ2373:AZ2373"/>
    <mergeCell ref="BM2364:BZ2364"/>
    <mergeCell ref="AQ2365:AZ2365"/>
    <mergeCell ref="BM2374:BZ2374"/>
    <mergeCell ref="AQ2371:AZ2371"/>
    <mergeCell ref="BA2370:BL2370"/>
    <mergeCell ref="AQ2369:AZ2369"/>
    <mergeCell ref="BA2365:BL2365"/>
    <mergeCell ref="AB2350:AH2350"/>
    <mergeCell ref="BM2363:BZ2363"/>
    <mergeCell ref="B1950:BZ1950"/>
    <mergeCell ref="B2355:S2355"/>
    <mergeCell ref="BA2373:BL2373"/>
    <mergeCell ref="B2294:BZ2294"/>
    <mergeCell ref="BA2340:BL2340"/>
    <mergeCell ref="AQ2341:AZ2341"/>
    <mergeCell ref="AQ2340:AZ2340"/>
    <mergeCell ref="T2354:AA2354"/>
    <mergeCell ref="AB2354:AH2354"/>
    <mergeCell ref="AI2354:AP2354"/>
    <mergeCell ref="T2356:AA2356"/>
    <mergeCell ref="T2352:AA2352"/>
    <mergeCell ref="AI2357:AP2357"/>
    <mergeCell ref="T2355:AA2355"/>
    <mergeCell ref="AB2357:AH2357"/>
    <mergeCell ref="K2330:P2330"/>
    <mergeCell ref="B2341:S2341"/>
    <mergeCell ref="AD163:AL163"/>
    <mergeCell ref="C134:BZ134"/>
    <mergeCell ref="BE144:BZ144"/>
    <mergeCell ref="B144:AI144"/>
    <mergeCell ref="C135:BZ135"/>
    <mergeCell ref="Y143:AG143"/>
    <mergeCell ref="B363:BZ363"/>
    <mergeCell ref="B352:AA352"/>
    <mergeCell ref="BD348:BZ348"/>
    <mergeCell ref="B351:AA351"/>
    <mergeCell ref="AV301:BF301"/>
    <mergeCell ref="AK151:BZ151"/>
    <mergeCell ref="B370:BZ370"/>
    <mergeCell ref="BR297:BZ297"/>
    <mergeCell ref="BD353:BZ353"/>
    <mergeCell ref="BD349:BZ349"/>
    <mergeCell ref="F168:N168"/>
    <mergeCell ref="B367:BZ367"/>
    <mergeCell ref="AB348:BC348"/>
    <mergeCell ref="B362:BZ362"/>
    <mergeCell ref="B365:BZ365"/>
    <mergeCell ref="B142:AI142"/>
    <mergeCell ref="B143:U143"/>
    <mergeCell ref="AK149:BZ149"/>
    <mergeCell ref="X162:AF162"/>
    <mergeCell ref="BC172:BM172"/>
    <mergeCell ref="C136:BZ136"/>
    <mergeCell ref="B180:X180"/>
    <mergeCell ref="Y197:BF197"/>
    <mergeCell ref="B158:BZ158"/>
    <mergeCell ref="Y193:BF193"/>
    <mergeCell ref="BG196:BQ196"/>
    <mergeCell ref="Y196:BF196"/>
    <mergeCell ref="Y195:BF195"/>
    <mergeCell ref="Y194:BF194"/>
    <mergeCell ref="BR196:BZ196"/>
    <mergeCell ref="BG189:BQ189"/>
    <mergeCell ref="B358:BZ358"/>
    <mergeCell ref="B326:BZ326"/>
    <mergeCell ref="Y190:BF190"/>
    <mergeCell ref="B313:BZ313"/>
    <mergeCell ref="B317:BZ317"/>
    <mergeCell ref="B312:BZ312"/>
    <mergeCell ref="BD346:BZ346"/>
    <mergeCell ref="AK273:AV273"/>
    <mergeCell ref="Y222:BF222"/>
    <mergeCell ref="B315:BZ315"/>
    <mergeCell ref="BR299:BZ299"/>
    <mergeCell ref="BG299:BQ299"/>
    <mergeCell ref="BL279:BZ279"/>
    <mergeCell ref="AK275:AV275"/>
    <mergeCell ref="BL282:BZ282"/>
    <mergeCell ref="BL281:BZ281"/>
    <mergeCell ref="BL277:BZ277"/>
    <mergeCell ref="AK283:AV283"/>
    <mergeCell ref="B3535:I3536"/>
    <mergeCell ref="AP3324:BF3324"/>
    <mergeCell ref="BD2100:BM2100"/>
    <mergeCell ref="AS2100:BC2100"/>
    <mergeCell ref="B2277:T2277"/>
    <mergeCell ref="BM2378:BZ2378"/>
    <mergeCell ref="AI2376:AP2376"/>
    <mergeCell ref="AQ2374:AZ2374"/>
    <mergeCell ref="AB2349:AH2349"/>
    <mergeCell ref="U2281:AH2281"/>
    <mergeCell ref="B288:AG289"/>
    <mergeCell ref="AB351:BC351"/>
    <mergeCell ref="AB352:BC352"/>
    <mergeCell ref="B359:BZ359"/>
    <mergeCell ref="AB355:BC355"/>
    <mergeCell ref="BD350:BZ350"/>
    <mergeCell ref="BD351:BZ351"/>
    <mergeCell ref="B354:AA354"/>
    <mergeCell ref="B350:AA350"/>
    <mergeCell ref="B1787:BZ1787"/>
    <mergeCell ref="AS2099:BC2099"/>
    <mergeCell ref="B2050:BZ2050"/>
    <mergeCell ref="B2034:BA2034"/>
    <mergeCell ref="BD2097:BM2097"/>
    <mergeCell ref="BN2099:BZ2099"/>
    <mergeCell ref="AG2097:AR2097"/>
    <mergeCell ref="BB2020:BZ2020"/>
    <mergeCell ref="B2078:BZ2078"/>
    <mergeCell ref="AS2098:BC2098"/>
    <mergeCell ref="B1507:U1507"/>
    <mergeCell ref="BA2378:BL2378"/>
    <mergeCell ref="AU2275:BF2275"/>
    <mergeCell ref="B3706:BZ3706"/>
    <mergeCell ref="B3707:BZ3707"/>
    <mergeCell ref="B3708:BZ3708"/>
    <mergeCell ref="B3710:BZ3710"/>
    <mergeCell ref="B3709:BZ3709"/>
    <mergeCell ref="B3676:BZ3676"/>
    <mergeCell ref="B3701:BZ3701"/>
    <mergeCell ref="B3695:BZ3695"/>
    <mergeCell ref="B3202:BZ3202"/>
    <mergeCell ref="BD354:BZ354"/>
    <mergeCell ref="B3693:BZ3693"/>
    <mergeCell ref="B3680:BZ3680"/>
    <mergeCell ref="BD3682:BZ3682"/>
    <mergeCell ref="B3667:BZ3667"/>
    <mergeCell ref="B3668:BZ3668"/>
    <mergeCell ref="B3669:BZ3669"/>
    <mergeCell ref="B3670:BZ3670"/>
    <mergeCell ref="B3671:BZ3671"/>
    <mergeCell ref="B3200:BZ3200"/>
    <mergeCell ref="B3213:BZ3213"/>
    <mergeCell ref="B3229:BZ3229"/>
    <mergeCell ref="BO1011:BZ1011"/>
    <mergeCell ref="AS2102:BC2102"/>
    <mergeCell ref="AB354:BC354"/>
    <mergeCell ref="B1199:BZ1199"/>
    <mergeCell ref="BD3207:BZ3207"/>
    <mergeCell ref="B3212:BZ3212"/>
    <mergeCell ref="B3227:BZ3227"/>
    <mergeCell ref="J3209:R3209"/>
    <mergeCell ref="B3211:BZ3211"/>
    <mergeCell ref="B3203:BZ3203"/>
    <mergeCell ref="B3694:BZ3694"/>
    <mergeCell ref="B3647:BZ3647"/>
    <mergeCell ref="B3648:BZ3648"/>
    <mergeCell ref="B3650:BZ3650"/>
    <mergeCell ref="B3651:BZ3651"/>
    <mergeCell ref="BE3405:BO3405"/>
    <mergeCell ref="B3642:BZ3642"/>
    <mergeCell ref="B3660:BZ3660"/>
    <mergeCell ref="B3674:BZ3674"/>
    <mergeCell ref="B3658:BZ3658"/>
    <mergeCell ref="AG3324:AO3324"/>
    <mergeCell ref="BD3635:BZ3635"/>
    <mergeCell ref="AG3325:AO3325"/>
    <mergeCell ref="AP3325:BF3325"/>
    <mergeCell ref="BI3517:BQ3517"/>
    <mergeCell ref="AG3373:AR3373"/>
    <mergeCell ref="B3541:I3541"/>
    <mergeCell ref="J3531:BH3531"/>
    <mergeCell ref="BI3541:BQ3541"/>
    <mergeCell ref="BI3538:BQ3538"/>
    <mergeCell ref="J3520:BH3520"/>
    <mergeCell ref="BI3522:BQ3522"/>
    <mergeCell ref="J3525:BH3525"/>
    <mergeCell ref="BI3523:BQ3523"/>
    <mergeCell ref="BI3542:BQ3542"/>
    <mergeCell ref="BI3528:BQ3528"/>
    <mergeCell ref="BI3535:BQ3536"/>
    <mergeCell ref="B3523:I3523"/>
    <mergeCell ref="B3526:I3526"/>
    <mergeCell ref="J3543:BH3543"/>
    <mergeCell ref="BI3512:BQ3512"/>
    <mergeCell ref="B3521:I3521"/>
    <mergeCell ref="B3664:BZ3664"/>
    <mergeCell ref="B3653:BZ3653"/>
    <mergeCell ref="B3646:BZ3646"/>
    <mergeCell ref="B3661:BZ3661"/>
    <mergeCell ref="B3655:BZ3655"/>
    <mergeCell ref="B3656:BZ3656"/>
    <mergeCell ref="B3659:BZ3659"/>
    <mergeCell ref="B3663:BZ3663"/>
    <mergeCell ref="B3652:BZ3652"/>
    <mergeCell ref="B3662:BZ3662"/>
    <mergeCell ref="AG3376:AR3376"/>
    <mergeCell ref="AS3376:BD3376"/>
    <mergeCell ref="B3522:I3522"/>
    <mergeCell ref="B3530:I3530"/>
    <mergeCell ref="B3532:I3532"/>
    <mergeCell ref="J3530:BH3530"/>
    <mergeCell ref="BE3390:BO3390"/>
    <mergeCell ref="B3520:I3520"/>
    <mergeCell ref="J3509:BH3509"/>
    <mergeCell ref="J3527:BH3527"/>
    <mergeCell ref="B3643:BZ3643"/>
    <mergeCell ref="J3637:N3637"/>
    <mergeCell ref="T3378:AF3378"/>
    <mergeCell ref="BI3519:BQ3519"/>
    <mergeCell ref="B3518:I3518"/>
    <mergeCell ref="BI3520:BQ3520"/>
    <mergeCell ref="B3503:I3503"/>
    <mergeCell ref="BI3503:BQ3503"/>
    <mergeCell ref="BP3389:BZ3389"/>
    <mergeCell ref="BP3382:BZ3382"/>
    <mergeCell ref="T3376:AF3376"/>
    <mergeCell ref="B3542:I3542"/>
    <mergeCell ref="B3654:BZ3654"/>
    <mergeCell ref="B3679:BZ3679"/>
    <mergeCell ref="J3684:N3684"/>
    <mergeCell ref="B3689:BZ3689"/>
    <mergeCell ref="B331:BZ331"/>
    <mergeCell ref="B347:AA347"/>
    <mergeCell ref="B353:AA353"/>
    <mergeCell ref="AB349:BC349"/>
    <mergeCell ref="J3542:BH3542"/>
    <mergeCell ref="B3666:BZ3666"/>
    <mergeCell ref="B3675:BZ3675"/>
    <mergeCell ref="B3677:BZ3677"/>
    <mergeCell ref="B3702:BZ3702"/>
    <mergeCell ref="B3697:BZ3697"/>
    <mergeCell ref="B3698:BZ3698"/>
    <mergeCell ref="B3699:BZ3699"/>
    <mergeCell ref="B3700:BZ3700"/>
    <mergeCell ref="B3690:BZ3690"/>
    <mergeCell ref="B3691:BZ3691"/>
    <mergeCell ref="B3692:BZ3692"/>
    <mergeCell ref="BD3366:BZ3366"/>
    <mergeCell ref="B3346:BZ3346"/>
    <mergeCell ref="B3325:AF3325"/>
    <mergeCell ref="T3371:AF3372"/>
    <mergeCell ref="B3348:BZ3348"/>
    <mergeCell ref="B3349:BZ3349"/>
    <mergeCell ref="B3350:BZ3350"/>
    <mergeCell ref="AG3337:AO3337"/>
    <mergeCell ref="B3354:BZ3354"/>
    <mergeCell ref="BG3337:BZ3337"/>
    <mergeCell ref="B383:AT383"/>
    <mergeCell ref="AU383:BE383"/>
    <mergeCell ref="BC936:BI936"/>
    <mergeCell ref="B3645:BZ3645"/>
    <mergeCell ref="BD347:BZ347"/>
    <mergeCell ref="BQ932:BZ932"/>
    <mergeCell ref="BF383:BP383"/>
    <mergeCell ref="B392:AT392"/>
    <mergeCell ref="AU389:BE389"/>
    <mergeCell ref="BQ419:BZ419"/>
    <mergeCell ref="B366:BZ366"/>
    <mergeCell ref="BP3374:BZ3374"/>
    <mergeCell ref="B545:BZ545"/>
    <mergeCell ref="B555:BZ555"/>
    <mergeCell ref="AQ2390:AZ2390"/>
    <mergeCell ref="W936:AC936"/>
    <mergeCell ref="AR939:AV939"/>
    <mergeCell ref="W939:AC939"/>
    <mergeCell ref="AR934:AV934"/>
    <mergeCell ref="AR936:AV936"/>
    <mergeCell ref="B384:AT384"/>
    <mergeCell ref="AU386:BE386"/>
    <mergeCell ref="B576:BZ576"/>
    <mergeCell ref="B371:BZ371"/>
    <mergeCell ref="B3169:BZ3169"/>
    <mergeCell ref="BD3190:BZ3190"/>
    <mergeCell ref="BC934:BI934"/>
    <mergeCell ref="BQ933:BZ933"/>
    <mergeCell ref="B3225:BZ3225"/>
    <mergeCell ref="B3543:I3543"/>
    <mergeCell ref="J3537:BH3537"/>
    <mergeCell ref="J3535:BH3536"/>
    <mergeCell ref="B3528:I3528"/>
    <mergeCell ref="AU2272:BF2272"/>
    <mergeCell ref="AU388:BE388"/>
    <mergeCell ref="BL283:BZ283"/>
    <mergeCell ref="AK276:AV276"/>
    <mergeCell ref="B277:X277"/>
    <mergeCell ref="B292:X292"/>
    <mergeCell ref="BR295:BZ295"/>
    <mergeCell ref="BG294:BQ294"/>
    <mergeCell ref="AH294:AU294"/>
    <mergeCell ref="B294:X294"/>
    <mergeCell ref="AV294:BF294"/>
    <mergeCell ref="AW277:BK277"/>
    <mergeCell ref="BL278:BZ278"/>
    <mergeCell ref="BQ391:BZ391"/>
    <mergeCell ref="AB353:BC353"/>
    <mergeCell ref="BQ389:BZ389"/>
    <mergeCell ref="AP3326:BF3326"/>
    <mergeCell ref="B325:BZ325"/>
    <mergeCell ref="B3644:BZ3644"/>
    <mergeCell ref="B311:BZ311"/>
    <mergeCell ref="B3215:BZ3215"/>
    <mergeCell ref="B3216:BZ3216"/>
    <mergeCell ref="B3190:AF3190"/>
    <mergeCell ref="BI3502:BQ3502"/>
    <mergeCell ref="J3502:BH3502"/>
    <mergeCell ref="B3496:I3496"/>
    <mergeCell ref="BI3496:BQ3496"/>
    <mergeCell ref="B3502:I3502"/>
    <mergeCell ref="B3214:BZ3214"/>
    <mergeCell ref="BC944:BI944"/>
    <mergeCell ref="J1121:N1121"/>
    <mergeCell ref="BA1019:BN1019"/>
    <mergeCell ref="B397:BZ397"/>
    <mergeCell ref="J3524:BH3524"/>
    <mergeCell ref="BL280:BZ280"/>
    <mergeCell ref="BG295:BQ295"/>
    <mergeCell ref="BG300:BQ300"/>
    <mergeCell ref="BG302:BQ302"/>
    <mergeCell ref="AV299:BF299"/>
    <mergeCell ref="AV297:BF297"/>
    <mergeCell ref="BG301:BQ301"/>
    <mergeCell ref="B302:X302"/>
    <mergeCell ref="BG298:BQ298"/>
    <mergeCell ref="AV298:BF298"/>
    <mergeCell ref="Y299:AG299"/>
    <mergeCell ref="B301:X301"/>
    <mergeCell ref="B299:X299"/>
    <mergeCell ref="Y301:AG301"/>
    <mergeCell ref="Y298:AG298"/>
    <mergeCell ref="BG297:BQ297"/>
    <mergeCell ref="B291:X291"/>
    <mergeCell ref="Y290:AG290"/>
    <mergeCell ref="AV295:BF295"/>
    <mergeCell ref="B290:X290"/>
    <mergeCell ref="Y295:AG295"/>
    <mergeCell ref="B295:X295"/>
    <mergeCell ref="Y293:AG293"/>
    <mergeCell ref="AV290:BF290"/>
    <mergeCell ref="AH290:AU290"/>
    <mergeCell ref="AH288:BF289"/>
    <mergeCell ref="Y294:AG294"/>
    <mergeCell ref="AK282:AV282"/>
    <mergeCell ref="AH295:AU295"/>
    <mergeCell ref="AW283:BK283"/>
    <mergeCell ref="B293:X293"/>
    <mergeCell ref="Y291:AG291"/>
    <mergeCell ref="B274:X274"/>
    <mergeCell ref="Y274:AJ274"/>
    <mergeCell ref="B300:X300"/>
    <mergeCell ref="B282:X282"/>
    <mergeCell ref="AK277:AV277"/>
    <mergeCell ref="AH296:AU296"/>
    <mergeCell ref="AK278:AV278"/>
    <mergeCell ref="AH293:AU293"/>
    <mergeCell ref="AV293:BF293"/>
    <mergeCell ref="B283:X283"/>
    <mergeCell ref="B279:X279"/>
    <mergeCell ref="B280:X280"/>
    <mergeCell ref="Y278:AJ278"/>
    <mergeCell ref="AK280:AV280"/>
    <mergeCell ref="AH292:AU292"/>
    <mergeCell ref="AH291:AU291"/>
    <mergeCell ref="AV292:BF292"/>
    <mergeCell ref="AV291:BF291"/>
    <mergeCell ref="AH297:AU297"/>
    <mergeCell ref="AV300:BF300"/>
    <mergeCell ref="AH299:AU299"/>
    <mergeCell ref="B297:X297"/>
    <mergeCell ref="B298:X298"/>
    <mergeCell ref="AK281:AV281"/>
    <mergeCell ref="AK279:AV279"/>
    <mergeCell ref="B281:X281"/>
    <mergeCell ref="D286:L286"/>
    <mergeCell ref="B275:X275"/>
    <mergeCell ref="B278:X278"/>
    <mergeCell ref="B276:X276"/>
    <mergeCell ref="AD936:AI936"/>
    <mergeCell ref="B296:X296"/>
    <mergeCell ref="B332:BZ332"/>
    <mergeCell ref="AH298:AU298"/>
    <mergeCell ref="BR291:BZ291"/>
    <mergeCell ref="Y282:AJ282"/>
    <mergeCell ref="Y283:AJ283"/>
    <mergeCell ref="AV296:BF296"/>
    <mergeCell ref="Y296:AG296"/>
    <mergeCell ref="Y297:AG297"/>
    <mergeCell ref="BR296:BZ296"/>
    <mergeCell ref="BR294:BZ294"/>
    <mergeCell ref="BG293:BQ293"/>
    <mergeCell ref="BG292:BQ292"/>
    <mergeCell ref="BR288:BZ290"/>
    <mergeCell ref="BG288:BQ290"/>
    <mergeCell ref="J900:R900"/>
    <mergeCell ref="B907:BZ907"/>
    <mergeCell ref="B553:BZ553"/>
    <mergeCell ref="B915:BZ915"/>
    <mergeCell ref="AU387:BE387"/>
    <mergeCell ref="BR298:BZ298"/>
    <mergeCell ref="AH302:AU302"/>
    <mergeCell ref="B920:BZ920"/>
    <mergeCell ref="BF424:BP424"/>
    <mergeCell ref="AJ936:AQ936"/>
    <mergeCell ref="AD934:AI934"/>
    <mergeCell ref="BQ934:BZ934"/>
    <mergeCell ref="B914:BZ914"/>
    <mergeCell ref="B916:BZ916"/>
    <mergeCell ref="BR302:BZ302"/>
    <mergeCell ref="B904:BZ904"/>
    <mergeCell ref="J1966:N1966"/>
    <mergeCell ref="B2030:BA2030"/>
    <mergeCell ref="B1997:BZ1997"/>
    <mergeCell ref="B1370:BZ1370"/>
    <mergeCell ref="B1366:BZ1366"/>
    <mergeCell ref="BC943:BI943"/>
    <mergeCell ref="BQ938:BZ938"/>
    <mergeCell ref="AR937:AV937"/>
    <mergeCell ref="BC939:BI939"/>
    <mergeCell ref="AJ938:AQ938"/>
    <mergeCell ref="BJ940:BP940"/>
    <mergeCell ref="BQ937:BZ937"/>
    <mergeCell ref="B941:BZ941"/>
    <mergeCell ref="BQ942:BZ942"/>
    <mergeCell ref="W942:AC942"/>
    <mergeCell ref="AR940:AV940"/>
    <mergeCell ref="AY1147:BM1147"/>
    <mergeCell ref="AR943:AV943"/>
    <mergeCell ref="W951:BZ951"/>
    <mergeCell ref="AW942:BB942"/>
    <mergeCell ref="B951:V953"/>
    <mergeCell ref="B1250:P1250"/>
    <mergeCell ref="AW940:BB940"/>
    <mergeCell ref="BJ942:BP942"/>
    <mergeCell ref="Q1249:V1249"/>
    <mergeCell ref="AR965:AV965"/>
    <mergeCell ref="AJ965:AQ965"/>
    <mergeCell ref="AL1126:AZ1126"/>
    <mergeCell ref="B939:V939"/>
    <mergeCell ref="AL1125:AZ1125"/>
    <mergeCell ref="B1041:BZ1041"/>
    <mergeCell ref="AT1251:AY1251"/>
    <mergeCell ref="W1250:AC1250"/>
    <mergeCell ref="AD1254:AK1254"/>
    <mergeCell ref="B1534:BZ1534"/>
    <mergeCell ref="BD1564:BO1564"/>
    <mergeCell ref="BP1564:BZ1564"/>
    <mergeCell ref="BP1563:BZ1563"/>
    <mergeCell ref="BS1254:BZ1254"/>
    <mergeCell ref="BJ1260:BZ1260"/>
    <mergeCell ref="B1254:P1254"/>
    <mergeCell ref="B2086:BZ2086"/>
    <mergeCell ref="B2052:BZ2052"/>
    <mergeCell ref="B2055:BZ2055"/>
    <mergeCell ref="AD1251:AK1251"/>
    <mergeCell ref="B2077:BZ2077"/>
    <mergeCell ref="B2039:BZ2039"/>
    <mergeCell ref="B2042:BZ2042"/>
    <mergeCell ref="B2082:BZ2082"/>
    <mergeCell ref="B2048:BZ2048"/>
    <mergeCell ref="B2080:BZ2080"/>
    <mergeCell ref="B2074:BZ2074"/>
    <mergeCell ref="B2040:BZ2040"/>
    <mergeCell ref="Q1254:V1254"/>
    <mergeCell ref="W1254:AC1254"/>
    <mergeCell ref="AT1253:AY1253"/>
    <mergeCell ref="BF1250:BK1250"/>
    <mergeCell ref="AG1305:AR1305"/>
    <mergeCell ref="B1266:AK1266"/>
    <mergeCell ref="AS1327:BD1327"/>
    <mergeCell ref="T1324:AF1324"/>
    <mergeCell ref="BD1562:BO1562"/>
    <mergeCell ref="BB2030:BZ2030"/>
    <mergeCell ref="B1325:S1325"/>
    <mergeCell ref="AZ1097:BE1097"/>
    <mergeCell ref="AT1088:AY1088"/>
    <mergeCell ref="Q1093:V1093"/>
    <mergeCell ref="AD1094:AK1094"/>
    <mergeCell ref="AL1094:AS1094"/>
    <mergeCell ref="AT1094:AY1094"/>
    <mergeCell ref="AT1096:AY1096"/>
    <mergeCell ref="BS1102:BZ1102"/>
    <mergeCell ref="Q1088:V1088"/>
    <mergeCell ref="B1095:BZ1095"/>
    <mergeCell ref="B1093:P1093"/>
    <mergeCell ref="W1088:AC1088"/>
    <mergeCell ref="AT1090:AY1090"/>
    <mergeCell ref="AD1090:AK1090"/>
    <mergeCell ref="Q1087:V1087"/>
    <mergeCell ref="AZ1087:BE1087"/>
    <mergeCell ref="BF1086:BK1086"/>
    <mergeCell ref="B1096:P1096"/>
    <mergeCell ref="BL1097:BR1097"/>
    <mergeCell ref="B1097:P1097"/>
    <mergeCell ref="AL1096:AS1096"/>
    <mergeCell ref="AL1097:AS1097"/>
    <mergeCell ref="BF1097:BK1097"/>
    <mergeCell ref="AZ1094:BE1094"/>
    <mergeCell ref="AD1092:AK1092"/>
    <mergeCell ref="AL1086:AS1086"/>
    <mergeCell ref="AW939:BB939"/>
    <mergeCell ref="AW943:BB943"/>
    <mergeCell ref="B1131:AK1131"/>
    <mergeCell ref="BA1131:BN1131"/>
    <mergeCell ref="Q1094:V1094"/>
    <mergeCell ref="AZ1093:BE1093"/>
    <mergeCell ref="BJ1110:BZ1110"/>
    <mergeCell ref="B1110:BI1110"/>
    <mergeCell ref="AL1130:AZ1130"/>
    <mergeCell ref="B955:BZ955"/>
    <mergeCell ref="Q1097:V1097"/>
    <mergeCell ref="W1078:AC1078"/>
    <mergeCell ref="AL1093:AS1093"/>
    <mergeCell ref="BF1093:BK1093"/>
    <mergeCell ref="BL1093:BR1093"/>
    <mergeCell ref="BS1097:BZ1097"/>
    <mergeCell ref="B956:V956"/>
    <mergeCell ref="W956:AC956"/>
    <mergeCell ref="AZ1090:BE1090"/>
    <mergeCell ref="W1096:AC1096"/>
    <mergeCell ref="AJ952:AQ953"/>
    <mergeCell ref="AJ939:AQ939"/>
    <mergeCell ref="W1087:AC1087"/>
    <mergeCell ref="AD1087:AK1087"/>
    <mergeCell ref="BQ943:BZ943"/>
    <mergeCell ref="AR942:AV942"/>
    <mergeCell ref="BF1084:BK1084"/>
    <mergeCell ref="AD1084:AK1084"/>
    <mergeCell ref="AL1084:AS1084"/>
    <mergeCell ref="AT1092:AY1092"/>
    <mergeCell ref="B1112:BI1112"/>
    <mergeCell ref="BS1096:BZ1096"/>
    <mergeCell ref="B1358:S1358"/>
    <mergeCell ref="B1511:AA1511"/>
    <mergeCell ref="AL1253:AS1253"/>
    <mergeCell ref="Q1250:V1250"/>
    <mergeCell ref="W1249:AC1249"/>
    <mergeCell ref="BA1267:BN1267"/>
    <mergeCell ref="BR1323:BZ1323"/>
    <mergeCell ref="T1292:AF1292"/>
    <mergeCell ref="B1298:S1298"/>
    <mergeCell ref="AS1287:BD1287"/>
    <mergeCell ref="B1290:S1290"/>
    <mergeCell ref="B1314:S1314"/>
    <mergeCell ref="B1311:S1311"/>
    <mergeCell ref="T1318:AF1318"/>
    <mergeCell ref="T1306:AF1306"/>
    <mergeCell ref="BS1259:BZ1259"/>
    <mergeCell ref="BF1341:BP1341"/>
    <mergeCell ref="B1506:U1506"/>
    <mergeCell ref="B1361:BZ1361"/>
    <mergeCell ref="B1363:BZ1363"/>
    <mergeCell ref="AV1343:BE1343"/>
    <mergeCell ref="J1441:R1441"/>
    <mergeCell ref="B1443:BZ1443"/>
    <mergeCell ref="B1436:BZ1436"/>
    <mergeCell ref="BQ1343:BZ1343"/>
    <mergeCell ref="AG1317:AR1317"/>
    <mergeCell ref="BE1326:BQ1326"/>
    <mergeCell ref="BR1324:BZ1324"/>
    <mergeCell ref="T1326:AF1326"/>
    <mergeCell ref="BR1326:BZ1326"/>
    <mergeCell ref="AG1325:AR1325"/>
    <mergeCell ref="B1509:AA1510"/>
    <mergeCell ref="AG1549:AR1549"/>
    <mergeCell ref="B1550:S1550"/>
    <mergeCell ref="T1560:AF1560"/>
    <mergeCell ref="T1553:AF1553"/>
    <mergeCell ref="BD1560:BO1560"/>
    <mergeCell ref="AG1559:AR1559"/>
    <mergeCell ref="AS1562:BC1562"/>
    <mergeCell ref="AS1557:BC1558"/>
    <mergeCell ref="T1551:AF1551"/>
    <mergeCell ref="BP1552:BZ1552"/>
    <mergeCell ref="AS1551:BC1551"/>
    <mergeCell ref="BD1553:BO1553"/>
    <mergeCell ref="BD1552:BO1552"/>
    <mergeCell ref="B1549:S1549"/>
    <mergeCell ref="BG1893:BZ1893"/>
    <mergeCell ref="AL1894:BF1894"/>
    <mergeCell ref="AF1836:AV1836"/>
    <mergeCell ref="AG1553:AR1553"/>
    <mergeCell ref="BP1550:BZ1550"/>
    <mergeCell ref="B1840:P1840"/>
    <mergeCell ref="Q1840:AE1840"/>
    <mergeCell ref="AF1844:AV1844"/>
    <mergeCell ref="AW1844:BN1844"/>
    <mergeCell ref="B1843:P1843"/>
    <mergeCell ref="Q1843:AE1843"/>
    <mergeCell ref="AF1843:AV1843"/>
    <mergeCell ref="BO1849:BZ1849"/>
    <mergeCell ref="B1847:BZ1847"/>
    <mergeCell ref="B1848:P1848"/>
    <mergeCell ref="Q1848:AE1848"/>
    <mergeCell ref="AF1848:AV1848"/>
    <mergeCell ref="AY1769:BZ1769"/>
    <mergeCell ref="J1388:R1388"/>
    <mergeCell ref="B1477:AA1477"/>
    <mergeCell ref="B1916:AK1916"/>
    <mergeCell ref="B1940:BZ1940"/>
    <mergeCell ref="AL1928:BF1928"/>
    <mergeCell ref="BG1928:BZ1928"/>
    <mergeCell ref="B1917:AK1917"/>
    <mergeCell ref="B1941:BZ1941"/>
    <mergeCell ref="B1927:AK1927"/>
    <mergeCell ref="B1931:AK1931"/>
    <mergeCell ref="B1930:AK1930"/>
    <mergeCell ref="B1928:AK1928"/>
    <mergeCell ref="B1529:BZ1529"/>
    <mergeCell ref="B1551:S1551"/>
    <mergeCell ref="AL1912:BF1912"/>
    <mergeCell ref="AL1904:BF1904"/>
    <mergeCell ref="BG1905:BZ1905"/>
    <mergeCell ref="BG1907:BZ1907"/>
    <mergeCell ref="AL1907:BF1907"/>
    <mergeCell ref="AL1920:BF1920"/>
    <mergeCell ref="BG1920:BZ1920"/>
    <mergeCell ref="AL1913:BF1913"/>
    <mergeCell ref="BG1913:BZ1913"/>
    <mergeCell ref="T1563:AF1563"/>
    <mergeCell ref="BP1554:BZ1554"/>
    <mergeCell ref="AS1554:BC1554"/>
    <mergeCell ref="AS1561:BC1561"/>
    <mergeCell ref="AW1841:BN1841"/>
    <mergeCell ref="BO1841:BZ1841"/>
    <mergeCell ref="BP1562:BZ1562"/>
    <mergeCell ref="Q1836:AE1836"/>
    <mergeCell ref="AS1549:BC1549"/>
    <mergeCell ref="B1375:BZ1375"/>
    <mergeCell ref="B1795:BZ1795"/>
    <mergeCell ref="B1799:BZ1799"/>
    <mergeCell ref="B1801:BZ1801"/>
    <mergeCell ref="B1835:BZ1835"/>
    <mergeCell ref="B1836:P1836"/>
    <mergeCell ref="B1796:BZ1796"/>
    <mergeCell ref="B1837:P1837"/>
    <mergeCell ref="B1838:P1838"/>
    <mergeCell ref="Q1838:AE1838"/>
    <mergeCell ref="AW1836:BN1836"/>
    <mergeCell ref="B1781:U1781"/>
    <mergeCell ref="B1527:BZ1527"/>
    <mergeCell ref="J1519:R1519"/>
    <mergeCell ref="AG1563:AR1563"/>
    <mergeCell ref="B1562:S1562"/>
    <mergeCell ref="B1545:S1547"/>
    <mergeCell ref="B1379:BZ1379"/>
    <mergeCell ref="T1565:AF1565"/>
    <mergeCell ref="B1657:BZ1657"/>
    <mergeCell ref="T1561:AF1561"/>
    <mergeCell ref="BD1561:BO1561"/>
    <mergeCell ref="BP1559:BZ1559"/>
    <mergeCell ref="BP1549:BZ1549"/>
    <mergeCell ref="AG1552:AR1552"/>
    <mergeCell ref="B1813:BZ1813"/>
    <mergeCell ref="BO1836:BZ1836"/>
    <mergeCell ref="Q1837:AE1837"/>
    <mergeCell ref="B1829:BZ1829"/>
    <mergeCell ref="B1824:BZ1824"/>
    <mergeCell ref="B1826:BZ1826"/>
    <mergeCell ref="B1378:BZ1378"/>
    <mergeCell ref="T2141:AF2141"/>
    <mergeCell ref="T2132:AF2132"/>
    <mergeCell ref="AG2128:AR2128"/>
    <mergeCell ref="AG2105:AR2105"/>
    <mergeCell ref="B2018:BA2018"/>
    <mergeCell ref="B2032:BA2032"/>
    <mergeCell ref="AG2103:AR2103"/>
    <mergeCell ref="AG2116:AR2116"/>
    <mergeCell ref="B2028:BA2028"/>
    <mergeCell ref="AL1921:BF1921"/>
    <mergeCell ref="AL1919:BF1919"/>
    <mergeCell ref="AL1925:BF1925"/>
    <mergeCell ref="B1921:AK1921"/>
    <mergeCell ref="AL1914:BF1914"/>
    <mergeCell ref="B1911:AK1911"/>
    <mergeCell ref="B1912:AK1912"/>
    <mergeCell ref="B1925:AK1925"/>
    <mergeCell ref="B1922:AK1922"/>
    <mergeCell ref="B1924:AK1924"/>
    <mergeCell ref="B1949:BZ1949"/>
    <mergeCell ref="B1946:BZ1946"/>
    <mergeCell ref="B1947:BZ1947"/>
    <mergeCell ref="B1933:AK1933"/>
    <mergeCell ref="AL1934:BF1934"/>
    <mergeCell ref="BG1933:BZ1933"/>
    <mergeCell ref="B1948:BZ1948"/>
    <mergeCell ref="B1938:BZ1938"/>
    <mergeCell ref="B1926:AK1926"/>
    <mergeCell ref="B1943:BZ1943"/>
    <mergeCell ref="B2089:BZ2089"/>
    <mergeCell ref="B2062:BZ2062"/>
    <mergeCell ref="B1934:AK1934"/>
    <mergeCell ref="BB2019:BZ2019"/>
    <mergeCell ref="BB2013:BZ2013"/>
    <mergeCell ref="BB2014:BZ2014"/>
    <mergeCell ref="B2019:BA2019"/>
    <mergeCell ref="B2015:BA2015"/>
    <mergeCell ref="B2010:BA2010"/>
    <mergeCell ref="B2013:BA2013"/>
    <mergeCell ref="BB2017:BZ2017"/>
    <mergeCell ref="B2016:BA2016"/>
    <mergeCell ref="BB2018:BZ2018"/>
    <mergeCell ref="BG1908:BZ1908"/>
    <mergeCell ref="AL1909:BF1909"/>
    <mergeCell ref="BB2012:BZ2012"/>
    <mergeCell ref="BG1909:BZ1909"/>
    <mergeCell ref="B1952:BZ1952"/>
    <mergeCell ref="B1953:BZ1953"/>
    <mergeCell ref="BG1914:BZ1914"/>
    <mergeCell ref="B1932:AK1932"/>
    <mergeCell ref="B1981:BZ1981"/>
    <mergeCell ref="AW2005:BK2005"/>
    <mergeCell ref="BB2009:BZ2009"/>
    <mergeCell ref="BG1927:BZ1927"/>
    <mergeCell ref="AL1910:BF1910"/>
    <mergeCell ref="B1929:AK1929"/>
    <mergeCell ref="AL1927:BF1927"/>
    <mergeCell ref="AL1923:BF1923"/>
    <mergeCell ref="B1919:AK1919"/>
    <mergeCell ref="BG1919:BZ1919"/>
    <mergeCell ref="B1957:BZ1957"/>
    <mergeCell ref="B1923:AK1923"/>
    <mergeCell ref="B1982:BZ1982"/>
    <mergeCell ref="B1944:BZ1944"/>
    <mergeCell ref="AG2115:AR2115"/>
    <mergeCell ref="AG2102:AR2102"/>
    <mergeCell ref="B2038:BZ2038"/>
    <mergeCell ref="BB2025:BZ2025"/>
    <mergeCell ref="BB2032:BZ2032"/>
    <mergeCell ref="BB2031:BZ2031"/>
    <mergeCell ref="BB2029:BZ2029"/>
    <mergeCell ref="BB2033:BZ2033"/>
    <mergeCell ref="B2031:BA2031"/>
    <mergeCell ref="BB2026:BZ2026"/>
    <mergeCell ref="BB2027:BZ2027"/>
    <mergeCell ref="B2024:BA2025"/>
    <mergeCell ref="B2073:BZ2073"/>
    <mergeCell ref="B2045:BZ2045"/>
    <mergeCell ref="B2046:BZ2046"/>
    <mergeCell ref="B2088:BZ2088"/>
    <mergeCell ref="B2075:BZ2075"/>
    <mergeCell ref="B2111:S2111"/>
    <mergeCell ref="BB2024:BZ2024"/>
    <mergeCell ref="B2041:BZ2041"/>
    <mergeCell ref="B2029:BA2029"/>
    <mergeCell ref="BB2028:BZ2028"/>
    <mergeCell ref="B2107:S2107"/>
    <mergeCell ref="B2106:S2106"/>
    <mergeCell ref="B2103:S2103"/>
    <mergeCell ref="T2108:AF2108"/>
    <mergeCell ref="BN2103:BZ2103"/>
    <mergeCell ref="BD2108:BM2108"/>
    <mergeCell ref="BN2104:BZ2104"/>
    <mergeCell ref="BD2102:BM2102"/>
    <mergeCell ref="BN2114:BZ2114"/>
    <mergeCell ref="AS2114:BC2114"/>
    <mergeCell ref="AG2117:AR2117"/>
    <mergeCell ref="T2116:AF2116"/>
    <mergeCell ref="T2117:AF2117"/>
    <mergeCell ref="BN2102:BZ2102"/>
    <mergeCell ref="BD2105:BM2105"/>
    <mergeCell ref="BD2106:BM2106"/>
    <mergeCell ref="BN2109:BZ2109"/>
    <mergeCell ref="BN2106:BZ2106"/>
    <mergeCell ref="BN2105:BZ2105"/>
    <mergeCell ref="AS2104:BC2104"/>
    <mergeCell ref="AG2112:AR2112"/>
    <mergeCell ref="B2087:BZ2087"/>
    <mergeCell ref="BP2650:BZ2650"/>
    <mergeCell ref="T2651:AE2651"/>
    <mergeCell ref="AF2650:AR2650"/>
    <mergeCell ref="AS2651:BC2651"/>
    <mergeCell ref="T2647:AE2647"/>
    <mergeCell ref="BN2138:BZ2138"/>
    <mergeCell ref="BN2141:BZ2141"/>
    <mergeCell ref="AS2138:BC2138"/>
    <mergeCell ref="BN2130:BZ2130"/>
    <mergeCell ref="AS2134:BC2134"/>
    <mergeCell ref="BN2137:BZ2137"/>
    <mergeCell ref="BD2138:BM2138"/>
    <mergeCell ref="BD2141:BM2141"/>
    <mergeCell ref="AS2133:BC2133"/>
    <mergeCell ref="BN2139:BZ2139"/>
    <mergeCell ref="BN2133:BZ2133"/>
    <mergeCell ref="T2146:AF2146"/>
    <mergeCell ref="T2136:AF2136"/>
    <mergeCell ref="BG2226:BP2226"/>
    <mergeCell ref="AX2218:BZ2218"/>
    <mergeCell ref="AS2652:BC2652"/>
    <mergeCell ref="AF2652:AR2652"/>
    <mergeCell ref="AF2647:AR2647"/>
    <mergeCell ref="T2650:AE2650"/>
    <mergeCell ref="BG1934:BZ1934"/>
    <mergeCell ref="AL1935:BF1935"/>
    <mergeCell ref="BG1935:BZ1935"/>
    <mergeCell ref="B1955:BZ1955"/>
    <mergeCell ref="B1956:BZ1956"/>
    <mergeCell ref="B1954:BZ1954"/>
    <mergeCell ref="B1939:BZ1939"/>
    <mergeCell ref="B1935:AK1935"/>
    <mergeCell ref="B1951:BZ1951"/>
    <mergeCell ref="B1942:BZ1942"/>
    <mergeCell ref="B2348:S2348"/>
    <mergeCell ref="B2244:BZ2244"/>
    <mergeCell ref="B2275:T2275"/>
    <mergeCell ref="B2276:T2276"/>
    <mergeCell ref="T2147:AF2147"/>
    <mergeCell ref="BN2147:BZ2147"/>
    <mergeCell ref="B2278:T2278"/>
    <mergeCell ref="BB2200:BZ2200"/>
    <mergeCell ref="B2163:BZ2163"/>
    <mergeCell ref="B2637:BZ2637"/>
    <mergeCell ref="B1973:AQ1973"/>
    <mergeCell ref="BJ1969:BZ1969"/>
    <mergeCell ref="B2033:BA2033"/>
    <mergeCell ref="B1968:AQ1969"/>
    <mergeCell ref="AR1968:BZ1968"/>
    <mergeCell ref="B1970:AQ1970"/>
    <mergeCell ref="B1945:BZ1945"/>
    <mergeCell ref="BD1959:BZ1959"/>
    <mergeCell ref="BP2653:BZ2653"/>
    <mergeCell ref="B2650:S2650"/>
    <mergeCell ref="BP2647:BZ2647"/>
    <mergeCell ref="BP2648:BZ2648"/>
    <mergeCell ref="B2651:S2651"/>
    <mergeCell ref="BD2651:BO2651"/>
    <mergeCell ref="BP2649:BZ2649"/>
    <mergeCell ref="BD2650:BO2650"/>
    <mergeCell ref="B2653:S2653"/>
    <mergeCell ref="AL2704:BF2704"/>
    <mergeCell ref="BG2704:BZ2704"/>
    <mergeCell ref="BG2705:BZ2705"/>
    <mergeCell ref="AL2697:BF2697"/>
    <mergeCell ref="AL2701:BF2701"/>
    <mergeCell ref="BG2701:BZ2701"/>
    <mergeCell ref="AL2703:BF2703"/>
    <mergeCell ref="BG2698:BZ2698"/>
    <mergeCell ref="AL2705:BF2705"/>
    <mergeCell ref="AL2700:BF2700"/>
    <mergeCell ref="AF2653:AR2653"/>
    <mergeCell ref="BD2653:BO2653"/>
    <mergeCell ref="AS2650:BC2650"/>
    <mergeCell ref="BD2652:BO2652"/>
    <mergeCell ref="AF2651:AR2651"/>
    <mergeCell ref="BG2703:BZ2703"/>
    <mergeCell ref="B2678:BZ2678"/>
    <mergeCell ref="B2677:BZ2677"/>
    <mergeCell ref="B2671:BZ2671"/>
    <mergeCell ref="B2698:AK2698"/>
    <mergeCell ref="B2652:S2652"/>
    <mergeCell ref="B2648:S2648"/>
    <mergeCell ref="BP2651:BZ2651"/>
    <mergeCell ref="AL2716:BF2716"/>
    <mergeCell ref="BG2713:BZ2713"/>
    <mergeCell ref="B2654:S2654"/>
    <mergeCell ref="BD2654:BO2654"/>
    <mergeCell ref="BP2654:BZ2654"/>
    <mergeCell ref="B2717:AK2717"/>
    <mergeCell ref="B2710:AK2710"/>
    <mergeCell ref="B2702:AK2702"/>
    <mergeCell ref="AL2708:BF2708"/>
    <mergeCell ref="AL2713:BF2713"/>
    <mergeCell ref="B2687:AK2687"/>
    <mergeCell ref="BG2687:BZ2687"/>
    <mergeCell ref="AL2698:BF2698"/>
    <mergeCell ref="B2699:AK2699"/>
    <mergeCell ref="AL2695:BF2695"/>
    <mergeCell ref="B2689:AK2689"/>
    <mergeCell ref="B2692:AK2692"/>
    <mergeCell ref="B2693:AK2693"/>
    <mergeCell ref="B2697:AK2697"/>
    <mergeCell ref="BG2686:BZ2686"/>
    <mergeCell ref="BG2692:BZ2692"/>
    <mergeCell ref="AL2691:BF2691"/>
    <mergeCell ref="BG2691:BZ2691"/>
    <mergeCell ref="BG2699:BZ2699"/>
    <mergeCell ref="AL2694:BF2694"/>
    <mergeCell ref="B2690:AK2690"/>
    <mergeCell ref="BG2695:BZ2695"/>
    <mergeCell ref="B2696:AK2696"/>
    <mergeCell ref="B2694:AK2694"/>
    <mergeCell ref="AL2690:BF2690"/>
    <mergeCell ref="AL2686:BF2686"/>
    <mergeCell ref="B2676:BZ2676"/>
    <mergeCell ref="B2660:BZ2660"/>
    <mergeCell ref="B2661:BZ2661"/>
    <mergeCell ref="B2662:BZ2662"/>
    <mergeCell ref="B2663:BZ2663"/>
    <mergeCell ref="B2712:AK2712"/>
    <mergeCell ref="BG2720:BZ2720"/>
    <mergeCell ref="AL2718:BF2718"/>
    <mergeCell ref="AL2702:BF2702"/>
    <mergeCell ref="B2700:AK2700"/>
    <mergeCell ref="B2719:AK2719"/>
    <mergeCell ref="B2726:AK2726"/>
    <mergeCell ref="AL2724:BF2724"/>
    <mergeCell ref="B2720:AK2720"/>
    <mergeCell ref="AL2723:BF2723"/>
    <mergeCell ref="AL2721:BF2721"/>
    <mergeCell ref="B2725:AK2725"/>
    <mergeCell ref="B2724:AK2724"/>
    <mergeCell ref="AL2722:BF2722"/>
    <mergeCell ref="AL2726:BF2726"/>
    <mergeCell ref="BG2723:BZ2723"/>
    <mergeCell ref="B2718:AK2718"/>
    <mergeCell ref="B2711:AK2711"/>
    <mergeCell ref="B2714:AK2714"/>
    <mergeCell ref="B2703:AK2703"/>
    <mergeCell ref="B2706:AK2706"/>
    <mergeCell ref="B2704:AK2704"/>
    <mergeCell ref="B2708:AK2708"/>
    <mergeCell ref="B2709:AK2709"/>
    <mergeCell ref="AL2717:BF2717"/>
    <mergeCell ref="BG2717:BZ2717"/>
    <mergeCell ref="AL2715:BF2715"/>
    <mergeCell ref="BG2715:BZ2715"/>
    <mergeCell ref="AK2764:BE2764"/>
    <mergeCell ref="B2764:AJ2764"/>
    <mergeCell ref="BF2765:BZ2765"/>
    <mergeCell ref="B2765:AJ2765"/>
    <mergeCell ref="BF2762:BZ2762"/>
    <mergeCell ref="AW2846:BL2846"/>
    <mergeCell ref="B2811:AV2811"/>
    <mergeCell ref="B2767:AJ2767"/>
    <mergeCell ref="AK2767:BE2767"/>
    <mergeCell ref="B2789:BZ2789"/>
    <mergeCell ref="B2790:BZ2790"/>
    <mergeCell ref="J2782:R2782"/>
    <mergeCell ref="B2786:BZ2786"/>
    <mergeCell ref="B2729:AK2729"/>
    <mergeCell ref="B2775:BZ2775"/>
    <mergeCell ref="AW2837:BL2837"/>
    <mergeCell ref="B2721:AK2721"/>
    <mergeCell ref="B2722:AK2722"/>
    <mergeCell ref="B2727:AK2727"/>
    <mergeCell ref="B2723:AK2723"/>
    <mergeCell ref="AK2763:BE2763"/>
    <mergeCell ref="B2763:AJ2763"/>
    <mergeCell ref="B2766:AJ2766"/>
    <mergeCell ref="BG2722:BZ2722"/>
    <mergeCell ref="B2728:AK2728"/>
    <mergeCell ref="AL2731:BF2731"/>
    <mergeCell ref="B2732:AK2732"/>
    <mergeCell ref="B2755:BZ2755"/>
    <mergeCell ref="BG2726:BZ2726"/>
    <mergeCell ref="B2840:AV2840"/>
    <mergeCell ref="B2749:BZ2749"/>
    <mergeCell ref="AW2834:BL2834"/>
    <mergeCell ref="B2978:AE2978"/>
    <mergeCell ref="BD2977:BN2977"/>
    <mergeCell ref="B2979:AE2979"/>
    <mergeCell ref="BO2977:BS2977"/>
    <mergeCell ref="AF2978:AQ2978"/>
    <mergeCell ref="AR2978:AV2978"/>
    <mergeCell ref="B2968:BZ2968"/>
    <mergeCell ref="BD2979:BN2979"/>
    <mergeCell ref="BO2979:BS2979"/>
    <mergeCell ref="AF2979:AQ2979"/>
    <mergeCell ref="AR2979:AV2979"/>
    <mergeCell ref="B2957:BZ2957"/>
    <mergeCell ref="B2966:BZ2966"/>
    <mergeCell ref="B2730:AK2730"/>
    <mergeCell ref="B2771:BZ2771"/>
    <mergeCell ref="B2772:BZ2772"/>
    <mergeCell ref="B2773:BZ2773"/>
    <mergeCell ref="B2774:BZ2774"/>
    <mergeCell ref="BM2837:BZ2837"/>
    <mergeCell ref="BM2846:BZ2846"/>
    <mergeCell ref="B2834:AV2834"/>
    <mergeCell ref="AW2836:BL2836"/>
    <mergeCell ref="B2841:AV2841"/>
    <mergeCell ref="AW2839:BL2839"/>
    <mergeCell ref="BM2841:BZ2841"/>
    <mergeCell ref="AW2842:BL2842"/>
    <mergeCell ref="BM2842:BZ2842"/>
    <mergeCell ref="BM2840:BZ2840"/>
    <mergeCell ref="AW2840:BL2840"/>
    <mergeCell ref="BF2763:BZ2763"/>
    <mergeCell ref="BF2764:BZ2764"/>
    <mergeCell ref="AK2766:BE2766"/>
    <mergeCell ref="AV3052:BZ3052"/>
    <mergeCell ref="B3066:AU3066"/>
    <mergeCell ref="B3057:AU3057"/>
    <mergeCell ref="B2967:BZ2967"/>
    <mergeCell ref="BT2978:BZ2978"/>
    <mergeCell ref="AW2941:BL2941"/>
    <mergeCell ref="B3007:BZ3007"/>
    <mergeCell ref="B3009:BZ3009"/>
    <mergeCell ref="AW2982:BC2982"/>
    <mergeCell ref="BT2982:BZ2982"/>
    <mergeCell ref="BO2985:BS2985"/>
    <mergeCell ref="B2983:AE2983"/>
    <mergeCell ref="B2965:BZ2965"/>
    <mergeCell ref="BD2980:BN2980"/>
    <mergeCell ref="BM2850:BZ2850"/>
    <mergeCell ref="B2874:BZ2874"/>
    <mergeCell ref="BO2978:BS2978"/>
    <mergeCell ref="BO2981:BS2981"/>
    <mergeCell ref="BT2980:BZ2980"/>
    <mergeCell ref="AR2977:AV2977"/>
    <mergeCell ref="AW2979:BC2979"/>
    <mergeCell ref="BT2981:BZ2981"/>
    <mergeCell ref="BT2977:BZ2977"/>
    <mergeCell ref="BB2926:BZ2926"/>
    <mergeCell ref="B2933:AA2933"/>
    <mergeCell ref="B2923:AA2923"/>
    <mergeCell ref="BB2927:BZ2927"/>
    <mergeCell ref="AB2920:BA2920"/>
    <mergeCell ref="BM2941:BZ2941"/>
    <mergeCell ref="BM2940:BZ2940"/>
    <mergeCell ref="B2926:AA2926"/>
    <mergeCell ref="BB2928:BZ2928"/>
    <mergeCell ref="AR2989:AV2989"/>
    <mergeCell ref="B3058:AU3058"/>
    <mergeCell ref="B3059:AU3059"/>
    <mergeCell ref="B3003:BZ3003"/>
    <mergeCell ref="B3010:BZ3010"/>
    <mergeCell ref="AV3059:BZ3059"/>
    <mergeCell ref="BO2989:BS2989"/>
    <mergeCell ref="B3067:AU3067"/>
    <mergeCell ref="B2960:BZ2960"/>
    <mergeCell ref="BD2981:BN2981"/>
    <mergeCell ref="AW2940:BL2940"/>
    <mergeCell ref="AV3067:BZ3067"/>
    <mergeCell ref="B3062:AU3062"/>
    <mergeCell ref="B3048:AU3048"/>
    <mergeCell ref="AW2848:BL2848"/>
    <mergeCell ref="BM2849:BZ2849"/>
    <mergeCell ref="B2936:AA2936"/>
    <mergeCell ref="AB2917:BA2917"/>
    <mergeCell ref="B2929:AA2929"/>
    <mergeCell ref="BB2925:BZ2925"/>
    <mergeCell ref="AB2926:BA2926"/>
    <mergeCell ref="B2880:BZ2880"/>
    <mergeCell ref="B2969:BZ2969"/>
    <mergeCell ref="AW2978:BC2978"/>
    <mergeCell ref="BD2978:BN2978"/>
    <mergeCell ref="B2970:BZ2970"/>
    <mergeCell ref="B2953:BZ2953"/>
    <mergeCell ref="AV3064:BZ3064"/>
    <mergeCell ref="AV3066:BZ3066"/>
    <mergeCell ref="B3065:AU3065"/>
    <mergeCell ref="AB2936:BA2936"/>
    <mergeCell ref="AV3060:BZ3060"/>
    <mergeCell ref="BM2843:BZ2843"/>
    <mergeCell ref="BM2839:BZ2839"/>
    <mergeCell ref="B2881:BZ2881"/>
    <mergeCell ref="B2851:AV2851"/>
    <mergeCell ref="AW2849:BL2849"/>
    <mergeCell ref="B2856:AV2856"/>
    <mergeCell ref="B2857:AV2857"/>
    <mergeCell ref="B2867:BZ2867"/>
    <mergeCell ref="B2869:BZ2869"/>
    <mergeCell ref="B2870:BZ2870"/>
    <mergeCell ref="B2871:BZ2871"/>
    <mergeCell ref="B2954:BZ2954"/>
    <mergeCell ref="AB2924:BA2924"/>
    <mergeCell ref="B2927:AA2927"/>
    <mergeCell ref="B2930:AA2930"/>
    <mergeCell ref="AB2935:BA2935"/>
    <mergeCell ref="B2921:AA2921"/>
    <mergeCell ref="AB2929:BA2929"/>
    <mergeCell ref="B2850:AV2850"/>
    <mergeCell ref="B2877:BZ2877"/>
    <mergeCell ref="B2878:BZ2878"/>
    <mergeCell ref="B2896:BZ2896"/>
    <mergeCell ref="BM2857:BZ2857"/>
    <mergeCell ref="AW2858:BL2858"/>
    <mergeCell ref="BM2858:BZ2858"/>
    <mergeCell ref="AW2859:BL2859"/>
    <mergeCell ref="BM2859:BZ2859"/>
    <mergeCell ref="B2898:BZ2898"/>
    <mergeCell ref="AW2862:BL2862"/>
    <mergeCell ref="BM2861:BZ2861"/>
    <mergeCell ref="BM2864:BZ2864"/>
    <mergeCell ref="AW2857:BL2857"/>
    <mergeCell ref="B3071:AU3071"/>
    <mergeCell ref="B3072:AU3072"/>
    <mergeCell ref="B3073:AU3073"/>
    <mergeCell ref="AG3190:BC3190"/>
    <mergeCell ref="B3132:BZ3132"/>
    <mergeCell ref="J3117:R3117"/>
    <mergeCell ref="B3133:BZ3133"/>
    <mergeCell ref="B3131:BZ3131"/>
    <mergeCell ref="B3137:BZ3137"/>
    <mergeCell ref="AV3072:BZ3072"/>
    <mergeCell ref="AR3106:BI3106"/>
    <mergeCell ref="BJ3106:BZ3106"/>
    <mergeCell ref="BJ3107:BZ3107"/>
    <mergeCell ref="BJ3103:BZ3104"/>
    <mergeCell ref="AR3103:BI3104"/>
    <mergeCell ref="AR3105:BI3105"/>
    <mergeCell ref="B3103:AQ3104"/>
    <mergeCell ref="B3095:AH3095"/>
    <mergeCell ref="AI3095:BF3095"/>
    <mergeCell ref="BG3095:BZ3095"/>
    <mergeCell ref="AI3096:BF3096"/>
    <mergeCell ref="BG3096:BZ3096"/>
    <mergeCell ref="AG3148:BC3148"/>
    <mergeCell ref="AV3078:BZ3078"/>
    <mergeCell ref="AV3076:BZ3076"/>
    <mergeCell ref="AV3073:BZ3073"/>
    <mergeCell ref="B3168:BZ3168"/>
    <mergeCell ref="AG3159:BC3159"/>
    <mergeCell ref="B3150:AF3150"/>
    <mergeCell ref="B3188:AF3189"/>
    <mergeCell ref="AV3071:BZ3071"/>
    <mergeCell ref="B3076:AU3076"/>
    <mergeCell ref="B3165:BZ3165"/>
    <mergeCell ref="AG3193:BC3193"/>
    <mergeCell ref="BD3193:BZ3193"/>
    <mergeCell ref="B3191:AF3191"/>
    <mergeCell ref="AG3191:BC3191"/>
    <mergeCell ref="BD3159:BZ3159"/>
    <mergeCell ref="BD3152:BZ3152"/>
    <mergeCell ref="B3155:AF3156"/>
    <mergeCell ref="AG3155:BZ3155"/>
    <mergeCell ref="B3176:BZ3176"/>
    <mergeCell ref="AG3147:BC3147"/>
    <mergeCell ref="BD3147:BZ3147"/>
    <mergeCell ref="AG3153:BC3153"/>
    <mergeCell ref="B3152:AF3152"/>
    <mergeCell ref="B3153:AF3153"/>
    <mergeCell ref="B3167:BZ3167"/>
    <mergeCell ref="B3180:BZ3180"/>
    <mergeCell ref="BD3156:BZ3156"/>
    <mergeCell ref="BD3153:BZ3153"/>
    <mergeCell ref="B3161:AF3161"/>
    <mergeCell ref="BD3161:BZ3161"/>
    <mergeCell ref="B3159:AF3159"/>
    <mergeCell ref="B3157:AF3157"/>
    <mergeCell ref="B3158:AF3158"/>
    <mergeCell ref="B3160:AF3160"/>
    <mergeCell ref="AG3160:BC3160"/>
    <mergeCell ref="BD3160:BZ3160"/>
    <mergeCell ref="AG3156:BC3156"/>
    <mergeCell ref="B3166:BZ3166"/>
    <mergeCell ref="B3149:AF3149"/>
    <mergeCell ref="AG3158:BC3158"/>
    <mergeCell ref="BD3158:BZ3158"/>
    <mergeCell ref="AI3087:BF3087"/>
    <mergeCell ref="AI3088:BF3088"/>
    <mergeCell ref="B3077:AU3077"/>
    <mergeCell ref="B3078:AU3078"/>
    <mergeCell ref="AV3075:BZ3075"/>
    <mergeCell ref="B3074:AU3074"/>
    <mergeCell ref="AV3077:BZ3077"/>
    <mergeCell ref="AV3081:BZ3081"/>
    <mergeCell ref="B3319:AF3319"/>
    <mergeCell ref="AP3317:BF3317"/>
    <mergeCell ref="AP3321:BF3321"/>
    <mergeCell ref="AG3320:AO3320"/>
    <mergeCell ref="J3309:T3309"/>
    <mergeCell ref="AR3303:BZ3303"/>
    <mergeCell ref="AR3304:BZ3304"/>
    <mergeCell ref="AC3304:AQ3304"/>
    <mergeCell ref="AP3319:BF3319"/>
    <mergeCell ref="B3317:AF3317"/>
    <mergeCell ref="B3148:AF3148"/>
    <mergeCell ref="B3179:BZ3179"/>
    <mergeCell ref="AG3162:BC3162"/>
    <mergeCell ref="B3151:AF3151"/>
    <mergeCell ref="B3178:BZ3178"/>
    <mergeCell ref="BD3162:BZ3162"/>
    <mergeCell ref="B3194:AF3194"/>
    <mergeCell ref="B3195:AF3195"/>
    <mergeCell ref="B3258:BZ3258"/>
    <mergeCell ref="AC3306:AQ3306"/>
    <mergeCell ref="B3302:AB3302"/>
    <mergeCell ref="AC3301:AQ3301"/>
    <mergeCell ref="AG3188:BC3189"/>
    <mergeCell ref="BD3188:BZ3189"/>
    <mergeCell ref="BE3374:BO3374"/>
    <mergeCell ref="B3347:BZ3347"/>
    <mergeCell ref="T3374:AF3374"/>
    <mergeCell ref="B3370:S3372"/>
    <mergeCell ref="AP3334:BF3334"/>
    <mergeCell ref="T3370:BZ3370"/>
    <mergeCell ref="BE3373:BO3373"/>
    <mergeCell ref="B3336:AF3336"/>
    <mergeCell ref="AP3335:BF3335"/>
    <mergeCell ref="BG3335:BZ3335"/>
    <mergeCell ref="AG3333:AO3333"/>
    <mergeCell ref="AP3332:BF3332"/>
    <mergeCell ref="BG3329:BZ3329"/>
    <mergeCell ref="BG3322:BZ3322"/>
    <mergeCell ref="BP3371:BZ3372"/>
    <mergeCell ref="AS3373:BD3373"/>
    <mergeCell ref="BG3331:BZ3331"/>
    <mergeCell ref="AP3331:BF3331"/>
    <mergeCell ref="BG3334:BZ3334"/>
    <mergeCell ref="BP3373:BZ3373"/>
    <mergeCell ref="B3355:BZ3355"/>
    <mergeCell ref="B3351:BZ3351"/>
    <mergeCell ref="BG3332:BZ3332"/>
    <mergeCell ref="AG3331:AO3331"/>
    <mergeCell ref="B3360:BZ3360"/>
    <mergeCell ref="N3342:T3342"/>
    <mergeCell ref="BG3323:BZ3323"/>
    <mergeCell ref="BG3328:BZ3328"/>
    <mergeCell ref="AG3326:AO3326"/>
    <mergeCell ref="AP3323:BF3323"/>
    <mergeCell ref="B3322:AF3322"/>
    <mergeCell ref="AG3322:AO3322"/>
    <mergeCell ref="AG3391:AR3391"/>
    <mergeCell ref="AS3402:BD3402"/>
    <mergeCell ref="BP3390:BZ3390"/>
    <mergeCell ref="BE3375:BO3375"/>
    <mergeCell ref="AG3390:AR3390"/>
    <mergeCell ref="AG3378:AR3378"/>
    <mergeCell ref="AS3379:BD3379"/>
    <mergeCell ref="BE3393:BO3393"/>
    <mergeCell ref="AS3378:BD3378"/>
    <mergeCell ref="AP3314:BZ3314"/>
    <mergeCell ref="AP3315:BF3316"/>
    <mergeCell ref="BG3315:BZ3316"/>
    <mergeCell ref="AG3317:AO3317"/>
    <mergeCell ref="B3321:AF3321"/>
    <mergeCell ref="AG3321:AO3321"/>
    <mergeCell ref="BE3381:BO3381"/>
    <mergeCell ref="B3318:AF3318"/>
    <mergeCell ref="AS3371:BD3372"/>
    <mergeCell ref="BE3371:BO3372"/>
    <mergeCell ref="B3374:S3374"/>
    <mergeCell ref="B3373:S3373"/>
    <mergeCell ref="BE3380:BO3380"/>
    <mergeCell ref="BE3376:BO3376"/>
    <mergeCell ref="BE3389:BO3389"/>
    <mergeCell ref="BE3377:BO3377"/>
    <mergeCell ref="BP3377:BZ3377"/>
    <mergeCell ref="BP3385:BZ3385"/>
    <mergeCell ref="BP3381:BZ3381"/>
    <mergeCell ref="BE3384:BO3384"/>
    <mergeCell ref="BP3376:BZ3376"/>
    <mergeCell ref="BG3320:BZ3320"/>
    <mergeCell ref="AS3374:BD3374"/>
    <mergeCell ref="B263:BZ263"/>
    <mergeCell ref="BG3321:BZ3321"/>
    <mergeCell ref="Y270:AV270"/>
    <mergeCell ref="B236:BZ236"/>
    <mergeCell ref="B3324:AF3324"/>
    <mergeCell ref="Y273:AJ273"/>
    <mergeCell ref="AK272:AV272"/>
    <mergeCell ref="B273:X273"/>
    <mergeCell ref="AK271:AV271"/>
    <mergeCell ref="B255:BZ255"/>
    <mergeCell ref="B948:V948"/>
    <mergeCell ref="AJ944:AQ944"/>
    <mergeCell ref="Y223:BF223"/>
    <mergeCell ref="B223:X223"/>
    <mergeCell ref="B238:BZ238"/>
    <mergeCell ref="B239:BZ239"/>
    <mergeCell ref="BG3324:BZ3324"/>
    <mergeCell ref="BG3317:BZ3317"/>
    <mergeCell ref="AG3318:AO3318"/>
    <mergeCell ref="B3320:AF3320"/>
    <mergeCell ref="AP3320:BF3320"/>
    <mergeCell ref="AP3318:BF3318"/>
    <mergeCell ref="BD3196:BZ3196"/>
    <mergeCell ref="B3192:AF3192"/>
    <mergeCell ref="AG3192:BC3192"/>
    <mergeCell ref="BD3192:BZ3192"/>
    <mergeCell ref="B3193:AF3193"/>
    <mergeCell ref="AG3314:AO3316"/>
    <mergeCell ref="B3075:AU3075"/>
    <mergeCell ref="AG3196:BC3196"/>
    <mergeCell ref="B3217:BZ3217"/>
    <mergeCell ref="AV3074:BZ3074"/>
    <mergeCell ref="B902:BZ902"/>
    <mergeCell ref="O339:T339"/>
    <mergeCell ref="AB346:BC346"/>
    <mergeCell ref="B323:BZ323"/>
    <mergeCell ref="V321:BZ321"/>
    <mergeCell ref="B258:BZ258"/>
    <mergeCell ref="BG220:BQ220"/>
    <mergeCell ref="BR222:BZ222"/>
    <mergeCell ref="B222:X222"/>
    <mergeCell ref="BG222:BQ222"/>
    <mergeCell ref="B220:X220"/>
    <mergeCell ref="Y220:BF220"/>
    <mergeCell ref="BR220:BZ220"/>
    <mergeCell ref="BR221:BZ221"/>
    <mergeCell ref="B230:BZ230"/>
    <mergeCell ref="BG221:BQ221"/>
    <mergeCell ref="B234:BZ234"/>
    <mergeCell ref="B224:X224"/>
    <mergeCell ref="B235:BZ235"/>
    <mergeCell ref="B237:BZ237"/>
    <mergeCell ref="B256:BZ256"/>
    <mergeCell ref="B257:BZ257"/>
    <mergeCell ref="B246:BZ246"/>
    <mergeCell ref="B262:BZ262"/>
    <mergeCell ref="B261:BZ261"/>
    <mergeCell ref="Y271:AJ271"/>
    <mergeCell ref="B267:BZ267"/>
    <mergeCell ref="B260:BZ260"/>
    <mergeCell ref="B250:BZ250"/>
    <mergeCell ref="B251:BZ251"/>
    <mergeCell ref="B252:BZ252"/>
    <mergeCell ref="B253:BZ253"/>
    <mergeCell ref="B909:BZ909"/>
    <mergeCell ref="BR198:BZ198"/>
    <mergeCell ref="B3424:BZ3424"/>
    <mergeCell ref="AB345:BC345"/>
    <mergeCell ref="N285:S285"/>
    <mergeCell ref="BL276:BZ276"/>
    <mergeCell ref="AW275:BK275"/>
    <mergeCell ref="Y277:AJ277"/>
    <mergeCell ref="B241:BZ241"/>
    <mergeCell ref="AW279:BK279"/>
    <mergeCell ref="BR207:BZ207"/>
    <mergeCell ref="B207:X207"/>
    <mergeCell ref="B208:X208"/>
    <mergeCell ref="Y276:AJ276"/>
    <mergeCell ref="BG223:BQ223"/>
    <mergeCell ref="BR223:BZ223"/>
    <mergeCell ref="AW278:BK278"/>
    <mergeCell ref="BL273:BZ273"/>
    <mergeCell ref="B259:BZ259"/>
    <mergeCell ref="B264:BZ264"/>
    <mergeCell ref="B209:X209"/>
    <mergeCell ref="B310:BZ310"/>
    <mergeCell ref="B318:BZ318"/>
    <mergeCell ref="B319:BZ319"/>
    <mergeCell ref="B314:BZ314"/>
    <mergeCell ref="B345:AA345"/>
    <mergeCell ref="B330:BZ330"/>
    <mergeCell ref="B324:BZ324"/>
    <mergeCell ref="AD340:BZ340"/>
    <mergeCell ref="B918:BZ918"/>
    <mergeCell ref="B919:BZ919"/>
    <mergeCell ref="BD345:BZ345"/>
    <mergeCell ref="B905:BZ905"/>
    <mergeCell ref="BG197:BQ197"/>
    <mergeCell ref="BR197:BZ197"/>
    <mergeCell ref="BG208:BQ208"/>
    <mergeCell ref="BH204:BQ204"/>
    <mergeCell ref="BR204:BZ204"/>
    <mergeCell ref="BG205:BQ205"/>
    <mergeCell ref="BR205:BZ205"/>
    <mergeCell ref="Y198:BF198"/>
    <mergeCell ref="BG198:BQ198"/>
    <mergeCell ref="BR209:BZ209"/>
    <mergeCell ref="AW272:BK272"/>
    <mergeCell ref="BR224:BZ224"/>
    <mergeCell ref="Y224:BF224"/>
    <mergeCell ref="Y214:BF214"/>
    <mergeCell ref="B265:BZ265"/>
    <mergeCell ref="B266:BZ266"/>
    <mergeCell ref="B254:BZ254"/>
    <mergeCell ref="BG212:BQ212"/>
    <mergeCell ref="B268:BZ268"/>
    <mergeCell ref="BR213:BZ213"/>
    <mergeCell ref="B214:X214"/>
    <mergeCell ref="BG214:BQ214"/>
    <mergeCell ref="BR214:BZ214"/>
    <mergeCell ref="B227:BZ227"/>
    <mergeCell ref="Y217:BF217"/>
    <mergeCell ref="BR217:BZ217"/>
    <mergeCell ref="BG217:BQ217"/>
    <mergeCell ref="BG207:BQ207"/>
    <mergeCell ref="BR208:BZ208"/>
    <mergeCell ref="Y206:BF206"/>
    <mergeCell ref="Y209:BF209"/>
    <mergeCell ref="Y192:BF192"/>
    <mergeCell ref="AJ144:BD144"/>
    <mergeCell ref="BE142:BZ142"/>
    <mergeCell ref="G108:AK108"/>
    <mergeCell ref="AP108:BU108"/>
    <mergeCell ref="C137:BZ137"/>
    <mergeCell ref="C138:BZ138"/>
    <mergeCell ref="X154:AG154"/>
    <mergeCell ref="BG185:BQ185"/>
    <mergeCell ref="AZ7:AZ10"/>
    <mergeCell ref="AX7:AX10"/>
    <mergeCell ref="BK63:BS63"/>
    <mergeCell ref="C130:BZ130"/>
    <mergeCell ref="BE141:BZ141"/>
    <mergeCell ref="BG184:BQ184"/>
    <mergeCell ref="BR184:BZ184"/>
    <mergeCell ref="AK114:BI114"/>
    <mergeCell ref="C73:I73"/>
    <mergeCell ref="AE73:AK73"/>
    <mergeCell ref="BG124:BN124"/>
    <mergeCell ref="BC155:BK155"/>
    <mergeCell ref="BO155:BW155"/>
    <mergeCell ref="AJ142:BD142"/>
    <mergeCell ref="AJ143:BD143"/>
    <mergeCell ref="C133:BZ133"/>
    <mergeCell ref="B126:BZ126"/>
    <mergeCell ref="BE143:BZ143"/>
    <mergeCell ref="B151:AJ151"/>
    <mergeCell ref="AK148:BZ148"/>
    <mergeCell ref="AW123:BH123"/>
    <mergeCell ref="C129:BZ129"/>
    <mergeCell ref="BR189:BZ189"/>
    <mergeCell ref="BD175:BZ175"/>
    <mergeCell ref="B157:BZ157"/>
    <mergeCell ref="Y183:BF183"/>
    <mergeCell ref="Y184:BF184"/>
    <mergeCell ref="Y180:BF180"/>
    <mergeCell ref="X167:AG167"/>
    <mergeCell ref="AQ172:AY172"/>
    <mergeCell ref="AU154:BD154"/>
    <mergeCell ref="BG181:BQ181"/>
    <mergeCell ref="AA2:BA3"/>
    <mergeCell ref="Y4:BB5"/>
    <mergeCell ref="C51:AE51"/>
    <mergeCell ref="C63:AC63"/>
    <mergeCell ref="C68:K68"/>
    <mergeCell ref="O68:AE68"/>
    <mergeCell ref="D3:T3"/>
    <mergeCell ref="AV7:AV10"/>
    <mergeCell ref="AT7:AT10"/>
    <mergeCell ref="AR7:AR10"/>
    <mergeCell ref="M16:M19"/>
    <mergeCell ref="C132:BZ132"/>
    <mergeCell ref="BH180:BQ180"/>
    <mergeCell ref="K171:O171"/>
    <mergeCell ref="X122:AH122"/>
    <mergeCell ref="AC124:AP124"/>
    <mergeCell ref="AW124:AZ124"/>
    <mergeCell ref="AK150:BZ150"/>
    <mergeCell ref="B149:AJ149"/>
    <mergeCell ref="AJ141:BD141"/>
    <mergeCell ref="BI16:BI19"/>
    <mergeCell ref="BK16:BK19"/>
    <mergeCell ref="BM16:BM19"/>
    <mergeCell ref="BG190:BQ190"/>
    <mergeCell ref="BR190:BZ190"/>
    <mergeCell ref="BG191:BQ191"/>
    <mergeCell ref="Y205:BF205"/>
    <mergeCell ref="Y208:BF208"/>
    <mergeCell ref="BG206:BQ206"/>
    <mergeCell ref="Y204:BF204"/>
    <mergeCell ref="BG194:BQ194"/>
    <mergeCell ref="BR194:BZ194"/>
    <mergeCell ref="BG195:BQ195"/>
    <mergeCell ref="BR195:BZ195"/>
    <mergeCell ref="BR191:BZ191"/>
    <mergeCell ref="BG192:BQ192"/>
    <mergeCell ref="BR192:BZ192"/>
    <mergeCell ref="B150:AJ150"/>
    <mergeCell ref="BG193:BQ193"/>
    <mergeCell ref="BR193:BZ193"/>
    <mergeCell ref="BR186:BZ186"/>
    <mergeCell ref="BG187:BQ187"/>
    <mergeCell ref="BR187:BZ187"/>
    <mergeCell ref="BG188:BQ188"/>
    <mergeCell ref="BR188:BZ188"/>
    <mergeCell ref="B181:X181"/>
    <mergeCell ref="Y187:BF187"/>
    <mergeCell ref="B173:BZ173"/>
    <mergeCell ref="AH167:AM167"/>
    <mergeCell ref="BR182:BZ182"/>
    <mergeCell ref="BG183:BQ183"/>
    <mergeCell ref="BR183:BZ183"/>
    <mergeCell ref="Y186:BF186"/>
    <mergeCell ref="Y182:BF182"/>
    <mergeCell ref="Y185:BF185"/>
    <mergeCell ref="B210:X210"/>
    <mergeCell ref="BG210:BQ210"/>
    <mergeCell ref="BR210:BZ210"/>
    <mergeCell ref="B211:X211"/>
    <mergeCell ref="BG211:BQ211"/>
    <mergeCell ref="BR211:BZ211"/>
    <mergeCell ref="Y210:BF210"/>
    <mergeCell ref="Y211:BF211"/>
    <mergeCell ref="B206:X206"/>
    <mergeCell ref="B205:X205"/>
    <mergeCell ref="BR199:BZ199"/>
    <mergeCell ref="BG200:BQ200"/>
    <mergeCell ref="BR200:BZ200"/>
    <mergeCell ref="Y199:BF199"/>
    <mergeCell ref="Y200:BF200"/>
    <mergeCell ref="B204:X204"/>
    <mergeCell ref="BG199:BQ199"/>
    <mergeCell ref="BR206:BZ206"/>
    <mergeCell ref="BG209:BQ209"/>
    <mergeCell ref="Y207:BF207"/>
    <mergeCell ref="B245:BZ245"/>
    <mergeCell ref="B232:BZ232"/>
    <mergeCell ref="B233:BZ233"/>
    <mergeCell ref="BG224:BQ224"/>
    <mergeCell ref="B231:BZ231"/>
    <mergeCell ref="B228:BZ228"/>
    <mergeCell ref="B229:BZ229"/>
    <mergeCell ref="BR212:BZ212"/>
    <mergeCell ref="B213:X213"/>
    <mergeCell ref="BG213:BQ213"/>
    <mergeCell ref="B219:X219"/>
    <mergeCell ref="BG219:BQ219"/>
    <mergeCell ref="BR219:BZ219"/>
    <mergeCell ref="Y219:BF219"/>
    <mergeCell ref="Y212:BF212"/>
    <mergeCell ref="B212:X212"/>
    <mergeCell ref="B215:X215"/>
    <mergeCell ref="Y213:BF213"/>
    <mergeCell ref="BG216:BQ216"/>
    <mergeCell ref="BG215:BQ215"/>
    <mergeCell ref="B218:X218"/>
    <mergeCell ref="BG218:BQ218"/>
    <mergeCell ref="BR218:BZ218"/>
    <mergeCell ref="Y215:BF215"/>
    <mergeCell ref="B217:X217"/>
    <mergeCell ref="Y216:BF216"/>
    <mergeCell ref="BR215:BZ215"/>
    <mergeCell ref="Y218:BF218"/>
    <mergeCell ref="B216:X216"/>
    <mergeCell ref="BR216:BZ216"/>
    <mergeCell ref="Y221:BF221"/>
    <mergeCell ref="B221:X221"/>
    <mergeCell ref="B272:X272"/>
    <mergeCell ref="AJ948:AQ948"/>
    <mergeCell ref="AR948:AV948"/>
    <mergeCell ref="AW948:BB948"/>
    <mergeCell ref="BC948:BI948"/>
    <mergeCell ref="B947:BZ947"/>
    <mergeCell ref="BQ948:BZ948"/>
    <mergeCell ref="Y280:AJ280"/>
    <mergeCell ref="Y281:AJ281"/>
    <mergeCell ref="AD948:AI948"/>
    <mergeCell ref="B270:X271"/>
    <mergeCell ref="B240:BZ240"/>
    <mergeCell ref="B242:BZ242"/>
    <mergeCell ref="W946:AC946"/>
    <mergeCell ref="W945:AC945"/>
    <mergeCell ref="Y275:AJ275"/>
    <mergeCell ref="Y279:AJ279"/>
    <mergeCell ref="BL275:BZ275"/>
    <mergeCell ref="AJ946:AQ946"/>
    <mergeCell ref="AR944:AV944"/>
    <mergeCell ref="B249:BZ249"/>
    <mergeCell ref="BL270:BZ271"/>
    <mergeCell ref="AW280:BK280"/>
    <mergeCell ref="AW281:BK281"/>
    <mergeCell ref="Y272:AJ272"/>
    <mergeCell ref="BL274:BZ274"/>
    <mergeCell ref="AW273:BK273"/>
    <mergeCell ref="AW274:BK274"/>
    <mergeCell ref="AW270:BK271"/>
    <mergeCell ref="AW276:BK276"/>
    <mergeCell ref="BL272:BZ272"/>
    <mergeCell ref="B906:BZ906"/>
    <mergeCell ref="BQ945:BZ945"/>
    <mergeCell ref="AR946:AV946"/>
    <mergeCell ref="BQ949:BZ949"/>
    <mergeCell ref="AW946:BB946"/>
    <mergeCell ref="BC946:BI946"/>
    <mergeCell ref="AW945:BB945"/>
    <mergeCell ref="BC945:BI945"/>
    <mergeCell ref="BJ948:BP948"/>
    <mergeCell ref="BQ946:BZ946"/>
    <mergeCell ref="BJ949:BP949"/>
    <mergeCell ref="BJ944:BP944"/>
    <mergeCell ref="AJ945:AQ945"/>
    <mergeCell ref="AW944:BB944"/>
    <mergeCell ref="BJ946:BP946"/>
    <mergeCell ref="BJ945:BP945"/>
    <mergeCell ref="B946:V946"/>
    <mergeCell ref="W944:AC944"/>
    <mergeCell ref="B945:V945"/>
    <mergeCell ref="AD945:AI945"/>
    <mergeCell ref="AR945:AV945"/>
    <mergeCell ref="AW954:BB954"/>
    <mergeCell ref="BQ958:BZ958"/>
    <mergeCell ref="B959:V959"/>
    <mergeCell ref="AD956:AI956"/>
    <mergeCell ref="AJ956:AQ956"/>
    <mergeCell ref="AR956:AV956"/>
    <mergeCell ref="AW956:BB956"/>
    <mergeCell ref="AD959:AI959"/>
    <mergeCell ref="AJ959:AQ959"/>
    <mergeCell ref="AR959:AV959"/>
    <mergeCell ref="B954:V954"/>
    <mergeCell ref="W954:AC954"/>
    <mergeCell ref="W949:AC949"/>
    <mergeCell ref="AD949:AI949"/>
    <mergeCell ref="AJ949:AQ949"/>
    <mergeCell ref="AR949:AV949"/>
    <mergeCell ref="AD954:AI954"/>
    <mergeCell ref="AJ954:AQ954"/>
    <mergeCell ref="AR954:AV954"/>
    <mergeCell ref="AW949:BB949"/>
    <mergeCell ref="BC949:BI949"/>
    <mergeCell ref="BQ952:BZ953"/>
    <mergeCell ref="BQ956:BZ956"/>
    <mergeCell ref="BJ952:BP953"/>
    <mergeCell ref="BC956:BI956"/>
    <mergeCell ref="BJ956:BP956"/>
    <mergeCell ref="BC954:BI954"/>
    <mergeCell ref="BJ954:BP954"/>
    <mergeCell ref="BQ954:BZ954"/>
    <mergeCell ref="AR952:AV953"/>
    <mergeCell ref="AW952:BB953"/>
    <mergeCell ref="BC952:BI953"/>
    <mergeCell ref="BQ957:BZ957"/>
    <mergeCell ref="BQ960:BZ960"/>
    <mergeCell ref="B962:V962"/>
    <mergeCell ref="W962:AC962"/>
    <mergeCell ref="AD962:AI962"/>
    <mergeCell ref="AJ962:AQ962"/>
    <mergeCell ref="AR962:AV962"/>
    <mergeCell ref="AW962:BB962"/>
    <mergeCell ref="BC962:BI962"/>
    <mergeCell ref="BQ962:BZ962"/>
    <mergeCell ref="AR958:AV958"/>
    <mergeCell ref="AW958:BB958"/>
    <mergeCell ref="AW959:BB959"/>
    <mergeCell ref="W959:AC959"/>
    <mergeCell ref="BJ958:BP958"/>
    <mergeCell ref="AJ957:AQ957"/>
    <mergeCell ref="AR957:AV957"/>
    <mergeCell ref="AW957:BB957"/>
    <mergeCell ref="BC957:BI957"/>
    <mergeCell ref="BJ957:BP957"/>
    <mergeCell ref="B958:V958"/>
    <mergeCell ref="BQ959:BZ959"/>
    <mergeCell ref="BC958:BI958"/>
    <mergeCell ref="BJ959:BP959"/>
    <mergeCell ref="AW960:BB960"/>
    <mergeCell ref="BC960:BI960"/>
    <mergeCell ref="BC959:BI959"/>
    <mergeCell ref="W958:AC958"/>
    <mergeCell ref="AD958:AI958"/>
    <mergeCell ref="AJ958:AQ958"/>
    <mergeCell ref="B964:V964"/>
    <mergeCell ref="W964:AC964"/>
    <mergeCell ref="AD964:AI964"/>
    <mergeCell ref="AJ964:AQ964"/>
    <mergeCell ref="AR964:AV964"/>
    <mergeCell ref="BC963:BI963"/>
    <mergeCell ref="B963:V963"/>
    <mergeCell ref="W963:AC963"/>
    <mergeCell ref="AD963:AI963"/>
    <mergeCell ref="AW964:BB964"/>
    <mergeCell ref="B960:V960"/>
    <mergeCell ref="W960:AC960"/>
    <mergeCell ref="AD960:AI960"/>
    <mergeCell ref="AJ960:AQ960"/>
    <mergeCell ref="AR960:AV960"/>
    <mergeCell ref="AJ963:AQ963"/>
    <mergeCell ref="AR963:AV963"/>
    <mergeCell ref="B961:BZ961"/>
    <mergeCell ref="BJ962:BP962"/>
    <mergeCell ref="BJ960:BP960"/>
    <mergeCell ref="BC964:BI964"/>
    <mergeCell ref="BJ964:BP964"/>
    <mergeCell ref="BQ964:BZ964"/>
    <mergeCell ref="AW963:BB963"/>
    <mergeCell ref="BJ963:BP963"/>
    <mergeCell ref="BQ963:BZ963"/>
    <mergeCell ref="AW966:BB966"/>
    <mergeCell ref="BC966:BI966"/>
    <mergeCell ref="BJ966:BP966"/>
    <mergeCell ref="B967:BZ967"/>
    <mergeCell ref="BJ968:BP968"/>
    <mergeCell ref="AR970:AV970"/>
    <mergeCell ref="AJ971:AQ971"/>
    <mergeCell ref="AW970:BB970"/>
    <mergeCell ref="W975:AC975"/>
    <mergeCell ref="AD975:AI975"/>
    <mergeCell ref="AJ975:AQ975"/>
    <mergeCell ref="AR975:AV975"/>
    <mergeCell ref="AJ972:AQ972"/>
    <mergeCell ref="AR972:AV972"/>
    <mergeCell ref="W969:AC969"/>
    <mergeCell ref="AD969:AI969"/>
    <mergeCell ref="AJ969:AQ969"/>
    <mergeCell ref="AR969:AV969"/>
    <mergeCell ref="AW969:BB969"/>
    <mergeCell ref="B966:V966"/>
    <mergeCell ref="W966:AC966"/>
    <mergeCell ref="AD966:AI966"/>
    <mergeCell ref="AJ966:AQ966"/>
    <mergeCell ref="AR966:AV966"/>
    <mergeCell ref="AD974:AI974"/>
    <mergeCell ref="AR974:AV974"/>
    <mergeCell ref="AW974:BB974"/>
    <mergeCell ref="AT1078:AY1078"/>
    <mergeCell ref="AD1078:AK1078"/>
    <mergeCell ref="AT1087:AY1087"/>
    <mergeCell ref="AL1088:AS1088"/>
    <mergeCell ref="B1066:P1066"/>
    <mergeCell ref="W1068:AC1068"/>
    <mergeCell ref="B1067:P1067"/>
    <mergeCell ref="BQ971:BZ971"/>
    <mergeCell ref="BJ1005:BZ1005"/>
    <mergeCell ref="B1026:BZ1026"/>
    <mergeCell ref="B996:BZ996"/>
    <mergeCell ref="B997:BZ997"/>
    <mergeCell ref="B987:BZ987"/>
    <mergeCell ref="AW975:BB975"/>
    <mergeCell ref="BA1020:BN1020"/>
    <mergeCell ref="B1010:AL1010"/>
    <mergeCell ref="BA1010:BN1010"/>
    <mergeCell ref="BQ972:BZ972"/>
    <mergeCell ref="BJ972:BP972"/>
    <mergeCell ref="W1080:AC1080"/>
    <mergeCell ref="BF1079:BK1079"/>
    <mergeCell ref="AD1081:AK1081"/>
    <mergeCell ref="AZ1080:BE1080"/>
    <mergeCell ref="AL1081:AS1081"/>
    <mergeCell ref="BL1084:BR1084"/>
    <mergeCell ref="BS1082:BZ1082"/>
    <mergeCell ref="AD1085:AK1085"/>
    <mergeCell ref="W1084:AC1084"/>
    <mergeCell ref="BF1071:BK1071"/>
    <mergeCell ref="BS1078:BZ1078"/>
    <mergeCell ref="W1067:AC1067"/>
    <mergeCell ref="Q1070:V1070"/>
    <mergeCell ref="AB1142:AX1142"/>
    <mergeCell ref="B1150:AA1150"/>
    <mergeCell ref="B1195:BZ1195"/>
    <mergeCell ref="BN1140:BZ1140"/>
    <mergeCell ref="AB1193:AJ1193"/>
    <mergeCell ref="BA1134:BN1134"/>
    <mergeCell ref="AB1139:AX1140"/>
    <mergeCell ref="BO1010:BZ1010"/>
    <mergeCell ref="W1052:AC1052"/>
    <mergeCell ref="BL1087:BR1087"/>
    <mergeCell ref="B1033:BZ1033"/>
    <mergeCell ref="BS1087:BZ1087"/>
    <mergeCell ref="BL1094:BR1094"/>
    <mergeCell ref="BS1094:BZ1094"/>
    <mergeCell ref="B1061:P1061"/>
    <mergeCell ref="AB1024:AJ1024"/>
    <mergeCell ref="B1029:BZ1029"/>
    <mergeCell ref="B1027:BZ1027"/>
    <mergeCell ref="B1045:BZ1045"/>
    <mergeCell ref="AL1087:AS1087"/>
    <mergeCell ref="BF1085:BK1085"/>
    <mergeCell ref="AT1061:AY1061"/>
    <mergeCell ref="AD1061:AK1061"/>
    <mergeCell ref="Q1068:V1068"/>
    <mergeCell ref="BF1087:BK1087"/>
    <mergeCell ref="B1087:P1087"/>
    <mergeCell ref="BF1094:BK1094"/>
    <mergeCell ref="BF1088:BK1088"/>
    <mergeCell ref="AT1067:AY1067"/>
    <mergeCell ref="W1065:AC1065"/>
    <mergeCell ref="AD1070:AK1070"/>
    <mergeCell ref="AT1084:AY1084"/>
    <mergeCell ref="BG1910:BZ1910"/>
    <mergeCell ref="BG1918:BZ1918"/>
    <mergeCell ref="AL1911:BF1911"/>
    <mergeCell ref="BG1911:BZ1911"/>
    <mergeCell ref="BG1912:BZ1912"/>
    <mergeCell ref="BR1328:BZ1328"/>
    <mergeCell ref="AL1915:BF1915"/>
    <mergeCell ref="AL1908:BF1908"/>
    <mergeCell ref="AL1918:BF1918"/>
    <mergeCell ref="BG1904:BZ1904"/>
    <mergeCell ref="B1445:BZ1445"/>
    <mergeCell ref="B1793:BZ1793"/>
    <mergeCell ref="B1794:BZ1794"/>
    <mergeCell ref="B1444:BZ1444"/>
    <mergeCell ref="B1561:S1561"/>
    <mergeCell ref="B1513:AA1513"/>
    <mergeCell ref="B1827:BZ1827"/>
    <mergeCell ref="B1819:BZ1819"/>
    <mergeCell ref="B1814:BZ1814"/>
    <mergeCell ref="B1815:BZ1815"/>
    <mergeCell ref="B1816:BZ1816"/>
    <mergeCell ref="B1842:P1842"/>
    <mergeCell ref="Q1842:AE1842"/>
    <mergeCell ref="B1828:BZ1828"/>
    <mergeCell ref="B1362:BZ1362"/>
    <mergeCell ref="B1369:BZ1369"/>
    <mergeCell ref="B1564:S1564"/>
    <mergeCell ref="BD1563:BO1563"/>
    <mergeCell ref="AS1564:BC1564"/>
    <mergeCell ref="B1515:AA1515"/>
    <mergeCell ref="B1559:S1559"/>
    <mergeCell ref="B1797:BZ1797"/>
    <mergeCell ref="AL1916:BF1916"/>
    <mergeCell ref="BG1916:BZ1916"/>
    <mergeCell ref="AL1917:BF1917"/>
    <mergeCell ref="AL1930:BF1930"/>
    <mergeCell ref="BG1930:BZ1930"/>
    <mergeCell ref="AL1931:BF1931"/>
    <mergeCell ref="BG1931:BZ1931"/>
    <mergeCell ref="BG1921:BZ1921"/>
    <mergeCell ref="AL1922:BF1922"/>
    <mergeCell ref="BG1922:BZ1922"/>
    <mergeCell ref="BG1932:BZ1932"/>
    <mergeCell ref="BG1925:BZ1925"/>
    <mergeCell ref="AL1926:BF1926"/>
    <mergeCell ref="AL1929:BF1929"/>
    <mergeCell ref="AL1932:BF1932"/>
    <mergeCell ref="BG1915:BZ1915"/>
    <mergeCell ref="BG1923:BZ1923"/>
    <mergeCell ref="BG1926:BZ1926"/>
    <mergeCell ref="AL1924:BF1924"/>
    <mergeCell ref="BG1924:BZ1924"/>
    <mergeCell ref="AR1974:BI1974"/>
    <mergeCell ref="BJ1977:BZ1977"/>
    <mergeCell ref="BJ1978:BZ1978"/>
    <mergeCell ref="B1976:AQ1976"/>
    <mergeCell ref="BJ1974:BZ1974"/>
    <mergeCell ref="BJ1972:BZ1972"/>
    <mergeCell ref="BJ1973:BZ1973"/>
    <mergeCell ref="B1971:AQ1971"/>
    <mergeCell ref="B1972:AQ1972"/>
    <mergeCell ref="B1994:BZ1994"/>
    <mergeCell ref="AR1972:BI1972"/>
    <mergeCell ref="AR1973:BI1973"/>
    <mergeCell ref="AR1975:BI1975"/>
    <mergeCell ref="B1983:BZ1983"/>
    <mergeCell ref="B1974:AQ1974"/>
    <mergeCell ref="AL1933:BF1933"/>
    <mergeCell ref="BG1929:BZ1929"/>
    <mergeCell ref="AR1976:BI1976"/>
    <mergeCell ref="B1987:BZ1987"/>
    <mergeCell ref="B1988:BZ1988"/>
    <mergeCell ref="AR1969:BI1969"/>
    <mergeCell ref="AR1971:BI1971"/>
    <mergeCell ref="AR1970:BI1970"/>
    <mergeCell ref="BJ1971:BZ1971"/>
    <mergeCell ref="B1977:AQ1977"/>
    <mergeCell ref="B1978:AQ1978"/>
    <mergeCell ref="B1989:BZ1989"/>
    <mergeCell ref="AT1963:BZ1963"/>
    <mergeCell ref="AT1964:BZ1964"/>
    <mergeCell ref="B1963:AS1963"/>
    <mergeCell ref="B1964:AS1964"/>
    <mergeCell ref="BJ1970:BZ1970"/>
    <mergeCell ref="B2008:BA2009"/>
    <mergeCell ref="B1996:BZ1996"/>
    <mergeCell ref="B2026:BA2026"/>
    <mergeCell ref="T2098:AF2098"/>
    <mergeCell ref="AG2098:AR2098"/>
    <mergeCell ref="AS2097:BC2097"/>
    <mergeCell ref="BJ1975:BZ1975"/>
    <mergeCell ref="B1986:BZ1986"/>
    <mergeCell ref="AR1977:BI1977"/>
    <mergeCell ref="AR1978:BI1978"/>
    <mergeCell ref="B2011:BA2011"/>
    <mergeCell ref="B2012:BA2012"/>
    <mergeCell ref="B1993:BZ1993"/>
    <mergeCell ref="B1975:AQ1975"/>
    <mergeCell ref="B1985:BZ1985"/>
    <mergeCell ref="BJ1976:BZ1976"/>
    <mergeCell ref="B1984:BZ1984"/>
    <mergeCell ref="B1990:BZ1990"/>
    <mergeCell ref="BB2010:BZ2010"/>
    <mergeCell ref="BB2011:BZ2011"/>
    <mergeCell ref="BB2034:BZ2034"/>
    <mergeCell ref="B2084:BZ2084"/>
    <mergeCell ref="B2085:BZ2085"/>
    <mergeCell ref="B1995:BZ1995"/>
    <mergeCell ref="B2027:BA2027"/>
    <mergeCell ref="BB2015:BZ2015"/>
    <mergeCell ref="BB2016:BZ2016"/>
    <mergeCell ref="B2014:BA2014"/>
    <mergeCell ref="B1991:BZ1991"/>
    <mergeCell ref="BB2008:BZ2008"/>
    <mergeCell ref="B1992:BZ1992"/>
    <mergeCell ref="B2020:BA2020"/>
    <mergeCell ref="AL2225:AW2225"/>
    <mergeCell ref="BG2225:BP2225"/>
    <mergeCell ref="U2218:AW2218"/>
    <mergeCell ref="AL2220:AW2222"/>
    <mergeCell ref="BQ2226:BZ2226"/>
    <mergeCell ref="AS2144:BC2144"/>
    <mergeCell ref="BD2144:BM2144"/>
    <mergeCell ref="BN2144:BZ2144"/>
    <mergeCell ref="T2145:AF2145"/>
    <mergeCell ref="AG2145:AR2145"/>
    <mergeCell ref="BG2220:BP2222"/>
    <mergeCell ref="BB2204:BZ2204"/>
    <mergeCell ref="BB2205:BZ2205"/>
    <mergeCell ref="AB2204:BA2204"/>
    <mergeCell ref="BQ2225:BZ2225"/>
    <mergeCell ref="AG2147:AR2147"/>
    <mergeCell ref="BB2199:BZ2199"/>
    <mergeCell ref="B2190:BZ2190"/>
    <mergeCell ref="AD2225:AK2225"/>
    <mergeCell ref="B2188:BZ2188"/>
    <mergeCell ref="B2187:BZ2187"/>
    <mergeCell ref="BB2198:BZ2198"/>
    <mergeCell ref="BB2203:BZ2203"/>
    <mergeCell ref="B2203:AA2203"/>
    <mergeCell ref="B2202:AA2202"/>
    <mergeCell ref="B2189:BZ2189"/>
    <mergeCell ref="BB2201:BZ2201"/>
    <mergeCell ref="B2200:AA2200"/>
    <mergeCell ref="B2169:BZ2169"/>
    <mergeCell ref="B2154:BZ2154"/>
    <mergeCell ref="B2152:BZ2152"/>
    <mergeCell ref="BD2147:BM2147"/>
    <mergeCell ref="B2147:S2147"/>
    <mergeCell ref="B2151:BZ2151"/>
    <mergeCell ref="B2194:BZ2194"/>
    <mergeCell ref="B2162:BZ2162"/>
    <mergeCell ref="U2224:AC2224"/>
    <mergeCell ref="U2225:AC2225"/>
    <mergeCell ref="AB2198:BA2198"/>
    <mergeCell ref="AB2234:AZ2234"/>
    <mergeCell ref="BA2234:BZ2234"/>
    <mergeCell ref="AB2240:AZ2240"/>
    <mergeCell ref="AB2241:AZ2241"/>
    <mergeCell ref="BA2235:BZ2235"/>
    <mergeCell ref="BA2236:BZ2236"/>
    <mergeCell ref="BA2237:BZ2237"/>
    <mergeCell ref="AI2270:AT2271"/>
    <mergeCell ref="BQ2272:BZ2272"/>
    <mergeCell ref="B2274:T2274"/>
    <mergeCell ref="U2270:AH2271"/>
    <mergeCell ref="U2272:AH2272"/>
    <mergeCell ref="U2273:AH2273"/>
    <mergeCell ref="U2274:AH2274"/>
    <mergeCell ref="B2239:AA2239"/>
    <mergeCell ref="B2246:BZ2246"/>
    <mergeCell ref="B2250:BZ2250"/>
    <mergeCell ref="B2260:BZ2260"/>
    <mergeCell ref="B2252:BZ2252"/>
    <mergeCell ref="B2263:BZ2263"/>
    <mergeCell ref="BG2270:BP2271"/>
    <mergeCell ref="AB2235:AZ2235"/>
    <mergeCell ref="U2219:AW2219"/>
    <mergeCell ref="AX2219:BZ2219"/>
    <mergeCell ref="AD2220:AK2222"/>
    <mergeCell ref="BA2239:BZ2239"/>
    <mergeCell ref="B2253:BZ2253"/>
    <mergeCell ref="B2256:BZ2256"/>
    <mergeCell ref="AB2238:AZ2238"/>
    <mergeCell ref="AB2239:AZ2239"/>
    <mergeCell ref="K2267:T2267"/>
    <mergeCell ref="BA2238:BZ2238"/>
    <mergeCell ref="B2248:BZ2248"/>
    <mergeCell ref="B2240:AA2240"/>
    <mergeCell ref="BA2240:BZ2240"/>
    <mergeCell ref="B2273:T2273"/>
    <mergeCell ref="B2249:BZ2249"/>
    <mergeCell ref="B2241:AA2241"/>
    <mergeCell ref="B2272:T2272"/>
    <mergeCell ref="B2258:BZ2258"/>
    <mergeCell ref="AU2270:BF2271"/>
    <mergeCell ref="B2259:BZ2259"/>
    <mergeCell ref="B2270:T2271"/>
    <mergeCell ref="AI2272:AT2272"/>
    <mergeCell ref="BQ2273:BZ2273"/>
    <mergeCell ref="BG2273:BP2273"/>
    <mergeCell ref="BQ2270:BZ2271"/>
    <mergeCell ref="B2254:BZ2254"/>
    <mergeCell ref="B2255:BZ2255"/>
    <mergeCell ref="B2262:BZ2262"/>
    <mergeCell ref="BA2241:BZ2241"/>
    <mergeCell ref="B2238:AA2238"/>
    <mergeCell ref="B2279:T2279"/>
    <mergeCell ref="AI2338:AP2338"/>
    <mergeCell ref="BA2338:BL2338"/>
    <mergeCell ref="AI2344:AP2344"/>
    <mergeCell ref="AQ2344:AZ2344"/>
    <mergeCell ref="BG2272:BP2272"/>
    <mergeCell ref="BM2339:BZ2339"/>
    <mergeCell ref="T2333:AA2334"/>
    <mergeCell ref="AB2333:AH2334"/>
    <mergeCell ref="AI2333:AP2334"/>
    <mergeCell ref="AQ2333:AZ2333"/>
    <mergeCell ref="B2313:BZ2313"/>
    <mergeCell ref="AI2339:AP2339"/>
    <mergeCell ref="AQ2339:AZ2339"/>
    <mergeCell ref="BA2339:BL2339"/>
    <mergeCell ref="U2278:AH2278"/>
    <mergeCell ref="AI2351:AP2351"/>
    <mergeCell ref="BA2345:BL2345"/>
    <mergeCell ref="B2291:BZ2291"/>
    <mergeCell ref="BM2333:BZ2333"/>
    <mergeCell ref="AB2338:AH2338"/>
    <mergeCell ref="U2275:AH2275"/>
    <mergeCell ref="U2279:AH2279"/>
    <mergeCell ref="U2280:AH2280"/>
    <mergeCell ref="T2342:AA2342"/>
    <mergeCell ref="AB2342:AH2342"/>
    <mergeCell ref="AI2342:AP2342"/>
    <mergeCell ref="AQ2342:AZ2342"/>
    <mergeCell ref="AB2341:AH2341"/>
    <mergeCell ref="AI2340:AP2340"/>
    <mergeCell ref="AB2340:AH2340"/>
    <mergeCell ref="T2341:AA2341"/>
    <mergeCell ref="AB2352:AH2352"/>
    <mergeCell ref="AI2352:AP2352"/>
    <mergeCell ref="B2350:S2350"/>
    <mergeCell ref="B2365:S2365"/>
    <mergeCell ref="B2369:S2369"/>
    <mergeCell ref="B2302:BZ2302"/>
    <mergeCell ref="BA2333:BL2333"/>
    <mergeCell ref="BM2342:BZ2342"/>
    <mergeCell ref="BM2341:BZ2341"/>
    <mergeCell ref="AQ2345:AZ2345"/>
    <mergeCell ref="BA2342:BL2342"/>
    <mergeCell ref="B2298:BZ2298"/>
    <mergeCell ref="BA2343:BL2343"/>
    <mergeCell ref="BA2341:BL2341"/>
    <mergeCell ref="AI2341:AP2341"/>
    <mergeCell ref="AI2386:AP2386"/>
    <mergeCell ref="AQ2350:AZ2350"/>
    <mergeCell ref="BA2350:BL2350"/>
    <mergeCell ref="B2377:BZ2377"/>
    <mergeCell ref="T2344:AA2344"/>
    <mergeCell ref="AB2344:AH2344"/>
    <mergeCell ref="T2351:AA2351"/>
    <mergeCell ref="BA2348:BL2348"/>
    <mergeCell ref="BM2348:BZ2348"/>
    <mergeCell ref="BM2350:BZ2350"/>
    <mergeCell ref="AQ2346:AZ2346"/>
    <mergeCell ref="AQ2349:AZ2349"/>
    <mergeCell ref="BA2346:BL2346"/>
    <mergeCell ref="BM2346:BZ2346"/>
    <mergeCell ref="AQ2352:AZ2352"/>
    <mergeCell ref="BA2352:BL2352"/>
    <mergeCell ref="BM2344:BZ2344"/>
    <mergeCell ref="BM2352:BZ2352"/>
    <mergeCell ref="BM2389:BZ2389"/>
    <mergeCell ref="AI2346:AP2346"/>
    <mergeCell ref="AB2346:AH2346"/>
    <mergeCell ref="T2346:AA2346"/>
    <mergeCell ref="BA2349:BL2349"/>
    <mergeCell ref="AI2349:AP2349"/>
    <mergeCell ref="BM2385:BZ2385"/>
    <mergeCell ref="BO2980:BS2980"/>
    <mergeCell ref="BA2355:BL2355"/>
    <mergeCell ref="BM2397:BZ2397"/>
    <mergeCell ref="AB2396:AH2396"/>
    <mergeCell ref="BM2355:BZ2355"/>
    <mergeCell ref="BA2357:BL2357"/>
    <mergeCell ref="BM2354:BZ2354"/>
    <mergeCell ref="T2353:AA2353"/>
    <mergeCell ref="AB2353:AH2353"/>
    <mergeCell ref="AI2353:AP2353"/>
    <mergeCell ref="AQ2353:AZ2353"/>
    <mergeCell ref="BA2353:BL2353"/>
    <mergeCell ref="BM2353:BZ2353"/>
    <mergeCell ref="AQ2354:AZ2354"/>
    <mergeCell ref="BA2354:BL2354"/>
    <mergeCell ref="AI2398:AP2398"/>
    <mergeCell ref="AQ2398:AZ2398"/>
    <mergeCell ref="BM2396:BZ2396"/>
    <mergeCell ref="T2378:AA2378"/>
    <mergeCell ref="T2382:AA2382"/>
    <mergeCell ref="AB2382:AH2382"/>
    <mergeCell ref="AI2382:AP2382"/>
    <mergeCell ref="AQ2382:AZ2382"/>
    <mergeCell ref="BA2391:BL2391"/>
    <mergeCell ref="BA2384:BL2384"/>
    <mergeCell ref="BM2384:BZ2384"/>
    <mergeCell ref="B3196:AF3196"/>
    <mergeCell ref="AG3194:BC3194"/>
    <mergeCell ref="BD3194:BZ3194"/>
    <mergeCell ref="AG3195:BC3195"/>
    <mergeCell ref="BD3195:BZ3195"/>
    <mergeCell ref="AQ2351:AZ2351"/>
    <mergeCell ref="BM2349:BZ2349"/>
    <mergeCell ref="T2348:AA2348"/>
    <mergeCell ref="AB2348:AH2348"/>
    <mergeCell ref="AI2348:AP2348"/>
    <mergeCell ref="AQ2348:AZ2348"/>
    <mergeCell ref="BA2386:BL2386"/>
    <mergeCell ref="T2385:AA2385"/>
    <mergeCell ref="T2386:AA2386"/>
    <mergeCell ref="AB2386:AH2386"/>
    <mergeCell ref="AI2384:AP2384"/>
    <mergeCell ref="T2387:AA2387"/>
    <mergeCell ref="T2381:AA2381"/>
    <mergeCell ref="AQ2383:AZ2383"/>
    <mergeCell ref="BM2386:BZ2386"/>
    <mergeCell ref="BM2387:BZ2387"/>
    <mergeCell ref="AQ2386:AZ2386"/>
    <mergeCell ref="AI2381:AP2381"/>
    <mergeCell ref="BA2383:BL2383"/>
    <mergeCell ref="BM2383:BZ2383"/>
    <mergeCell ref="AQ2381:AZ2381"/>
    <mergeCell ref="BM2357:BZ2357"/>
    <mergeCell ref="AB2356:AH2356"/>
    <mergeCell ref="AQ2355:AZ2355"/>
    <mergeCell ref="AW2985:BC2985"/>
    <mergeCell ref="B2961:BZ2961"/>
    <mergeCell ref="BT2979:BZ2979"/>
    <mergeCell ref="B3197:AF3197"/>
    <mergeCell ref="AG3197:BC3197"/>
    <mergeCell ref="BD3197:BZ3197"/>
    <mergeCell ref="AI2356:AP2356"/>
    <mergeCell ref="AQ2356:AZ2356"/>
    <mergeCell ref="BA2356:BL2356"/>
    <mergeCell ref="AQ2357:AZ2357"/>
    <mergeCell ref="BD3191:BZ3191"/>
    <mergeCell ref="AB2391:AH2391"/>
    <mergeCell ref="BA2394:BL2394"/>
    <mergeCell ref="BM2394:BZ2394"/>
    <mergeCell ref="B2388:BZ2388"/>
    <mergeCell ref="T2394:AA2394"/>
    <mergeCell ref="AQ2392:AZ2392"/>
    <mergeCell ref="BA2392:BL2392"/>
    <mergeCell ref="BM2392:BZ2392"/>
    <mergeCell ref="AB2393:AH2393"/>
    <mergeCell ref="AI2393:AP2393"/>
    <mergeCell ref="AQ2393:AZ2393"/>
    <mergeCell ref="BA2393:BL2393"/>
    <mergeCell ref="T2389:AA2389"/>
    <mergeCell ref="AB2389:AH2389"/>
    <mergeCell ref="AI2389:AP2389"/>
    <mergeCell ref="BA2398:BL2398"/>
    <mergeCell ref="AB2397:AH2397"/>
    <mergeCell ref="AI2397:AP2397"/>
    <mergeCell ref="AQ2397:AZ2397"/>
    <mergeCell ref="BA2397:BL2397"/>
    <mergeCell ref="AI2391:AP2391"/>
    <mergeCell ref="AQ2391:AZ2391"/>
    <mergeCell ref="AR3295:BZ3295"/>
    <mergeCell ref="B3300:AB3300"/>
    <mergeCell ref="AC3300:AQ3300"/>
    <mergeCell ref="B3259:BZ3259"/>
    <mergeCell ref="AC3293:AQ3293"/>
    <mergeCell ref="B3265:BZ3265"/>
    <mergeCell ref="B3264:BZ3264"/>
    <mergeCell ref="B3261:BZ3261"/>
    <mergeCell ref="AC3297:AQ3297"/>
    <mergeCell ref="J3256:N3256"/>
    <mergeCell ref="AC3290:AQ3290"/>
    <mergeCell ref="J3279:T3279"/>
    <mergeCell ref="B3262:BZ3262"/>
    <mergeCell ref="AC3294:AQ3294"/>
    <mergeCell ref="AR3292:BZ3292"/>
    <mergeCell ref="B3263:BZ3263"/>
    <mergeCell ref="AR3289:BZ3289"/>
    <mergeCell ref="AC3289:AQ3289"/>
    <mergeCell ref="B3286:AB3286"/>
    <mergeCell ref="AC3286:AQ3286"/>
    <mergeCell ref="AC3287:AQ3287"/>
    <mergeCell ref="AR3286:BZ3286"/>
    <mergeCell ref="AR3288:BZ3288"/>
    <mergeCell ref="AC3284:AQ3285"/>
    <mergeCell ref="AC3299:AQ3299"/>
    <mergeCell ref="AR3297:BZ3297"/>
    <mergeCell ref="AR3294:BZ3294"/>
    <mergeCell ref="B3260:BZ3260"/>
    <mergeCell ref="B3288:AB3288"/>
    <mergeCell ref="AC3288:AQ3288"/>
    <mergeCell ref="B3301:AB3301"/>
    <mergeCell ref="B3305:AB3305"/>
    <mergeCell ref="B3306:AB3306"/>
    <mergeCell ref="AY3248:BL3248"/>
    <mergeCell ref="BM3248:BZ3248"/>
    <mergeCell ref="B3224:BZ3224"/>
    <mergeCell ref="B3218:BZ3218"/>
    <mergeCell ref="B3219:BZ3219"/>
    <mergeCell ref="B3222:BZ3222"/>
    <mergeCell ref="B3223:BZ3223"/>
    <mergeCell ref="B3230:BZ3230"/>
    <mergeCell ref="B3237:AJ3237"/>
    <mergeCell ref="AK3237:AX3237"/>
    <mergeCell ref="AG3336:AO3336"/>
    <mergeCell ref="AP3336:BF3336"/>
    <mergeCell ref="E3342:M3342"/>
    <mergeCell ref="T3375:AF3375"/>
    <mergeCell ref="AG3375:AR3375"/>
    <mergeCell ref="AG3374:AR3374"/>
    <mergeCell ref="AG3371:AR3372"/>
    <mergeCell ref="B3359:BZ3359"/>
    <mergeCell ref="B3356:BZ3356"/>
    <mergeCell ref="BG3336:BZ3336"/>
    <mergeCell ref="B3298:AB3298"/>
    <mergeCell ref="AR3300:BZ3300"/>
    <mergeCell ref="B3295:AB3295"/>
    <mergeCell ref="B3297:AB3297"/>
    <mergeCell ref="AC3296:AQ3296"/>
    <mergeCell ref="AC3292:AQ3292"/>
    <mergeCell ref="B3292:AB3292"/>
    <mergeCell ref="AR3293:BZ3293"/>
    <mergeCell ref="AR3296:BZ3296"/>
    <mergeCell ref="B3303:AB3303"/>
    <mergeCell ref="B3304:AB3304"/>
    <mergeCell ref="BR3473:BZ3473"/>
    <mergeCell ref="BR3472:BZ3472"/>
    <mergeCell ref="B3437:BZ3437"/>
    <mergeCell ref="B3427:BZ3427"/>
    <mergeCell ref="BR3452:BZ3452"/>
    <mergeCell ref="J3452:BH3452"/>
    <mergeCell ref="B3443:BZ3443"/>
    <mergeCell ref="BR3457:BZ3457"/>
    <mergeCell ref="B3337:AF3337"/>
    <mergeCell ref="T3373:AF3373"/>
    <mergeCell ref="BP3421:BZ3421"/>
    <mergeCell ref="BE3420:BO3420"/>
    <mergeCell ref="BP3420:BZ3420"/>
    <mergeCell ref="AG3419:AR3419"/>
    <mergeCell ref="AS3419:BD3419"/>
    <mergeCell ref="T3390:AF3390"/>
    <mergeCell ref="T3393:AF3393"/>
    <mergeCell ref="BP3393:BZ3393"/>
    <mergeCell ref="BP3418:BZ3418"/>
    <mergeCell ref="T3419:AF3419"/>
    <mergeCell ref="B3419:S3419"/>
    <mergeCell ref="BE3419:BO3419"/>
    <mergeCell ref="BP3391:BZ3391"/>
    <mergeCell ref="B3414:S3414"/>
    <mergeCell ref="B3406:S3406"/>
    <mergeCell ref="T3386:AF3386"/>
    <mergeCell ref="AG3386:AR3386"/>
    <mergeCell ref="BE3402:BO3402"/>
    <mergeCell ref="AG3389:AR3389"/>
    <mergeCell ref="AG3406:AR3406"/>
    <mergeCell ref="AS3375:BD3375"/>
    <mergeCell ref="T3391:AF3391"/>
    <mergeCell ref="BR3481:BZ3481"/>
    <mergeCell ref="BR3510:BZ3510"/>
    <mergeCell ref="BR3509:BZ3509"/>
    <mergeCell ref="BR3496:BZ3496"/>
    <mergeCell ref="BR3497:BZ3497"/>
    <mergeCell ref="BR3498:BZ3498"/>
    <mergeCell ref="BR3495:BZ3495"/>
    <mergeCell ref="BR3499:BZ3499"/>
    <mergeCell ref="BR3500:BZ3500"/>
    <mergeCell ref="BR3501:BZ3501"/>
    <mergeCell ref="T3392:AF3392"/>
    <mergeCell ref="BR3494:BZ3494"/>
    <mergeCell ref="BR3475:BZ3475"/>
    <mergeCell ref="BR3476:BZ3476"/>
    <mergeCell ref="BR3477:BZ3477"/>
    <mergeCell ref="BR3478:BZ3478"/>
    <mergeCell ref="BR3493:BZ3493"/>
    <mergeCell ref="BR3479:BZ3479"/>
    <mergeCell ref="BR3482:BZ3482"/>
    <mergeCell ref="BR3480:BZ3480"/>
    <mergeCell ref="B3426:BZ3426"/>
    <mergeCell ref="B3473:I3473"/>
    <mergeCell ref="BI3473:BQ3473"/>
    <mergeCell ref="BR3450:BZ3451"/>
    <mergeCell ref="J3472:BH3472"/>
    <mergeCell ref="B3438:BZ3438"/>
    <mergeCell ref="BI3459:BQ3459"/>
    <mergeCell ref="BI3468:BQ3468"/>
    <mergeCell ref="B3469:I3469"/>
    <mergeCell ref="BI3469:BQ3469"/>
    <mergeCell ref="BR3502:BZ3502"/>
    <mergeCell ref="BR3506:BZ3506"/>
    <mergeCell ref="BR3507:BZ3507"/>
    <mergeCell ref="BR3504:BZ3504"/>
    <mergeCell ref="BR3505:BZ3505"/>
    <mergeCell ref="BR3483:BZ3483"/>
    <mergeCell ref="BR3484:BZ3484"/>
    <mergeCell ref="BR3485:BZ3485"/>
    <mergeCell ref="BR3486:BZ3486"/>
    <mergeCell ref="BR3487:BZ3487"/>
    <mergeCell ref="BR3503:BZ3503"/>
    <mergeCell ref="BR3522:BZ3522"/>
    <mergeCell ref="BR3508:BZ3508"/>
    <mergeCell ref="BR3516:BZ3516"/>
    <mergeCell ref="BR3517:BZ3517"/>
    <mergeCell ref="BR3518:BZ3518"/>
    <mergeCell ref="BR3524:BZ3524"/>
    <mergeCell ref="BR3525:BZ3525"/>
    <mergeCell ref="BR3531:BZ3531"/>
    <mergeCell ref="BR3527:BZ3527"/>
    <mergeCell ref="BR3528:BZ3528"/>
    <mergeCell ref="BR3530:BZ3530"/>
    <mergeCell ref="BR3514:BZ3514"/>
    <mergeCell ref="BR3515:BZ3515"/>
    <mergeCell ref="BR3519:BZ3519"/>
    <mergeCell ref="BR3520:BZ3520"/>
    <mergeCell ref="BR3521:BZ3521"/>
    <mergeCell ref="BR3523:BZ3523"/>
    <mergeCell ref="BR3537:BZ3537"/>
    <mergeCell ref="BR3538:BZ3538"/>
    <mergeCell ref="BR3539:BZ3539"/>
    <mergeCell ref="BR3550:BZ3550"/>
    <mergeCell ref="BI3532:BQ3532"/>
    <mergeCell ref="BR3540:BZ3540"/>
    <mergeCell ref="BR3546:BZ3546"/>
    <mergeCell ref="BR3547:BZ3547"/>
    <mergeCell ref="BR3548:BZ3548"/>
    <mergeCell ref="BR3541:BZ3541"/>
    <mergeCell ref="BR3544:BZ3544"/>
    <mergeCell ref="BR3542:BZ3542"/>
    <mergeCell ref="BR3543:BZ3543"/>
    <mergeCell ref="BR3532:BZ3532"/>
    <mergeCell ref="BR3535:BZ3536"/>
    <mergeCell ref="BR3549:BZ3549"/>
    <mergeCell ref="BI3527:BQ3527"/>
    <mergeCell ref="BI3531:BQ3531"/>
    <mergeCell ref="BR3553:BZ3553"/>
    <mergeCell ref="BR3554:BZ3554"/>
    <mergeCell ref="BI3545:BQ3545"/>
    <mergeCell ref="BR3545:BZ3545"/>
    <mergeCell ref="BR3551:BZ3551"/>
    <mergeCell ref="BR3552:BZ3552"/>
    <mergeCell ref="J3545:BH3545"/>
    <mergeCell ref="BI3540:BQ3540"/>
    <mergeCell ref="J3541:BH3541"/>
    <mergeCell ref="BI3550:BQ3550"/>
    <mergeCell ref="J3618:BH3618"/>
    <mergeCell ref="J3615:BH3615"/>
    <mergeCell ref="J3563:BH3563"/>
    <mergeCell ref="J3593:BH3593"/>
    <mergeCell ref="J3594:BH3594"/>
    <mergeCell ref="J3595:BH3595"/>
    <mergeCell ref="J3596:BH3596"/>
    <mergeCell ref="J3570:BH3570"/>
    <mergeCell ref="BR3571:BZ3571"/>
    <mergeCell ref="BR3572:BZ3572"/>
    <mergeCell ref="BR3573:BZ3573"/>
    <mergeCell ref="BR3574:BZ3574"/>
    <mergeCell ref="BR3575:BZ3575"/>
    <mergeCell ref="BR3576:BZ3576"/>
    <mergeCell ref="BR3577:BZ3577"/>
    <mergeCell ref="BR3578:BZ3578"/>
    <mergeCell ref="BR3579:BZ3579"/>
    <mergeCell ref="BR3580:BZ3580"/>
    <mergeCell ref="BR3581:BZ3581"/>
    <mergeCell ref="BR3582:BZ3582"/>
    <mergeCell ref="BR3583:BZ3583"/>
    <mergeCell ref="BR3584:BZ3584"/>
    <mergeCell ref="BR3585:BZ3585"/>
    <mergeCell ref="BR3586:BZ3586"/>
    <mergeCell ref="BR3587:BZ3587"/>
    <mergeCell ref="BR3566:BZ3566"/>
    <mergeCell ref="BR3563:BZ3563"/>
    <mergeCell ref="BR3564:BZ3564"/>
    <mergeCell ref="BR3565:BZ3565"/>
    <mergeCell ref="BR3567:BZ3567"/>
    <mergeCell ref="BR3568:BZ3568"/>
    <mergeCell ref="BR3569:BZ3569"/>
    <mergeCell ref="BR3608:BZ3608"/>
    <mergeCell ref="J3559:BH3559"/>
    <mergeCell ref="J3560:BH3560"/>
    <mergeCell ref="J3561:BH3561"/>
    <mergeCell ref="J3562:BH3562"/>
    <mergeCell ref="J3571:BH3571"/>
    <mergeCell ref="J3584:BH3584"/>
    <mergeCell ref="J3592:BH3592"/>
    <mergeCell ref="BR3595:BZ3595"/>
    <mergeCell ref="BR3596:BZ3596"/>
    <mergeCell ref="J3567:BH3567"/>
    <mergeCell ref="BI3575:BQ3575"/>
    <mergeCell ref="J3576:BH3576"/>
    <mergeCell ref="BI3578:BQ3578"/>
    <mergeCell ref="J3578:BH3578"/>
    <mergeCell ref="BI3577:BQ3577"/>
    <mergeCell ref="BI3590:BQ3590"/>
    <mergeCell ref="BI3588:BQ3588"/>
    <mergeCell ref="BI3601:BQ3601"/>
    <mergeCell ref="J3598:BH3598"/>
    <mergeCell ref="BI3607:BQ3607"/>
    <mergeCell ref="BR3621:BZ3621"/>
    <mergeCell ref="BR3618:BZ3618"/>
    <mergeCell ref="BR3620:BZ3620"/>
    <mergeCell ref="BR3609:BZ3609"/>
    <mergeCell ref="BR3610:BZ3610"/>
    <mergeCell ref="BR3611:BZ3611"/>
    <mergeCell ref="BR3612:BZ3612"/>
    <mergeCell ref="BR3613:BZ3613"/>
    <mergeCell ref="BR3615:BZ3615"/>
    <mergeCell ref="BR3616:BZ3616"/>
    <mergeCell ref="BR3614:BZ3614"/>
    <mergeCell ref="BR3588:BZ3588"/>
    <mergeCell ref="BR3589:BZ3589"/>
    <mergeCell ref="BR3590:BZ3590"/>
    <mergeCell ref="BR3591:BZ3591"/>
    <mergeCell ref="BR3592:BZ3592"/>
    <mergeCell ref="BR3593:BZ3593"/>
    <mergeCell ref="BR3594:BZ3594"/>
    <mergeCell ref="J3621:BH3621"/>
    <mergeCell ref="J3612:BH3612"/>
    <mergeCell ref="B2213:AB2213"/>
    <mergeCell ref="AC2212:BB2212"/>
    <mergeCell ref="BC2211:BZ2211"/>
    <mergeCell ref="AB2205:BA2205"/>
    <mergeCell ref="J2207:N2207"/>
    <mergeCell ref="B2210:AB2211"/>
    <mergeCell ref="AC2210:BZ2210"/>
    <mergeCell ref="AC2211:BB2211"/>
    <mergeCell ref="B2212:AB2212"/>
    <mergeCell ref="BR3606:BZ3606"/>
    <mergeCell ref="BR3607:BZ3607"/>
    <mergeCell ref="BR3597:BZ3597"/>
    <mergeCell ref="BR3598:BZ3598"/>
    <mergeCell ref="BR3599:BZ3599"/>
    <mergeCell ref="BR3600:BZ3600"/>
    <mergeCell ref="BR3601:BZ3601"/>
    <mergeCell ref="BR3602:BZ3602"/>
    <mergeCell ref="BR3603:BZ3603"/>
    <mergeCell ref="BR3605:BZ3605"/>
    <mergeCell ref="BR3555:BZ3555"/>
    <mergeCell ref="BR3556:BZ3556"/>
    <mergeCell ref="BR3557:BZ3557"/>
    <mergeCell ref="BR3558:BZ3558"/>
    <mergeCell ref="BR3559:BZ3559"/>
    <mergeCell ref="BR3560:BZ3560"/>
    <mergeCell ref="BR3561:BZ3561"/>
    <mergeCell ref="BI3557:BQ3557"/>
    <mergeCell ref="BR3562:BZ3562"/>
    <mergeCell ref="BI3562:BQ3562"/>
    <mergeCell ref="BR3619:BZ3619"/>
    <mergeCell ref="B3633:BZ3633"/>
    <mergeCell ref="B3624:BZ3624"/>
    <mergeCell ref="B3625:BZ3625"/>
    <mergeCell ref="B3626:BZ3626"/>
    <mergeCell ref="B3627:BZ3627"/>
    <mergeCell ref="B3628:BZ3628"/>
    <mergeCell ref="B3629:BZ3629"/>
    <mergeCell ref="B3631:BZ3631"/>
    <mergeCell ref="B3632:BZ3632"/>
    <mergeCell ref="BO1846:BZ1846"/>
    <mergeCell ref="BO1844:BZ1844"/>
    <mergeCell ref="B1845:P1845"/>
    <mergeCell ref="Q1845:AE1845"/>
    <mergeCell ref="B1846:P1846"/>
    <mergeCell ref="Q1846:AE1846"/>
    <mergeCell ref="AF1846:AV1846"/>
    <mergeCell ref="BM2356:BZ2356"/>
    <mergeCell ref="T2395:AA2395"/>
    <mergeCell ref="BB2919:BZ2919"/>
    <mergeCell ref="BB2932:BZ2932"/>
    <mergeCell ref="AC2213:BB2213"/>
    <mergeCell ref="AF1845:AV1845"/>
    <mergeCell ref="AW1845:BN1845"/>
    <mergeCell ref="BO1845:BZ1845"/>
    <mergeCell ref="B3630:BZ3630"/>
    <mergeCell ref="BC2212:BZ2212"/>
    <mergeCell ref="K3173:T3173"/>
    <mergeCell ref="K3184:T3184"/>
    <mergeCell ref="BR3570:BZ3570"/>
    <mergeCell ref="BR3617:BZ3617"/>
    <mergeCell ref="B1844:P1844"/>
    <mergeCell ref="Q1844:AE1844"/>
    <mergeCell ref="AB111:AC111"/>
    <mergeCell ref="AD111:AE111"/>
    <mergeCell ref="AF111:AG111"/>
    <mergeCell ref="AN111:AP111"/>
    <mergeCell ref="AQ111:AR111"/>
    <mergeCell ref="B117:BZ117"/>
    <mergeCell ref="AH111:AI111"/>
    <mergeCell ref="AJ111:AK111"/>
    <mergeCell ref="AL111:AM111"/>
    <mergeCell ref="BK111:BL111"/>
    <mergeCell ref="AL156:BZ156"/>
    <mergeCell ref="K1332:P1332"/>
    <mergeCell ref="J1633:S1633"/>
    <mergeCell ref="K1753:R1753"/>
    <mergeCell ref="BE1323:BQ1323"/>
    <mergeCell ref="AG1323:AR1323"/>
    <mergeCell ref="AG1326:AR1326"/>
    <mergeCell ref="AS1326:BD1326"/>
    <mergeCell ref="BR1325:BZ1325"/>
    <mergeCell ref="BS1003:BZ1003"/>
    <mergeCell ref="BJ1003:BR1003"/>
    <mergeCell ref="BJ1102:BR1102"/>
    <mergeCell ref="B148:AJ148"/>
    <mergeCell ref="BO1271:BZ1271"/>
    <mergeCell ref="AS1317:BD1317"/>
    <mergeCell ref="BE1317:BQ1317"/>
    <mergeCell ref="AS1323:BD1323"/>
    <mergeCell ref="BJ1259:BR1259"/>
    <mergeCell ref="B1260:BI1260"/>
    <mergeCell ref="AZ1096:BE1096"/>
    <mergeCell ref="BF1096:BK1096"/>
    <mergeCell ref="Q1096:V1096"/>
    <mergeCell ref="B118:BZ118"/>
    <mergeCell ref="J1810:R1810"/>
    <mergeCell ref="B1812:BZ1812"/>
    <mergeCell ref="K147:P147"/>
    <mergeCell ref="B1817:BZ1817"/>
    <mergeCell ref="AF1840:AV1840"/>
    <mergeCell ref="AW1840:BN1840"/>
    <mergeCell ref="BO1840:BZ1840"/>
    <mergeCell ref="AF1839:AV1839"/>
    <mergeCell ref="AW1839:BN1839"/>
    <mergeCell ref="AF1842:AV1842"/>
    <mergeCell ref="AW1842:BN1842"/>
    <mergeCell ref="BO1842:BZ1842"/>
    <mergeCell ref="B1841:P1841"/>
    <mergeCell ref="Q1841:AE1841"/>
    <mergeCell ref="AF1841:AV1841"/>
    <mergeCell ref="B1820:BZ1820"/>
    <mergeCell ref="B1821:BZ1821"/>
    <mergeCell ref="B1822:BZ1822"/>
    <mergeCell ref="B1823:BZ1823"/>
    <mergeCell ref="Q1217:V1218"/>
    <mergeCell ref="BL1254:BR1254"/>
    <mergeCell ref="BN1144:BZ1144"/>
    <mergeCell ref="B1183:BZ1183"/>
    <mergeCell ref="BN1149:BZ1149"/>
    <mergeCell ref="AY1149:BM1149"/>
    <mergeCell ref="BN1148:BZ1148"/>
    <mergeCell ref="AB1146:AX1146"/>
    <mergeCell ref="B1247:P1247"/>
    <mergeCell ref="AL1132:AZ1132"/>
    <mergeCell ref="B1139:AA1140"/>
    <mergeCell ref="B1142:AA1142"/>
    <mergeCell ref="AW1848:BN1848"/>
    <mergeCell ref="BO1848:BZ1848"/>
    <mergeCell ref="BO1851:BZ1851"/>
    <mergeCell ref="B1850:P1850"/>
    <mergeCell ref="Q1850:AE1850"/>
    <mergeCell ref="AF1850:AV1850"/>
    <mergeCell ref="AW1850:BN1850"/>
    <mergeCell ref="BO1850:BZ1850"/>
    <mergeCell ref="AW1843:BN1843"/>
    <mergeCell ref="B1851:P1851"/>
    <mergeCell ref="Q1851:AE1851"/>
    <mergeCell ref="AF1851:AV1851"/>
    <mergeCell ref="AW1851:BN1851"/>
    <mergeCell ref="B1849:P1849"/>
    <mergeCell ref="Q1849:AE1849"/>
    <mergeCell ref="AW1849:BN1849"/>
    <mergeCell ref="BO1843:BZ1843"/>
    <mergeCell ref="AF1849:AV1849"/>
    <mergeCell ref="B1855:P1855"/>
    <mergeCell ref="Q1855:AE1855"/>
    <mergeCell ref="AF1855:AV1855"/>
    <mergeCell ref="AW1855:BN1855"/>
    <mergeCell ref="BO1855:BZ1855"/>
    <mergeCell ref="B1852:P1852"/>
    <mergeCell ref="Q1852:AE1852"/>
    <mergeCell ref="AF1852:AV1852"/>
    <mergeCell ref="AW1852:BN1852"/>
    <mergeCell ref="BO1852:BZ1852"/>
    <mergeCell ref="B1854:P1854"/>
    <mergeCell ref="Q1854:AE1854"/>
    <mergeCell ref="AF1854:AV1854"/>
    <mergeCell ref="AW1854:BN1854"/>
    <mergeCell ref="BO1854:BZ1854"/>
    <mergeCell ref="B1853:P1853"/>
    <mergeCell ref="Q1853:AE1853"/>
    <mergeCell ref="AF1853:AV1853"/>
    <mergeCell ref="AW1853:BN1853"/>
    <mergeCell ref="BO1853:BZ1853"/>
    <mergeCell ref="B1856:P1856"/>
    <mergeCell ref="Q1856:AE1856"/>
    <mergeCell ref="AF1856:AV1856"/>
    <mergeCell ref="AW1856:BN1856"/>
    <mergeCell ref="BO1856:BZ1856"/>
    <mergeCell ref="B1857:P1857"/>
    <mergeCell ref="Q1857:AE1857"/>
    <mergeCell ref="AF1857:AV1857"/>
    <mergeCell ref="AW1857:BN1857"/>
    <mergeCell ref="BO1857:BZ1857"/>
    <mergeCell ref="B1858:P1858"/>
    <mergeCell ref="Q1858:AE1858"/>
    <mergeCell ref="AF1858:AV1858"/>
    <mergeCell ref="AW1858:BN1858"/>
    <mergeCell ref="BO1858:BZ1858"/>
    <mergeCell ref="B1859:BZ1859"/>
    <mergeCell ref="B1860:L1860"/>
    <mergeCell ref="M1860:AA1860"/>
    <mergeCell ref="AB1860:AN1860"/>
    <mergeCell ref="AO1860:AY1860"/>
    <mergeCell ref="AZ1860:BN1860"/>
    <mergeCell ref="BO1860:BZ1860"/>
    <mergeCell ref="B1861:L1861"/>
    <mergeCell ref="M1861:AA1861"/>
    <mergeCell ref="AB1861:AN1861"/>
    <mergeCell ref="AO1861:AY1861"/>
    <mergeCell ref="AZ1861:BN1861"/>
    <mergeCell ref="BO1861:BZ1861"/>
    <mergeCell ref="B1862:L1862"/>
    <mergeCell ref="M1862:AA1862"/>
    <mergeCell ref="AB1862:AN1862"/>
    <mergeCell ref="AO1862:AY1862"/>
    <mergeCell ref="AZ1862:BN1862"/>
    <mergeCell ref="BO1862:BZ1862"/>
    <mergeCell ref="B1863:L1863"/>
    <mergeCell ref="M1863:AA1863"/>
    <mergeCell ref="AB1863:AN1863"/>
    <mergeCell ref="AO1863:AY1863"/>
    <mergeCell ref="AZ1863:BN1863"/>
    <mergeCell ref="BO1863:BZ1863"/>
    <mergeCell ref="B1864:L1864"/>
    <mergeCell ref="M1864:AA1864"/>
    <mergeCell ref="AB1864:AN1864"/>
    <mergeCell ref="AO1864:AY1864"/>
    <mergeCell ref="AZ1864:BN1864"/>
    <mergeCell ref="BO1864:BZ1864"/>
    <mergeCell ref="B1865:L1865"/>
    <mergeCell ref="M1865:AA1865"/>
    <mergeCell ref="AB1865:AN1865"/>
    <mergeCell ref="AO1865:AY1865"/>
    <mergeCell ref="AZ1865:BN1865"/>
    <mergeCell ref="BO1865:BZ1865"/>
    <mergeCell ref="B1866:L1866"/>
    <mergeCell ref="M1866:AA1866"/>
    <mergeCell ref="AB1866:AN1866"/>
    <mergeCell ref="AO1866:AY1866"/>
    <mergeCell ref="AZ1866:BN1866"/>
    <mergeCell ref="BO1866:BZ1866"/>
    <mergeCell ref="B1867:L1867"/>
    <mergeCell ref="M1867:AA1867"/>
    <mergeCell ref="AB1867:AN1867"/>
    <mergeCell ref="AO1867:AY1867"/>
    <mergeCell ref="AZ1867:BN1867"/>
    <mergeCell ref="BO1867:BZ1867"/>
    <mergeCell ref="B1868:L1868"/>
    <mergeCell ref="M1868:AA1868"/>
    <mergeCell ref="AB1868:AN1868"/>
    <mergeCell ref="AO1868:AY1868"/>
    <mergeCell ref="AZ1868:BN1868"/>
    <mergeCell ref="BO1868:BZ1868"/>
    <mergeCell ref="B1869:L1869"/>
    <mergeCell ref="M1869:AA1869"/>
    <mergeCell ref="AB1869:AN1869"/>
    <mergeCell ref="AO1869:AY1869"/>
    <mergeCell ref="AZ1869:BN1869"/>
    <mergeCell ref="BO1869:BZ1869"/>
    <mergeCell ref="B1870:L1870"/>
    <mergeCell ref="M1870:AA1870"/>
    <mergeCell ref="AB1870:AN1870"/>
    <mergeCell ref="AO1870:AY1870"/>
    <mergeCell ref="AZ1870:BN1870"/>
    <mergeCell ref="BO1870:BZ1870"/>
    <mergeCell ref="B1871:BZ1871"/>
    <mergeCell ref="B1872:L1872"/>
    <mergeCell ref="M1872:W1872"/>
    <mergeCell ref="X1872:AJ1872"/>
    <mergeCell ref="AK1872:AV1872"/>
    <mergeCell ref="AW1872:BN1872"/>
    <mergeCell ref="BO1872:BZ1872"/>
    <mergeCell ref="B1873:L1873"/>
    <mergeCell ref="M1873:W1873"/>
    <mergeCell ref="X1873:AJ1873"/>
    <mergeCell ref="AK1873:AV1873"/>
    <mergeCell ref="AW1873:BN1873"/>
    <mergeCell ref="BO1873:BZ1873"/>
    <mergeCell ref="B1874:L1874"/>
    <mergeCell ref="M1874:W1874"/>
    <mergeCell ref="X1874:AJ1874"/>
    <mergeCell ref="AK1874:AV1874"/>
    <mergeCell ref="AW1874:BN1874"/>
    <mergeCell ref="BO1874:BZ1874"/>
    <mergeCell ref="B1875:L1875"/>
    <mergeCell ref="M1875:W1875"/>
    <mergeCell ref="X1875:AJ1875"/>
    <mergeCell ref="AK1875:AV1875"/>
    <mergeCell ref="AW1875:BN1875"/>
    <mergeCell ref="BO1875:BZ1875"/>
    <mergeCell ref="B1876:L1876"/>
    <mergeCell ref="M1876:W1876"/>
    <mergeCell ref="X1876:AJ1876"/>
    <mergeCell ref="AK1876:AV1876"/>
    <mergeCell ref="AW1876:BN1876"/>
    <mergeCell ref="BO1876:BZ1876"/>
    <mergeCell ref="B1877:L1877"/>
    <mergeCell ref="M1877:W1877"/>
    <mergeCell ref="X1877:AJ1877"/>
    <mergeCell ref="AK1877:AV1877"/>
    <mergeCell ref="AW1877:BN1877"/>
    <mergeCell ref="BO1877:BZ1877"/>
    <mergeCell ref="B1878:L1878"/>
    <mergeCell ref="M1878:W1878"/>
    <mergeCell ref="X1878:AJ1878"/>
    <mergeCell ref="AK1878:AV1878"/>
    <mergeCell ref="AW1878:BN1878"/>
    <mergeCell ref="BO1878:BZ1878"/>
    <mergeCell ref="B1879:L1879"/>
    <mergeCell ref="M1879:W1879"/>
    <mergeCell ref="X1879:AJ1879"/>
    <mergeCell ref="AK1879:AV1879"/>
    <mergeCell ref="AW1879:BN1879"/>
    <mergeCell ref="BO1879:BZ1879"/>
    <mergeCell ref="B1880:L1880"/>
    <mergeCell ref="M1880:W1880"/>
    <mergeCell ref="X1880:AJ1880"/>
    <mergeCell ref="AK1880:AV1880"/>
    <mergeCell ref="AW1880:BN1880"/>
    <mergeCell ref="BO1880:BZ1880"/>
    <mergeCell ref="B1881:L1881"/>
    <mergeCell ref="M1881:W1881"/>
    <mergeCell ref="X1881:AJ1881"/>
    <mergeCell ref="AK1881:AV1881"/>
    <mergeCell ref="AW1881:BN1881"/>
    <mergeCell ref="BO1881:BZ1881"/>
    <mergeCell ref="B1882:L1882"/>
    <mergeCell ref="M1882:W1882"/>
    <mergeCell ref="X1882:AJ1882"/>
    <mergeCell ref="AK1882:AV1882"/>
    <mergeCell ref="AW1882:BN1882"/>
    <mergeCell ref="BO1882:BZ1882"/>
  </mergeCells>
  <conditionalFormatting sqref="CC2984 CC2937:CC2982 CC940:CC944 CC946:CC964 CC966:CC970 CC972:CC1060 CC1062:CC1066 CC1068:CC1086 CC1088:CC1092 CC1094:CC1228 CC1230:CC1249 CC2987:CC3402 CC1251:CC1808 CC1884:CC2935 CC3404:CC3741 CC122:CC938">
    <cfRule type="containsText" dxfId="38" priority="39" stopIfTrue="1" operator="containsText" text="Chcem skryť riadok.">
      <formula>NOT(ISERROR(SEARCH("Chcem skryť riadok.",CC122)))</formula>
    </cfRule>
  </conditionalFormatting>
  <conditionalFormatting sqref="CB2984 CB2937:CB2982 CB940:CB944 CB946:CB964 CB966:CB970 CB972:CB1060 CB1062:CB1066 CB1068:CB1086 CB1088:CB1092 CB1094:CB1228 CB1230:CB1249 CB2987:CB3741 CB1884:CB2935 CB1251:CB1808 CB111:CB938">
    <cfRule type="containsText" dxfId="37" priority="38" stopIfTrue="1" operator="containsText" text="Riadok bude skrytý.">
      <formula>NOT(ISERROR(SEARCH("Riadok bude skrytý.",CB111)))</formula>
    </cfRule>
  </conditionalFormatting>
  <conditionalFormatting sqref="CC2983">
    <cfRule type="containsText" dxfId="36" priority="37" stopIfTrue="1" operator="containsText" text="Chcem skryť riadok.">
      <formula>NOT(ISERROR(SEARCH("Chcem skryť riadok.",CC2983)))</formula>
    </cfRule>
  </conditionalFormatting>
  <conditionalFormatting sqref="CB2983">
    <cfRule type="containsText" dxfId="35" priority="36" stopIfTrue="1" operator="containsText" text="Riadok bude skrytý.">
      <formula>NOT(ISERROR(SEARCH("Riadok bude skrytý.",CB2983)))</formula>
    </cfRule>
  </conditionalFormatting>
  <conditionalFormatting sqref="CC2985">
    <cfRule type="containsText" dxfId="34" priority="35" stopIfTrue="1" operator="containsText" text="Chcem skryť riadok.">
      <formula>NOT(ISERROR(SEARCH("Chcem skryť riadok.",CC2985)))</formula>
    </cfRule>
  </conditionalFormatting>
  <conditionalFormatting sqref="CB2985">
    <cfRule type="containsText" dxfId="33" priority="34" stopIfTrue="1" operator="containsText" text="Riadok bude skrytý.">
      <formula>NOT(ISERROR(SEARCH("Riadok bude skrytý.",CB2985)))</formula>
    </cfRule>
  </conditionalFormatting>
  <conditionalFormatting sqref="CC2986">
    <cfRule type="containsText" dxfId="32" priority="33" stopIfTrue="1" operator="containsText" text="Chcem skryť riadok.">
      <formula>NOT(ISERROR(SEARCH("Chcem skryť riadok.",CC2986)))</formula>
    </cfRule>
  </conditionalFormatting>
  <conditionalFormatting sqref="CB2986">
    <cfRule type="containsText" dxfId="31" priority="32" stopIfTrue="1" operator="containsText" text="Riadok bude skrytý.">
      <formula>NOT(ISERROR(SEARCH("Riadok bude skrytý.",CB2986)))</formula>
    </cfRule>
  </conditionalFormatting>
  <conditionalFormatting sqref="CC2936">
    <cfRule type="containsText" dxfId="30" priority="31" stopIfTrue="1" operator="containsText" text="Chcem skryť riadok.">
      <formula>NOT(ISERROR(SEARCH("Chcem skryť riadok.",CC2936)))</formula>
    </cfRule>
  </conditionalFormatting>
  <conditionalFormatting sqref="CB2936">
    <cfRule type="containsText" dxfId="29" priority="30" stopIfTrue="1" operator="containsText" text="Riadok bude skrytý.">
      <formula>NOT(ISERROR(SEARCH("Riadok bude skrytý.",CB2936)))</formula>
    </cfRule>
  </conditionalFormatting>
  <conditionalFormatting sqref="CC939">
    <cfRule type="containsText" dxfId="28" priority="29" stopIfTrue="1" operator="containsText" text="Chcem skryť riadok.">
      <formula>NOT(ISERROR(SEARCH("Chcem skryť riadok.",CC939)))</formula>
    </cfRule>
  </conditionalFormatting>
  <conditionalFormatting sqref="CB939">
    <cfRule type="containsText" dxfId="27" priority="28" stopIfTrue="1" operator="containsText" text="Riadok bude skrytý.">
      <formula>NOT(ISERROR(SEARCH("Riadok bude skrytý.",CB939)))</formula>
    </cfRule>
  </conditionalFormatting>
  <conditionalFormatting sqref="CC945">
    <cfRule type="containsText" dxfId="26" priority="27" stopIfTrue="1" operator="containsText" text="Chcem skryť riadok.">
      <formula>NOT(ISERROR(SEARCH("Chcem skryť riadok.",CC945)))</formula>
    </cfRule>
  </conditionalFormatting>
  <conditionalFormatting sqref="CB945">
    <cfRule type="containsText" dxfId="25" priority="26" stopIfTrue="1" operator="containsText" text="Riadok bude skrytý.">
      <formula>NOT(ISERROR(SEARCH("Riadok bude skrytý.",CB945)))</formula>
    </cfRule>
  </conditionalFormatting>
  <conditionalFormatting sqref="CC965">
    <cfRule type="containsText" dxfId="24" priority="25" stopIfTrue="1" operator="containsText" text="Chcem skryť riadok.">
      <formula>NOT(ISERROR(SEARCH("Chcem skryť riadok.",CC965)))</formula>
    </cfRule>
  </conditionalFormatting>
  <conditionalFormatting sqref="CB965">
    <cfRule type="containsText" dxfId="23" priority="24" stopIfTrue="1" operator="containsText" text="Riadok bude skrytý.">
      <formula>NOT(ISERROR(SEARCH("Riadok bude skrytý.",CB965)))</formula>
    </cfRule>
  </conditionalFormatting>
  <conditionalFormatting sqref="CC971">
    <cfRule type="containsText" dxfId="22" priority="23" stopIfTrue="1" operator="containsText" text="Chcem skryť riadok.">
      <formula>NOT(ISERROR(SEARCH("Chcem skryť riadok.",CC971)))</formula>
    </cfRule>
  </conditionalFormatting>
  <conditionalFormatting sqref="CB971">
    <cfRule type="containsText" dxfId="21" priority="22" stopIfTrue="1" operator="containsText" text="Riadok bude skrytý.">
      <formula>NOT(ISERROR(SEARCH("Riadok bude skrytý.",CB971)))</formula>
    </cfRule>
  </conditionalFormatting>
  <conditionalFormatting sqref="CC1061">
    <cfRule type="containsText" dxfId="20" priority="21" stopIfTrue="1" operator="containsText" text="Chcem skryť riadok.">
      <formula>NOT(ISERROR(SEARCH("Chcem skryť riadok.",CC1061)))</formula>
    </cfRule>
  </conditionalFormatting>
  <conditionalFormatting sqref="CB1061">
    <cfRule type="containsText" dxfId="19" priority="20" stopIfTrue="1" operator="containsText" text="Riadok bude skrytý.">
      <formula>NOT(ISERROR(SEARCH("Riadok bude skrytý.",CB1061)))</formula>
    </cfRule>
  </conditionalFormatting>
  <conditionalFormatting sqref="CC1067">
    <cfRule type="containsText" dxfId="18" priority="19" stopIfTrue="1" operator="containsText" text="Chcem skryť riadok.">
      <formula>NOT(ISERROR(SEARCH("Chcem skryť riadok.",CC1067)))</formula>
    </cfRule>
  </conditionalFormatting>
  <conditionalFormatting sqref="CB1067">
    <cfRule type="containsText" dxfId="17" priority="18" stopIfTrue="1" operator="containsText" text="Riadok bude skrytý.">
      <formula>NOT(ISERROR(SEARCH("Riadok bude skrytý.",CB1067)))</formula>
    </cfRule>
  </conditionalFormatting>
  <conditionalFormatting sqref="CC1087">
    <cfRule type="containsText" dxfId="16" priority="17" stopIfTrue="1" operator="containsText" text="Chcem skryť riadok.">
      <formula>NOT(ISERROR(SEARCH("Chcem skryť riadok.",CC1087)))</formula>
    </cfRule>
  </conditionalFormatting>
  <conditionalFormatting sqref="CB1087">
    <cfRule type="containsText" dxfId="15" priority="16" stopIfTrue="1" operator="containsText" text="Riadok bude skrytý.">
      <formula>NOT(ISERROR(SEARCH("Riadok bude skrytý.",CB1087)))</formula>
    </cfRule>
  </conditionalFormatting>
  <conditionalFormatting sqref="CC1093">
    <cfRule type="containsText" dxfId="14" priority="15" stopIfTrue="1" operator="containsText" text="Chcem skryť riadok.">
      <formula>NOT(ISERROR(SEARCH("Chcem skryť riadok.",CC1093)))</formula>
    </cfRule>
  </conditionalFormatting>
  <conditionalFormatting sqref="CB1093">
    <cfRule type="containsText" dxfId="13" priority="14" stopIfTrue="1" operator="containsText" text="Riadok bude skrytý.">
      <formula>NOT(ISERROR(SEARCH("Riadok bude skrytý.",CB1093)))</formula>
    </cfRule>
  </conditionalFormatting>
  <conditionalFormatting sqref="CC1250">
    <cfRule type="containsText" dxfId="12" priority="13" stopIfTrue="1" operator="containsText" text="Chcem skryť riadok.">
      <formula>NOT(ISERROR(SEARCH("Chcem skryť riadok.",CC1250)))</formula>
    </cfRule>
  </conditionalFormatting>
  <conditionalFormatting sqref="CB1250">
    <cfRule type="containsText" dxfId="11" priority="12" stopIfTrue="1" operator="containsText" text="Riadok bude skrytý.">
      <formula>NOT(ISERROR(SEARCH("Riadok bude skrytý.",CB1250)))</formula>
    </cfRule>
  </conditionalFormatting>
  <conditionalFormatting sqref="CC1229">
    <cfRule type="containsText" dxfId="10" priority="11" stopIfTrue="1" operator="containsText" text="Chcem skryť riadok.">
      <formula>NOT(ISERROR(SEARCH("Chcem skryť riadok.",CC1229)))</formula>
    </cfRule>
  </conditionalFormatting>
  <conditionalFormatting sqref="CB1229">
    <cfRule type="containsText" dxfId="9" priority="10" stopIfTrue="1" operator="containsText" text="Riadok bude skrytý.">
      <formula>NOT(ISERROR(SEARCH("Riadok bude skrytý.",CB1229)))</formula>
    </cfRule>
  </conditionalFormatting>
  <conditionalFormatting sqref="CC1842 CC1845:CC1883 CC1809:CC1840">
    <cfRule type="containsText" dxfId="8" priority="9" stopIfTrue="1" operator="containsText" text="Chcem skryť riadok.">
      <formula>NOT(ISERROR(SEARCH("Chcem skryť riadok.",CC1809)))</formula>
    </cfRule>
  </conditionalFormatting>
  <conditionalFormatting sqref="CB1842 CB1809:CB1840 CB1845:CB1883">
    <cfRule type="containsText" dxfId="7" priority="8" stopIfTrue="1" operator="containsText" text="Riadok bude skrytý.">
      <formula>NOT(ISERROR(SEARCH("Riadok bude skrytý.",CB1809)))</formula>
    </cfRule>
  </conditionalFormatting>
  <conditionalFormatting sqref="CC1841">
    <cfRule type="containsText" dxfId="6" priority="7" stopIfTrue="1" operator="containsText" text="Chcem skryť riadok.">
      <formula>NOT(ISERROR(SEARCH("Chcem skryť riadok.",CC1841)))</formula>
    </cfRule>
  </conditionalFormatting>
  <conditionalFormatting sqref="CB1841">
    <cfRule type="containsText" dxfId="5" priority="6" stopIfTrue="1" operator="containsText" text="Riadok bude skrytý.">
      <formula>NOT(ISERROR(SEARCH("Riadok bude skrytý.",CB1841)))</formula>
    </cfRule>
  </conditionalFormatting>
  <conditionalFormatting sqref="CC1843">
    <cfRule type="containsText" dxfId="4" priority="5" stopIfTrue="1" operator="containsText" text="Chcem skryť riadok.">
      <formula>NOT(ISERROR(SEARCH("Chcem skryť riadok.",CC1843)))</formula>
    </cfRule>
  </conditionalFormatting>
  <conditionalFormatting sqref="CB1843">
    <cfRule type="containsText" dxfId="3" priority="4" stopIfTrue="1" operator="containsText" text="Riadok bude skrytý.">
      <formula>NOT(ISERROR(SEARCH("Riadok bude skrytý.",CB1843)))</formula>
    </cfRule>
  </conditionalFormatting>
  <conditionalFormatting sqref="CC1844">
    <cfRule type="containsText" dxfId="2" priority="3" stopIfTrue="1" operator="containsText" text="Chcem skryť riadok.">
      <formula>NOT(ISERROR(SEARCH("Chcem skryť riadok.",CC1844)))</formula>
    </cfRule>
  </conditionalFormatting>
  <conditionalFormatting sqref="CB1844">
    <cfRule type="containsText" dxfId="1" priority="2" stopIfTrue="1" operator="containsText" text="Riadok bude skrytý.">
      <formula>NOT(ISERROR(SEARCH("Riadok bude skrytý.",CB1844)))</formula>
    </cfRule>
  </conditionalFormatting>
  <conditionalFormatting sqref="CC3403">
    <cfRule type="containsText" dxfId="0" priority="1" stopIfTrue="1" operator="containsText" text="Chcem skryť riadok.">
      <formula>NOT(ISERROR(SEARCH("Chcem skryť riadok.",CC3403)))</formula>
    </cfRule>
  </conditionalFormatting>
  <dataValidations count="53">
    <dataValidation type="list" allowBlank="1" showInputMessage="1" showErrorMessage="1" sqref="CC1193:CC1381 CC2173:CC2226 CC1886:CC1958 CC1519:CC1667 CC1670:CC1703 CC2267:CC2304 CC1441:CC1515 CC1384:CC1438 CC1024:CC1189 CC900:CC1021 CC2004:CC2170 CC306:CC332 CC2307:CC2398 CC2402:CC2475 CC2478:CC2566 CC2571:CC2612 CC2616:CC2654 CC2658:CC2732 CC2737:CC2776 CC2782:CC2887 CC2951:CC3013 CC1963:CC2001 CC3016:CC3113 CC2892:CC2947 CC3209:CC3252 CC3117:CC3205 CC3344:CC3365 CC1809:CC1883 CC3374:CC3393 CC3395:CC3443 CC339:CC892 CC175:CC303 CC3448:CC3741 CC2230:CC2263 CC3254:CC3338 CC1706:CC1806 CC122:CC173">
      <formula1>"Chcem skryť riadok.,Automatické skrytie riadku."</formula1>
    </dataValidation>
    <dataValidation type="whole" allowBlank="1" showInputMessage="1" showErrorMessage="1" sqref="Y951:BZ951 AK3236 BA2234 BB2011 BB2025 BB2027 BB2199 AF2641 AG3155 AG3146 BI3535:BQ3536 T3370 T3398 BI3450:BQ3451 AR3285 Q1073:BZ1073 BS1003 Q1047:BZ1047 BJ1109 Q1216:BZ1216 AD1337 T1351 U1390:BZ1390 BC1613 AB1510 T1545 BU1567:BZ1567 BU1589:BZ1589 T1556 AC1626:BZ1626 AZ1696 AH1729 W925 Q1236:BZ1236 BS1102 BQ1337 BN1351 X1465 AP1465 AB1472 V1503 AN1503 AC1613 U1636 AX1636 Y1696 AH1741 AL1889 BG1889 BB2009 AB2199 U2218 AX2218 AB2234 AM2407 BG2407 AE2529 BC2529 BE2559 AH2559 S2598 AC2598 AW2598 AM2598 BR2598 BG2598 T2641 BP2642 BD2642 AL2684 BG2684 AK2761 BF2761 AW2809 BM2809 AW2941 BM2941 AF2976 BD2976 BJ3103 AR3103 AG3188 BD3188 AC2210:BZ2210 BR3535 BG3315 AP3315 BR3450 BS1259 BS1406">
      <formula1>2008</formula1>
      <formula2>2020</formula2>
    </dataValidation>
    <dataValidation type="whole" operator="lessThan" allowBlank="1" showInputMessage="1" showErrorMessage="1" sqref="AB2923:BU2923 W938 AJ932:AQ932 W964 AJ958:AQ958 W958 AJ944:AQ944 W944 AJ938:AQ938 W932 AS2109:AS2118 BE2111:BM2118 BD2098:BD2107 AV3375:BD3387 BB2920 AV3389:BD3392 AJ970:AQ970 AJ964:AQ964 BE1733:BE1738 W970 BD1549:BD1553 AW1341:BE1343 AV1340:AV1343 BG1341:BK1343 BF1340:BF1343 AS1354:AS1357 BD1354:BD1357 BD1394:BD1400 AT1394:AT1400 AU1396:BC1400 BE1397:BL1400 AS1549:AS1553 BD1560:BD1564 AS1560:AS1564 BF1735:BO1738 BE1745:BE1750 BF1747:BO1750 AT1759:AT1760 BD1759:BD1760 AT2100:BC2107 AS2098:AS2107 BE2100:BM2107 BD2109:BD2118 AT2111:BC2118 AS2138:AS2147 BE2140:BM2147 BD2127:BD2136 AT2129:BC2136 AS2127:AS2136 BE2129:BM2136 BD2138:BD2147 AT2140:BC2147 AB2240 BA2240 BZ2923 AB2920 BZ2925:BZ2926 AB2925:BU2926 AV3403:BD3415 AV3417:BD3420 AK3244:BZ3245">
      <formula1>0</formula1>
    </dataValidation>
    <dataValidation type="whole" operator="greaterThanOrEqual" allowBlank="1" showInputMessage="1" showErrorMessage="1" sqref="AH3191:BC3197 BJ1004:BJ1005 BJ940 AD966 W946 AD946 W960 Y960:BV960 AD948:AD949 AJ948:AJ949 Q1225 W974:W975 W940 W1225 BQ934:BV934 BE142:BE144 AI2272:AU2281 BG2431 AM2420 BG2409 AX2224:BG2226 AV2274:BF2281 U2272:U2281 V2274:AH2281 BQ2224:BQ2226 BD2097 BB2012:BB2019 BN2097:BN2118 BS2138:BZ2147 BB2200:BB2205 BC2013:BH2019 T2108:BR2108 AF2649 BD3157:BD3162 BE3150:BR3153 BG3319:BG3337 AS3393 BE3393 AG3421 BI3469:BR3469 AL1125:AL1134 BJ1103:BJ1104 Q1068:BR1068 W972 AD972 AJ972 AR972 BS1058:BS1062 BS1064:BS1068 Q1070:BV1071 BQ972:BV972 AW972 BC972 BL1056 BS1052:BS1056 BO1011:BO1020 BF1134:BO1134 AO1134:AZ1134 BC1134:BD1134 BA1125:BA1134 BB1127:BB1134 BK1112:BZ1119 BJ1260:BJ1261 BE1127:BE1134 BO1125:BO1133 AZ1225 BF1225 BS1227:BS1231 AZ1088 BT1231:BV1231 Q1231:BR1231 Q1233:BV1234 BF1344 BN1354:BN1358 BD1358 BY1395:BY1401 BJ1407:BJ1408 AC1621 BD1554 BP1549:BP1554 BM1573:BZ1578 BM1580:BZ1587 Y1587:BL1587 BP1560:BP1565 T1565 AG1565 AT1578 Y1600 BE1739 BP1733:BP1739 BD1761 AT1751 AL1914 AL1903 BG1892 AS1565 Y1578 AJ142:AJ144 W934 AD934 AJ934 AR934 AW934 BC934 BJ934 AD1225 AL1225 AT1225 BT1094:BV1094 BQ936:BQ940 AD940 AJ940 Q1094:BR1094 AR940 AW940 BC940 BQ942:BQ946 AR948:AR949 AW948:AW949 BC948:BC949 BJ948:BJ949 BQ948:BQ949 W948:W949 BQ956:BQ960 AJ946 AR946 BQ946:BV946 AW946 BC946 BQ962:BQ966 AJ966 AR966 BQ968:BQ972 BQ966:BV966 AW966 BC966 BJ966 AD974:AD975 AJ974:AJ975 AR974:AR975 AW974:AW975 BC974:BC975 BJ974:BJ975 BQ974:BQ975 BQ930:BQ934 AM1011:BA1020 BB1013:BN1020 Q1056 W1056 AD1056 AL1056 AT1056 AZ1056 BF1056 BF1062 BJ972 Q1062 W1062 AD1062 AL1062 BS1084:BS1088 BS1090:BS1094 Q1096:BV1097 AT1062 AZ1062 BT1068:BV1068 BL1082 BS1078:BS1082 Q1082 W1082 AD1082 AL1082 AT1082 AZ1082 BF1082 BF1088 BJ1110:BJ1111 AM1127:AN1134 BL1225 BS1221:BS1225 BQ940:BV940 BJ946 W966 BL1062 BL1088 Q1088 W1088 AD1088 AL1088 AT1088 Q1245 W1245 AZ1245 BF1245 BS1247:BS1251 Q1251:BV1251 Q1253:BV1254 AD1245 AL1245 AT1245 BL1245 BS1241:BS1245 AM1269:AN1270 AL1267:AL1276 BA1267:BA1276 BB1269:BB1270 BE1269:BE1270 BO1267:BO1276 BE1272:BE1273 AM1272:AN1273 BB1272:BB1273 AM1275:AN1276 BB1275:BB1276 BE1275:BE1276 AD1344 AM1344 AV1344 BQ1340:BQ1344 T1358 AG1358 AS1358 U1401:AH1401 AT1401 BD1401 BR1395:BW1401 BQ1394:BQ1401 BJ1414:BJ1415 X1469 AP1469 BH1469 BF1507 V1507 AN1507 T1554 AG1554 AS1554 BD1565 BM1595:BZ1600 BM1602:BZ1609 Y1609:BL1609 AT1600 BC1618 BC1621 AC1618 U1642:AD1644 AL1642:AL1644 AX1642:BG1644 BQ1642:BQ1644 AH1739 AT1739 BE1751 BP1745:BP1751 AH1751 U1761:AH1761 AT1761 BP1759:BP1761 BG1783 AN1783 V1783 AL1892 BG1903 BG1914 BG1925 AL1925 BR2013:BZ2019 BB2010 BB2026 BB2028:BB2033 BC2029:BH2033 BR2029:BZ2033 T2097 AG2097 AS2097 BS2127:BZ2136 BD2126 BN2126:BN2147 T2137:BR2137 T2126 AG2126 AS2126 AB2200:AB2205 U2224:AD2226 AL2224:AL2226 AM2409 BG2420 AM2431 AM2442 BG2442 BC2533 AE2533 AQ2533 BP2533 BC2544 AE2544 AQ2544 BP2544 AW2612 S2612 AC2612 AM2612 BG2612 BR2612 T2649 AS2649 BQ2647:BS2649 BW2654:BZ2654 BE2647:BM2649 BD2654:BM2654 BP2654:BS2654 BD2646:BD2649 BP2646:BP2649 BW2647:BZ2649 AL2686 AL2711 BG2711 BG2686 AL2697 BG2697 AL2708 BG2708 AL2722 BG2722 AW2811:AW2812 BY2854:BZ2854 BY2843:BZ2843 BY2840:BZ2840 BY2829:BZ2829 BY2818:BZ2818 BM2811:BM2812 AW2818:BI2818 BM2818:BU2818 BM2829:BU2829 BM2840:BU2840 BM2843:BU2843 BM2854:BU2854 BK2854 AW2854:BI2854 BK2843 AW2843:BI2843 BK2840 AW2840:BI2840 BK2829 AW2829:BI2829 BK2818 BI3599:BX3599 BZ3563 BI3558:BX3558 BI3567:BX3567 BZ3567 BI3553:BR3553 BI3588:BR3588 BZ3599 BK3106:BR3113 AR3105:AR3113 AS3106:BI3113 BJ3105:BJ3113 BZ3106:BZ3113 BZ3150:BZ3153 AG3148:AG3153 AH3150:BC3153 BD3148:BD3153 BE3159:BR3162 BZ3159:BZ3162 AG3157:AG3162 AH3159:BC3162 BZ3190:BZ3197 AG3190:AG3197 BD3190:BR3197 BI3590:BR3590 BI3563:BX3563 BH3320:BZ3337 AT3320:BF3337 BW3403:BZ3421 T3393 AG3393 AS3421 BE3421 BZ3616:BZ3617 T3421 BI3474:BX3474 BZ3474 BI3532:BX3532 BZ3532 BI3530:BX3530 BZ3530 BI3527:BX3528 BZ3527:BZ3528 BI3510:BX3510 BZ3510 BI3501:BX3501 BZ3501 BI3499:BX3499 BZ3499 BI3478:BX3478 BZ3478 BZ3558 BI3539:BR3539 BI3621:BX3621 BZ3621 BI3619:BX3619 BZ3619 BI3616:BX3617 BQ3403:BS3421 BP3402:BP3421 BQ3375:BS3393 BP3374:BP3393 BW3375:BZ3393">
      <formula1>0</formula1>
    </dataValidation>
    <dataValidation type="list" allowBlank="1" showInputMessage="1" showErrorMessage="1" sqref="K2330 K1332 P3447 K171:O171 J1000:N1000 P1000 J1007:N1007 P1007 J1099:N1099 P1099 J1106:N1106 P1106 J1121:N1121 P1121 J1136:N1136 P1136 J1256:N1256 P1256 J1263:N1263 P1263 J1278:N1278 J1403:N1403 P1403 J1623:N1623 J2207:N2207 J1706:N1706 P1706 J1763:N1763 P1763 J2215:N2215 P2215 J3041:N3041 P3041 J3055:N3055 P3055 J3069:N3069 P3069 J3447:N3447 K2359">
      <formula1>"má,nemá"</formula1>
    </dataValidation>
    <dataValidation type="list" allowBlank="1" showInputMessage="1" showErrorMessage="1" sqref="J306:M306 J1966:N1966 P1966 J3256:N3256 P3256 J3637:N3637 P3637 J3684:N3684 P3684">
      <formula1>"je,nie je"</formula1>
    </dataValidation>
    <dataValidation type="list" allowBlank="1" showInputMessage="1" showErrorMessage="1" sqref="J3279:T3279 V3279:X3279 J3309:T3309 V3309:X3309">
      <formula1>"uskutočnila,neuskutočnila"</formula1>
    </dataValidation>
    <dataValidation type="whole" allowBlank="1" showInputMessage="1" showErrorMessage="1" sqref="AJ3337:AM3337 AO3337:AS3337 AH3320:AI3337">
      <formula1>1</formula1>
      <formula2>11</formula2>
    </dataValidation>
    <dataValidation type="whole" operator="greaterThan" allowBlank="1" showInputMessage="1" showErrorMessage="1" sqref="AV3388:BD3388 AS2506 BM3089:BZ3097 Y273:Y282 Z274:AJ282 AH292:AH301 AJ294:AU301 AD2517:BZ2517 BI2506 AD2506 AV3416:BD3416 AK3243:BZ3243 AK3237:BZ3238 AK3252:BZ3252 AK3246">
      <formula1>0</formula1>
    </dataValidation>
    <dataValidation type="list" allowBlank="1" showInputMessage="1" showErrorMessage="1" sqref="J977:M977 AB1024:AE1024 J900:M900 K3173 J3142:R3142 J1152:M1152 AB1193:AJ1193 X1384 T3142 AJ1384 J1519:R1519 T1519 J1670:R1670 T1670 J1886:R1886 T1886 J2068:R2068 T2068 J2173:R2173 T2173 J2307:R2307 T2307 J2402:R2402 T2402 J3016:R3016 T3016 J3101:R3101 T3101 J3117:R3117 T3117 K3184">
      <formula1>"eviduje,neeviduje"</formula1>
    </dataValidation>
    <dataValidation type="list" allowBlank="1" showInputMessage="1" showErrorMessage="1" sqref="T3085 J3085:R3085 J1633">
      <formula1>"prenajíma,neprenajíma"</formula1>
    </dataValidation>
    <dataValidation type="list" allowBlank="1" showInputMessage="1" showErrorMessage="1" sqref="K2267">
      <formula1>"emitovala,neemitovala"</formula1>
    </dataValidation>
    <dataValidation type="list" allowBlank="1" showInputMessage="1" showErrorMessage="1" sqref="R2230 J1388:R1388 T1388 J1542:R1542 T1542 J2230:P2230 K1753">
      <formula1>"tvorila,netvorila"</formula1>
    </dataValidation>
    <dataValidation type="list" allowBlank="1" showInputMessage="1" showErrorMessage="1" sqref="AN2036 BN2005 AW2005">
      <formula1>"účtovným ziskom.,účtovnou stratou."</formula1>
    </dataValidation>
    <dataValidation type="list" allowBlank="1" showInputMessage="1" showErrorMessage="1" sqref="J1346:R1346 T1346 J3209:R3209 T3209">
      <formula1>"poskytla,neposkytla"</formula1>
    </dataValidation>
    <dataValidation type="list" allowBlank="1" showInputMessage="1" showErrorMessage="1" sqref="J2571:M2571">
      <formula1>"dosahovala,nedosahovala"</formula1>
    </dataValidation>
    <dataValidation type="list" allowBlank="1" showInputMessage="1" showErrorMessage="1" sqref="J2658:R2658 T2658 J2782:R2782 T2782">
      <formula1>"účtovala,neúčtovala"</formula1>
    </dataValidation>
    <dataValidation type="list" allowBlank="1" showInputMessage="1" showErrorMessage="1" sqref="J2951:M2951">
      <formula1>"vykázala,nevykázala"</formula1>
    </dataValidation>
    <dataValidation type="list" allowBlank="1" showInputMessage="1" showErrorMessage="1" sqref="J1441:R1441 T1441 J1479:R1479 T1479">
      <formula1>"realizuje,nerealizuje"</formula1>
    </dataValidation>
    <dataValidation type="decimal" allowBlank="1" showInputMessage="1" showErrorMessage="1" sqref="U1322:AF1329 BU294:BZ301 U1311:AF1318 AH1311:AR1318 BL273 BO274:BZ282 BS294:BS301 BR292:BR301 U1289:AF1296 AG1287:AG1296 AH1289:AR1296 AG1309:AG1318 AH1322:AR1329 U1300:AF1307 AG1298:AG1307 AH1300:AR1307 AG1320:AG1329">
      <formula1>0</formula1>
      <formula2>100</formula2>
    </dataValidation>
    <dataValidation type="whole" operator="greaterThan" allowBlank="1" showInputMessage="1" showErrorMessage="1" sqref="AB1141:AB1150 AC1143:AX1150 AY1158:BE1159">
      <formula1>1</formula1>
    </dataValidation>
    <dataValidation type="list" allowBlank="1" showInputMessage="1" showErrorMessage="1" sqref="O339 BT162 AH167:AM167 BJ162 V339:X339">
      <formula1>"bola,nebola"</formula1>
    </dataValidation>
    <dataValidation type="list" allowBlank="1" showInputMessage="1" showErrorMessage="1" sqref="B181">
      <formula1>"Fyzická osoba-SZČO,Konateľ/ka,Konatelia, Predseda predstavenstva, Predseda družstva,Spoločníci,Vedúci organizačnej zložky"</formula1>
    </dataValidation>
    <dataValidation type="list" allowBlank="1" showInputMessage="1" showErrorMessage="1" sqref="K147">
      <formula1>"je, nie je"</formula1>
    </dataValidation>
    <dataValidation type="list" allowBlank="1" showInputMessage="1" showErrorMessage="1" sqref="AL156">
      <formula1>"rozdelenie Spoločnosti,zlúčenie Spoločnosti, splynutie Spoločnosti,zmena právnej formy Spoločnosti, začiatok likvidácie Spoločnosti,koniec likvidácie Spoločnosti,vyhlásenie konkurzu na Spoločnosť, zrušenie konkurzu na Spoločnosť"</formula1>
    </dataValidation>
    <dataValidation allowBlank="1" showInputMessage="1" showErrorMessage="1" error="Tu musí byť rok." sqref="AK148:BZ148"/>
    <dataValidation type="list" allowBlank="1" showInputMessage="1" showErrorMessage="1" sqref="B321:U321">
      <formula1>"nie,áno (podľa § 22 ods.8),áno (podľa § 22 ods.12)"</formula1>
    </dataValidation>
    <dataValidation type="list" allowBlank="1" showInputMessage="1" showErrorMessage="1" sqref="AE121:AL121">
      <formula1>"fyzická,právnická"</formula1>
    </dataValidation>
    <dataValidation type="list" allowBlank="1" showInputMessage="1" showErrorMessage="1" sqref="AW124">
      <formula1>"Sro,Dr,Sa,Sr,Po"</formula1>
    </dataValidation>
    <dataValidation type="whole" allowBlank="1" showInputMessage="1" showErrorMessage="1" error="Tu musí byť rok." sqref="AJ141 BE141">
      <formula1>2008</formula1>
      <formula2>2020</formula2>
    </dataValidation>
    <dataValidation type="list" allowBlank="1" showInputMessage="1" showErrorMessage="1" sqref="BJ154 AU154:BD154">
      <formula1>"riadna,mimoriadna,priebežná"</formula1>
    </dataValidation>
    <dataValidation type="list" allowBlank="1" showInputMessage="1" showErrorMessage="1" sqref="V285:X285 N285">
      <formula1>"došlo,nedošlo"</formula1>
    </dataValidation>
    <dataValidation type="list" allowBlank="1" showInputMessage="1" showErrorMessage="1" sqref="AQ342:AS342 AI342:AN342 AQ850:AS850">
      <formula1>"boli,neboli"</formula1>
    </dataValidation>
    <dataValidation operator="greaterThanOrEqual" allowBlank="1" showInputMessage="1" showErrorMessage="1" sqref="AK149:BZ151"/>
    <dataValidation type="list" allowBlank="1" showInputMessage="1" showErrorMessage="1" sqref="AH1386 AB1386">
      <formula1>"A.,B., "</formula1>
    </dataValidation>
    <dataValidation type="list" allowBlank="1" showInputMessage="1" showErrorMessage="1" sqref="T1410 J1410:R1410">
      <formula1>"obstarala,neobstarala"</formula1>
    </dataValidation>
    <dataValidation type="list" allowBlank="1" showInputMessage="1" showErrorMessage="1" sqref="T1772 J1772:R1772">
      <formula1>"ocenila,neocenila"</formula1>
    </dataValidation>
    <dataValidation type="whole" operator="greaterThanOrEqual" allowBlank="1" showInputMessage="1" showErrorMessage="1" sqref="AR1971 AR1973 AR1975 BJ1973 BJ1971 BJ1975">
      <formula1>1</formula1>
    </dataValidation>
    <dataValidation type="decimal" operator="greaterThan" allowBlank="1" showInputMessage="1" showErrorMessage="1" sqref="AR1972 AR1974 AR1976 BJ1974 BJ1972 BJ1976">
      <formula1>0</formula1>
    </dataValidation>
    <dataValidation type="list" allowBlank="1" showInputMessage="1" showErrorMessage="1" sqref="T2478 J2478:R2478">
      <formula1>"používa,nepoužíva"</formula1>
    </dataValidation>
    <dataValidation type="list" allowBlank="1" showInputMessage="1" showErrorMessage="1" sqref="V2616:X2616 J2616:T2616">
      <formula1>"prevádzkuje,neprevádzkuje"</formula1>
    </dataValidation>
    <dataValidation type="list" allowBlank="1" showInputMessage="1" showErrorMessage="1" sqref="R2892 J2892:P2892">
      <formula1>"účtuje,neúčtuje"</formula1>
    </dataValidation>
    <dataValidation type="whole" allowBlank="1" showInputMessage="1" showErrorMessage="1" sqref="AB2918 BB2918">
      <formula1>2008</formula1>
      <formula2>2010</formula2>
    </dataValidation>
    <dataValidation type="list" allowBlank="1" showInputMessage="1" showErrorMessage="1" sqref="N3342">
      <formula1>"nastali,nenastali"</formula1>
    </dataValidation>
    <dataValidation type="list" allowBlank="1" showInputMessage="1" showErrorMessage="1" sqref="BV3447 BJ3447">
      <formula1>"zostavila.,nezostavila."</formula1>
    </dataValidation>
    <dataValidation type="list" allowBlank="1" showInputMessage="1" showErrorMessage="1" sqref="BE3448 AR3448:AZ3448">
      <formula1>"priamej,nepriamej"</formula1>
    </dataValidation>
    <dataValidation type="list" allowBlank="1" showInputMessage="1" showErrorMessage="1" sqref="AE850">
      <formula1>"vykonala,nevykonala"</formula1>
    </dataValidation>
    <dataValidation operator="greaterThan" allowBlank="1" showInputMessage="1" showErrorMessage="1" sqref="AK3247:BZ3251 AY1141:BZ1150 AS1287:BQ1296 AS1298:BQ1307 AS1309:BQ1318 AS1320:BQ1329"/>
    <dataValidation type="list" allowBlank="1" showInputMessage="1" showErrorMessage="1" sqref="AC3286:AC3307">
      <mc:AlternateContent xmlns:x12ac="http://schemas.microsoft.com/office/spreadsheetml/2011/1/ac" xmlns:mc="http://schemas.openxmlformats.org/markup-compatibility/2006">
        <mc:Choice Requires="x12ac">
          <x12ac:list>kúpa,predaj,poskytnutá služba,obchodné zastúpenie,licencia,transfér,know-how,"úver,pôžička",výpomoc,záruka</x12ac:list>
        </mc:Choice>
        <mc:Fallback>
          <formula1>"kúpa,predaj,poskytnutá služba,obchodné zastúpenie,licencia,transfér,know-how,úver,pôžička,výpomoc,záruka"</formula1>
        </mc:Fallback>
      </mc:AlternateContent>
    </dataValidation>
    <dataValidation operator="greaterThan" showInputMessage="1" showErrorMessage="1" sqref="AB2919:BZ2919 AB2922:BZ2922 AB2928:BZ2929 AB2932:BZ2933"/>
    <dataValidation type="list" allowBlank="1" showInputMessage="1" showErrorMessage="1" sqref="J1810:R1810">
      <formula1>"eviduje, neeviduje"</formula1>
    </dataValidation>
    <dataValidation type="list" allowBlank="1" showInputMessage="1" showErrorMessage="1" sqref="CC1">
      <formula1>"Skryť prvú stranu., Vidieť prvú stranu."</formula1>
    </dataValidation>
    <dataValidation type="list" allowBlank="1" showInputMessage="1" showErrorMessage="1" sqref="CD1">
      <formula1>"malé, veľké"</formula1>
    </dataValidation>
  </dataValidations>
  <printOptions horizontalCentered="1"/>
  <pageMargins left="0.47244094488188981" right="0.35433070866141736" top="0.47244094488188981" bottom="0.6692913385826772" header="0.39370078740157483" footer="0.43307086614173229"/>
  <pageSetup paperSize="9" orientation="portrait" r:id="rId1"/>
  <headerFooter>
    <oddFooter>&amp;R&amp;P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3</vt:i4>
      </vt:variant>
    </vt:vector>
  </HeadingPairs>
  <TitlesOfParts>
    <vt:vector size="5" baseType="lpstr">
      <vt:lpstr>SI</vt:lpstr>
      <vt:lpstr>Poznamky_k_UZ</vt:lpstr>
      <vt:lpstr>Poznamky_k_UZ!_Toc530739901</vt:lpstr>
      <vt:lpstr>Poznamky_k_UZ!Názvy_tlače</vt:lpstr>
      <vt:lpstr>Poznamky_k_UZ!Oblasť_tlače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HP</cp:lastModifiedBy>
  <cp:lastPrinted>2021-04-28T14:16:40Z</cp:lastPrinted>
  <dcterms:created xsi:type="dcterms:W3CDTF">2012-01-12T21:00:01Z</dcterms:created>
  <dcterms:modified xsi:type="dcterms:W3CDTF">2022-06-30T20:27:11Z</dcterms:modified>
</cp:coreProperties>
</file>